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1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\\servarq\licitacoes\2024\CONCORRÊNCIA PÚBLICA\CP 07-2024 - Construção Escola Porto Bello\PEDIDO DE ESCLARECIMENTO\"/>
    </mc:Choice>
  </mc:AlternateContent>
  <xr:revisionPtr revIDLastSave="0" documentId="8_{0FE33B24-3D4E-4604-9681-994C6BCD5EF8}" xr6:coauthVersionLast="47" xr6:coauthVersionMax="47" xr10:uidLastSave="{00000000-0000-0000-0000-000000000000}"/>
  <bookViews>
    <workbookView xWindow="-108" yWindow="-108" windowWidth="23256" windowHeight="12456" tabRatio="500" activeTab="15" xr2:uid="{00000000-000D-0000-FFFF-FFFF00000000}"/>
  </bookViews>
  <sheets>
    <sheet name="ORÇ ATUAL MEMÓRIA" sheetId="1" r:id="rId1"/>
    <sheet name="ORÇ Atualizado" sheetId="2" state="hidden" r:id="rId2"/>
    <sheet name="ORÇAMENTO " sheetId="3" state="hidden" r:id="rId3"/>
    <sheet name="CRONOGRAMA" sheetId="4" r:id="rId4"/>
    <sheet name="MC 01" sheetId="5" state="hidden" r:id="rId5"/>
    <sheet name="PLANILHA " sheetId="6" state="hidden" r:id="rId6"/>
    <sheet name="BM" sheetId="7" state="hidden" r:id="rId7"/>
    <sheet name="RRE" sheetId="8" state="hidden" r:id="rId8"/>
    <sheet name="FDE-JUNHO-08" sheetId="9" state="hidden" r:id="rId9"/>
    <sheet name="PLANILHA" sheetId="10" state="hidden" r:id="rId10"/>
    <sheet name="PREMISSAS" sheetId="11" state="hidden" r:id="rId11"/>
    <sheet name="Planilha2" sheetId="12" state="hidden" r:id="rId12"/>
    <sheet name="LISTA DE ITENS" sheetId="13" state="hidden" r:id="rId13"/>
    <sheet name="ORÇAMENTO (2)" sheetId="14" state="hidden" r:id="rId14"/>
    <sheet name="ORÇAMENTO" sheetId="15" state="hidden" r:id="rId15"/>
    <sheet name="BDI" sheetId="16" r:id="rId16"/>
    <sheet name="FDE 10-23 " sheetId="17" r:id="rId17"/>
    <sheet name="Planilha17" sheetId="18" r:id="rId18"/>
  </sheets>
  <externalReferences>
    <externalReference r:id="rId19"/>
    <externalReference r:id="rId20"/>
  </externalReferences>
  <definedNames>
    <definedName name="_0">[1]habitação!#REF!</definedName>
    <definedName name="_1_EDIF">#REF!</definedName>
    <definedName name="_1_TER">#REF!</definedName>
    <definedName name="_2_EDIF">#REF!</definedName>
    <definedName name="_2_INFR">#REF!</definedName>
    <definedName name="_2_TAB_DESEMB">#REF!</definedName>
    <definedName name="_3_ESTACA">#REF!</definedName>
    <definedName name="_4_E.C.">#REF!</definedName>
    <definedName name="_5_INFR">#REF!</definedName>
    <definedName name="_a">#REF!</definedName>
    <definedName name="_ATU_ANT">#REF!</definedName>
    <definedName name="_CALC_DIF">#REF!</definedName>
    <definedName name="_CC">'[2]med-cond1'!#REF!</definedName>
    <definedName name="_CO">#REF!</definedName>
    <definedName name="_CRON_">#REF!</definedName>
    <definedName name="_f">#REF!</definedName>
    <definedName name="_xlnm._FilterDatabase" localSheetId="16" hidden="1">'FDE 10-23 '!$A$3:$E$3180</definedName>
    <definedName name="_xlnm._FilterDatabase" localSheetId="12" hidden="1">'LISTA DE ITENS'!$B$2:$K$7</definedName>
    <definedName name="_xlnm._FilterDatabase" localSheetId="0" hidden="1">'ORÇ ATUAL MEMÓRIA'!$B$10:$K$533</definedName>
    <definedName name="_xlnm._FilterDatabase" localSheetId="1" hidden="1">'ORÇ Atualizado'!$B$10:$K$534</definedName>
    <definedName name="_xlnm._FilterDatabase" localSheetId="14" hidden="1">ORÇAMENTO!$B$12:$K$401</definedName>
    <definedName name="_xlnm._FilterDatabase" localSheetId="2" hidden="1">'ORÇAMENTO '!$B$10:$K$535</definedName>
    <definedName name="_xlnm._FilterDatabase" localSheetId="13" hidden="1">'ORÇAMENTO (2)'!$A$12:$I$649</definedName>
    <definedName name="_xlnm._FilterDatabase" localSheetId="11" hidden="1">Planilha2!$A$2:$M$486</definedName>
    <definedName name="_GO">#REF!</definedName>
    <definedName name="_i">'[2]med-cond1'!#REF!</definedName>
    <definedName name="_I_PF">#REF!</definedName>
    <definedName name="_j">#REF!</definedName>
    <definedName name="_m">'[2]med-cond1'!#REF!</definedName>
    <definedName name="_M_R_AUX">#REF!</definedName>
    <definedName name="_M10">'[2]med-cond1'!#REF!</definedName>
    <definedName name="_M11">'[2]med-cond1'!#REF!</definedName>
    <definedName name="_M12">#REF!</definedName>
    <definedName name="_M13">#REF!</definedName>
    <definedName name="_M2">'[2]med-cond1'!#REF!</definedName>
    <definedName name="_M3">'[2]med-cond1'!#REF!</definedName>
    <definedName name="_M4">'[2]med-cond1'!#REF!</definedName>
    <definedName name="_M5">'[2]med-cond1'!#REF!</definedName>
    <definedName name="_M6">'[2]med-cond1'!#REF!</definedName>
    <definedName name="_M7">'[2]med-cond1'!#REF!</definedName>
    <definedName name="_M8">'[2]med-cond1'!#REF!</definedName>
    <definedName name="_M9">'[2]med-cond1'!#REF!</definedName>
    <definedName name="_med2">#REF!</definedName>
    <definedName name="_MENSAG_I">#REF!</definedName>
    <definedName name="_MENSAG_I2">#REF!</definedName>
    <definedName name="_MENSAG_SALV">#REF!</definedName>
    <definedName name="_MENSAGEM_R">#REF!</definedName>
    <definedName name="_MM">'[2]med-cond1'!#REF!</definedName>
    <definedName name="_MUDA_NMED_ANT">#REF!</definedName>
    <definedName name="_n">#REF!</definedName>
    <definedName name="_O">#REF!</definedName>
    <definedName name="_p">#REF!</definedName>
    <definedName name="_PP">'[2]med-cond1'!#REF!</definedName>
    <definedName name="_q">'[2]med-cond1'!#REF!</definedName>
    <definedName name="_s">#REF!</definedName>
    <definedName name="_t">#REF!</definedName>
    <definedName name="_TOTAL_">#REF!</definedName>
    <definedName name="_v">#REF!</definedName>
    <definedName name="_w">#REF!</definedName>
    <definedName name="_x">#REF!</definedName>
    <definedName name="_y">#REF!</definedName>
    <definedName name="_z">#REF!</definedName>
    <definedName name="_xlnm.Print_Area" localSheetId="15">BDI!$A$3:$I$48</definedName>
    <definedName name="_xlnm.Print_Area" localSheetId="6">BM!$A$1:$BP$374</definedName>
    <definedName name="_xlnm.Print_Area" localSheetId="3">CRONOGRAMA!$A$1:$AI$64</definedName>
    <definedName name="_xlnm.Print_Area" localSheetId="12">'LISTA DE ITENS'!$B$2:$L$102</definedName>
    <definedName name="_xlnm.Print_Area" localSheetId="4">'MC 01'!$A$1:$R$1926</definedName>
    <definedName name="_xlnm.Print_Area" localSheetId="0">'ORÇ ATUAL MEMÓRIA'!$B$1:$K$542</definedName>
    <definedName name="_xlnm.Print_Area" localSheetId="1">'ORÇ Atualizado'!$B$1:$K$534</definedName>
    <definedName name="_xlnm.Print_Area" localSheetId="14">ORÇAMENTO!$B$1:$K$400</definedName>
    <definedName name="_xlnm.Print_Area" localSheetId="2">'ORÇAMENTO '!$B$1:$K$536</definedName>
    <definedName name="_xlnm.Print_Area" localSheetId="13">'ORÇAMENTO (2)'!$A$1:$I$649</definedName>
    <definedName name="_xlnm.Print_Area" localSheetId="9">PLANILHA!$B$1:$G$218</definedName>
    <definedName name="_xlnm.Print_Area" localSheetId="5">'PLANILHA '!$A$1:$H$76</definedName>
    <definedName name="_xlnm.Print_Area" localSheetId="17">Planilha17!$A$1:$L$1273</definedName>
    <definedName name="_xlnm.Print_Area" localSheetId="7">RRE!$A$1:$BO$58</definedName>
    <definedName name="asd">#REF!</definedName>
    <definedName name="ASSIN_CRT">#REF!</definedName>
    <definedName name="AUX_REL_MED">#REF!</definedName>
    <definedName name="BASE">#REF!</definedName>
    <definedName name="BASE_ORIG">#REF!</definedName>
    <definedName name="BB">{#N/A,#N/A,FALSE,"RESUMO";#N/A,#N/A,FALSE,"EXTR-CRONO";#N/A,#N/A,FALSE,"REAJUSTE";#N/A,#N/A,FALSE,"ACOMP-OBRA";#N/A,#N/A,FALSE,"MEDIÇÃO";#N/A,#N/A,FALSE,"POSIÇÃO FÍSICA";#N/A,#N/A,FALSE,"GRÁFICO"}</definedName>
    <definedName name="bbbbbbb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BDI">#REF!</definedName>
    <definedName name="C_">#REF!</definedName>
    <definedName name="CAB">#REF!</definedName>
    <definedName name="Caix120">#REF!</definedName>
    <definedName name="Caix160">#REF!</definedName>
    <definedName name="CaixMax">#REF!</definedName>
    <definedName name="CAPA_MED">#REF!</definedName>
    <definedName name="Carinha">"Carinha"</definedName>
    <definedName name="COB_VG">#REF!</definedName>
    <definedName name="COB_VI">#REF!</definedName>
    <definedName name="Critérios_IM">#REF!</definedName>
    <definedName name="CTR_N">#REF!</definedName>
    <definedName name="ctra">#REF!</definedName>
    <definedName name="d">#REF!</definedName>
    <definedName name="D_EC">#REF!</definedName>
    <definedName name="D_ED">#REF!</definedName>
    <definedName name="D_EST">#REF!</definedName>
    <definedName name="D_INF">#REF!</definedName>
    <definedName name="D_TER">#REF!</definedName>
    <definedName name="DESC">#REF!</definedName>
    <definedName name="DESNIVEL">{#N/A,#N/A,FALSE,"RESUMO-BB1";#N/A,#N/A,FALSE,"MOD-A01-R - BB1";#N/A,#N/A,FALSE,"URB-BB1"}</definedName>
    <definedName name="DIF_REAJ">#REF!</definedName>
    <definedName name="DIF_TIRAR">#REF!</definedName>
    <definedName name="ED">#REF!</definedName>
    <definedName name="EMPREIT">#REF!</definedName>
    <definedName name="Excel_BuiltIn__FilterDatabase_1">#REF!</definedName>
    <definedName name="Excel_BuiltIn__FilterDatabase_2">#REF!</definedName>
    <definedName name="Excel_BuiltIn_Criteria">#REF!</definedName>
    <definedName name="Excel_BuiltIn_Database">#REF!</definedName>
    <definedName name="Excel_BuiltIn_Print_Area_1">#REF!</definedName>
    <definedName name="Excel_BuiltIn_Print_Area_2">#REF!</definedName>
    <definedName name="F">#REF!</definedName>
    <definedName name="FAT_DEF_E">#REF!</definedName>
    <definedName name="FAT_DEF_M">#REF!</definedName>
    <definedName name="FAT_DEF_P">#REF!</definedName>
    <definedName name="FAT_DEF_T">#REF!</definedName>
    <definedName name="FAT_ED">#REF!</definedName>
    <definedName name="FATOR">#REF!</definedName>
    <definedName name="FC_E">#REF!</definedName>
    <definedName name="FC_P">#REF!</definedName>
    <definedName name="FC_T">#REF!</definedName>
    <definedName name="FDE">#REF!</definedName>
    <definedName name="FE_3_94">#REF!</definedName>
    <definedName name="FE_6_94">#REF!</definedName>
    <definedName name="FIN_P1">#REF!</definedName>
    <definedName name="FIN_P2">#REF!</definedName>
    <definedName name="FIPE_ED_ZERO">#REF!</definedName>
    <definedName name="FIPE_MENS">#REF!</definedName>
    <definedName name="FL_TOT">#REF!</definedName>
    <definedName name="FLAG_PF">#REF!</definedName>
    <definedName name="FLAG_S">#REF!</definedName>
    <definedName name="FN_DEF_E">#REF!</definedName>
    <definedName name="FN_DEF_M">#REF!</definedName>
    <definedName name="FN_DEF_P">#REF!</definedName>
    <definedName name="FN_DEF_T">#REF!</definedName>
    <definedName name="FN_E">#REF!</definedName>
    <definedName name="FN_PRJ_E">#REF!</definedName>
    <definedName name="FN_PRJ_M">#REF!</definedName>
    <definedName name="FN_PRJ_P">#REF!</definedName>
    <definedName name="FN_PRJ_T">#REF!</definedName>
    <definedName name="FN_T">#REF!</definedName>
    <definedName name="FP_3_94">#REF!</definedName>
    <definedName name="FP_6_94">#REF!</definedName>
    <definedName name="FT_3_94">#REF!</definedName>
    <definedName name="FT_6_94">#REF!</definedName>
    <definedName name="FZ_E">#REF!</definedName>
    <definedName name="FZ_M">#REF!</definedName>
    <definedName name="FZ_P">#REF!</definedName>
    <definedName name="FZ_T">#REF!</definedName>
    <definedName name="Io">#REF!</definedName>
    <definedName name="laz">#REF!</definedName>
    <definedName name="lol">[1]habitação!#REF!</definedName>
    <definedName name="M_EC">#REF!</definedName>
    <definedName name="M_EC_AUX">#REF!</definedName>
    <definedName name="M_ED">#REF!</definedName>
    <definedName name="M_ED_AUX">#REF!</definedName>
    <definedName name="M_EST">#REF!</definedName>
    <definedName name="M_EST_AUX">#REF!</definedName>
    <definedName name="M_INF">#REF!</definedName>
    <definedName name="M_INF_AUX">#REF!</definedName>
    <definedName name="M_PAV_AUX">#REF!</definedName>
    <definedName name="M_TER">#REF!</definedName>
    <definedName name="M_TER_AUX">#REF!</definedName>
    <definedName name="M1_">#REF!</definedName>
    <definedName name="MA_ANT_EC">#REF!</definedName>
    <definedName name="MA_ANT_ED">#REF!</definedName>
    <definedName name="MA_ANT_EST">#REF!</definedName>
    <definedName name="MA_ANT_INF">#REF!</definedName>
    <definedName name="MA_ANT_TER">#REF!</definedName>
    <definedName name="MA_ATU_EC">#REF!</definedName>
    <definedName name="MA_ATU_ED">#REF!</definedName>
    <definedName name="MA_ATU_EST">#REF!</definedName>
    <definedName name="MA_ATU_INF">#REF!</definedName>
    <definedName name="MA_ATU_TER">#REF!</definedName>
    <definedName name="MACRO">#REF!</definedName>
    <definedName name="me">#REF!</definedName>
    <definedName name="MED_AC_MAX_LIB">#REF!</definedName>
    <definedName name="MED_AC_TOT">#REF!</definedName>
    <definedName name="MED_FIN_AC_ANT">#REF!</definedName>
    <definedName name="MED_FIN_ACUM">#REF!</definedName>
    <definedName name="MED_FIN_MES">#REF!</definedName>
    <definedName name="MED_FIN_MES_AUX">#REF!</definedName>
    <definedName name="MED_FIS_AC_ANT">#REF!</definedName>
    <definedName name="MED_FIS_ACUM">#REF!</definedName>
    <definedName name="MED_FIS_MES">#REF!</definedName>
    <definedName name="MENU_CO">#REF!</definedName>
    <definedName name="MENU_M">#REF!</definedName>
    <definedName name="MENU_N">#REF!</definedName>
    <definedName name="MENU_REAJ">#REF!</definedName>
    <definedName name="MENU_SALV">#REF!</definedName>
    <definedName name="MENU_VERIF">#REF!</definedName>
    <definedName name="multa1">{#N/A,#N/A,FALSE,"RESUMO FINANC.";#N/A,#N/A,FALSE,"RESUMO POS.FÍS.";#N/A,#N/A,FALSE,"EXTRATO CRON.";#N/A,#N/A,FALSE,"REAJUSTE";#N/A,#N/A,FALSE,"MEDIÇÃO";#N/A,#N/A,FALSE,"POSIÇÃO FÍSICA";#N/A,#N/A,FALSE,"GRÁFICO"}</definedName>
    <definedName name="N_MED">#REF!</definedName>
    <definedName name="N_RP">#REF!</definedName>
    <definedName name="NMED_ANT">#REF!</definedName>
    <definedName name="NOME_ARQ">#REF!</definedName>
    <definedName name="obra">#REF!</definedName>
    <definedName name="obras">#REF!</definedName>
    <definedName name="OBS">#REF!</definedName>
    <definedName name="OIS">#REF!</definedName>
    <definedName name="p_fin_ac">#REF!</definedName>
    <definedName name="p_fin_m">#REF!</definedName>
    <definedName name="per">#REF!</definedName>
    <definedName name="PERC_ACUM">#REF!</definedName>
    <definedName name="PERC_LICIT">#REF!</definedName>
    <definedName name="PERC_MES">#REF!</definedName>
    <definedName name="PERC_RANGE_AUX">#REF!</definedName>
    <definedName name="PPL">#REF!</definedName>
    <definedName name="PROGR">#REF!</definedName>
    <definedName name="PTB">#REF!</definedName>
    <definedName name="R_EC">#REF!</definedName>
    <definedName name="R_EC_AUX">#REF!</definedName>
    <definedName name="R_ED">#REF!</definedName>
    <definedName name="R_ED_AUX">#REF!</definedName>
    <definedName name="R_EST">#REF!</definedName>
    <definedName name="R_EST_AUX">#REF!</definedName>
    <definedName name="R_INF">#REF!</definedName>
    <definedName name="R_INF_AUX">#REF!</definedName>
    <definedName name="R_PAV_AUX">#REF!</definedName>
    <definedName name="R_TER">#REF!</definedName>
    <definedName name="R_TER_AUX">#REF!</definedName>
    <definedName name="RA_ANT_EC">#REF!</definedName>
    <definedName name="RA_ANT_ED">#REF!</definedName>
    <definedName name="RA_ANT_EST">#REF!</definedName>
    <definedName name="RA_ANT_INF">#REF!</definedName>
    <definedName name="RA_ANT_TER">#REF!</definedName>
    <definedName name="RA_ATU_EC">#REF!</definedName>
    <definedName name="RA_ATU_ED">#REF!</definedName>
    <definedName name="RA_ATU_EST">#REF!</definedName>
    <definedName name="RA_ATU_INF">#REF!</definedName>
    <definedName name="RA_ATU_TER">#REF!</definedName>
    <definedName name="REAJ">#REF!</definedName>
    <definedName name="REAJ_MES">#REF!</definedName>
    <definedName name="REAJ_MES_AUX">#REF!</definedName>
    <definedName name="red">#REF!</definedName>
    <definedName name="RESP_R">#REF!</definedName>
    <definedName name="RESP_SALV">#REF!</definedName>
    <definedName name="RESP_T">#REF!</definedName>
    <definedName name="RISCO">#REF!</definedName>
    <definedName name="RMM">#REF!</definedName>
    <definedName name="serv">#REF!</definedName>
    <definedName name="SPL">#REF!</definedName>
    <definedName name="STB">#REF!</definedName>
    <definedName name="T_A">#REF!</definedName>
    <definedName name="T_B">#REF!</definedName>
    <definedName name="TAB">#REF!</definedName>
    <definedName name="TAB_CRON">#REF!</definedName>
    <definedName name="TAB_IND">#REF!</definedName>
    <definedName name="Tab_Per">#REF!</definedName>
    <definedName name="TAB_RES">#REF!</definedName>
    <definedName name="tbjan01">#REF!</definedName>
    <definedName name="TBJAN02">#REF!</definedName>
    <definedName name="TBJAN03">#REF!</definedName>
    <definedName name="TBJUL01">#REF!</definedName>
    <definedName name="TBJUL02">#REF!</definedName>
    <definedName name="Term_ad">#REF!</definedName>
    <definedName name="TERM_ADIT">#REF!</definedName>
    <definedName name="TERM_ORIG">#REF!</definedName>
    <definedName name="TERM_TEST">#REF!</definedName>
    <definedName name="_xlnm.Print_Titles" localSheetId="6">BM!$1:$24</definedName>
    <definedName name="_xlnm.Print_Titles" localSheetId="3">CRONOGRAMA!$3:$9</definedName>
    <definedName name="_xlnm.Print_Titles" localSheetId="4">'MC 01'!$1:$9</definedName>
    <definedName name="_xlnm.Print_Titles" localSheetId="0">'ORÇ ATUAL MEMÓRIA'!$1:$10</definedName>
    <definedName name="_xlnm.Print_Titles" localSheetId="1">'ORÇ Atualizado'!$1:$10</definedName>
    <definedName name="_xlnm.Print_Titles" localSheetId="14">ORÇAMENTO!$1:$10</definedName>
    <definedName name="_xlnm.Print_Titles" localSheetId="2">'ORÇAMENTO '!$1:$10</definedName>
    <definedName name="_xlnm.Print_Titles" localSheetId="13">'ORÇAMENTO (2)'!$1:$10</definedName>
    <definedName name="_xlnm.Print_Titles" localSheetId="9">PLANILHA!$1:$15</definedName>
    <definedName name="_xlnm.Print_Titles" localSheetId="5">'PLANILHA '!$1:$12</definedName>
    <definedName name="_xlnm.Print_Titles" localSheetId="17">Planilha17!$1:$7</definedName>
    <definedName name="TOT_CAPA">#REF!</definedName>
    <definedName name="TOT_PLAN">#REF!</definedName>
    <definedName name="Total">#REF!</definedName>
    <definedName name="URV">#REF!</definedName>
    <definedName name="VAL_CONTR_ADIT">#REF!</definedName>
    <definedName name="VAL_CONTR_ORIG">#REF!</definedName>
    <definedName name="VC_CC">#REF!</definedName>
    <definedName name="VC_ED">#REF!</definedName>
    <definedName name="VC_EST">#REF!</definedName>
    <definedName name="VC_INF">#REF!</definedName>
    <definedName name="VC_TER">#REF!</definedName>
    <definedName name="vc_Terreno">#REF!</definedName>
    <definedName name="VERIF_PC">#REF!</definedName>
    <definedName name="VERIF_TR">#REF!</definedName>
    <definedName name="vrctr">#REF!</definedName>
    <definedName name="W_FLAG">#REF!</definedName>
    <definedName name="wrn.BB1.">{#N/A,#N/A,FALSE,"RESUMO-BB1";#N/A,#N/A,FALSE,"MOD-A01-R - BB1";#N/A,#N/A,FALSE,"URB-BB1"}</definedName>
    <definedName name="wrn.BETER.">{#N/A,#N/A,FALSE,"BETER -1";#N/A,#N/A,FALSE,"BETER -2";#N/A,#N/A,FALSE,"BETER -3";#N/A,#N/A,FALSE,"BETER -urb";#N/A,#N/A,FALSE,"BETER -RESUMO"}</definedName>
    <definedName name="wrn.COMPLETO.">{#N/A,#N/A,FALSE,"RES.FIN.";#N/A,#N/A,FALSE,"EXTR.CRON.";#N/A,#N/A,FALSE,"REAJUSTE";#N/A,#N/A,FALSE,"RES.FÍS.";#N/A,#N/A,FALSE,"MEDIÇÃO";#N/A,#N/A,FALSE,"GRÁFICO"}</definedName>
    <definedName name="wrn.GERAL.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n.ORÇAMENTO.">{#N/A,#N/A,FALSE,"ORC-ACKE";#N/A,#N/A,FALSE,"RESUMO"}</definedName>
    <definedName name="wrn.RELATÓRIO.">{#N/A,#N/A,FALSE,"BET-HEL";#N/A,#N/A,FALSE,"CCAMP-SI";#N/A,#N/A,FALSE,"DELL-ORQ";#N/A,#N/A,FALSE,"LOPES-IT";#N/A,#N/A,FALSE,"MAST-HN";#N/A,#N/A,FALSE,"MULT-CAM";#N/A,#N/A,FALSE,"PLIMA-ASHCAR";#N/A,#N/A,FALSE,"RCOSTA-IVC";#N/A,#N/A,FALSE,"SERG-ACAC";#N/A,#N/A,FALSE,"SERTRY-IPES";#N/A,#N/A,FALSE,"VENDRA-IM";#N/A,#N/A,FALSE,"VM-BBII";#N/A,#N/A,FALSE,"YAZ-CEDROS"}</definedName>
    <definedName name="ZERO_INIC">#REF!</definedName>
  </definedNames>
  <calcPr calcId="191029" iterateDelta="1E-4"/>
  <fileRecoveryPr repairLoad="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1261" i="18" l="1"/>
  <c r="E1258" i="18"/>
  <c r="D1258" i="18"/>
  <c r="E1257" i="18"/>
  <c r="E1255" i="18"/>
  <c r="D1255" i="18"/>
  <c r="E1254" i="18"/>
  <c r="E1252" i="18"/>
  <c r="D1252" i="18"/>
  <c r="E1251" i="18"/>
  <c r="D1251" i="18"/>
  <c r="E1250" i="18"/>
  <c r="D1250" i="18"/>
  <c r="E1249" i="18"/>
  <c r="D1249" i="18"/>
  <c r="E1248" i="18"/>
  <c r="E1247" i="18"/>
  <c r="D1247" i="18"/>
  <c r="E1246" i="18"/>
  <c r="D1246" i="18"/>
  <c r="E1245" i="18"/>
  <c r="E1244" i="18"/>
  <c r="D1244" i="18"/>
  <c r="E1243" i="18"/>
  <c r="D1243" i="18"/>
  <c r="E1242" i="18"/>
  <c r="D1242" i="18"/>
  <c r="E1241" i="18"/>
  <c r="D1241" i="18"/>
  <c r="E1240" i="18"/>
  <c r="D1240" i="18"/>
  <c r="E1239" i="18"/>
  <c r="E1238" i="18"/>
  <c r="D1238" i="18"/>
  <c r="E1237" i="18"/>
  <c r="D1237" i="18"/>
  <c r="E1236" i="18"/>
  <c r="D1236" i="18"/>
  <c r="E1235" i="18"/>
  <c r="D1235" i="18"/>
  <c r="E1234" i="18"/>
  <c r="D1234" i="18"/>
  <c r="E1233" i="18"/>
  <c r="E1231" i="18"/>
  <c r="D1231" i="18"/>
  <c r="E1230" i="18"/>
  <c r="E1228" i="18"/>
  <c r="D1228" i="18"/>
  <c r="E1227" i="18"/>
  <c r="D1227" i="18"/>
  <c r="E1226" i="18"/>
  <c r="D1226" i="18"/>
  <c r="E1225" i="18"/>
  <c r="D1225" i="18"/>
  <c r="E1224" i="18"/>
  <c r="D1224" i="18"/>
  <c r="E1223" i="18"/>
  <c r="D1223" i="18"/>
  <c r="E1222" i="18"/>
  <c r="D1222" i="18"/>
  <c r="E1221" i="18"/>
  <c r="E1219" i="18"/>
  <c r="D1219" i="18"/>
  <c r="E1218" i="18"/>
  <c r="D1218" i="18"/>
  <c r="E1217" i="18"/>
  <c r="E1215" i="18"/>
  <c r="D1215" i="18"/>
  <c r="E1214" i="18"/>
  <c r="D1214" i="18"/>
  <c r="E1213" i="18"/>
  <c r="D1213" i="18"/>
  <c r="E1212" i="18"/>
  <c r="D1212" i="18"/>
  <c r="E1211" i="18"/>
  <c r="D1211" i="18"/>
  <c r="E1210" i="18"/>
  <c r="D1210" i="18"/>
  <c r="E1209" i="18"/>
  <c r="D1209" i="18"/>
  <c r="E1208" i="18"/>
  <c r="D1208" i="18"/>
  <c r="E1207" i="18"/>
  <c r="D1207" i="18"/>
  <c r="E1206" i="18"/>
  <c r="D1206" i="18"/>
  <c r="F1205" i="18"/>
  <c r="E1205" i="18"/>
  <c r="D1205" i="18"/>
  <c r="F1204" i="18"/>
  <c r="E1204" i="18"/>
  <c r="D1204" i="18"/>
  <c r="E1203" i="18"/>
  <c r="D1203" i="18"/>
  <c r="E1202" i="18"/>
  <c r="E1200" i="18"/>
  <c r="D1200" i="18"/>
  <c r="E1199" i="18"/>
  <c r="D1199" i="18"/>
  <c r="E1198" i="18"/>
  <c r="D1198" i="18"/>
  <c r="E1197" i="18"/>
  <c r="D1197" i="18"/>
  <c r="E1196" i="18"/>
  <c r="D1196" i="18"/>
  <c r="E1195" i="18"/>
  <c r="D1195" i="18"/>
  <c r="E1194" i="18"/>
  <c r="D1194" i="18"/>
  <c r="E1193" i="18"/>
  <c r="D1193" i="18"/>
  <c r="E1192" i="18"/>
  <c r="D1192" i="18"/>
  <c r="E1191" i="18"/>
  <c r="D1191" i="18"/>
  <c r="E1190" i="18"/>
  <c r="D1190" i="18"/>
  <c r="E1189" i="18"/>
  <c r="D1189" i="18"/>
  <c r="E1188" i="18"/>
  <c r="D1188" i="18"/>
  <c r="E1187" i="18"/>
  <c r="D1187" i="18"/>
  <c r="E1186" i="18"/>
  <c r="E1184" i="18"/>
  <c r="D1184" i="18"/>
  <c r="E1183" i="18"/>
  <c r="D1183" i="18"/>
  <c r="E1182" i="18"/>
  <c r="D1182" i="18"/>
  <c r="E1181" i="18"/>
  <c r="D1181" i="18"/>
  <c r="E1180" i="18"/>
  <c r="E1178" i="18"/>
  <c r="D1178" i="18"/>
  <c r="E1177" i="18"/>
  <c r="D1177" i="18"/>
  <c r="E1176" i="18"/>
  <c r="D1176" i="18"/>
  <c r="E1175" i="18"/>
  <c r="D1175" i="18"/>
  <c r="E1174" i="18"/>
  <c r="D1174" i="18"/>
  <c r="E1173" i="18"/>
  <c r="D1173" i="18"/>
  <c r="E1172" i="18"/>
  <c r="D1172" i="18"/>
  <c r="E1171" i="18"/>
  <c r="E1169" i="18"/>
  <c r="D1169" i="18"/>
  <c r="E1168" i="18"/>
  <c r="D1168" i="18"/>
  <c r="E1167" i="18"/>
  <c r="D1167" i="18"/>
  <c r="E1166" i="18"/>
  <c r="D1166" i="18"/>
  <c r="E1165" i="18"/>
  <c r="D1165" i="18"/>
  <c r="E1164" i="18"/>
  <c r="D1164" i="18"/>
  <c r="E1163" i="18"/>
  <c r="E1162" i="18"/>
  <c r="E1161" i="18"/>
  <c r="D1161" i="18"/>
  <c r="E1160" i="18"/>
  <c r="E1159" i="18"/>
  <c r="D1159" i="18"/>
  <c r="E1158" i="18"/>
  <c r="D1158" i="18"/>
  <c r="E1157" i="18"/>
  <c r="D1157" i="18"/>
  <c r="E1156" i="18"/>
  <c r="E1155" i="18"/>
  <c r="D1155" i="18"/>
  <c r="E1154" i="18"/>
  <c r="D1154" i="18"/>
  <c r="E1153" i="18"/>
  <c r="E1152" i="18"/>
  <c r="D1152" i="18"/>
  <c r="E1151" i="18"/>
  <c r="E1150" i="18"/>
  <c r="E1148" i="18"/>
  <c r="D1148" i="18"/>
  <c r="E1147" i="18"/>
  <c r="E1145" i="18"/>
  <c r="D1145" i="18"/>
  <c r="E1144" i="18"/>
  <c r="D1144" i="18"/>
  <c r="E1143" i="18"/>
  <c r="E1142" i="18"/>
  <c r="E1140" i="18"/>
  <c r="D1140" i="18"/>
  <c r="E1139" i="18"/>
  <c r="E1137" i="18"/>
  <c r="D1137" i="18"/>
  <c r="E1136" i="18"/>
  <c r="D1136" i="18"/>
  <c r="E1135" i="18"/>
  <c r="E1133" i="18"/>
  <c r="D1133" i="18"/>
  <c r="E1132" i="18"/>
  <c r="D1132" i="18"/>
  <c r="E1131" i="18"/>
  <c r="D1131" i="18"/>
  <c r="E1130" i="18"/>
  <c r="E1128" i="18"/>
  <c r="D1128" i="18"/>
  <c r="E1127" i="18"/>
  <c r="E1125" i="18"/>
  <c r="D1125" i="18"/>
  <c r="E1124" i="18"/>
  <c r="D1124" i="18"/>
  <c r="E1123" i="18"/>
  <c r="D1123" i="18"/>
  <c r="E1122" i="18"/>
  <c r="D1122" i="18"/>
  <c r="E1121" i="18"/>
  <c r="E1119" i="18"/>
  <c r="D1119" i="18"/>
  <c r="E1118" i="18"/>
  <c r="D1118" i="18"/>
  <c r="E1117" i="18"/>
  <c r="D1117" i="18"/>
  <c r="E1116" i="18"/>
  <c r="E1115" i="18"/>
  <c r="E1113" i="18"/>
  <c r="D1113" i="18"/>
  <c r="E1112" i="18"/>
  <c r="D1112" i="18"/>
  <c r="E1111" i="18"/>
  <c r="E1110" i="18"/>
  <c r="D1110" i="18"/>
  <c r="F1108" i="18"/>
  <c r="F1107" i="18"/>
  <c r="F1106" i="18"/>
  <c r="F1105" i="18"/>
  <c r="F1104" i="18"/>
  <c r="F1103" i="18"/>
  <c r="F1102" i="18"/>
  <c r="F1101" i="18"/>
  <c r="F1100" i="18"/>
  <c r="F1099" i="18"/>
  <c r="F1098" i="18"/>
  <c r="F1097" i="18"/>
  <c r="F1096" i="18"/>
  <c r="F1095" i="18"/>
  <c r="F1094" i="18"/>
  <c r="F1093" i="18"/>
  <c r="F1092" i="18"/>
  <c r="F1091" i="18"/>
  <c r="F1090" i="18"/>
  <c r="F1089" i="18"/>
  <c r="F1088" i="18"/>
  <c r="F1087" i="18"/>
  <c r="F1086" i="18"/>
  <c r="F1085" i="18"/>
  <c r="F1084" i="18"/>
  <c r="F1083" i="18"/>
  <c r="F1082" i="18"/>
  <c r="F1081" i="18"/>
  <c r="F1080" i="18"/>
  <c r="F1079" i="18"/>
  <c r="F1078" i="18"/>
  <c r="F1077" i="18"/>
  <c r="F1076" i="18"/>
  <c r="F1075" i="18"/>
  <c r="F1074" i="18"/>
  <c r="F1073" i="18"/>
  <c r="F1072" i="18"/>
  <c r="F1071" i="18"/>
  <c r="F1070" i="18"/>
  <c r="F1069" i="18"/>
  <c r="F1068" i="18"/>
  <c r="F1067" i="18"/>
  <c r="F1066" i="18"/>
  <c r="F1065" i="18"/>
  <c r="F1064" i="18"/>
  <c r="F1063" i="18"/>
  <c r="F1062" i="18"/>
  <c r="F1061" i="18"/>
  <c r="F1060" i="18"/>
  <c r="F1059" i="18"/>
  <c r="F1058" i="18"/>
  <c r="F1057" i="18"/>
  <c r="F1056" i="18"/>
  <c r="F1055" i="18"/>
  <c r="F1054" i="18"/>
  <c r="F1053" i="18"/>
  <c r="F1049" i="18" s="1"/>
  <c r="F1052" i="18"/>
  <c r="F1051" i="18"/>
  <c r="E1049" i="18"/>
  <c r="D1049" i="18"/>
  <c r="F1046" i="18"/>
  <c r="F1045" i="18"/>
  <c r="F1044" i="18"/>
  <c r="F1043" i="18"/>
  <c r="F1042" i="18"/>
  <c r="F1041" i="18"/>
  <c r="F1040" i="18"/>
  <c r="F1039" i="18"/>
  <c r="F1038" i="18"/>
  <c r="F1037" i="18"/>
  <c r="F1036" i="18"/>
  <c r="F1035" i="18"/>
  <c r="F1034" i="18"/>
  <c r="F1033" i="18"/>
  <c r="F1032" i="18"/>
  <c r="F1031" i="18"/>
  <c r="F1030" i="18"/>
  <c r="F1029" i="18"/>
  <c r="F1028" i="18"/>
  <c r="F1027" i="18"/>
  <c r="F1026" i="18"/>
  <c r="F1025" i="18"/>
  <c r="F1024" i="18"/>
  <c r="F1023" i="18"/>
  <c r="F1022" i="18"/>
  <c r="F1021" i="18"/>
  <c r="F1020" i="18"/>
  <c r="F1019" i="18"/>
  <c r="F1018" i="18"/>
  <c r="F1017" i="18"/>
  <c r="F1016" i="18"/>
  <c r="F1015" i="18"/>
  <c r="F1014" i="18"/>
  <c r="F1013" i="18"/>
  <c r="F1012" i="18"/>
  <c r="F1011" i="18"/>
  <c r="E1009" i="18"/>
  <c r="D1009" i="18"/>
  <c r="E1006" i="18"/>
  <c r="D1006" i="18"/>
  <c r="E1004" i="18"/>
  <c r="D1004" i="18"/>
  <c r="E1002" i="18"/>
  <c r="D1002" i="18"/>
  <c r="E1001" i="18"/>
  <c r="E999" i="18"/>
  <c r="D999" i="18"/>
  <c r="E998" i="18"/>
  <c r="D998" i="18"/>
  <c r="E997" i="18"/>
  <c r="E996" i="18"/>
  <c r="E995" i="18"/>
  <c r="D995" i="18"/>
  <c r="E994" i="18"/>
  <c r="E993" i="18"/>
  <c r="D993" i="18"/>
  <c r="E992" i="18"/>
  <c r="D992" i="18"/>
  <c r="E991" i="18"/>
  <c r="E990" i="18"/>
  <c r="D990" i="18"/>
  <c r="E989" i="18"/>
  <c r="D989" i="18"/>
  <c r="E988" i="18"/>
  <c r="D988" i="18"/>
  <c r="E987" i="18"/>
  <c r="E986" i="18"/>
  <c r="F983" i="18"/>
  <c r="F982" i="18"/>
  <c r="F981" i="18"/>
  <c r="F980" i="18"/>
  <c r="F979" i="18"/>
  <c r="F978" i="18"/>
  <c r="F977" i="18"/>
  <c r="F975" i="18" s="1"/>
  <c r="E975" i="18"/>
  <c r="D975" i="18"/>
  <c r="E974" i="18"/>
  <c r="E973" i="18"/>
  <c r="E971" i="18"/>
  <c r="D971" i="18"/>
  <c r="E970" i="18"/>
  <c r="D970" i="18"/>
  <c r="E969" i="18"/>
  <c r="D969" i="18"/>
  <c r="E968" i="18"/>
  <c r="D968" i="18"/>
  <c r="E967" i="18"/>
  <c r="D967" i="18"/>
  <c r="E966" i="18"/>
  <c r="D966" i="18"/>
  <c r="E965" i="18"/>
  <c r="D965" i="18"/>
  <c r="E964" i="18"/>
  <c r="D964" i="18"/>
  <c r="E963" i="18"/>
  <c r="E961" i="18"/>
  <c r="D961" i="18"/>
  <c r="E960" i="18"/>
  <c r="E958" i="18"/>
  <c r="D958" i="18"/>
  <c r="E957" i="18"/>
  <c r="D957" i="18"/>
  <c r="E956" i="18"/>
  <c r="D956" i="18"/>
  <c r="E955" i="18"/>
  <c r="E953" i="18"/>
  <c r="D953" i="18"/>
  <c r="E952" i="18"/>
  <c r="D952" i="18"/>
  <c r="E951" i="18"/>
  <c r="E949" i="18"/>
  <c r="D949" i="18"/>
  <c r="E948" i="18"/>
  <c r="D948" i="18"/>
  <c r="E947" i="18"/>
  <c r="D947" i="18"/>
  <c r="E946" i="18"/>
  <c r="D946" i="18"/>
  <c r="E945" i="18"/>
  <c r="D945" i="18"/>
  <c r="E944" i="18"/>
  <c r="D944" i="18"/>
  <c r="E943" i="18"/>
  <c r="D943" i="18"/>
  <c r="E942" i="18"/>
  <c r="D942" i="18"/>
  <c r="E941" i="18"/>
  <c r="D941" i="18"/>
  <c r="E940" i="18"/>
  <c r="D940" i="18"/>
  <c r="E939" i="18"/>
  <c r="D939" i="18"/>
  <c r="E938" i="18"/>
  <c r="D938" i="18"/>
  <c r="E937" i="18"/>
  <c r="E935" i="18"/>
  <c r="D935" i="18"/>
  <c r="E934" i="18"/>
  <c r="D934" i="18"/>
  <c r="E933" i="18"/>
  <c r="D933" i="18"/>
  <c r="E932" i="18"/>
  <c r="D932" i="18"/>
  <c r="E931" i="18"/>
  <c r="D931" i="18"/>
  <c r="E930" i="18"/>
  <c r="D930" i="18"/>
  <c r="E929" i="18"/>
  <c r="D929" i="18"/>
  <c r="E928" i="18"/>
  <c r="D928" i="18"/>
  <c r="E927" i="18"/>
  <c r="D927" i="18"/>
  <c r="E926" i="18"/>
  <c r="D926" i="18"/>
  <c r="E925" i="18"/>
  <c r="D925" i="18"/>
  <c r="E924" i="18"/>
  <c r="D924" i="18"/>
  <c r="E923" i="18"/>
  <c r="E921" i="18"/>
  <c r="D921" i="18"/>
  <c r="E920" i="18"/>
  <c r="D920" i="18"/>
  <c r="E919" i="18"/>
  <c r="D919" i="18"/>
  <c r="E918" i="18"/>
  <c r="D918" i="18"/>
  <c r="E917" i="18"/>
  <c r="D917" i="18"/>
  <c r="E916" i="18"/>
  <c r="D916" i="18"/>
  <c r="E915" i="18"/>
  <c r="E913" i="18"/>
  <c r="D913" i="18"/>
  <c r="E912" i="18"/>
  <c r="D912" i="18"/>
  <c r="E911" i="18"/>
  <c r="D911" i="18"/>
  <c r="E910" i="18"/>
  <c r="D910" i="18"/>
  <c r="E909" i="18"/>
  <c r="D909" i="18"/>
  <c r="E908" i="18"/>
  <c r="D908" i="18"/>
  <c r="E907" i="18"/>
  <c r="E905" i="18"/>
  <c r="D905" i="18"/>
  <c r="E904" i="18"/>
  <c r="D904" i="18"/>
  <c r="E903" i="18"/>
  <c r="D903" i="18"/>
  <c r="E902" i="18"/>
  <c r="D902" i="18"/>
  <c r="E901" i="18"/>
  <c r="D901" i="18"/>
  <c r="E900" i="18"/>
  <c r="D900" i="18"/>
  <c r="E899" i="18"/>
  <c r="D899" i="18"/>
  <c r="E898" i="18"/>
  <c r="D898" i="18"/>
  <c r="E897" i="18"/>
  <c r="D897" i="18"/>
  <c r="E896" i="18"/>
  <c r="D896" i="18"/>
  <c r="E895" i="18"/>
  <c r="D895" i="18"/>
  <c r="E894" i="18"/>
  <c r="D894" i="18"/>
  <c r="E893" i="18"/>
  <c r="D893" i="18"/>
  <c r="E892" i="18"/>
  <c r="D892" i="18"/>
  <c r="E891" i="18"/>
  <c r="D891" i="18"/>
  <c r="E890" i="18"/>
  <c r="D890" i="18"/>
  <c r="E889" i="18"/>
  <c r="D889" i="18"/>
  <c r="E888" i="18"/>
  <c r="D888" i="18"/>
  <c r="E887" i="18"/>
  <c r="D887" i="18"/>
  <c r="E886" i="18"/>
  <c r="D886" i="18"/>
  <c r="E885" i="18"/>
  <c r="D885" i="18"/>
  <c r="E884" i="18"/>
  <c r="D884" i="18"/>
  <c r="E883" i="18"/>
  <c r="E881" i="18"/>
  <c r="D881" i="18"/>
  <c r="E880" i="18"/>
  <c r="D880" i="18"/>
  <c r="E879" i="18"/>
  <c r="D879" i="18"/>
  <c r="E878" i="18"/>
  <c r="D878" i="18"/>
  <c r="E877" i="18"/>
  <c r="D877" i="18"/>
  <c r="E876" i="18"/>
  <c r="D876" i="18"/>
  <c r="E875" i="18"/>
  <c r="D875" i="18"/>
  <c r="E874" i="18"/>
  <c r="D874" i="18"/>
  <c r="E873" i="18"/>
  <c r="E871" i="18"/>
  <c r="D871" i="18"/>
  <c r="E870" i="18"/>
  <c r="D870" i="18"/>
  <c r="E869" i="18"/>
  <c r="D869" i="18"/>
  <c r="E868" i="18"/>
  <c r="D868" i="18"/>
  <c r="E867" i="18"/>
  <c r="D867" i="18"/>
  <c r="E866" i="18"/>
  <c r="D866" i="18"/>
  <c r="E865" i="18"/>
  <c r="D865" i="18"/>
  <c r="E864" i="18"/>
  <c r="D864" i="18"/>
  <c r="E863" i="18"/>
  <c r="E861" i="18"/>
  <c r="D861" i="18"/>
  <c r="E860" i="18"/>
  <c r="D860" i="18"/>
  <c r="E859" i="18"/>
  <c r="D859" i="18"/>
  <c r="E858" i="18"/>
  <c r="D858" i="18"/>
  <c r="F857" i="18"/>
  <c r="E857" i="18"/>
  <c r="D857" i="18"/>
  <c r="E856" i="18"/>
  <c r="D856" i="18"/>
  <c r="F855" i="18"/>
  <c r="E855" i="18"/>
  <c r="D855" i="18"/>
  <c r="E854" i="18"/>
  <c r="E853" i="18"/>
  <c r="E851" i="18"/>
  <c r="D851" i="18"/>
  <c r="E850" i="18"/>
  <c r="D850" i="18"/>
  <c r="E849" i="18"/>
  <c r="D849" i="18"/>
  <c r="E848" i="18"/>
  <c r="D848" i="18"/>
  <c r="E847" i="18"/>
  <c r="E845" i="18"/>
  <c r="D845" i="18"/>
  <c r="E844" i="18"/>
  <c r="D844" i="18"/>
  <c r="E843" i="18"/>
  <c r="D843" i="18"/>
  <c r="E842" i="18"/>
  <c r="D842" i="18"/>
  <c r="E841" i="18"/>
  <c r="D841" i="18"/>
  <c r="E840" i="18"/>
  <c r="D840" i="18"/>
  <c r="E839" i="18"/>
  <c r="D839" i="18"/>
  <c r="E838" i="18"/>
  <c r="D838" i="18"/>
  <c r="E837" i="18"/>
  <c r="D837" i="18"/>
  <c r="E836" i="18"/>
  <c r="D836" i="18"/>
  <c r="E835" i="18"/>
  <c r="D835" i="18"/>
  <c r="E834" i="18"/>
  <c r="D834" i="18"/>
  <c r="E833" i="18"/>
  <c r="D833" i="18"/>
  <c r="E832" i="18"/>
  <c r="E830" i="18"/>
  <c r="D830" i="18"/>
  <c r="E829" i="18"/>
  <c r="D829" i="18"/>
  <c r="E828" i="18"/>
  <c r="D828" i="18"/>
  <c r="E827" i="18"/>
  <c r="D827" i="18"/>
  <c r="E826" i="18"/>
  <c r="D826" i="18"/>
  <c r="E825" i="18"/>
  <c r="E824" i="18"/>
  <c r="D824" i="18"/>
  <c r="E823" i="18"/>
  <c r="D823" i="18"/>
  <c r="E822" i="18"/>
  <c r="D822" i="18"/>
  <c r="E821" i="18"/>
  <c r="D821" i="18"/>
  <c r="E820" i="18"/>
  <c r="D820" i="18"/>
  <c r="E819" i="18"/>
  <c r="D819" i="18"/>
  <c r="E818" i="18"/>
  <c r="D818" i="18"/>
  <c r="E817" i="18"/>
  <c r="D817" i="18"/>
  <c r="E816" i="18"/>
  <c r="D816" i="18"/>
  <c r="E815" i="18"/>
  <c r="D815" i="18"/>
  <c r="E814" i="18"/>
  <c r="D814" i="18"/>
  <c r="E813" i="18"/>
  <c r="D813" i="18"/>
  <c r="E812" i="18"/>
  <c r="D812" i="18"/>
  <c r="E811" i="18"/>
  <c r="D811" i="18"/>
  <c r="E810" i="18"/>
  <c r="D810" i="18"/>
  <c r="E809" i="18"/>
  <c r="D809" i="18"/>
  <c r="E808" i="18"/>
  <c r="D808" i="18"/>
  <c r="E807" i="18"/>
  <c r="E806" i="18"/>
  <c r="D806" i="18"/>
  <c r="E805" i="18"/>
  <c r="D805" i="18"/>
  <c r="E804" i="18"/>
  <c r="D804" i="18"/>
  <c r="E803" i="18"/>
  <c r="D803" i="18"/>
  <c r="E802" i="18"/>
  <c r="D802" i="18"/>
  <c r="E801" i="18"/>
  <c r="D801" i="18"/>
  <c r="E800" i="18"/>
  <c r="E799" i="18"/>
  <c r="D799" i="18"/>
  <c r="E798" i="18"/>
  <c r="D798" i="18"/>
  <c r="E797" i="18"/>
  <c r="D797" i="18"/>
  <c r="E796" i="18"/>
  <c r="D796" i="18"/>
  <c r="E795" i="18"/>
  <c r="D795" i="18"/>
  <c r="E794" i="18"/>
  <c r="E793" i="18"/>
  <c r="D793" i="18"/>
  <c r="E792" i="18"/>
  <c r="D792" i="18"/>
  <c r="E791" i="18"/>
  <c r="D791" i="18"/>
  <c r="E790" i="18"/>
  <c r="D790" i="18"/>
  <c r="E789" i="18"/>
  <c r="E788" i="18"/>
  <c r="D788" i="18"/>
  <c r="E787" i="18"/>
  <c r="D787" i="18"/>
  <c r="E786" i="18"/>
  <c r="E785" i="18"/>
  <c r="D785" i="18"/>
  <c r="E784" i="18"/>
  <c r="D784" i="18"/>
  <c r="E783" i="18"/>
  <c r="D783" i="18"/>
  <c r="E782" i="18"/>
  <c r="D782" i="18"/>
  <c r="E781" i="18"/>
  <c r="D781" i="18"/>
  <c r="E780" i="18"/>
  <c r="D780" i="18"/>
  <c r="E779" i="18"/>
  <c r="D779" i="18"/>
  <c r="E778" i="18"/>
  <c r="D778" i="18"/>
  <c r="E777" i="18"/>
  <c r="D777" i="18"/>
  <c r="E776" i="18"/>
  <c r="E774" i="18"/>
  <c r="D774" i="18"/>
  <c r="E773" i="18"/>
  <c r="D773" i="18"/>
  <c r="E772" i="18"/>
  <c r="D772" i="18"/>
  <c r="E771" i="18"/>
  <c r="D771" i="18"/>
  <c r="E770" i="18"/>
  <c r="D770" i="18"/>
  <c r="E769" i="18"/>
  <c r="D769" i="18"/>
  <c r="E768" i="18"/>
  <c r="D768" i="18"/>
  <c r="E767" i="18"/>
  <c r="D767" i="18"/>
  <c r="E766" i="18"/>
  <c r="D766" i="18"/>
  <c r="E765" i="18"/>
  <c r="D765" i="18"/>
  <c r="E764" i="18"/>
  <c r="D764" i="18"/>
  <c r="E763" i="18"/>
  <c r="E761" i="18"/>
  <c r="D761" i="18"/>
  <c r="E760" i="18"/>
  <c r="D760" i="18"/>
  <c r="E759" i="18"/>
  <c r="D759" i="18"/>
  <c r="E758" i="18"/>
  <c r="E757" i="18"/>
  <c r="D757" i="18"/>
  <c r="E756" i="18"/>
  <c r="D756" i="18"/>
  <c r="E755" i="18"/>
  <c r="D755" i="18"/>
  <c r="E754" i="18"/>
  <c r="D754" i="18"/>
  <c r="E753" i="18"/>
  <c r="D753" i="18"/>
  <c r="E752" i="18"/>
  <c r="D752" i="18"/>
  <c r="E751" i="18"/>
  <c r="D751" i="18"/>
  <c r="E750" i="18"/>
  <c r="D750" i="18"/>
  <c r="E749" i="18"/>
  <c r="E748" i="18"/>
  <c r="D748" i="18"/>
  <c r="E747" i="18"/>
  <c r="D747" i="18"/>
  <c r="E746" i="18"/>
  <c r="D746" i="18"/>
  <c r="E745" i="18"/>
  <c r="D745" i="18"/>
  <c r="E744" i="18"/>
  <c r="D744" i="18"/>
  <c r="E743" i="18"/>
  <c r="D743" i="18"/>
  <c r="E742" i="18"/>
  <c r="D742" i="18"/>
  <c r="E741" i="18"/>
  <c r="D741" i="18"/>
  <c r="E740" i="18"/>
  <c r="D740" i="18"/>
  <c r="E739" i="18"/>
  <c r="D739" i="18"/>
  <c r="E738" i="18"/>
  <c r="E736" i="18"/>
  <c r="D736" i="18"/>
  <c r="E735" i="18"/>
  <c r="D735" i="18"/>
  <c r="E734" i="18"/>
  <c r="D734" i="18"/>
  <c r="F733" i="18"/>
  <c r="E733" i="18"/>
  <c r="D733" i="18"/>
  <c r="E732" i="18"/>
  <c r="E731" i="18"/>
  <c r="D731" i="18"/>
  <c r="E730" i="18"/>
  <c r="E729" i="18"/>
  <c r="E728" i="18"/>
  <c r="D728" i="18"/>
  <c r="E727" i="18"/>
  <c r="D727" i="18"/>
  <c r="E726" i="18"/>
  <c r="E725" i="18"/>
  <c r="D725" i="18"/>
  <c r="E724" i="18"/>
  <c r="D724" i="18"/>
  <c r="E723" i="18"/>
  <c r="E722" i="18"/>
  <c r="D722" i="18"/>
  <c r="E721" i="18"/>
  <c r="D721" i="18"/>
  <c r="E720" i="18"/>
  <c r="D720" i="18"/>
  <c r="E719" i="18"/>
  <c r="F715" i="18"/>
  <c r="F714" i="18"/>
  <c r="E713" i="18"/>
  <c r="D713" i="18"/>
  <c r="E712" i="18"/>
  <c r="E711" i="18"/>
  <c r="E709" i="18"/>
  <c r="D709" i="18"/>
  <c r="E708" i="18"/>
  <c r="D708" i="18"/>
  <c r="E707" i="18"/>
  <c r="D707" i="18"/>
  <c r="E706" i="18"/>
  <c r="D706" i="18"/>
  <c r="E705" i="18"/>
  <c r="D705" i="18"/>
  <c r="E704" i="18"/>
  <c r="D704" i="18"/>
  <c r="E703" i="18"/>
  <c r="D703" i="18"/>
  <c r="E702" i="18"/>
  <c r="D702" i="18"/>
  <c r="E701" i="18"/>
  <c r="E698" i="18"/>
  <c r="D698" i="18"/>
  <c r="E692" i="18"/>
  <c r="D692" i="18"/>
  <c r="E686" i="18"/>
  <c r="D686" i="18"/>
  <c r="E682" i="18"/>
  <c r="D682" i="18"/>
  <c r="E678" i="18"/>
  <c r="D678" i="18"/>
  <c r="E674" i="18"/>
  <c r="D674" i="18"/>
  <c r="E670" i="18"/>
  <c r="D670" i="18"/>
  <c r="E661" i="18"/>
  <c r="D661" i="18"/>
  <c r="E653" i="18"/>
  <c r="D653" i="18"/>
  <c r="E650" i="18"/>
  <c r="D650" i="18"/>
  <c r="E649" i="18"/>
  <c r="E647" i="18"/>
  <c r="D647" i="18"/>
  <c r="E644" i="18"/>
  <c r="D644" i="18"/>
  <c r="F628" i="18"/>
  <c r="E628" i="18"/>
  <c r="D628" i="18"/>
  <c r="E625" i="18"/>
  <c r="D625" i="18"/>
  <c r="F621" i="18"/>
  <c r="E621" i="18"/>
  <c r="D621" i="18"/>
  <c r="E613" i="18"/>
  <c r="D613" i="18"/>
  <c r="E609" i="18"/>
  <c r="D609" i="18"/>
  <c r="F586" i="18"/>
  <c r="E586" i="18"/>
  <c r="D586" i="18"/>
  <c r="E581" i="18"/>
  <c r="D581" i="18"/>
  <c r="E578" i="18"/>
  <c r="D578" i="18"/>
  <c r="E574" i="18"/>
  <c r="D574" i="18"/>
  <c r="E573" i="18"/>
  <c r="E572" i="18"/>
  <c r="E568" i="18"/>
  <c r="D568" i="18"/>
  <c r="E567" i="18"/>
  <c r="D567" i="18"/>
  <c r="E566" i="18"/>
  <c r="D566" i="18"/>
  <c r="E565" i="18"/>
  <c r="D565" i="18"/>
  <c r="E564" i="18"/>
  <c r="D564" i="18"/>
  <c r="E563" i="18"/>
  <c r="D563" i="18"/>
  <c r="E562" i="18"/>
  <c r="D562" i="18"/>
  <c r="E561" i="18"/>
  <c r="D561" i="18"/>
  <c r="E560" i="18"/>
  <c r="D560" i="18"/>
  <c r="E559" i="18"/>
  <c r="D559" i="18"/>
  <c r="E558" i="18"/>
  <c r="D558" i="18"/>
  <c r="E557" i="18"/>
  <c r="D557" i="18"/>
  <c r="E556" i="18"/>
  <c r="D556" i="18"/>
  <c r="E555" i="18"/>
  <c r="D555" i="18"/>
  <c r="E554" i="18"/>
  <c r="D554" i="18"/>
  <c r="E553" i="18"/>
  <c r="D553" i="18"/>
  <c r="E552" i="18"/>
  <c r="D552" i="18"/>
  <c r="E551" i="18"/>
  <c r="D551" i="18"/>
  <c r="E550" i="18"/>
  <c r="D550" i="18"/>
  <c r="E549" i="18"/>
  <c r="D549" i="18"/>
  <c r="E548" i="18"/>
  <c r="E546" i="18"/>
  <c r="D546" i="18"/>
  <c r="E544" i="18"/>
  <c r="D544" i="18"/>
  <c r="E542" i="18"/>
  <c r="D542" i="18"/>
  <c r="E540" i="18"/>
  <c r="D540" i="18"/>
  <c r="E538" i="18"/>
  <c r="D538" i="18"/>
  <c r="E536" i="18"/>
  <c r="D536" i="18"/>
  <c r="E534" i="18"/>
  <c r="D534" i="18"/>
  <c r="E533" i="18"/>
  <c r="E532" i="18"/>
  <c r="E530" i="18"/>
  <c r="D530" i="18"/>
  <c r="E528" i="18"/>
  <c r="D528" i="18"/>
  <c r="E526" i="18"/>
  <c r="D526" i="18"/>
  <c r="E524" i="18"/>
  <c r="D524" i="18"/>
  <c r="E522" i="18"/>
  <c r="D522" i="18"/>
  <c r="E521" i="18"/>
  <c r="E519" i="18"/>
  <c r="D519" i="18"/>
  <c r="E517" i="18"/>
  <c r="D517" i="18"/>
  <c r="E515" i="18"/>
  <c r="D515" i="18"/>
  <c r="E513" i="18"/>
  <c r="D513" i="18"/>
  <c r="F511" i="18"/>
  <c r="F510" i="18"/>
  <c r="F509" i="18"/>
  <c r="F508" i="18"/>
  <c r="F507" i="18"/>
  <c r="F506" i="18"/>
  <c r="F505" i="18"/>
  <c r="F504" i="18"/>
  <c r="F503" i="18"/>
  <c r="F502" i="18"/>
  <c r="F501" i="18"/>
  <c r="F500" i="18"/>
  <c r="F499" i="18"/>
  <c r="F498" i="18"/>
  <c r="F497" i="18"/>
  <c r="F496" i="18"/>
  <c r="F495" i="18"/>
  <c r="F494" i="18"/>
  <c r="F493" i="18"/>
  <c r="F492" i="18"/>
  <c r="F491" i="18"/>
  <c r="F490" i="18"/>
  <c r="F489" i="18"/>
  <c r="F488" i="18"/>
  <c r="F487" i="18"/>
  <c r="F486" i="18"/>
  <c r="F485" i="18"/>
  <c r="F484" i="18"/>
  <c r="F483" i="18"/>
  <c r="F482" i="18"/>
  <c r="F481" i="18"/>
  <c r="F480" i="18"/>
  <c r="F479" i="18"/>
  <c r="F478" i="18"/>
  <c r="F477" i="18"/>
  <c r="F476" i="18"/>
  <c r="F475" i="18"/>
  <c r="F474" i="18"/>
  <c r="F473" i="18"/>
  <c r="F472" i="18"/>
  <c r="F471" i="18"/>
  <c r="F470" i="18"/>
  <c r="F469" i="18"/>
  <c r="F468" i="18"/>
  <c r="F467" i="18"/>
  <c r="F466" i="18"/>
  <c r="F465" i="18"/>
  <c r="F464" i="18"/>
  <c r="F463" i="18"/>
  <c r="F462" i="18"/>
  <c r="F461" i="18"/>
  <c r="F460" i="18"/>
  <c r="F459" i="18"/>
  <c r="F458" i="18"/>
  <c r="F457" i="18"/>
  <c r="F456" i="18"/>
  <c r="F455" i="18"/>
  <c r="F454" i="18"/>
  <c r="F453" i="18"/>
  <c r="F452" i="18"/>
  <c r="F451" i="18"/>
  <c r="F450" i="18"/>
  <c r="F449" i="18"/>
  <c r="F448" i="18"/>
  <c r="F447" i="18"/>
  <c r="F446" i="18"/>
  <c r="F445" i="18"/>
  <c r="F444" i="18"/>
  <c r="F443" i="18"/>
  <c r="F442" i="18"/>
  <c r="F441" i="18"/>
  <c r="F440" i="18"/>
  <c r="F439" i="18"/>
  <c r="F438" i="18"/>
  <c r="F437" i="18"/>
  <c r="F436" i="18"/>
  <c r="F435" i="18"/>
  <c r="F434" i="18"/>
  <c r="F433" i="18"/>
  <c r="F432" i="18"/>
  <c r="F430" i="18"/>
  <c r="F429" i="18"/>
  <c r="F428" i="18"/>
  <c r="F427" i="18"/>
  <c r="F426" i="18"/>
  <c r="I425" i="18"/>
  <c r="F425" i="18"/>
  <c r="F424" i="18"/>
  <c r="F423" i="18"/>
  <c r="F422" i="18"/>
  <c r="F421" i="18"/>
  <c r="F420" i="18"/>
  <c r="F419" i="18"/>
  <c r="F418" i="18"/>
  <c r="F417" i="18"/>
  <c r="F416" i="18"/>
  <c r="F415" i="18"/>
  <c r="F414" i="18"/>
  <c r="F413" i="18"/>
  <c r="F412" i="18"/>
  <c r="F411" i="18"/>
  <c r="F410" i="18"/>
  <c r="F409" i="18"/>
  <c r="F408" i="18"/>
  <c r="F407" i="18"/>
  <c r="F406" i="18"/>
  <c r="F405" i="18"/>
  <c r="F404" i="18"/>
  <c r="F403" i="18"/>
  <c r="F402" i="18"/>
  <c r="F401" i="18"/>
  <c r="F400" i="18"/>
  <c r="F399" i="18"/>
  <c r="I398" i="18"/>
  <c r="F398" i="18" s="1"/>
  <c r="I397" i="18"/>
  <c r="F397" i="18"/>
  <c r="E395" i="18"/>
  <c r="D395" i="18"/>
  <c r="E392" i="18"/>
  <c r="D392" i="18"/>
  <c r="E391" i="18"/>
  <c r="E390" i="18"/>
  <c r="E387" i="18"/>
  <c r="D387" i="18"/>
  <c r="E386" i="18"/>
  <c r="F384" i="18"/>
  <c r="F383" i="18"/>
  <c r="F382" i="18"/>
  <c r="F381" i="18"/>
  <c r="F380" i="18"/>
  <c r="F379" i="18"/>
  <c r="F378" i="18"/>
  <c r="F377" i="18"/>
  <c r="F376" i="18"/>
  <c r="F375" i="18"/>
  <c r="F374" i="18"/>
  <c r="F373" i="18"/>
  <c r="F372" i="18"/>
  <c r="F371" i="18"/>
  <c r="F370" i="18"/>
  <c r="F369" i="18"/>
  <c r="F368" i="18"/>
  <c r="F367" i="18"/>
  <c r="F366" i="18"/>
  <c r="F365" i="18"/>
  <c r="F364" i="18"/>
  <c r="F363" i="18"/>
  <c r="F362" i="18"/>
  <c r="F361" i="18"/>
  <c r="F360" i="18"/>
  <c r="F359" i="18"/>
  <c r="F358" i="18"/>
  <c r="F357" i="18"/>
  <c r="F356" i="18"/>
  <c r="F355" i="18"/>
  <c r="F354" i="18"/>
  <c r="F353" i="18"/>
  <c r="F352" i="18"/>
  <c r="F351" i="18"/>
  <c r="F350" i="18"/>
  <c r="F349" i="18"/>
  <c r="F348" i="18"/>
  <c r="F347" i="18"/>
  <c r="F346" i="18"/>
  <c r="F345" i="18"/>
  <c r="F344" i="18"/>
  <c r="F343" i="18"/>
  <c r="F342" i="18"/>
  <c r="F341" i="18"/>
  <c r="F340" i="18"/>
  <c r="F339" i="18"/>
  <c r="F338" i="18"/>
  <c r="F337" i="18"/>
  <c r="F336" i="18"/>
  <c r="F335" i="18"/>
  <c r="F334" i="18"/>
  <c r="F333" i="18"/>
  <c r="F332" i="18"/>
  <c r="F330" i="18" s="1"/>
  <c r="F331" i="18"/>
  <c r="E330" i="18"/>
  <c r="D330" i="18"/>
  <c r="F328" i="18"/>
  <c r="F327" i="18"/>
  <c r="F326" i="18"/>
  <c r="F325" i="18"/>
  <c r="F324" i="18"/>
  <c r="F323" i="18"/>
  <c r="F322" i="18"/>
  <c r="F321" i="18"/>
  <c r="F320" i="18" s="1"/>
  <c r="E320" i="18"/>
  <c r="D320" i="18"/>
  <c r="H317" i="18"/>
  <c r="E317" i="18"/>
  <c r="D317" i="18"/>
  <c r="H315" i="18"/>
  <c r="E315" i="18"/>
  <c r="D315" i="18"/>
  <c r="E313" i="18"/>
  <c r="D313" i="18"/>
  <c r="J311" i="18"/>
  <c r="F311" i="18" s="1"/>
  <c r="F310" i="18" s="1"/>
  <c r="E310" i="18"/>
  <c r="D310" i="18"/>
  <c r="E306" i="18"/>
  <c r="D306" i="18"/>
  <c r="E303" i="18"/>
  <c r="D303" i="18"/>
  <c r="E300" i="18"/>
  <c r="D300" i="18"/>
  <c r="E297" i="18"/>
  <c r="D297" i="18"/>
  <c r="F295" i="18"/>
  <c r="F294" i="18"/>
  <c r="F293" i="18"/>
  <c r="F292" i="18"/>
  <c r="F291" i="18"/>
  <c r="F290" i="18"/>
  <c r="F289" i="18"/>
  <c r="F288" i="18"/>
  <c r="F287" i="18"/>
  <c r="F286" i="18"/>
  <c r="F285" i="18"/>
  <c r="F284" i="18"/>
  <c r="F215" i="18" s="1"/>
  <c r="F283" i="18"/>
  <c r="F282" i="18"/>
  <c r="F281" i="18"/>
  <c r="F280" i="18"/>
  <c r="F279" i="18"/>
  <c r="F278" i="18"/>
  <c r="F277" i="18"/>
  <c r="F276" i="18"/>
  <c r="F275" i="18"/>
  <c r="F274" i="18"/>
  <c r="F273" i="18"/>
  <c r="F272" i="18"/>
  <c r="F271" i="18"/>
  <c r="F270" i="18"/>
  <c r="F269" i="18"/>
  <c r="F268" i="18"/>
  <c r="F267" i="18"/>
  <c r="F266" i="18"/>
  <c r="F265" i="18"/>
  <c r="F264" i="18"/>
  <c r="F263" i="18"/>
  <c r="F262" i="18"/>
  <c r="F261" i="18"/>
  <c r="F260" i="18"/>
  <c r="F259" i="18"/>
  <c r="F258" i="18"/>
  <c r="F257" i="18"/>
  <c r="F256" i="18"/>
  <c r="F255" i="18"/>
  <c r="F254" i="18"/>
  <c r="F253" i="18"/>
  <c r="F252" i="18"/>
  <c r="F251" i="18"/>
  <c r="F250" i="18"/>
  <c r="F249" i="18"/>
  <c r="F248" i="18"/>
  <c r="F247" i="18"/>
  <c r="F246" i="18"/>
  <c r="F245" i="18"/>
  <c r="F244" i="18"/>
  <c r="F243" i="18"/>
  <c r="F242" i="18"/>
  <c r="F241" i="18"/>
  <c r="F240" i="18"/>
  <c r="F239" i="18"/>
  <c r="F238" i="18"/>
  <c r="F237" i="18"/>
  <c r="F236" i="18"/>
  <c r="F235" i="18"/>
  <c r="F234" i="18"/>
  <c r="F233" i="18"/>
  <c r="F232" i="18"/>
  <c r="F231" i="18"/>
  <c r="F230" i="18"/>
  <c r="F229" i="18"/>
  <c r="F228" i="18"/>
  <c r="F227" i="18"/>
  <c r="F226" i="18"/>
  <c r="F225" i="18"/>
  <c r="F224" i="18"/>
  <c r="F223" i="18"/>
  <c r="F222" i="18"/>
  <c r="F221" i="18"/>
  <c r="F220" i="18"/>
  <c r="F219" i="18"/>
  <c r="F218" i="18"/>
  <c r="F217" i="18"/>
  <c r="F216" i="18"/>
  <c r="E215" i="18"/>
  <c r="D215" i="18"/>
  <c r="E212" i="18"/>
  <c r="D212" i="18"/>
  <c r="F208" i="18"/>
  <c r="F207" i="18"/>
  <c r="E207" i="18"/>
  <c r="D207" i="18"/>
  <c r="F204" i="18"/>
  <c r="F203" i="18" s="1"/>
  <c r="E203" i="18"/>
  <c r="D203" i="18"/>
  <c r="F200" i="18"/>
  <c r="F199" i="18"/>
  <c r="F198" i="18"/>
  <c r="F196" i="18" s="1"/>
  <c r="F197" i="18"/>
  <c r="E196" i="18"/>
  <c r="D196" i="18"/>
  <c r="F194" i="18"/>
  <c r="F193" i="18"/>
  <c r="F192" i="18"/>
  <c r="J191" i="18"/>
  <c r="F191" i="18" s="1"/>
  <c r="F189" i="18" s="1"/>
  <c r="J190" i="18"/>
  <c r="F190" i="18"/>
  <c r="F187" i="18"/>
  <c r="F186" i="18"/>
  <c r="F185" i="18"/>
  <c r="J184" i="18"/>
  <c r="F184" i="18" s="1"/>
  <c r="F183" i="18"/>
  <c r="F182" i="18"/>
  <c r="J181" i="18"/>
  <c r="F181" i="18" s="1"/>
  <c r="F180" i="18"/>
  <c r="F179" i="18"/>
  <c r="J178" i="18"/>
  <c r="F178" i="18" s="1"/>
  <c r="F177" i="18"/>
  <c r="F176" i="18"/>
  <c r="J175" i="18"/>
  <c r="F175" i="18" s="1"/>
  <c r="F174" i="18"/>
  <c r="I173" i="18"/>
  <c r="F173" i="18"/>
  <c r="I172" i="18"/>
  <c r="F172" i="18" s="1"/>
  <c r="I171" i="18"/>
  <c r="F171" i="18"/>
  <c r="I170" i="18"/>
  <c r="F170" i="18"/>
  <c r="I169" i="18"/>
  <c r="F169" i="18"/>
  <c r="I168" i="18"/>
  <c r="F168" i="18" s="1"/>
  <c r="F167" i="18"/>
  <c r="F166" i="18"/>
  <c r="F165" i="18"/>
  <c r="I164" i="18"/>
  <c r="F164" i="18"/>
  <c r="F163" i="18"/>
  <c r="F162" i="18"/>
  <c r="F161" i="18"/>
  <c r="F160" i="18"/>
  <c r="F159" i="18"/>
  <c r="F158" i="18"/>
  <c r="F157" i="18"/>
  <c r="F156" i="18"/>
  <c r="F155" i="18"/>
  <c r="F154" i="18"/>
  <c r="F153" i="18"/>
  <c r="F152" i="18"/>
  <c r="F151" i="18"/>
  <c r="F150" i="18"/>
  <c r="F149" i="18"/>
  <c r="F148" i="18"/>
  <c r="F147" i="18"/>
  <c r="F146" i="18"/>
  <c r="F145" i="18"/>
  <c r="F144" i="18"/>
  <c r="F143" i="18"/>
  <c r="F142" i="18"/>
  <c r="F141" i="18"/>
  <c r="F140" i="18"/>
  <c r="F139" i="18"/>
  <c r="F138" i="18"/>
  <c r="F137" i="18"/>
  <c r="F136" i="18"/>
  <c r="F135" i="18"/>
  <c r="F134" i="18"/>
  <c r="I133" i="18"/>
  <c r="F133" i="18" s="1"/>
  <c r="I132" i="18"/>
  <c r="F132" i="18" s="1"/>
  <c r="I131" i="18"/>
  <c r="F131" i="18"/>
  <c r="I130" i="18"/>
  <c r="F130" i="18" s="1"/>
  <c r="E128" i="18"/>
  <c r="D128" i="18"/>
  <c r="E126" i="18"/>
  <c r="D126" i="18"/>
  <c r="E125" i="18"/>
  <c r="D125" i="18"/>
  <c r="F122" i="18"/>
  <c r="F121" i="18"/>
  <c r="I120" i="18"/>
  <c r="F120" i="18" s="1"/>
  <c r="I119" i="18"/>
  <c r="F119" i="18"/>
  <c r="I118" i="18"/>
  <c r="F118" i="18" s="1"/>
  <c r="F117" i="18"/>
  <c r="F116" i="18" s="1"/>
  <c r="F53" i="18" s="1"/>
  <c r="I112" i="18"/>
  <c r="F112" i="18" s="1"/>
  <c r="I111" i="18"/>
  <c r="F111" i="18"/>
  <c r="I110" i="18"/>
  <c r="F110" i="18" s="1"/>
  <c r="I109" i="18"/>
  <c r="F109" i="18"/>
  <c r="I108" i="18"/>
  <c r="F108" i="18" s="1"/>
  <c r="I107" i="18"/>
  <c r="F107" i="18" s="1"/>
  <c r="F106" i="18"/>
  <c r="F105" i="18"/>
  <c r="F104" i="18"/>
  <c r="I103" i="18"/>
  <c r="F103" i="18"/>
  <c r="F102" i="18"/>
  <c r="F101" i="18"/>
  <c r="F100" i="18"/>
  <c r="F99" i="18"/>
  <c r="F98" i="18"/>
  <c r="I97" i="18"/>
  <c r="F97" i="18" s="1"/>
  <c r="F96" i="18"/>
  <c r="F95" i="18"/>
  <c r="F94" i="18"/>
  <c r="F93" i="18"/>
  <c r="F92" i="18"/>
  <c r="F91" i="18"/>
  <c r="F90" i="18"/>
  <c r="F89" i="18"/>
  <c r="F88" i="18"/>
  <c r="F87" i="18"/>
  <c r="F86" i="18"/>
  <c r="F85" i="18"/>
  <c r="F84" i="18"/>
  <c r="F83" i="18"/>
  <c r="F82" i="18"/>
  <c r="I81" i="18"/>
  <c r="F81" i="18"/>
  <c r="I80" i="18"/>
  <c r="F80" i="18"/>
  <c r="I79" i="18"/>
  <c r="F79" i="18"/>
  <c r="I78" i="18"/>
  <c r="F78" i="18" s="1"/>
  <c r="I77" i="18"/>
  <c r="F77" i="18"/>
  <c r="I76" i="18"/>
  <c r="F76" i="18" s="1"/>
  <c r="I75" i="18"/>
  <c r="F75" i="18"/>
  <c r="I74" i="18"/>
  <c r="F74" i="18"/>
  <c r="I73" i="18"/>
  <c r="F73" i="18"/>
  <c r="I72" i="18"/>
  <c r="F72" i="18" s="1"/>
  <c r="I71" i="18"/>
  <c r="F71" i="18"/>
  <c r="I70" i="18"/>
  <c r="F70" i="18" s="1"/>
  <c r="I69" i="18"/>
  <c r="F69" i="18"/>
  <c r="I68" i="18"/>
  <c r="F68" i="18"/>
  <c r="I67" i="18"/>
  <c r="F67" i="18"/>
  <c r="I66" i="18"/>
  <c r="F66" i="18" s="1"/>
  <c r="I65" i="18"/>
  <c r="F65" i="18"/>
  <c r="I64" i="18"/>
  <c r="F64" i="18" s="1"/>
  <c r="I63" i="18"/>
  <c r="F63" i="18"/>
  <c r="I62" i="18"/>
  <c r="F62" i="18"/>
  <c r="I61" i="18"/>
  <c r="F61" i="18"/>
  <c r="I60" i="18"/>
  <c r="F60" i="18" s="1"/>
  <c r="I59" i="18"/>
  <c r="F59" i="18"/>
  <c r="I58" i="18"/>
  <c r="F58" i="18" s="1"/>
  <c r="I57" i="18"/>
  <c r="F57" i="18"/>
  <c r="I56" i="18"/>
  <c r="F56" i="18"/>
  <c r="I55" i="18"/>
  <c r="F55" i="18"/>
  <c r="E53" i="18"/>
  <c r="D53" i="18"/>
  <c r="E51" i="18"/>
  <c r="D51" i="18"/>
  <c r="E50" i="18"/>
  <c r="D50" i="18"/>
  <c r="E49" i="18"/>
  <c r="D49" i="18"/>
  <c r="E48" i="18"/>
  <c r="D48" i="18"/>
  <c r="E47" i="18"/>
  <c r="D47" i="18"/>
  <c r="E46" i="18"/>
  <c r="D46" i="18"/>
  <c r="F42" i="18"/>
  <c r="E41" i="18"/>
  <c r="D41" i="18"/>
  <c r="F39" i="18"/>
  <c r="F38" i="18"/>
  <c r="I37" i="18"/>
  <c r="F37" i="18"/>
  <c r="F36" i="18"/>
  <c r="F35" i="18" s="1"/>
  <c r="E35" i="18"/>
  <c r="D35" i="18"/>
  <c r="F33" i="18"/>
  <c r="F32" i="18"/>
  <c r="I31" i="18"/>
  <c r="F31" i="18"/>
  <c r="F30" i="18"/>
  <c r="E29" i="18"/>
  <c r="D29" i="18"/>
  <c r="F27" i="18"/>
  <c r="F26" i="18"/>
  <c r="I25" i="18"/>
  <c r="F25" i="18"/>
  <c r="F24" i="18"/>
  <c r="E23" i="18"/>
  <c r="D23" i="18"/>
  <c r="F21" i="18"/>
  <c r="F20" i="18"/>
  <c r="F19" i="18"/>
  <c r="F18" i="18"/>
  <c r="F17" i="18" s="1"/>
  <c r="E17" i="18"/>
  <c r="D17" i="18"/>
  <c r="E14" i="18"/>
  <c r="D14" i="18"/>
  <c r="E13" i="18"/>
  <c r="D13" i="18"/>
  <c r="E12" i="18"/>
  <c r="D12" i="18"/>
  <c r="E10" i="18"/>
  <c r="D10" i="18"/>
  <c r="E3179" i="17"/>
  <c r="E3178" i="17"/>
  <c r="E3177" i="17"/>
  <c r="E3176" i="17"/>
  <c r="E3175" i="17"/>
  <c r="E3174" i="17"/>
  <c r="E3173" i="17"/>
  <c r="E3172" i="17"/>
  <c r="E3171" i="17"/>
  <c r="E3170" i="17"/>
  <c r="E3169" i="17"/>
  <c r="E3168" i="17"/>
  <c r="E3167" i="17"/>
  <c r="E3166" i="17"/>
  <c r="E3165" i="17"/>
  <c r="E3164" i="17"/>
  <c r="E3163" i="17"/>
  <c r="E3162" i="17"/>
  <c r="E3161" i="17"/>
  <c r="E3160" i="17"/>
  <c r="E3159" i="17"/>
  <c r="E3158" i="17"/>
  <c r="E3157" i="17"/>
  <c r="E3156" i="17"/>
  <c r="E3155" i="17"/>
  <c r="E3154" i="17"/>
  <c r="E3153" i="17"/>
  <c r="E3152" i="17"/>
  <c r="E3151" i="17"/>
  <c r="E3150" i="17"/>
  <c r="E3149" i="17"/>
  <c r="E3148" i="17"/>
  <c r="E3147" i="17"/>
  <c r="E3146" i="17"/>
  <c r="E3145" i="17"/>
  <c r="E3144" i="17"/>
  <c r="E3143" i="17"/>
  <c r="E3142" i="17"/>
  <c r="E3141" i="17"/>
  <c r="E3140" i="17"/>
  <c r="E3139" i="17"/>
  <c r="E3138" i="17"/>
  <c r="E3137" i="17"/>
  <c r="E3136" i="17"/>
  <c r="E3135" i="17"/>
  <c r="E3134" i="17"/>
  <c r="E3133" i="17"/>
  <c r="E3132" i="17"/>
  <c r="E3131" i="17"/>
  <c r="E3130" i="17"/>
  <c r="E3129" i="17"/>
  <c r="E3128" i="17"/>
  <c r="E3127" i="17"/>
  <c r="E3126" i="17"/>
  <c r="E3125" i="17"/>
  <c r="E3124" i="17"/>
  <c r="E3123" i="17"/>
  <c r="E3122" i="17"/>
  <c r="E3121" i="17"/>
  <c r="E3120" i="17"/>
  <c r="E3119" i="17"/>
  <c r="E3118" i="17"/>
  <c r="E3117" i="17"/>
  <c r="E3116" i="17"/>
  <c r="E3115" i="17"/>
  <c r="E3114" i="17"/>
  <c r="E3113" i="17"/>
  <c r="E3112" i="17"/>
  <c r="E3111" i="17"/>
  <c r="E3110" i="17"/>
  <c r="E3109" i="17"/>
  <c r="E3108" i="17"/>
  <c r="E3107" i="17"/>
  <c r="E3106" i="17"/>
  <c r="E3105" i="17"/>
  <c r="E3104" i="17"/>
  <c r="E3103" i="17"/>
  <c r="E3102" i="17"/>
  <c r="E3101" i="17"/>
  <c r="E3100" i="17"/>
  <c r="E3099" i="17"/>
  <c r="E3098" i="17"/>
  <c r="E3097" i="17"/>
  <c r="E3096" i="17"/>
  <c r="E3095" i="17"/>
  <c r="E3094" i="17"/>
  <c r="E3093" i="17"/>
  <c r="E3092" i="17"/>
  <c r="E3091" i="17"/>
  <c r="E3090" i="17"/>
  <c r="E3089" i="17"/>
  <c r="E3088" i="17"/>
  <c r="E3087" i="17"/>
  <c r="E3086" i="17"/>
  <c r="E3085" i="17"/>
  <c r="E3084" i="17"/>
  <c r="E3083" i="17"/>
  <c r="E3082" i="17"/>
  <c r="E3081" i="17"/>
  <c r="E3080" i="17"/>
  <c r="E3079" i="17"/>
  <c r="E3078" i="17"/>
  <c r="E3077" i="17"/>
  <c r="E3076" i="17"/>
  <c r="E3075" i="17"/>
  <c r="E3074" i="17"/>
  <c r="E3073" i="17"/>
  <c r="E3072" i="17"/>
  <c r="E3071" i="17"/>
  <c r="E3070" i="17"/>
  <c r="E3069" i="17"/>
  <c r="E3068" i="17"/>
  <c r="E3067" i="17"/>
  <c r="E3066" i="17"/>
  <c r="E3065" i="17"/>
  <c r="E3064" i="17"/>
  <c r="E3063" i="17"/>
  <c r="E3062" i="17"/>
  <c r="E3061" i="17"/>
  <c r="E3060" i="17"/>
  <c r="E3059" i="17"/>
  <c r="E3058" i="17"/>
  <c r="E3057" i="17"/>
  <c r="E3056" i="17"/>
  <c r="E3055" i="17"/>
  <c r="E3054" i="17"/>
  <c r="E3053" i="17"/>
  <c r="E3052" i="17"/>
  <c r="E3051" i="17"/>
  <c r="E3050" i="17"/>
  <c r="E3049" i="17"/>
  <c r="E3048" i="17"/>
  <c r="E3047" i="17"/>
  <c r="E3046" i="17"/>
  <c r="E3045" i="17"/>
  <c r="E3044" i="17"/>
  <c r="E3043" i="17"/>
  <c r="E3042" i="17"/>
  <c r="E3041" i="17"/>
  <c r="E3040" i="17"/>
  <c r="E3039" i="17"/>
  <c r="E3038" i="17"/>
  <c r="E3037" i="17"/>
  <c r="E3036" i="17"/>
  <c r="E3035" i="17"/>
  <c r="E3034" i="17"/>
  <c r="E3033" i="17"/>
  <c r="E3032" i="17"/>
  <c r="E3031" i="17"/>
  <c r="E3030" i="17"/>
  <c r="E3029" i="17"/>
  <c r="E3028" i="17"/>
  <c r="E3027" i="17"/>
  <c r="E3026" i="17"/>
  <c r="E3025" i="17"/>
  <c r="E3024" i="17"/>
  <c r="E3023" i="17"/>
  <c r="E3022" i="17"/>
  <c r="E3021" i="17"/>
  <c r="E3020" i="17"/>
  <c r="E3019" i="17"/>
  <c r="E3018" i="17"/>
  <c r="E3017" i="17"/>
  <c r="E3016" i="17"/>
  <c r="E3015" i="17"/>
  <c r="E3014" i="17"/>
  <c r="E3013" i="17"/>
  <c r="E3012" i="17"/>
  <c r="E3011" i="17"/>
  <c r="E3010" i="17"/>
  <c r="E3009" i="17"/>
  <c r="E3008" i="17"/>
  <c r="E3007" i="17"/>
  <c r="E3006" i="17"/>
  <c r="E3005" i="17"/>
  <c r="E3004" i="17"/>
  <c r="E3003" i="17"/>
  <c r="E3002" i="17"/>
  <c r="E3001" i="17"/>
  <c r="E3000" i="17"/>
  <c r="E2999" i="17"/>
  <c r="E2998" i="17"/>
  <c r="E2997" i="17"/>
  <c r="E2996" i="17"/>
  <c r="E2995" i="17"/>
  <c r="E2994" i="17"/>
  <c r="E2993" i="17"/>
  <c r="E2992" i="17"/>
  <c r="E2991" i="17"/>
  <c r="E2990" i="17"/>
  <c r="E2989" i="17"/>
  <c r="E2988" i="17"/>
  <c r="E2987" i="17"/>
  <c r="E2986" i="17"/>
  <c r="E2985" i="17"/>
  <c r="E2984" i="17"/>
  <c r="E2983" i="17"/>
  <c r="E2982" i="17"/>
  <c r="E2981" i="17"/>
  <c r="E2980" i="17"/>
  <c r="E2979" i="17"/>
  <c r="E2978" i="17"/>
  <c r="E2977" i="17"/>
  <c r="E2976" i="17"/>
  <c r="E2975" i="17"/>
  <c r="E2974" i="17"/>
  <c r="E2973" i="17"/>
  <c r="E2972" i="17"/>
  <c r="E2971" i="17"/>
  <c r="E2970" i="17"/>
  <c r="E2969" i="17"/>
  <c r="E2968" i="17"/>
  <c r="E2967" i="17"/>
  <c r="E2966" i="17"/>
  <c r="E2965" i="17"/>
  <c r="E2964" i="17"/>
  <c r="E2963" i="17"/>
  <c r="E2962" i="17"/>
  <c r="E2961" i="17"/>
  <c r="E2960" i="17"/>
  <c r="E2959" i="17"/>
  <c r="E2958" i="17"/>
  <c r="E2957" i="17"/>
  <c r="E2956" i="17"/>
  <c r="E2955" i="17"/>
  <c r="E2954" i="17"/>
  <c r="E2953" i="17"/>
  <c r="E2952" i="17"/>
  <c r="E2951" i="17"/>
  <c r="E2950" i="17"/>
  <c r="E2949" i="17"/>
  <c r="E2948" i="17"/>
  <c r="E2947" i="17"/>
  <c r="E2946" i="17"/>
  <c r="E2945" i="17"/>
  <c r="E2944" i="17"/>
  <c r="E2943" i="17"/>
  <c r="E2942" i="17"/>
  <c r="E2941" i="17"/>
  <c r="E2940" i="17"/>
  <c r="E2939" i="17"/>
  <c r="E2938" i="17"/>
  <c r="E2937" i="17"/>
  <c r="E2936" i="17"/>
  <c r="E2935" i="17"/>
  <c r="E2934" i="17"/>
  <c r="E2933" i="17"/>
  <c r="E2932" i="17"/>
  <c r="E2931" i="17"/>
  <c r="E2930" i="17"/>
  <c r="E2929" i="17"/>
  <c r="E2928" i="17"/>
  <c r="E2927" i="17"/>
  <c r="E2926" i="17"/>
  <c r="E2925" i="17"/>
  <c r="E2924" i="17"/>
  <c r="E2923" i="17"/>
  <c r="E2922" i="17"/>
  <c r="E2921" i="17"/>
  <c r="E2920" i="17"/>
  <c r="E2919" i="17"/>
  <c r="E2918" i="17"/>
  <c r="E2917" i="17"/>
  <c r="E2916" i="17"/>
  <c r="E2915" i="17"/>
  <c r="E2914" i="17"/>
  <c r="E2913" i="17"/>
  <c r="E2912" i="17"/>
  <c r="E2911" i="17"/>
  <c r="E2910" i="17"/>
  <c r="E2909" i="17"/>
  <c r="E2908" i="17"/>
  <c r="E2907" i="17"/>
  <c r="E2906" i="17"/>
  <c r="E2905" i="17"/>
  <c r="E2904" i="17"/>
  <c r="E2903" i="17"/>
  <c r="E2902" i="17"/>
  <c r="E2901" i="17"/>
  <c r="E2900" i="17"/>
  <c r="E2899" i="17"/>
  <c r="E2898" i="17"/>
  <c r="E2897" i="17"/>
  <c r="E2896" i="17"/>
  <c r="E2895" i="17"/>
  <c r="E2894" i="17"/>
  <c r="E2893" i="17"/>
  <c r="E2892" i="17"/>
  <c r="E2891" i="17"/>
  <c r="E2890" i="17"/>
  <c r="E2889" i="17"/>
  <c r="E2888" i="17"/>
  <c r="E2887" i="17"/>
  <c r="E2886" i="17"/>
  <c r="E2885" i="17"/>
  <c r="E2884" i="17"/>
  <c r="E2883" i="17"/>
  <c r="E2882" i="17"/>
  <c r="E2881" i="17"/>
  <c r="E2880" i="17"/>
  <c r="E2879" i="17"/>
  <c r="E2878" i="17"/>
  <c r="E2877" i="17"/>
  <c r="E2876" i="17"/>
  <c r="E2875" i="17"/>
  <c r="E2874" i="17"/>
  <c r="E2873" i="17"/>
  <c r="E2872" i="17"/>
  <c r="E2871" i="17"/>
  <c r="E2870" i="17"/>
  <c r="E2869" i="17"/>
  <c r="E2868" i="17"/>
  <c r="E2867" i="17"/>
  <c r="E2866" i="17"/>
  <c r="E2865" i="17"/>
  <c r="E2864" i="17"/>
  <c r="E2863" i="17"/>
  <c r="E2862" i="17"/>
  <c r="E2861" i="17"/>
  <c r="E2860" i="17"/>
  <c r="E2859" i="17"/>
  <c r="E2858" i="17"/>
  <c r="E2857" i="17"/>
  <c r="E2856" i="17"/>
  <c r="E2855" i="17"/>
  <c r="E2854" i="17"/>
  <c r="E2853" i="17"/>
  <c r="E2852" i="17"/>
  <c r="E2851" i="17"/>
  <c r="E2850" i="17"/>
  <c r="E2849" i="17"/>
  <c r="E2848" i="17"/>
  <c r="E2847" i="17"/>
  <c r="E2846" i="17"/>
  <c r="E2845" i="17"/>
  <c r="E2844" i="17"/>
  <c r="E2843" i="17"/>
  <c r="E2842" i="17"/>
  <c r="E2841" i="17"/>
  <c r="E2840" i="17"/>
  <c r="E2839" i="17"/>
  <c r="E2838" i="17"/>
  <c r="E2837" i="17"/>
  <c r="E2836" i="17"/>
  <c r="E2835" i="17"/>
  <c r="E2834" i="17"/>
  <c r="E2833" i="17"/>
  <c r="E2832" i="17"/>
  <c r="E2831" i="17"/>
  <c r="E2830" i="17"/>
  <c r="E2829" i="17"/>
  <c r="E2828" i="17"/>
  <c r="E2827" i="17"/>
  <c r="E2826" i="17"/>
  <c r="E2825" i="17"/>
  <c r="E2824" i="17"/>
  <c r="E2823" i="17"/>
  <c r="E2822" i="17"/>
  <c r="E2821" i="17"/>
  <c r="E2820" i="17"/>
  <c r="E2819" i="17"/>
  <c r="E2818" i="17"/>
  <c r="E2817" i="17"/>
  <c r="E2816" i="17"/>
  <c r="E2815" i="17"/>
  <c r="E2814" i="17"/>
  <c r="E2813" i="17"/>
  <c r="E2812" i="17"/>
  <c r="E2811" i="17"/>
  <c r="E2810" i="17"/>
  <c r="E2809" i="17"/>
  <c r="E2808" i="17"/>
  <c r="E2807" i="17"/>
  <c r="E2806" i="17"/>
  <c r="E2805" i="17"/>
  <c r="E2804" i="17"/>
  <c r="E2803" i="17"/>
  <c r="E2802" i="17"/>
  <c r="E2801" i="17"/>
  <c r="E2800" i="17"/>
  <c r="E2799" i="17"/>
  <c r="E2798" i="17"/>
  <c r="E2797" i="17"/>
  <c r="E2796" i="17"/>
  <c r="E2795" i="17"/>
  <c r="E2794" i="17"/>
  <c r="E2793" i="17"/>
  <c r="E2792" i="17"/>
  <c r="E2791" i="17"/>
  <c r="E2790" i="17"/>
  <c r="E2789" i="17"/>
  <c r="E2788" i="17"/>
  <c r="E2787" i="17"/>
  <c r="E2786" i="17"/>
  <c r="E2785" i="17"/>
  <c r="E2784" i="17"/>
  <c r="E2783" i="17"/>
  <c r="E2782" i="17"/>
  <c r="E2781" i="17"/>
  <c r="E2780" i="17"/>
  <c r="E2779" i="17"/>
  <c r="E2778" i="17"/>
  <c r="E2777" i="17"/>
  <c r="E2776" i="17"/>
  <c r="E2775" i="17"/>
  <c r="E2774" i="17"/>
  <c r="E2773" i="17"/>
  <c r="E2772" i="17"/>
  <c r="E2771" i="17"/>
  <c r="E2770" i="17"/>
  <c r="E2769" i="17"/>
  <c r="E2768" i="17"/>
  <c r="E2767" i="17"/>
  <c r="E2766" i="17"/>
  <c r="E2765" i="17"/>
  <c r="E2764" i="17"/>
  <c r="E2763" i="17"/>
  <c r="E2762" i="17"/>
  <c r="E2761" i="17"/>
  <c r="E2760" i="17"/>
  <c r="E2759" i="17"/>
  <c r="E2758" i="17"/>
  <c r="E2757" i="17"/>
  <c r="E2756" i="17"/>
  <c r="E2755" i="17"/>
  <c r="E2754" i="17"/>
  <c r="E2753" i="17"/>
  <c r="E2752" i="17"/>
  <c r="E2751" i="17"/>
  <c r="E2750" i="17"/>
  <c r="E2749" i="17"/>
  <c r="E2748" i="17"/>
  <c r="E2747" i="17"/>
  <c r="E2746" i="17"/>
  <c r="E2745" i="17"/>
  <c r="E2744" i="17"/>
  <c r="E2743" i="17"/>
  <c r="E2742" i="17"/>
  <c r="E2741" i="17"/>
  <c r="E2740" i="17"/>
  <c r="E2739" i="17"/>
  <c r="E2738" i="17"/>
  <c r="E2737" i="17"/>
  <c r="E2736" i="17"/>
  <c r="E2735" i="17"/>
  <c r="E2734" i="17"/>
  <c r="E2733" i="17"/>
  <c r="E2732" i="17"/>
  <c r="E2731" i="17"/>
  <c r="E2730" i="17"/>
  <c r="E2729" i="17"/>
  <c r="E2728" i="17"/>
  <c r="E2727" i="17"/>
  <c r="E2726" i="17"/>
  <c r="E2725" i="17"/>
  <c r="E2724" i="17"/>
  <c r="E2723" i="17"/>
  <c r="E2722" i="17"/>
  <c r="E2721" i="17"/>
  <c r="E2720" i="17"/>
  <c r="E2719" i="17"/>
  <c r="E2718" i="17"/>
  <c r="E2717" i="17"/>
  <c r="E2716" i="17"/>
  <c r="E2715" i="17"/>
  <c r="E2714" i="17"/>
  <c r="E2713" i="17"/>
  <c r="E2712" i="17"/>
  <c r="E2711" i="17"/>
  <c r="E2710" i="17"/>
  <c r="E2709" i="17"/>
  <c r="E2708" i="17"/>
  <c r="E2707" i="17"/>
  <c r="E2706" i="17"/>
  <c r="E2705" i="17"/>
  <c r="E2704" i="17"/>
  <c r="E2703" i="17"/>
  <c r="E2702" i="17"/>
  <c r="E2701" i="17"/>
  <c r="E2700" i="17"/>
  <c r="E2699" i="17"/>
  <c r="E2698" i="17"/>
  <c r="E2697" i="17"/>
  <c r="E2696" i="17"/>
  <c r="E2695" i="17"/>
  <c r="E2694" i="17"/>
  <c r="E2693" i="17"/>
  <c r="E2692" i="17"/>
  <c r="E2691" i="17"/>
  <c r="E2690" i="17"/>
  <c r="E2689" i="17"/>
  <c r="E2688" i="17"/>
  <c r="E2687" i="17"/>
  <c r="E2686" i="17"/>
  <c r="E2685" i="17"/>
  <c r="E2684" i="17"/>
  <c r="E2683" i="17"/>
  <c r="E2682" i="17"/>
  <c r="E2681" i="17"/>
  <c r="E2680" i="17"/>
  <c r="E2679" i="17"/>
  <c r="E2678" i="17"/>
  <c r="E2677" i="17"/>
  <c r="E2676" i="17"/>
  <c r="E2675" i="17"/>
  <c r="E2674" i="17"/>
  <c r="E2673" i="17"/>
  <c r="E2672" i="17"/>
  <c r="E2671" i="17"/>
  <c r="E2670" i="17"/>
  <c r="E2669" i="17"/>
  <c r="E2668" i="17"/>
  <c r="E2667" i="17"/>
  <c r="E2666" i="17"/>
  <c r="E2665" i="17"/>
  <c r="E2664" i="17"/>
  <c r="E2663" i="17"/>
  <c r="E2662" i="17"/>
  <c r="E2661" i="17"/>
  <c r="E2660" i="17"/>
  <c r="E2659" i="17"/>
  <c r="E2658" i="17"/>
  <c r="E2657" i="17"/>
  <c r="E2656" i="17"/>
  <c r="E2655" i="17"/>
  <c r="E2654" i="17"/>
  <c r="E2653" i="17"/>
  <c r="E2652" i="17"/>
  <c r="E2651" i="17"/>
  <c r="E2650" i="17"/>
  <c r="E2649" i="17"/>
  <c r="E2648" i="17"/>
  <c r="E2647" i="17"/>
  <c r="E2646" i="17"/>
  <c r="E2645" i="17"/>
  <c r="E2644" i="17"/>
  <c r="E2643" i="17"/>
  <c r="E2642" i="17"/>
  <c r="E2641" i="17"/>
  <c r="E2640" i="17"/>
  <c r="E2639" i="17"/>
  <c r="E2638" i="17"/>
  <c r="E2637" i="17"/>
  <c r="E2636" i="17"/>
  <c r="E2635" i="17"/>
  <c r="E2634" i="17"/>
  <c r="E2633" i="17"/>
  <c r="E2632" i="17"/>
  <c r="E2631" i="17"/>
  <c r="E2630" i="17"/>
  <c r="E2629" i="17"/>
  <c r="E2628" i="17"/>
  <c r="E2627" i="17"/>
  <c r="E2626" i="17"/>
  <c r="E2625" i="17"/>
  <c r="E2624" i="17"/>
  <c r="E2623" i="17"/>
  <c r="E2622" i="17"/>
  <c r="E2621" i="17"/>
  <c r="E2620" i="17"/>
  <c r="E2619" i="17"/>
  <c r="E2618" i="17"/>
  <c r="E2617" i="17"/>
  <c r="E2616" i="17"/>
  <c r="E2615" i="17"/>
  <c r="E2614" i="17"/>
  <c r="E2613" i="17"/>
  <c r="E2612" i="17"/>
  <c r="E2611" i="17"/>
  <c r="E2610" i="17"/>
  <c r="E2609" i="17"/>
  <c r="E2608" i="17"/>
  <c r="E2607" i="17"/>
  <c r="E2606" i="17"/>
  <c r="E2605" i="17"/>
  <c r="E2604" i="17"/>
  <c r="E2603" i="17"/>
  <c r="E2602" i="17"/>
  <c r="E2601" i="17"/>
  <c r="E2600" i="17"/>
  <c r="E2599" i="17"/>
  <c r="E2598" i="17"/>
  <c r="E2597" i="17"/>
  <c r="E2596" i="17"/>
  <c r="E2595" i="17"/>
  <c r="E2594" i="17"/>
  <c r="E2593" i="17"/>
  <c r="E2592" i="17"/>
  <c r="E2591" i="17"/>
  <c r="E2590" i="17"/>
  <c r="E2589" i="17"/>
  <c r="E2588" i="17"/>
  <c r="E2587" i="17"/>
  <c r="E2586" i="17"/>
  <c r="E2585" i="17"/>
  <c r="E2584" i="17"/>
  <c r="E2583" i="17"/>
  <c r="E2582" i="17"/>
  <c r="E2581" i="17"/>
  <c r="E2580" i="17"/>
  <c r="E2579" i="17"/>
  <c r="E2578" i="17"/>
  <c r="E2577" i="17"/>
  <c r="E2576" i="17"/>
  <c r="E2575" i="17"/>
  <c r="E2574" i="17"/>
  <c r="E2573" i="17"/>
  <c r="E2572" i="17"/>
  <c r="E2571" i="17"/>
  <c r="E2570" i="17"/>
  <c r="E2569" i="17"/>
  <c r="E2568" i="17"/>
  <c r="E2567" i="17"/>
  <c r="E2566" i="17"/>
  <c r="E2565" i="17"/>
  <c r="E2564" i="17"/>
  <c r="E2563" i="17"/>
  <c r="E2562" i="17"/>
  <c r="E2561" i="17"/>
  <c r="E2560" i="17"/>
  <c r="E2559" i="17"/>
  <c r="E2558" i="17"/>
  <c r="E2557" i="17"/>
  <c r="E2556" i="17"/>
  <c r="E2555" i="17"/>
  <c r="E2554" i="17"/>
  <c r="E2553" i="17"/>
  <c r="E2552" i="17"/>
  <c r="E2551" i="17"/>
  <c r="E2550" i="17"/>
  <c r="E2549" i="17"/>
  <c r="E2548" i="17"/>
  <c r="E2547" i="17"/>
  <c r="E2546" i="17"/>
  <c r="E2545" i="17"/>
  <c r="E2544" i="17"/>
  <c r="E2543" i="17"/>
  <c r="E2542" i="17"/>
  <c r="E2541" i="17"/>
  <c r="E2540" i="17"/>
  <c r="E2539" i="17"/>
  <c r="E2538" i="17"/>
  <c r="E2537" i="17"/>
  <c r="E2536" i="17"/>
  <c r="E2535" i="17"/>
  <c r="E2534" i="17"/>
  <c r="E2533" i="17"/>
  <c r="E2532" i="17"/>
  <c r="E2531" i="17"/>
  <c r="E2530" i="17"/>
  <c r="E2529" i="17"/>
  <c r="E2528" i="17"/>
  <c r="E2527" i="17"/>
  <c r="E2526" i="17"/>
  <c r="E2525" i="17"/>
  <c r="E2524" i="17"/>
  <c r="E2523" i="17"/>
  <c r="E2522" i="17"/>
  <c r="E2521" i="17"/>
  <c r="E2520" i="17"/>
  <c r="E2519" i="17"/>
  <c r="E2518" i="17"/>
  <c r="E2517" i="17"/>
  <c r="E2516" i="17"/>
  <c r="E2515" i="17"/>
  <c r="E2514" i="17"/>
  <c r="E2513" i="17"/>
  <c r="E2512" i="17"/>
  <c r="E2511" i="17"/>
  <c r="E2510" i="17"/>
  <c r="E2509" i="17"/>
  <c r="E2508" i="17"/>
  <c r="E2507" i="17"/>
  <c r="E2506" i="17"/>
  <c r="E2505" i="17"/>
  <c r="E2504" i="17"/>
  <c r="E2503" i="17"/>
  <c r="E2502" i="17"/>
  <c r="E2501" i="17"/>
  <c r="E2500" i="17"/>
  <c r="E2499" i="17"/>
  <c r="E2498" i="17"/>
  <c r="E2497" i="17"/>
  <c r="E2496" i="17"/>
  <c r="E2495" i="17"/>
  <c r="E2494" i="17"/>
  <c r="E2493" i="17"/>
  <c r="E2492" i="17"/>
  <c r="E2491" i="17"/>
  <c r="E2490" i="17"/>
  <c r="E2489" i="17"/>
  <c r="E2488" i="17"/>
  <c r="E2487" i="17"/>
  <c r="E2486" i="17"/>
  <c r="E2485" i="17"/>
  <c r="E2484" i="17"/>
  <c r="E2483" i="17"/>
  <c r="E2482" i="17"/>
  <c r="E2481" i="17"/>
  <c r="E2480" i="17"/>
  <c r="E2479" i="17"/>
  <c r="E2478" i="17"/>
  <c r="E2477" i="17"/>
  <c r="E2476" i="17"/>
  <c r="E2475" i="17"/>
  <c r="E2474" i="17"/>
  <c r="E2473" i="17"/>
  <c r="E2472" i="17"/>
  <c r="E2471" i="17"/>
  <c r="E2470" i="17"/>
  <c r="E2469" i="17"/>
  <c r="E2468" i="17"/>
  <c r="E2467" i="17"/>
  <c r="E2466" i="17"/>
  <c r="E2465" i="17"/>
  <c r="E2464" i="17"/>
  <c r="E2463" i="17"/>
  <c r="E2462" i="17"/>
  <c r="E2461" i="17"/>
  <c r="E2460" i="17"/>
  <c r="E2459" i="17"/>
  <c r="E2458" i="17"/>
  <c r="E2457" i="17"/>
  <c r="E2456" i="17"/>
  <c r="E2455" i="17"/>
  <c r="E2454" i="17"/>
  <c r="E2453" i="17"/>
  <c r="E2452" i="17"/>
  <c r="E2451" i="17"/>
  <c r="E2450" i="17"/>
  <c r="E2449" i="17"/>
  <c r="E2448" i="17"/>
  <c r="E2447" i="17"/>
  <c r="E2446" i="17"/>
  <c r="E2445" i="17"/>
  <c r="E2444" i="17"/>
  <c r="E2443" i="17"/>
  <c r="E2442" i="17"/>
  <c r="E2441" i="17"/>
  <c r="E2440" i="17"/>
  <c r="E2439" i="17"/>
  <c r="E2438" i="17"/>
  <c r="E2437" i="17"/>
  <c r="E2436" i="17"/>
  <c r="E2435" i="17"/>
  <c r="E2434" i="17"/>
  <c r="E2433" i="17"/>
  <c r="E2432" i="17"/>
  <c r="E2431" i="17"/>
  <c r="E2430" i="17"/>
  <c r="E2429" i="17"/>
  <c r="E2428" i="17"/>
  <c r="E2427" i="17"/>
  <c r="E2426" i="17"/>
  <c r="E2425" i="17"/>
  <c r="E2424" i="17"/>
  <c r="E2423" i="17"/>
  <c r="E2422" i="17"/>
  <c r="E2421" i="17"/>
  <c r="E2420" i="17"/>
  <c r="E2419" i="17"/>
  <c r="E2418" i="17"/>
  <c r="E2417" i="17"/>
  <c r="E2416" i="17"/>
  <c r="E2415" i="17"/>
  <c r="E2414" i="17"/>
  <c r="E2413" i="17"/>
  <c r="E2412" i="17"/>
  <c r="E2411" i="17"/>
  <c r="E2410" i="17"/>
  <c r="E2409" i="17"/>
  <c r="E2408" i="17"/>
  <c r="E2407" i="17"/>
  <c r="E2406" i="17"/>
  <c r="E2405" i="17"/>
  <c r="E2404" i="17"/>
  <c r="E2403" i="17"/>
  <c r="E2402" i="17"/>
  <c r="E2401" i="17"/>
  <c r="E2400" i="17"/>
  <c r="E2399" i="17"/>
  <c r="E2398" i="17"/>
  <c r="E2397" i="17"/>
  <c r="E2396" i="17"/>
  <c r="E2395" i="17"/>
  <c r="E2394" i="17"/>
  <c r="E2393" i="17"/>
  <c r="E2392" i="17"/>
  <c r="E2391" i="17"/>
  <c r="E2390" i="17"/>
  <c r="E2389" i="17"/>
  <c r="E2388" i="17"/>
  <c r="E2387" i="17"/>
  <c r="E2386" i="17"/>
  <c r="E2385" i="17"/>
  <c r="E2384" i="17"/>
  <c r="E2383" i="17"/>
  <c r="E2382" i="17"/>
  <c r="E2381" i="17"/>
  <c r="E2380" i="17"/>
  <c r="E2379" i="17"/>
  <c r="E2378" i="17"/>
  <c r="E2377" i="17"/>
  <c r="E2376" i="17"/>
  <c r="E2375" i="17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40" i="17"/>
  <c r="E2339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5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5" i="17"/>
  <c r="E2184" i="17"/>
  <c r="E2183" i="17"/>
  <c r="E2182" i="17"/>
  <c r="E2181" i="17"/>
  <c r="E2180" i="17"/>
  <c r="E2179" i="17"/>
  <c r="E2178" i="17"/>
  <c r="E2177" i="17"/>
  <c r="E2176" i="17"/>
  <c r="E2175" i="17"/>
  <c r="E2174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5" i="17"/>
  <c r="E2154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9" i="17"/>
  <c r="E2078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1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6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1" i="17"/>
  <c r="E1910" i="17"/>
  <c r="E1909" i="17"/>
  <c r="E1908" i="17"/>
  <c r="E1907" i="17"/>
  <c r="E1906" i="17"/>
  <c r="E1905" i="17"/>
  <c r="E1904" i="17"/>
  <c r="E1903" i="17"/>
  <c r="E1902" i="17"/>
  <c r="E1901" i="17"/>
  <c r="E1900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9" i="17"/>
  <c r="E1818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2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7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2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7" i="17"/>
  <c r="E1626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9" i="17"/>
  <c r="E1558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3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8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8" i="17"/>
  <c r="E1387" i="17"/>
  <c r="E1386" i="17"/>
  <c r="E1385" i="17"/>
  <c r="E1384" i="17"/>
  <c r="E1383" i="17"/>
  <c r="E1382" i="17"/>
  <c r="E1381" i="17"/>
  <c r="E1380" i="17"/>
  <c r="E1379" i="17"/>
  <c r="E1378" i="17"/>
  <c r="E1377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300" i="17"/>
  <c r="E1299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4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9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9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4" i="17"/>
  <c r="E1103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40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6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6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1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51" i="17"/>
  <c r="E850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81" i="17"/>
  <c r="E780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21" i="17"/>
  <c r="E520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3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8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3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8" i="17"/>
  <c r="E327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4" i="17"/>
  <c r="E263" i="17"/>
  <c r="E262" i="17"/>
  <c r="E261" i="17"/>
  <c r="E260" i="17"/>
  <c r="E259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3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4" i="17"/>
  <c r="E113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3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3" i="17"/>
  <c r="E72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C37" i="16"/>
  <c r="F27" i="16"/>
  <c r="F26" i="16"/>
  <c r="J23" i="16"/>
  <c r="K23" i="16" s="1"/>
  <c r="L23" i="16" s="1"/>
  <c r="G23" i="16"/>
  <c r="J22" i="16"/>
  <c r="K22" i="16" s="1"/>
  <c r="L22" i="16" s="1"/>
  <c r="G22" i="16"/>
  <c r="J21" i="16"/>
  <c r="K21" i="16" s="1"/>
  <c r="L21" i="16" s="1"/>
  <c r="G21" i="16"/>
  <c r="J20" i="16"/>
  <c r="K20" i="16" s="1"/>
  <c r="L20" i="16" s="1"/>
  <c r="G20" i="16"/>
  <c r="J19" i="16"/>
  <c r="K19" i="16" s="1"/>
  <c r="L19" i="16" s="1"/>
  <c r="G19" i="16"/>
  <c r="H401" i="15"/>
  <c r="F401" i="15"/>
  <c r="E401" i="15"/>
  <c r="B400" i="15"/>
  <c r="B399" i="15"/>
  <c r="B398" i="15"/>
  <c r="H397" i="15"/>
  <c r="J397" i="15" s="1"/>
  <c r="K397" i="15" s="1"/>
  <c r="F397" i="15"/>
  <c r="E397" i="15"/>
  <c r="H396" i="15"/>
  <c r="J396" i="15" s="1"/>
  <c r="K396" i="15" s="1"/>
  <c r="F396" i="15"/>
  <c r="E396" i="15"/>
  <c r="J395" i="15"/>
  <c r="K395" i="15" s="1"/>
  <c r="H395" i="15"/>
  <c r="F395" i="15"/>
  <c r="E395" i="15"/>
  <c r="K394" i="15"/>
  <c r="J394" i="15"/>
  <c r="H394" i="15"/>
  <c r="F394" i="15"/>
  <c r="E394" i="15"/>
  <c r="J393" i="15"/>
  <c r="K393" i="15" s="1"/>
  <c r="H393" i="15"/>
  <c r="F393" i="15"/>
  <c r="E393" i="15"/>
  <c r="H392" i="15"/>
  <c r="J392" i="15" s="1"/>
  <c r="K392" i="15" s="1"/>
  <c r="F392" i="15"/>
  <c r="E392" i="15"/>
  <c r="K391" i="15"/>
  <c r="L391" i="15" s="1"/>
  <c r="H391" i="15"/>
  <c r="H390" i="15"/>
  <c r="J390" i="15" s="1"/>
  <c r="K390" i="15" s="1"/>
  <c r="H389" i="15"/>
  <c r="J389" i="15" s="1"/>
  <c r="K389" i="15" s="1"/>
  <c r="J388" i="15"/>
  <c r="K388" i="15" s="1"/>
  <c r="H388" i="15"/>
  <c r="J387" i="15"/>
  <c r="K387" i="15" s="1"/>
  <c r="H387" i="15"/>
  <c r="H386" i="15"/>
  <c r="H385" i="15"/>
  <c r="J385" i="15" s="1"/>
  <c r="K385" i="15" s="1"/>
  <c r="F385" i="15"/>
  <c r="E385" i="15"/>
  <c r="J384" i="15"/>
  <c r="K384" i="15" s="1"/>
  <c r="H383" i="15"/>
  <c r="J382" i="15"/>
  <c r="K382" i="15" s="1"/>
  <c r="H382" i="15"/>
  <c r="F382" i="15"/>
  <c r="E382" i="15"/>
  <c r="K381" i="15"/>
  <c r="J381" i="15"/>
  <c r="H381" i="15"/>
  <c r="F381" i="15"/>
  <c r="E381" i="15"/>
  <c r="K380" i="15"/>
  <c r="J380" i="15"/>
  <c r="H380" i="15"/>
  <c r="F380" i="15"/>
  <c r="E380" i="15"/>
  <c r="H379" i="15"/>
  <c r="J379" i="15" s="1"/>
  <c r="K379" i="15" s="1"/>
  <c r="F379" i="15"/>
  <c r="E379" i="15"/>
  <c r="J378" i="15"/>
  <c r="K378" i="15" s="1"/>
  <c r="H378" i="15"/>
  <c r="F378" i="15"/>
  <c r="E378" i="15"/>
  <c r="K377" i="15"/>
  <c r="K376" i="15" s="1"/>
  <c r="J377" i="15"/>
  <c r="H377" i="15"/>
  <c r="F377" i="15"/>
  <c r="E377" i="15"/>
  <c r="L376" i="15"/>
  <c r="H376" i="15"/>
  <c r="K375" i="15"/>
  <c r="J375" i="15"/>
  <c r="H375" i="15"/>
  <c r="F375" i="15"/>
  <c r="E375" i="15"/>
  <c r="H374" i="15"/>
  <c r="J374" i="15" s="1"/>
  <c r="G374" i="15"/>
  <c r="K374" i="15" s="1"/>
  <c r="F374" i="15"/>
  <c r="E374" i="15"/>
  <c r="J373" i="15"/>
  <c r="K373" i="15" s="1"/>
  <c r="H373" i="15"/>
  <c r="F373" i="15"/>
  <c r="E373" i="15"/>
  <c r="K372" i="15"/>
  <c r="J372" i="15"/>
  <c r="H372" i="15"/>
  <c r="F372" i="15"/>
  <c r="E372" i="15"/>
  <c r="K371" i="15"/>
  <c r="H371" i="15"/>
  <c r="J371" i="15" s="1"/>
  <c r="F371" i="15"/>
  <c r="E371" i="15"/>
  <c r="H370" i="15"/>
  <c r="J370" i="15" s="1"/>
  <c r="K370" i="15" s="1"/>
  <c r="F370" i="15"/>
  <c r="E370" i="15"/>
  <c r="H369" i="15"/>
  <c r="J369" i="15" s="1"/>
  <c r="K369" i="15" s="1"/>
  <c r="F369" i="15"/>
  <c r="E369" i="15"/>
  <c r="K368" i="15"/>
  <c r="J368" i="15"/>
  <c r="H368" i="15"/>
  <c r="G368" i="15"/>
  <c r="F368" i="15"/>
  <c r="E368" i="15"/>
  <c r="H367" i="15"/>
  <c r="J367" i="15" s="1"/>
  <c r="K367" i="15" s="1"/>
  <c r="F367" i="15"/>
  <c r="E367" i="15"/>
  <c r="J366" i="15"/>
  <c r="K366" i="15" s="1"/>
  <c r="H366" i="15"/>
  <c r="G366" i="15"/>
  <c r="F366" i="15"/>
  <c r="E366" i="15"/>
  <c r="H365" i="15"/>
  <c r="J365" i="15" s="1"/>
  <c r="K365" i="15" s="1"/>
  <c r="K364" i="15" s="1"/>
  <c r="F365" i="15"/>
  <c r="E365" i="15"/>
  <c r="H364" i="15"/>
  <c r="F364" i="15"/>
  <c r="K363" i="15"/>
  <c r="J363" i="15"/>
  <c r="H363" i="15"/>
  <c r="F363" i="15"/>
  <c r="E363" i="15"/>
  <c r="H362" i="15"/>
  <c r="J362" i="15" s="1"/>
  <c r="K362" i="15" s="1"/>
  <c r="F362" i="15"/>
  <c r="E362" i="15"/>
  <c r="J361" i="15"/>
  <c r="K361" i="15" s="1"/>
  <c r="H361" i="15"/>
  <c r="F361" i="15"/>
  <c r="E361" i="15"/>
  <c r="K360" i="15"/>
  <c r="J360" i="15"/>
  <c r="H360" i="15"/>
  <c r="F360" i="15"/>
  <c r="E360" i="15"/>
  <c r="H359" i="15"/>
  <c r="J359" i="15" s="1"/>
  <c r="K359" i="15" s="1"/>
  <c r="F359" i="15"/>
  <c r="E359" i="15"/>
  <c r="H358" i="15"/>
  <c r="J358" i="15" s="1"/>
  <c r="K358" i="15" s="1"/>
  <c r="F358" i="15"/>
  <c r="E358" i="15"/>
  <c r="J357" i="15"/>
  <c r="K357" i="15" s="1"/>
  <c r="H357" i="15"/>
  <c r="F357" i="15"/>
  <c r="E357" i="15"/>
  <c r="K356" i="15"/>
  <c r="J356" i="15"/>
  <c r="H356" i="15"/>
  <c r="F356" i="15"/>
  <c r="E356" i="15"/>
  <c r="H355" i="15"/>
  <c r="J355" i="15" s="1"/>
  <c r="K355" i="15" s="1"/>
  <c r="F355" i="15"/>
  <c r="E355" i="15"/>
  <c r="H354" i="15"/>
  <c r="J354" i="15" s="1"/>
  <c r="K354" i="15" s="1"/>
  <c r="F354" i="15"/>
  <c r="E354" i="15"/>
  <c r="H353" i="15"/>
  <c r="F353" i="15"/>
  <c r="H352" i="15"/>
  <c r="J352" i="15" s="1"/>
  <c r="K352" i="15" s="1"/>
  <c r="F352" i="15"/>
  <c r="E352" i="15"/>
  <c r="H351" i="15"/>
  <c r="J351" i="15" s="1"/>
  <c r="K351" i="15" s="1"/>
  <c r="F351" i="15"/>
  <c r="E351" i="15"/>
  <c r="J350" i="15"/>
  <c r="K350" i="15" s="1"/>
  <c r="H350" i="15"/>
  <c r="F350" i="15"/>
  <c r="E350" i="15"/>
  <c r="J349" i="15"/>
  <c r="K349" i="15" s="1"/>
  <c r="H349" i="15"/>
  <c r="F349" i="15"/>
  <c r="E349" i="15"/>
  <c r="H348" i="15"/>
  <c r="J348" i="15" s="1"/>
  <c r="K348" i="15" s="1"/>
  <c r="F348" i="15"/>
  <c r="E348" i="15"/>
  <c r="H347" i="15"/>
  <c r="F347" i="15"/>
  <c r="J346" i="15"/>
  <c r="K346" i="15" s="1"/>
  <c r="H346" i="15"/>
  <c r="F346" i="15"/>
  <c r="E346" i="15"/>
  <c r="H345" i="15"/>
  <c r="J345" i="15" s="1"/>
  <c r="K345" i="15" s="1"/>
  <c r="F345" i="15"/>
  <c r="E345" i="15"/>
  <c r="H344" i="15"/>
  <c r="J344" i="15" s="1"/>
  <c r="K344" i="15" s="1"/>
  <c r="F344" i="15"/>
  <c r="E344" i="15"/>
  <c r="J343" i="15"/>
  <c r="K343" i="15" s="1"/>
  <c r="H343" i="15"/>
  <c r="F343" i="15"/>
  <c r="E343" i="15"/>
  <c r="K342" i="15"/>
  <c r="H342" i="15"/>
  <c r="J342" i="15" s="1"/>
  <c r="F342" i="15"/>
  <c r="E342" i="15"/>
  <c r="K341" i="15"/>
  <c r="H341" i="15"/>
  <c r="J341" i="15" s="1"/>
  <c r="F341" i="15"/>
  <c r="E341" i="15"/>
  <c r="H340" i="15"/>
  <c r="J340" i="15" s="1"/>
  <c r="K340" i="15" s="1"/>
  <c r="F340" i="15"/>
  <c r="E340" i="15"/>
  <c r="H339" i="15"/>
  <c r="F339" i="15"/>
  <c r="H338" i="15"/>
  <c r="J338" i="15" s="1"/>
  <c r="K338" i="15" s="1"/>
  <c r="F338" i="15"/>
  <c r="E338" i="15"/>
  <c r="H337" i="15"/>
  <c r="J337" i="15" s="1"/>
  <c r="K337" i="15" s="1"/>
  <c r="F337" i="15"/>
  <c r="E337" i="15"/>
  <c r="J336" i="15"/>
  <c r="K336" i="15" s="1"/>
  <c r="H336" i="15"/>
  <c r="F336" i="15"/>
  <c r="E336" i="15"/>
  <c r="K335" i="15"/>
  <c r="J335" i="15"/>
  <c r="H335" i="15"/>
  <c r="F335" i="15"/>
  <c r="E335" i="15"/>
  <c r="J334" i="15"/>
  <c r="H334" i="15"/>
  <c r="G334" i="15"/>
  <c r="K334" i="15" s="1"/>
  <c r="F334" i="15"/>
  <c r="E334" i="15"/>
  <c r="J333" i="15"/>
  <c r="K333" i="15" s="1"/>
  <c r="H333" i="15"/>
  <c r="F333" i="15"/>
  <c r="E333" i="15"/>
  <c r="K332" i="15"/>
  <c r="H332" i="15"/>
  <c r="J332" i="15" s="1"/>
  <c r="G332" i="15"/>
  <c r="F332" i="15"/>
  <c r="E332" i="15"/>
  <c r="H331" i="15"/>
  <c r="J331" i="15" s="1"/>
  <c r="K331" i="15" s="1"/>
  <c r="F331" i="15"/>
  <c r="E331" i="15"/>
  <c r="J330" i="15"/>
  <c r="K330" i="15" s="1"/>
  <c r="H330" i="15"/>
  <c r="F330" i="15"/>
  <c r="E330" i="15"/>
  <c r="K329" i="15"/>
  <c r="J329" i="15"/>
  <c r="H329" i="15"/>
  <c r="F329" i="15"/>
  <c r="E329" i="15"/>
  <c r="H328" i="15"/>
  <c r="F328" i="15"/>
  <c r="J327" i="15"/>
  <c r="K327" i="15" s="1"/>
  <c r="H327" i="15"/>
  <c r="F327" i="15"/>
  <c r="E327" i="15"/>
  <c r="J326" i="15"/>
  <c r="K326" i="15" s="1"/>
  <c r="H326" i="15"/>
  <c r="F326" i="15"/>
  <c r="E326" i="15"/>
  <c r="H325" i="15"/>
  <c r="J325" i="15" s="1"/>
  <c r="K325" i="15" s="1"/>
  <c r="F325" i="15"/>
  <c r="E325" i="15"/>
  <c r="H324" i="15"/>
  <c r="J324" i="15" s="1"/>
  <c r="K324" i="15" s="1"/>
  <c r="F324" i="15"/>
  <c r="E324" i="15"/>
  <c r="J323" i="15"/>
  <c r="K323" i="15" s="1"/>
  <c r="H323" i="15"/>
  <c r="F323" i="15"/>
  <c r="E323" i="15"/>
  <c r="H322" i="15"/>
  <c r="J322" i="15" s="1"/>
  <c r="K322" i="15" s="1"/>
  <c r="F322" i="15"/>
  <c r="E322" i="15"/>
  <c r="K321" i="15"/>
  <c r="H321" i="15"/>
  <c r="J321" i="15" s="1"/>
  <c r="F321" i="15"/>
  <c r="E321" i="15"/>
  <c r="H320" i="15"/>
  <c r="J320" i="15" s="1"/>
  <c r="K320" i="15" s="1"/>
  <c r="F320" i="15"/>
  <c r="E320" i="15"/>
  <c r="H319" i="15"/>
  <c r="J319" i="15" s="1"/>
  <c r="K319" i="15" s="1"/>
  <c r="F319" i="15"/>
  <c r="E319" i="15"/>
  <c r="K318" i="15"/>
  <c r="J318" i="15"/>
  <c r="H318" i="15"/>
  <c r="F318" i="15"/>
  <c r="E318" i="15"/>
  <c r="J317" i="15"/>
  <c r="K317" i="15" s="1"/>
  <c r="H317" i="15"/>
  <c r="F317" i="15"/>
  <c r="E317" i="15"/>
  <c r="H316" i="15"/>
  <c r="J316" i="15" s="1"/>
  <c r="K316" i="15" s="1"/>
  <c r="F316" i="15"/>
  <c r="E316" i="15"/>
  <c r="J315" i="15"/>
  <c r="K315" i="15" s="1"/>
  <c r="H315" i="15"/>
  <c r="F315" i="15"/>
  <c r="E315" i="15"/>
  <c r="J314" i="15"/>
  <c r="K314" i="15" s="1"/>
  <c r="H314" i="15"/>
  <c r="F314" i="15"/>
  <c r="E314" i="15"/>
  <c r="H313" i="15"/>
  <c r="J313" i="15" s="1"/>
  <c r="K313" i="15" s="1"/>
  <c r="F313" i="15"/>
  <c r="E313" i="15"/>
  <c r="H312" i="15"/>
  <c r="J312" i="15" s="1"/>
  <c r="K312" i="15" s="1"/>
  <c r="F312" i="15"/>
  <c r="E312" i="15"/>
  <c r="J311" i="15"/>
  <c r="K311" i="15" s="1"/>
  <c r="H311" i="15"/>
  <c r="F311" i="15"/>
  <c r="E311" i="15"/>
  <c r="K310" i="15"/>
  <c r="H310" i="15"/>
  <c r="J310" i="15" s="1"/>
  <c r="F310" i="15"/>
  <c r="E310" i="15"/>
  <c r="H309" i="15"/>
  <c r="J309" i="15" s="1"/>
  <c r="K309" i="15" s="1"/>
  <c r="F309" i="15"/>
  <c r="E309" i="15"/>
  <c r="H308" i="15"/>
  <c r="J308" i="15" s="1"/>
  <c r="K308" i="15" s="1"/>
  <c r="F308" i="15"/>
  <c r="E308" i="15"/>
  <c r="H307" i="15"/>
  <c r="J307" i="15" s="1"/>
  <c r="K307" i="15" s="1"/>
  <c r="F307" i="15"/>
  <c r="E307" i="15"/>
  <c r="K306" i="15"/>
  <c r="J306" i="15"/>
  <c r="H306" i="15"/>
  <c r="F306" i="15"/>
  <c r="E306" i="15"/>
  <c r="J305" i="15"/>
  <c r="K305" i="15" s="1"/>
  <c r="H305" i="15"/>
  <c r="F305" i="15"/>
  <c r="E305" i="15"/>
  <c r="H304" i="15"/>
  <c r="J304" i="15" s="1"/>
  <c r="K304" i="15" s="1"/>
  <c r="F304" i="15"/>
  <c r="E304" i="15"/>
  <c r="J303" i="15"/>
  <c r="K303" i="15" s="1"/>
  <c r="H303" i="15"/>
  <c r="F303" i="15"/>
  <c r="E303" i="15"/>
  <c r="J302" i="15"/>
  <c r="K302" i="15" s="1"/>
  <c r="H302" i="15"/>
  <c r="F302" i="15"/>
  <c r="E302" i="15"/>
  <c r="H301" i="15"/>
  <c r="J301" i="15" s="1"/>
  <c r="K301" i="15" s="1"/>
  <c r="F301" i="15"/>
  <c r="E301" i="15"/>
  <c r="H300" i="15"/>
  <c r="J300" i="15" s="1"/>
  <c r="K300" i="15" s="1"/>
  <c r="F300" i="15"/>
  <c r="E300" i="15"/>
  <c r="J299" i="15"/>
  <c r="K299" i="15" s="1"/>
  <c r="H299" i="15"/>
  <c r="F299" i="15"/>
  <c r="E299" i="15"/>
  <c r="K298" i="15"/>
  <c r="H298" i="15"/>
  <c r="J298" i="15" s="1"/>
  <c r="F298" i="15"/>
  <c r="E298" i="15"/>
  <c r="H297" i="15"/>
  <c r="J297" i="15" s="1"/>
  <c r="K297" i="15" s="1"/>
  <c r="F297" i="15"/>
  <c r="E297" i="15"/>
  <c r="H296" i="15"/>
  <c r="J296" i="15" s="1"/>
  <c r="K296" i="15" s="1"/>
  <c r="F296" i="15"/>
  <c r="E296" i="15"/>
  <c r="H295" i="15"/>
  <c r="J295" i="15" s="1"/>
  <c r="K295" i="15" s="1"/>
  <c r="F295" i="15"/>
  <c r="E295" i="15"/>
  <c r="K294" i="15"/>
  <c r="J294" i="15"/>
  <c r="H294" i="15"/>
  <c r="F294" i="15"/>
  <c r="E294" i="15"/>
  <c r="J293" i="15"/>
  <c r="K293" i="15" s="1"/>
  <c r="H293" i="15"/>
  <c r="F293" i="15"/>
  <c r="E293" i="15"/>
  <c r="H292" i="15"/>
  <c r="J292" i="15" s="1"/>
  <c r="K292" i="15" s="1"/>
  <c r="F292" i="15"/>
  <c r="E292" i="15"/>
  <c r="J291" i="15"/>
  <c r="K291" i="15" s="1"/>
  <c r="H291" i="15"/>
  <c r="F291" i="15"/>
  <c r="E291" i="15"/>
  <c r="K290" i="15"/>
  <c r="K288" i="15" s="1"/>
  <c r="L288" i="15" s="1"/>
  <c r="J290" i="15"/>
  <c r="H290" i="15"/>
  <c r="F290" i="15"/>
  <c r="E290" i="15"/>
  <c r="H289" i="15"/>
  <c r="F289" i="15"/>
  <c r="H288" i="15"/>
  <c r="F288" i="15"/>
  <c r="J287" i="15"/>
  <c r="K287" i="15" s="1"/>
  <c r="H287" i="15"/>
  <c r="F287" i="15"/>
  <c r="E287" i="15"/>
  <c r="K286" i="15"/>
  <c r="J286" i="15"/>
  <c r="H286" i="15"/>
  <c r="F286" i="15"/>
  <c r="E286" i="15"/>
  <c r="J285" i="15"/>
  <c r="K285" i="15" s="1"/>
  <c r="H285" i="15"/>
  <c r="F285" i="15"/>
  <c r="E285" i="15"/>
  <c r="H284" i="15"/>
  <c r="J284" i="15" s="1"/>
  <c r="K284" i="15" s="1"/>
  <c r="F284" i="15"/>
  <c r="E284" i="15"/>
  <c r="J282" i="15"/>
  <c r="K282" i="15" s="1"/>
  <c r="H282" i="15"/>
  <c r="F282" i="15"/>
  <c r="E282" i="15"/>
  <c r="J281" i="15"/>
  <c r="K281" i="15" s="1"/>
  <c r="H281" i="15"/>
  <c r="F281" i="15"/>
  <c r="E281" i="15"/>
  <c r="H280" i="15"/>
  <c r="J280" i="15" s="1"/>
  <c r="K280" i="15" s="1"/>
  <c r="F280" i="15"/>
  <c r="E280" i="15"/>
  <c r="H279" i="15"/>
  <c r="J279" i="15" s="1"/>
  <c r="K279" i="15" s="1"/>
  <c r="F279" i="15"/>
  <c r="E279" i="15"/>
  <c r="J278" i="15"/>
  <c r="K278" i="15" s="1"/>
  <c r="H278" i="15"/>
  <c r="F278" i="15"/>
  <c r="E278" i="15"/>
  <c r="H277" i="15"/>
  <c r="J277" i="15" s="1"/>
  <c r="K277" i="15" s="1"/>
  <c r="F277" i="15"/>
  <c r="E277" i="15"/>
  <c r="K275" i="15"/>
  <c r="H275" i="15"/>
  <c r="J275" i="15" s="1"/>
  <c r="F275" i="15"/>
  <c r="E275" i="15"/>
  <c r="H274" i="15"/>
  <c r="J274" i="15" s="1"/>
  <c r="K274" i="15" s="1"/>
  <c r="F274" i="15"/>
  <c r="E274" i="15"/>
  <c r="H273" i="15"/>
  <c r="J273" i="15" s="1"/>
  <c r="K273" i="15" s="1"/>
  <c r="F273" i="15"/>
  <c r="E273" i="15"/>
  <c r="K272" i="15"/>
  <c r="J272" i="15"/>
  <c r="H272" i="15"/>
  <c r="F272" i="15"/>
  <c r="E272" i="15"/>
  <c r="J271" i="15"/>
  <c r="K271" i="15" s="1"/>
  <c r="H271" i="15"/>
  <c r="F271" i="15"/>
  <c r="E271" i="15"/>
  <c r="H270" i="15"/>
  <c r="J270" i="15" s="1"/>
  <c r="K270" i="15" s="1"/>
  <c r="F270" i="15"/>
  <c r="E270" i="15"/>
  <c r="J269" i="15"/>
  <c r="K269" i="15" s="1"/>
  <c r="H269" i="15"/>
  <c r="F269" i="15"/>
  <c r="E269" i="15"/>
  <c r="J268" i="15"/>
  <c r="K268" i="15" s="1"/>
  <c r="H268" i="15"/>
  <c r="F268" i="15"/>
  <c r="E268" i="15"/>
  <c r="H267" i="15"/>
  <c r="J267" i="15" s="1"/>
  <c r="G267" i="15"/>
  <c r="K267" i="15" s="1"/>
  <c r="F267" i="15"/>
  <c r="E267" i="15"/>
  <c r="J266" i="15"/>
  <c r="K266" i="15" s="1"/>
  <c r="H266" i="15"/>
  <c r="F266" i="15"/>
  <c r="E266" i="15"/>
  <c r="K264" i="15"/>
  <c r="J264" i="15"/>
  <c r="H264" i="15"/>
  <c r="F264" i="15"/>
  <c r="E264" i="15"/>
  <c r="J263" i="15"/>
  <c r="K263" i="15" s="1"/>
  <c r="H263" i="15"/>
  <c r="F263" i="15"/>
  <c r="E263" i="15"/>
  <c r="H262" i="15"/>
  <c r="J262" i="15" s="1"/>
  <c r="K262" i="15" s="1"/>
  <c r="F262" i="15"/>
  <c r="E262" i="15"/>
  <c r="J261" i="15"/>
  <c r="K261" i="15" s="1"/>
  <c r="H261" i="15"/>
  <c r="F261" i="15"/>
  <c r="E261" i="15"/>
  <c r="J260" i="15"/>
  <c r="K260" i="15" s="1"/>
  <c r="H260" i="15"/>
  <c r="F260" i="15"/>
  <c r="E260" i="15"/>
  <c r="H259" i="15"/>
  <c r="J259" i="15" s="1"/>
  <c r="K259" i="15" s="1"/>
  <c r="F259" i="15"/>
  <c r="E259" i="15"/>
  <c r="H258" i="15"/>
  <c r="J258" i="15" s="1"/>
  <c r="K258" i="15" s="1"/>
  <c r="F258" i="15"/>
  <c r="E258" i="15"/>
  <c r="J257" i="15"/>
  <c r="K257" i="15" s="1"/>
  <c r="H257" i="15"/>
  <c r="F257" i="15"/>
  <c r="E257" i="15"/>
  <c r="K256" i="15"/>
  <c r="H256" i="15"/>
  <c r="J256" i="15" s="1"/>
  <c r="F256" i="15"/>
  <c r="E256" i="15"/>
  <c r="H255" i="15"/>
  <c r="J255" i="15" s="1"/>
  <c r="K255" i="15" s="1"/>
  <c r="F255" i="15"/>
  <c r="E255" i="15"/>
  <c r="H254" i="15"/>
  <c r="J254" i="15" s="1"/>
  <c r="K254" i="15" s="1"/>
  <c r="F254" i="15"/>
  <c r="E254" i="15"/>
  <c r="H253" i="15"/>
  <c r="J253" i="15" s="1"/>
  <c r="K253" i="15" s="1"/>
  <c r="F253" i="15"/>
  <c r="E253" i="15"/>
  <c r="K252" i="15"/>
  <c r="J252" i="15"/>
  <c r="H252" i="15"/>
  <c r="F252" i="15"/>
  <c r="E252" i="15"/>
  <c r="J251" i="15"/>
  <c r="K251" i="15" s="1"/>
  <c r="H251" i="15"/>
  <c r="F251" i="15"/>
  <c r="E251" i="15"/>
  <c r="H250" i="15"/>
  <c r="J250" i="15" s="1"/>
  <c r="G250" i="15"/>
  <c r="F250" i="15"/>
  <c r="E250" i="15"/>
  <c r="H249" i="15"/>
  <c r="J249" i="15" s="1"/>
  <c r="K249" i="15" s="1"/>
  <c r="F249" i="15"/>
  <c r="E249" i="15"/>
  <c r="H248" i="15"/>
  <c r="J248" i="15" s="1"/>
  <c r="K248" i="15" s="1"/>
  <c r="F248" i="15"/>
  <c r="E248" i="15"/>
  <c r="H247" i="15"/>
  <c r="J247" i="15" s="1"/>
  <c r="K247" i="15" s="1"/>
  <c r="F247" i="15"/>
  <c r="E247" i="15"/>
  <c r="J245" i="15"/>
  <c r="K245" i="15" s="1"/>
  <c r="H245" i="15"/>
  <c r="F245" i="15"/>
  <c r="E245" i="15"/>
  <c r="K244" i="15"/>
  <c r="J244" i="15"/>
  <c r="H244" i="15"/>
  <c r="F244" i="15"/>
  <c r="E244" i="15"/>
  <c r="J243" i="15"/>
  <c r="K243" i="15" s="1"/>
  <c r="H243" i="15"/>
  <c r="F243" i="15"/>
  <c r="E243" i="15"/>
  <c r="H242" i="15"/>
  <c r="J242" i="15" s="1"/>
  <c r="K242" i="15" s="1"/>
  <c r="F242" i="15"/>
  <c r="E242" i="15"/>
  <c r="J241" i="15"/>
  <c r="K241" i="15" s="1"/>
  <c r="H241" i="15"/>
  <c r="F241" i="15"/>
  <c r="E241" i="15"/>
  <c r="J240" i="15"/>
  <c r="K240" i="15" s="1"/>
  <c r="J239" i="15"/>
  <c r="K239" i="15" s="1"/>
  <c r="K238" i="15"/>
  <c r="J238" i="15"/>
  <c r="H237" i="15"/>
  <c r="J237" i="15" s="1"/>
  <c r="K237" i="15" s="1"/>
  <c r="F237" i="15"/>
  <c r="E237" i="15"/>
  <c r="J236" i="15"/>
  <c r="K236" i="15" s="1"/>
  <c r="H236" i="15"/>
  <c r="F236" i="15"/>
  <c r="E236" i="15"/>
  <c r="K235" i="15"/>
  <c r="K233" i="15" s="1"/>
  <c r="L233" i="15" s="1"/>
  <c r="J235" i="15"/>
  <c r="H235" i="15"/>
  <c r="F235" i="15"/>
  <c r="E235" i="15"/>
  <c r="H234" i="15"/>
  <c r="F234" i="15"/>
  <c r="H233" i="15"/>
  <c r="F233" i="15"/>
  <c r="J232" i="15"/>
  <c r="K232" i="15" s="1"/>
  <c r="H232" i="15"/>
  <c r="F232" i="15"/>
  <c r="E232" i="15"/>
  <c r="K231" i="15"/>
  <c r="H231" i="15"/>
  <c r="J231" i="15" s="1"/>
  <c r="F231" i="15"/>
  <c r="E231" i="15"/>
  <c r="K230" i="15"/>
  <c r="H230" i="15"/>
  <c r="J230" i="15" s="1"/>
  <c r="F230" i="15"/>
  <c r="E230" i="15"/>
  <c r="H229" i="15"/>
  <c r="J229" i="15" s="1"/>
  <c r="K229" i="15" s="1"/>
  <c r="F229" i="15"/>
  <c r="E229" i="15"/>
  <c r="J228" i="15"/>
  <c r="K228" i="15" s="1"/>
  <c r="H228" i="15"/>
  <c r="F228" i="15"/>
  <c r="E228" i="15"/>
  <c r="K227" i="15"/>
  <c r="J227" i="15"/>
  <c r="H227" i="15"/>
  <c r="F227" i="15"/>
  <c r="E227" i="15"/>
  <c r="J226" i="15"/>
  <c r="K226" i="15" s="1"/>
  <c r="H226" i="15"/>
  <c r="F226" i="15"/>
  <c r="E226" i="15"/>
  <c r="H225" i="15"/>
  <c r="F225" i="15"/>
  <c r="K224" i="15"/>
  <c r="J224" i="15"/>
  <c r="H224" i="15"/>
  <c r="F224" i="15"/>
  <c r="E224" i="15"/>
  <c r="J223" i="15"/>
  <c r="K223" i="15" s="1"/>
  <c r="H223" i="15"/>
  <c r="F223" i="15"/>
  <c r="E223" i="15"/>
  <c r="H222" i="15"/>
  <c r="J222" i="15" s="1"/>
  <c r="K222" i="15" s="1"/>
  <c r="F222" i="15"/>
  <c r="E222" i="15"/>
  <c r="J221" i="15"/>
  <c r="K221" i="15" s="1"/>
  <c r="H221" i="15"/>
  <c r="F221" i="15"/>
  <c r="E221" i="15"/>
  <c r="K220" i="15"/>
  <c r="J220" i="15"/>
  <c r="H220" i="15"/>
  <c r="F220" i="15"/>
  <c r="E220" i="15"/>
  <c r="H219" i="15"/>
  <c r="F219" i="15"/>
  <c r="J218" i="15"/>
  <c r="K218" i="15" s="1"/>
  <c r="H218" i="15"/>
  <c r="F218" i="15"/>
  <c r="E218" i="15"/>
  <c r="J217" i="15"/>
  <c r="K217" i="15" s="1"/>
  <c r="H217" i="15"/>
  <c r="F217" i="15"/>
  <c r="E217" i="15"/>
  <c r="H216" i="15"/>
  <c r="J216" i="15" s="1"/>
  <c r="K216" i="15" s="1"/>
  <c r="F216" i="15"/>
  <c r="E216" i="15"/>
  <c r="H215" i="15"/>
  <c r="J215" i="15" s="1"/>
  <c r="K215" i="15" s="1"/>
  <c r="F215" i="15"/>
  <c r="E215" i="15"/>
  <c r="J214" i="15"/>
  <c r="K214" i="15" s="1"/>
  <c r="H214" i="15"/>
  <c r="F214" i="15"/>
  <c r="E214" i="15"/>
  <c r="H213" i="15"/>
  <c r="F213" i="15"/>
  <c r="H212" i="15"/>
  <c r="J212" i="15" s="1"/>
  <c r="K212" i="15" s="1"/>
  <c r="F212" i="15"/>
  <c r="E212" i="15"/>
  <c r="J211" i="15"/>
  <c r="K211" i="15" s="1"/>
  <c r="H211" i="15"/>
  <c r="F211" i="15"/>
  <c r="E211" i="15"/>
  <c r="H210" i="15"/>
  <c r="J210" i="15" s="1"/>
  <c r="K210" i="15" s="1"/>
  <c r="F210" i="15"/>
  <c r="E210" i="15"/>
  <c r="K209" i="15"/>
  <c r="H209" i="15"/>
  <c r="J209" i="15" s="1"/>
  <c r="F209" i="15"/>
  <c r="E209" i="15"/>
  <c r="H208" i="15"/>
  <c r="J208" i="15" s="1"/>
  <c r="K208" i="15" s="1"/>
  <c r="F208" i="15"/>
  <c r="E208" i="15"/>
  <c r="J207" i="15"/>
  <c r="K207" i="15" s="1"/>
  <c r="H207" i="15"/>
  <c r="F207" i="15"/>
  <c r="E207" i="15"/>
  <c r="K206" i="15"/>
  <c r="J206" i="15"/>
  <c r="H206" i="15"/>
  <c r="F206" i="15"/>
  <c r="E206" i="15"/>
  <c r="J205" i="15"/>
  <c r="K205" i="15" s="1"/>
  <c r="H205" i="15"/>
  <c r="F205" i="15"/>
  <c r="E205" i="15"/>
  <c r="H204" i="15"/>
  <c r="J204" i="15" s="1"/>
  <c r="K204" i="15" s="1"/>
  <c r="F204" i="15"/>
  <c r="E204" i="15"/>
  <c r="J203" i="15"/>
  <c r="K203" i="15" s="1"/>
  <c r="H203" i="15"/>
  <c r="F203" i="15"/>
  <c r="E203" i="15"/>
  <c r="K202" i="15"/>
  <c r="J202" i="15"/>
  <c r="H202" i="15"/>
  <c r="F202" i="15"/>
  <c r="E202" i="15"/>
  <c r="H201" i="15"/>
  <c r="J201" i="15" s="1"/>
  <c r="K201" i="15" s="1"/>
  <c r="F201" i="15"/>
  <c r="E201" i="15"/>
  <c r="H200" i="15"/>
  <c r="J200" i="15" s="1"/>
  <c r="K200" i="15" s="1"/>
  <c r="F200" i="15"/>
  <c r="E200" i="15"/>
  <c r="J199" i="15"/>
  <c r="K199" i="15" s="1"/>
  <c r="H199" i="15"/>
  <c r="F199" i="15"/>
  <c r="E199" i="15"/>
  <c r="H198" i="15"/>
  <c r="F198" i="15"/>
  <c r="H197" i="15"/>
  <c r="J197" i="15" s="1"/>
  <c r="K197" i="15" s="1"/>
  <c r="F197" i="15"/>
  <c r="E197" i="15"/>
  <c r="J196" i="15"/>
  <c r="K196" i="15" s="1"/>
  <c r="H196" i="15"/>
  <c r="F196" i="15"/>
  <c r="E196" i="15"/>
  <c r="C195" i="15"/>
  <c r="H194" i="15"/>
  <c r="J194" i="15" s="1"/>
  <c r="K194" i="15" s="1"/>
  <c r="F194" i="15"/>
  <c r="E194" i="15"/>
  <c r="J193" i="15"/>
  <c r="K193" i="15" s="1"/>
  <c r="H193" i="15"/>
  <c r="F193" i="15"/>
  <c r="E193" i="15"/>
  <c r="J192" i="15"/>
  <c r="K192" i="15" s="1"/>
  <c r="H192" i="15"/>
  <c r="F192" i="15"/>
  <c r="E192" i="15"/>
  <c r="H191" i="15"/>
  <c r="J191" i="15" s="1"/>
  <c r="K191" i="15" s="1"/>
  <c r="F191" i="15"/>
  <c r="E191" i="15"/>
  <c r="H190" i="15"/>
  <c r="J190" i="15" s="1"/>
  <c r="K190" i="15" s="1"/>
  <c r="F190" i="15"/>
  <c r="E190" i="15"/>
  <c r="J189" i="15"/>
  <c r="K189" i="15" s="1"/>
  <c r="H189" i="15"/>
  <c r="F189" i="15"/>
  <c r="E189" i="15"/>
  <c r="H188" i="15"/>
  <c r="J188" i="15" s="1"/>
  <c r="K188" i="15" s="1"/>
  <c r="F188" i="15"/>
  <c r="E188" i="15"/>
  <c r="H187" i="15"/>
  <c r="J187" i="15" s="1"/>
  <c r="K187" i="15" s="1"/>
  <c r="F187" i="15"/>
  <c r="E187" i="15"/>
  <c r="H186" i="15"/>
  <c r="J186" i="15" s="1"/>
  <c r="K186" i="15" s="1"/>
  <c r="F186" i="15"/>
  <c r="E186" i="15"/>
  <c r="J185" i="15"/>
  <c r="K185" i="15" s="1"/>
  <c r="H185" i="15"/>
  <c r="F185" i="15"/>
  <c r="E185" i="15"/>
  <c r="K184" i="15"/>
  <c r="J184" i="15"/>
  <c r="H184" i="15"/>
  <c r="F184" i="15"/>
  <c r="E184" i="15"/>
  <c r="J183" i="15"/>
  <c r="K183" i="15" s="1"/>
  <c r="H183" i="15"/>
  <c r="F183" i="15"/>
  <c r="E183" i="15"/>
  <c r="H182" i="15"/>
  <c r="J182" i="15" s="1"/>
  <c r="K182" i="15" s="1"/>
  <c r="C182" i="15"/>
  <c r="F182" i="15" s="1"/>
  <c r="H181" i="15"/>
  <c r="J181" i="15" s="1"/>
  <c r="K181" i="15" s="1"/>
  <c r="F181" i="15"/>
  <c r="E181" i="15"/>
  <c r="H180" i="15"/>
  <c r="J180" i="15" s="1"/>
  <c r="K180" i="15" s="1"/>
  <c r="F180" i="15"/>
  <c r="E180" i="15"/>
  <c r="H179" i="15"/>
  <c r="J179" i="15" s="1"/>
  <c r="K179" i="15" s="1"/>
  <c r="F179" i="15"/>
  <c r="E179" i="15"/>
  <c r="J178" i="15"/>
  <c r="K178" i="15" s="1"/>
  <c r="H178" i="15"/>
  <c r="F178" i="15"/>
  <c r="E178" i="15"/>
  <c r="K177" i="15"/>
  <c r="J177" i="15"/>
  <c r="H177" i="15"/>
  <c r="F177" i="15"/>
  <c r="E177" i="15"/>
  <c r="J176" i="15"/>
  <c r="K176" i="15" s="1"/>
  <c r="K174" i="15" s="1"/>
  <c r="L174" i="15" s="1"/>
  <c r="H176" i="15"/>
  <c r="F176" i="15"/>
  <c r="E176" i="15"/>
  <c r="H175" i="15"/>
  <c r="F175" i="15"/>
  <c r="H174" i="15"/>
  <c r="F174" i="15"/>
  <c r="K173" i="15"/>
  <c r="H173" i="15"/>
  <c r="J173" i="15" s="1"/>
  <c r="F173" i="15"/>
  <c r="E173" i="15"/>
  <c r="K172" i="15"/>
  <c r="H172" i="15"/>
  <c r="J172" i="15" s="1"/>
  <c r="F172" i="15"/>
  <c r="E172" i="15"/>
  <c r="H171" i="15"/>
  <c r="J171" i="15" s="1"/>
  <c r="K171" i="15" s="1"/>
  <c r="G171" i="15"/>
  <c r="F171" i="15"/>
  <c r="E171" i="15"/>
  <c r="K170" i="15"/>
  <c r="J170" i="15"/>
  <c r="H170" i="15"/>
  <c r="G170" i="15"/>
  <c r="F170" i="15"/>
  <c r="E170" i="15"/>
  <c r="H169" i="15"/>
  <c r="J169" i="15" s="1"/>
  <c r="K169" i="15" s="1"/>
  <c r="G169" i="15"/>
  <c r="F169" i="15"/>
  <c r="E169" i="15"/>
  <c r="K168" i="15"/>
  <c r="J168" i="15"/>
  <c r="H168" i="15"/>
  <c r="G168" i="15"/>
  <c r="F168" i="15"/>
  <c r="E168" i="15"/>
  <c r="H167" i="15"/>
  <c r="J167" i="15" s="1"/>
  <c r="K167" i="15" s="1"/>
  <c r="G167" i="15"/>
  <c r="F167" i="15"/>
  <c r="E167" i="15"/>
  <c r="K166" i="15"/>
  <c r="J166" i="15"/>
  <c r="H166" i="15"/>
  <c r="G166" i="15"/>
  <c r="F166" i="15"/>
  <c r="E166" i="15"/>
  <c r="H165" i="15"/>
  <c r="J165" i="15" s="1"/>
  <c r="K165" i="15" s="1"/>
  <c r="G165" i="15"/>
  <c r="F165" i="15"/>
  <c r="E165" i="15"/>
  <c r="K164" i="15"/>
  <c r="K163" i="15" s="1"/>
  <c r="L163" i="15" s="1"/>
  <c r="J164" i="15"/>
  <c r="H164" i="15"/>
  <c r="G164" i="15"/>
  <c r="F164" i="15"/>
  <c r="E164" i="15"/>
  <c r="H163" i="15"/>
  <c r="F163" i="15"/>
  <c r="H162" i="15"/>
  <c r="J162" i="15" s="1"/>
  <c r="G162" i="15"/>
  <c r="K162" i="15" s="1"/>
  <c r="F162" i="15"/>
  <c r="E162" i="15"/>
  <c r="K161" i="15"/>
  <c r="J161" i="15"/>
  <c r="H161" i="15"/>
  <c r="G161" i="15"/>
  <c r="F161" i="15"/>
  <c r="E161" i="15"/>
  <c r="H160" i="15"/>
  <c r="J160" i="15" s="1"/>
  <c r="G160" i="15"/>
  <c r="F160" i="15"/>
  <c r="E160" i="15"/>
  <c r="K159" i="15"/>
  <c r="J159" i="15"/>
  <c r="H159" i="15"/>
  <c r="G159" i="15"/>
  <c r="F159" i="15"/>
  <c r="E159" i="15"/>
  <c r="H158" i="15"/>
  <c r="J158" i="15" s="1"/>
  <c r="G158" i="15"/>
  <c r="F158" i="15"/>
  <c r="E158" i="15"/>
  <c r="K157" i="15"/>
  <c r="J157" i="15"/>
  <c r="H157" i="15"/>
  <c r="G157" i="15"/>
  <c r="F157" i="15"/>
  <c r="E157" i="15"/>
  <c r="H156" i="15"/>
  <c r="J156" i="15" s="1"/>
  <c r="K156" i="15" s="1"/>
  <c r="F156" i="15"/>
  <c r="E156" i="15"/>
  <c r="J155" i="15"/>
  <c r="K155" i="15" s="1"/>
  <c r="H155" i="15"/>
  <c r="G155" i="15"/>
  <c r="F155" i="15"/>
  <c r="E155" i="15"/>
  <c r="J154" i="15"/>
  <c r="H154" i="15"/>
  <c r="G154" i="15"/>
  <c r="K154" i="15" s="1"/>
  <c r="F154" i="15"/>
  <c r="E154" i="15"/>
  <c r="J153" i="15"/>
  <c r="K153" i="15" s="1"/>
  <c r="K152" i="15" s="1"/>
  <c r="L152" i="15" s="1"/>
  <c r="H153" i="15"/>
  <c r="G153" i="15"/>
  <c r="F153" i="15"/>
  <c r="E153" i="15"/>
  <c r="H152" i="15"/>
  <c r="F152" i="15"/>
  <c r="K151" i="15"/>
  <c r="K150" i="15" s="1"/>
  <c r="L150" i="15" s="1"/>
  <c r="H151" i="15"/>
  <c r="J151" i="15" s="1"/>
  <c r="F151" i="15"/>
  <c r="E151" i="15"/>
  <c r="H150" i="15"/>
  <c r="F150" i="15"/>
  <c r="H149" i="15"/>
  <c r="J149" i="15" s="1"/>
  <c r="K149" i="15" s="1"/>
  <c r="F149" i="15"/>
  <c r="E149" i="15"/>
  <c r="J148" i="15"/>
  <c r="K148" i="15" s="1"/>
  <c r="H148" i="15"/>
  <c r="G148" i="15"/>
  <c r="F148" i="15"/>
  <c r="E148" i="15"/>
  <c r="J147" i="15"/>
  <c r="H147" i="15"/>
  <c r="G147" i="15"/>
  <c r="K147" i="15" s="1"/>
  <c r="F147" i="15"/>
  <c r="E147" i="15"/>
  <c r="J146" i="15"/>
  <c r="K146" i="15" s="1"/>
  <c r="H146" i="15"/>
  <c r="F146" i="15"/>
  <c r="E146" i="15"/>
  <c r="H145" i="15"/>
  <c r="J145" i="15" s="1"/>
  <c r="F145" i="15"/>
  <c r="E145" i="15"/>
  <c r="H144" i="15"/>
  <c r="J144" i="15" s="1"/>
  <c r="G144" i="15"/>
  <c r="K144" i="15" s="1"/>
  <c r="K143" i="15" s="1"/>
  <c r="L143" i="15" s="1"/>
  <c r="F144" i="15"/>
  <c r="E144" i="15"/>
  <c r="H143" i="15"/>
  <c r="F143" i="15"/>
  <c r="J142" i="15"/>
  <c r="H142" i="15"/>
  <c r="F142" i="15"/>
  <c r="E142" i="15"/>
  <c r="H141" i="15"/>
  <c r="J141" i="15" s="1"/>
  <c r="K141" i="15" s="1"/>
  <c r="G141" i="15"/>
  <c r="F141" i="15"/>
  <c r="E141" i="15"/>
  <c r="J140" i="15"/>
  <c r="K140" i="15" s="1"/>
  <c r="H140" i="15"/>
  <c r="G140" i="15"/>
  <c r="F140" i="15"/>
  <c r="E140" i="15"/>
  <c r="H139" i="15"/>
  <c r="J139" i="15" s="1"/>
  <c r="K139" i="15" s="1"/>
  <c r="G139" i="15"/>
  <c r="F139" i="15"/>
  <c r="E139" i="15"/>
  <c r="J138" i="15"/>
  <c r="K138" i="15" s="1"/>
  <c r="K137" i="15" s="1"/>
  <c r="L137" i="15" s="1"/>
  <c r="H138" i="15"/>
  <c r="G138" i="15"/>
  <c r="G142" i="15" s="1"/>
  <c r="K142" i="15" s="1"/>
  <c r="F138" i="15"/>
  <c r="E138" i="15"/>
  <c r="H137" i="15"/>
  <c r="F137" i="15"/>
  <c r="H136" i="15"/>
  <c r="J136" i="15" s="1"/>
  <c r="K136" i="15" s="1"/>
  <c r="F136" i="15"/>
  <c r="H135" i="15"/>
  <c r="J135" i="15" s="1"/>
  <c r="K135" i="15" s="1"/>
  <c r="F135" i="15"/>
  <c r="H134" i="15"/>
  <c r="J134" i="15" s="1"/>
  <c r="K134" i="15" s="1"/>
  <c r="F134" i="15"/>
  <c r="H133" i="15"/>
  <c r="J133" i="15" s="1"/>
  <c r="G133" i="15"/>
  <c r="K133" i="15" s="1"/>
  <c r="F133" i="15"/>
  <c r="J131" i="15"/>
  <c r="K131" i="15" s="1"/>
  <c r="H131" i="15"/>
  <c r="F131" i="15"/>
  <c r="E131" i="15"/>
  <c r="K130" i="15"/>
  <c r="H130" i="15"/>
  <c r="J130" i="15" s="1"/>
  <c r="F130" i="15"/>
  <c r="E130" i="15"/>
  <c r="K128" i="15"/>
  <c r="H128" i="15"/>
  <c r="J128" i="15" s="1"/>
  <c r="G128" i="15"/>
  <c r="F128" i="15"/>
  <c r="H126" i="15"/>
  <c r="J126" i="15" s="1"/>
  <c r="F126" i="15"/>
  <c r="E126" i="15"/>
  <c r="J125" i="15"/>
  <c r="K125" i="15" s="1"/>
  <c r="H125" i="15"/>
  <c r="G125" i="15"/>
  <c r="G126" i="15" s="1"/>
  <c r="K126" i="15" s="1"/>
  <c r="F125" i="15"/>
  <c r="E125" i="15"/>
  <c r="H124" i="15"/>
  <c r="J124" i="15" s="1"/>
  <c r="K124" i="15" s="1"/>
  <c r="G124" i="15"/>
  <c r="F124" i="15"/>
  <c r="E124" i="15"/>
  <c r="K123" i="15"/>
  <c r="J123" i="15"/>
  <c r="H123" i="15"/>
  <c r="G123" i="15"/>
  <c r="F123" i="15"/>
  <c r="E123" i="15"/>
  <c r="H121" i="15"/>
  <c r="J121" i="15" s="1"/>
  <c r="K121" i="15" s="1"/>
  <c r="F121" i="15"/>
  <c r="E121" i="15"/>
  <c r="J120" i="15"/>
  <c r="K120" i="15" s="1"/>
  <c r="H120" i="15"/>
  <c r="F120" i="15"/>
  <c r="E120" i="15"/>
  <c r="K119" i="15"/>
  <c r="J119" i="15"/>
  <c r="H119" i="15"/>
  <c r="F119" i="15"/>
  <c r="E119" i="15"/>
  <c r="J118" i="15"/>
  <c r="K118" i="15" s="1"/>
  <c r="H118" i="15"/>
  <c r="F118" i="15"/>
  <c r="E118" i="15"/>
  <c r="H117" i="15"/>
  <c r="J117" i="15" s="1"/>
  <c r="G117" i="15"/>
  <c r="F117" i="15"/>
  <c r="E117" i="15"/>
  <c r="H116" i="15"/>
  <c r="J116" i="15" s="1"/>
  <c r="K116" i="15" s="1"/>
  <c r="G116" i="15"/>
  <c r="F116" i="15"/>
  <c r="E116" i="15"/>
  <c r="H115" i="15"/>
  <c r="J115" i="15" s="1"/>
  <c r="G115" i="15"/>
  <c r="F115" i="15"/>
  <c r="J114" i="15"/>
  <c r="K114" i="15" s="1"/>
  <c r="H114" i="15"/>
  <c r="G114" i="15"/>
  <c r="F114" i="15"/>
  <c r="E114" i="15"/>
  <c r="H113" i="15"/>
  <c r="J113" i="15" s="1"/>
  <c r="G113" i="15"/>
  <c r="K113" i="15" s="1"/>
  <c r="F113" i="15"/>
  <c r="E113" i="15"/>
  <c r="J112" i="15"/>
  <c r="K112" i="15" s="1"/>
  <c r="H112" i="15"/>
  <c r="G112" i="15"/>
  <c r="F112" i="15"/>
  <c r="E112" i="15"/>
  <c r="K111" i="15"/>
  <c r="H111" i="15"/>
  <c r="J111" i="15" s="1"/>
  <c r="G111" i="15"/>
  <c r="F111" i="15"/>
  <c r="E111" i="15"/>
  <c r="J110" i="15"/>
  <c r="K110" i="15" s="1"/>
  <c r="H110" i="15"/>
  <c r="G110" i="15"/>
  <c r="F110" i="15"/>
  <c r="E110" i="15"/>
  <c r="H109" i="15"/>
  <c r="J109" i="15" s="1"/>
  <c r="G109" i="15"/>
  <c r="K109" i="15" s="1"/>
  <c r="F109" i="15"/>
  <c r="E109" i="15"/>
  <c r="J108" i="15"/>
  <c r="K108" i="15" s="1"/>
  <c r="H108" i="15"/>
  <c r="G108" i="15"/>
  <c r="F108" i="15"/>
  <c r="J107" i="15"/>
  <c r="K107" i="15" s="1"/>
  <c r="H107" i="15"/>
  <c r="G107" i="15"/>
  <c r="F107" i="15"/>
  <c r="H106" i="15"/>
  <c r="J106" i="15" s="1"/>
  <c r="G106" i="15"/>
  <c r="F106" i="15"/>
  <c r="H104" i="15"/>
  <c r="F104" i="15"/>
  <c r="H103" i="15"/>
  <c r="J103" i="15" s="1"/>
  <c r="G103" i="15"/>
  <c r="K103" i="15" s="1"/>
  <c r="F103" i="15"/>
  <c r="E103" i="15"/>
  <c r="H102" i="15"/>
  <c r="F102" i="15"/>
  <c r="H101" i="15"/>
  <c r="J101" i="15" s="1"/>
  <c r="G101" i="15"/>
  <c r="F101" i="15"/>
  <c r="E101" i="15"/>
  <c r="H100" i="15"/>
  <c r="F100" i="15"/>
  <c r="H99" i="15"/>
  <c r="J99" i="15" s="1"/>
  <c r="K99" i="15" s="1"/>
  <c r="G99" i="15"/>
  <c r="F99" i="15"/>
  <c r="E99" i="15"/>
  <c r="K98" i="15"/>
  <c r="J98" i="15"/>
  <c r="H98" i="15"/>
  <c r="G98" i="15"/>
  <c r="F98" i="15"/>
  <c r="E98" i="15"/>
  <c r="H97" i="15"/>
  <c r="J97" i="15" s="1"/>
  <c r="K97" i="15" s="1"/>
  <c r="G97" i="15"/>
  <c r="F97" i="15"/>
  <c r="E97" i="15"/>
  <c r="J96" i="15"/>
  <c r="K96" i="15" s="1"/>
  <c r="H96" i="15"/>
  <c r="F96" i="15"/>
  <c r="E96" i="15"/>
  <c r="H95" i="15"/>
  <c r="J95" i="15" s="1"/>
  <c r="G95" i="15"/>
  <c r="F95" i="15"/>
  <c r="E95" i="15"/>
  <c r="J94" i="15"/>
  <c r="K94" i="15" s="1"/>
  <c r="H94" i="15"/>
  <c r="G94" i="15"/>
  <c r="F94" i="15"/>
  <c r="E94" i="15"/>
  <c r="H93" i="15"/>
  <c r="F93" i="15"/>
  <c r="K92" i="15"/>
  <c r="L92" i="15" s="1"/>
  <c r="H92" i="15"/>
  <c r="F92" i="15"/>
  <c r="J91" i="15"/>
  <c r="H91" i="15"/>
  <c r="F91" i="15"/>
  <c r="E91" i="15"/>
  <c r="H90" i="15"/>
  <c r="J90" i="15" s="1"/>
  <c r="G90" i="15"/>
  <c r="F90" i="15"/>
  <c r="E90" i="15"/>
  <c r="H89" i="15"/>
  <c r="J89" i="15" s="1"/>
  <c r="K89" i="15" s="1"/>
  <c r="G89" i="15"/>
  <c r="F89" i="15"/>
  <c r="E89" i="15"/>
  <c r="H88" i="15"/>
  <c r="J88" i="15" s="1"/>
  <c r="K88" i="15" s="1"/>
  <c r="F88" i="15"/>
  <c r="E88" i="15"/>
  <c r="H87" i="15"/>
  <c r="J87" i="15" s="1"/>
  <c r="G87" i="15"/>
  <c r="F87" i="15"/>
  <c r="E87" i="15"/>
  <c r="H86" i="15"/>
  <c r="F86" i="15"/>
  <c r="H85" i="15"/>
  <c r="J85" i="15" s="1"/>
  <c r="K85" i="15" s="1"/>
  <c r="G85" i="15"/>
  <c r="F85" i="15"/>
  <c r="E85" i="15"/>
  <c r="H84" i="15"/>
  <c r="J84" i="15" s="1"/>
  <c r="G84" i="15"/>
  <c r="F84" i="15"/>
  <c r="E84" i="15"/>
  <c r="H83" i="15"/>
  <c r="J83" i="15" s="1"/>
  <c r="K83" i="15" s="1"/>
  <c r="G83" i="15"/>
  <c r="F83" i="15"/>
  <c r="E83" i="15"/>
  <c r="H82" i="15"/>
  <c r="J82" i="15" s="1"/>
  <c r="G82" i="15"/>
  <c r="K82" i="15" s="1"/>
  <c r="F82" i="15"/>
  <c r="E82" i="15"/>
  <c r="H81" i="15"/>
  <c r="J81" i="15" s="1"/>
  <c r="K81" i="15" s="1"/>
  <c r="G81" i="15"/>
  <c r="F81" i="15"/>
  <c r="E81" i="15"/>
  <c r="H80" i="15"/>
  <c r="J80" i="15" s="1"/>
  <c r="G80" i="15"/>
  <c r="F80" i="15"/>
  <c r="E80" i="15"/>
  <c r="K79" i="15"/>
  <c r="H79" i="15"/>
  <c r="J79" i="15" s="1"/>
  <c r="G79" i="15"/>
  <c r="F79" i="15"/>
  <c r="E79" i="15"/>
  <c r="H78" i="15"/>
  <c r="J78" i="15" s="1"/>
  <c r="G78" i="15"/>
  <c r="F78" i="15"/>
  <c r="E78" i="15"/>
  <c r="H77" i="15"/>
  <c r="J77" i="15" s="1"/>
  <c r="K77" i="15" s="1"/>
  <c r="G77" i="15"/>
  <c r="F77" i="15"/>
  <c r="E77" i="15"/>
  <c r="H76" i="15"/>
  <c r="J76" i="15" s="1"/>
  <c r="G76" i="15"/>
  <c r="F76" i="15"/>
  <c r="E76" i="15"/>
  <c r="H75" i="15"/>
  <c r="J75" i="15" s="1"/>
  <c r="K75" i="15" s="1"/>
  <c r="G75" i="15"/>
  <c r="F75" i="15"/>
  <c r="E75" i="15"/>
  <c r="H74" i="15"/>
  <c r="J74" i="15" s="1"/>
  <c r="G74" i="15"/>
  <c r="K74" i="15" s="1"/>
  <c r="F74" i="15"/>
  <c r="E74" i="15"/>
  <c r="H73" i="15"/>
  <c r="J73" i="15" s="1"/>
  <c r="K73" i="15" s="1"/>
  <c r="G73" i="15"/>
  <c r="F73" i="15"/>
  <c r="E73" i="15"/>
  <c r="H72" i="15"/>
  <c r="J72" i="15" s="1"/>
  <c r="G72" i="15"/>
  <c r="F72" i="15"/>
  <c r="E72" i="15"/>
  <c r="K71" i="15"/>
  <c r="H71" i="15"/>
  <c r="J71" i="15" s="1"/>
  <c r="G71" i="15"/>
  <c r="F71" i="15"/>
  <c r="E71" i="15"/>
  <c r="H70" i="15"/>
  <c r="J70" i="15" s="1"/>
  <c r="G70" i="15"/>
  <c r="F70" i="15"/>
  <c r="E70" i="15"/>
  <c r="H69" i="15"/>
  <c r="J69" i="15" s="1"/>
  <c r="K69" i="15" s="1"/>
  <c r="F69" i="15"/>
  <c r="E69" i="15"/>
  <c r="H68" i="15"/>
  <c r="J68" i="15" s="1"/>
  <c r="G68" i="15"/>
  <c r="K68" i="15" s="1"/>
  <c r="F68" i="15"/>
  <c r="E68" i="15"/>
  <c r="J67" i="15"/>
  <c r="K67" i="15" s="1"/>
  <c r="H67" i="15"/>
  <c r="G67" i="15"/>
  <c r="F67" i="15"/>
  <c r="E67" i="15"/>
  <c r="H66" i="15"/>
  <c r="J66" i="15" s="1"/>
  <c r="G66" i="15"/>
  <c r="K66" i="15" s="1"/>
  <c r="F66" i="15"/>
  <c r="E66" i="15"/>
  <c r="J65" i="15"/>
  <c r="K65" i="15" s="1"/>
  <c r="K64" i="15" s="1"/>
  <c r="L64" i="15" s="1"/>
  <c r="H65" i="15"/>
  <c r="G65" i="15"/>
  <c r="F65" i="15"/>
  <c r="E65" i="15"/>
  <c r="H64" i="15"/>
  <c r="F64" i="15"/>
  <c r="H63" i="15"/>
  <c r="J63" i="15" s="1"/>
  <c r="G63" i="15"/>
  <c r="F63" i="15"/>
  <c r="E63" i="15"/>
  <c r="J62" i="15"/>
  <c r="K62" i="15" s="1"/>
  <c r="H62" i="15"/>
  <c r="G62" i="15"/>
  <c r="F62" i="15"/>
  <c r="E62" i="15"/>
  <c r="J61" i="15"/>
  <c r="G61" i="15"/>
  <c r="K61" i="15" s="1"/>
  <c r="H60" i="15"/>
  <c r="J60" i="15" s="1"/>
  <c r="K60" i="15" s="1"/>
  <c r="G60" i="15"/>
  <c r="F60" i="15"/>
  <c r="E60" i="15"/>
  <c r="H59" i="15"/>
  <c r="J59" i="15" s="1"/>
  <c r="K59" i="15" s="1"/>
  <c r="F59" i="15"/>
  <c r="E59" i="15"/>
  <c r="J58" i="15"/>
  <c r="K58" i="15" s="1"/>
  <c r="H58" i="15"/>
  <c r="F58" i="15"/>
  <c r="E58" i="15"/>
  <c r="J57" i="15"/>
  <c r="K57" i="15" s="1"/>
  <c r="H57" i="15"/>
  <c r="G57" i="15"/>
  <c r="F57" i="15"/>
  <c r="E57" i="15"/>
  <c r="H56" i="15"/>
  <c r="J56" i="15" s="1"/>
  <c r="K56" i="15" s="1"/>
  <c r="F56" i="15"/>
  <c r="E56" i="15"/>
  <c r="J55" i="15"/>
  <c r="K55" i="15" s="1"/>
  <c r="H55" i="15"/>
  <c r="F55" i="15"/>
  <c r="E55" i="15"/>
  <c r="K54" i="15"/>
  <c r="J54" i="15"/>
  <c r="H54" i="15"/>
  <c r="F54" i="15"/>
  <c r="E54" i="15"/>
  <c r="J53" i="15"/>
  <c r="H53" i="15"/>
  <c r="G53" i="15"/>
  <c r="K53" i="15" s="1"/>
  <c r="F53" i="15"/>
  <c r="E53" i="15"/>
  <c r="J52" i="15"/>
  <c r="K52" i="15" s="1"/>
  <c r="H52" i="15"/>
  <c r="G52" i="15"/>
  <c r="F52" i="15"/>
  <c r="E52" i="15"/>
  <c r="J51" i="15"/>
  <c r="H51" i="15"/>
  <c r="G51" i="15"/>
  <c r="K51" i="15" s="1"/>
  <c r="K50" i="15" s="1"/>
  <c r="L50" i="15" s="1"/>
  <c r="F51" i="15"/>
  <c r="E51" i="15"/>
  <c r="H49" i="15"/>
  <c r="J49" i="15" s="1"/>
  <c r="K49" i="15" s="1"/>
  <c r="F49" i="15"/>
  <c r="E49" i="15"/>
  <c r="H48" i="15"/>
  <c r="J48" i="15" s="1"/>
  <c r="K48" i="15" s="1"/>
  <c r="F48" i="15"/>
  <c r="E48" i="15"/>
  <c r="J47" i="15"/>
  <c r="K47" i="15" s="1"/>
  <c r="H47" i="15"/>
  <c r="F47" i="15"/>
  <c r="E47" i="15"/>
  <c r="K46" i="15"/>
  <c r="H46" i="15"/>
  <c r="J46" i="15" s="1"/>
  <c r="F46" i="15"/>
  <c r="E46" i="15"/>
  <c r="H45" i="15"/>
  <c r="J45" i="15" s="1"/>
  <c r="K45" i="15" s="1"/>
  <c r="F45" i="15"/>
  <c r="E45" i="15"/>
  <c r="H44" i="15"/>
  <c r="J44" i="15" s="1"/>
  <c r="K44" i="15" s="1"/>
  <c r="F44" i="15"/>
  <c r="E44" i="15"/>
  <c r="H43" i="15"/>
  <c r="J43" i="15" s="1"/>
  <c r="K43" i="15" s="1"/>
  <c r="F43" i="15"/>
  <c r="E43" i="15"/>
  <c r="K41" i="15"/>
  <c r="J41" i="15"/>
  <c r="H41" i="15"/>
  <c r="F41" i="15"/>
  <c r="E41" i="15"/>
  <c r="J40" i="15"/>
  <c r="K40" i="15" s="1"/>
  <c r="H40" i="15"/>
  <c r="F40" i="15"/>
  <c r="E40" i="15"/>
  <c r="H39" i="15"/>
  <c r="J39" i="15" s="1"/>
  <c r="G39" i="15"/>
  <c r="F39" i="15"/>
  <c r="E39" i="15"/>
  <c r="H38" i="15"/>
  <c r="J38" i="15" s="1"/>
  <c r="K38" i="15" s="1"/>
  <c r="G38" i="15"/>
  <c r="F38" i="15"/>
  <c r="E38" i="15"/>
  <c r="H37" i="15"/>
  <c r="J37" i="15" s="1"/>
  <c r="K37" i="15" s="1"/>
  <c r="F37" i="15"/>
  <c r="E37" i="15"/>
  <c r="J36" i="15"/>
  <c r="K36" i="15" s="1"/>
  <c r="H36" i="15"/>
  <c r="F36" i="15"/>
  <c r="E36" i="15"/>
  <c r="J35" i="15"/>
  <c r="K35" i="15" s="1"/>
  <c r="H35" i="15"/>
  <c r="F35" i="15"/>
  <c r="E35" i="15"/>
  <c r="H34" i="15"/>
  <c r="J34" i="15" s="1"/>
  <c r="K34" i="15" s="1"/>
  <c r="F34" i="15"/>
  <c r="E34" i="15"/>
  <c r="H33" i="15"/>
  <c r="J33" i="15" s="1"/>
  <c r="K33" i="15" s="1"/>
  <c r="F33" i="15"/>
  <c r="E33" i="15"/>
  <c r="J31" i="15"/>
  <c r="K31" i="15" s="1"/>
  <c r="H31" i="15"/>
  <c r="G31" i="15"/>
  <c r="F31" i="15"/>
  <c r="E31" i="15"/>
  <c r="J30" i="15"/>
  <c r="H30" i="15"/>
  <c r="G30" i="15"/>
  <c r="K30" i="15" s="1"/>
  <c r="F30" i="15"/>
  <c r="E30" i="15"/>
  <c r="J29" i="15"/>
  <c r="K29" i="15" s="1"/>
  <c r="H29" i="15"/>
  <c r="G29" i="15"/>
  <c r="F29" i="15"/>
  <c r="E29" i="15"/>
  <c r="J28" i="15"/>
  <c r="H28" i="15"/>
  <c r="G28" i="15"/>
  <c r="K28" i="15" s="1"/>
  <c r="F28" i="15"/>
  <c r="E28" i="15"/>
  <c r="J27" i="15"/>
  <c r="K27" i="15" s="1"/>
  <c r="H27" i="15"/>
  <c r="G27" i="15"/>
  <c r="F27" i="15"/>
  <c r="E27" i="15"/>
  <c r="J26" i="15"/>
  <c r="H26" i="15"/>
  <c r="G26" i="15"/>
  <c r="K26" i="15" s="1"/>
  <c r="F26" i="15"/>
  <c r="E26" i="15"/>
  <c r="J24" i="15"/>
  <c r="K24" i="15" s="1"/>
  <c r="H24" i="15"/>
  <c r="F24" i="15"/>
  <c r="E24" i="15"/>
  <c r="K23" i="15"/>
  <c r="H23" i="15"/>
  <c r="J23" i="15" s="1"/>
  <c r="F23" i="15"/>
  <c r="E23" i="15"/>
  <c r="K22" i="15"/>
  <c r="H22" i="15"/>
  <c r="J22" i="15" s="1"/>
  <c r="F22" i="15"/>
  <c r="E22" i="15"/>
  <c r="H21" i="15"/>
  <c r="J21" i="15" s="1"/>
  <c r="K21" i="15" s="1"/>
  <c r="F21" i="15"/>
  <c r="E21" i="15"/>
  <c r="J20" i="15"/>
  <c r="K20" i="15" s="1"/>
  <c r="H20" i="15"/>
  <c r="F20" i="15"/>
  <c r="E20" i="15"/>
  <c r="K19" i="15"/>
  <c r="J19" i="15"/>
  <c r="H19" i="15"/>
  <c r="F19" i="15"/>
  <c r="E19" i="15"/>
  <c r="J18" i="15"/>
  <c r="K18" i="15" s="1"/>
  <c r="H18" i="15"/>
  <c r="F18" i="15"/>
  <c r="E18" i="15"/>
  <c r="H17" i="15"/>
  <c r="J17" i="15" s="1"/>
  <c r="G17" i="15"/>
  <c r="F17" i="15"/>
  <c r="E17" i="15"/>
  <c r="K16" i="15"/>
  <c r="H16" i="15"/>
  <c r="J16" i="15" s="1"/>
  <c r="G16" i="15"/>
  <c r="F16" i="15"/>
  <c r="E16" i="15"/>
  <c r="H15" i="15"/>
  <c r="J15" i="15" s="1"/>
  <c r="K15" i="15" s="1"/>
  <c r="K13" i="15" s="1"/>
  <c r="F15" i="15"/>
  <c r="E15" i="15"/>
  <c r="G8" i="15"/>
  <c r="G650" i="14"/>
  <c r="E650" i="14"/>
  <c r="D650" i="14"/>
  <c r="J649" i="14"/>
  <c r="E649" i="14"/>
  <c r="D649" i="14"/>
  <c r="G647" i="14"/>
  <c r="I647" i="14" s="1"/>
  <c r="E647" i="14"/>
  <c r="D647" i="14"/>
  <c r="G646" i="14"/>
  <c r="I646" i="14" s="1"/>
  <c r="E646" i="14"/>
  <c r="D646" i="14"/>
  <c r="G645" i="14"/>
  <c r="I645" i="14" s="1"/>
  <c r="E645" i="14"/>
  <c r="D645" i="14"/>
  <c r="I642" i="14"/>
  <c r="G642" i="14"/>
  <c r="E642" i="14"/>
  <c r="D642" i="14"/>
  <c r="G641" i="14"/>
  <c r="I641" i="14" s="1"/>
  <c r="E641" i="14"/>
  <c r="D641" i="14"/>
  <c r="I640" i="14"/>
  <c r="G640" i="14"/>
  <c r="E640" i="14"/>
  <c r="D640" i="14"/>
  <c r="I639" i="14"/>
  <c r="G639" i="14"/>
  <c r="E639" i="14"/>
  <c r="D639" i="14"/>
  <c r="I636" i="14"/>
  <c r="I635" i="14" s="1"/>
  <c r="I633" i="14"/>
  <c r="I632" i="14"/>
  <c r="I630" i="14"/>
  <c r="I629" i="14" s="1"/>
  <c r="I627" i="14"/>
  <c r="I626" i="14"/>
  <c r="I624" i="14"/>
  <c r="I623" i="14"/>
  <c r="I621" i="14"/>
  <c r="I620" i="14"/>
  <c r="I618" i="14"/>
  <c r="I617" i="14" s="1"/>
  <c r="I615" i="14"/>
  <c r="I613" i="14"/>
  <c r="I612" i="14"/>
  <c r="I611" i="14"/>
  <c r="I609" i="14"/>
  <c r="I607" i="14"/>
  <c r="I606" i="14"/>
  <c r="I605" i="14"/>
  <c r="I603" i="14"/>
  <c r="I602" i="14"/>
  <c r="I601" i="14"/>
  <c r="I600" i="14"/>
  <c r="I598" i="14"/>
  <c r="I597" i="14"/>
  <c r="I596" i="14"/>
  <c r="I595" i="14"/>
  <c r="I591" i="14"/>
  <c r="G591" i="14"/>
  <c r="E591" i="14"/>
  <c r="D591" i="14"/>
  <c r="I590" i="14"/>
  <c r="I588" i="14"/>
  <c r="G588" i="14"/>
  <c r="E588" i="14"/>
  <c r="D588" i="14"/>
  <c r="I587" i="14"/>
  <c r="G587" i="14"/>
  <c r="E587" i="14"/>
  <c r="D587" i="14"/>
  <c r="G586" i="14"/>
  <c r="I586" i="14" s="1"/>
  <c r="E586" i="14"/>
  <c r="D586" i="14"/>
  <c r="I585" i="14"/>
  <c r="I582" i="14"/>
  <c r="I581" i="14"/>
  <c r="G581" i="14"/>
  <c r="E581" i="14"/>
  <c r="D581" i="14"/>
  <c r="I580" i="14"/>
  <c r="G580" i="14"/>
  <c r="E580" i="14"/>
  <c r="D580" i="14"/>
  <c r="I579" i="14"/>
  <c r="G579" i="14"/>
  <c r="E579" i="14"/>
  <c r="D579" i="14"/>
  <c r="I578" i="14"/>
  <c r="G578" i="14"/>
  <c r="E578" i="14"/>
  <c r="D578" i="14"/>
  <c r="I577" i="14"/>
  <c r="G577" i="14"/>
  <c r="E577" i="14"/>
  <c r="D577" i="14"/>
  <c r="I576" i="14"/>
  <c r="G576" i="14"/>
  <c r="E576" i="14"/>
  <c r="D576" i="14"/>
  <c r="I575" i="14"/>
  <c r="G575" i="14"/>
  <c r="E575" i="14"/>
  <c r="D575" i="14"/>
  <c r="I574" i="14"/>
  <c r="G574" i="14"/>
  <c r="E574" i="14"/>
  <c r="D574" i="14"/>
  <c r="I573" i="14"/>
  <c r="G573" i="14"/>
  <c r="E573" i="14"/>
  <c r="D573" i="14"/>
  <c r="I572" i="14"/>
  <c r="G572" i="14"/>
  <c r="E572" i="14"/>
  <c r="D572" i="14"/>
  <c r="I571" i="14"/>
  <c r="G571" i="14"/>
  <c r="E571" i="14"/>
  <c r="D571" i="14"/>
  <c r="I570" i="14"/>
  <c r="G570" i="14"/>
  <c r="E570" i="14"/>
  <c r="D570" i="14"/>
  <c r="I569" i="14"/>
  <c r="G569" i="14"/>
  <c r="E569" i="14"/>
  <c r="D569" i="14"/>
  <c r="I568" i="14"/>
  <c r="G568" i="14"/>
  <c r="E568" i="14"/>
  <c r="D568" i="14"/>
  <c r="I567" i="14"/>
  <c r="G567" i="14"/>
  <c r="E567" i="14"/>
  <c r="D567" i="14"/>
  <c r="I566" i="14"/>
  <c r="G566" i="14"/>
  <c r="E566" i="14"/>
  <c r="D566" i="14"/>
  <c r="I565" i="14"/>
  <c r="G565" i="14"/>
  <c r="E565" i="14"/>
  <c r="D565" i="14"/>
  <c r="I564" i="14"/>
  <c r="G564" i="14"/>
  <c r="E564" i="14"/>
  <c r="D564" i="14"/>
  <c r="G563" i="14"/>
  <c r="I563" i="14" s="1"/>
  <c r="E563" i="14"/>
  <c r="D563" i="14"/>
  <c r="I562" i="14"/>
  <c r="G562" i="14"/>
  <c r="E562" i="14"/>
  <c r="D562" i="14"/>
  <c r="I561" i="14"/>
  <c r="G561" i="14"/>
  <c r="E561" i="14"/>
  <c r="D561" i="14"/>
  <c r="G560" i="14"/>
  <c r="I560" i="14" s="1"/>
  <c r="E560" i="14"/>
  <c r="D560" i="14"/>
  <c r="I559" i="14"/>
  <c r="G559" i="14"/>
  <c r="E559" i="14"/>
  <c r="D559" i="14"/>
  <c r="I558" i="14"/>
  <c r="G558" i="14"/>
  <c r="E558" i="14"/>
  <c r="D558" i="14"/>
  <c r="G557" i="14"/>
  <c r="I557" i="14" s="1"/>
  <c r="E557" i="14"/>
  <c r="D557" i="14"/>
  <c r="I556" i="14"/>
  <c r="G556" i="14"/>
  <c r="E556" i="14"/>
  <c r="D556" i="14"/>
  <c r="I555" i="14"/>
  <c r="G555" i="14"/>
  <c r="E555" i="14"/>
  <c r="D555" i="14"/>
  <c r="G554" i="14"/>
  <c r="I554" i="14" s="1"/>
  <c r="E554" i="14"/>
  <c r="D554" i="14"/>
  <c r="I553" i="14"/>
  <c r="G553" i="14"/>
  <c r="E553" i="14"/>
  <c r="D553" i="14"/>
  <c r="I552" i="14"/>
  <c r="G552" i="14"/>
  <c r="E552" i="14"/>
  <c r="D552" i="14"/>
  <c r="G551" i="14"/>
  <c r="I551" i="14" s="1"/>
  <c r="E551" i="14"/>
  <c r="D551" i="14"/>
  <c r="I550" i="14"/>
  <c r="G550" i="14"/>
  <c r="E550" i="14"/>
  <c r="D550" i="14"/>
  <c r="I549" i="14"/>
  <c r="G549" i="14"/>
  <c r="E549" i="14"/>
  <c r="D549" i="14"/>
  <c r="G548" i="14"/>
  <c r="I548" i="14" s="1"/>
  <c r="E548" i="14"/>
  <c r="D548" i="14"/>
  <c r="I547" i="14"/>
  <c r="G547" i="14"/>
  <c r="E547" i="14"/>
  <c r="D547" i="14"/>
  <c r="I546" i="14"/>
  <c r="G546" i="14"/>
  <c r="E546" i="14"/>
  <c r="D546" i="14"/>
  <c r="G545" i="14"/>
  <c r="I545" i="14" s="1"/>
  <c r="E545" i="14"/>
  <c r="D545" i="14"/>
  <c r="I542" i="14"/>
  <c r="I541" i="14"/>
  <c r="I540" i="14"/>
  <c r="I539" i="14"/>
  <c r="I538" i="14"/>
  <c r="I535" i="14"/>
  <c r="I534" i="14" s="1"/>
  <c r="I532" i="14"/>
  <c r="I530" i="14" s="1"/>
  <c r="I531" i="14"/>
  <c r="I528" i="14"/>
  <c r="I526" i="14" s="1"/>
  <c r="I527" i="14"/>
  <c r="I524" i="14"/>
  <c r="I523" i="14"/>
  <c r="I522" i="14"/>
  <c r="I521" i="14"/>
  <c r="I520" i="14"/>
  <c r="I518" i="14"/>
  <c r="I517" i="14"/>
  <c r="I516" i="14"/>
  <c r="I515" i="14"/>
  <c r="I514" i="14"/>
  <c r="I513" i="14" s="1"/>
  <c r="I511" i="14"/>
  <c r="I510" i="14"/>
  <c r="I509" i="14"/>
  <c r="I508" i="14"/>
  <c r="I507" i="14"/>
  <c r="I506" i="14"/>
  <c r="I505" i="14"/>
  <c r="I503" i="14"/>
  <c r="I502" i="14"/>
  <c r="I501" i="14"/>
  <c r="G501" i="14"/>
  <c r="E501" i="14"/>
  <c r="D501" i="14"/>
  <c r="G500" i="14"/>
  <c r="I500" i="14" s="1"/>
  <c r="E500" i="14"/>
  <c r="D500" i="14"/>
  <c r="I499" i="14"/>
  <c r="G499" i="14"/>
  <c r="E499" i="14"/>
  <c r="D499" i="14"/>
  <c r="G498" i="14"/>
  <c r="I498" i="14" s="1"/>
  <c r="E498" i="14"/>
  <c r="D498" i="14"/>
  <c r="G497" i="14"/>
  <c r="I497" i="14" s="1"/>
  <c r="E497" i="14"/>
  <c r="D497" i="14"/>
  <c r="G496" i="14"/>
  <c r="I496" i="14" s="1"/>
  <c r="E496" i="14"/>
  <c r="D496" i="14"/>
  <c r="G495" i="14"/>
  <c r="I495" i="14" s="1"/>
  <c r="E495" i="14"/>
  <c r="D495" i="14"/>
  <c r="I491" i="14"/>
  <c r="G491" i="14"/>
  <c r="E491" i="14"/>
  <c r="D491" i="14"/>
  <c r="I490" i="14"/>
  <c r="G490" i="14"/>
  <c r="E490" i="14"/>
  <c r="D490" i="14"/>
  <c r="G489" i="14"/>
  <c r="I489" i="14" s="1"/>
  <c r="E489" i="14"/>
  <c r="D489" i="14"/>
  <c r="I488" i="14"/>
  <c r="G488" i="14"/>
  <c r="E488" i="14"/>
  <c r="D488" i="14"/>
  <c r="I487" i="14"/>
  <c r="G487" i="14"/>
  <c r="E487" i="14"/>
  <c r="D487" i="14"/>
  <c r="G486" i="14"/>
  <c r="I486" i="14" s="1"/>
  <c r="E486" i="14"/>
  <c r="D486" i="14"/>
  <c r="I485" i="14"/>
  <c r="G485" i="14"/>
  <c r="E485" i="14"/>
  <c r="D485" i="14"/>
  <c r="I484" i="14"/>
  <c r="G484" i="14"/>
  <c r="E484" i="14"/>
  <c r="D484" i="14"/>
  <c r="G483" i="14"/>
  <c r="I483" i="14" s="1"/>
  <c r="E483" i="14"/>
  <c r="D483" i="14"/>
  <c r="I482" i="14"/>
  <c r="G482" i="14"/>
  <c r="E482" i="14"/>
  <c r="D482" i="14"/>
  <c r="G481" i="14"/>
  <c r="I481" i="14" s="1"/>
  <c r="E481" i="14"/>
  <c r="D481" i="14"/>
  <c r="G480" i="14"/>
  <c r="I480" i="14" s="1"/>
  <c r="E480" i="14"/>
  <c r="D480" i="14"/>
  <c r="I479" i="14"/>
  <c r="G479" i="14"/>
  <c r="E479" i="14"/>
  <c r="D479" i="14"/>
  <c r="I478" i="14"/>
  <c r="G478" i="14"/>
  <c r="E478" i="14"/>
  <c r="D478" i="14"/>
  <c r="G477" i="14"/>
  <c r="I477" i="14" s="1"/>
  <c r="E477" i="14"/>
  <c r="D477" i="14"/>
  <c r="I476" i="14"/>
  <c r="G476" i="14"/>
  <c r="E476" i="14"/>
  <c r="D476" i="14"/>
  <c r="I475" i="14"/>
  <c r="G475" i="14"/>
  <c r="E475" i="14"/>
  <c r="D475" i="14"/>
  <c r="G474" i="14"/>
  <c r="I474" i="14" s="1"/>
  <c r="E474" i="14"/>
  <c r="D474" i="14"/>
  <c r="I473" i="14"/>
  <c r="G473" i="14"/>
  <c r="E473" i="14"/>
  <c r="D473" i="14"/>
  <c r="G472" i="14"/>
  <c r="I472" i="14" s="1"/>
  <c r="E472" i="14"/>
  <c r="D472" i="14"/>
  <c r="I469" i="14"/>
  <c r="G469" i="14"/>
  <c r="E469" i="14"/>
  <c r="D469" i="14"/>
  <c r="G468" i="14"/>
  <c r="I468" i="14" s="1"/>
  <c r="E468" i="14"/>
  <c r="D468" i="14"/>
  <c r="I467" i="14"/>
  <c r="G467" i="14"/>
  <c r="E467" i="14"/>
  <c r="D467" i="14"/>
  <c r="I466" i="14"/>
  <c r="G466" i="14"/>
  <c r="E466" i="14"/>
  <c r="D466" i="14"/>
  <c r="G465" i="14"/>
  <c r="I465" i="14" s="1"/>
  <c r="E465" i="14"/>
  <c r="D465" i="14"/>
  <c r="G464" i="14"/>
  <c r="I464" i="14" s="1"/>
  <c r="E464" i="14"/>
  <c r="D464" i="14"/>
  <c r="I463" i="14"/>
  <c r="G463" i="14"/>
  <c r="E463" i="14"/>
  <c r="D463" i="14"/>
  <c r="G462" i="14"/>
  <c r="I462" i="14" s="1"/>
  <c r="I461" i="14" s="1"/>
  <c r="E462" i="14"/>
  <c r="D462" i="14"/>
  <c r="G459" i="14"/>
  <c r="I459" i="14" s="1"/>
  <c r="E459" i="14"/>
  <c r="D459" i="14"/>
  <c r="G458" i="14"/>
  <c r="I458" i="14" s="1"/>
  <c r="E458" i="14"/>
  <c r="D458" i="14"/>
  <c r="G457" i="14"/>
  <c r="I457" i="14" s="1"/>
  <c r="E457" i="14"/>
  <c r="D457" i="14"/>
  <c r="G456" i="14"/>
  <c r="I456" i="14" s="1"/>
  <c r="E456" i="14"/>
  <c r="D456" i="14"/>
  <c r="G455" i="14"/>
  <c r="I455" i="14" s="1"/>
  <c r="E455" i="14"/>
  <c r="D455" i="14"/>
  <c r="I454" i="14"/>
  <c r="G454" i="14"/>
  <c r="E454" i="14"/>
  <c r="D454" i="14"/>
  <c r="I453" i="14"/>
  <c r="G453" i="14"/>
  <c r="E453" i="14"/>
  <c r="D453" i="14"/>
  <c r="G452" i="14"/>
  <c r="I452" i="14" s="1"/>
  <c r="E452" i="14"/>
  <c r="D452" i="14"/>
  <c r="G451" i="14"/>
  <c r="I451" i="14" s="1"/>
  <c r="E451" i="14"/>
  <c r="D451" i="14"/>
  <c r="G450" i="14"/>
  <c r="I450" i="14" s="1"/>
  <c r="E450" i="14"/>
  <c r="D450" i="14"/>
  <c r="I448" i="14"/>
  <c r="G448" i="14"/>
  <c r="E448" i="14"/>
  <c r="D448" i="14"/>
  <c r="G447" i="14"/>
  <c r="I447" i="14" s="1"/>
  <c r="E447" i="14"/>
  <c r="D447" i="14"/>
  <c r="I446" i="14"/>
  <c r="G446" i="14"/>
  <c r="E446" i="14"/>
  <c r="D446" i="14"/>
  <c r="I445" i="14"/>
  <c r="G445" i="14"/>
  <c r="E445" i="14"/>
  <c r="D445" i="14"/>
  <c r="G444" i="14"/>
  <c r="I444" i="14" s="1"/>
  <c r="I442" i="14" s="1"/>
  <c r="E444" i="14"/>
  <c r="D444" i="14"/>
  <c r="I443" i="14"/>
  <c r="G443" i="14"/>
  <c r="E443" i="14"/>
  <c r="D443" i="14"/>
  <c r="G441" i="14"/>
  <c r="E441" i="14"/>
  <c r="G440" i="14"/>
  <c r="I440" i="14" s="1"/>
  <c r="E440" i="14"/>
  <c r="D440" i="14"/>
  <c r="I439" i="14"/>
  <c r="G439" i="14"/>
  <c r="E439" i="14"/>
  <c r="D439" i="14"/>
  <c r="I438" i="14"/>
  <c r="G438" i="14"/>
  <c r="E438" i="14"/>
  <c r="D438" i="14"/>
  <c r="G437" i="14"/>
  <c r="I437" i="14" s="1"/>
  <c r="E437" i="14"/>
  <c r="D437" i="14"/>
  <c r="I436" i="14"/>
  <c r="G436" i="14"/>
  <c r="E436" i="14"/>
  <c r="D436" i="14"/>
  <c r="I435" i="14"/>
  <c r="G435" i="14"/>
  <c r="E435" i="14"/>
  <c r="D435" i="14"/>
  <c r="G434" i="14"/>
  <c r="I434" i="14" s="1"/>
  <c r="E434" i="14"/>
  <c r="D434" i="14"/>
  <c r="I433" i="14"/>
  <c r="G433" i="14"/>
  <c r="E433" i="14"/>
  <c r="D433" i="14"/>
  <c r="I432" i="14"/>
  <c r="G432" i="14"/>
  <c r="E432" i="14"/>
  <c r="D432" i="14"/>
  <c r="G431" i="14"/>
  <c r="I431" i="14" s="1"/>
  <c r="E431" i="14"/>
  <c r="D431" i="14"/>
  <c r="G429" i="14"/>
  <c r="I429" i="14" s="1"/>
  <c r="E429" i="14"/>
  <c r="D429" i="14"/>
  <c r="I428" i="14"/>
  <c r="G428" i="14"/>
  <c r="E428" i="14"/>
  <c r="D428" i="14"/>
  <c r="G427" i="14"/>
  <c r="I427" i="14" s="1"/>
  <c r="I425" i="14" s="1"/>
  <c r="E427" i="14"/>
  <c r="D427" i="14"/>
  <c r="G426" i="14"/>
  <c r="I426" i="14" s="1"/>
  <c r="E426" i="14"/>
  <c r="D426" i="14"/>
  <c r="G425" i="14"/>
  <c r="E425" i="14"/>
  <c r="I424" i="14"/>
  <c r="G424" i="14"/>
  <c r="E424" i="14"/>
  <c r="D424" i="14"/>
  <c r="I423" i="14"/>
  <c r="G423" i="14"/>
  <c r="E423" i="14"/>
  <c r="D423" i="14"/>
  <c r="G422" i="14"/>
  <c r="I422" i="14" s="1"/>
  <c r="E422" i="14"/>
  <c r="D422" i="14"/>
  <c r="I421" i="14"/>
  <c r="G421" i="14"/>
  <c r="E421" i="14"/>
  <c r="D421" i="14"/>
  <c r="I420" i="14"/>
  <c r="G420" i="14"/>
  <c r="E420" i="14"/>
  <c r="D420" i="14"/>
  <c r="G419" i="14"/>
  <c r="I419" i="14" s="1"/>
  <c r="E419" i="14"/>
  <c r="D419" i="14"/>
  <c r="I418" i="14"/>
  <c r="G418" i="14"/>
  <c r="E418" i="14"/>
  <c r="D418" i="14"/>
  <c r="I417" i="14"/>
  <c r="G417" i="14"/>
  <c r="E417" i="14"/>
  <c r="D417" i="14"/>
  <c r="G416" i="14"/>
  <c r="E416" i="14"/>
  <c r="G415" i="14"/>
  <c r="I415" i="14" s="1"/>
  <c r="E415" i="14"/>
  <c r="D415" i="14"/>
  <c r="I414" i="14"/>
  <c r="G414" i="14"/>
  <c r="E414" i="14"/>
  <c r="D414" i="14"/>
  <c r="I413" i="14"/>
  <c r="G413" i="14"/>
  <c r="E413" i="14"/>
  <c r="D413" i="14"/>
  <c r="I412" i="14"/>
  <c r="I411" i="14"/>
  <c r="G411" i="14"/>
  <c r="E411" i="14"/>
  <c r="I409" i="14"/>
  <c r="G409" i="14"/>
  <c r="E409" i="14"/>
  <c r="D409" i="14"/>
  <c r="I408" i="14"/>
  <c r="G408" i="14"/>
  <c r="E408" i="14"/>
  <c r="I406" i="14"/>
  <c r="G406" i="14"/>
  <c r="E406" i="14"/>
  <c r="D406" i="14"/>
  <c r="G405" i="14"/>
  <c r="I405" i="14" s="1"/>
  <c r="E405" i="14"/>
  <c r="D405" i="14"/>
  <c r="G404" i="14"/>
  <c r="I404" i="14" s="1"/>
  <c r="E404" i="14"/>
  <c r="D404" i="14"/>
  <c r="G403" i="14"/>
  <c r="E403" i="14"/>
  <c r="I401" i="14"/>
  <c r="I400" i="14" s="1"/>
  <c r="G401" i="14"/>
  <c r="E401" i="14"/>
  <c r="D401" i="14"/>
  <c r="G400" i="14"/>
  <c r="E400" i="14"/>
  <c r="I398" i="14"/>
  <c r="I397" i="14" s="1"/>
  <c r="G398" i="14"/>
  <c r="E398" i="14"/>
  <c r="D398" i="14"/>
  <c r="G397" i="14"/>
  <c r="E397" i="14"/>
  <c r="G395" i="14"/>
  <c r="I395" i="14" s="1"/>
  <c r="E395" i="14"/>
  <c r="D395" i="14"/>
  <c r="G394" i="14"/>
  <c r="I394" i="14" s="1"/>
  <c r="I393" i="14" s="1"/>
  <c r="E394" i="14"/>
  <c r="D394" i="14"/>
  <c r="G393" i="14"/>
  <c r="E393" i="14"/>
  <c r="I391" i="14"/>
  <c r="G391" i="14"/>
  <c r="E391" i="14"/>
  <c r="D391" i="14"/>
  <c r="I390" i="14"/>
  <c r="G390" i="14"/>
  <c r="E390" i="14"/>
  <c r="D390" i="14"/>
  <c r="G389" i="14"/>
  <c r="I389" i="14" s="1"/>
  <c r="E389" i="14"/>
  <c r="D389" i="14"/>
  <c r="I388" i="14"/>
  <c r="G388" i="14"/>
  <c r="E388" i="14"/>
  <c r="D388" i="14"/>
  <c r="I387" i="14"/>
  <c r="G387" i="14"/>
  <c r="E387" i="14"/>
  <c r="D387" i="14"/>
  <c r="G386" i="14"/>
  <c r="I386" i="14" s="1"/>
  <c r="E386" i="14"/>
  <c r="D386" i="14"/>
  <c r="G385" i="14"/>
  <c r="E385" i="14"/>
  <c r="G383" i="14"/>
  <c r="I383" i="14" s="1"/>
  <c r="E383" i="14"/>
  <c r="D383" i="14"/>
  <c r="G382" i="14"/>
  <c r="I382" i="14" s="1"/>
  <c r="E382" i="14"/>
  <c r="D382" i="14"/>
  <c r="I381" i="14"/>
  <c r="G381" i="14"/>
  <c r="E381" i="14"/>
  <c r="D381" i="14"/>
  <c r="G380" i="14"/>
  <c r="I380" i="14" s="1"/>
  <c r="E380" i="14"/>
  <c r="D380" i="14"/>
  <c r="G379" i="14"/>
  <c r="I379" i="14" s="1"/>
  <c r="E379" i="14"/>
  <c r="D379" i="14"/>
  <c r="I378" i="14"/>
  <c r="G378" i="14"/>
  <c r="E378" i="14"/>
  <c r="D378" i="14"/>
  <c r="G377" i="14"/>
  <c r="I377" i="14" s="1"/>
  <c r="E377" i="14"/>
  <c r="D377" i="14"/>
  <c r="G376" i="14"/>
  <c r="I376" i="14" s="1"/>
  <c r="E376" i="14"/>
  <c r="D376" i="14"/>
  <c r="I375" i="14"/>
  <c r="G375" i="14"/>
  <c r="E375" i="14"/>
  <c r="D375" i="14"/>
  <c r="G374" i="14"/>
  <c r="I374" i="14" s="1"/>
  <c r="I373" i="14" s="1"/>
  <c r="E374" i="14"/>
  <c r="D374" i="14"/>
  <c r="G373" i="14"/>
  <c r="E373" i="14"/>
  <c r="G372" i="14"/>
  <c r="I372" i="14" s="1"/>
  <c r="E372" i="14"/>
  <c r="D372" i="14"/>
  <c r="I371" i="14"/>
  <c r="G371" i="14"/>
  <c r="E371" i="14"/>
  <c r="D371" i="14"/>
  <c r="I370" i="14"/>
  <c r="G370" i="14"/>
  <c r="E370" i="14"/>
  <c r="D370" i="14"/>
  <c r="G369" i="14"/>
  <c r="I369" i="14" s="1"/>
  <c r="E369" i="14"/>
  <c r="D369" i="14"/>
  <c r="I368" i="14"/>
  <c r="G368" i="14"/>
  <c r="E368" i="14"/>
  <c r="D368" i="14"/>
  <c r="I367" i="14"/>
  <c r="G367" i="14"/>
  <c r="E367" i="14"/>
  <c r="D367" i="14"/>
  <c r="G366" i="14"/>
  <c r="I366" i="14" s="1"/>
  <c r="E366" i="14"/>
  <c r="D366" i="14"/>
  <c r="I365" i="14"/>
  <c r="G365" i="14"/>
  <c r="E365" i="14"/>
  <c r="D365" i="14"/>
  <c r="I364" i="14"/>
  <c r="G364" i="14"/>
  <c r="E364" i="14"/>
  <c r="D364" i="14"/>
  <c r="G363" i="14"/>
  <c r="I363" i="14" s="1"/>
  <c r="E363" i="14"/>
  <c r="D363" i="14"/>
  <c r="I362" i="14"/>
  <c r="G362" i="14"/>
  <c r="E362" i="14"/>
  <c r="D362" i="14"/>
  <c r="I361" i="14"/>
  <c r="G361" i="14"/>
  <c r="E361" i="14"/>
  <c r="D361" i="14"/>
  <c r="G360" i="14"/>
  <c r="E360" i="14"/>
  <c r="G358" i="14"/>
  <c r="I358" i="14" s="1"/>
  <c r="E358" i="14"/>
  <c r="D358" i="14"/>
  <c r="G357" i="14"/>
  <c r="I357" i="14" s="1"/>
  <c r="E357" i="14"/>
  <c r="D357" i="14"/>
  <c r="I356" i="14"/>
  <c r="G356" i="14"/>
  <c r="E356" i="14"/>
  <c r="D356" i="14"/>
  <c r="G355" i="14"/>
  <c r="I355" i="14" s="1"/>
  <c r="E355" i="14"/>
  <c r="D355" i="14"/>
  <c r="G354" i="14"/>
  <c r="I354" i="14" s="1"/>
  <c r="E354" i="14"/>
  <c r="D354" i="14"/>
  <c r="I353" i="14"/>
  <c r="G353" i="14"/>
  <c r="E353" i="14"/>
  <c r="D353" i="14"/>
  <c r="G352" i="14"/>
  <c r="I352" i="14" s="1"/>
  <c r="E352" i="14"/>
  <c r="D352" i="14"/>
  <c r="G351" i="14"/>
  <c r="I351" i="14" s="1"/>
  <c r="E351" i="14"/>
  <c r="D351" i="14"/>
  <c r="I350" i="14"/>
  <c r="G350" i="14"/>
  <c r="E350" i="14"/>
  <c r="D350" i="14"/>
  <c r="G349" i="14"/>
  <c r="I349" i="14" s="1"/>
  <c r="E349" i="14"/>
  <c r="D349" i="14"/>
  <c r="G348" i="14"/>
  <c r="I348" i="14" s="1"/>
  <c r="E348" i="14"/>
  <c r="D348" i="14"/>
  <c r="I347" i="14"/>
  <c r="G347" i="14"/>
  <c r="E347" i="14"/>
  <c r="D347" i="14"/>
  <c r="G346" i="14"/>
  <c r="I346" i="14" s="1"/>
  <c r="E346" i="14"/>
  <c r="D346" i="14"/>
  <c r="G345" i="14"/>
  <c r="I345" i="14" s="1"/>
  <c r="E345" i="14"/>
  <c r="D345" i="14"/>
  <c r="I344" i="14"/>
  <c r="G344" i="14"/>
  <c r="E344" i="14"/>
  <c r="D344" i="14"/>
  <c r="G343" i="14"/>
  <c r="I343" i="14" s="1"/>
  <c r="E343" i="14"/>
  <c r="D343" i="14"/>
  <c r="G342" i="14"/>
  <c r="I342" i="14" s="1"/>
  <c r="E342" i="14"/>
  <c r="D342" i="14"/>
  <c r="I341" i="14"/>
  <c r="G341" i="14"/>
  <c r="E341" i="14"/>
  <c r="D341" i="14"/>
  <c r="G340" i="14"/>
  <c r="I340" i="14" s="1"/>
  <c r="E340" i="14"/>
  <c r="D340" i="14"/>
  <c r="G339" i="14"/>
  <c r="I339" i="14" s="1"/>
  <c r="E339" i="14"/>
  <c r="D339" i="14"/>
  <c r="G338" i="14"/>
  <c r="E338" i="14"/>
  <c r="I336" i="14"/>
  <c r="G336" i="14"/>
  <c r="E336" i="14"/>
  <c r="D336" i="14"/>
  <c r="I335" i="14"/>
  <c r="G335" i="14"/>
  <c r="E335" i="14"/>
  <c r="D335" i="14"/>
  <c r="G334" i="14"/>
  <c r="I334" i="14" s="1"/>
  <c r="E334" i="14"/>
  <c r="D334" i="14"/>
  <c r="I333" i="14"/>
  <c r="G333" i="14"/>
  <c r="E333" i="14"/>
  <c r="D333" i="14"/>
  <c r="I332" i="14"/>
  <c r="G332" i="14"/>
  <c r="E332" i="14"/>
  <c r="D332" i="14"/>
  <c r="G331" i="14"/>
  <c r="E331" i="14"/>
  <c r="I330" i="14"/>
  <c r="G330" i="14"/>
  <c r="E330" i="14"/>
  <c r="D330" i="14"/>
  <c r="G329" i="14"/>
  <c r="I329" i="14" s="1"/>
  <c r="E329" i="14"/>
  <c r="D329" i="14"/>
  <c r="G328" i="14"/>
  <c r="I328" i="14" s="1"/>
  <c r="E328" i="14"/>
  <c r="D328" i="14"/>
  <c r="I327" i="14"/>
  <c r="G327" i="14"/>
  <c r="F327" i="14"/>
  <c r="E327" i="14"/>
  <c r="D327" i="14"/>
  <c r="G326" i="14"/>
  <c r="E326" i="14"/>
  <c r="G325" i="14"/>
  <c r="I325" i="14" s="1"/>
  <c r="E325" i="14"/>
  <c r="D325" i="14"/>
  <c r="I324" i="14"/>
  <c r="G324" i="14"/>
  <c r="E324" i="14"/>
  <c r="D324" i="14"/>
  <c r="G323" i="14"/>
  <c r="I323" i="14" s="1"/>
  <c r="E323" i="14"/>
  <c r="D323" i="14"/>
  <c r="G322" i="14"/>
  <c r="I322" i="14" s="1"/>
  <c r="E322" i="14"/>
  <c r="D322" i="14"/>
  <c r="I321" i="14"/>
  <c r="G321" i="14"/>
  <c r="E321" i="14"/>
  <c r="D321" i="14"/>
  <c r="G320" i="14"/>
  <c r="I320" i="14" s="1"/>
  <c r="E320" i="14"/>
  <c r="D320" i="14"/>
  <c r="G319" i="14"/>
  <c r="I319" i="14" s="1"/>
  <c r="E319" i="14"/>
  <c r="D319" i="14"/>
  <c r="I318" i="14"/>
  <c r="G318" i="14"/>
  <c r="E318" i="14"/>
  <c r="D318" i="14"/>
  <c r="G317" i="14"/>
  <c r="I317" i="14" s="1"/>
  <c r="E317" i="14"/>
  <c r="D317" i="14"/>
  <c r="G316" i="14"/>
  <c r="I316" i="14" s="1"/>
  <c r="E316" i="14"/>
  <c r="D316" i="14"/>
  <c r="G315" i="14"/>
  <c r="E315" i="14"/>
  <c r="I314" i="14"/>
  <c r="G314" i="14"/>
  <c r="E314" i="14"/>
  <c r="D314" i="14"/>
  <c r="I313" i="14"/>
  <c r="G313" i="14"/>
  <c r="E313" i="14"/>
  <c r="D313" i="14"/>
  <c r="G312" i="14"/>
  <c r="I312" i="14" s="1"/>
  <c r="E312" i="14"/>
  <c r="D312" i="14"/>
  <c r="I311" i="14"/>
  <c r="G311" i="14"/>
  <c r="E311" i="14"/>
  <c r="D311" i="14"/>
  <c r="I310" i="14"/>
  <c r="I309" i="14" s="1"/>
  <c r="G310" i="14"/>
  <c r="E310" i="14"/>
  <c r="D310" i="14"/>
  <c r="G309" i="14"/>
  <c r="E309" i="14"/>
  <c r="G307" i="14"/>
  <c r="I307" i="14" s="1"/>
  <c r="E307" i="14"/>
  <c r="D307" i="14"/>
  <c r="G306" i="14"/>
  <c r="I306" i="14" s="1"/>
  <c r="E306" i="14"/>
  <c r="D306" i="14"/>
  <c r="I305" i="14"/>
  <c r="G305" i="14"/>
  <c r="E305" i="14"/>
  <c r="D305" i="14"/>
  <c r="G304" i="14"/>
  <c r="I304" i="14" s="1"/>
  <c r="E304" i="14"/>
  <c r="D304" i="14"/>
  <c r="G303" i="14"/>
  <c r="I303" i="14" s="1"/>
  <c r="E303" i="14"/>
  <c r="D303" i="14"/>
  <c r="G302" i="14"/>
  <c r="E302" i="14"/>
  <c r="I301" i="14"/>
  <c r="G301" i="14"/>
  <c r="E301" i="14"/>
  <c r="D301" i="14"/>
  <c r="I300" i="14"/>
  <c r="G300" i="14"/>
  <c r="E300" i="14"/>
  <c r="D300" i="14"/>
  <c r="G299" i="14"/>
  <c r="I299" i="14" s="1"/>
  <c r="E299" i="14"/>
  <c r="D299" i="14"/>
  <c r="I298" i="14"/>
  <c r="G298" i="14"/>
  <c r="E298" i="14"/>
  <c r="D298" i="14"/>
  <c r="I297" i="14"/>
  <c r="G297" i="14"/>
  <c r="E297" i="14"/>
  <c r="D297" i="14"/>
  <c r="G296" i="14"/>
  <c r="I296" i="14" s="1"/>
  <c r="E296" i="14"/>
  <c r="D296" i="14"/>
  <c r="I295" i="14"/>
  <c r="G295" i="14"/>
  <c r="E295" i="14"/>
  <c r="D295" i="14"/>
  <c r="I294" i="14"/>
  <c r="G294" i="14"/>
  <c r="E294" i="14"/>
  <c r="D294" i="14"/>
  <c r="G293" i="14"/>
  <c r="I293" i="14" s="1"/>
  <c r="E293" i="14"/>
  <c r="D293" i="14"/>
  <c r="I292" i="14"/>
  <c r="I290" i="14" s="1"/>
  <c r="G292" i="14"/>
  <c r="E292" i="14"/>
  <c r="D292" i="14"/>
  <c r="I291" i="14"/>
  <c r="G291" i="14"/>
  <c r="E291" i="14"/>
  <c r="D291" i="14"/>
  <c r="G290" i="14"/>
  <c r="E290" i="14"/>
  <c r="I287" i="14"/>
  <c r="G287" i="14"/>
  <c r="E287" i="14"/>
  <c r="D287" i="14"/>
  <c r="I286" i="14"/>
  <c r="G286" i="14"/>
  <c r="E286" i="14"/>
  <c r="D286" i="14"/>
  <c r="G285" i="14"/>
  <c r="I285" i="14" s="1"/>
  <c r="E285" i="14"/>
  <c r="D285" i="14"/>
  <c r="I284" i="14"/>
  <c r="G284" i="14"/>
  <c r="E284" i="14"/>
  <c r="D284" i="14"/>
  <c r="I283" i="14"/>
  <c r="G283" i="14"/>
  <c r="E283" i="14"/>
  <c r="D283" i="14"/>
  <c r="G282" i="14"/>
  <c r="I282" i="14" s="1"/>
  <c r="E282" i="14"/>
  <c r="D282" i="14"/>
  <c r="G279" i="14"/>
  <c r="I279" i="14" s="1"/>
  <c r="E279" i="14"/>
  <c r="D279" i="14"/>
  <c r="G278" i="14"/>
  <c r="I278" i="14" s="1"/>
  <c r="E278" i="14"/>
  <c r="D278" i="14"/>
  <c r="I277" i="14"/>
  <c r="G277" i="14"/>
  <c r="E277" i="14"/>
  <c r="D277" i="14"/>
  <c r="G276" i="14"/>
  <c r="I276" i="14" s="1"/>
  <c r="E276" i="14"/>
  <c r="D276" i="14"/>
  <c r="G275" i="14"/>
  <c r="I275" i="14" s="1"/>
  <c r="E275" i="14"/>
  <c r="D275" i="14"/>
  <c r="G272" i="14"/>
  <c r="I272" i="14" s="1"/>
  <c r="E272" i="14"/>
  <c r="D272" i="14"/>
  <c r="I271" i="14"/>
  <c r="G271" i="14"/>
  <c r="E271" i="14"/>
  <c r="D271" i="14"/>
  <c r="I270" i="14"/>
  <c r="G270" i="14"/>
  <c r="E270" i="14"/>
  <c r="D270" i="14"/>
  <c r="G269" i="14"/>
  <c r="I269" i="14" s="1"/>
  <c r="E269" i="14"/>
  <c r="D269" i="14"/>
  <c r="I268" i="14"/>
  <c r="G268" i="14"/>
  <c r="E268" i="14"/>
  <c r="D268" i="14"/>
  <c r="I267" i="14"/>
  <c r="G267" i="14"/>
  <c r="E267" i="14"/>
  <c r="D267" i="14"/>
  <c r="G266" i="14"/>
  <c r="I266" i="14" s="1"/>
  <c r="E266" i="14"/>
  <c r="D266" i="14"/>
  <c r="G264" i="14"/>
  <c r="I264" i="14" s="1"/>
  <c r="E264" i="14"/>
  <c r="D264" i="14"/>
  <c r="G263" i="14"/>
  <c r="I263" i="14" s="1"/>
  <c r="I262" i="14" s="1"/>
  <c r="E263" i="14"/>
  <c r="D263" i="14"/>
  <c r="G262" i="14"/>
  <c r="G260" i="14"/>
  <c r="I260" i="14" s="1"/>
  <c r="E260" i="14"/>
  <c r="D260" i="14"/>
  <c r="G259" i="14"/>
  <c r="I259" i="14" s="1"/>
  <c r="E259" i="14"/>
  <c r="D259" i="14"/>
  <c r="I258" i="14"/>
  <c r="G258" i="14"/>
  <c r="E258" i="14"/>
  <c r="D258" i="14"/>
  <c r="I257" i="14"/>
  <c r="I256" i="14"/>
  <c r="G255" i="14"/>
  <c r="I255" i="14" s="1"/>
  <c r="E255" i="14"/>
  <c r="D255" i="14"/>
  <c r="G254" i="14"/>
  <c r="I254" i="14" s="1"/>
  <c r="E254" i="14"/>
  <c r="D254" i="14"/>
  <c r="I253" i="14"/>
  <c r="I252" i="14" s="1"/>
  <c r="G253" i="14"/>
  <c r="E253" i="14"/>
  <c r="D253" i="14"/>
  <c r="G252" i="14"/>
  <c r="G250" i="14"/>
  <c r="I250" i="14" s="1"/>
  <c r="E250" i="14"/>
  <c r="D250" i="14"/>
  <c r="I249" i="14"/>
  <c r="G249" i="14"/>
  <c r="E249" i="14"/>
  <c r="D249" i="14"/>
  <c r="G248" i="14"/>
  <c r="I248" i="14" s="1"/>
  <c r="I247" i="14" s="1"/>
  <c r="E248" i="14"/>
  <c r="D248" i="14"/>
  <c r="G247" i="14"/>
  <c r="G245" i="14"/>
  <c r="I245" i="14" s="1"/>
  <c r="E245" i="14"/>
  <c r="D245" i="14"/>
  <c r="I244" i="14"/>
  <c r="G244" i="14"/>
  <c r="E244" i="14"/>
  <c r="D244" i="14"/>
  <c r="G243" i="14"/>
  <c r="I243" i="14" s="1"/>
  <c r="E243" i="14"/>
  <c r="D243" i="14"/>
  <c r="G242" i="14"/>
  <c r="I242" i="14" s="1"/>
  <c r="E242" i="14"/>
  <c r="D242" i="14"/>
  <c r="I241" i="14"/>
  <c r="G241" i="14"/>
  <c r="E241" i="14"/>
  <c r="D241" i="14"/>
  <c r="G240" i="14"/>
  <c r="I240" i="14" s="1"/>
  <c r="E240" i="14"/>
  <c r="D240" i="14"/>
  <c r="G239" i="14"/>
  <c r="I239" i="14" s="1"/>
  <c r="E239" i="14"/>
  <c r="D239" i="14"/>
  <c r="I238" i="14"/>
  <c r="G238" i="14"/>
  <c r="E238" i="14"/>
  <c r="D238" i="14"/>
  <c r="G237" i="14"/>
  <c r="G235" i="14"/>
  <c r="I235" i="14" s="1"/>
  <c r="E235" i="14"/>
  <c r="D235" i="14"/>
  <c r="I234" i="14"/>
  <c r="G234" i="14"/>
  <c r="E234" i="14"/>
  <c r="D234" i="14"/>
  <c r="G233" i="14"/>
  <c r="I233" i="14" s="1"/>
  <c r="E233" i="14"/>
  <c r="D233" i="14"/>
  <c r="G232" i="14"/>
  <c r="I232" i="14" s="1"/>
  <c r="E232" i="14"/>
  <c r="D232" i="14"/>
  <c r="I231" i="14"/>
  <c r="G231" i="14"/>
  <c r="E231" i="14"/>
  <c r="D231" i="14"/>
  <c r="G230" i="14"/>
  <c r="I230" i="14" s="1"/>
  <c r="E230" i="14"/>
  <c r="D230" i="14"/>
  <c r="G229" i="14"/>
  <c r="I229" i="14" s="1"/>
  <c r="E229" i="14"/>
  <c r="D229" i="14"/>
  <c r="I228" i="14"/>
  <c r="G228" i="14"/>
  <c r="E228" i="14"/>
  <c r="D228" i="14"/>
  <c r="G227" i="14"/>
  <c r="I227" i="14" s="1"/>
  <c r="E227" i="14"/>
  <c r="D227" i="14"/>
  <c r="G226" i="14"/>
  <c r="I226" i="14" s="1"/>
  <c r="E226" i="14"/>
  <c r="D226" i="14"/>
  <c r="I225" i="14"/>
  <c r="G225" i="14"/>
  <c r="E225" i="14"/>
  <c r="D225" i="14"/>
  <c r="G224" i="14"/>
  <c r="I224" i="14" s="1"/>
  <c r="E224" i="14"/>
  <c r="D224" i="14"/>
  <c r="G223" i="14"/>
  <c r="G221" i="14"/>
  <c r="I221" i="14" s="1"/>
  <c r="E221" i="14"/>
  <c r="D221" i="14"/>
  <c r="I220" i="14"/>
  <c r="G220" i="14"/>
  <c r="E220" i="14"/>
  <c r="D220" i="14"/>
  <c r="G219" i="14"/>
  <c r="I219" i="14" s="1"/>
  <c r="E219" i="14"/>
  <c r="D219" i="14"/>
  <c r="G218" i="14"/>
  <c r="I218" i="14" s="1"/>
  <c r="E218" i="14"/>
  <c r="D218" i="14"/>
  <c r="I217" i="14"/>
  <c r="G217" i="14"/>
  <c r="E217" i="14"/>
  <c r="D217" i="14"/>
  <c r="G216" i="14"/>
  <c r="I216" i="14" s="1"/>
  <c r="E216" i="14"/>
  <c r="D216" i="14"/>
  <c r="G215" i="14"/>
  <c r="I213" i="14"/>
  <c r="G213" i="14"/>
  <c r="E213" i="14"/>
  <c r="D213" i="14"/>
  <c r="G212" i="14"/>
  <c r="I212" i="14" s="1"/>
  <c r="E212" i="14"/>
  <c r="D212" i="14"/>
  <c r="G211" i="14"/>
  <c r="I211" i="14" s="1"/>
  <c r="E211" i="14"/>
  <c r="D211" i="14"/>
  <c r="I210" i="14"/>
  <c r="G210" i="14"/>
  <c r="E210" i="14"/>
  <c r="D210" i="14"/>
  <c r="G209" i="14"/>
  <c r="I209" i="14" s="1"/>
  <c r="E209" i="14"/>
  <c r="D209" i="14"/>
  <c r="G208" i="14"/>
  <c r="I208" i="14" s="1"/>
  <c r="E208" i="14"/>
  <c r="D208" i="14"/>
  <c r="I207" i="14"/>
  <c r="G207" i="14"/>
  <c r="E207" i="14"/>
  <c r="D207" i="14"/>
  <c r="G206" i="14"/>
  <c r="G204" i="14"/>
  <c r="I204" i="14" s="1"/>
  <c r="E204" i="14"/>
  <c r="D204" i="14"/>
  <c r="G203" i="14"/>
  <c r="I203" i="14" s="1"/>
  <c r="E203" i="14"/>
  <c r="D203" i="14"/>
  <c r="I202" i="14"/>
  <c r="G202" i="14"/>
  <c r="E202" i="14"/>
  <c r="D202" i="14"/>
  <c r="G201" i="14"/>
  <c r="I201" i="14" s="1"/>
  <c r="E201" i="14"/>
  <c r="D201" i="14"/>
  <c r="G200" i="14"/>
  <c r="I200" i="14" s="1"/>
  <c r="E200" i="14"/>
  <c r="D200" i="14"/>
  <c r="I199" i="14"/>
  <c r="G199" i="14"/>
  <c r="E199" i="14"/>
  <c r="D199" i="14"/>
  <c r="G198" i="14"/>
  <c r="I198" i="14" s="1"/>
  <c r="E198" i="14"/>
  <c r="D198" i="14"/>
  <c r="G197" i="14"/>
  <c r="G195" i="14"/>
  <c r="F195" i="14"/>
  <c r="I195" i="14" s="1"/>
  <c r="E195" i="14"/>
  <c r="D195" i="14"/>
  <c r="I194" i="14"/>
  <c r="G194" i="14"/>
  <c r="E194" i="14"/>
  <c r="D194" i="14"/>
  <c r="I193" i="14"/>
  <c r="G193" i="14"/>
  <c r="D193" i="14"/>
  <c r="I192" i="14"/>
  <c r="G192" i="14"/>
  <c r="E192" i="14"/>
  <c r="D192" i="14"/>
  <c r="G191" i="14"/>
  <c r="I191" i="14" s="1"/>
  <c r="E191" i="14"/>
  <c r="D191" i="14"/>
  <c r="G190" i="14"/>
  <c r="I190" i="14" s="1"/>
  <c r="E190" i="14"/>
  <c r="D190" i="14"/>
  <c r="I189" i="14"/>
  <c r="G189" i="14"/>
  <c r="E189" i="14"/>
  <c r="D189" i="14"/>
  <c r="G188" i="14"/>
  <c r="G186" i="14"/>
  <c r="F186" i="14"/>
  <c r="I186" i="14" s="1"/>
  <c r="E186" i="14"/>
  <c r="D186" i="14"/>
  <c r="G185" i="14"/>
  <c r="I185" i="14" s="1"/>
  <c r="E185" i="14"/>
  <c r="D185" i="14"/>
  <c r="I184" i="14"/>
  <c r="G184" i="14"/>
  <c r="E184" i="14"/>
  <c r="D184" i="14"/>
  <c r="I183" i="14"/>
  <c r="G183" i="14"/>
  <c r="E183" i="14"/>
  <c r="D183" i="14"/>
  <c r="G182" i="14"/>
  <c r="I182" i="14" s="1"/>
  <c r="E182" i="14"/>
  <c r="D182" i="14"/>
  <c r="I181" i="14"/>
  <c r="G181" i="14"/>
  <c r="E181" i="14"/>
  <c r="D181" i="14"/>
  <c r="I180" i="14"/>
  <c r="G180" i="14"/>
  <c r="E180" i="14"/>
  <c r="D180" i="14"/>
  <c r="G179" i="14"/>
  <c r="I179" i="14" s="1"/>
  <c r="E179" i="14"/>
  <c r="D179" i="14"/>
  <c r="I178" i="14"/>
  <c r="G178" i="14"/>
  <c r="E178" i="14"/>
  <c r="D178" i="14"/>
  <c r="I177" i="14"/>
  <c r="G177" i="14"/>
  <c r="E177" i="14"/>
  <c r="D177" i="14"/>
  <c r="G176" i="14"/>
  <c r="I176" i="14" s="1"/>
  <c r="F176" i="14"/>
  <c r="E176" i="14"/>
  <c r="D176" i="14"/>
  <c r="G175" i="14"/>
  <c r="E175" i="14"/>
  <c r="D175" i="14"/>
  <c r="I174" i="14"/>
  <c r="G174" i="14"/>
  <c r="F174" i="14"/>
  <c r="F175" i="14" s="1"/>
  <c r="I175" i="14" s="1"/>
  <c r="E174" i="14"/>
  <c r="D174" i="14"/>
  <c r="G173" i="14"/>
  <c r="G171" i="14"/>
  <c r="I171" i="14" s="1"/>
  <c r="F171" i="14"/>
  <c r="E171" i="14"/>
  <c r="D171" i="14"/>
  <c r="I170" i="14"/>
  <c r="G170" i="14"/>
  <c r="F170" i="14"/>
  <c r="E170" i="14"/>
  <c r="D170" i="14"/>
  <c r="I169" i="14"/>
  <c r="G169" i="14"/>
  <c r="E169" i="14"/>
  <c r="D169" i="14"/>
  <c r="G168" i="14"/>
  <c r="I168" i="14" s="1"/>
  <c r="E168" i="14"/>
  <c r="D168" i="14"/>
  <c r="G167" i="14"/>
  <c r="I167" i="14" s="1"/>
  <c r="E167" i="14"/>
  <c r="D167" i="14"/>
  <c r="I166" i="14"/>
  <c r="G166" i="14"/>
  <c r="E166" i="14"/>
  <c r="D166" i="14"/>
  <c r="G165" i="14"/>
  <c r="I165" i="14" s="1"/>
  <c r="E165" i="14"/>
  <c r="D165" i="14"/>
  <c r="G164" i="14"/>
  <c r="I164" i="14" s="1"/>
  <c r="E164" i="14"/>
  <c r="D164" i="14"/>
  <c r="I163" i="14"/>
  <c r="I162" i="14"/>
  <c r="G161" i="14"/>
  <c r="I161" i="14" s="1"/>
  <c r="E161" i="14"/>
  <c r="D161" i="14"/>
  <c r="G160" i="14"/>
  <c r="I160" i="14" s="1"/>
  <c r="E160" i="14"/>
  <c r="D160" i="14"/>
  <c r="I159" i="14"/>
  <c r="G159" i="14"/>
  <c r="E159" i="14"/>
  <c r="D159" i="14"/>
  <c r="G158" i="14"/>
  <c r="I158" i="14" s="1"/>
  <c r="E158" i="14"/>
  <c r="D158" i="14"/>
  <c r="G157" i="14"/>
  <c r="E157" i="14"/>
  <c r="D157" i="14"/>
  <c r="G156" i="14"/>
  <c r="F156" i="14"/>
  <c r="F157" i="14" s="1"/>
  <c r="I157" i="14" s="1"/>
  <c r="E156" i="14"/>
  <c r="D156" i="14"/>
  <c r="G155" i="14"/>
  <c r="F155" i="14"/>
  <c r="I155" i="14" s="1"/>
  <c r="E155" i="14"/>
  <c r="D155" i="14"/>
  <c r="G154" i="14"/>
  <c r="I154" i="14" s="1"/>
  <c r="E154" i="14"/>
  <c r="D154" i="14"/>
  <c r="I153" i="14"/>
  <c r="G153" i="14"/>
  <c r="E153" i="14"/>
  <c r="D153" i="14"/>
  <c r="I152" i="14"/>
  <c r="G152" i="14"/>
  <c r="E152" i="14"/>
  <c r="D152" i="14"/>
  <c r="G151" i="14"/>
  <c r="G150" i="14"/>
  <c r="I150" i="14" s="1"/>
  <c r="E150" i="14"/>
  <c r="D150" i="14"/>
  <c r="I149" i="14"/>
  <c r="G149" i="14"/>
  <c r="F149" i="14"/>
  <c r="E149" i="14"/>
  <c r="D149" i="14"/>
  <c r="G148" i="14"/>
  <c r="I148" i="14" s="1"/>
  <c r="E148" i="14"/>
  <c r="D148" i="14"/>
  <c r="I147" i="14"/>
  <c r="G147" i="14"/>
  <c r="E147" i="14"/>
  <c r="D147" i="14"/>
  <c r="G146" i="14"/>
  <c r="I146" i="14" s="1"/>
  <c r="E146" i="14"/>
  <c r="D146" i="14"/>
  <c r="G145" i="14"/>
  <c r="I145" i="14" s="1"/>
  <c r="E145" i="14"/>
  <c r="D145" i="14"/>
  <c r="I144" i="14"/>
  <c r="G144" i="14"/>
  <c r="E144" i="14"/>
  <c r="D144" i="14"/>
  <c r="G143" i="14"/>
  <c r="I143" i="14" s="1"/>
  <c r="E143" i="14"/>
  <c r="D143" i="14"/>
  <c r="G142" i="14"/>
  <c r="I142" i="14" s="1"/>
  <c r="E142" i="14"/>
  <c r="D142" i="14"/>
  <c r="G141" i="14"/>
  <c r="G139" i="14"/>
  <c r="I139" i="14" s="1"/>
  <c r="E139" i="14"/>
  <c r="D139" i="14"/>
  <c r="G138" i="14"/>
  <c r="I138" i="14" s="1"/>
  <c r="E138" i="14"/>
  <c r="D138" i="14"/>
  <c r="G137" i="14"/>
  <c r="E137" i="14"/>
  <c r="D137" i="14"/>
  <c r="I136" i="14"/>
  <c r="G136" i="14"/>
  <c r="E136" i="14"/>
  <c r="D136" i="14"/>
  <c r="G135" i="14"/>
  <c r="E135" i="14"/>
  <c r="D135" i="14"/>
  <c r="I134" i="14"/>
  <c r="G134" i="14"/>
  <c r="E134" i="14"/>
  <c r="D134" i="14"/>
  <c r="G133" i="14"/>
  <c r="I133" i="14" s="1"/>
  <c r="E133" i="14"/>
  <c r="D133" i="14"/>
  <c r="G132" i="14"/>
  <c r="I132" i="14" s="1"/>
  <c r="E132" i="14"/>
  <c r="D132" i="14"/>
  <c r="I131" i="14"/>
  <c r="G131" i="14"/>
  <c r="E131" i="14"/>
  <c r="D131" i="14"/>
  <c r="G130" i="14"/>
  <c r="I130" i="14" s="1"/>
  <c r="E130" i="14"/>
  <c r="D130" i="14"/>
  <c r="G129" i="14"/>
  <c r="F129" i="14"/>
  <c r="I129" i="14" s="1"/>
  <c r="E129" i="14"/>
  <c r="D129" i="14"/>
  <c r="G128" i="14"/>
  <c r="E128" i="14"/>
  <c r="G126" i="14"/>
  <c r="E126" i="14"/>
  <c r="D126" i="14"/>
  <c r="G125" i="14"/>
  <c r="I125" i="14" s="1"/>
  <c r="E125" i="14"/>
  <c r="D125" i="14"/>
  <c r="I124" i="14"/>
  <c r="G124" i="14"/>
  <c r="E124" i="14"/>
  <c r="D124" i="14"/>
  <c r="G123" i="14"/>
  <c r="F123" i="14"/>
  <c r="I123" i="14" s="1"/>
  <c r="E123" i="14"/>
  <c r="D123" i="14"/>
  <c r="G122" i="14"/>
  <c r="E122" i="14"/>
  <c r="G121" i="14"/>
  <c r="I119" i="14"/>
  <c r="G119" i="14"/>
  <c r="E119" i="14"/>
  <c r="D119" i="14"/>
  <c r="I118" i="14"/>
  <c r="G118" i="14"/>
  <c r="E118" i="14"/>
  <c r="D118" i="14"/>
  <c r="G117" i="14"/>
  <c r="I117" i="14" s="1"/>
  <c r="E117" i="14"/>
  <c r="D117" i="14"/>
  <c r="I116" i="14"/>
  <c r="G116" i="14"/>
  <c r="E116" i="14"/>
  <c r="D116" i="14"/>
  <c r="I115" i="14"/>
  <c r="G115" i="14"/>
  <c r="E115" i="14"/>
  <c r="D115" i="14"/>
  <c r="G114" i="14"/>
  <c r="E114" i="14"/>
  <c r="G113" i="14"/>
  <c r="I113" i="14" s="1"/>
  <c r="E113" i="14"/>
  <c r="D113" i="14"/>
  <c r="G112" i="14"/>
  <c r="I112" i="14" s="1"/>
  <c r="E112" i="14"/>
  <c r="D112" i="14"/>
  <c r="I111" i="14"/>
  <c r="G111" i="14"/>
  <c r="E111" i="14"/>
  <c r="D111" i="14"/>
  <c r="G110" i="14"/>
  <c r="I110" i="14" s="1"/>
  <c r="E110" i="14"/>
  <c r="D110" i="14"/>
  <c r="G109" i="14"/>
  <c r="E109" i="14"/>
  <c r="G107" i="14"/>
  <c r="I107" i="14" s="1"/>
  <c r="E107" i="14"/>
  <c r="D107" i="14"/>
  <c r="I106" i="14"/>
  <c r="G106" i="14"/>
  <c r="F106" i="14"/>
  <c r="E106" i="14"/>
  <c r="D106" i="14"/>
  <c r="G105" i="14"/>
  <c r="I105" i="14" s="1"/>
  <c r="E105" i="14"/>
  <c r="D105" i="14"/>
  <c r="I104" i="14"/>
  <c r="G104" i="14"/>
  <c r="E104" i="14"/>
  <c r="D104" i="14"/>
  <c r="G103" i="14"/>
  <c r="I103" i="14" s="1"/>
  <c r="E103" i="14"/>
  <c r="D103" i="14"/>
  <c r="G102" i="14"/>
  <c r="I102" i="14" s="1"/>
  <c r="E102" i="14"/>
  <c r="D102" i="14"/>
  <c r="I101" i="14"/>
  <c r="G101" i="14"/>
  <c r="E101" i="14"/>
  <c r="D101" i="14"/>
  <c r="G100" i="14"/>
  <c r="E100" i="14"/>
  <c r="I99" i="14"/>
  <c r="G99" i="14"/>
  <c r="E99" i="14"/>
  <c r="D99" i="14"/>
  <c r="G98" i="14"/>
  <c r="I98" i="14" s="1"/>
  <c r="E98" i="14"/>
  <c r="D98" i="14"/>
  <c r="I97" i="14"/>
  <c r="G97" i="14"/>
  <c r="E97" i="14"/>
  <c r="D97" i="14"/>
  <c r="I96" i="14"/>
  <c r="G96" i="14"/>
  <c r="E96" i="14"/>
  <c r="D96" i="14"/>
  <c r="G95" i="14"/>
  <c r="I95" i="14" s="1"/>
  <c r="E95" i="14"/>
  <c r="D95" i="14"/>
  <c r="I94" i="14"/>
  <c r="G94" i="14"/>
  <c r="F94" i="14"/>
  <c r="E94" i="14"/>
  <c r="D94" i="14"/>
  <c r="G93" i="14"/>
  <c r="I93" i="14" s="1"/>
  <c r="E93" i="14"/>
  <c r="D93" i="14"/>
  <c r="G92" i="14"/>
  <c r="F92" i="14"/>
  <c r="I92" i="14" s="1"/>
  <c r="E92" i="14"/>
  <c r="D92" i="14"/>
  <c r="I91" i="14"/>
  <c r="G91" i="14"/>
  <c r="E91" i="14"/>
  <c r="D91" i="14"/>
  <c r="I90" i="14"/>
  <c r="G90" i="14"/>
  <c r="E90" i="14"/>
  <c r="D90" i="14"/>
  <c r="G89" i="14"/>
  <c r="I89" i="14" s="1"/>
  <c r="E89" i="14"/>
  <c r="D89" i="14"/>
  <c r="G88" i="14"/>
  <c r="E88" i="14"/>
  <c r="G86" i="14"/>
  <c r="F86" i="14"/>
  <c r="I86" i="14" s="1"/>
  <c r="E86" i="14"/>
  <c r="D86" i="14"/>
  <c r="G85" i="14"/>
  <c r="I85" i="14" s="1"/>
  <c r="E85" i="14"/>
  <c r="D85" i="14"/>
  <c r="I84" i="14"/>
  <c r="G84" i="14"/>
  <c r="E84" i="14"/>
  <c r="D84" i="14"/>
  <c r="I83" i="14"/>
  <c r="G83" i="14"/>
  <c r="E83" i="14"/>
  <c r="D83" i="14"/>
  <c r="G82" i="14"/>
  <c r="I82" i="14" s="1"/>
  <c r="E82" i="14"/>
  <c r="D82" i="14"/>
  <c r="I81" i="14"/>
  <c r="G81" i="14"/>
  <c r="E81" i="14"/>
  <c r="D81" i="14"/>
  <c r="I80" i="14"/>
  <c r="G80" i="14"/>
  <c r="E80" i="14"/>
  <c r="D80" i="14"/>
  <c r="G79" i="14"/>
  <c r="I79" i="14" s="1"/>
  <c r="E79" i="14"/>
  <c r="D79" i="14"/>
  <c r="I78" i="14"/>
  <c r="G78" i="14"/>
  <c r="E78" i="14"/>
  <c r="D78" i="14"/>
  <c r="I77" i="14"/>
  <c r="G77" i="14"/>
  <c r="E77" i="14"/>
  <c r="D77" i="14"/>
  <c r="G76" i="14"/>
  <c r="I76" i="14" s="1"/>
  <c r="E76" i="14"/>
  <c r="D76" i="14"/>
  <c r="I75" i="14"/>
  <c r="G75" i="14"/>
  <c r="E75" i="14"/>
  <c r="D75" i="14"/>
  <c r="I74" i="14"/>
  <c r="G74" i="14"/>
  <c r="E74" i="14"/>
  <c r="D74" i="14"/>
  <c r="G73" i="14"/>
  <c r="I73" i="14" s="1"/>
  <c r="E73" i="14"/>
  <c r="D73" i="14"/>
  <c r="I72" i="14"/>
  <c r="G72" i="14"/>
  <c r="E72" i="14"/>
  <c r="D72" i="14"/>
  <c r="I71" i="14"/>
  <c r="G71" i="14"/>
  <c r="E71" i="14"/>
  <c r="D71" i="14"/>
  <c r="G70" i="14"/>
  <c r="I70" i="14" s="1"/>
  <c r="E70" i="14"/>
  <c r="D70" i="14"/>
  <c r="I69" i="14"/>
  <c r="G69" i="14"/>
  <c r="E69" i="14"/>
  <c r="D69" i="14"/>
  <c r="I68" i="14"/>
  <c r="G68" i="14"/>
  <c r="E68" i="14"/>
  <c r="D68" i="14"/>
  <c r="G67" i="14"/>
  <c r="E67" i="14"/>
  <c r="G66" i="14"/>
  <c r="G64" i="14"/>
  <c r="I64" i="14" s="1"/>
  <c r="E64" i="14"/>
  <c r="D64" i="14"/>
  <c r="G63" i="14"/>
  <c r="I63" i="14" s="1"/>
  <c r="I62" i="14" s="1"/>
  <c r="E63" i="14"/>
  <c r="D63" i="14"/>
  <c r="I60" i="14"/>
  <c r="G60" i="14"/>
  <c r="E60" i="14"/>
  <c r="D60" i="14"/>
  <c r="I59" i="14"/>
  <c r="G59" i="14"/>
  <c r="E59" i="14"/>
  <c r="D59" i="14"/>
  <c r="G58" i="14"/>
  <c r="I58" i="14" s="1"/>
  <c r="I57" i="14" s="1"/>
  <c r="E58" i="14"/>
  <c r="D58" i="14"/>
  <c r="G55" i="14"/>
  <c r="I55" i="14" s="1"/>
  <c r="F55" i="14"/>
  <c r="E55" i="14"/>
  <c r="D55" i="14"/>
  <c r="I54" i="14"/>
  <c r="G54" i="14"/>
  <c r="E54" i="14"/>
  <c r="D54" i="14"/>
  <c r="G53" i="14"/>
  <c r="I53" i="14" s="1"/>
  <c r="E53" i="14"/>
  <c r="D53" i="14"/>
  <c r="I52" i="14"/>
  <c r="G52" i="14"/>
  <c r="E52" i="14"/>
  <c r="D52" i="14"/>
  <c r="I51" i="14"/>
  <c r="G51" i="14"/>
  <c r="E51" i="14"/>
  <c r="D51" i="14"/>
  <c r="G50" i="14"/>
  <c r="I50" i="14" s="1"/>
  <c r="E50" i="14"/>
  <c r="D50" i="14"/>
  <c r="I47" i="14"/>
  <c r="I46" i="14"/>
  <c r="G46" i="14"/>
  <c r="E46" i="14"/>
  <c r="D46" i="14"/>
  <c r="G45" i="14"/>
  <c r="I45" i="14" s="1"/>
  <c r="E45" i="14"/>
  <c r="D45" i="14"/>
  <c r="I44" i="14"/>
  <c r="G44" i="14"/>
  <c r="E44" i="14"/>
  <c r="D44" i="14"/>
  <c r="I43" i="14"/>
  <c r="G43" i="14"/>
  <c r="E43" i="14"/>
  <c r="D43" i="14"/>
  <c r="G42" i="14"/>
  <c r="E42" i="14"/>
  <c r="G41" i="14"/>
  <c r="E41" i="14"/>
  <c r="G40" i="14"/>
  <c r="F40" i="14"/>
  <c r="F41" i="14" s="1"/>
  <c r="E40" i="14"/>
  <c r="D40" i="14"/>
  <c r="I39" i="14"/>
  <c r="G39" i="14"/>
  <c r="E39" i="14"/>
  <c r="D39" i="14"/>
  <c r="G38" i="14"/>
  <c r="I38" i="14" s="1"/>
  <c r="E38" i="14"/>
  <c r="I37" i="14"/>
  <c r="G37" i="14"/>
  <c r="E37" i="14"/>
  <c r="G36" i="14"/>
  <c r="I36" i="14" s="1"/>
  <c r="E36" i="14"/>
  <c r="D36" i="14"/>
  <c r="I35" i="14"/>
  <c r="G35" i="14"/>
  <c r="E35" i="14"/>
  <c r="D35" i="14"/>
  <c r="G33" i="14"/>
  <c r="E33" i="14"/>
  <c r="G31" i="14"/>
  <c r="F31" i="14"/>
  <c r="I31" i="14" s="1"/>
  <c r="E31" i="14"/>
  <c r="D31" i="14"/>
  <c r="I30" i="14"/>
  <c r="G30" i="14"/>
  <c r="E30" i="14"/>
  <c r="D30" i="14"/>
  <c r="G29" i="14"/>
  <c r="F29" i="14"/>
  <c r="I29" i="14" s="1"/>
  <c r="E29" i="14"/>
  <c r="D29" i="14"/>
  <c r="I28" i="14"/>
  <c r="G28" i="14"/>
  <c r="E28" i="14"/>
  <c r="D28" i="14"/>
  <c r="G27" i="14"/>
  <c r="I27" i="14" s="1"/>
  <c r="E27" i="14"/>
  <c r="D27" i="14"/>
  <c r="G26" i="14"/>
  <c r="I26" i="14" s="1"/>
  <c r="E26" i="14"/>
  <c r="D26" i="14"/>
  <c r="I25" i="14"/>
  <c r="G25" i="14"/>
  <c r="E25" i="14"/>
  <c r="D25" i="14"/>
  <c r="G24" i="14"/>
  <c r="I24" i="14" s="1"/>
  <c r="F24" i="14"/>
  <c r="E24" i="14"/>
  <c r="D24" i="14"/>
  <c r="I23" i="14"/>
  <c r="F23" i="14"/>
  <c r="F22" i="14"/>
  <c r="I22" i="14" s="1"/>
  <c r="G21" i="14"/>
  <c r="E21" i="14"/>
  <c r="G19" i="14"/>
  <c r="I19" i="14" s="1"/>
  <c r="E19" i="14"/>
  <c r="D19" i="14"/>
  <c r="G18" i="14"/>
  <c r="I18" i="14" s="1"/>
  <c r="E18" i="14"/>
  <c r="D18" i="14"/>
  <c r="I17" i="14"/>
  <c r="G17" i="14"/>
  <c r="E17" i="14"/>
  <c r="D17" i="14"/>
  <c r="G16" i="14"/>
  <c r="I16" i="14" s="1"/>
  <c r="E16" i="14"/>
  <c r="D16" i="14"/>
  <c r="G15" i="14"/>
  <c r="I15" i="14" s="1"/>
  <c r="I14" i="14" s="1"/>
  <c r="E15" i="14"/>
  <c r="D15" i="14"/>
  <c r="G14" i="14"/>
  <c r="E14" i="14"/>
  <c r="G13" i="14"/>
  <c r="D6" i="14"/>
  <c r="K28" i="13"/>
  <c r="J28" i="13"/>
  <c r="L28" i="13" s="1"/>
  <c r="F28" i="13"/>
  <c r="E28" i="13"/>
  <c r="L27" i="13"/>
  <c r="K27" i="13"/>
  <c r="J27" i="13"/>
  <c r="F27" i="13"/>
  <c r="E27" i="13"/>
  <c r="K26" i="13"/>
  <c r="J26" i="13"/>
  <c r="L26" i="13" s="1"/>
  <c r="F26" i="13"/>
  <c r="E26" i="13"/>
  <c r="L25" i="13"/>
  <c r="K25" i="13"/>
  <c r="J25" i="13"/>
  <c r="F25" i="13"/>
  <c r="E25" i="13"/>
  <c r="L24" i="13"/>
  <c r="K24" i="13"/>
  <c r="J24" i="13"/>
  <c r="F24" i="13"/>
  <c r="E24" i="13"/>
  <c r="K23" i="13"/>
  <c r="J23" i="13"/>
  <c r="L23" i="13" s="1"/>
  <c r="F23" i="13"/>
  <c r="E23" i="13"/>
  <c r="K22" i="13"/>
  <c r="J22" i="13"/>
  <c r="L22" i="13" s="1"/>
  <c r="F22" i="13"/>
  <c r="E22" i="13"/>
  <c r="L21" i="13"/>
  <c r="K21" i="13"/>
  <c r="J21" i="13"/>
  <c r="F21" i="13"/>
  <c r="E21" i="13"/>
  <c r="K20" i="13"/>
  <c r="J20" i="13"/>
  <c r="L20" i="13" s="1"/>
  <c r="F20" i="13"/>
  <c r="E20" i="13"/>
  <c r="L19" i="13"/>
  <c r="K19" i="13"/>
  <c r="J19" i="13"/>
  <c r="F19" i="13"/>
  <c r="E19" i="13"/>
  <c r="K18" i="13"/>
  <c r="J18" i="13"/>
  <c r="L18" i="13" s="1"/>
  <c r="F18" i="13"/>
  <c r="E18" i="13"/>
  <c r="K17" i="13"/>
  <c r="J17" i="13"/>
  <c r="L17" i="13" s="1"/>
  <c r="F17" i="13"/>
  <c r="E17" i="13"/>
  <c r="K16" i="13"/>
  <c r="J16" i="13"/>
  <c r="L16" i="13" s="1"/>
  <c r="F16" i="13"/>
  <c r="E16" i="13"/>
  <c r="L15" i="13"/>
  <c r="K15" i="13"/>
  <c r="J15" i="13"/>
  <c r="F15" i="13"/>
  <c r="E15" i="13"/>
  <c r="K14" i="13"/>
  <c r="J14" i="13"/>
  <c r="L14" i="13" s="1"/>
  <c r="F14" i="13"/>
  <c r="E14" i="13"/>
  <c r="L13" i="13"/>
  <c r="K13" i="13"/>
  <c r="J13" i="13"/>
  <c r="F13" i="13"/>
  <c r="E13" i="13"/>
  <c r="L12" i="13"/>
  <c r="K12" i="13"/>
  <c r="J12" i="13"/>
  <c r="H12" i="13"/>
  <c r="F12" i="13"/>
  <c r="E12" i="13"/>
  <c r="H11" i="13"/>
  <c r="F11" i="13"/>
  <c r="E11" i="13"/>
  <c r="K10" i="13"/>
  <c r="J10" i="13"/>
  <c r="H10" i="13"/>
  <c r="L10" i="13" s="1"/>
  <c r="F10" i="13"/>
  <c r="E10" i="13"/>
  <c r="L9" i="13"/>
  <c r="K9" i="13"/>
  <c r="J9" i="13"/>
  <c r="H9" i="13"/>
  <c r="F9" i="13"/>
  <c r="E9" i="13"/>
  <c r="K8" i="13"/>
  <c r="J8" i="13"/>
  <c r="H8" i="13"/>
  <c r="L8" i="13" s="1"/>
  <c r="F8" i="13"/>
  <c r="E8" i="13"/>
  <c r="L7" i="13"/>
  <c r="J7" i="13"/>
  <c r="H7" i="13"/>
  <c r="G7" i="13"/>
  <c r="K7" i="13" s="1"/>
  <c r="F7" i="13"/>
  <c r="E7" i="13"/>
  <c r="K6" i="13"/>
  <c r="J6" i="13"/>
  <c r="H6" i="13"/>
  <c r="L6" i="13" s="1"/>
  <c r="F6" i="13"/>
  <c r="E6" i="13"/>
  <c r="K5" i="13"/>
  <c r="J5" i="13"/>
  <c r="H5" i="13"/>
  <c r="L5" i="13" s="1"/>
  <c r="F5" i="13"/>
  <c r="E5" i="13"/>
  <c r="K4" i="13"/>
  <c r="J4" i="13"/>
  <c r="H4" i="13"/>
  <c r="L4" i="13" s="1"/>
  <c r="F4" i="13"/>
  <c r="E4" i="13"/>
  <c r="J3" i="13"/>
  <c r="D213" i="10"/>
  <c r="C213" i="10"/>
  <c r="D212" i="10"/>
  <c r="C212" i="10"/>
  <c r="D211" i="10"/>
  <c r="C211" i="10"/>
  <c r="D210" i="10"/>
  <c r="C210" i="10"/>
  <c r="D209" i="10"/>
  <c r="C209" i="10"/>
  <c r="B208" i="10"/>
  <c r="D208" i="10" s="1"/>
  <c r="C207" i="10"/>
  <c r="D206" i="10"/>
  <c r="C206" i="10"/>
  <c r="D205" i="10"/>
  <c r="C205" i="10"/>
  <c r="D204" i="10"/>
  <c r="C204" i="10"/>
  <c r="D203" i="10"/>
  <c r="C203" i="10"/>
  <c r="B202" i="10"/>
  <c r="D202" i="10" s="1"/>
  <c r="D201" i="10"/>
  <c r="C201" i="10"/>
  <c r="D200" i="10"/>
  <c r="C200" i="10"/>
  <c r="D199" i="10"/>
  <c r="C199" i="10"/>
  <c r="D198" i="10"/>
  <c r="C198" i="10"/>
  <c r="D197" i="10"/>
  <c r="C197" i="10"/>
  <c r="D196" i="10"/>
  <c r="C196" i="10"/>
  <c r="C195" i="10"/>
  <c r="D194" i="10"/>
  <c r="B194" i="10"/>
  <c r="C194" i="10" s="1"/>
  <c r="B193" i="10"/>
  <c r="D193" i="10" s="1"/>
  <c r="D192" i="10"/>
  <c r="C192" i="10"/>
  <c r="B191" i="10"/>
  <c r="D191" i="10" s="1"/>
  <c r="D190" i="10"/>
  <c r="C190" i="10"/>
  <c r="B189" i="10"/>
  <c r="D189" i="10" s="1"/>
  <c r="C188" i="10"/>
  <c r="D187" i="10"/>
  <c r="C187" i="10"/>
  <c r="D186" i="10"/>
  <c r="C186" i="10"/>
  <c r="D185" i="10"/>
  <c r="C185" i="10"/>
  <c r="D184" i="10"/>
  <c r="C184" i="10"/>
  <c r="D183" i="10"/>
  <c r="C183" i="10"/>
  <c r="D182" i="10"/>
  <c r="C182" i="10"/>
  <c r="D181" i="10"/>
  <c r="C181" i="10"/>
  <c r="B181" i="10"/>
  <c r="B180" i="10"/>
  <c r="D180" i="10" s="1"/>
  <c r="D179" i="10"/>
  <c r="C179" i="10"/>
  <c r="B178" i="10"/>
  <c r="D178" i="10" s="1"/>
  <c r="C177" i="10"/>
  <c r="B177" i="10"/>
  <c r="D177" i="10" s="1"/>
  <c r="C176" i="10"/>
  <c r="D175" i="10"/>
  <c r="C175" i="10"/>
  <c r="B174" i="10"/>
  <c r="D174" i="10" s="1"/>
  <c r="D173" i="10"/>
  <c r="C173" i="10"/>
  <c r="B172" i="10"/>
  <c r="D172" i="10" s="1"/>
  <c r="D171" i="10"/>
  <c r="C171" i="10"/>
  <c r="B171" i="10"/>
  <c r="B170" i="10"/>
  <c r="D170" i="10" s="1"/>
  <c r="D169" i="10"/>
  <c r="C169" i="10"/>
  <c r="D168" i="10"/>
  <c r="C168" i="10"/>
  <c r="D167" i="10"/>
  <c r="C167" i="10"/>
  <c r="D166" i="10"/>
  <c r="C166" i="10"/>
  <c r="B166" i="10"/>
  <c r="D165" i="10"/>
  <c r="C165" i="10"/>
  <c r="D164" i="10"/>
  <c r="C164" i="10"/>
  <c r="B164" i="10"/>
  <c r="D163" i="10"/>
  <c r="C163" i="10"/>
  <c r="D162" i="10"/>
  <c r="C162" i="10"/>
  <c r="D161" i="10"/>
  <c r="C161" i="10"/>
  <c r="B160" i="10"/>
  <c r="D160" i="10" s="1"/>
  <c r="D159" i="10"/>
  <c r="C159" i="10"/>
  <c r="B159" i="10"/>
  <c r="B158" i="10"/>
  <c r="D158" i="10" s="1"/>
  <c r="D157" i="10"/>
  <c r="C157" i="10"/>
  <c r="B157" i="10"/>
  <c r="B156" i="10"/>
  <c r="D156" i="10" s="1"/>
  <c r="D155" i="10"/>
  <c r="C155" i="10"/>
  <c r="B155" i="10"/>
  <c r="D154" i="10"/>
  <c r="C154" i="10"/>
  <c r="C153" i="10"/>
  <c r="B153" i="10"/>
  <c r="D153" i="10" s="1"/>
  <c r="D152" i="10"/>
  <c r="B152" i="10"/>
  <c r="C152" i="10" s="1"/>
  <c r="B151" i="10"/>
  <c r="D151" i="10" s="1"/>
  <c r="B150" i="10"/>
  <c r="D150" i="10" s="1"/>
  <c r="C149" i="10"/>
  <c r="B149" i="10"/>
  <c r="D149" i="10" s="1"/>
  <c r="D148" i="10"/>
  <c r="B148" i="10"/>
  <c r="C148" i="10" s="1"/>
  <c r="D147" i="10"/>
  <c r="C147" i="10"/>
  <c r="D146" i="10"/>
  <c r="C146" i="10"/>
  <c r="C145" i="10"/>
  <c r="B145" i="10"/>
  <c r="D145" i="10" s="1"/>
  <c r="C144" i="10"/>
  <c r="D143" i="10"/>
  <c r="C143" i="10"/>
  <c r="D142" i="10"/>
  <c r="C142" i="10"/>
  <c r="D141" i="10"/>
  <c r="C141" i="10"/>
  <c r="D140" i="10"/>
  <c r="C140" i="10"/>
  <c r="D139" i="10"/>
  <c r="C139" i="10"/>
  <c r="C138" i="10"/>
  <c r="B138" i="10"/>
  <c r="D138" i="10" s="1"/>
  <c r="D137" i="10"/>
  <c r="C137" i="10"/>
  <c r="D136" i="10"/>
  <c r="C136" i="10"/>
  <c r="D135" i="10"/>
  <c r="C135" i="10"/>
  <c r="B135" i="10"/>
  <c r="D134" i="10"/>
  <c r="C134" i="10"/>
  <c r="B134" i="10"/>
  <c r="D133" i="10"/>
  <c r="C133" i="10"/>
  <c r="B133" i="10"/>
  <c r="B132" i="10"/>
  <c r="D132" i="10" s="1"/>
  <c r="D131" i="10"/>
  <c r="C131" i="10"/>
  <c r="B131" i="10"/>
  <c r="D130" i="10"/>
  <c r="C130" i="10"/>
  <c r="C129" i="10"/>
  <c r="B129" i="10"/>
  <c r="D129" i="10" s="1"/>
  <c r="C128" i="10"/>
  <c r="D127" i="10"/>
  <c r="C127" i="10"/>
  <c r="C126" i="10"/>
  <c r="D125" i="10"/>
  <c r="C125" i="10"/>
  <c r="D124" i="10"/>
  <c r="C124" i="10"/>
  <c r="D123" i="10"/>
  <c r="C123" i="10"/>
  <c r="D122" i="10"/>
  <c r="C122" i="10"/>
  <c r="D121" i="10"/>
  <c r="B121" i="10"/>
  <c r="C121" i="10" s="1"/>
  <c r="D120" i="10"/>
  <c r="C120" i="10"/>
  <c r="D119" i="10"/>
  <c r="C119" i="10"/>
  <c r="C118" i="10"/>
  <c r="B117" i="10"/>
  <c r="D116" i="10"/>
  <c r="C116" i="10"/>
  <c r="B116" i="10"/>
  <c r="B115" i="10"/>
  <c r="D114" i="10"/>
  <c r="C114" i="10"/>
  <c r="D113" i="10"/>
  <c r="C113" i="10"/>
  <c r="B113" i="10"/>
  <c r="B112" i="10"/>
  <c r="C111" i="10"/>
  <c r="D110" i="10"/>
  <c r="C110" i="10"/>
  <c r="D109" i="10"/>
  <c r="C109" i="10"/>
  <c r="B109" i="10"/>
  <c r="D108" i="10"/>
  <c r="C108" i="10"/>
  <c r="B108" i="10"/>
  <c r="D107" i="10"/>
  <c r="B107" i="10"/>
  <c r="C107" i="10" s="1"/>
  <c r="D106" i="10"/>
  <c r="C106" i="10"/>
  <c r="D105" i="10"/>
  <c r="C105" i="10"/>
  <c r="D104" i="10"/>
  <c r="C104" i="10"/>
  <c r="D101" i="10"/>
  <c r="C101" i="10"/>
  <c r="B101" i="10"/>
  <c r="D100" i="10"/>
  <c r="C100" i="10"/>
  <c r="D99" i="10"/>
  <c r="C99" i="10"/>
  <c r="D98" i="10"/>
  <c r="C98" i="10"/>
  <c r="D97" i="10"/>
  <c r="C97" i="10"/>
  <c r="D96" i="10"/>
  <c r="C96" i="10"/>
  <c r="D95" i="10"/>
  <c r="C95" i="10"/>
  <c r="D94" i="10"/>
  <c r="C94" i="10"/>
  <c r="D93" i="10"/>
  <c r="C93" i="10"/>
  <c r="D92" i="10"/>
  <c r="C92" i="10"/>
  <c r="D91" i="10"/>
  <c r="C91" i="10"/>
  <c r="D90" i="10"/>
  <c r="C90" i="10"/>
  <c r="D89" i="10"/>
  <c r="C89" i="10"/>
  <c r="D88" i="10"/>
  <c r="C88" i="10"/>
  <c r="D87" i="10"/>
  <c r="C87" i="10"/>
  <c r="D86" i="10"/>
  <c r="C86" i="10"/>
  <c r="D85" i="10"/>
  <c r="C85" i="10"/>
  <c r="D84" i="10"/>
  <c r="C84" i="10"/>
  <c r="D83" i="10"/>
  <c r="C83" i="10"/>
  <c r="D82" i="10"/>
  <c r="C82" i="10"/>
  <c r="D81" i="10"/>
  <c r="C81" i="10"/>
  <c r="D80" i="10"/>
  <c r="C80" i="10"/>
  <c r="D79" i="10"/>
  <c r="C79" i="10"/>
  <c r="D78" i="10"/>
  <c r="C78" i="10"/>
  <c r="D77" i="10"/>
  <c r="C77" i="10"/>
  <c r="D76" i="10"/>
  <c r="C76" i="10"/>
  <c r="D75" i="10"/>
  <c r="C75" i="10"/>
  <c r="D74" i="10"/>
  <c r="C74" i="10"/>
  <c r="D73" i="10"/>
  <c r="C73" i="10"/>
  <c r="D72" i="10"/>
  <c r="C72" i="10"/>
  <c r="D71" i="10"/>
  <c r="C71" i="10"/>
  <c r="D70" i="10"/>
  <c r="C70" i="10"/>
  <c r="D69" i="10"/>
  <c r="C69" i="10"/>
  <c r="D68" i="10"/>
  <c r="C68" i="10"/>
  <c r="D67" i="10"/>
  <c r="C67" i="10"/>
  <c r="D66" i="10"/>
  <c r="C66" i="10"/>
  <c r="D65" i="10"/>
  <c r="C65" i="10"/>
  <c r="D64" i="10"/>
  <c r="C64" i="10"/>
  <c r="D63" i="10"/>
  <c r="C63" i="10"/>
  <c r="D62" i="10"/>
  <c r="C62" i="10"/>
  <c r="D61" i="10"/>
  <c r="C61" i="10"/>
  <c r="D60" i="10"/>
  <c r="C60" i="10"/>
  <c r="D59" i="10"/>
  <c r="C59" i="10"/>
  <c r="D58" i="10"/>
  <c r="C58" i="10"/>
  <c r="D57" i="10"/>
  <c r="C57" i="10"/>
  <c r="D56" i="10"/>
  <c r="C56" i="10"/>
  <c r="D55" i="10"/>
  <c r="C55" i="10"/>
  <c r="D54" i="10"/>
  <c r="C54" i="10"/>
  <c r="D53" i="10"/>
  <c r="B53" i="10"/>
  <c r="C53" i="10" s="1"/>
  <c r="D52" i="10"/>
  <c r="C52" i="10"/>
  <c r="D51" i="10"/>
  <c r="C51" i="10"/>
  <c r="D50" i="10"/>
  <c r="C50" i="10"/>
  <c r="D49" i="10"/>
  <c r="C49" i="10"/>
  <c r="D48" i="10"/>
  <c r="C48" i="10"/>
  <c r="D47" i="10"/>
  <c r="C47" i="10"/>
  <c r="D46" i="10"/>
  <c r="C46" i="10"/>
  <c r="D45" i="10"/>
  <c r="C45" i="10"/>
  <c r="B44" i="10"/>
  <c r="D44" i="10" s="1"/>
  <c r="D43" i="10"/>
  <c r="C43" i="10"/>
  <c r="D42" i="10"/>
  <c r="C42" i="10"/>
  <c r="D41" i="10"/>
  <c r="C41" i="10"/>
  <c r="D40" i="10"/>
  <c r="C40" i="10"/>
  <c r="D39" i="10"/>
  <c r="C39" i="10"/>
  <c r="D38" i="10"/>
  <c r="C38" i="10"/>
  <c r="D37" i="10"/>
  <c r="C37" i="10"/>
  <c r="D36" i="10"/>
  <c r="C36" i="10"/>
  <c r="D35" i="10"/>
  <c r="C35" i="10"/>
  <c r="D34" i="10"/>
  <c r="C34" i="10"/>
  <c r="D33" i="10"/>
  <c r="C33" i="10"/>
  <c r="D32" i="10"/>
  <c r="C32" i="10"/>
  <c r="D31" i="10"/>
  <c r="C31" i="10"/>
  <c r="D30" i="10"/>
  <c r="C30" i="10"/>
  <c r="D29" i="10"/>
  <c r="C29" i="10"/>
  <c r="D28" i="10"/>
  <c r="C28" i="10"/>
  <c r="D27" i="10"/>
  <c r="C27" i="10"/>
  <c r="D26" i="10"/>
  <c r="C26" i="10"/>
  <c r="D25" i="10"/>
  <c r="C25" i="10"/>
  <c r="D24" i="10"/>
  <c r="C24" i="10"/>
  <c r="D23" i="10"/>
  <c r="C23" i="10"/>
  <c r="D22" i="10"/>
  <c r="C22" i="10"/>
  <c r="D21" i="10"/>
  <c r="C21" i="10"/>
  <c r="D20" i="10"/>
  <c r="C20" i="10"/>
  <c r="D19" i="10"/>
  <c r="C19" i="10"/>
  <c r="B19" i="10"/>
  <c r="B18" i="10"/>
  <c r="C17" i="10"/>
  <c r="E3433" i="9"/>
  <c r="E3432" i="9"/>
  <c r="E3431" i="9"/>
  <c r="E3430" i="9"/>
  <c r="E3429" i="9"/>
  <c r="E3428" i="9"/>
  <c r="F2686" i="9"/>
  <c r="F2654" i="9"/>
  <c r="F1914" i="9"/>
  <c r="F1913" i="9"/>
  <c r="F1347" i="9"/>
  <c r="E1347" i="9"/>
  <c r="BB54" i="8"/>
  <c r="AZ43" i="8"/>
  <c r="AP43" i="8"/>
  <c r="V43" i="8"/>
  <c r="BJ43" i="8" s="1"/>
  <c r="BM42" i="8"/>
  <c r="BJ42" i="8"/>
  <c r="AA42" i="8"/>
  <c r="BJ38" i="8"/>
  <c r="BE38" i="8"/>
  <c r="BE43" i="8" s="1"/>
  <c r="AZ38" i="8"/>
  <c r="AP38" i="8"/>
  <c r="AK38" i="8"/>
  <c r="AK43" i="8" s="1"/>
  <c r="AA38" i="8"/>
  <c r="AA43" i="8" s="1"/>
  <c r="V38" i="8"/>
  <c r="Q38" i="8"/>
  <c r="N38" i="8"/>
  <c r="AU23" i="8"/>
  <c r="AU38" i="8" s="1"/>
  <c r="AU43" i="8" s="1"/>
  <c r="AF23" i="8"/>
  <c r="AF38" i="8" s="1"/>
  <c r="AF43" i="8" s="1"/>
  <c r="AM13" i="8"/>
  <c r="X13" i="8"/>
  <c r="AM11" i="8"/>
  <c r="X9" i="8"/>
  <c r="K3" i="8"/>
  <c r="AA370" i="7"/>
  <c r="Z351" i="7"/>
  <c r="Z349" i="7"/>
  <c r="AP347" i="7"/>
  <c r="W347" i="7"/>
  <c r="T347" i="7"/>
  <c r="R347" i="7"/>
  <c r="D347" i="7"/>
  <c r="B347" i="7"/>
  <c r="AP346" i="7"/>
  <c r="W346" i="7"/>
  <c r="T346" i="7"/>
  <c r="R346" i="7"/>
  <c r="D346" i="7"/>
  <c r="B346" i="7"/>
  <c r="AP345" i="7"/>
  <c r="W345" i="7"/>
  <c r="T345" i="7"/>
  <c r="R345" i="7"/>
  <c r="D345" i="7"/>
  <c r="B345" i="7"/>
  <c r="BD344" i="7"/>
  <c r="AZ344" i="7"/>
  <c r="BI344" i="7" s="1"/>
  <c r="AP344" i="7"/>
  <c r="AU344" i="7" s="1"/>
  <c r="AG344" i="7"/>
  <c r="W344" i="7"/>
  <c r="T344" i="7"/>
  <c r="R344" i="7"/>
  <c r="D344" i="7"/>
  <c r="B344" i="7"/>
  <c r="AZ343" i="7"/>
  <c r="AU343" i="7"/>
  <c r="AP343" i="7"/>
  <c r="W343" i="7"/>
  <c r="BD343" i="7" s="1"/>
  <c r="T343" i="7"/>
  <c r="R343" i="7"/>
  <c r="D343" i="7"/>
  <c r="B343" i="7"/>
  <c r="AZ342" i="7"/>
  <c r="AP342" i="7"/>
  <c r="AU342" i="7" s="1"/>
  <c r="AG342" i="7"/>
  <c r="W342" i="7"/>
  <c r="T342" i="7"/>
  <c r="R342" i="7"/>
  <c r="D342" i="7"/>
  <c r="B342" i="7"/>
  <c r="AU341" i="7"/>
  <c r="AP341" i="7"/>
  <c r="W341" i="7"/>
  <c r="T341" i="7"/>
  <c r="R341" i="7"/>
  <c r="D341" i="7"/>
  <c r="B341" i="7"/>
  <c r="AU340" i="7"/>
  <c r="AP340" i="7"/>
  <c r="AG340" i="7"/>
  <c r="W340" i="7"/>
  <c r="AZ340" i="7" s="1"/>
  <c r="T340" i="7"/>
  <c r="R340" i="7"/>
  <c r="D340" i="7"/>
  <c r="B340" i="7"/>
  <c r="BD339" i="7"/>
  <c r="BI339" i="7" s="1"/>
  <c r="AZ339" i="7"/>
  <c r="AP339" i="7"/>
  <c r="AU339" i="7" s="1"/>
  <c r="AG339" i="7"/>
  <c r="W339" i="7"/>
  <c r="T339" i="7"/>
  <c r="R339" i="7"/>
  <c r="D339" i="7"/>
  <c r="B339" i="7"/>
  <c r="AP338" i="7"/>
  <c r="W338" i="7"/>
  <c r="T338" i="7"/>
  <c r="R338" i="7"/>
  <c r="D338" i="7"/>
  <c r="B338" i="7"/>
  <c r="AP337" i="7"/>
  <c r="W337" i="7"/>
  <c r="T337" i="7"/>
  <c r="R337" i="7"/>
  <c r="D337" i="7"/>
  <c r="B337" i="7"/>
  <c r="BD336" i="7"/>
  <c r="BI336" i="7" s="1"/>
  <c r="AU336" i="7"/>
  <c r="AP336" i="7"/>
  <c r="AG336" i="7"/>
  <c r="W336" i="7"/>
  <c r="AZ336" i="7" s="1"/>
  <c r="T336" i="7"/>
  <c r="R336" i="7"/>
  <c r="D336" i="7"/>
  <c r="B336" i="7"/>
  <c r="AZ335" i="7"/>
  <c r="AP335" i="7"/>
  <c r="AU335" i="7" s="1"/>
  <c r="AG335" i="7"/>
  <c r="W335" i="7"/>
  <c r="T335" i="7"/>
  <c r="R335" i="7"/>
  <c r="D335" i="7"/>
  <c r="B335" i="7"/>
  <c r="BD334" i="7"/>
  <c r="AZ334" i="7"/>
  <c r="BI334" i="7" s="1"/>
  <c r="AU334" i="7"/>
  <c r="AP334" i="7"/>
  <c r="AG334" i="7"/>
  <c r="W334" i="7"/>
  <c r="T334" i="7"/>
  <c r="R334" i="7"/>
  <c r="D334" i="7"/>
  <c r="B334" i="7"/>
  <c r="AZ333" i="7"/>
  <c r="AU333" i="7"/>
  <c r="AP333" i="7"/>
  <c r="W333" i="7"/>
  <c r="AG333" i="7" s="1"/>
  <c r="T333" i="7"/>
  <c r="R333" i="7"/>
  <c r="D333" i="7"/>
  <c r="B333" i="7"/>
  <c r="AP332" i="7"/>
  <c r="W332" i="7"/>
  <c r="T332" i="7"/>
  <c r="R332" i="7"/>
  <c r="D332" i="7"/>
  <c r="B332" i="7"/>
  <c r="AP331" i="7"/>
  <c r="W331" i="7"/>
  <c r="T331" i="7"/>
  <c r="R331" i="7"/>
  <c r="D331" i="7"/>
  <c r="B331" i="7"/>
  <c r="BI330" i="7"/>
  <c r="BD330" i="7"/>
  <c r="AU330" i="7"/>
  <c r="AP330" i="7"/>
  <c r="W330" i="7"/>
  <c r="AZ330" i="7" s="1"/>
  <c r="T330" i="7"/>
  <c r="R330" i="7"/>
  <c r="D330" i="7"/>
  <c r="B330" i="7"/>
  <c r="AP329" i="7"/>
  <c r="AU329" i="7" s="1"/>
  <c r="W329" i="7"/>
  <c r="T329" i="7"/>
  <c r="R329" i="7"/>
  <c r="D329" i="7"/>
  <c r="B329" i="7"/>
  <c r="AU328" i="7"/>
  <c r="AP328" i="7"/>
  <c r="W328" i="7"/>
  <c r="R328" i="7"/>
  <c r="D328" i="7"/>
  <c r="B328" i="7"/>
  <c r="W327" i="7"/>
  <c r="T327" i="7"/>
  <c r="R327" i="7"/>
  <c r="D327" i="7"/>
  <c r="B327" i="7"/>
  <c r="W326" i="7"/>
  <c r="T326" i="7"/>
  <c r="R326" i="7"/>
  <c r="B326" i="7"/>
  <c r="AP325" i="7"/>
  <c r="W325" i="7"/>
  <c r="T325" i="7"/>
  <c r="R325" i="7"/>
  <c r="D325" i="7"/>
  <c r="B325" i="7"/>
  <c r="AP324" i="7"/>
  <c r="AU324" i="7" s="1"/>
  <c r="AG324" i="7"/>
  <c r="W324" i="7"/>
  <c r="T324" i="7"/>
  <c r="R324" i="7"/>
  <c r="D324" i="7"/>
  <c r="B324" i="7"/>
  <c r="BN323" i="7"/>
  <c r="AP323" i="7"/>
  <c r="AU323" i="7" s="1"/>
  <c r="AG323" i="7"/>
  <c r="W323" i="7"/>
  <c r="T323" i="7"/>
  <c r="R323" i="7"/>
  <c r="D323" i="7"/>
  <c r="B323" i="7"/>
  <c r="AP322" i="7"/>
  <c r="W322" i="7"/>
  <c r="T322" i="7"/>
  <c r="R322" i="7"/>
  <c r="D322" i="7"/>
  <c r="B322" i="7"/>
  <c r="AZ321" i="7"/>
  <c r="AP321" i="7"/>
  <c r="AU321" i="7" s="1"/>
  <c r="W321" i="7"/>
  <c r="BD321" i="7" s="1"/>
  <c r="T321" i="7"/>
  <c r="R321" i="7"/>
  <c r="D321" i="7"/>
  <c r="B321" i="7"/>
  <c r="BD320" i="7"/>
  <c r="AZ320" i="7"/>
  <c r="BI320" i="7" s="1"/>
  <c r="AU320" i="7"/>
  <c r="AP320" i="7"/>
  <c r="AG320" i="7"/>
  <c r="W320" i="7"/>
  <c r="T320" i="7"/>
  <c r="R320" i="7"/>
  <c r="D320" i="7"/>
  <c r="B320" i="7"/>
  <c r="BN319" i="7"/>
  <c r="AP319" i="7"/>
  <c r="W319" i="7"/>
  <c r="T319" i="7"/>
  <c r="R319" i="7"/>
  <c r="D319" i="7"/>
  <c r="B319" i="7"/>
  <c r="AP318" i="7"/>
  <c r="W318" i="7"/>
  <c r="T318" i="7"/>
  <c r="R318" i="7"/>
  <c r="D318" i="7"/>
  <c r="B318" i="7"/>
  <c r="AP317" i="7"/>
  <c r="W317" i="7"/>
  <c r="AG317" i="7" s="1"/>
  <c r="T317" i="7"/>
  <c r="R317" i="7"/>
  <c r="D317" i="7"/>
  <c r="B317" i="7"/>
  <c r="AZ316" i="7"/>
  <c r="AP316" i="7"/>
  <c r="AG316" i="7"/>
  <c r="W316" i="7"/>
  <c r="T316" i="7"/>
  <c r="R316" i="7"/>
  <c r="D316" i="7"/>
  <c r="B316" i="7"/>
  <c r="AU315" i="7"/>
  <c r="AP315" i="7"/>
  <c r="AG315" i="7"/>
  <c r="W315" i="7"/>
  <c r="BD315" i="7" s="1"/>
  <c r="T315" i="7"/>
  <c r="R315" i="7"/>
  <c r="D315" i="7"/>
  <c r="B315" i="7"/>
  <c r="AU314" i="7"/>
  <c r="AP314" i="7"/>
  <c r="W314" i="7"/>
  <c r="T314" i="7"/>
  <c r="R314" i="7"/>
  <c r="D314" i="7"/>
  <c r="B314" i="7"/>
  <c r="BD313" i="7"/>
  <c r="AZ313" i="7"/>
  <c r="BI313" i="7" s="1"/>
  <c r="AP313" i="7"/>
  <c r="AG313" i="7"/>
  <c r="W313" i="7"/>
  <c r="T313" i="7"/>
  <c r="R313" i="7"/>
  <c r="D313" i="7"/>
  <c r="B313" i="7"/>
  <c r="BN312" i="7"/>
  <c r="AZ312" i="7"/>
  <c r="BI312" i="7" s="1"/>
  <c r="BI317" i="7" s="1"/>
  <c r="AU312" i="7"/>
  <c r="AP312" i="7"/>
  <c r="BD312" i="7" s="1"/>
  <c r="AG312" i="7"/>
  <c r="W312" i="7"/>
  <c r="T312" i="7"/>
  <c r="R312" i="7"/>
  <c r="D312" i="7"/>
  <c r="B312" i="7"/>
  <c r="BD311" i="7"/>
  <c r="BD317" i="7" s="1"/>
  <c r="AP311" i="7"/>
  <c r="W311" i="7"/>
  <c r="AZ311" i="7" s="1"/>
  <c r="AZ317" i="7" s="1"/>
  <c r="T311" i="7"/>
  <c r="R311" i="7"/>
  <c r="D311" i="7"/>
  <c r="B311" i="7"/>
  <c r="AP310" i="7"/>
  <c r="W310" i="7"/>
  <c r="T310" i="7"/>
  <c r="R310" i="7"/>
  <c r="D310" i="7"/>
  <c r="B310" i="7"/>
  <c r="AZ309" i="7"/>
  <c r="AP309" i="7"/>
  <c r="AG309" i="7"/>
  <c r="W309" i="7"/>
  <c r="T309" i="7"/>
  <c r="R309" i="7"/>
  <c r="D309" i="7"/>
  <c r="B309" i="7"/>
  <c r="AZ308" i="7"/>
  <c r="BI308" i="7" s="1"/>
  <c r="AU308" i="7"/>
  <c r="AP308" i="7"/>
  <c r="BD308" i="7" s="1"/>
  <c r="AG308" i="7"/>
  <c r="W308" i="7"/>
  <c r="T308" i="7"/>
  <c r="R308" i="7"/>
  <c r="D308" i="7"/>
  <c r="B308" i="7"/>
  <c r="AP307" i="7"/>
  <c r="W307" i="7"/>
  <c r="T307" i="7"/>
  <c r="R307" i="7"/>
  <c r="D307" i="7"/>
  <c r="B307" i="7"/>
  <c r="AZ306" i="7"/>
  <c r="AP306" i="7"/>
  <c r="BD306" i="7" s="1"/>
  <c r="AG306" i="7"/>
  <c r="W306" i="7"/>
  <c r="T306" i="7"/>
  <c r="R306" i="7"/>
  <c r="D306" i="7"/>
  <c r="B306" i="7"/>
  <c r="AP305" i="7"/>
  <c r="W305" i="7"/>
  <c r="T305" i="7"/>
  <c r="R305" i="7"/>
  <c r="D305" i="7"/>
  <c r="B305" i="7"/>
  <c r="AP304" i="7"/>
  <c r="W304" i="7"/>
  <c r="T304" i="7"/>
  <c r="R304" i="7"/>
  <c r="D304" i="7"/>
  <c r="B304" i="7"/>
  <c r="AP303" i="7"/>
  <c r="W303" i="7"/>
  <c r="T303" i="7"/>
  <c r="R303" i="7"/>
  <c r="B303" i="7"/>
  <c r="AZ302" i="7"/>
  <c r="BI302" i="7" s="1"/>
  <c r="AU302" i="7"/>
  <c r="AP302" i="7"/>
  <c r="W302" i="7"/>
  <c r="BD302" i="7" s="1"/>
  <c r="R302" i="7"/>
  <c r="D302" i="7"/>
  <c r="B302" i="7"/>
  <c r="BN301" i="7"/>
  <c r="BD301" i="7"/>
  <c r="AU301" i="7"/>
  <c r="AP301" i="7"/>
  <c r="W301" i="7"/>
  <c r="AZ301" i="7" s="1"/>
  <c r="BI301" i="7" s="1"/>
  <c r="T301" i="7"/>
  <c r="R301" i="7"/>
  <c r="D301" i="7"/>
  <c r="B301" i="7"/>
  <c r="AP300" i="7"/>
  <c r="W300" i="7"/>
  <c r="T300" i="7"/>
  <c r="R300" i="7"/>
  <c r="D300" i="7"/>
  <c r="B300" i="7"/>
  <c r="AP299" i="7"/>
  <c r="AU299" i="7" s="1"/>
  <c r="AG299" i="7"/>
  <c r="W299" i="7"/>
  <c r="BD299" i="7" s="1"/>
  <c r="T299" i="7"/>
  <c r="R299" i="7"/>
  <c r="D299" i="7"/>
  <c r="B299" i="7"/>
  <c r="AU298" i="7"/>
  <c r="AP298" i="7"/>
  <c r="W298" i="7"/>
  <c r="R298" i="7"/>
  <c r="D298" i="7"/>
  <c r="B298" i="7"/>
  <c r="BD297" i="7"/>
  <c r="AZ297" i="7"/>
  <c r="BI297" i="7" s="1"/>
  <c r="AU297" i="7"/>
  <c r="AP297" i="7"/>
  <c r="W297" i="7"/>
  <c r="AG297" i="7" s="1"/>
  <c r="T297" i="7"/>
  <c r="R297" i="7"/>
  <c r="D297" i="7"/>
  <c r="B297" i="7"/>
  <c r="AZ296" i="7"/>
  <c r="AP296" i="7"/>
  <c r="BD296" i="7" s="1"/>
  <c r="BI296" i="7" s="1"/>
  <c r="AG296" i="7"/>
  <c r="W296" i="7"/>
  <c r="T296" i="7"/>
  <c r="R296" i="7"/>
  <c r="D296" i="7"/>
  <c r="B296" i="7"/>
  <c r="BD295" i="7"/>
  <c r="AZ295" i="7"/>
  <c r="BI295" i="7" s="1"/>
  <c r="BI303" i="7" s="1"/>
  <c r="AP295" i="7"/>
  <c r="AU295" i="7" s="1"/>
  <c r="AG295" i="7"/>
  <c r="W295" i="7"/>
  <c r="T295" i="7"/>
  <c r="R295" i="7"/>
  <c r="B295" i="7"/>
  <c r="AP294" i="7"/>
  <c r="W294" i="7"/>
  <c r="T294" i="7"/>
  <c r="R294" i="7"/>
  <c r="D294" i="7"/>
  <c r="B294" i="7"/>
  <c r="BD293" i="7"/>
  <c r="AP293" i="7"/>
  <c r="AU293" i="7" s="1"/>
  <c r="W293" i="7"/>
  <c r="T293" i="7"/>
  <c r="R293" i="7"/>
  <c r="D293" i="7"/>
  <c r="B293" i="7"/>
  <c r="AP292" i="7"/>
  <c r="BD292" i="7" s="1"/>
  <c r="W292" i="7"/>
  <c r="AG292" i="7" s="1"/>
  <c r="T292" i="7"/>
  <c r="R292" i="7"/>
  <c r="D292" i="7"/>
  <c r="B292" i="7"/>
  <c r="AZ291" i="7"/>
  <c r="AU291" i="7"/>
  <c r="AP291" i="7"/>
  <c r="BD291" i="7" s="1"/>
  <c r="AG291" i="7"/>
  <c r="W291" i="7"/>
  <c r="T291" i="7"/>
  <c r="R291" i="7"/>
  <c r="D291" i="7"/>
  <c r="B291" i="7"/>
  <c r="BI290" i="7"/>
  <c r="BD290" i="7"/>
  <c r="AU290" i="7"/>
  <c r="AP290" i="7"/>
  <c r="W290" i="7"/>
  <c r="AZ290" i="7" s="1"/>
  <c r="T290" i="7"/>
  <c r="R290" i="7"/>
  <c r="D290" i="7"/>
  <c r="B290" i="7"/>
  <c r="BN289" i="7"/>
  <c r="BD289" i="7"/>
  <c r="AU289" i="7"/>
  <c r="AP289" i="7"/>
  <c r="W289" i="7"/>
  <c r="AZ289" i="7" s="1"/>
  <c r="AZ293" i="7" s="1"/>
  <c r="T289" i="7"/>
  <c r="R289" i="7"/>
  <c r="D289" i="7"/>
  <c r="B289" i="7"/>
  <c r="AP288" i="7"/>
  <c r="W288" i="7"/>
  <c r="T288" i="7"/>
  <c r="R288" i="7"/>
  <c r="D288" i="7"/>
  <c r="B288" i="7"/>
  <c r="AP287" i="7"/>
  <c r="AG287" i="7"/>
  <c r="W287" i="7"/>
  <c r="T287" i="7"/>
  <c r="R287" i="7"/>
  <c r="D287" i="7"/>
  <c r="B287" i="7"/>
  <c r="BN286" i="7"/>
  <c r="AP286" i="7"/>
  <c r="AU286" i="7" s="1"/>
  <c r="AG286" i="7"/>
  <c r="W286" i="7"/>
  <c r="AZ286" i="7" s="1"/>
  <c r="T286" i="7"/>
  <c r="R286" i="7"/>
  <c r="D286" i="7"/>
  <c r="B286" i="7"/>
  <c r="BN285" i="7"/>
  <c r="BD285" i="7"/>
  <c r="AP285" i="7"/>
  <c r="AU285" i="7" s="1"/>
  <c r="W285" i="7"/>
  <c r="AZ285" i="7" s="1"/>
  <c r="T285" i="7"/>
  <c r="R285" i="7"/>
  <c r="D285" i="7"/>
  <c r="B285" i="7"/>
  <c r="BN284" i="7"/>
  <c r="AZ284" i="7"/>
  <c r="AP284" i="7"/>
  <c r="AU284" i="7" s="1"/>
  <c r="W284" i="7"/>
  <c r="BD284" i="7" s="1"/>
  <c r="T284" i="7"/>
  <c r="R284" i="7"/>
  <c r="D284" i="7"/>
  <c r="B284" i="7"/>
  <c r="BN283" i="7"/>
  <c r="AP283" i="7"/>
  <c r="AG283" i="7"/>
  <c r="W283" i="7"/>
  <c r="AZ283" i="7" s="1"/>
  <c r="AZ331" i="7" s="1"/>
  <c r="T283" i="7"/>
  <c r="R283" i="7"/>
  <c r="D283" i="7"/>
  <c r="B283" i="7"/>
  <c r="AP282" i="7"/>
  <c r="W282" i="7"/>
  <c r="T282" i="7"/>
  <c r="R282" i="7"/>
  <c r="D282" i="7"/>
  <c r="B282" i="7"/>
  <c r="AP281" i="7"/>
  <c r="AG281" i="7"/>
  <c r="W281" i="7"/>
  <c r="T281" i="7"/>
  <c r="R281" i="7"/>
  <c r="D281" i="7"/>
  <c r="B281" i="7"/>
  <c r="AU280" i="7"/>
  <c r="AP280" i="7"/>
  <c r="W280" i="7"/>
  <c r="BD280" i="7" s="1"/>
  <c r="T280" i="7"/>
  <c r="R280" i="7"/>
  <c r="D280" i="7"/>
  <c r="B280" i="7"/>
  <c r="BD279" i="7"/>
  <c r="AU279" i="7"/>
  <c r="AP279" i="7"/>
  <c r="AG279" i="7"/>
  <c r="W279" i="7"/>
  <c r="AZ279" i="7" s="1"/>
  <c r="BI279" i="7" s="1"/>
  <c r="T279" i="7"/>
  <c r="R279" i="7"/>
  <c r="D279" i="7"/>
  <c r="B279" i="7"/>
  <c r="AP278" i="7"/>
  <c r="AU278" i="7" s="1"/>
  <c r="AG278" i="7"/>
  <c r="W278" i="7"/>
  <c r="BD278" i="7" s="1"/>
  <c r="T278" i="7"/>
  <c r="R278" i="7"/>
  <c r="D278" i="7"/>
  <c r="B278" i="7"/>
  <c r="AU277" i="7"/>
  <c r="AP277" i="7"/>
  <c r="AG277" i="7"/>
  <c r="W277" i="7"/>
  <c r="BD277" i="7" s="1"/>
  <c r="T277" i="7"/>
  <c r="R277" i="7"/>
  <c r="D277" i="7"/>
  <c r="B277" i="7"/>
  <c r="BD276" i="7"/>
  <c r="BI276" i="7" s="1"/>
  <c r="AZ276" i="7"/>
  <c r="AU276" i="7"/>
  <c r="AP276" i="7"/>
  <c r="W276" i="7"/>
  <c r="AG276" i="7" s="1"/>
  <c r="T276" i="7"/>
  <c r="R276" i="7"/>
  <c r="D276" i="7"/>
  <c r="B276" i="7"/>
  <c r="AZ275" i="7"/>
  <c r="AU275" i="7"/>
  <c r="AP275" i="7"/>
  <c r="BD275" i="7" s="1"/>
  <c r="AG275" i="7"/>
  <c r="W275" i="7"/>
  <c r="T275" i="7"/>
  <c r="R275" i="7"/>
  <c r="D275" i="7"/>
  <c r="B275" i="7"/>
  <c r="BI274" i="7"/>
  <c r="AZ274" i="7"/>
  <c r="AP274" i="7"/>
  <c r="BD274" i="7" s="1"/>
  <c r="AG274" i="7"/>
  <c r="W274" i="7"/>
  <c r="T274" i="7"/>
  <c r="R274" i="7"/>
  <c r="D274" i="7"/>
  <c r="B274" i="7"/>
  <c r="BD273" i="7"/>
  <c r="AZ273" i="7"/>
  <c r="AP273" i="7"/>
  <c r="AU273" i="7" s="1"/>
  <c r="AG273" i="7"/>
  <c r="W273" i="7"/>
  <c r="T273" i="7"/>
  <c r="R273" i="7"/>
  <c r="D273" i="7"/>
  <c r="B273" i="7"/>
  <c r="AZ272" i="7"/>
  <c r="AU272" i="7"/>
  <c r="AP272" i="7"/>
  <c r="W272" i="7"/>
  <c r="BD272" i="7" s="1"/>
  <c r="T272" i="7"/>
  <c r="R272" i="7"/>
  <c r="D272" i="7"/>
  <c r="B272" i="7"/>
  <c r="BD271" i="7"/>
  <c r="AU271" i="7"/>
  <c r="AP271" i="7"/>
  <c r="W271" i="7"/>
  <c r="AZ271" i="7" s="1"/>
  <c r="BI271" i="7" s="1"/>
  <c r="T271" i="7"/>
  <c r="R271" i="7"/>
  <c r="D271" i="7"/>
  <c r="B271" i="7"/>
  <c r="BD270" i="7"/>
  <c r="AZ270" i="7"/>
  <c r="AP270" i="7"/>
  <c r="AU270" i="7" s="1"/>
  <c r="AG270" i="7"/>
  <c r="W270" i="7"/>
  <c r="T270" i="7"/>
  <c r="R270" i="7"/>
  <c r="D270" i="7"/>
  <c r="B270" i="7"/>
  <c r="AU269" i="7"/>
  <c r="AP269" i="7"/>
  <c r="W269" i="7"/>
  <c r="T269" i="7"/>
  <c r="R269" i="7"/>
  <c r="D269" i="7"/>
  <c r="B269" i="7"/>
  <c r="AP268" i="7"/>
  <c r="AU268" i="7" s="1"/>
  <c r="AG268" i="7"/>
  <c r="W268" i="7"/>
  <c r="BD268" i="7" s="1"/>
  <c r="T268" i="7"/>
  <c r="R268" i="7"/>
  <c r="D268" i="7"/>
  <c r="B268" i="7"/>
  <c r="BD267" i="7"/>
  <c r="BI267" i="7" s="1"/>
  <c r="AU267" i="7"/>
  <c r="AP267" i="7"/>
  <c r="W267" i="7"/>
  <c r="AZ267" i="7" s="1"/>
  <c r="T267" i="7"/>
  <c r="R267" i="7"/>
  <c r="D267" i="7"/>
  <c r="B267" i="7"/>
  <c r="AZ266" i="7"/>
  <c r="AP266" i="7"/>
  <c r="AU266" i="7" s="1"/>
  <c r="AG266" i="7"/>
  <c r="W266" i="7"/>
  <c r="T266" i="7"/>
  <c r="R266" i="7"/>
  <c r="D266" i="7"/>
  <c r="B266" i="7"/>
  <c r="BD265" i="7"/>
  <c r="AZ265" i="7"/>
  <c r="BI265" i="7" s="1"/>
  <c r="AU265" i="7"/>
  <c r="AP265" i="7"/>
  <c r="AG265" i="7"/>
  <c r="W265" i="7"/>
  <c r="T265" i="7"/>
  <c r="R265" i="7"/>
  <c r="D265" i="7"/>
  <c r="B265" i="7"/>
  <c r="AZ264" i="7"/>
  <c r="AU264" i="7"/>
  <c r="AP264" i="7"/>
  <c r="W264" i="7"/>
  <c r="AG264" i="7" s="1"/>
  <c r="T264" i="7"/>
  <c r="R264" i="7"/>
  <c r="D264" i="7"/>
  <c r="B264" i="7"/>
  <c r="AZ263" i="7"/>
  <c r="AP263" i="7"/>
  <c r="AU263" i="7" s="1"/>
  <c r="AG263" i="7"/>
  <c r="W263" i="7"/>
  <c r="T263" i="7"/>
  <c r="R263" i="7"/>
  <c r="D263" i="7"/>
  <c r="B263" i="7"/>
  <c r="AZ262" i="7"/>
  <c r="AU262" i="7"/>
  <c r="AP262" i="7"/>
  <c r="AG262" i="7"/>
  <c r="W262" i="7"/>
  <c r="BD262" i="7" s="1"/>
  <c r="T262" i="7"/>
  <c r="R262" i="7"/>
  <c r="D262" i="7"/>
  <c r="B262" i="7"/>
  <c r="AU261" i="7"/>
  <c r="AP261" i="7"/>
  <c r="W261" i="7"/>
  <c r="T261" i="7"/>
  <c r="R261" i="7"/>
  <c r="D261" i="7"/>
  <c r="B261" i="7"/>
  <c r="AP260" i="7"/>
  <c r="AU260" i="7" s="1"/>
  <c r="AG260" i="7"/>
  <c r="W260" i="7"/>
  <c r="T260" i="7"/>
  <c r="R260" i="7"/>
  <c r="D260" i="7"/>
  <c r="B260" i="7"/>
  <c r="AU259" i="7"/>
  <c r="AP259" i="7"/>
  <c r="AG259" i="7"/>
  <c r="W259" i="7"/>
  <c r="BD259" i="7" s="1"/>
  <c r="T259" i="7"/>
  <c r="R259" i="7"/>
  <c r="D259" i="7"/>
  <c r="B259" i="7"/>
  <c r="AU258" i="7"/>
  <c r="AP258" i="7"/>
  <c r="W258" i="7"/>
  <c r="T258" i="7"/>
  <c r="R258" i="7"/>
  <c r="D258" i="7"/>
  <c r="B258" i="7"/>
  <c r="AZ257" i="7"/>
  <c r="AU257" i="7"/>
  <c r="AP257" i="7"/>
  <c r="BD257" i="7" s="1"/>
  <c r="AG257" i="7"/>
  <c r="W257" i="7"/>
  <c r="T257" i="7"/>
  <c r="R257" i="7"/>
  <c r="D257" i="7"/>
  <c r="B257" i="7"/>
  <c r="AZ256" i="7"/>
  <c r="AP256" i="7"/>
  <c r="AU256" i="7" s="1"/>
  <c r="AG256" i="7"/>
  <c r="W256" i="7"/>
  <c r="T256" i="7"/>
  <c r="R256" i="7"/>
  <c r="D256" i="7"/>
  <c r="B256" i="7"/>
  <c r="AU255" i="7"/>
  <c r="AP255" i="7"/>
  <c r="W255" i="7"/>
  <c r="AZ255" i="7" s="1"/>
  <c r="T255" i="7"/>
  <c r="R255" i="7"/>
  <c r="D255" i="7"/>
  <c r="B255" i="7"/>
  <c r="BD254" i="7"/>
  <c r="AZ254" i="7"/>
  <c r="BI254" i="7" s="1"/>
  <c r="AP254" i="7"/>
  <c r="AU254" i="7" s="1"/>
  <c r="AG254" i="7"/>
  <c r="W254" i="7"/>
  <c r="T254" i="7"/>
  <c r="R254" i="7"/>
  <c r="D254" i="7"/>
  <c r="B254" i="7"/>
  <c r="AU253" i="7"/>
  <c r="AP253" i="7"/>
  <c r="W253" i="7"/>
  <c r="T253" i="7"/>
  <c r="R253" i="7"/>
  <c r="D253" i="7"/>
  <c r="B253" i="7"/>
  <c r="AP252" i="7"/>
  <c r="AU252" i="7" s="1"/>
  <c r="W252" i="7"/>
  <c r="AG252" i="7" s="1"/>
  <c r="T252" i="7"/>
  <c r="R252" i="7"/>
  <c r="D252" i="7"/>
  <c r="B252" i="7"/>
  <c r="BD251" i="7"/>
  <c r="BI251" i="7" s="1"/>
  <c r="AZ251" i="7"/>
  <c r="AU251" i="7"/>
  <c r="AP251" i="7"/>
  <c r="AG251" i="7"/>
  <c r="W251" i="7"/>
  <c r="T251" i="7"/>
  <c r="R251" i="7"/>
  <c r="D251" i="7"/>
  <c r="B251" i="7"/>
  <c r="BD250" i="7"/>
  <c r="AZ250" i="7"/>
  <c r="AZ281" i="7" s="1"/>
  <c r="AU250" i="7"/>
  <c r="AP250" i="7"/>
  <c r="W250" i="7"/>
  <c r="AG250" i="7" s="1"/>
  <c r="T250" i="7"/>
  <c r="R250" i="7"/>
  <c r="D250" i="7"/>
  <c r="B250" i="7"/>
  <c r="AP249" i="7"/>
  <c r="W249" i="7"/>
  <c r="T249" i="7"/>
  <c r="R249" i="7"/>
  <c r="D249" i="7"/>
  <c r="B249" i="7"/>
  <c r="AP248" i="7"/>
  <c r="W248" i="7"/>
  <c r="T248" i="7"/>
  <c r="R248" i="7"/>
  <c r="D248" i="7"/>
  <c r="B248" i="7"/>
  <c r="BD247" i="7"/>
  <c r="BI247" i="7" s="1"/>
  <c r="BI248" i="7" s="1"/>
  <c r="AZ247" i="7"/>
  <c r="AZ248" i="7" s="1"/>
  <c r="AU247" i="7"/>
  <c r="AP247" i="7"/>
  <c r="AG247" i="7"/>
  <c r="W247" i="7"/>
  <c r="T247" i="7"/>
  <c r="R247" i="7"/>
  <c r="D247" i="7"/>
  <c r="B247" i="7"/>
  <c r="AP246" i="7"/>
  <c r="W246" i="7"/>
  <c r="T246" i="7"/>
  <c r="R246" i="7"/>
  <c r="D246" i="7"/>
  <c r="B246" i="7"/>
  <c r="AP245" i="7"/>
  <c r="W245" i="7"/>
  <c r="T245" i="7"/>
  <c r="R245" i="7"/>
  <c r="D245" i="7"/>
  <c r="B245" i="7"/>
  <c r="AP244" i="7"/>
  <c r="W244" i="7"/>
  <c r="T244" i="7"/>
  <c r="R244" i="7"/>
  <c r="D244" i="7"/>
  <c r="B244" i="7"/>
  <c r="AP243" i="7"/>
  <c r="W243" i="7"/>
  <c r="T243" i="7"/>
  <c r="R243" i="7"/>
  <c r="D243" i="7"/>
  <c r="B243" i="7"/>
  <c r="AP242" i="7"/>
  <c r="W242" i="7"/>
  <c r="T242" i="7"/>
  <c r="R242" i="7"/>
  <c r="D242" i="7"/>
  <c r="B242" i="7"/>
  <c r="AP241" i="7"/>
  <c r="W241" i="7"/>
  <c r="T241" i="7"/>
  <c r="R241" i="7"/>
  <c r="D241" i="7"/>
  <c r="B241" i="7"/>
  <c r="AP240" i="7"/>
  <c r="W240" i="7"/>
  <c r="T240" i="7"/>
  <c r="R240" i="7"/>
  <c r="D240" i="7"/>
  <c r="B240" i="7"/>
  <c r="AP239" i="7"/>
  <c r="W239" i="7"/>
  <c r="T239" i="7"/>
  <c r="R239" i="7"/>
  <c r="D239" i="7"/>
  <c r="B239" i="7"/>
  <c r="AP238" i="7"/>
  <c r="W238" i="7"/>
  <c r="T238" i="7"/>
  <c r="R238" i="7"/>
  <c r="D238" i="7"/>
  <c r="B238" i="7"/>
  <c r="AP237" i="7"/>
  <c r="W237" i="7"/>
  <c r="T237" i="7"/>
  <c r="R237" i="7"/>
  <c r="D237" i="7"/>
  <c r="B237" i="7"/>
  <c r="AP236" i="7"/>
  <c r="W236" i="7"/>
  <c r="T236" i="7"/>
  <c r="R236" i="7"/>
  <c r="D236" i="7"/>
  <c r="B236" i="7"/>
  <c r="AP235" i="7"/>
  <c r="W235" i="7"/>
  <c r="T235" i="7"/>
  <c r="R235" i="7"/>
  <c r="D235" i="7"/>
  <c r="B235" i="7"/>
  <c r="AP234" i="7"/>
  <c r="W234" i="7"/>
  <c r="T234" i="7"/>
  <c r="R234" i="7"/>
  <c r="D234" i="7"/>
  <c r="B234" i="7"/>
  <c r="AP233" i="7"/>
  <c r="W233" i="7"/>
  <c r="T233" i="7"/>
  <c r="R233" i="7"/>
  <c r="D233" i="7"/>
  <c r="B233" i="7"/>
  <c r="AP232" i="7"/>
  <c r="W232" i="7"/>
  <c r="T232" i="7"/>
  <c r="R232" i="7"/>
  <c r="D232" i="7"/>
  <c r="B232" i="7"/>
  <c r="AP231" i="7"/>
  <c r="W231" i="7"/>
  <c r="T231" i="7"/>
  <c r="R231" i="7"/>
  <c r="D231" i="7"/>
  <c r="B231" i="7"/>
  <c r="AP230" i="7"/>
  <c r="W230" i="7"/>
  <c r="T230" i="7"/>
  <c r="R230" i="7"/>
  <c r="D230" i="7"/>
  <c r="B230" i="7"/>
  <c r="AP229" i="7"/>
  <c r="W229" i="7"/>
  <c r="T229" i="7"/>
  <c r="R229" i="7"/>
  <c r="D229" i="7"/>
  <c r="B229" i="7"/>
  <c r="AP228" i="7"/>
  <c r="W228" i="7"/>
  <c r="T228" i="7"/>
  <c r="R228" i="7"/>
  <c r="D228" i="7"/>
  <c r="B228" i="7"/>
  <c r="AP227" i="7"/>
  <c r="W227" i="7"/>
  <c r="T227" i="7"/>
  <c r="R227" i="7"/>
  <c r="D227" i="7"/>
  <c r="B227" i="7"/>
  <c r="AP226" i="7"/>
  <c r="W226" i="7"/>
  <c r="T226" i="7"/>
  <c r="R226" i="7"/>
  <c r="D226" i="7"/>
  <c r="B226" i="7"/>
  <c r="AP225" i="7"/>
  <c r="W225" i="7"/>
  <c r="T225" i="7"/>
  <c r="R225" i="7"/>
  <c r="D225" i="7"/>
  <c r="B225" i="7"/>
  <c r="AP224" i="7"/>
  <c r="W224" i="7"/>
  <c r="T224" i="7"/>
  <c r="R224" i="7"/>
  <c r="D224" i="7"/>
  <c r="B224" i="7"/>
  <c r="AP223" i="7"/>
  <c r="W223" i="7"/>
  <c r="T223" i="7"/>
  <c r="R223" i="7"/>
  <c r="D223" i="7"/>
  <c r="B223" i="7"/>
  <c r="AP222" i="7"/>
  <c r="W222" i="7"/>
  <c r="T222" i="7"/>
  <c r="R222" i="7"/>
  <c r="D222" i="7"/>
  <c r="B222" i="7"/>
  <c r="AP221" i="7"/>
  <c r="W221" i="7"/>
  <c r="T221" i="7"/>
  <c r="R221" i="7"/>
  <c r="D221" i="7"/>
  <c r="B221" i="7"/>
  <c r="AP220" i="7"/>
  <c r="W220" i="7"/>
  <c r="T220" i="7"/>
  <c r="R220" i="7"/>
  <c r="D220" i="7"/>
  <c r="B220" i="7"/>
  <c r="AP219" i="7"/>
  <c r="W219" i="7"/>
  <c r="T219" i="7"/>
  <c r="R219" i="7"/>
  <c r="D219" i="7"/>
  <c r="B219" i="7"/>
  <c r="BD218" i="7"/>
  <c r="AZ218" i="7"/>
  <c r="BI218" i="7" s="1"/>
  <c r="AU218" i="7"/>
  <c r="AP218" i="7"/>
  <c r="AG218" i="7"/>
  <c r="W218" i="7"/>
  <c r="T218" i="7"/>
  <c r="R218" i="7"/>
  <c r="D218" i="7"/>
  <c r="B218" i="7"/>
  <c r="AZ217" i="7"/>
  <c r="BI217" i="7" s="1"/>
  <c r="AU217" i="7"/>
  <c r="AP217" i="7"/>
  <c r="BD217" i="7" s="1"/>
  <c r="AG217" i="7"/>
  <c r="W217" i="7"/>
  <c r="T217" i="7"/>
  <c r="R217" i="7"/>
  <c r="D217" i="7"/>
  <c r="B217" i="7"/>
  <c r="AZ216" i="7"/>
  <c r="AP216" i="7"/>
  <c r="AG216" i="7"/>
  <c r="W216" i="7"/>
  <c r="T216" i="7"/>
  <c r="R216" i="7"/>
  <c r="D216" i="7"/>
  <c r="B216" i="7"/>
  <c r="BD215" i="7"/>
  <c r="AZ215" i="7"/>
  <c r="BI215" i="7" s="1"/>
  <c r="AP215" i="7"/>
  <c r="AU215" i="7" s="1"/>
  <c r="AG215" i="7"/>
  <c r="W215" i="7"/>
  <c r="T215" i="7"/>
  <c r="R215" i="7"/>
  <c r="D215" i="7"/>
  <c r="B215" i="7"/>
  <c r="AZ214" i="7"/>
  <c r="AU214" i="7"/>
  <c r="AP214" i="7"/>
  <c r="W214" i="7"/>
  <c r="T214" i="7"/>
  <c r="R214" i="7"/>
  <c r="D214" i="7"/>
  <c r="B214" i="7"/>
  <c r="AZ213" i="7"/>
  <c r="AP213" i="7"/>
  <c r="AU213" i="7" s="1"/>
  <c r="AG213" i="7"/>
  <c r="W213" i="7"/>
  <c r="T213" i="7"/>
  <c r="R213" i="7"/>
  <c r="D213" i="7"/>
  <c r="B213" i="7"/>
  <c r="AP212" i="7"/>
  <c r="W212" i="7"/>
  <c r="T212" i="7"/>
  <c r="R212" i="7"/>
  <c r="D212" i="7"/>
  <c r="B212" i="7"/>
  <c r="AP211" i="7"/>
  <c r="W211" i="7"/>
  <c r="T211" i="7"/>
  <c r="R211" i="7"/>
  <c r="D211" i="7"/>
  <c r="B211" i="7"/>
  <c r="BD210" i="7"/>
  <c r="AU210" i="7"/>
  <c r="AP210" i="7"/>
  <c r="W210" i="7"/>
  <c r="AZ210" i="7" s="1"/>
  <c r="BI210" i="7" s="1"/>
  <c r="T210" i="7"/>
  <c r="R210" i="7"/>
  <c r="D210" i="7"/>
  <c r="B210" i="7"/>
  <c r="AZ209" i="7"/>
  <c r="AU209" i="7"/>
  <c r="AP209" i="7"/>
  <c r="AG209" i="7"/>
  <c r="W209" i="7"/>
  <c r="BD209" i="7" s="1"/>
  <c r="T209" i="7"/>
  <c r="R209" i="7"/>
  <c r="D209" i="7"/>
  <c r="B209" i="7"/>
  <c r="AP208" i="7"/>
  <c r="AU208" i="7" s="1"/>
  <c r="AG208" i="7"/>
  <c r="W208" i="7"/>
  <c r="AZ208" i="7" s="1"/>
  <c r="T208" i="7"/>
  <c r="R208" i="7"/>
  <c r="D208" i="7"/>
  <c r="B208" i="7"/>
  <c r="AU207" i="7"/>
  <c r="AP207" i="7"/>
  <c r="W207" i="7"/>
  <c r="T207" i="7"/>
  <c r="R207" i="7"/>
  <c r="B207" i="7"/>
  <c r="AP206" i="7"/>
  <c r="W206" i="7"/>
  <c r="T206" i="7"/>
  <c r="R206" i="7"/>
  <c r="D206" i="7"/>
  <c r="B206" i="7"/>
  <c r="AP205" i="7"/>
  <c r="W205" i="7"/>
  <c r="T205" i="7"/>
  <c r="R205" i="7"/>
  <c r="D205" i="7"/>
  <c r="B205" i="7"/>
  <c r="BD204" i="7"/>
  <c r="BI204" i="7" s="1"/>
  <c r="AU204" i="7"/>
  <c r="AP204" i="7"/>
  <c r="AG204" i="7"/>
  <c r="W204" i="7"/>
  <c r="AZ204" i="7" s="1"/>
  <c r="T204" i="7"/>
  <c r="R204" i="7"/>
  <c r="D204" i="7"/>
  <c r="B204" i="7"/>
  <c r="AZ203" i="7"/>
  <c r="AP203" i="7"/>
  <c r="AG203" i="7"/>
  <c r="W203" i="7"/>
  <c r="T203" i="7"/>
  <c r="R203" i="7"/>
  <c r="D203" i="7"/>
  <c r="B203" i="7"/>
  <c r="BD202" i="7"/>
  <c r="AZ202" i="7"/>
  <c r="AU202" i="7"/>
  <c r="AP202" i="7"/>
  <c r="AG202" i="7"/>
  <c r="W202" i="7"/>
  <c r="T202" i="7"/>
  <c r="R202" i="7"/>
  <c r="D202" i="7"/>
  <c r="B202" i="7"/>
  <c r="AZ201" i="7"/>
  <c r="AU201" i="7"/>
  <c r="AP201" i="7"/>
  <c r="W201" i="7"/>
  <c r="AG201" i="7" s="1"/>
  <c r="T201" i="7"/>
  <c r="R201" i="7"/>
  <c r="D201" i="7"/>
  <c r="B201" i="7"/>
  <c r="BD200" i="7"/>
  <c r="AZ200" i="7"/>
  <c r="AP200" i="7"/>
  <c r="AU200" i="7" s="1"/>
  <c r="AG200" i="7"/>
  <c r="W200" i="7"/>
  <c r="T200" i="7"/>
  <c r="R200" i="7"/>
  <c r="D200" i="7"/>
  <c r="B200" i="7"/>
  <c r="AP199" i="7"/>
  <c r="W199" i="7"/>
  <c r="T199" i="7"/>
  <c r="R199" i="7"/>
  <c r="D199" i="7"/>
  <c r="B199" i="7"/>
  <c r="AZ198" i="7"/>
  <c r="AP198" i="7"/>
  <c r="AU198" i="7" s="1"/>
  <c r="AG198" i="7"/>
  <c r="W198" i="7"/>
  <c r="T198" i="7"/>
  <c r="R198" i="7"/>
  <c r="D198" i="7"/>
  <c r="B198" i="7"/>
  <c r="BN197" i="7"/>
  <c r="AZ197" i="7"/>
  <c r="AP197" i="7"/>
  <c r="AU197" i="7" s="1"/>
  <c r="AG197" i="7"/>
  <c r="W197" i="7"/>
  <c r="T197" i="7"/>
  <c r="R197" i="7"/>
  <c r="D197" i="7"/>
  <c r="B197" i="7"/>
  <c r="AP196" i="7"/>
  <c r="W196" i="7"/>
  <c r="T196" i="7"/>
  <c r="R196" i="7"/>
  <c r="D196" i="7"/>
  <c r="B196" i="7"/>
  <c r="AU195" i="7"/>
  <c r="AP195" i="7"/>
  <c r="AG195" i="7"/>
  <c r="W195" i="7"/>
  <c r="BD195" i="7" s="1"/>
  <c r="T195" i="7"/>
  <c r="R195" i="7"/>
  <c r="D195" i="7"/>
  <c r="B195" i="7"/>
  <c r="BD194" i="7"/>
  <c r="AU194" i="7"/>
  <c r="AP194" i="7"/>
  <c r="W194" i="7"/>
  <c r="T194" i="7"/>
  <c r="R194" i="7"/>
  <c r="D194" i="7"/>
  <c r="B194" i="7"/>
  <c r="BN193" i="7"/>
  <c r="AP193" i="7"/>
  <c r="W193" i="7"/>
  <c r="T193" i="7"/>
  <c r="R193" i="7"/>
  <c r="D193" i="7"/>
  <c r="B193" i="7"/>
  <c r="AP192" i="7"/>
  <c r="W192" i="7"/>
  <c r="T192" i="7"/>
  <c r="R192" i="7"/>
  <c r="D192" i="7"/>
  <c r="B192" i="7"/>
  <c r="BD191" i="7"/>
  <c r="AP191" i="7"/>
  <c r="AG191" i="7"/>
  <c r="W191" i="7"/>
  <c r="T191" i="7"/>
  <c r="R191" i="7"/>
  <c r="D191" i="7"/>
  <c r="B191" i="7"/>
  <c r="AZ190" i="7"/>
  <c r="BI190" i="7" s="1"/>
  <c r="AU190" i="7"/>
  <c r="AP190" i="7"/>
  <c r="BD190" i="7" s="1"/>
  <c r="AG190" i="7"/>
  <c r="W190" i="7"/>
  <c r="T190" i="7"/>
  <c r="R190" i="7"/>
  <c r="D190" i="7"/>
  <c r="B190" i="7"/>
  <c r="BD189" i="7"/>
  <c r="AZ189" i="7"/>
  <c r="AP189" i="7"/>
  <c r="AU189" i="7" s="1"/>
  <c r="AG189" i="7"/>
  <c r="W189" i="7"/>
  <c r="T189" i="7"/>
  <c r="R189" i="7"/>
  <c r="D189" i="7"/>
  <c r="B189" i="7"/>
  <c r="AU188" i="7"/>
  <c r="AP188" i="7"/>
  <c r="W188" i="7"/>
  <c r="BD188" i="7" s="1"/>
  <c r="T188" i="7"/>
  <c r="R188" i="7"/>
  <c r="D188" i="7"/>
  <c r="B188" i="7"/>
  <c r="AP187" i="7"/>
  <c r="W187" i="7"/>
  <c r="T187" i="7"/>
  <c r="R187" i="7"/>
  <c r="D187" i="7"/>
  <c r="B187" i="7"/>
  <c r="BN186" i="7"/>
  <c r="AP186" i="7"/>
  <c r="AU186" i="7" s="1"/>
  <c r="AG186" i="7"/>
  <c r="W186" i="7"/>
  <c r="BD186" i="7" s="1"/>
  <c r="T186" i="7"/>
  <c r="R186" i="7"/>
  <c r="D186" i="7"/>
  <c r="B186" i="7"/>
  <c r="BD185" i="7"/>
  <c r="AZ185" i="7"/>
  <c r="AZ191" i="7" s="1"/>
  <c r="AP185" i="7"/>
  <c r="AG185" i="7"/>
  <c r="W185" i="7"/>
  <c r="T185" i="7"/>
  <c r="R185" i="7"/>
  <c r="D185" i="7"/>
  <c r="B185" i="7"/>
  <c r="AP184" i="7"/>
  <c r="W184" i="7"/>
  <c r="T184" i="7"/>
  <c r="R184" i="7"/>
  <c r="D184" i="7"/>
  <c r="B184" i="7"/>
  <c r="AP183" i="7"/>
  <c r="AG183" i="7"/>
  <c r="W183" i="7"/>
  <c r="T183" i="7"/>
  <c r="R183" i="7"/>
  <c r="D183" i="7"/>
  <c r="B183" i="7"/>
  <c r="AP182" i="7"/>
  <c r="AU182" i="7" s="1"/>
  <c r="W182" i="7"/>
  <c r="T182" i="7"/>
  <c r="R182" i="7"/>
  <c r="D182" i="7"/>
  <c r="B182" i="7"/>
  <c r="AP181" i="7"/>
  <c r="W181" i="7"/>
  <c r="T181" i="7"/>
  <c r="R181" i="7"/>
  <c r="D181" i="7"/>
  <c r="B181" i="7"/>
  <c r="BD180" i="7"/>
  <c r="BD183" i="7" s="1"/>
  <c r="AZ180" i="7"/>
  <c r="AP180" i="7"/>
  <c r="AG180" i="7"/>
  <c r="W180" i="7"/>
  <c r="T180" i="7"/>
  <c r="R180" i="7"/>
  <c r="D180" i="7"/>
  <c r="B180" i="7"/>
  <c r="AP179" i="7"/>
  <c r="W179" i="7"/>
  <c r="T179" i="7"/>
  <c r="R179" i="7"/>
  <c r="D179" i="7"/>
  <c r="B179" i="7"/>
  <c r="AP178" i="7"/>
  <c r="W178" i="7"/>
  <c r="T178" i="7"/>
  <c r="R178" i="7"/>
  <c r="D178" i="7"/>
  <c r="B178" i="7"/>
  <c r="AP177" i="7"/>
  <c r="W177" i="7"/>
  <c r="T177" i="7"/>
  <c r="R177" i="7"/>
  <c r="D177" i="7"/>
  <c r="B177" i="7"/>
  <c r="BD176" i="7"/>
  <c r="AZ176" i="7"/>
  <c r="BI176" i="7" s="1"/>
  <c r="AU176" i="7"/>
  <c r="AP176" i="7"/>
  <c r="AG176" i="7"/>
  <c r="W176" i="7"/>
  <c r="T176" i="7"/>
  <c r="R176" i="7"/>
  <c r="D176" i="7"/>
  <c r="B176" i="7"/>
  <c r="BN175" i="7"/>
  <c r="BD175" i="7"/>
  <c r="AZ175" i="7"/>
  <c r="BI175" i="7" s="1"/>
  <c r="AU175" i="7"/>
  <c r="AP175" i="7"/>
  <c r="AG175" i="7"/>
  <c r="W175" i="7"/>
  <c r="T175" i="7"/>
  <c r="R175" i="7"/>
  <c r="D175" i="7"/>
  <c r="B175" i="7"/>
  <c r="BI174" i="7"/>
  <c r="AZ174" i="7"/>
  <c r="AP174" i="7"/>
  <c r="BD174" i="7" s="1"/>
  <c r="AG174" i="7"/>
  <c r="W174" i="7"/>
  <c r="T174" i="7"/>
  <c r="R174" i="7"/>
  <c r="D174" i="7"/>
  <c r="B174" i="7"/>
  <c r="AU173" i="7"/>
  <c r="AP173" i="7"/>
  <c r="W173" i="7"/>
  <c r="AZ173" i="7" s="1"/>
  <c r="T173" i="7"/>
  <c r="R173" i="7"/>
  <c r="D173" i="7"/>
  <c r="B173" i="7"/>
  <c r="BD172" i="7"/>
  <c r="BI172" i="7" s="1"/>
  <c r="AU172" i="7"/>
  <c r="AP172" i="7"/>
  <c r="W172" i="7"/>
  <c r="AZ172" i="7" s="1"/>
  <c r="T172" i="7"/>
  <c r="R172" i="7"/>
  <c r="D172" i="7"/>
  <c r="B172" i="7"/>
  <c r="BD171" i="7"/>
  <c r="AZ171" i="7"/>
  <c r="AP171" i="7"/>
  <c r="AU171" i="7" s="1"/>
  <c r="AG171" i="7"/>
  <c r="W171" i="7"/>
  <c r="T171" i="7"/>
  <c r="R171" i="7"/>
  <c r="D171" i="7"/>
  <c r="B171" i="7"/>
  <c r="AZ170" i="7"/>
  <c r="BI170" i="7" s="1"/>
  <c r="AU170" i="7"/>
  <c r="AP170" i="7"/>
  <c r="AG170" i="7"/>
  <c r="W170" i="7"/>
  <c r="BD170" i="7" s="1"/>
  <c r="T170" i="7"/>
  <c r="R170" i="7"/>
  <c r="D170" i="7"/>
  <c r="B170" i="7"/>
  <c r="AU169" i="7"/>
  <c r="AP169" i="7"/>
  <c r="W169" i="7"/>
  <c r="T169" i="7"/>
  <c r="R169" i="7"/>
  <c r="D169" i="7"/>
  <c r="B169" i="7"/>
  <c r="AP168" i="7"/>
  <c r="W168" i="7"/>
  <c r="T168" i="7"/>
  <c r="R168" i="7"/>
  <c r="D168" i="7"/>
  <c r="B168" i="7"/>
  <c r="AP167" i="7"/>
  <c r="AU167" i="7" s="1"/>
  <c r="W167" i="7"/>
  <c r="BD167" i="7" s="1"/>
  <c r="T167" i="7"/>
  <c r="R167" i="7"/>
  <c r="D167" i="7"/>
  <c r="B167" i="7"/>
  <c r="BD166" i="7"/>
  <c r="AU166" i="7"/>
  <c r="AP166" i="7"/>
  <c r="W166" i="7"/>
  <c r="AZ166" i="7" s="1"/>
  <c r="BI166" i="7" s="1"/>
  <c r="T166" i="7"/>
  <c r="R166" i="7"/>
  <c r="D166" i="7"/>
  <c r="B166" i="7"/>
  <c r="BD165" i="7"/>
  <c r="AZ165" i="7"/>
  <c r="AP165" i="7"/>
  <c r="AU165" i="7" s="1"/>
  <c r="AG165" i="7"/>
  <c r="W165" i="7"/>
  <c r="T165" i="7"/>
  <c r="R165" i="7"/>
  <c r="D165" i="7"/>
  <c r="B165" i="7"/>
  <c r="AZ164" i="7"/>
  <c r="AU164" i="7"/>
  <c r="AP164" i="7"/>
  <c r="AG164" i="7"/>
  <c r="W164" i="7"/>
  <c r="BD164" i="7" s="1"/>
  <c r="T164" i="7"/>
  <c r="R164" i="7"/>
  <c r="D164" i="7"/>
  <c r="B164" i="7"/>
  <c r="BN163" i="7"/>
  <c r="AZ163" i="7"/>
  <c r="AU163" i="7"/>
  <c r="AP163" i="7"/>
  <c r="AG163" i="7"/>
  <c r="W163" i="7"/>
  <c r="BD163" i="7" s="1"/>
  <c r="T163" i="7"/>
  <c r="R163" i="7"/>
  <c r="D163" i="7"/>
  <c r="B163" i="7"/>
  <c r="AP162" i="7"/>
  <c r="W162" i="7"/>
  <c r="T162" i="7"/>
  <c r="R162" i="7"/>
  <c r="D162" i="7"/>
  <c r="B162" i="7"/>
  <c r="BI161" i="7"/>
  <c r="AZ161" i="7"/>
  <c r="AP161" i="7"/>
  <c r="AG161" i="7"/>
  <c r="W161" i="7"/>
  <c r="T161" i="7"/>
  <c r="R161" i="7"/>
  <c r="D161" i="7"/>
  <c r="B161" i="7"/>
  <c r="BN160" i="7"/>
  <c r="BD160" i="7"/>
  <c r="AZ160" i="7"/>
  <c r="BI160" i="7" s="1"/>
  <c r="AP160" i="7"/>
  <c r="BD161" i="7" s="1"/>
  <c r="AG160" i="7"/>
  <c r="W160" i="7"/>
  <c r="T160" i="7"/>
  <c r="R160" i="7"/>
  <c r="D160" i="7"/>
  <c r="B160" i="7"/>
  <c r="BN159" i="7"/>
  <c r="BD159" i="7"/>
  <c r="AZ159" i="7"/>
  <c r="AP159" i="7"/>
  <c r="AU159" i="7" s="1"/>
  <c r="AG159" i="7"/>
  <c r="W159" i="7"/>
  <c r="T159" i="7"/>
  <c r="R159" i="7"/>
  <c r="D159" i="7"/>
  <c r="B159" i="7"/>
  <c r="BN158" i="7"/>
  <c r="AZ158" i="7"/>
  <c r="AP158" i="7"/>
  <c r="AU158" i="7" s="1"/>
  <c r="AG158" i="7"/>
  <c r="W158" i="7"/>
  <c r="T158" i="7"/>
  <c r="R158" i="7"/>
  <c r="D158" i="7"/>
  <c r="B158" i="7"/>
  <c r="AP157" i="7"/>
  <c r="W157" i="7"/>
  <c r="T157" i="7"/>
  <c r="R157" i="7"/>
  <c r="D157" i="7"/>
  <c r="B157" i="7"/>
  <c r="AP156" i="7"/>
  <c r="AG156" i="7"/>
  <c r="W156" i="7"/>
  <c r="T156" i="7"/>
  <c r="R156" i="7"/>
  <c r="D156" i="7"/>
  <c r="B156" i="7"/>
  <c r="BD155" i="7"/>
  <c r="BI155" i="7" s="1"/>
  <c r="AZ155" i="7"/>
  <c r="AU155" i="7"/>
  <c r="AP155" i="7"/>
  <c r="AG155" i="7"/>
  <c r="W155" i="7"/>
  <c r="T155" i="7"/>
  <c r="R155" i="7"/>
  <c r="D155" i="7"/>
  <c r="B155" i="7"/>
  <c r="AP154" i="7"/>
  <c r="AU154" i="7" s="1"/>
  <c r="W154" i="7"/>
  <c r="AG154" i="7" s="1"/>
  <c r="T154" i="7"/>
  <c r="R154" i="7"/>
  <c r="D154" i="7"/>
  <c r="B154" i="7"/>
  <c r="BI153" i="7"/>
  <c r="BD153" i="7"/>
  <c r="AZ153" i="7"/>
  <c r="AU153" i="7"/>
  <c r="AP153" i="7"/>
  <c r="AG153" i="7"/>
  <c r="W153" i="7"/>
  <c r="T153" i="7"/>
  <c r="R153" i="7"/>
  <c r="D153" i="7"/>
  <c r="B153" i="7"/>
  <c r="AZ152" i="7"/>
  <c r="AP152" i="7"/>
  <c r="AU152" i="7" s="1"/>
  <c r="AG152" i="7"/>
  <c r="W152" i="7"/>
  <c r="T152" i="7"/>
  <c r="R152" i="7"/>
  <c r="D152" i="7"/>
  <c r="B152" i="7"/>
  <c r="AU151" i="7"/>
  <c r="AP151" i="7"/>
  <c r="W151" i="7"/>
  <c r="T151" i="7"/>
  <c r="R151" i="7"/>
  <c r="D151" i="7"/>
  <c r="B151" i="7"/>
  <c r="AP150" i="7"/>
  <c r="AU150" i="7" s="1"/>
  <c r="W150" i="7"/>
  <c r="T150" i="7"/>
  <c r="R150" i="7"/>
  <c r="D150" i="7"/>
  <c r="B150" i="7"/>
  <c r="AP149" i="7"/>
  <c r="AU149" i="7" s="1"/>
  <c r="AG149" i="7"/>
  <c r="W149" i="7"/>
  <c r="T149" i="7"/>
  <c r="R149" i="7"/>
  <c r="D149" i="7"/>
  <c r="B149" i="7"/>
  <c r="AP148" i="7"/>
  <c r="AU148" i="7" s="1"/>
  <c r="AG148" i="7"/>
  <c r="W148" i="7"/>
  <c r="T148" i="7"/>
  <c r="R148" i="7"/>
  <c r="D148" i="7"/>
  <c r="B148" i="7"/>
  <c r="BD147" i="7"/>
  <c r="AZ147" i="7"/>
  <c r="AU147" i="7"/>
  <c r="AP147" i="7"/>
  <c r="W147" i="7"/>
  <c r="AG147" i="7" s="1"/>
  <c r="T147" i="7"/>
  <c r="R147" i="7"/>
  <c r="D147" i="7"/>
  <c r="B147" i="7"/>
  <c r="AZ146" i="7"/>
  <c r="AU146" i="7"/>
  <c r="AP146" i="7"/>
  <c r="AG146" i="7"/>
  <c r="W146" i="7"/>
  <c r="T146" i="7"/>
  <c r="R146" i="7"/>
  <c r="D146" i="7"/>
  <c r="B146" i="7"/>
  <c r="AU145" i="7"/>
  <c r="AP145" i="7"/>
  <c r="W145" i="7"/>
  <c r="AZ145" i="7" s="1"/>
  <c r="T145" i="7"/>
  <c r="R145" i="7"/>
  <c r="D145" i="7"/>
  <c r="B145" i="7"/>
  <c r="BI144" i="7"/>
  <c r="BD144" i="7"/>
  <c r="AP144" i="7"/>
  <c r="AU144" i="7" s="1"/>
  <c r="AG144" i="7"/>
  <c r="W144" i="7"/>
  <c r="AZ144" i="7" s="1"/>
  <c r="T144" i="7"/>
  <c r="R144" i="7"/>
  <c r="D144" i="7"/>
  <c r="B144" i="7"/>
  <c r="AU143" i="7"/>
  <c r="AP143" i="7"/>
  <c r="AG143" i="7"/>
  <c r="W143" i="7"/>
  <c r="BD143" i="7" s="1"/>
  <c r="T143" i="7"/>
  <c r="R143" i="7"/>
  <c r="D143" i="7"/>
  <c r="B143" i="7"/>
  <c r="AP142" i="7"/>
  <c r="AU142" i="7" s="1"/>
  <c r="W142" i="7"/>
  <c r="AG142" i="7" s="1"/>
  <c r="T142" i="7"/>
  <c r="R142" i="7"/>
  <c r="D142" i="7"/>
  <c r="B142" i="7"/>
  <c r="BI141" i="7"/>
  <c r="BD141" i="7"/>
  <c r="AZ141" i="7"/>
  <c r="AU141" i="7"/>
  <c r="AP141" i="7"/>
  <c r="AG141" i="7"/>
  <c r="W141" i="7"/>
  <c r="T141" i="7"/>
  <c r="R141" i="7"/>
  <c r="D141" i="7"/>
  <c r="B141" i="7"/>
  <c r="BD140" i="7"/>
  <c r="AU140" i="7"/>
  <c r="AP140" i="7"/>
  <c r="W140" i="7"/>
  <c r="T140" i="7"/>
  <c r="R140" i="7"/>
  <c r="D140" i="7"/>
  <c r="B140" i="7"/>
  <c r="BD139" i="7"/>
  <c r="AZ139" i="7"/>
  <c r="AU139" i="7"/>
  <c r="AP139" i="7"/>
  <c r="AG139" i="7"/>
  <c r="W139" i="7"/>
  <c r="T139" i="7"/>
  <c r="R139" i="7"/>
  <c r="D139" i="7"/>
  <c r="B139" i="7"/>
  <c r="BI138" i="7"/>
  <c r="BD138" i="7"/>
  <c r="AZ138" i="7"/>
  <c r="AU138" i="7"/>
  <c r="AP138" i="7"/>
  <c r="AG138" i="7"/>
  <c r="W138" i="7"/>
  <c r="T138" i="7"/>
  <c r="R138" i="7"/>
  <c r="D138" i="7"/>
  <c r="B138" i="7"/>
  <c r="BD137" i="7"/>
  <c r="BI137" i="7" s="1"/>
  <c r="AZ137" i="7"/>
  <c r="AU137" i="7"/>
  <c r="AP137" i="7"/>
  <c r="AG137" i="7"/>
  <c r="W137" i="7"/>
  <c r="T137" i="7"/>
  <c r="R137" i="7"/>
  <c r="D137" i="7"/>
  <c r="B137" i="7"/>
  <c r="BD136" i="7"/>
  <c r="AZ136" i="7"/>
  <c r="AP136" i="7"/>
  <c r="AU136" i="7" s="1"/>
  <c r="AG136" i="7"/>
  <c r="W136" i="7"/>
  <c r="T136" i="7"/>
  <c r="R136" i="7"/>
  <c r="D136" i="7"/>
  <c r="B136" i="7"/>
  <c r="AP135" i="7"/>
  <c r="AU135" i="7" s="1"/>
  <c r="W135" i="7"/>
  <c r="T135" i="7"/>
  <c r="R135" i="7"/>
  <c r="D135" i="7"/>
  <c r="B135" i="7"/>
  <c r="AU134" i="7"/>
  <c r="AP134" i="7"/>
  <c r="AG134" i="7"/>
  <c r="W134" i="7"/>
  <c r="BD134" i="7" s="1"/>
  <c r="T134" i="7"/>
  <c r="R134" i="7"/>
  <c r="D134" i="7"/>
  <c r="B134" i="7"/>
  <c r="AP133" i="7"/>
  <c r="AU133" i="7" s="1"/>
  <c r="AG133" i="7"/>
  <c r="W133" i="7"/>
  <c r="AZ133" i="7" s="1"/>
  <c r="T133" i="7"/>
  <c r="R133" i="7"/>
  <c r="D133" i="7"/>
  <c r="B133" i="7"/>
  <c r="AP132" i="7"/>
  <c r="AU132" i="7" s="1"/>
  <c r="W132" i="7"/>
  <c r="T132" i="7"/>
  <c r="R132" i="7"/>
  <c r="D132" i="7"/>
  <c r="B132" i="7"/>
  <c r="BD131" i="7"/>
  <c r="AU131" i="7"/>
  <c r="AP131" i="7"/>
  <c r="AG131" i="7"/>
  <c r="W131" i="7"/>
  <c r="T131" i="7"/>
  <c r="R131" i="7"/>
  <c r="D131" i="7"/>
  <c r="B131" i="7"/>
  <c r="AP130" i="7"/>
  <c r="BD130" i="7" s="1"/>
  <c r="W130" i="7"/>
  <c r="AG130" i="7" s="1"/>
  <c r="T130" i="7"/>
  <c r="R130" i="7"/>
  <c r="D130" i="7"/>
  <c r="B130" i="7"/>
  <c r="BD129" i="7"/>
  <c r="AU129" i="7"/>
  <c r="AP129" i="7"/>
  <c r="AG129" i="7"/>
  <c r="W129" i="7"/>
  <c r="T129" i="7"/>
  <c r="R129" i="7"/>
  <c r="D129" i="7"/>
  <c r="B129" i="7"/>
  <c r="AP128" i="7"/>
  <c r="AU128" i="7" s="1"/>
  <c r="AG128" i="7"/>
  <c r="W128" i="7"/>
  <c r="T128" i="7"/>
  <c r="R128" i="7"/>
  <c r="D128" i="7"/>
  <c r="B128" i="7"/>
  <c r="AP127" i="7"/>
  <c r="AU127" i="7" s="1"/>
  <c r="W127" i="7"/>
  <c r="AG127" i="7" s="1"/>
  <c r="T127" i="7"/>
  <c r="R127" i="7"/>
  <c r="D127" i="7"/>
  <c r="B127" i="7"/>
  <c r="BD126" i="7"/>
  <c r="AP126" i="7"/>
  <c r="AU126" i="7" s="1"/>
  <c r="W126" i="7"/>
  <c r="AG126" i="7" s="1"/>
  <c r="T126" i="7"/>
  <c r="R126" i="7"/>
  <c r="D126" i="7"/>
  <c r="B126" i="7"/>
  <c r="AU125" i="7"/>
  <c r="AP125" i="7"/>
  <c r="AG125" i="7"/>
  <c r="W125" i="7"/>
  <c r="BD125" i="7" s="1"/>
  <c r="T125" i="7"/>
  <c r="R125" i="7"/>
  <c r="D125" i="7"/>
  <c r="B125" i="7"/>
  <c r="AP124" i="7"/>
  <c r="W124" i="7"/>
  <c r="BD124" i="7" s="1"/>
  <c r="T124" i="7"/>
  <c r="R124" i="7"/>
  <c r="D124" i="7"/>
  <c r="B124" i="7"/>
  <c r="BD123" i="7"/>
  <c r="AP123" i="7"/>
  <c r="W123" i="7"/>
  <c r="T123" i="7"/>
  <c r="R123" i="7"/>
  <c r="D123" i="7"/>
  <c r="B123" i="7"/>
  <c r="AP122" i="7"/>
  <c r="AU122" i="7" s="1"/>
  <c r="W122" i="7"/>
  <c r="AG122" i="7" s="1"/>
  <c r="T122" i="7"/>
  <c r="R122" i="7"/>
  <c r="D122" i="7"/>
  <c r="B122" i="7"/>
  <c r="AP121" i="7"/>
  <c r="W121" i="7"/>
  <c r="BD121" i="7" s="1"/>
  <c r="T121" i="7"/>
  <c r="R121" i="7"/>
  <c r="D121" i="7"/>
  <c r="B121" i="7"/>
  <c r="AP120" i="7"/>
  <c r="W120" i="7"/>
  <c r="T120" i="7"/>
  <c r="R120" i="7"/>
  <c r="D120" i="7"/>
  <c r="B120" i="7"/>
  <c r="BD119" i="7"/>
  <c r="AP119" i="7"/>
  <c r="W119" i="7"/>
  <c r="T119" i="7"/>
  <c r="R119" i="7"/>
  <c r="D119" i="7"/>
  <c r="B119" i="7"/>
  <c r="AP118" i="7"/>
  <c r="W118" i="7"/>
  <c r="BD118" i="7" s="1"/>
  <c r="T118" i="7"/>
  <c r="R118" i="7"/>
  <c r="D118" i="7"/>
  <c r="B118" i="7"/>
  <c r="BD117" i="7"/>
  <c r="AP117" i="7"/>
  <c r="W117" i="7"/>
  <c r="T117" i="7"/>
  <c r="R117" i="7"/>
  <c r="D117" i="7"/>
  <c r="B117" i="7"/>
  <c r="AP116" i="7"/>
  <c r="W116" i="7"/>
  <c r="BD116" i="7" s="1"/>
  <c r="T116" i="7"/>
  <c r="R116" i="7"/>
  <c r="B116" i="7"/>
  <c r="AP115" i="7"/>
  <c r="W115" i="7"/>
  <c r="BD115" i="7" s="1"/>
  <c r="T115" i="7"/>
  <c r="R115" i="7"/>
  <c r="D115" i="7"/>
  <c r="B115" i="7"/>
  <c r="AP114" i="7"/>
  <c r="W114" i="7"/>
  <c r="BD114" i="7" s="1"/>
  <c r="T114" i="7"/>
  <c r="R114" i="7"/>
  <c r="D114" i="7"/>
  <c r="B114" i="7"/>
  <c r="AP113" i="7"/>
  <c r="W113" i="7"/>
  <c r="T113" i="7"/>
  <c r="R113" i="7"/>
  <c r="D113" i="7"/>
  <c r="B113" i="7"/>
  <c r="BD112" i="7"/>
  <c r="AP112" i="7"/>
  <c r="W112" i="7"/>
  <c r="T112" i="7"/>
  <c r="R112" i="7"/>
  <c r="D112" i="7"/>
  <c r="B112" i="7"/>
  <c r="AP111" i="7"/>
  <c r="W111" i="7"/>
  <c r="BD111" i="7" s="1"/>
  <c r="T111" i="7"/>
  <c r="R111" i="7"/>
  <c r="B111" i="7"/>
  <c r="AP110" i="7"/>
  <c r="W110" i="7"/>
  <c r="BD110" i="7" s="1"/>
  <c r="T110" i="7"/>
  <c r="R110" i="7"/>
  <c r="D110" i="7"/>
  <c r="B110" i="7"/>
  <c r="AP109" i="7"/>
  <c r="W109" i="7"/>
  <c r="BD109" i="7" s="1"/>
  <c r="T109" i="7"/>
  <c r="R109" i="7"/>
  <c r="D109" i="7"/>
  <c r="B109" i="7"/>
  <c r="BD108" i="7"/>
  <c r="AP108" i="7"/>
  <c r="W108" i="7"/>
  <c r="T108" i="7"/>
  <c r="R108" i="7"/>
  <c r="D108" i="7"/>
  <c r="B108" i="7"/>
  <c r="AP107" i="7"/>
  <c r="W107" i="7"/>
  <c r="BD107" i="7" s="1"/>
  <c r="T107" i="7"/>
  <c r="R107" i="7"/>
  <c r="D107" i="7"/>
  <c r="B107" i="7"/>
  <c r="BD106" i="7"/>
  <c r="AP106" i="7"/>
  <c r="W106" i="7"/>
  <c r="T106" i="7"/>
  <c r="R106" i="7"/>
  <c r="D106" i="7"/>
  <c r="B106" i="7"/>
  <c r="AP105" i="7"/>
  <c r="W105" i="7"/>
  <c r="BD105" i="7" s="1"/>
  <c r="T105" i="7"/>
  <c r="R105" i="7"/>
  <c r="D105" i="7"/>
  <c r="B105" i="7"/>
  <c r="AP104" i="7"/>
  <c r="BD104" i="7" s="1"/>
  <c r="W104" i="7"/>
  <c r="T104" i="7"/>
  <c r="R104" i="7"/>
  <c r="D104" i="7"/>
  <c r="B104" i="7"/>
  <c r="BD103" i="7"/>
  <c r="AP103" i="7"/>
  <c r="W103" i="7"/>
  <c r="T103" i="7"/>
  <c r="R103" i="7"/>
  <c r="D103" i="7"/>
  <c r="B103" i="7"/>
  <c r="BD102" i="7"/>
  <c r="AP102" i="7"/>
  <c r="W102" i="7"/>
  <c r="T102" i="7"/>
  <c r="R102" i="7"/>
  <c r="B102" i="7"/>
  <c r="BD101" i="7"/>
  <c r="AP101" i="7"/>
  <c r="W101" i="7"/>
  <c r="T101" i="7"/>
  <c r="R101" i="7"/>
  <c r="D101" i="7"/>
  <c r="B101" i="7"/>
  <c r="BD100" i="7"/>
  <c r="AP100" i="7"/>
  <c r="W100" i="7"/>
  <c r="T100" i="7"/>
  <c r="R100" i="7"/>
  <c r="D100" i="7"/>
  <c r="B100" i="7"/>
  <c r="AP99" i="7"/>
  <c r="W99" i="7"/>
  <c r="BD99" i="7" s="1"/>
  <c r="T99" i="7"/>
  <c r="R99" i="7"/>
  <c r="D99" i="7"/>
  <c r="B99" i="7"/>
  <c r="AP98" i="7"/>
  <c r="W98" i="7"/>
  <c r="T98" i="7"/>
  <c r="R98" i="7"/>
  <c r="D98" i="7"/>
  <c r="B98" i="7"/>
  <c r="BD97" i="7"/>
  <c r="AP97" i="7"/>
  <c r="W97" i="7"/>
  <c r="T97" i="7"/>
  <c r="R97" i="7"/>
  <c r="D97" i="7"/>
  <c r="B97" i="7"/>
  <c r="BD96" i="7"/>
  <c r="AP96" i="7"/>
  <c r="W96" i="7"/>
  <c r="T96" i="7"/>
  <c r="R96" i="7"/>
  <c r="D96" i="7"/>
  <c r="B96" i="7"/>
  <c r="AP95" i="7"/>
  <c r="W95" i="7"/>
  <c r="BD95" i="7" s="1"/>
  <c r="T95" i="7"/>
  <c r="R95" i="7"/>
  <c r="D95" i="7"/>
  <c r="B95" i="7"/>
  <c r="AP94" i="7"/>
  <c r="W94" i="7"/>
  <c r="T94" i="7"/>
  <c r="R94" i="7"/>
  <c r="D94" i="7"/>
  <c r="B94" i="7"/>
  <c r="AU93" i="7"/>
  <c r="AP93" i="7"/>
  <c r="W93" i="7"/>
  <c r="BD93" i="7" s="1"/>
  <c r="T93" i="7"/>
  <c r="R93" i="7"/>
  <c r="D93" i="7"/>
  <c r="B93" i="7"/>
  <c r="BD92" i="7"/>
  <c r="AU92" i="7"/>
  <c r="AP92" i="7"/>
  <c r="W92" i="7"/>
  <c r="AG92" i="7" s="1"/>
  <c r="T92" i="7"/>
  <c r="R92" i="7"/>
  <c r="B92" i="7"/>
  <c r="AU91" i="7"/>
  <c r="AP91" i="7"/>
  <c r="BD91" i="7" s="1"/>
  <c r="AG91" i="7"/>
  <c r="W91" i="7"/>
  <c r="T91" i="7"/>
  <c r="R91" i="7"/>
  <c r="D91" i="7"/>
  <c r="B91" i="7"/>
  <c r="AP90" i="7"/>
  <c r="AG90" i="7"/>
  <c r="W90" i="7"/>
  <c r="T90" i="7"/>
  <c r="R90" i="7"/>
  <c r="D90" i="7"/>
  <c r="B90" i="7"/>
  <c r="AU89" i="7"/>
  <c r="AP89" i="7"/>
  <c r="W89" i="7"/>
  <c r="T89" i="7"/>
  <c r="R89" i="7"/>
  <c r="D89" i="7"/>
  <c r="B89" i="7"/>
  <c r="AU88" i="7"/>
  <c r="AP88" i="7"/>
  <c r="AG88" i="7"/>
  <c r="W88" i="7"/>
  <c r="T88" i="7"/>
  <c r="R88" i="7"/>
  <c r="D88" i="7"/>
  <c r="B88" i="7"/>
  <c r="AP87" i="7"/>
  <c r="W87" i="7"/>
  <c r="BD87" i="7" s="1"/>
  <c r="T87" i="7"/>
  <c r="R87" i="7"/>
  <c r="D87" i="7"/>
  <c r="B87" i="7"/>
  <c r="AP86" i="7"/>
  <c r="W86" i="7"/>
  <c r="BD86" i="7" s="1"/>
  <c r="R86" i="7"/>
  <c r="D86" i="7"/>
  <c r="B86" i="7"/>
  <c r="AU85" i="7"/>
  <c r="AP85" i="7"/>
  <c r="W85" i="7"/>
  <c r="AG85" i="7" s="1"/>
  <c r="T85" i="7"/>
  <c r="R85" i="7"/>
  <c r="D85" i="7"/>
  <c r="B85" i="7"/>
  <c r="BD84" i="7"/>
  <c r="AU84" i="7"/>
  <c r="AP84" i="7"/>
  <c r="AG84" i="7"/>
  <c r="W84" i="7"/>
  <c r="T84" i="7"/>
  <c r="R84" i="7"/>
  <c r="D84" i="7"/>
  <c r="B84" i="7"/>
  <c r="BD83" i="7"/>
  <c r="AU83" i="7"/>
  <c r="AP83" i="7"/>
  <c r="AG83" i="7"/>
  <c r="W83" i="7"/>
  <c r="T83" i="7"/>
  <c r="R83" i="7"/>
  <c r="D83" i="7"/>
  <c r="B83" i="7"/>
  <c r="BD82" i="7"/>
  <c r="AU82" i="7"/>
  <c r="AP82" i="7"/>
  <c r="AG82" i="7"/>
  <c r="W82" i="7"/>
  <c r="T82" i="7"/>
  <c r="R82" i="7"/>
  <c r="B82" i="7"/>
  <c r="AP81" i="7"/>
  <c r="W81" i="7"/>
  <c r="BD81" i="7" s="1"/>
  <c r="T81" i="7"/>
  <c r="R81" i="7"/>
  <c r="D81" i="7"/>
  <c r="B81" i="7"/>
  <c r="AP80" i="7"/>
  <c r="W80" i="7"/>
  <c r="T80" i="7"/>
  <c r="R80" i="7"/>
  <c r="D80" i="7"/>
  <c r="B80" i="7"/>
  <c r="AU79" i="7"/>
  <c r="AP79" i="7"/>
  <c r="W79" i="7"/>
  <c r="BD79" i="7" s="1"/>
  <c r="T79" i="7"/>
  <c r="R79" i="7"/>
  <c r="D79" i="7"/>
  <c r="B79" i="7"/>
  <c r="BD78" i="7"/>
  <c r="AU78" i="7"/>
  <c r="AP78" i="7"/>
  <c r="W78" i="7"/>
  <c r="AG78" i="7" s="1"/>
  <c r="T78" i="7"/>
  <c r="R78" i="7"/>
  <c r="D78" i="7"/>
  <c r="B78" i="7"/>
  <c r="AP77" i="7"/>
  <c r="AU77" i="7" s="1"/>
  <c r="AG77" i="7"/>
  <c r="W77" i="7"/>
  <c r="T77" i="7"/>
  <c r="R77" i="7"/>
  <c r="D77" i="7"/>
  <c r="B77" i="7"/>
  <c r="BD76" i="7"/>
  <c r="AU76" i="7"/>
  <c r="AP76" i="7"/>
  <c r="AG76" i="7"/>
  <c r="W76" i="7"/>
  <c r="T76" i="7"/>
  <c r="R76" i="7"/>
  <c r="D76" i="7"/>
  <c r="B76" i="7"/>
  <c r="AP75" i="7"/>
  <c r="AU75" i="7" s="1"/>
  <c r="W75" i="7"/>
  <c r="AG75" i="7" s="1"/>
  <c r="T75" i="7"/>
  <c r="R75" i="7"/>
  <c r="D75" i="7"/>
  <c r="B75" i="7"/>
  <c r="AP74" i="7"/>
  <c r="BD74" i="7" s="1"/>
  <c r="W74" i="7"/>
  <c r="T74" i="7"/>
  <c r="R74" i="7"/>
  <c r="B74" i="7"/>
  <c r="AU73" i="7"/>
  <c r="AP73" i="7"/>
  <c r="W73" i="7"/>
  <c r="BD73" i="7" s="1"/>
  <c r="T73" i="7"/>
  <c r="R73" i="7"/>
  <c r="D73" i="7"/>
  <c r="B73" i="7"/>
  <c r="BN72" i="7"/>
  <c r="AU72" i="7"/>
  <c r="AP72" i="7"/>
  <c r="AG72" i="7"/>
  <c r="W72" i="7"/>
  <c r="T72" i="7"/>
  <c r="R72" i="7"/>
  <c r="D72" i="7"/>
  <c r="B72" i="7"/>
  <c r="AP71" i="7"/>
  <c r="W71" i="7"/>
  <c r="BD71" i="7" s="1"/>
  <c r="T71" i="7"/>
  <c r="R71" i="7"/>
  <c r="D71" i="7"/>
  <c r="B71" i="7"/>
  <c r="BD70" i="7"/>
  <c r="AU70" i="7"/>
  <c r="AP70" i="7"/>
  <c r="W70" i="7"/>
  <c r="AG70" i="7" s="1"/>
  <c r="T70" i="7"/>
  <c r="R70" i="7"/>
  <c r="D70" i="7"/>
  <c r="B70" i="7"/>
  <c r="AP69" i="7"/>
  <c r="BD69" i="7" s="1"/>
  <c r="W69" i="7"/>
  <c r="AG69" i="7" s="1"/>
  <c r="T69" i="7"/>
  <c r="R69" i="7"/>
  <c r="D69" i="7"/>
  <c r="B69" i="7"/>
  <c r="BN68" i="7"/>
  <c r="BI68" i="7"/>
  <c r="BD68" i="7"/>
  <c r="AZ68" i="7"/>
  <c r="AZ74" i="7" s="1"/>
  <c r="AP68" i="7"/>
  <c r="W68" i="7"/>
  <c r="R68" i="7"/>
  <c r="D68" i="7"/>
  <c r="B68" i="7"/>
  <c r="AZ67" i="7"/>
  <c r="AP67" i="7"/>
  <c r="W67" i="7"/>
  <c r="BD67" i="7" s="1"/>
  <c r="T67" i="7"/>
  <c r="R67" i="7"/>
  <c r="D67" i="7"/>
  <c r="B67" i="7"/>
  <c r="BD66" i="7"/>
  <c r="AP66" i="7"/>
  <c r="AG66" i="7"/>
  <c r="W66" i="7"/>
  <c r="T66" i="7"/>
  <c r="R66" i="7"/>
  <c r="D66" i="7"/>
  <c r="B66" i="7"/>
  <c r="AP65" i="7"/>
  <c r="AU65" i="7" s="1"/>
  <c r="AG65" i="7"/>
  <c r="W65" i="7"/>
  <c r="R65" i="7"/>
  <c r="D65" i="7"/>
  <c r="B65" i="7"/>
  <c r="BD64" i="7"/>
  <c r="BI64" i="7" s="1"/>
  <c r="AP64" i="7"/>
  <c r="AU64" i="7" s="1"/>
  <c r="AG64" i="7"/>
  <c r="W64" i="7"/>
  <c r="AZ64" i="7" s="1"/>
  <c r="T64" i="7"/>
  <c r="R64" i="7"/>
  <c r="D64" i="7"/>
  <c r="B64" i="7"/>
  <c r="AZ63" i="7"/>
  <c r="AP63" i="7"/>
  <c r="AU63" i="7" s="1"/>
  <c r="AG63" i="7"/>
  <c r="W63" i="7"/>
  <c r="BD63" i="7" s="1"/>
  <c r="T63" i="7"/>
  <c r="R63" i="7"/>
  <c r="B63" i="7"/>
  <c r="AZ62" i="7"/>
  <c r="AP62" i="7"/>
  <c r="BD62" i="7" s="1"/>
  <c r="BI62" i="7" s="1"/>
  <c r="AG62" i="7"/>
  <c r="W62" i="7"/>
  <c r="T62" i="7"/>
  <c r="R62" i="7"/>
  <c r="D62" i="7"/>
  <c r="B62" i="7"/>
  <c r="BN61" i="7"/>
  <c r="BD61" i="7"/>
  <c r="BI61" i="7" s="1"/>
  <c r="AZ61" i="7"/>
  <c r="AP61" i="7"/>
  <c r="AU61" i="7" s="1"/>
  <c r="AG61" i="7"/>
  <c r="W61" i="7"/>
  <c r="T61" i="7"/>
  <c r="R61" i="7"/>
  <c r="D61" i="7"/>
  <c r="B61" i="7"/>
  <c r="BD60" i="7"/>
  <c r="AZ60" i="7"/>
  <c r="BI60" i="7" s="1"/>
  <c r="AP60" i="7"/>
  <c r="W60" i="7"/>
  <c r="AG60" i="7" s="1"/>
  <c r="T60" i="7"/>
  <c r="R60" i="7"/>
  <c r="D60" i="7"/>
  <c r="B60" i="7"/>
  <c r="BI59" i="7"/>
  <c r="AP59" i="7"/>
  <c r="W59" i="7"/>
  <c r="T59" i="7"/>
  <c r="R59" i="7"/>
  <c r="D59" i="7"/>
  <c r="B59" i="7"/>
  <c r="AP58" i="7"/>
  <c r="W58" i="7"/>
  <c r="AG58" i="7" s="1"/>
  <c r="T58" i="7"/>
  <c r="R58" i="7"/>
  <c r="D58" i="7"/>
  <c r="B58" i="7"/>
  <c r="AU57" i="7"/>
  <c r="AP57" i="7"/>
  <c r="W57" i="7"/>
  <c r="T57" i="7"/>
  <c r="R57" i="7"/>
  <c r="D57" i="7"/>
  <c r="B57" i="7"/>
  <c r="BD56" i="7"/>
  <c r="AZ56" i="7"/>
  <c r="BI56" i="7" s="1"/>
  <c r="AP56" i="7"/>
  <c r="W56" i="7"/>
  <c r="T56" i="7"/>
  <c r="R56" i="7"/>
  <c r="D56" i="7"/>
  <c r="B56" i="7"/>
  <c r="AP55" i="7"/>
  <c r="W55" i="7"/>
  <c r="BD55" i="7" s="1"/>
  <c r="T55" i="7"/>
  <c r="R55" i="7"/>
  <c r="D55" i="7"/>
  <c r="B55" i="7"/>
  <c r="BI54" i="7"/>
  <c r="AZ54" i="7"/>
  <c r="AP54" i="7"/>
  <c r="BD54" i="7" s="1"/>
  <c r="W54" i="7"/>
  <c r="T54" i="7"/>
  <c r="R54" i="7"/>
  <c r="D54" i="7"/>
  <c r="B54" i="7"/>
  <c r="AP53" i="7"/>
  <c r="W53" i="7"/>
  <c r="T53" i="7"/>
  <c r="R53" i="7"/>
  <c r="D53" i="7"/>
  <c r="B53" i="7"/>
  <c r="AZ52" i="7"/>
  <c r="AP52" i="7"/>
  <c r="BD52" i="7" s="1"/>
  <c r="W52" i="7"/>
  <c r="T52" i="7"/>
  <c r="R52" i="7"/>
  <c r="D52" i="7"/>
  <c r="B52" i="7"/>
  <c r="BD51" i="7"/>
  <c r="AU51" i="7"/>
  <c r="AP51" i="7"/>
  <c r="W51" i="7"/>
  <c r="AZ51" i="7" s="1"/>
  <c r="BI51" i="7" s="1"/>
  <c r="T51" i="7"/>
  <c r="R51" i="7"/>
  <c r="B51" i="7"/>
  <c r="BN50" i="7"/>
  <c r="BI50" i="7"/>
  <c r="AZ50" i="7"/>
  <c r="AU50" i="7"/>
  <c r="AP50" i="7"/>
  <c r="W50" i="7"/>
  <c r="BD50" i="7" s="1"/>
  <c r="T50" i="7"/>
  <c r="R50" i="7"/>
  <c r="D50" i="7"/>
  <c r="B50" i="7"/>
  <c r="BD49" i="7"/>
  <c r="AZ49" i="7"/>
  <c r="BI49" i="7" s="1"/>
  <c r="AP49" i="7"/>
  <c r="AG49" i="7"/>
  <c r="W49" i="7"/>
  <c r="T49" i="7"/>
  <c r="R49" i="7"/>
  <c r="D49" i="7"/>
  <c r="B49" i="7"/>
  <c r="AP48" i="7"/>
  <c r="AU48" i="7" s="1"/>
  <c r="W48" i="7"/>
  <c r="AG48" i="7" s="1"/>
  <c r="T48" i="7"/>
  <c r="R48" i="7"/>
  <c r="D48" i="7"/>
  <c r="B48" i="7"/>
  <c r="AZ47" i="7"/>
  <c r="AU47" i="7"/>
  <c r="AP47" i="7"/>
  <c r="AG47" i="7"/>
  <c r="W47" i="7"/>
  <c r="T47" i="7"/>
  <c r="R47" i="7"/>
  <c r="D47" i="7"/>
  <c r="B47" i="7"/>
  <c r="AP46" i="7"/>
  <c r="AU46" i="7" s="1"/>
  <c r="AG46" i="7"/>
  <c r="W46" i="7"/>
  <c r="R46" i="7"/>
  <c r="D46" i="7"/>
  <c r="B46" i="7"/>
  <c r="BD45" i="7"/>
  <c r="AU45" i="7"/>
  <c r="AP45" i="7"/>
  <c r="W45" i="7"/>
  <c r="AZ45" i="7" s="1"/>
  <c r="BI45" i="7" s="1"/>
  <c r="T45" i="7"/>
  <c r="R45" i="7"/>
  <c r="D45" i="7"/>
  <c r="B45" i="7"/>
  <c r="BD44" i="7"/>
  <c r="AZ44" i="7"/>
  <c r="BI44" i="7" s="1"/>
  <c r="AU44" i="7"/>
  <c r="AP44" i="7"/>
  <c r="AG44" i="7"/>
  <c r="W44" i="7"/>
  <c r="T44" i="7"/>
  <c r="R44" i="7"/>
  <c r="D44" i="7"/>
  <c r="B44" i="7"/>
  <c r="AZ43" i="7"/>
  <c r="AP43" i="7"/>
  <c r="W43" i="7"/>
  <c r="BD43" i="7" s="1"/>
  <c r="T43" i="7"/>
  <c r="R43" i="7"/>
  <c r="B43" i="7"/>
  <c r="BD42" i="7"/>
  <c r="BI42" i="7" s="1"/>
  <c r="AZ42" i="7"/>
  <c r="AP42" i="7"/>
  <c r="AU42" i="7" s="1"/>
  <c r="W42" i="7"/>
  <c r="T42" i="7"/>
  <c r="R42" i="7"/>
  <c r="D42" i="7"/>
  <c r="B42" i="7"/>
  <c r="AZ41" i="7"/>
  <c r="AU41" i="7"/>
  <c r="AP41" i="7"/>
  <c r="W41" i="7"/>
  <c r="BD41" i="7" s="1"/>
  <c r="T41" i="7"/>
  <c r="R41" i="7"/>
  <c r="D41" i="7"/>
  <c r="B41" i="7"/>
  <c r="AP40" i="7"/>
  <c r="BD40" i="7" s="1"/>
  <c r="AG40" i="7"/>
  <c r="W40" i="7"/>
  <c r="AZ40" i="7" s="1"/>
  <c r="T40" i="7"/>
  <c r="R40" i="7"/>
  <c r="D40" i="7"/>
  <c r="B40" i="7"/>
  <c r="BD39" i="7"/>
  <c r="AP39" i="7"/>
  <c r="AU39" i="7" s="1"/>
  <c r="AG39" i="7"/>
  <c r="W39" i="7"/>
  <c r="AZ39" i="7" s="1"/>
  <c r="BI39" i="7" s="1"/>
  <c r="T39" i="7"/>
  <c r="R39" i="7"/>
  <c r="D39" i="7"/>
  <c r="B39" i="7"/>
  <c r="BN38" i="7"/>
  <c r="BD38" i="7"/>
  <c r="AP38" i="7"/>
  <c r="AU38" i="7" s="1"/>
  <c r="AG38" i="7"/>
  <c r="W38" i="7"/>
  <c r="AZ38" i="7" s="1"/>
  <c r="BI38" i="7" s="1"/>
  <c r="T38" i="7"/>
  <c r="R38" i="7"/>
  <c r="D38" i="7"/>
  <c r="B38" i="7"/>
  <c r="BD37" i="7"/>
  <c r="AZ37" i="7"/>
  <c r="BI37" i="7" s="1"/>
  <c r="AP37" i="7"/>
  <c r="W37" i="7"/>
  <c r="T37" i="7"/>
  <c r="R37" i="7"/>
  <c r="B37" i="7"/>
  <c r="AP36" i="7"/>
  <c r="W36" i="7"/>
  <c r="AG36" i="7" s="1"/>
  <c r="T36" i="7"/>
  <c r="R36" i="7"/>
  <c r="D36" i="7"/>
  <c r="B36" i="7"/>
  <c r="BN35" i="7"/>
  <c r="AP35" i="7"/>
  <c r="AK35" i="7"/>
  <c r="AU35" i="7" s="1"/>
  <c r="AG35" i="7"/>
  <c r="W35" i="7"/>
  <c r="BD35" i="7" s="1"/>
  <c r="T35" i="7"/>
  <c r="R35" i="7"/>
  <c r="D35" i="7"/>
  <c r="B35" i="7"/>
  <c r="BN34" i="7"/>
  <c r="BD34" i="7"/>
  <c r="AU34" i="7"/>
  <c r="AP34" i="7"/>
  <c r="AK34" i="7"/>
  <c r="AG34" i="7"/>
  <c r="W34" i="7"/>
  <c r="AZ34" i="7" s="1"/>
  <c r="BI34" i="7" s="1"/>
  <c r="T34" i="7"/>
  <c r="R34" i="7"/>
  <c r="D34" i="7"/>
  <c r="B34" i="7"/>
  <c r="BN33" i="7"/>
  <c r="AZ33" i="7"/>
  <c r="BI33" i="7" s="1"/>
  <c r="AP33" i="7"/>
  <c r="BD33" i="7" s="1"/>
  <c r="AK33" i="7"/>
  <c r="AU33" i="7" s="1"/>
  <c r="AG33" i="7"/>
  <c r="W33" i="7"/>
  <c r="T33" i="7"/>
  <c r="R33" i="7"/>
  <c r="D33" i="7"/>
  <c r="B33" i="7"/>
  <c r="BN32" i="7"/>
  <c r="BD32" i="7"/>
  <c r="AU32" i="7"/>
  <c r="AP32" i="7"/>
  <c r="AK32" i="7"/>
  <c r="W32" i="7"/>
  <c r="AZ32" i="7" s="1"/>
  <c r="T32" i="7"/>
  <c r="R32" i="7"/>
  <c r="D32" i="7"/>
  <c r="B32" i="7"/>
  <c r="BD31" i="7"/>
  <c r="AP31" i="7"/>
  <c r="AK31" i="7"/>
  <c r="AZ31" i="7" s="1"/>
  <c r="W31" i="7"/>
  <c r="T31" i="7"/>
  <c r="R31" i="7"/>
  <c r="D31" i="7"/>
  <c r="B31" i="7"/>
  <c r="BN30" i="7"/>
  <c r="AZ30" i="7"/>
  <c r="AP30" i="7"/>
  <c r="BD30" i="7" s="1"/>
  <c r="AK30" i="7"/>
  <c r="AU30" i="7" s="1"/>
  <c r="AG30" i="7"/>
  <c r="W30" i="7"/>
  <c r="T30" i="7"/>
  <c r="R30" i="7"/>
  <c r="D30" i="7"/>
  <c r="B30" i="7"/>
  <c r="BN29" i="7"/>
  <c r="BD29" i="7"/>
  <c r="AU29" i="7"/>
  <c r="AP29" i="7"/>
  <c r="AK29" i="7"/>
  <c r="W29" i="7"/>
  <c r="AZ29" i="7" s="1"/>
  <c r="T29" i="7"/>
  <c r="R29" i="7"/>
  <c r="D29" i="7"/>
  <c r="B29" i="7"/>
  <c r="BN28" i="7"/>
  <c r="BI28" i="7"/>
  <c r="AZ28" i="7"/>
  <c r="AU28" i="7"/>
  <c r="AP28" i="7"/>
  <c r="AK28" i="7"/>
  <c r="W28" i="7"/>
  <c r="BD28" i="7" s="1"/>
  <c r="T28" i="7"/>
  <c r="R28" i="7"/>
  <c r="D28" i="7"/>
  <c r="B28" i="7"/>
  <c r="BN27" i="7"/>
  <c r="BD27" i="7"/>
  <c r="BD349" i="7" s="1"/>
  <c r="AZ27" i="7"/>
  <c r="AP27" i="7"/>
  <c r="AK27" i="7"/>
  <c r="AU27" i="7" s="1"/>
  <c r="AG27" i="7"/>
  <c r="W27" i="7"/>
  <c r="T27" i="7"/>
  <c r="R27" i="7"/>
  <c r="B27" i="7"/>
  <c r="AP26" i="7"/>
  <c r="AK26" i="7"/>
  <c r="W26" i="7"/>
  <c r="T26" i="7"/>
  <c r="R26" i="7"/>
  <c r="D26" i="7"/>
  <c r="B26" i="7"/>
  <c r="AP25" i="7"/>
  <c r="AK25" i="7"/>
  <c r="W25" i="7"/>
  <c r="T25" i="7"/>
  <c r="R25" i="7"/>
  <c r="D25" i="7"/>
  <c r="B25" i="7"/>
  <c r="BB13" i="7"/>
  <c r="BB9" i="7"/>
  <c r="H72" i="6"/>
  <c r="H71" i="6"/>
  <c r="H70" i="6"/>
  <c r="G69" i="6"/>
  <c r="H65" i="6"/>
  <c r="G65" i="6"/>
  <c r="H64" i="6"/>
  <c r="G63" i="6"/>
  <c r="H63" i="6" s="1"/>
  <c r="H62" i="6"/>
  <c r="H59" i="6"/>
  <c r="H58" i="6"/>
  <c r="H60" i="6" s="1"/>
  <c r="H54" i="6"/>
  <c r="G54" i="6"/>
  <c r="T302" i="7" s="1"/>
  <c r="H52" i="6"/>
  <c r="G50" i="6"/>
  <c r="H50" i="6" s="1"/>
  <c r="H47" i="6"/>
  <c r="IV45" i="6"/>
  <c r="IN45" i="6"/>
  <c r="IF45" i="6"/>
  <c r="HX45" i="6"/>
  <c r="HP45" i="6"/>
  <c r="HH45" i="6"/>
  <c r="GZ45" i="6"/>
  <c r="GR45" i="6"/>
  <c r="GJ45" i="6"/>
  <c r="GB45" i="6"/>
  <c r="FT45" i="6"/>
  <c r="FL45" i="6"/>
  <c r="FD45" i="6"/>
  <c r="EV45" i="6"/>
  <c r="EN45" i="6"/>
  <c r="EF45" i="6"/>
  <c r="DX45" i="6"/>
  <c r="DP45" i="6"/>
  <c r="DH45" i="6"/>
  <c r="CZ45" i="6"/>
  <c r="CR45" i="6"/>
  <c r="CJ45" i="6"/>
  <c r="CB45" i="6"/>
  <c r="BT45" i="6"/>
  <c r="BL45" i="6"/>
  <c r="BD45" i="6"/>
  <c r="AV45" i="6"/>
  <c r="AN45" i="6"/>
  <c r="AF45" i="6"/>
  <c r="X45" i="6"/>
  <c r="P45" i="6"/>
  <c r="H45" i="6"/>
  <c r="IV44" i="6"/>
  <c r="IN44" i="6"/>
  <c r="IF44" i="6"/>
  <c r="HX44" i="6"/>
  <c r="HP44" i="6"/>
  <c r="HH44" i="6"/>
  <c r="GZ44" i="6"/>
  <c r="GR44" i="6"/>
  <c r="GJ44" i="6"/>
  <c r="GB44" i="6"/>
  <c r="FT44" i="6"/>
  <c r="FL44" i="6"/>
  <c r="FD44" i="6"/>
  <c r="EV44" i="6"/>
  <c r="EN44" i="6"/>
  <c r="EF44" i="6"/>
  <c r="DX44" i="6"/>
  <c r="DP44" i="6"/>
  <c r="DH44" i="6"/>
  <c r="CZ44" i="6"/>
  <c r="CR44" i="6"/>
  <c r="CJ44" i="6"/>
  <c r="CB44" i="6"/>
  <c r="BT44" i="6"/>
  <c r="BL44" i="6"/>
  <c r="BD44" i="6"/>
  <c r="AV44" i="6"/>
  <c r="AN44" i="6"/>
  <c r="AF44" i="6"/>
  <c r="X44" i="6"/>
  <c r="P44" i="6"/>
  <c r="H44" i="6"/>
  <c r="G40" i="6"/>
  <c r="H40" i="6" s="1"/>
  <c r="H42" i="6" s="1"/>
  <c r="H36" i="6"/>
  <c r="G36" i="6"/>
  <c r="G35" i="6"/>
  <c r="T86" i="7" s="1"/>
  <c r="H31" i="6"/>
  <c r="H30" i="6"/>
  <c r="G30" i="6"/>
  <c r="T68" i="7" s="1"/>
  <c r="H29" i="6"/>
  <c r="G28" i="6"/>
  <c r="H26" i="6"/>
  <c r="H24" i="6"/>
  <c r="G24" i="6"/>
  <c r="H18" i="6"/>
  <c r="H17" i="6"/>
  <c r="G17" i="6"/>
  <c r="H16" i="6"/>
  <c r="G15" i="6"/>
  <c r="Q1926" i="5"/>
  <c r="R1926" i="5" s="1"/>
  <c r="P1926" i="5"/>
  <c r="B1926" i="5"/>
  <c r="R1925" i="5"/>
  <c r="O1923" i="5"/>
  <c r="N1923" i="5"/>
  <c r="N1921" i="5"/>
  <c r="P1919" i="5"/>
  <c r="B1919" i="5"/>
  <c r="A1919" i="5"/>
  <c r="R1918" i="5"/>
  <c r="P1918" i="5"/>
  <c r="Q1918" i="5" s="1"/>
  <c r="B1918" i="5"/>
  <c r="R1917" i="5"/>
  <c r="N1915" i="5"/>
  <c r="P1907" i="5"/>
  <c r="O1915" i="5" s="1"/>
  <c r="B1907" i="5"/>
  <c r="A1907" i="5"/>
  <c r="B1906" i="5"/>
  <c r="R1905" i="5"/>
  <c r="N1900" i="5"/>
  <c r="N1898" i="5"/>
  <c r="N1897" i="5"/>
  <c r="N1896" i="5"/>
  <c r="N1895" i="5"/>
  <c r="N1894" i="5"/>
  <c r="N1893" i="5"/>
  <c r="N1892" i="5"/>
  <c r="N1891" i="5"/>
  <c r="N1890" i="5"/>
  <c r="N1888" i="5"/>
  <c r="N1887" i="5"/>
  <c r="P1885" i="5"/>
  <c r="A1885" i="5"/>
  <c r="B1885" i="5" s="1"/>
  <c r="Q1884" i="5"/>
  <c r="R1884" i="5" s="1"/>
  <c r="P1884" i="5"/>
  <c r="B1884" i="5"/>
  <c r="R1883" i="5"/>
  <c r="N1881" i="5"/>
  <c r="A1873" i="5"/>
  <c r="B1872" i="5"/>
  <c r="R1871" i="5"/>
  <c r="A1865" i="5"/>
  <c r="B1864" i="5"/>
  <c r="R1863" i="5"/>
  <c r="N1859" i="5"/>
  <c r="J1859" i="5"/>
  <c r="J1858" i="5"/>
  <c r="N1858" i="5" s="1"/>
  <c r="N1857" i="5"/>
  <c r="N1861" i="5" s="1"/>
  <c r="P1864" i="5" s="1"/>
  <c r="Q1864" i="5" s="1"/>
  <c r="R1864" i="5" s="1"/>
  <c r="P1853" i="5"/>
  <c r="A1853" i="5"/>
  <c r="B1853" i="5" s="1"/>
  <c r="B1852" i="5"/>
  <c r="R1851" i="5"/>
  <c r="N1847" i="5"/>
  <c r="N1846" i="5"/>
  <c r="N1845" i="5"/>
  <c r="J1844" i="5"/>
  <c r="N1844" i="5" s="1"/>
  <c r="N1843" i="5"/>
  <c r="N1842" i="5"/>
  <c r="B1838" i="5"/>
  <c r="A1838" i="5"/>
  <c r="P1838" i="5" s="1"/>
  <c r="P1837" i="5"/>
  <c r="Q1837" i="5" s="1"/>
  <c r="R1837" i="5" s="1"/>
  <c r="B1837" i="5"/>
  <c r="R1836" i="5"/>
  <c r="N1834" i="5"/>
  <c r="N1832" i="5"/>
  <c r="P1830" i="5"/>
  <c r="O1834" i="5" s="1"/>
  <c r="A1830" i="5"/>
  <c r="B1830" i="5" s="1"/>
  <c r="B1829" i="5"/>
  <c r="R1828" i="5"/>
  <c r="N1826" i="5"/>
  <c r="P1829" i="5" s="1"/>
  <c r="Q1829" i="5" s="1"/>
  <c r="R1829" i="5" s="1"/>
  <c r="A1822" i="5"/>
  <c r="B1821" i="5"/>
  <c r="R1820" i="5"/>
  <c r="N1816" i="5"/>
  <c r="N1815" i="5"/>
  <c r="N1814" i="5"/>
  <c r="N1813" i="5"/>
  <c r="N1812" i="5"/>
  <c r="N1809" i="5"/>
  <c r="N1808" i="5"/>
  <c r="N1807" i="5"/>
  <c r="N1806" i="5"/>
  <c r="N1805" i="5"/>
  <c r="N1804" i="5"/>
  <c r="N1803" i="5"/>
  <c r="N1802" i="5"/>
  <c r="N1801" i="5"/>
  <c r="A1798" i="5"/>
  <c r="B1797" i="5"/>
  <c r="R1796" i="5"/>
  <c r="N1794" i="5"/>
  <c r="P1797" i="5" s="1"/>
  <c r="Q1797" i="5" s="1"/>
  <c r="R1797" i="5" s="1"/>
  <c r="N1792" i="5"/>
  <c r="N1791" i="5"/>
  <c r="N1790" i="5"/>
  <c r="N1789" i="5"/>
  <c r="N1788" i="5"/>
  <c r="N1787" i="5"/>
  <c r="N1786" i="5"/>
  <c r="N1785" i="5"/>
  <c r="N1784" i="5"/>
  <c r="N1783" i="5"/>
  <c r="N1782" i="5"/>
  <c r="P1778" i="5"/>
  <c r="O1794" i="5" s="1"/>
  <c r="B1778" i="5"/>
  <c r="A1778" i="5"/>
  <c r="B1777" i="5"/>
  <c r="R1776" i="5"/>
  <c r="N1773" i="5"/>
  <c r="N1772" i="5"/>
  <c r="N1771" i="5"/>
  <c r="N1770" i="5"/>
  <c r="N1769" i="5"/>
  <c r="N1768" i="5"/>
  <c r="N1767" i="5"/>
  <c r="N1766" i="5"/>
  <c r="N1765" i="5"/>
  <c r="N1764" i="5"/>
  <c r="N1763" i="5"/>
  <c r="A1760" i="5"/>
  <c r="P1760" i="5" s="1"/>
  <c r="O1775" i="5" s="1"/>
  <c r="B1759" i="5"/>
  <c r="R1758" i="5"/>
  <c r="N1753" i="5"/>
  <c r="N1752" i="5"/>
  <c r="N1751" i="5"/>
  <c r="N1750" i="5"/>
  <c r="N1749" i="5"/>
  <c r="N1748" i="5"/>
  <c r="N1747" i="5"/>
  <c r="N1746" i="5"/>
  <c r="N1745" i="5"/>
  <c r="N1744" i="5"/>
  <c r="N1743" i="5"/>
  <c r="N1742" i="5"/>
  <c r="P1739" i="5"/>
  <c r="O1755" i="5" s="1"/>
  <c r="B1739" i="5"/>
  <c r="A1739" i="5"/>
  <c r="B1738" i="5"/>
  <c r="R1737" i="5"/>
  <c r="N1732" i="5"/>
  <c r="N1731" i="5"/>
  <c r="N1730" i="5"/>
  <c r="N1729" i="5"/>
  <c r="N1728" i="5"/>
  <c r="N1726" i="5"/>
  <c r="N1725" i="5"/>
  <c r="N1724" i="5"/>
  <c r="N1723" i="5"/>
  <c r="N1722" i="5"/>
  <c r="N1721" i="5"/>
  <c r="N1720" i="5"/>
  <c r="N1719" i="5"/>
  <c r="N1718" i="5"/>
  <c r="P1715" i="5"/>
  <c r="O1734" i="5" s="1"/>
  <c r="B1715" i="5"/>
  <c r="A1715" i="5"/>
  <c r="B1714" i="5"/>
  <c r="R1713" i="5"/>
  <c r="N1710" i="5"/>
  <c r="N1709" i="5"/>
  <c r="N1708" i="5"/>
  <c r="N1706" i="5"/>
  <c r="N1705" i="5"/>
  <c r="J1705" i="5"/>
  <c r="N1704" i="5"/>
  <c r="N1703" i="5"/>
  <c r="N1702" i="5"/>
  <c r="N1701" i="5"/>
  <c r="N1700" i="5"/>
  <c r="N1699" i="5"/>
  <c r="N1698" i="5"/>
  <c r="J1698" i="5"/>
  <c r="N1697" i="5"/>
  <c r="P1694" i="5"/>
  <c r="O1712" i="5" s="1"/>
  <c r="B1694" i="5"/>
  <c r="A1694" i="5"/>
  <c r="B1693" i="5"/>
  <c r="R1692" i="5"/>
  <c r="N1688" i="5"/>
  <c r="N1687" i="5"/>
  <c r="J1687" i="5"/>
  <c r="N1686" i="5"/>
  <c r="J1686" i="5"/>
  <c r="N1685" i="5"/>
  <c r="J1684" i="5"/>
  <c r="N1684" i="5" s="1"/>
  <c r="J1683" i="5"/>
  <c r="N1683" i="5" s="1"/>
  <c r="N1682" i="5"/>
  <c r="N1681" i="5"/>
  <c r="N1680" i="5"/>
  <c r="N1677" i="5"/>
  <c r="N1676" i="5"/>
  <c r="N1675" i="5"/>
  <c r="N1674" i="5"/>
  <c r="N1673" i="5"/>
  <c r="N1672" i="5"/>
  <c r="J1672" i="5"/>
  <c r="P1669" i="5"/>
  <c r="O1690" i="5" s="1"/>
  <c r="B1669" i="5"/>
  <c r="A1669" i="5"/>
  <c r="B1668" i="5"/>
  <c r="R1667" i="5"/>
  <c r="N1663" i="5"/>
  <c r="N1662" i="5"/>
  <c r="N1661" i="5"/>
  <c r="N1660" i="5"/>
  <c r="N1659" i="5"/>
  <c r="N1658" i="5"/>
  <c r="N1657" i="5"/>
  <c r="N1656" i="5"/>
  <c r="N1655" i="5"/>
  <c r="N1654" i="5"/>
  <c r="A1649" i="5"/>
  <c r="B1648" i="5"/>
  <c r="R1647" i="5"/>
  <c r="N1643" i="5"/>
  <c r="N1642" i="5"/>
  <c r="N1641" i="5"/>
  <c r="N1640" i="5"/>
  <c r="N1639" i="5"/>
  <c r="N1638" i="5"/>
  <c r="N1635" i="5"/>
  <c r="N1634" i="5"/>
  <c r="N1633" i="5"/>
  <c r="N1632" i="5"/>
  <c r="N1631" i="5"/>
  <c r="N1630" i="5"/>
  <c r="N1645" i="5" s="1"/>
  <c r="P1648" i="5" s="1"/>
  <c r="Q1648" i="5" s="1"/>
  <c r="R1648" i="5" s="1"/>
  <c r="N1629" i="5"/>
  <c r="N1628" i="5"/>
  <c r="N1627" i="5"/>
  <c r="B1623" i="5"/>
  <c r="A1623" i="5"/>
  <c r="P1623" i="5" s="1"/>
  <c r="O1645" i="5" s="1"/>
  <c r="B1622" i="5"/>
  <c r="R1621" i="5"/>
  <c r="O1619" i="5"/>
  <c r="N1619" i="5"/>
  <c r="P1622" i="5" s="1"/>
  <c r="Q1622" i="5" s="1"/>
  <c r="R1622" i="5" s="1"/>
  <c r="A1614" i="5"/>
  <c r="P1614" i="5" s="1"/>
  <c r="B1613" i="5"/>
  <c r="R1612" i="5"/>
  <c r="N1608" i="5"/>
  <c r="N1607" i="5"/>
  <c r="N1606" i="5"/>
  <c r="N1605" i="5"/>
  <c r="N1604" i="5"/>
  <c r="N1603" i="5"/>
  <c r="N1602" i="5"/>
  <c r="N1601" i="5"/>
  <c r="A1598" i="5"/>
  <c r="B1597" i="5"/>
  <c r="R1596" i="5"/>
  <c r="N1592" i="5"/>
  <c r="N1591" i="5"/>
  <c r="N1590" i="5"/>
  <c r="N1589" i="5"/>
  <c r="N1588" i="5"/>
  <c r="N1587" i="5"/>
  <c r="N1586" i="5"/>
  <c r="N1594" i="5" s="1"/>
  <c r="P1597" i="5" s="1"/>
  <c r="Q1597" i="5" s="1"/>
  <c r="R1597" i="5" s="1"/>
  <c r="P1583" i="5"/>
  <c r="O1594" i="5" s="1"/>
  <c r="B1583" i="5"/>
  <c r="A1583" i="5"/>
  <c r="B1582" i="5"/>
  <c r="R1581" i="5"/>
  <c r="N1577" i="5"/>
  <c r="N1576" i="5"/>
  <c r="N1575" i="5"/>
  <c r="N1574" i="5"/>
  <c r="N1573" i="5"/>
  <c r="N1572" i="5"/>
  <c r="N1571" i="5"/>
  <c r="N1579" i="5" s="1"/>
  <c r="P1582" i="5" s="1"/>
  <c r="Q1582" i="5" s="1"/>
  <c r="R1582" i="5" s="1"/>
  <c r="P1568" i="5"/>
  <c r="O1579" i="5" s="1"/>
  <c r="A1568" i="5"/>
  <c r="B1568" i="5" s="1"/>
  <c r="B1567" i="5"/>
  <c r="R1566" i="5"/>
  <c r="N1562" i="5"/>
  <c r="N1561" i="5"/>
  <c r="N1560" i="5"/>
  <c r="N1559" i="5"/>
  <c r="N1558" i="5"/>
  <c r="N1557" i="5"/>
  <c r="A1554" i="5"/>
  <c r="B1554" i="5" s="1"/>
  <c r="B1553" i="5"/>
  <c r="R1552" i="5"/>
  <c r="N1548" i="5"/>
  <c r="N1550" i="5" s="1"/>
  <c r="P1553" i="5" s="1"/>
  <c r="Q1553" i="5" s="1"/>
  <c r="R1553" i="5" s="1"/>
  <c r="N1547" i="5"/>
  <c r="P1545" i="5"/>
  <c r="O1550" i="5" s="1"/>
  <c r="A1545" i="5"/>
  <c r="B1545" i="5" s="1"/>
  <c r="B1544" i="5"/>
  <c r="R1543" i="5"/>
  <c r="O1541" i="5"/>
  <c r="N1537" i="5"/>
  <c r="N1536" i="5"/>
  <c r="N1535" i="5"/>
  <c r="N1531" i="5"/>
  <c r="L1530" i="5"/>
  <c r="N1530" i="5" s="1"/>
  <c r="N1529" i="5"/>
  <c r="N1528" i="5"/>
  <c r="N1527" i="5"/>
  <c r="N1526" i="5"/>
  <c r="N1525" i="5"/>
  <c r="N1524" i="5"/>
  <c r="L1523" i="5"/>
  <c r="N1523" i="5" s="1"/>
  <c r="N1522" i="5"/>
  <c r="N1539" i="5" s="1"/>
  <c r="J1541" i="5" s="1"/>
  <c r="N1541" i="5" s="1"/>
  <c r="P1544" i="5" s="1"/>
  <c r="Q1544" i="5" s="1"/>
  <c r="R1544" i="5" s="1"/>
  <c r="A1518" i="5"/>
  <c r="P1518" i="5" s="1"/>
  <c r="O1539" i="5" s="1"/>
  <c r="B1517" i="5"/>
  <c r="R1516" i="5"/>
  <c r="O1514" i="5"/>
  <c r="N1512" i="5"/>
  <c r="N1514" i="5" s="1"/>
  <c r="P1517" i="5" s="1"/>
  <c r="Q1517" i="5" s="1"/>
  <c r="R1517" i="5" s="1"/>
  <c r="P1510" i="5"/>
  <c r="B1510" i="5"/>
  <c r="A1510" i="5"/>
  <c r="B1509" i="5"/>
  <c r="R1508" i="5"/>
  <c r="N1504" i="5"/>
  <c r="N1503" i="5"/>
  <c r="N1502" i="5"/>
  <c r="N1501" i="5"/>
  <c r="N1500" i="5"/>
  <c r="N1499" i="5"/>
  <c r="N1498" i="5"/>
  <c r="P1495" i="5"/>
  <c r="O1506" i="5" s="1"/>
  <c r="A1495" i="5"/>
  <c r="B1495" i="5" s="1"/>
  <c r="B1494" i="5"/>
  <c r="R1493" i="5"/>
  <c r="N1489" i="5"/>
  <c r="N1488" i="5"/>
  <c r="N1487" i="5"/>
  <c r="N1486" i="5"/>
  <c r="N1485" i="5"/>
  <c r="N1484" i="5"/>
  <c r="N1483" i="5"/>
  <c r="A1480" i="5"/>
  <c r="P1480" i="5" s="1"/>
  <c r="O1491" i="5" s="1"/>
  <c r="B1479" i="5"/>
  <c r="R1478" i="5"/>
  <c r="N1474" i="5"/>
  <c r="N1473" i="5"/>
  <c r="N1472" i="5"/>
  <c r="N1471" i="5"/>
  <c r="N1470" i="5"/>
  <c r="N1469" i="5"/>
  <c r="N1468" i="5"/>
  <c r="B1465" i="5"/>
  <c r="A1465" i="5"/>
  <c r="P1465" i="5" s="1"/>
  <c r="O1476" i="5" s="1"/>
  <c r="B1464" i="5"/>
  <c r="R1463" i="5"/>
  <c r="N1459" i="5"/>
  <c r="N1458" i="5"/>
  <c r="N1457" i="5"/>
  <c r="N1456" i="5"/>
  <c r="N1461" i="5" s="1"/>
  <c r="P1464" i="5" s="1"/>
  <c r="Q1464" i="5" s="1"/>
  <c r="R1464" i="5" s="1"/>
  <c r="P1453" i="5"/>
  <c r="O1461" i="5" s="1"/>
  <c r="A1453" i="5"/>
  <c r="B1453" i="5" s="1"/>
  <c r="Q1452" i="5"/>
  <c r="B1452" i="5"/>
  <c r="R1451" i="5"/>
  <c r="N1447" i="5"/>
  <c r="N1446" i="5"/>
  <c r="N1449" i="5" s="1"/>
  <c r="P1452" i="5" s="1"/>
  <c r="P1443" i="5"/>
  <c r="O1449" i="5" s="1"/>
  <c r="A1443" i="5"/>
  <c r="B1443" i="5" s="1"/>
  <c r="Q1442" i="5"/>
  <c r="R1442" i="5" s="1"/>
  <c r="B1442" i="5"/>
  <c r="R1441" i="5"/>
  <c r="N1437" i="5"/>
  <c r="N1436" i="5"/>
  <c r="N1439" i="5" s="1"/>
  <c r="P1442" i="5" s="1"/>
  <c r="P1433" i="5"/>
  <c r="O1439" i="5" s="1"/>
  <c r="A1433" i="5"/>
  <c r="B1433" i="5" s="1"/>
  <c r="Q1432" i="5"/>
  <c r="R1432" i="5" s="1"/>
  <c r="B1432" i="5"/>
  <c r="R1431" i="5"/>
  <c r="J1427" i="5"/>
  <c r="N1427" i="5" s="1"/>
  <c r="N1429" i="5" s="1"/>
  <c r="P1432" i="5" s="1"/>
  <c r="P1425" i="5"/>
  <c r="O1429" i="5" s="1"/>
  <c r="A1425" i="5"/>
  <c r="B1425" i="5" s="1"/>
  <c r="Q1424" i="5"/>
  <c r="R1424" i="5" s="1"/>
  <c r="P1424" i="5"/>
  <c r="B1424" i="5"/>
  <c r="R1423" i="5"/>
  <c r="N1421" i="5"/>
  <c r="A1417" i="5"/>
  <c r="P1417" i="5" s="1"/>
  <c r="O1421" i="5" s="1"/>
  <c r="B1416" i="5"/>
  <c r="R1415" i="5"/>
  <c r="O1413" i="5"/>
  <c r="N1413" i="5"/>
  <c r="P1416" i="5" s="1"/>
  <c r="Q1416" i="5" s="1"/>
  <c r="R1416" i="5" s="1"/>
  <c r="P1409" i="5"/>
  <c r="B1409" i="5"/>
  <c r="B1408" i="5"/>
  <c r="R1407" i="5"/>
  <c r="J1403" i="5"/>
  <c r="N1403" i="5" s="1"/>
  <c r="N1405" i="5" s="1"/>
  <c r="P1408" i="5" s="1"/>
  <c r="Q1408" i="5" s="1"/>
  <c r="R1408" i="5" s="1"/>
  <c r="A1401" i="5"/>
  <c r="P1401" i="5" s="1"/>
  <c r="O1405" i="5" s="1"/>
  <c r="P1400" i="5"/>
  <c r="Q1400" i="5" s="1"/>
  <c r="R1400" i="5" s="1"/>
  <c r="B1400" i="5"/>
  <c r="R1399" i="5"/>
  <c r="N1397" i="5"/>
  <c r="A1392" i="5"/>
  <c r="P1392" i="5" s="1"/>
  <c r="O1397" i="5" s="1"/>
  <c r="Q1391" i="5"/>
  <c r="R1391" i="5" s="1"/>
  <c r="P1391" i="5"/>
  <c r="B1391" i="5"/>
  <c r="R1390" i="5"/>
  <c r="N1389" i="5"/>
  <c r="B1384" i="5"/>
  <c r="A1384" i="5"/>
  <c r="P1384" i="5" s="1"/>
  <c r="O1389" i="5" s="1"/>
  <c r="B1383" i="5"/>
  <c r="R1382" i="5"/>
  <c r="O1380" i="5"/>
  <c r="N1380" i="5"/>
  <c r="P1383" i="5" s="1"/>
  <c r="Q1383" i="5" s="1"/>
  <c r="R1383" i="5" s="1"/>
  <c r="P1374" i="5"/>
  <c r="B1374" i="5"/>
  <c r="A1374" i="5"/>
  <c r="R1373" i="5"/>
  <c r="P1373" i="5"/>
  <c r="Q1373" i="5" s="1"/>
  <c r="B1373" i="5"/>
  <c r="R1372" i="5"/>
  <c r="N1370" i="5"/>
  <c r="P1364" i="5"/>
  <c r="O1370" i="5" s="1"/>
  <c r="B1364" i="5"/>
  <c r="B1363" i="5"/>
  <c r="R1362" i="5"/>
  <c r="N1360" i="5"/>
  <c r="P1363" i="5" s="1"/>
  <c r="Q1363" i="5" s="1"/>
  <c r="R1363" i="5" s="1"/>
  <c r="P1356" i="5"/>
  <c r="O1360" i="5" s="1"/>
  <c r="B1356" i="5"/>
  <c r="A1356" i="5"/>
  <c r="B1355" i="5"/>
  <c r="R1354" i="5"/>
  <c r="O1352" i="5"/>
  <c r="N1352" i="5"/>
  <c r="P1355" i="5" s="1"/>
  <c r="Q1355" i="5" s="1"/>
  <c r="R1355" i="5" s="1"/>
  <c r="A1346" i="5"/>
  <c r="P1346" i="5" s="1"/>
  <c r="R1345" i="5"/>
  <c r="P1345" i="5"/>
  <c r="Q1345" i="5" s="1"/>
  <c r="B1345" i="5"/>
  <c r="R1344" i="5"/>
  <c r="N1342" i="5"/>
  <c r="A1336" i="5"/>
  <c r="R1335" i="5"/>
  <c r="Q1335" i="5"/>
  <c r="P1335" i="5"/>
  <c r="B1335" i="5"/>
  <c r="R1334" i="5"/>
  <c r="N1332" i="5"/>
  <c r="A1326" i="5"/>
  <c r="B1325" i="5"/>
  <c r="R1324" i="5"/>
  <c r="N1322" i="5"/>
  <c r="P1325" i="5" s="1"/>
  <c r="Q1325" i="5" s="1"/>
  <c r="P1317" i="5"/>
  <c r="O1322" i="5" s="1"/>
  <c r="A1317" i="5"/>
  <c r="B1317" i="5" s="1"/>
  <c r="B1316" i="5"/>
  <c r="R1315" i="5"/>
  <c r="O1313" i="5"/>
  <c r="P1307" i="5"/>
  <c r="B1307" i="5"/>
  <c r="A1307" i="5"/>
  <c r="P1306" i="5"/>
  <c r="Q1306" i="5" s="1"/>
  <c r="R1306" i="5" s="1"/>
  <c r="B1306" i="5"/>
  <c r="R1305" i="5"/>
  <c r="N1303" i="5"/>
  <c r="A1299" i="5"/>
  <c r="R1298" i="5"/>
  <c r="B1298" i="5"/>
  <c r="R1297" i="5"/>
  <c r="N1295" i="5"/>
  <c r="P1298" i="5" s="1"/>
  <c r="Q1298" i="5" s="1"/>
  <c r="B1291" i="5"/>
  <c r="A1291" i="5"/>
  <c r="P1291" i="5" s="1"/>
  <c r="O1295" i="5" s="1"/>
  <c r="B1290" i="5"/>
  <c r="R1289" i="5"/>
  <c r="N1287" i="5"/>
  <c r="P1290" i="5" s="1"/>
  <c r="Q1290" i="5" s="1"/>
  <c r="R1290" i="5" s="1"/>
  <c r="B1283" i="5"/>
  <c r="A1283" i="5"/>
  <c r="P1283" i="5" s="1"/>
  <c r="O1287" i="5" s="1"/>
  <c r="Q1282" i="5"/>
  <c r="P1282" i="5"/>
  <c r="B1282" i="5"/>
  <c r="R1281" i="5"/>
  <c r="R1282" i="5" s="1"/>
  <c r="N1279" i="5"/>
  <c r="B1275" i="5"/>
  <c r="A1275" i="5"/>
  <c r="P1275" i="5" s="1"/>
  <c r="O1279" i="5" s="1"/>
  <c r="Q1274" i="5"/>
  <c r="R1274" i="5" s="1"/>
  <c r="P1274" i="5"/>
  <c r="B1274" i="5"/>
  <c r="R1273" i="5"/>
  <c r="O1271" i="5"/>
  <c r="N1271" i="5"/>
  <c r="P1267" i="5"/>
  <c r="B1267" i="5"/>
  <c r="A1267" i="5"/>
  <c r="P1266" i="5"/>
  <c r="Q1266" i="5" s="1"/>
  <c r="R1266" i="5" s="1"/>
  <c r="B1266" i="5"/>
  <c r="R1265" i="5"/>
  <c r="O1263" i="5"/>
  <c r="N1263" i="5"/>
  <c r="P1259" i="5"/>
  <c r="B1259" i="5"/>
  <c r="A1259" i="5"/>
  <c r="P1258" i="5"/>
  <c r="Q1258" i="5" s="1"/>
  <c r="R1258" i="5" s="1"/>
  <c r="B1258" i="5"/>
  <c r="R1257" i="5"/>
  <c r="N1255" i="5"/>
  <c r="A1251" i="5"/>
  <c r="R1250" i="5"/>
  <c r="B1250" i="5"/>
  <c r="R1249" i="5"/>
  <c r="N1247" i="5"/>
  <c r="P1250" i="5" s="1"/>
  <c r="Q1250" i="5" s="1"/>
  <c r="A1243" i="5"/>
  <c r="P1243" i="5" s="1"/>
  <c r="O1247" i="5" s="1"/>
  <c r="B1242" i="5"/>
  <c r="R1241" i="5"/>
  <c r="N1239" i="5"/>
  <c r="P1242" i="5" s="1"/>
  <c r="Q1242" i="5" s="1"/>
  <c r="R1242" i="5" s="1"/>
  <c r="N1237" i="5"/>
  <c r="P1235" i="5"/>
  <c r="O1239" i="5" s="1"/>
  <c r="B1235" i="5"/>
  <c r="A1235" i="5"/>
  <c r="Q1234" i="5"/>
  <c r="R1234" i="5" s="1"/>
  <c r="P1234" i="5"/>
  <c r="B1234" i="5"/>
  <c r="R1233" i="5"/>
  <c r="N1229" i="5"/>
  <c r="N1231" i="5" s="1"/>
  <c r="A1227" i="5"/>
  <c r="R1226" i="5"/>
  <c r="Q1226" i="5"/>
  <c r="P1226" i="5"/>
  <c r="B1226" i="5"/>
  <c r="R1225" i="5"/>
  <c r="N1223" i="5"/>
  <c r="N1221" i="5"/>
  <c r="P1219" i="5"/>
  <c r="O1223" i="5" s="1"/>
  <c r="A1219" i="5"/>
  <c r="B1219" i="5" s="1"/>
  <c r="P1218" i="5"/>
  <c r="Q1218" i="5" s="1"/>
  <c r="R1218" i="5" s="1"/>
  <c r="B1218" i="5"/>
  <c r="R1217" i="5"/>
  <c r="N1215" i="5"/>
  <c r="A1210" i="5"/>
  <c r="P1209" i="5"/>
  <c r="Q1209" i="5" s="1"/>
  <c r="R1209" i="5" s="1"/>
  <c r="B1209" i="5"/>
  <c r="R1208" i="5"/>
  <c r="O1206" i="5"/>
  <c r="N1204" i="5"/>
  <c r="N1206" i="5" s="1"/>
  <c r="P1202" i="5"/>
  <c r="B1202" i="5"/>
  <c r="A1202" i="5"/>
  <c r="P1201" i="5"/>
  <c r="Q1201" i="5" s="1"/>
  <c r="R1201" i="5" s="1"/>
  <c r="B1201" i="5"/>
  <c r="R1200" i="5"/>
  <c r="N1198" i="5"/>
  <c r="P1194" i="5"/>
  <c r="O1198" i="5" s="1"/>
  <c r="B1194" i="5"/>
  <c r="A1194" i="5"/>
  <c r="B1193" i="5"/>
  <c r="R1192" i="5"/>
  <c r="N1188" i="5"/>
  <c r="N1190" i="5" s="1"/>
  <c r="P1193" i="5" s="1"/>
  <c r="Q1193" i="5" s="1"/>
  <c r="R1193" i="5" s="1"/>
  <c r="P1186" i="5"/>
  <c r="O1190" i="5" s="1"/>
  <c r="B1186" i="5"/>
  <c r="A1186" i="5"/>
  <c r="B1185" i="5"/>
  <c r="R1184" i="5"/>
  <c r="O1182" i="5"/>
  <c r="N1182" i="5"/>
  <c r="P1185" i="5" s="1"/>
  <c r="Q1185" i="5" s="1"/>
  <c r="R1185" i="5" s="1"/>
  <c r="P1178" i="5"/>
  <c r="B1178" i="5"/>
  <c r="A1178" i="5"/>
  <c r="B1177" i="5"/>
  <c r="R1176" i="5"/>
  <c r="N1174" i="5"/>
  <c r="P1177" i="5" s="1"/>
  <c r="Q1177" i="5" s="1"/>
  <c r="R1177" i="5" s="1"/>
  <c r="P1168" i="5"/>
  <c r="O1174" i="5" s="1"/>
  <c r="B1168" i="5"/>
  <c r="A1168" i="5"/>
  <c r="R1167" i="5"/>
  <c r="Q1167" i="5"/>
  <c r="P1167" i="5"/>
  <c r="B1167" i="5"/>
  <c r="R1166" i="5"/>
  <c r="N1164" i="5"/>
  <c r="P1160" i="5"/>
  <c r="O1164" i="5" s="1"/>
  <c r="A1160" i="5"/>
  <c r="B1160" i="5" s="1"/>
  <c r="P1159" i="5"/>
  <c r="Q1159" i="5" s="1"/>
  <c r="R1159" i="5" s="1"/>
  <c r="B1159" i="5"/>
  <c r="R1158" i="5"/>
  <c r="N1156" i="5"/>
  <c r="A1152" i="5"/>
  <c r="Q1151" i="5"/>
  <c r="R1151" i="5" s="1"/>
  <c r="B1151" i="5"/>
  <c r="R1150" i="5"/>
  <c r="O1148" i="5"/>
  <c r="N1148" i="5"/>
  <c r="P1151" i="5" s="1"/>
  <c r="N1146" i="5"/>
  <c r="P1144" i="5"/>
  <c r="B1144" i="5"/>
  <c r="A1144" i="5"/>
  <c r="B1143" i="5"/>
  <c r="R1142" i="5"/>
  <c r="N1138" i="5"/>
  <c r="N1140" i="5" s="1"/>
  <c r="P1143" i="5" s="1"/>
  <c r="Q1143" i="5" s="1"/>
  <c r="R1143" i="5" s="1"/>
  <c r="P1136" i="5"/>
  <c r="O1140" i="5" s="1"/>
  <c r="A1136" i="5"/>
  <c r="B1136" i="5" s="1"/>
  <c r="Q1135" i="5"/>
  <c r="R1135" i="5" s="1"/>
  <c r="B1135" i="5"/>
  <c r="R1134" i="5"/>
  <c r="N1132" i="5"/>
  <c r="P1135" i="5" s="1"/>
  <c r="P1127" i="5"/>
  <c r="O1132" i="5" s="1"/>
  <c r="B1127" i="5"/>
  <c r="A1127" i="5"/>
  <c r="B1126" i="5"/>
  <c r="R1125" i="5"/>
  <c r="O1123" i="5"/>
  <c r="N1123" i="5"/>
  <c r="P1126" i="5" s="1"/>
  <c r="Q1126" i="5" s="1"/>
  <c r="R1126" i="5" s="1"/>
  <c r="N1121" i="5"/>
  <c r="N1120" i="5"/>
  <c r="N1310" i="5" s="1"/>
  <c r="N1313" i="5" s="1"/>
  <c r="P1316" i="5" s="1"/>
  <c r="Q1316" i="5" s="1"/>
  <c r="N1119" i="5"/>
  <c r="P1117" i="5"/>
  <c r="B1117" i="5"/>
  <c r="A1117" i="5"/>
  <c r="B1116" i="5"/>
  <c r="R1115" i="5"/>
  <c r="N1113" i="5"/>
  <c r="P1116" i="5" s="1"/>
  <c r="Q1116" i="5" s="1"/>
  <c r="R1116" i="5" s="1"/>
  <c r="P1108" i="5"/>
  <c r="O1113" i="5" s="1"/>
  <c r="B1108" i="5"/>
  <c r="A1108" i="5"/>
  <c r="B1107" i="5"/>
  <c r="R1106" i="5"/>
  <c r="N1102" i="5"/>
  <c r="N1104" i="5" s="1"/>
  <c r="P1107" i="5" s="1"/>
  <c r="Q1107" i="5" s="1"/>
  <c r="R1107" i="5" s="1"/>
  <c r="A1100" i="5"/>
  <c r="Q1099" i="5"/>
  <c r="R1099" i="5" s="1"/>
  <c r="B1099" i="5"/>
  <c r="R1098" i="5"/>
  <c r="N1096" i="5"/>
  <c r="P1099" i="5" s="1"/>
  <c r="A1092" i="5"/>
  <c r="P1092" i="5" s="1"/>
  <c r="O1096" i="5" s="1"/>
  <c r="P1091" i="5"/>
  <c r="Q1091" i="5" s="1"/>
  <c r="R1091" i="5" s="1"/>
  <c r="B1091" i="5"/>
  <c r="R1090" i="5"/>
  <c r="O1088" i="5"/>
  <c r="N1086" i="5"/>
  <c r="N1088" i="5" s="1"/>
  <c r="B1084" i="5"/>
  <c r="A1084" i="5"/>
  <c r="P1084" i="5" s="1"/>
  <c r="P1083" i="5"/>
  <c r="Q1083" i="5" s="1"/>
  <c r="R1083" i="5" s="1"/>
  <c r="B1083" i="5"/>
  <c r="R1082" i="5"/>
  <c r="N1080" i="5"/>
  <c r="N1078" i="5"/>
  <c r="P1076" i="5"/>
  <c r="O1080" i="5" s="1"/>
  <c r="A1076" i="5"/>
  <c r="B1076" i="5" s="1"/>
  <c r="B1075" i="5"/>
  <c r="R1074" i="5"/>
  <c r="N1070" i="5"/>
  <c r="N1072" i="5" s="1"/>
  <c r="P1075" i="5" s="1"/>
  <c r="Q1075" i="5" s="1"/>
  <c r="B1068" i="5"/>
  <c r="A1068" i="5"/>
  <c r="P1068" i="5" s="1"/>
  <c r="O1072" i="5" s="1"/>
  <c r="P1067" i="5"/>
  <c r="Q1067" i="5" s="1"/>
  <c r="R1067" i="5" s="1"/>
  <c r="B1067" i="5"/>
  <c r="R1066" i="5"/>
  <c r="N1064" i="5"/>
  <c r="N1062" i="5"/>
  <c r="P1060" i="5"/>
  <c r="O1064" i="5" s="1"/>
  <c r="A1060" i="5"/>
  <c r="B1060" i="5" s="1"/>
  <c r="P1059" i="5"/>
  <c r="Q1059" i="5" s="1"/>
  <c r="B1059" i="5"/>
  <c r="R1058" i="5"/>
  <c r="O1056" i="5"/>
  <c r="N1056" i="5"/>
  <c r="P1052" i="5"/>
  <c r="A1052" i="5"/>
  <c r="B1052" i="5" s="1"/>
  <c r="B1051" i="5"/>
  <c r="R1050" i="5"/>
  <c r="P1044" i="5"/>
  <c r="O1048" i="5" s="1"/>
  <c r="B1044" i="5"/>
  <c r="A1044" i="5"/>
  <c r="B1043" i="5"/>
  <c r="R1042" i="5"/>
  <c r="N1040" i="5"/>
  <c r="P1043" i="5" s="1"/>
  <c r="Q1043" i="5" s="1"/>
  <c r="R1043" i="5" s="1"/>
  <c r="N1038" i="5"/>
  <c r="A1036" i="5"/>
  <c r="P1036" i="5" s="1"/>
  <c r="O1040" i="5" s="1"/>
  <c r="Q1035" i="5"/>
  <c r="R1035" i="5" s="1"/>
  <c r="B1035" i="5"/>
  <c r="R1034" i="5"/>
  <c r="N1030" i="5"/>
  <c r="N1032" i="5" s="1"/>
  <c r="P1035" i="5" s="1"/>
  <c r="P1028" i="5"/>
  <c r="O1032" i="5" s="1"/>
  <c r="B1028" i="5"/>
  <c r="A1028" i="5"/>
  <c r="B1027" i="5"/>
  <c r="R1026" i="5"/>
  <c r="N1024" i="5"/>
  <c r="P1027" i="5" s="1"/>
  <c r="Q1027" i="5" s="1"/>
  <c r="R1027" i="5" s="1"/>
  <c r="N1022" i="5"/>
  <c r="A1020" i="5"/>
  <c r="P1020" i="5" s="1"/>
  <c r="O1024" i="5" s="1"/>
  <c r="B1019" i="5"/>
  <c r="R1018" i="5"/>
  <c r="N1014" i="5"/>
  <c r="P1012" i="5"/>
  <c r="O1016" i="5" s="1"/>
  <c r="B1012" i="5"/>
  <c r="A1012" i="5"/>
  <c r="P1011" i="5"/>
  <c r="Q1011" i="5" s="1"/>
  <c r="R1011" i="5" s="1"/>
  <c r="B1011" i="5"/>
  <c r="R1010" i="5"/>
  <c r="N1008" i="5"/>
  <c r="A1004" i="5"/>
  <c r="P1003" i="5"/>
  <c r="Q1003" i="5" s="1"/>
  <c r="R1003" i="5" s="1"/>
  <c r="B1003" i="5"/>
  <c r="R1002" i="5"/>
  <c r="N1000" i="5"/>
  <c r="B996" i="5"/>
  <c r="A996" i="5"/>
  <c r="P996" i="5" s="1"/>
  <c r="O1000" i="5" s="1"/>
  <c r="R995" i="5"/>
  <c r="B995" i="5"/>
  <c r="R994" i="5"/>
  <c r="O992" i="5"/>
  <c r="N992" i="5"/>
  <c r="P995" i="5" s="1"/>
  <c r="Q995" i="5" s="1"/>
  <c r="P988" i="5"/>
  <c r="B988" i="5"/>
  <c r="A988" i="5"/>
  <c r="B987" i="5"/>
  <c r="R986" i="5"/>
  <c r="N984" i="5"/>
  <c r="P987" i="5" s="1"/>
  <c r="Q987" i="5" s="1"/>
  <c r="R987" i="5" s="1"/>
  <c r="P980" i="5"/>
  <c r="O984" i="5" s="1"/>
  <c r="B980" i="5"/>
  <c r="Q979" i="5"/>
  <c r="R979" i="5" s="1"/>
  <c r="B979" i="5"/>
  <c r="R978" i="5"/>
  <c r="N973" i="5"/>
  <c r="N976" i="5" s="1"/>
  <c r="P979" i="5" s="1"/>
  <c r="P971" i="5"/>
  <c r="O976" i="5" s="1"/>
  <c r="B971" i="5"/>
  <c r="A971" i="5"/>
  <c r="P970" i="5"/>
  <c r="Q970" i="5" s="1"/>
  <c r="R970" i="5" s="1"/>
  <c r="B970" i="5"/>
  <c r="R969" i="5"/>
  <c r="N967" i="5"/>
  <c r="N965" i="5"/>
  <c r="B963" i="5"/>
  <c r="A963" i="5"/>
  <c r="P963" i="5" s="1"/>
  <c r="O967" i="5" s="1"/>
  <c r="B962" i="5"/>
  <c r="R961" i="5"/>
  <c r="O959" i="5"/>
  <c r="N959" i="5"/>
  <c r="P962" i="5" s="1"/>
  <c r="Q962" i="5" s="1"/>
  <c r="R962" i="5" s="1"/>
  <c r="N957" i="5"/>
  <c r="A955" i="5"/>
  <c r="P955" i="5" s="1"/>
  <c r="Q954" i="5"/>
  <c r="R954" i="5" s="1"/>
  <c r="B954" i="5"/>
  <c r="R953" i="5"/>
  <c r="N951" i="5"/>
  <c r="P954" i="5" s="1"/>
  <c r="P947" i="5"/>
  <c r="O951" i="5" s="1"/>
  <c r="B947" i="5"/>
  <c r="A947" i="5"/>
  <c r="P946" i="5"/>
  <c r="Q946" i="5" s="1"/>
  <c r="R946" i="5" s="1"/>
  <c r="B946" i="5"/>
  <c r="R945" i="5"/>
  <c r="N943" i="5"/>
  <c r="A939" i="5"/>
  <c r="R938" i="5"/>
  <c r="Q938" i="5"/>
  <c r="P938" i="5"/>
  <c r="B938" i="5"/>
  <c r="R937" i="5"/>
  <c r="O935" i="5"/>
  <c r="N935" i="5"/>
  <c r="P931" i="5"/>
  <c r="B931" i="5"/>
  <c r="A931" i="5"/>
  <c r="Q930" i="5"/>
  <c r="R930" i="5" s="1"/>
  <c r="P930" i="5"/>
  <c r="B930" i="5"/>
  <c r="R929" i="5"/>
  <c r="O927" i="5"/>
  <c r="N927" i="5"/>
  <c r="P923" i="5"/>
  <c r="B923" i="5"/>
  <c r="A923" i="5"/>
  <c r="R922" i="5"/>
  <c r="B922" i="5"/>
  <c r="R921" i="5"/>
  <c r="N919" i="5"/>
  <c r="P922" i="5" s="1"/>
  <c r="Q922" i="5" s="1"/>
  <c r="P915" i="5"/>
  <c r="O919" i="5" s="1"/>
  <c r="B915" i="5"/>
  <c r="A915" i="5"/>
  <c r="B914" i="5"/>
  <c r="R913" i="5"/>
  <c r="N909" i="5"/>
  <c r="N908" i="5"/>
  <c r="N911" i="5" s="1"/>
  <c r="P914" i="5" s="1"/>
  <c r="Q914" i="5" s="1"/>
  <c r="R914" i="5" s="1"/>
  <c r="P906" i="5"/>
  <c r="O911" i="5" s="1"/>
  <c r="B906" i="5"/>
  <c r="A906" i="5"/>
  <c r="B905" i="5"/>
  <c r="R904" i="5"/>
  <c r="O902" i="5"/>
  <c r="N900" i="5"/>
  <c r="N899" i="5"/>
  <c r="N898" i="5"/>
  <c r="P896" i="5"/>
  <c r="B896" i="5"/>
  <c r="A896" i="5"/>
  <c r="B895" i="5"/>
  <c r="R894" i="5"/>
  <c r="N890" i="5"/>
  <c r="N889" i="5"/>
  <c r="N892" i="5" s="1"/>
  <c r="P895" i="5" s="1"/>
  <c r="Q895" i="5" s="1"/>
  <c r="R895" i="5" s="1"/>
  <c r="P887" i="5"/>
  <c r="O892" i="5" s="1"/>
  <c r="B887" i="5"/>
  <c r="A887" i="5"/>
  <c r="B886" i="5"/>
  <c r="R885" i="5"/>
  <c r="O883" i="5"/>
  <c r="N881" i="5"/>
  <c r="H880" i="5"/>
  <c r="N880" i="5" s="1"/>
  <c r="N879" i="5"/>
  <c r="N878" i="5"/>
  <c r="N877" i="5"/>
  <c r="N883" i="5" s="1"/>
  <c r="P886" i="5" s="1"/>
  <c r="Q886" i="5" s="1"/>
  <c r="R886" i="5" s="1"/>
  <c r="P875" i="5"/>
  <c r="A875" i="5"/>
  <c r="B875" i="5" s="1"/>
  <c r="B874" i="5"/>
  <c r="R873" i="5"/>
  <c r="N869" i="5"/>
  <c r="N868" i="5"/>
  <c r="N871" i="5" s="1"/>
  <c r="P874" i="5" s="1"/>
  <c r="Q874" i="5" s="1"/>
  <c r="R874" i="5" s="1"/>
  <c r="P866" i="5"/>
  <c r="O871" i="5" s="1"/>
  <c r="A866" i="5"/>
  <c r="B866" i="5" s="1"/>
  <c r="B865" i="5"/>
  <c r="R864" i="5"/>
  <c r="N861" i="5"/>
  <c r="N860" i="5"/>
  <c r="N859" i="5"/>
  <c r="N858" i="5"/>
  <c r="N857" i="5"/>
  <c r="A855" i="5"/>
  <c r="P855" i="5" s="1"/>
  <c r="O863" i="5" s="1"/>
  <c r="Q854" i="5"/>
  <c r="R854" i="5" s="1"/>
  <c r="B854" i="5"/>
  <c r="R853" i="5"/>
  <c r="O851" i="5"/>
  <c r="N851" i="5"/>
  <c r="P854" i="5" s="1"/>
  <c r="B847" i="5"/>
  <c r="A847" i="5"/>
  <c r="P847" i="5" s="1"/>
  <c r="B846" i="5"/>
  <c r="R845" i="5"/>
  <c r="N840" i="5"/>
  <c r="N837" i="5"/>
  <c r="N843" i="5" s="1"/>
  <c r="P846" i="5" s="1"/>
  <c r="Q846" i="5" s="1"/>
  <c r="R846" i="5" s="1"/>
  <c r="A835" i="5"/>
  <c r="B834" i="5"/>
  <c r="R833" i="5"/>
  <c r="O829" i="5"/>
  <c r="N827" i="5"/>
  <c r="N826" i="5"/>
  <c r="N825" i="5"/>
  <c r="N824" i="5"/>
  <c r="N823" i="5"/>
  <c r="N820" i="5"/>
  <c r="N819" i="5"/>
  <c r="N818" i="5"/>
  <c r="N817" i="5"/>
  <c r="N816" i="5"/>
  <c r="N815" i="5"/>
  <c r="N814" i="5"/>
  <c r="N813" i="5"/>
  <c r="N812" i="5"/>
  <c r="N829" i="5" s="1"/>
  <c r="P834" i="5" s="1"/>
  <c r="Q834" i="5" s="1"/>
  <c r="R834" i="5" s="1"/>
  <c r="P809" i="5"/>
  <c r="B809" i="5"/>
  <c r="A809" i="5"/>
  <c r="B808" i="5"/>
  <c r="R807" i="5"/>
  <c r="N805" i="5"/>
  <c r="P808" i="5" s="1"/>
  <c r="Q808" i="5" s="1"/>
  <c r="R808" i="5" s="1"/>
  <c r="N803" i="5"/>
  <c r="L803" i="5"/>
  <c r="B800" i="5"/>
  <c r="A800" i="5"/>
  <c r="P800" i="5" s="1"/>
  <c r="B799" i="5"/>
  <c r="R798" i="5"/>
  <c r="N794" i="5"/>
  <c r="N793" i="5"/>
  <c r="N792" i="5"/>
  <c r="N791" i="5"/>
  <c r="N796" i="5" s="1"/>
  <c r="P799" i="5" s="1"/>
  <c r="Q799" i="5" s="1"/>
  <c r="R799" i="5" s="1"/>
  <c r="A788" i="5"/>
  <c r="P788" i="5" s="1"/>
  <c r="B787" i="5"/>
  <c r="R786" i="5"/>
  <c r="N781" i="5"/>
  <c r="N780" i="5"/>
  <c r="N779" i="5"/>
  <c r="N778" i="5"/>
  <c r="N777" i="5"/>
  <c r="N776" i="5"/>
  <c r="N775" i="5"/>
  <c r="N774" i="5"/>
  <c r="L773" i="5"/>
  <c r="N773" i="5" s="1"/>
  <c r="N772" i="5"/>
  <c r="N771" i="5"/>
  <c r="A768" i="5"/>
  <c r="B767" i="5"/>
  <c r="R766" i="5"/>
  <c r="N763" i="5"/>
  <c r="N762" i="5"/>
  <c r="N761" i="5"/>
  <c r="N760" i="5"/>
  <c r="N759" i="5"/>
  <c r="N758" i="5"/>
  <c r="N757" i="5"/>
  <c r="N756" i="5"/>
  <c r="L756" i="5"/>
  <c r="N755" i="5"/>
  <c r="N754" i="5"/>
  <c r="A751" i="5"/>
  <c r="B750" i="5"/>
  <c r="R749" i="5"/>
  <c r="A742" i="5"/>
  <c r="R741" i="5"/>
  <c r="B741" i="5"/>
  <c r="R740" i="5"/>
  <c r="O738" i="5"/>
  <c r="N738" i="5"/>
  <c r="P741" i="5" s="1"/>
  <c r="Q741" i="5" s="1"/>
  <c r="P734" i="5"/>
  <c r="B734" i="5"/>
  <c r="A734" i="5"/>
  <c r="P733" i="5"/>
  <c r="Q733" i="5" s="1"/>
  <c r="R733" i="5" s="1"/>
  <c r="B733" i="5"/>
  <c r="R732" i="5"/>
  <c r="O730" i="5"/>
  <c r="N730" i="5"/>
  <c r="P726" i="5"/>
  <c r="B726" i="5"/>
  <c r="A726" i="5"/>
  <c r="P725" i="5"/>
  <c r="Q725" i="5" s="1"/>
  <c r="B725" i="5"/>
  <c r="R724" i="5"/>
  <c r="N722" i="5"/>
  <c r="A718" i="5"/>
  <c r="R717" i="5"/>
  <c r="B717" i="5"/>
  <c r="R716" i="5"/>
  <c r="N714" i="5"/>
  <c r="P717" i="5" s="1"/>
  <c r="Q717" i="5" s="1"/>
  <c r="A710" i="5"/>
  <c r="R709" i="5"/>
  <c r="Q709" i="5"/>
  <c r="P709" i="5"/>
  <c r="B709" i="5"/>
  <c r="R708" i="5"/>
  <c r="N706" i="5"/>
  <c r="P698" i="5"/>
  <c r="O706" i="5" s="1"/>
  <c r="B698" i="5"/>
  <c r="A698" i="5"/>
  <c r="P697" i="5"/>
  <c r="Q697" i="5" s="1"/>
  <c r="R697" i="5" s="1"/>
  <c r="B697" i="5"/>
  <c r="R696" i="5"/>
  <c r="N694" i="5"/>
  <c r="N692" i="5"/>
  <c r="B690" i="5"/>
  <c r="A690" i="5"/>
  <c r="P690" i="5" s="1"/>
  <c r="O694" i="5" s="1"/>
  <c r="P689" i="5"/>
  <c r="Q689" i="5" s="1"/>
  <c r="R689" i="5" s="1"/>
  <c r="B689" i="5"/>
  <c r="R688" i="5"/>
  <c r="N686" i="5"/>
  <c r="N684" i="5"/>
  <c r="A682" i="5"/>
  <c r="R681" i="5"/>
  <c r="B681" i="5"/>
  <c r="R680" i="5"/>
  <c r="O678" i="5"/>
  <c r="N678" i="5"/>
  <c r="P681" i="5" s="1"/>
  <c r="Q681" i="5" s="1"/>
  <c r="P674" i="5"/>
  <c r="B674" i="5"/>
  <c r="A674" i="5"/>
  <c r="B673" i="5"/>
  <c r="R672" i="5"/>
  <c r="O670" i="5"/>
  <c r="N670" i="5"/>
  <c r="P673" i="5" s="1"/>
  <c r="Q673" i="5" s="1"/>
  <c r="R673" i="5" s="1"/>
  <c r="P666" i="5"/>
  <c r="B666" i="5"/>
  <c r="A666" i="5"/>
  <c r="B665" i="5"/>
  <c r="R664" i="5"/>
  <c r="N660" i="5"/>
  <c r="N662" i="5" s="1"/>
  <c r="P665" i="5" s="1"/>
  <c r="Q665" i="5" s="1"/>
  <c r="A658" i="5"/>
  <c r="P658" i="5" s="1"/>
  <c r="O662" i="5" s="1"/>
  <c r="B657" i="5"/>
  <c r="R656" i="5"/>
  <c r="N654" i="5"/>
  <c r="P657" i="5" s="1"/>
  <c r="Q657" i="5" s="1"/>
  <c r="N652" i="5"/>
  <c r="P650" i="5"/>
  <c r="O654" i="5" s="1"/>
  <c r="B650" i="5"/>
  <c r="A650" i="5"/>
  <c r="R649" i="5"/>
  <c r="B649" i="5"/>
  <c r="R648" i="5"/>
  <c r="O646" i="5"/>
  <c r="N646" i="5"/>
  <c r="P649" i="5" s="1"/>
  <c r="Q649" i="5" s="1"/>
  <c r="N644" i="5"/>
  <c r="B642" i="5"/>
  <c r="A642" i="5"/>
  <c r="P642" i="5" s="1"/>
  <c r="R641" i="5"/>
  <c r="Q641" i="5"/>
  <c r="B641" i="5"/>
  <c r="R640" i="5"/>
  <c r="N638" i="5"/>
  <c r="P641" i="5" s="1"/>
  <c r="N636" i="5"/>
  <c r="A634" i="5"/>
  <c r="P633" i="5"/>
  <c r="Q633" i="5" s="1"/>
  <c r="R633" i="5" s="1"/>
  <c r="B633" i="5"/>
  <c r="R632" i="5"/>
  <c r="N628" i="5"/>
  <c r="N630" i="5" s="1"/>
  <c r="P626" i="5"/>
  <c r="O630" i="5" s="1"/>
  <c r="B626" i="5"/>
  <c r="A626" i="5"/>
  <c r="R625" i="5"/>
  <c r="Q625" i="5"/>
  <c r="P625" i="5"/>
  <c r="B625" i="5"/>
  <c r="R624" i="5"/>
  <c r="N622" i="5"/>
  <c r="B618" i="5"/>
  <c r="A618" i="5"/>
  <c r="P618" i="5" s="1"/>
  <c r="O622" i="5" s="1"/>
  <c r="P617" i="5"/>
  <c r="Q617" i="5" s="1"/>
  <c r="B617" i="5"/>
  <c r="R616" i="5"/>
  <c r="N614" i="5"/>
  <c r="N612" i="5"/>
  <c r="A610" i="5"/>
  <c r="B609" i="5"/>
  <c r="R608" i="5"/>
  <c r="R609" i="5" s="1"/>
  <c r="N606" i="5"/>
  <c r="P609" i="5" s="1"/>
  <c r="Q609" i="5" s="1"/>
  <c r="N604" i="5"/>
  <c r="A602" i="5"/>
  <c r="P602" i="5" s="1"/>
  <c r="O606" i="5" s="1"/>
  <c r="R601" i="5"/>
  <c r="Q601" i="5"/>
  <c r="B601" i="5"/>
  <c r="R600" i="5"/>
  <c r="N598" i="5"/>
  <c r="P601" i="5" s="1"/>
  <c r="P594" i="5"/>
  <c r="O598" i="5" s="1"/>
  <c r="B594" i="5"/>
  <c r="A594" i="5"/>
  <c r="B593" i="5"/>
  <c r="R592" i="5"/>
  <c r="N590" i="5"/>
  <c r="P593" i="5" s="1"/>
  <c r="Q593" i="5" s="1"/>
  <c r="R593" i="5" s="1"/>
  <c r="P586" i="5"/>
  <c r="O590" i="5" s="1"/>
  <c r="B586" i="5"/>
  <c r="A586" i="5"/>
  <c r="B585" i="5"/>
  <c r="R584" i="5"/>
  <c r="N582" i="5"/>
  <c r="P585" i="5" s="1"/>
  <c r="Q585" i="5" s="1"/>
  <c r="R585" i="5" s="1"/>
  <c r="N580" i="5"/>
  <c r="B578" i="5"/>
  <c r="A578" i="5"/>
  <c r="P578" i="5" s="1"/>
  <c r="O582" i="5" s="1"/>
  <c r="R577" i="5"/>
  <c r="B577" i="5"/>
  <c r="R576" i="5"/>
  <c r="N574" i="5"/>
  <c r="P577" i="5" s="1"/>
  <c r="Q577" i="5" s="1"/>
  <c r="N572" i="5"/>
  <c r="A570" i="5"/>
  <c r="B569" i="5"/>
  <c r="R568" i="5"/>
  <c r="N566" i="5"/>
  <c r="P569" i="5" s="1"/>
  <c r="Q569" i="5" s="1"/>
  <c r="R569" i="5" s="1"/>
  <c r="P562" i="5"/>
  <c r="O566" i="5" s="1"/>
  <c r="B562" i="5"/>
  <c r="A562" i="5"/>
  <c r="Q561" i="5"/>
  <c r="R561" i="5" s="1"/>
  <c r="P561" i="5"/>
  <c r="B561" i="5"/>
  <c r="R560" i="5"/>
  <c r="N556" i="5"/>
  <c r="N558" i="5" s="1"/>
  <c r="P554" i="5"/>
  <c r="O558" i="5" s="1"/>
  <c r="B554" i="5"/>
  <c r="A554" i="5"/>
  <c r="Q553" i="5"/>
  <c r="R553" i="5" s="1"/>
  <c r="P553" i="5"/>
  <c r="B553" i="5"/>
  <c r="R552" i="5"/>
  <c r="N550" i="5"/>
  <c r="N548" i="5"/>
  <c r="B546" i="5"/>
  <c r="A546" i="5"/>
  <c r="P546" i="5" s="1"/>
  <c r="O550" i="5" s="1"/>
  <c r="P545" i="5"/>
  <c r="Q545" i="5" s="1"/>
  <c r="B545" i="5"/>
  <c r="R544" i="5"/>
  <c r="N542" i="5"/>
  <c r="N540" i="5"/>
  <c r="A538" i="5"/>
  <c r="B537" i="5"/>
  <c r="R536" i="5"/>
  <c r="O534" i="5"/>
  <c r="N534" i="5"/>
  <c r="P537" i="5" s="1"/>
  <c r="Q537" i="5" s="1"/>
  <c r="R537" i="5" s="1"/>
  <c r="N532" i="5"/>
  <c r="A530" i="5"/>
  <c r="P530" i="5" s="1"/>
  <c r="Q529" i="5"/>
  <c r="R529" i="5" s="1"/>
  <c r="B529" i="5"/>
  <c r="R528" i="5"/>
  <c r="N526" i="5"/>
  <c r="P529" i="5" s="1"/>
  <c r="P522" i="5"/>
  <c r="O526" i="5" s="1"/>
  <c r="B522" i="5"/>
  <c r="A522" i="5"/>
  <c r="B521" i="5"/>
  <c r="R520" i="5"/>
  <c r="N516" i="5"/>
  <c r="N518" i="5" s="1"/>
  <c r="P521" i="5" s="1"/>
  <c r="Q521" i="5" s="1"/>
  <c r="R521" i="5" s="1"/>
  <c r="P514" i="5"/>
  <c r="O518" i="5" s="1"/>
  <c r="B514" i="5"/>
  <c r="A514" i="5"/>
  <c r="P513" i="5"/>
  <c r="Q513" i="5" s="1"/>
  <c r="B513" i="5"/>
  <c r="R512" i="5"/>
  <c r="N510" i="5"/>
  <c r="A506" i="5"/>
  <c r="P506" i="5" s="1"/>
  <c r="O510" i="5" s="1"/>
  <c r="Q505" i="5"/>
  <c r="R505" i="5" s="1"/>
  <c r="B505" i="5"/>
  <c r="R504" i="5"/>
  <c r="N502" i="5"/>
  <c r="P505" i="5" s="1"/>
  <c r="A498" i="5"/>
  <c r="Q497" i="5"/>
  <c r="R497" i="5" s="1"/>
  <c r="B497" i="5"/>
  <c r="R496" i="5"/>
  <c r="N492" i="5"/>
  <c r="N494" i="5" s="1"/>
  <c r="P497" i="5" s="1"/>
  <c r="P490" i="5"/>
  <c r="O494" i="5" s="1"/>
  <c r="B490" i="5"/>
  <c r="A490" i="5"/>
  <c r="Q489" i="5"/>
  <c r="R489" i="5" s="1"/>
  <c r="P489" i="5"/>
  <c r="B489" i="5"/>
  <c r="R488" i="5"/>
  <c r="N486" i="5"/>
  <c r="A482" i="5"/>
  <c r="P481" i="5"/>
  <c r="Q481" i="5" s="1"/>
  <c r="R481" i="5" s="1"/>
  <c r="B481" i="5"/>
  <c r="R480" i="5"/>
  <c r="N478" i="5"/>
  <c r="N476" i="5"/>
  <c r="B474" i="5"/>
  <c r="A474" i="5"/>
  <c r="P474" i="5" s="1"/>
  <c r="O478" i="5" s="1"/>
  <c r="B473" i="5"/>
  <c r="R472" i="5"/>
  <c r="N470" i="5"/>
  <c r="P473" i="5" s="1"/>
  <c r="Q473" i="5" s="1"/>
  <c r="R473" i="5" s="1"/>
  <c r="N468" i="5"/>
  <c r="A466" i="5"/>
  <c r="Q465" i="5"/>
  <c r="R465" i="5" s="1"/>
  <c r="B465" i="5"/>
  <c r="R464" i="5"/>
  <c r="N462" i="5"/>
  <c r="P465" i="5" s="1"/>
  <c r="P454" i="5"/>
  <c r="O462" i="5" s="1"/>
  <c r="B454" i="5"/>
  <c r="A454" i="5"/>
  <c r="Q453" i="5"/>
  <c r="R453" i="5" s="1"/>
  <c r="P453" i="5"/>
  <c r="B453" i="5"/>
  <c r="R452" i="5"/>
  <c r="N450" i="5"/>
  <c r="N448" i="5"/>
  <c r="P446" i="5"/>
  <c r="O450" i="5" s="1"/>
  <c r="B446" i="5"/>
  <c r="A446" i="5"/>
  <c r="P445" i="5"/>
  <c r="Q445" i="5" s="1"/>
  <c r="B445" i="5"/>
  <c r="R444" i="5"/>
  <c r="N440" i="5"/>
  <c r="N442" i="5" s="1"/>
  <c r="P438" i="5"/>
  <c r="O442" i="5" s="1"/>
  <c r="B438" i="5"/>
  <c r="A438" i="5"/>
  <c r="B437" i="5"/>
  <c r="R436" i="5"/>
  <c r="R437" i="5" s="1"/>
  <c r="N434" i="5"/>
  <c r="P437" i="5" s="1"/>
  <c r="Q437" i="5" s="1"/>
  <c r="B430" i="5"/>
  <c r="A430" i="5"/>
  <c r="P430" i="5" s="1"/>
  <c r="O434" i="5" s="1"/>
  <c r="R429" i="5"/>
  <c r="Q429" i="5"/>
  <c r="P429" i="5"/>
  <c r="B429" i="5"/>
  <c r="R428" i="5"/>
  <c r="N426" i="5"/>
  <c r="P422" i="5"/>
  <c r="O426" i="5" s="1"/>
  <c r="B422" i="5"/>
  <c r="A422" i="5"/>
  <c r="P421" i="5"/>
  <c r="Q421" i="5" s="1"/>
  <c r="R421" i="5" s="1"/>
  <c r="B421" i="5"/>
  <c r="R420" i="5"/>
  <c r="N418" i="5"/>
  <c r="B414" i="5"/>
  <c r="A414" i="5"/>
  <c r="P414" i="5" s="1"/>
  <c r="O418" i="5" s="1"/>
  <c r="P413" i="5"/>
  <c r="Q413" i="5" s="1"/>
  <c r="R413" i="5" s="1"/>
  <c r="B413" i="5"/>
  <c r="R412" i="5"/>
  <c r="N410" i="5"/>
  <c r="A405" i="5"/>
  <c r="R404" i="5"/>
  <c r="Q404" i="5"/>
  <c r="B404" i="5"/>
  <c r="R403" i="5"/>
  <c r="N401" i="5"/>
  <c r="P404" i="5" s="1"/>
  <c r="P396" i="5"/>
  <c r="O401" i="5" s="1"/>
  <c r="B396" i="5"/>
  <c r="A396" i="5"/>
  <c r="Q395" i="5"/>
  <c r="R395" i="5" s="1"/>
  <c r="P395" i="5"/>
  <c r="B395" i="5"/>
  <c r="R394" i="5"/>
  <c r="N392" i="5"/>
  <c r="A388" i="5"/>
  <c r="P388" i="5" s="1"/>
  <c r="O392" i="5" s="1"/>
  <c r="B387" i="5"/>
  <c r="R386" i="5"/>
  <c r="N384" i="5"/>
  <c r="P387" i="5" s="1"/>
  <c r="Q387" i="5" s="1"/>
  <c r="R387" i="5" s="1"/>
  <c r="A380" i="5"/>
  <c r="B379" i="5"/>
  <c r="R378" i="5"/>
  <c r="N376" i="5"/>
  <c r="P379" i="5" s="1"/>
  <c r="Q379" i="5" s="1"/>
  <c r="R379" i="5" s="1"/>
  <c r="P372" i="5"/>
  <c r="O376" i="5" s="1"/>
  <c r="B372" i="5"/>
  <c r="A372" i="5"/>
  <c r="Q371" i="5"/>
  <c r="R371" i="5" s="1"/>
  <c r="P371" i="5"/>
  <c r="B371" i="5"/>
  <c r="R370" i="5"/>
  <c r="N366" i="5"/>
  <c r="N368" i="5" s="1"/>
  <c r="P364" i="5"/>
  <c r="O368" i="5" s="1"/>
  <c r="B364" i="5"/>
  <c r="A364" i="5"/>
  <c r="Q363" i="5"/>
  <c r="P363" i="5"/>
  <c r="B363" i="5"/>
  <c r="R362" i="5"/>
  <c r="O360" i="5"/>
  <c r="N360" i="5"/>
  <c r="B356" i="5"/>
  <c r="A356" i="5"/>
  <c r="P356" i="5" s="1"/>
  <c r="B355" i="5"/>
  <c r="R354" i="5"/>
  <c r="N352" i="5"/>
  <c r="P355" i="5" s="1"/>
  <c r="Q355" i="5" s="1"/>
  <c r="R355" i="5" s="1"/>
  <c r="N350" i="5"/>
  <c r="A348" i="5"/>
  <c r="Q347" i="5"/>
  <c r="R347" i="5" s="1"/>
  <c r="B347" i="5"/>
  <c r="R346" i="5"/>
  <c r="N342" i="5"/>
  <c r="N344" i="5" s="1"/>
  <c r="P340" i="5"/>
  <c r="O344" i="5" s="1"/>
  <c r="B340" i="5"/>
  <c r="A340" i="5"/>
  <c r="Q339" i="5"/>
  <c r="B339" i="5"/>
  <c r="R338" i="5"/>
  <c r="N334" i="5"/>
  <c r="N336" i="5" s="1"/>
  <c r="P332" i="5"/>
  <c r="O336" i="5" s="1"/>
  <c r="B332" i="5"/>
  <c r="A332" i="5"/>
  <c r="Q331" i="5"/>
  <c r="B331" i="5"/>
  <c r="R330" i="5"/>
  <c r="R331" i="5" s="1"/>
  <c r="N328" i="5"/>
  <c r="N326" i="5"/>
  <c r="A324" i="5"/>
  <c r="B323" i="5"/>
  <c r="R322" i="5"/>
  <c r="N320" i="5"/>
  <c r="P323" i="5" s="1"/>
  <c r="Q323" i="5" s="1"/>
  <c r="R323" i="5" s="1"/>
  <c r="P316" i="5"/>
  <c r="O320" i="5" s="1"/>
  <c r="B316" i="5"/>
  <c r="A316" i="5"/>
  <c r="Q315" i="5"/>
  <c r="R315" i="5" s="1"/>
  <c r="P315" i="5"/>
  <c r="B315" i="5"/>
  <c r="R314" i="5"/>
  <c r="N312" i="5"/>
  <c r="A308" i="5"/>
  <c r="B307" i="5"/>
  <c r="R306" i="5"/>
  <c r="N304" i="5"/>
  <c r="P307" i="5" s="1"/>
  <c r="Q307" i="5" s="1"/>
  <c r="R307" i="5" s="1"/>
  <c r="A300" i="5"/>
  <c r="B299" i="5"/>
  <c r="R298" i="5"/>
  <c r="N296" i="5"/>
  <c r="P299" i="5" s="1"/>
  <c r="Q299" i="5" s="1"/>
  <c r="R299" i="5" s="1"/>
  <c r="N294" i="5"/>
  <c r="P292" i="5"/>
  <c r="O296" i="5" s="1"/>
  <c r="B292" i="5"/>
  <c r="A292" i="5"/>
  <c r="R291" i="5"/>
  <c r="Q291" i="5"/>
  <c r="P291" i="5"/>
  <c r="B291" i="5"/>
  <c r="R290" i="5"/>
  <c r="N288" i="5"/>
  <c r="P284" i="5"/>
  <c r="O288" i="5" s="1"/>
  <c r="A284" i="5"/>
  <c r="B284" i="5" s="1"/>
  <c r="R283" i="5"/>
  <c r="P283" i="5"/>
  <c r="Q283" i="5" s="1"/>
  <c r="B283" i="5"/>
  <c r="R282" i="5"/>
  <c r="N280" i="5"/>
  <c r="A276" i="5"/>
  <c r="P276" i="5" s="1"/>
  <c r="O280" i="5" s="1"/>
  <c r="B275" i="5"/>
  <c r="R274" i="5"/>
  <c r="N272" i="5"/>
  <c r="P275" i="5" s="1"/>
  <c r="Q275" i="5" s="1"/>
  <c r="R275" i="5" s="1"/>
  <c r="A264" i="5"/>
  <c r="B263" i="5"/>
  <c r="R262" i="5"/>
  <c r="N260" i="5"/>
  <c r="P263" i="5" s="1"/>
  <c r="Q263" i="5" s="1"/>
  <c r="R263" i="5" s="1"/>
  <c r="P256" i="5"/>
  <c r="O260" i="5" s="1"/>
  <c r="B256" i="5"/>
  <c r="A256" i="5"/>
  <c r="P255" i="5"/>
  <c r="Q255" i="5" s="1"/>
  <c r="R255" i="5" s="1"/>
  <c r="B255" i="5"/>
  <c r="R254" i="5"/>
  <c r="N252" i="5"/>
  <c r="B248" i="5"/>
  <c r="A248" i="5"/>
  <c r="P248" i="5" s="1"/>
  <c r="O252" i="5" s="1"/>
  <c r="R247" i="5"/>
  <c r="B247" i="5"/>
  <c r="R246" i="5"/>
  <c r="N244" i="5"/>
  <c r="P247" i="5" s="1"/>
  <c r="Q247" i="5" s="1"/>
  <c r="P240" i="5"/>
  <c r="O244" i="5" s="1"/>
  <c r="B240" i="5"/>
  <c r="A240" i="5"/>
  <c r="B239" i="5"/>
  <c r="R238" i="5"/>
  <c r="N236" i="5"/>
  <c r="P239" i="5" s="1"/>
  <c r="Q239" i="5" s="1"/>
  <c r="R239" i="5" s="1"/>
  <c r="A232" i="5"/>
  <c r="R231" i="5"/>
  <c r="P231" i="5"/>
  <c r="Q231" i="5" s="1"/>
  <c r="B231" i="5"/>
  <c r="R230" i="5"/>
  <c r="N228" i="5"/>
  <c r="B224" i="5"/>
  <c r="A224" i="5"/>
  <c r="P224" i="5" s="1"/>
  <c r="O228" i="5" s="1"/>
  <c r="Q223" i="5"/>
  <c r="R223" i="5" s="1"/>
  <c r="P223" i="5"/>
  <c r="B223" i="5"/>
  <c r="R222" i="5"/>
  <c r="N220" i="5"/>
  <c r="A216" i="5"/>
  <c r="P215" i="5"/>
  <c r="Q215" i="5" s="1"/>
  <c r="R215" i="5" s="1"/>
  <c r="B215" i="5"/>
  <c r="R214" i="5"/>
  <c r="N212" i="5"/>
  <c r="P208" i="5"/>
  <c r="O212" i="5" s="1"/>
  <c r="B208" i="5"/>
  <c r="A208" i="5"/>
  <c r="B207" i="5"/>
  <c r="R206" i="5"/>
  <c r="O204" i="5"/>
  <c r="N204" i="5"/>
  <c r="P207" i="5" s="1"/>
  <c r="Q207" i="5" s="1"/>
  <c r="R207" i="5" s="1"/>
  <c r="A200" i="5"/>
  <c r="P200" i="5" s="1"/>
  <c r="B199" i="5"/>
  <c r="R198" i="5"/>
  <c r="R199" i="5" s="1"/>
  <c r="O196" i="5"/>
  <c r="N196" i="5"/>
  <c r="P199" i="5" s="1"/>
  <c r="Q199" i="5" s="1"/>
  <c r="P192" i="5"/>
  <c r="B192" i="5"/>
  <c r="A192" i="5"/>
  <c r="Q191" i="5"/>
  <c r="R191" i="5" s="1"/>
  <c r="B191" i="5"/>
  <c r="R190" i="5"/>
  <c r="O188" i="5"/>
  <c r="N188" i="5"/>
  <c r="P191" i="5" s="1"/>
  <c r="P184" i="5"/>
  <c r="B184" i="5"/>
  <c r="A184" i="5"/>
  <c r="P183" i="5"/>
  <c r="Q183" i="5" s="1"/>
  <c r="B183" i="5"/>
  <c r="R182" i="5"/>
  <c r="O180" i="5"/>
  <c r="N180" i="5"/>
  <c r="A176" i="5"/>
  <c r="B175" i="5"/>
  <c r="R174" i="5"/>
  <c r="O172" i="5"/>
  <c r="N172" i="5"/>
  <c r="P175" i="5" s="1"/>
  <c r="Q175" i="5" s="1"/>
  <c r="R175" i="5" s="1"/>
  <c r="A168" i="5"/>
  <c r="Q167" i="5"/>
  <c r="R167" i="5" s="1"/>
  <c r="P167" i="5"/>
  <c r="B167" i="5"/>
  <c r="R166" i="5"/>
  <c r="N163" i="5"/>
  <c r="A159" i="5"/>
  <c r="P159" i="5" s="1"/>
  <c r="B158" i="5"/>
  <c r="R157" i="5"/>
  <c r="N153" i="5"/>
  <c r="N155" i="5" s="1"/>
  <c r="P158" i="5" s="1"/>
  <c r="Q158" i="5" s="1"/>
  <c r="R158" i="5" s="1"/>
  <c r="A148" i="5"/>
  <c r="B147" i="5"/>
  <c r="R146" i="5"/>
  <c r="N142" i="5"/>
  <c r="N144" i="5" s="1"/>
  <c r="P147" i="5" s="1"/>
  <c r="Q147" i="5" s="1"/>
  <c r="R147" i="5" s="1"/>
  <c r="P140" i="5"/>
  <c r="O144" i="5" s="1"/>
  <c r="B140" i="5"/>
  <c r="A140" i="5"/>
  <c r="Q139" i="5"/>
  <c r="R139" i="5" s="1"/>
  <c r="B139" i="5"/>
  <c r="R138" i="5"/>
  <c r="N134" i="5"/>
  <c r="N136" i="5" s="1"/>
  <c r="P139" i="5" s="1"/>
  <c r="P132" i="5"/>
  <c r="O136" i="5" s="1"/>
  <c r="A132" i="5"/>
  <c r="B132" i="5" s="1"/>
  <c r="Q131" i="5"/>
  <c r="R131" i="5" s="1"/>
  <c r="P131" i="5"/>
  <c r="B131" i="5"/>
  <c r="R130" i="5"/>
  <c r="N128" i="5"/>
  <c r="N126" i="5"/>
  <c r="A124" i="5"/>
  <c r="P124" i="5" s="1"/>
  <c r="O128" i="5" s="1"/>
  <c r="B123" i="5"/>
  <c r="R122" i="5"/>
  <c r="N118" i="5"/>
  <c r="N120" i="5" s="1"/>
  <c r="P123" i="5" s="1"/>
  <c r="Q123" i="5" s="1"/>
  <c r="R123" i="5" s="1"/>
  <c r="P116" i="5"/>
  <c r="O120" i="5" s="1"/>
  <c r="B116" i="5"/>
  <c r="A116" i="5"/>
  <c r="B115" i="5"/>
  <c r="R114" i="5"/>
  <c r="N112" i="5"/>
  <c r="P115" i="5" s="1"/>
  <c r="Q115" i="5" s="1"/>
  <c r="R115" i="5" s="1"/>
  <c r="N110" i="5"/>
  <c r="A108" i="5"/>
  <c r="B107" i="5"/>
  <c r="R106" i="5"/>
  <c r="N104" i="5"/>
  <c r="P107" i="5" s="1"/>
  <c r="Q107" i="5" s="1"/>
  <c r="R107" i="5" s="1"/>
  <c r="N102" i="5"/>
  <c r="A100" i="5"/>
  <c r="P100" i="5" s="1"/>
  <c r="O104" i="5" s="1"/>
  <c r="Q99" i="5"/>
  <c r="R99" i="5" s="1"/>
  <c r="B99" i="5"/>
  <c r="R98" i="5"/>
  <c r="N94" i="5"/>
  <c r="N96" i="5" s="1"/>
  <c r="P99" i="5" s="1"/>
  <c r="P92" i="5"/>
  <c r="O96" i="5" s="1"/>
  <c r="A92" i="5"/>
  <c r="B92" i="5" s="1"/>
  <c r="Q91" i="5"/>
  <c r="R91" i="5" s="1"/>
  <c r="P91" i="5"/>
  <c r="B91" i="5"/>
  <c r="R90" i="5"/>
  <c r="N88" i="5"/>
  <c r="N86" i="5"/>
  <c r="P84" i="5"/>
  <c r="O88" i="5" s="1"/>
  <c r="B84" i="5"/>
  <c r="A84" i="5"/>
  <c r="B83" i="5"/>
  <c r="R82" i="5"/>
  <c r="O80" i="5"/>
  <c r="N78" i="5"/>
  <c r="N80" i="5" s="1"/>
  <c r="P83" i="5" s="1"/>
  <c r="Q83" i="5" s="1"/>
  <c r="R83" i="5" s="1"/>
  <c r="P76" i="5"/>
  <c r="B76" i="5"/>
  <c r="A76" i="5"/>
  <c r="B75" i="5"/>
  <c r="R74" i="5"/>
  <c r="N72" i="5"/>
  <c r="P75" i="5" s="1"/>
  <c r="Q75" i="5" s="1"/>
  <c r="R75" i="5" s="1"/>
  <c r="N70" i="5"/>
  <c r="P68" i="5"/>
  <c r="O72" i="5" s="1"/>
  <c r="B68" i="5"/>
  <c r="A68" i="5"/>
  <c r="B67" i="5"/>
  <c r="R66" i="5"/>
  <c r="N64" i="5"/>
  <c r="P67" i="5" s="1"/>
  <c r="Q67" i="5" s="1"/>
  <c r="R67" i="5" s="1"/>
  <c r="A59" i="5"/>
  <c r="B59" i="5" s="1"/>
  <c r="Q58" i="5"/>
  <c r="R58" i="5" s="1"/>
  <c r="P58" i="5"/>
  <c r="B58" i="5"/>
  <c r="R57" i="5"/>
  <c r="N55" i="5"/>
  <c r="N52" i="5"/>
  <c r="P50" i="5"/>
  <c r="O55" i="5" s="1"/>
  <c r="B50" i="5"/>
  <c r="A50" i="5"/>
  <c r="P49" i="5"/>
  <c r="Q49" i="5" s="1"/>
  <c r="R49" i="5" s="1"/>
  <c r="B49" i="5"/>
  <c r="R48" i="5"/>
  <c r="N46" i="5"/>
  <c r="A42" i="5"/>
  <c r="P41" i="5"/>
  <c r="Q41" i="5" s="1"/>
  <c r="R41" i="5" s="1"/>
  <c r="B41" i="5"/>
  <c r="R40" i="5"/>
  <c r="O38" i="5"/>
  <c r="N38" i="5"/>
  <c r="P34" i="5"/>
  <c r="B34" i="5"/>
  <c r="A34" i="5"/>
  <c r="P33" i="5"/>
  <c r="Q33" i="5" s="1"/>
  <c r="R33" i="5" s="1"/>
  <c r="B33" i="5"/>
  <c r="R32" i="5"/>
  <c r="N30" i="5"/>
  <c r="P26" i="5"/>
  <c r="O30" i="5" s="1"/>
  <c r="A26" i="5"/>
  <c r="B26" i="5" s="1"/>
  <c r="B25" i="5"/>
  <c r="R24" i="5"/>
  <c r="N22" i="5"/>
  <c r="P25" i="5" s="1"/>
  <c r="Q25" i="5" s="1"/>
  <c r="R25" i="5" s="1"/>
  <c r="A18" i="5"/>
  <c r="P18" i="5" s="1"/>
  <c r="O22" i="5" s="1"/>
  <c r="P17" i="5"/>
  <c r="Q17" i="5" s="1"/>
  <c r="R17" i="5" s="1"/>
  <c r="B17" i="5"/>
  <c r="R16" i="5"/>
  <c r="N14" i="5"/>
  <c r="B10" i="5"/>
  <c r="A10" i="5"/>
  <c r="P10" i="5" s="1"/>
  <c r="O14" i="5" s="1"/>
  <c r="R7" i="5"/>
  <c r="Q7" i="5"/>
  <c r="A7" i="5"/>
  <c r="A5" i="5"/>
  <c r="C56" i="4"/>
  <c r="D50" i="4"/>
  <c r="AJ48" i="4"/>
  <c r="D48" i="4"/>
  <c r="B34" i="4"/>
  <c r="B32" i="4"/>
  <c r="B30" i="4"/>
  <c r="B28" i="4"/>
  <c r="B26" i="4"/>
  <c r="B24" i="4"/>
  <c r="B22" i="4"/>
  <c r="B20" i="4"/>
  <c r="B18" i="4"/>
  <c r="B16" i="4"/>
  <c r="C8" i="4"/>
  <c r="B8" i="16" s="1"/>
  <c r="C7" i="4"/>
  <c r="B7" i="16" s="1"/>
  <c r="C6" i="4"/>
  <c r="B536" i="3"/>
  <c r="B535" i="3"/>
  <c r="B534" i="3"/>
  <c r="I532" i="3"/>
  <c r="H532" i="3"/>
  <c r="J532" i="3" s="1"/>
  <c r="K532" i="3" s="1"/>
  <c r="K531" i="3" s="1"/>
  <c r="F532" i="3"/>
  <c r="E532" i="3"/>
  <c r="F531" i="3"/>
  <c r="I530" i="3"/>
  <c r="H530" i="3"/>
  <c r="J530" i="3" s="1"/>
  <c r="K530" i="3" s="1"/>
  <c r="K529" i="3" s="1"/>
  <c r="F530" i="3"/>
  <c r="E530" i="3"/>
  <c r="H529" i="3"/>
  <c r="F529" i="3"/>
  <c r="K528" i="3"/>
  <c r="J528" i="3"/>
  <c r="I528" i="3"/>
  <c r="H528" i="3"/>
  <c r="F528" i="3"/>
  <c r="E528" i="3"/>
  <c r="K527" i="3"/>
  <c r="I527" i="3"/>
  <c r="H527" i="3"/>
  <c r="J527" i="3" s="1"/>
  <c r="F527" i="3"/>
  <c r="E527" i="3"/>
  <c r="K526" i="3"/>
  <c r="J526" i="3"/>
  <c r="I526" i="3"/>
  <c r="H526" i="3"/>
  <c r="F526" i="3"/>
  <c r="E526" i="3"/>
  <c r="I525" i="3"/>
  <c r="H525" i="3"/>
  <c r="J525" i="3" s="1"/>
  <c r="K525" i="3" s="1"/>
  <c r="K524" i="3" s="1"/>
  <c r="F525" i="3"/>
  <c r="E525" i="3"/>
  <c r="H524" i="3"/>
  <c r="F524" i="3"/>
  <c r="I523" i="3"/>
  <c r="H523" i="3"/>
  <c r="J523" i="3" s="1"/>
  <c r="K523" i="3" s="1"/>
  <c r="F523" i="3"/>
  <c r="E523" i="3"/>
  <c r="I522" i="3"/>
  <c r="H522" i="3"/>
  <c r="J522" i="3" s="1"/>
  <c r="K522" i="3" s="1"/>
  <c r="F522" i="3"/>
  <c r="E522" i="3"/>
  <c r="I521" i="3"/>
  <c r="H521" i="3"/>
  <c r="J521" i="3" s="1"/>
  <c r="K521" i="3" s="1"/>
  <c r="F521" i="3"/>
  <c r="E521" i="3"/>
  <c r="I520" i="3"/>
  <c r="H520" i="3"/>
  <c r="F520" i="3"/>
  <c r="E520" i="3"/>
  <c r="I519" i="3"/>
  <c r="H519" i="3"/>
  <c r="J519" i="3" s="1"/>
  <c r="K519" i="3" s="1"/>
  <c r="F519" i="3"/>
  <c r="E519" i="3"/>
  <c r="H518" i="3"/>
  <c r="F518" i="3"/>
  <c r="I517" i="3"/>
  <c r="J517" i="3" s="1"/>
  <c r="K517" i="3" s="1"/>
  <c r="H517" i="3"/>
  <c r="F517" i="3"/>
  <c r="E517" i="3"/>
  <c r="K516" i="3"/>
  <c r="I516" i="3"/>
  <c r="H516" i="3"/>
  <c r="J516" i="3" s="1"/>
  <c r="F516" i="3"/>
  <c r="E516" i="3"/>
  <c r="I515" i="3"/>
  <c r="J515" i="3" s="1"/>
  <c r="K515" i="3" s="1"/>
  <c r="H515" i="3"/>
  <c r="F515" i="3"/>
  <c r="E515" i="3"/>
  <c r="I514" i="3"/>
  <c r="H514" i="3"/>
  <c r="J514" i="3" s="1"/>
  <c r="K514" i="3" s="1"/>
  <c r="F514" i="3"/>
  <c r="E514" i="3"/>
  <c r="I513" i="3"/>
  <c r="J513" i="3" s="1"/>
  <c r="K513" i="3" s="1"/>
  <c r="H513" i="3"/>
  <c r="F513" i="3"/>
  <c r="E513" i="3"/>
  <c r="H512" i="3"/>
  <c r="I511" i="3"/>
  <c r="H511" i="3"/>
  <c r="J511" i="3" s="1"/>
  <c r="K511" i="3" s="1"/>
  <c r="F511" i="3"/>
  <c r="E511" i="3"/>
  <c r="I510" i="3"/>
  <c r="H510" i="3"/>
  <c r="J510" i="3" s="1"/>
  <c r="K510" i="3" s="1"/>
  <c r="F510" i="3"/>
  <c r="E510" i="3"/>
  <c r="J509" i="3"/>
  <c r="K509" i="3" s="1"/>
  <c r="I509" i="3"/>
  <c r="H509" i="3"/>
  <c r="F509" i="3"/>
  <c r="E509" i="3"/>
  <c r="I508" i="3"/>
  <c r="H508" i="3"/>
  <c r="J508" i="3" s="1"/>
  <c r="K508" i="3" s="1"/>
  <c r="F508" i="3"/>
  <c r="E508" i="3"/>
  <c r="I507" i="3"/>
  <c r="H507" i="3"/>
  <c r="J507" i="3" s="1"/>
  <c r="K507" i="3" s="1"/>
  <c r="K506" i="3" s="1"/>
  <c r="F507" i="3"/>
  <c r="E507" i="3"/>
  <c r="H506" i="3"/>
  <c r="F506" i="3"/>
  <c r="J505" i="3"/>
  <c r="K505" i="3" s="1"/>
  <c r="K504" i="3" s="1"/>
  <c r="I505" i="3"/>
  <c r="H505" i="3"/>
  <c r="F505" i="3"/>
  <c r="E505" i="3"/>
  <c r="H504" i="3"/>
  <c r="F504" i="3"/>
  <c r="I503" i="3"/>
  <c r="H503" i="3"/>
  <c r="J503" i="3" s="1"/>
  <c r="K503" i="3" s="1"/>
  <c r="F503" i="3"/>
  <c r="E503" i="3"/>
  <c r="I502" i="3"/>
  <c r="J502" i="3" s="1"/>
  <c r="K502" i="3" s="1"/>
  <c r="H502" i="3"/>
  <c r="F502" i="3"/>
  <c r="E502" i="3"/>
  <c r="I501" i="3"/>
  <c r="H501" i="3"/>
  <c r="J501" i="3" s="1"/>
  <c r="K501" i="3" s="1"/>
  <c r="F501" i="3"/>
  <c r="E501" i="3"/>
  <c r="I500" i="3"/>
  <c r="H500" i="3"/>
  <c r="J500" i="3" s="1"/>
  <c r="K500" i="3" s="1"/>
  <c r="F500" i="3"/>
  <c r="E500" i="3"/>
  <c r="I499" i="3"/>
  <c r="H499" i="3"/>
  <c r="J499" i="3" s="1"/>
  <c r="K499" i="3" s="1"/>
  <c r="F499" i="3"/>
  <c r="E499" i="3"/>
  <c r="I498" i="3"/>
  <c r="H498" i="3"/>
  <c r="J498" i="3" s="1"/>
  <c r="K498" i="3" s="1"/>
  <c r="F498" i="3"/>
  <c r="E498" i="3"/>
  <c r="I497" i="3"/>
  <c r="H497" i="3"/>
  <c r="J497" i="3" s="1"/>
  <c r="K497" i="3" s="1"/>
  <c r="F497" i="3"/>
  <c r="E497" i="3"/>
  <c r="H496" i="3"/>
  <c r="F496" i="3"/>
  <c r="K495" i="3"/>
  <c r="J495" i="3"/>
  <c r="I495" i="3"/>
  <c r="H495" i="3"/>
  <c r="F495" i="3"/>
  <c r="E495" i="3"/>
  <c r="J494" i="3"/>
  <c r="K494" i="3" s="1"/>
  <c r="K493" i="3" s="1"/>
  <c r="I494" i="3"/>
  <c r="H494" i="3"/>
  <c r="F494" i="3"/>
  <c r="E494" i="3"/>
  <c r="H493" i="3"/>
  <c r="F493" i="3"/>
  <c r="I492" i="3"/>
  <c r="H492" i="3"/>
  <c r="J492" i="3" s="1"/>
  <c r="K492" i="3" s="1"/>
  <c r="F492" i="3"/>
  <c r="E492" i="3"/>
  <c r="I491" i="3"/>
  <c r="H491" i="3"/>
  <c r="J491" i="3" s="1"/>
  <c r="K491" i="3" s="1"/>
  <c r="F491" i="3"/>
  <c r="E491" i="3"/>
  <c r="I490" i="3"/>
  <c r="H490" i="3"/>
  <c r="J490" i="3" s="1"/>
  <c r="K490" i="3" s="1"/>
  <c r="F490" i="3"/>
  <c r="E490" i="3"/>
  <c r="I489" i="3"/>
  <c r="J489" i="3" s="1"/>
  <c r="K489" i="3" s="1"/>
  <c r="H489" i="3"/>
  <c r="F489" i="3"/>
  <c r="E489" i="3"/>
  <c r="I488" i="3"/>
  <c r="H488" i="3"/>
  <c r="J488" i="3" s="1"/>
  <c r="K488" i="3" s="1"/>
  <c r="F488" i="3"/>
  <c r="E488" i="3"/>
  <c r="I487" i="3"/>
  <c r="H487" i="3"/>
  <c r="J487" i="3" s="1"/>
  <c r="K487" i="3" s="1"/>
  <c r="F487" i="3"/>
  <c r="E487" i="3"/>
  <c r="I486" i="3"/>
  <c r="H486" i="3"/>
  <c r="J486" i="3" s="1"/>
  <c r="K486" i="3" s="1"/>
  <c r="F486" i="3"/>
  <c r="E486" i="3"/>
  <c r="I485" i="3"/>
  <c r="J485" i="3" s="1"/>
  <c r="K485" i="3" s="1"/>
  <c r="H485" i="3"/>
  <c r="F485" i="3"/>
  <c r="E485" i="3"/>
  <c r="I484" i="3"/>
  <c r="H484" i="3"/>
  <c r="J484" i="3" s="1"/>
  <c r="K484" i="3" s="1"/>
  <c r="F484" i="3"/>
  <c r="E484" i="3"/>
  <c r="I483" i="3"/>
  <c r="H483" i="3"/>
  <c r="J483" i="3" s="1"/>
  <c r="K483" i="3" s="1"/>
  <c r="F483" i="3"/>
  <c r="E483" i="3"/>
  <c r="I482" i="3"/>
  <c r="H482" i="3"/>
  <c r="J482" i="3" s="1"/>
  <c r="K482" i="3" s="1"/>
  <c r="F482" i="3"/>
  <c r="E482" i="3"/>
  <c r="I481" i="3"/>
  <c r="J481" i="3" s="1"/>
  <c r="K481" i="3" s="1"/>
  <c r="H481" i="3"/>
  <c r="F481" i="3"/>
  <c r="E481" i="3"/>
  <c r="I480" i="3"/>
  <c r="H480" i="3"/>
  <c r="J480" i="3" s="1"/>
  <c r="K480" i="3" s="1"/>
  <c r="F480" i="3"/>
  <c r="E480" i="3"/>
  <c r="H479" i="3"/>
  <c r="F479" i="3"/>
  <c r="K478" i="3"/>
  <c r="J478" i="3"/>
  <c r="I478" i="3"/>
  <c r="H478" i="3"/>
  <c r="F478" i="3"/>
  <c r="E478" i="3"/>
  <c r="J477" i="3"/>
  <c r="K477" i="3" s="1"/>
  <c r="I477" i="3"/>
  <c r="H477" i="3"/>
  <c r="F477" i="3"/>
  <c r="E477" i="3"/>
  <c r="J476" i="3"/>
  <c r="K476" i="3" s="1"/>
  <c r="I476" i="3"/>
  <c r="H476" i="3"/>
  <c r="F476" i="3"/>
  <c r="E476" i="3"/>
  <c r="J475" i="3"/>
  <c r="K475" i="3" s="1"/>
  <c r="I475" i="3"/>
  <c r="H475" i="3"/>
  <c r="F475" i="3"/>
  <c r="E475" i="3"/>
  <c r="K474" i="3"/>
  <c r="J474" i="3"/>
  <c r="I474" i="3"/>
  <c r="H474" i="3"/>
  <c r="F474" i="3"/>
  <c r="E474" i="3"/>
  <c r="J473" i="3"/>
  <c r="K473" i="3" s="1"/>
  <c r="I473" i="3"/>
  <c r="H473" i="3"/>
  <c r="F473" i="3"/>
  <c r="E473" i="3"/>
  <c r="J472" i="3"/>
  <c r="K472" i="3" s="1"/>
  <c r="I472" i="3"/>
  <c r="H472" i="3"/>
  <c r="F472" i="3"/>
  <c r="E472" i="3"/>
  <c r="J471" i="3"/>
  <c r="K471" i="3" s="1"/>
  <c r="I471" i="3"/>
  <c r="H471" i="3"/>
  <c r="F471" i="3"/>
  <c r="E471" i="3"/>
  <c r="K470" i="3"/>
  <c r="J470" i="3"/>
  <c r="I470" i="3"/>
  <c r="H470" i="3"/>
  <c r="F470" i="3"/>
  <c r="E470" i="3"/>
  <c r="J469" i="3"/>
  <c r="K469" i="3" s="1"/>
  <c r="I469" i="3"/>
  <c r="H469" i="3"/>
  <c r="F469" i="3"/>
  <c r="E469" i="3"/>
  <c r="J468" i="3"/>
  <c r="K468" i="3" s="1"/>
  <c r="I468" i="3"/>
  <c r="H468" i="3"/>
  <c r="F468" i="3"/>
  <c r="E468" i="3"/>
  <c r="J467" i="3"/>
  <c r="K467" i="3" s="1"/>
  <c r="I467" i="3"/>
  <c r="H467" i="3"/>
  <c r="F467" i="3"/>
  <c r="E467" i="3"/>
  <c r="K466" i="3"/>
  <c r="J466" i="3"/>
  <c r="I466" i="3"/>
  <c r="H466" i="3"/>
  <c r="F466" i="3"/>
  <c r="E466" i="3"/>
  <c r="J465" i="3"/>
  <c r="K465" i="3" s="1"/>
  <c r="I465" i="3"/>
  <c r="H465" i="3"/>
  <c r="F465" i="3"/>
  <c r="E465" i="3"/>
  <c r="H464" i="3"/>
  <c r="F464" i="3"/>
  <c r="I463" i="3"/>
  <c r="H463" i="3"/>
  <c r="J463" i="3" s="1"/>
  <c r="K463" i="3" s="1"/>
  <c r="F463" i="3"/>
  <c r="E463" i="3"/>
  <c r="J462" i="3"/>
  <c r="K462" i="3" s="1"/>
  <c r="I462" i="3"/>
  <c r="H462" i="3"/>
  <c r="F462" i="3"/>
  <c r="E462" i="3"/>
  <c r="I461" i="3"/>
  <c r="H461" i="3"/>
  <c r="J461" i="3" s="1"/>
  <c r="K461" i="3" s="1"/>
  <c r="F461" i="3"/>
  <c r="E461" i="3"/>
  <c r="I460" i="3"/>
  <c r="H460" i="3"/>
  <c r="J460" i="3" s="1"/>
  <c r="K460" i="3" s="1"/>
  <c r="F460" i="3"/>
  <c r="E460" i="3"/>
  <c r="H459" i="3"/>
  <c r="F459" i="3"/>
  <c r="J458" i="3"/>
  <c r="K458" i="3" s="1"/>
  <c r="I458" i="3"/>
  <c r="H458" i="3"/>
  <c r="F458" i="3"/>
  <c r="E458" i="3"/>
  <c r="J457" i="3"/>
  <c r="K457" i="3" s="1"/>
  <c r="I457" i="3"/>
  <c r="H457" i="3"/>
  <c r="F457" i="3"/>
  <c r="E457" i="3"/>
  <c r="J456" i="3"/>
  <c r="K456" i="3" s="1"/>
  <c r="I456" i="3"/>
  <c r="H456" i="3"/>
  <c r="F456" i="3"/>
  <c r="E456" i="3"/>
  <c r="K455" i="3"/>
  <c r="J455" i="3"/>
  <c r="I455" i="3"/>
  <c r="H455" i="3"/>
  <c r="F455" i="3"/>
  <c r="E455" i="3"/>
  <c r="J454" i="3"/>
  <c r="K454" i="3" s="1"/>
  <c r="I454" i="3"/>
  <c r="H454" i="3"/>
  <c r="F454" i="3"/>
  <c r="E454" i="3"/>
  <c r="J453" i="3"/>
  <c r="K453" i="3" s="1"/>
  <c r="K451" i="3" s="1"/>
  <c r="I453" i="3"/>
  <c r="H453" i="3"/>
  <c r="F453" i="3"/>
  <c r="E453" i="3"/>
  <c r="J452" i="3"/>
  <c r="K452" i="3" s="1"/>
  <c r="I452" i="3"/>
  <c r="H452" i="3"/>
  <c r="F452" i="3"/>
  <c r="E452" i="3"/>
  <c r="H451" i="3"/>
  <c r="F451" i="3"/>
  <c r="I450" i="3"/>
  <c r="H450" i="3"/>
  <c r="J450" i="3" s="1"/>
  <c r="K450" i="3" s="1"/>
  <c r="F450" i="3"/>
  <c r="E450" i="3"/>
  <c r="I449" i="3"/>
  <c r="H449" i="3"/>
  <c r="J449" i="3" s="1"/>
  <c r="K449" i="3" s="1"/>
  <c r="F449" i="3"/>
  <c r="E449" i="3"/>
  <c r="I448" i="3"/>
  <c r="H448" i="3"/>
  <c r="J448" i="3" s="1"/>
  <c r="K448" i="3" s="1"/>
  <c r="F448" i="3"/>
  <c r="E448" i="3"/>
  <c r="I447" i="3"/>
  <c r="H447" i="3"/>
  <c r="J447" i="3" s="1"/>
  <c r="K447" i="3" s="1"/>
  <c r="F447" i="3"/>
  <c r="E447" i="3"/>
  <c r="I446" i="3"/>
  <c r="H446" i="3"/>
  <c r="J446" i="3" s="1"/>
  <c r="K446" i="3" s="1"/>
  <c r="F446" i="3"/>
  <c r="E446" i="3"/>
  <c r="I445" i="3"/>
  <c r="J445" i="3" s="1"/>
  <c r="K445" i="3" s="1"/>
  <c r="H445" i="3"/>
  <c r="F445" i="3"/>
  <c r="E445" i="3"/>
  <c r="H444" i="3"/>
  <c r="F444" i="3"/>
  <c r="H443" i="3"/>
  <c r="F443" i="3"/>
  <c r="I442" i="3"/>
  <c r="H442" i="3"/>
  <c r="J442" i="3" s="1"/>
  <c r="K442" i="3" s="1"/>
  <c r="K441" i="3" s="1"/>
  <c r="F442" i="3"/>
  <c r="E442" i="3"/>
  <c r="H441" i="3"/>
  <c r="F441" i="3"/>
  <c r="I440" i="3"/>
  <c r="J440" i="3" s="1"/>
  <c r="K440" i="3" s="1"/>
  <c r="H440" i="3"/>
  <c r="F440" i="3"/>
  <c r="E440" i="3"/>
  <c r="J439" i="3"/>
  <c r="K439" i="3" s="1"/>
  <c r="I439" i="3"/>
  <c r="H439" i="3"/>
  <c r="F439" i="3"/>
  <c r="E439" i="3"/>
  <c r="J438" i="3"/>
  <c r="K438" i="3" s="1"/>
  <c r="I438" i="3"/>
  <c r="H438" i="3"/>
  <c r="F438" i="3"/>
  <c r="E438" i="3"/>
  <c r="H437" i="3"/>
  <c r="F437" i="3"/>
  <c r="I436" i="3"/>
  <c r="H436" i="3"/>
  <c r="F436" i="3"/>
  <c r="E436" i="3"/>
  <c r="I435" i="3"/>
  <c r="H435" i="3"/>
  <c r="J435" i="3" s="1"/>
  <c r="K435" i="3" s="1"/>
  <c r="F435" i="3"/>
  <c r="E435" i="3"/>
  <c r="H434" i="3"/>
  <c r="F434" i="3"/>
  <c r="I433" i="3"/>
  <c r="J433" i="3" s="1"/>
  <c r="K433" i="3" s="1"/>
  <c r="K432" i="3" s="1"/>
  <c r="H433" i="3"/>
  <c r="F433" i="3"/>
  <c r="E433" i="3"/>
  <c r="H432" i="3"/>
  <c r="F432" i="3"/>
  <c r="H431" i="3"/>
  <c r="F431" i="3"/>
  <c r="I430" i="3"/>
  <c r="J430" i="3" s="1"/>
  <c r="K430" i="3" s="1"/>
  <c r="K429" i="3" s="1"/>
  <c r="H430" i="3"/>
  <c r="F430" i="3"/>
  <c r="E430" i="3"/>
  <c r="H429" i="3"/>
  <c r="F429" i="3"/>
  <c r="I428" i="3"/>
  <c r="H428" i="3"/>
  <c r="J428" i="3" s="1"/>
  <c r="K428" i="3" s="1"/>
  <c r="F428" i="3"/>
  <c r="E428" i="3"/>
  <c r="I427" i="3"/>
  <c r="H427" i="3"/>
  <c r="J427" i="3" s="1"/>
  <c r="K427" i="3" s="1"/>
  <c r="K426" i="3" s="1"/>
  <c r="K425" i="3" s="1"/>
  <c r="F427" i="3"/>
  <c r="E427" i="3"/>
  <c r="H426" i="3"/>
  <c r="F426" i="3"/>
  <c r="H425" i="3"/>
  <c r="F425" i="3"/>
  <c r="I424" i="3"/>
  <c r="H424" i="3"/>
  <c r="J424" i="3" s="1"/>
  <c r="K424" i="3" s="1"/>
  <c r="K423" i="3" s="1"/>
  <c r="F424" i="3"/>
  <c r="E424" i="3"/>
  <c r="H423" i="3"/>
  <c r="F423" i="3"/>
  <c r="I422" i="3"/>
  <c r="J422" i="3" s="1"/>
  <c r="K422" i="3" s="1"/>
  <c r="H422" i="3"/>
  <c r="F422" i="3"/>
  <c r="E422" i="3"/>
  <c r="K421" i="3"/>
  <c r="J421" i="3"/>
  <c r="I421" i="3"/>
  <c r="H421" i="3"/>
  <c r="F421" i="3"/>
  <c r="E421" i="3"/>
  <c r="H420" i="3"/>
  <c r="F420" i="3"/>
  <c r="I419" i="3"/>
  <c r="J419" i="3" s="1"/>
  <c r="K419" i="3" s="1"/>
  <c r="H419" i="3"/>
  <c r="F419" i="3"/>
  <c r="E419" i="3"/>
  <c r="I418" i="3"/>
  <c r="H418" i="3"/>
  <c r="F418" i="3"/>
  <c r="E418" i="3"/>
  <c r="I417" i="3"/>
  <c r="J417" i="3" s="1"/>
  <c r="K417" i="3" s="1"/>
  <c r="H417" i="3"/>
  <c r="F417" i="3"/>
  <c r="E417" i="3"/>
  <c r="H416" i="3"/>
  <c r="F416" i="3"/>
  <c r="I415" i="3"/>
  <c r="H415" i="3"/>
  <c r="J415" i="3" s="1"/>
  <c r="K415" i="3" s="1"/>
  <c r="K414" i="3" s="1"/>
  <c r="F415" i="3"/>
  <c r="E415" i="3"/>
  <c r="H414" i="3"/>
  <c r="F414" i="3"/>
  <c r="I413" i="3"/>
  <c r="H413" i="3"/>
  <c r="F413" i="3"/>
  <c r="E413" i="3"/>
  <c r="I412" i="3"/>
  <c r="H412" i="3"/>
  <c r="J412" i="3" s="1"/>
  <c r="K412" i="3" s="1"/>
  <c r="F412" i="3"/>
  <c r="E412" i="3"/>
  <c r="I411" i="3"/>
  <c r="H411" i="3"/>
  <c r="F411" i="3"/>
  <c r="E411" i="3"/>
  <c r="I410" i="3"/>
  <c r="J410" i="3" s="1"/>
  <c r="K410" i="3" s="1"/>
  <c r="H410" i="3"/>
  <c r="F410" i="3"/>
  <c r="E410" i="3"/>
  <c r="H409" i="3"/>
  <c r="F409" i="3"/>
  <c r="J408" i="3"/>
  <c r="K408" i="3" s="1"/>
  <c r="I408" i="3"/>
  <c r="H408" i="3"/>
  <c r="F408" i="3"/>
  <c r="E408" i="3"/>
  <c r="J407" i="3"/>
  <c r="K407" i="3" s="1"/>
  <c r="I407" i="3"/>
  <c r="H407" i="3"/>
  <c r="F407" i="3"/>
  <c r="E407" i="3"/>
  <c r="I406" i="3"/>
  <c r="J406" i="3" s="1"/>
  <c r="K406" i="3" s="1"/>
  <c r="K405" i="3" s="1"/>
  <c r="H406" i="3"/>
  <c r="F406" i="3"/>
  <c r="E406" i="3"/>
  <c r="H405" i="3"/>
  <c r="F405" i="3"/>
  <c r="H404" i="3"/>
  <c r="F404" i="3"/>
  <c r="I403" i="3"/>
  <c r="J403" i="3" s="1"/>
  <c r="K403" i="3" s="1"/>
  <c r="H403" i="3"/>
  <c r="F403" i="3"/>
  <c r="E403" i="3"/>
  <c r="I402" i="3"/>
  <c r="J402" i="3" s="1"/>
  <c r="K402" i="3" s="1"/>
  <c r="H402" i="3"/>
  <c r="F402" i="3"/>
  <c r="E402" i="3"/>
  <c r="H401" i="3"/>
  <c r="F401" i="3"/>
  <c r="I400" i="3"/>
  <c r="J400" i="3" s="1"/>
  <c r="K400" i="3" s="1"/>
  <c r="H400" i="3"/>
  <c r="F400" i="3"/>
  <c r="E400" i="3"/>
  <c r="I399" i="3"/>
  <c r="H399" i="3"/>
  <c r="F399" i="3"/>
  <c r="E399" i="3"/>
  <c r="I398" i="3"/>
  <c r="J398" i="3" s="1"/>
  <c r="K398" i="3" s="1"/>
  <c r="H398" i="3"/>
  <c r="F398" i="3"/>
  <c r="E398" i="3"/>
  <c r="I397" i="3"/>
  <c r="H397" i="3"/>
  <c r="F397" i="3"/>
  <c r="E397" i="3"/>
  <c r="I396" i="3"/>
  <c r="H396" i="3"/>
  <c r="J396" i="3" s="1"/>
  <c r="K396" i="3" s="1"/>
  <c r="F396" i="3"/>
  <c r="E396" i="3"/>
  <c r="I395" i="3"/>
  <c r="H395" i="3"/>
  <c r="F395" i="3"/>
  <c r="E395" i="3"/>
  <c r="H394" i="3"/>
  <c r="F394" i="3"/>
  <c r="I393" i="3"/>
  <c r="J393" i="3" s="1"/>
  <c r="K393" i="3" s="1"/>
  <c r="H393" i="3"/>
  <c r="F393" i="3"/>
  <c r="E393" i="3"/>
  <c r="I392" i="3"/>
  <c r="J392" i="3" s="1"/>
  <c r="K392" i="3" s="1"/>
  <c r="K391" i="3" s="1"/>
  <c r="H392" i="3"/>
  <c r="F392" i="3"/>
  <c r="E392" i="3"/>
  <c r="H391" i="3"/>
  <c r="F391" i="3"/>
  <c r="H390" i="3"/>
  <c r="F390" i="3"/>
  <c r="I389" i="3"/>
  <c r="J389" i="3" s="1"/>
  <c r="K389" i="3" s="1"/>
  <c r="K388" i="3" s="1"/>
  <c r="H389" i="3"/>
  <c r="F389" i="3"/>
  <c r="E389" i="3"/>
  <c r="H388" i="3"/>
  <c r="F388" i="3"/>
  <c r="I387" i="3"/>
  <c r="H387" i="3"/>
  <c r="J387" i="3" s="1"/>
  <c r="K387" i="3" s="1"/>
  <c r="F387" i="3"/>
  <c r="E387" i="3"/>
  <c r="J386" i="3"/>
  <c r="K386" i="3" s="1"/>
  <c r="K385" i="3" s="1"/>
  <c r="I386" i="3"/>
  <c r="H386" i="3"/>
  <c r="F386" i="3"/>
  <c r="E386" i="3"/>
  <c r="H385" i="3"/>
  <c r="F385" i="3"/>
  <c r="I384" i="3"/>
  <c r="H384" i="3"/>
  <c r="J384" i="3" s="1"/>
  <c r="K384" i="3" s="1"/>
  <c r="F384" i="3"/>
  <c r="E384" i="3"/>
  <c r="I383" i="3"/>
  <c r="J383" i="3" s="1"/>
  <c r="K383" i="3" s="1"/>
  <c r="H383" i="3"/>
  <c r="F383" i="3"/>
  <c r="E383" i="3"/>
  <c r="I382" i="3"/>
  <c r="H382" i="3"/>
  <c r="J382" i="3" s="1"/>
  <c r="K382" i="3" s="1"/>
  <c r="F382" i="3"/>
  <c r="E382" i="3"/>
  <c r="H381" i="3"/>
  <c r="F381" i="3"/>
  <c r="H380" i="3"/>
  <c r="F380" i="3"/>
  <c r="J379" i="3"/>
  <c r="K379" i="3" s="1"/>
  <c r="I379" i="3"/>
  <c r="H379" i="3"/>
  <c r="F379" i="3"/>
  <c r="E379" i="3"/>
  <c r="K378" i="3"/>
  <c r="K377" i="3" s="1"/>
  <c r="H378" i="3"/>
  <c r="F378" i="3"/>
  <c r="H377" i="3"/>
  <c r="F377" i="3"/>
  <c r="I376" i="3"/>
  <c r="H376" i="3"/>
  <c r="J376" i="3" s="1"/>
  <c r="K376" i="3" s="1"/>
  <c r="F376" i="3"/>
  <c r="E376" i="3"/>
  <c r="I375" i="3"/>
  <c r="J375" i="3" s="1"/>
  <c r="K375" i="3" s="1"/>
  <c r="H375" i="3"/>
  <c r="F375" i="3"/>
  <c r="E375" i="3"/>
  <c r="I374" i="3"/>
  <c r="H374" i="3"/>
  <c r="J374" i="3" s="1"/>
  <c r="K374" i="3" s="1"/>
  <c r="F374" i="3"/>
  <c r="E374" i="3"/>
  <c r="I373" i="3"/>
  <c r="J373" i="3" s="1"/>
  <c r="K373" i="3" s="1"/>
  <c r="H373" i="3"/>
  <c r="F373" i="3"/>
  <c r="E373" i="3"/>
  <c r="I372" i="3"/>
  <c r="H372" i="3"/>
  <c r="J372" i="3" s="1"/>
  <c r="K372" i="3" s="1"/>
  <c r="F372" i="3"/>
  <c r="E372" i="3"/>
  <c r="I371" i="3"/>
  <c r="J371" i="3" s="1"/>
  <c r="K371" i="3" s="1"/>
  <c r="H371" i="3"/>
  <c r="F371" i="3"/>
  <c r="E371" i="3"/>
  <c r="I370" i="3"/>
  <c r="H370" i="3"/>
  <c r="J370" i="3" s="1"/>
  <c r="K370" i="3" s="1"/>
  <c r="F370" i="3"/>
  <c r="E370" i="3"/>
  <c r="I369" i="3"/>
  <c r="J369" i="3" s="1"/>
  <c r="K369" i="3" s="1"/>
  <c r="K368" i="3" s="1"/>
  <c r="H369" i="3"/>
  <c r="F369" i="3"/>
  <c r="E369" i="3"/>
  <c r="H368" i="3"/>
  <c r="F368" i="3"/>
  <c r="I367" i="3"/>
  <c r="H367" i="3"/>
  <c r="J367" i="3" s="1"/>
  <c r="K367" i="3" s="1"/>
  <c r="K366" i="3" s="1"/>
  <c r="F367" i="3"/>
  <c r="E367" i="3"/>
  <c r="H366" i="3"/>
  <c r="F366" i="3"/>
  <c r="I365" i="3"/>
  <c r="H365" i="3"/>
  <c r="J365" i="3" s="1"/>
  <c r="K365" i="3" s="1"/>
  <c r="F365" i="3"/>
  <c r="E365" i="3"/>
  <c r="I364" i="3"/>
  <c r="J364" i="3" s="1"/>
  <c r="K364" i="3" s="1"/>
  <c r="H364" i="3"/>
  <c r="F364" i="3"/>
  <c r="E364" i="3"/>
  <c r="I363" i="3"/>
  <c r="H363" i="3"/>
  <c r="J363" i="3" s="1"/>
  <c r="K363" i="3" s="1"/>
  <c r="K362" i="3" s="1"/>
  <c r="F363" i="3"/>
  <c r="E363" i="3"/>
  <c r="H362" i="3"/>
  <c r="F362" i="3"/>
  <c r="I361" i="3"/>
  <c r="H361" i="3"/>
  <c r="F361" i="3"/>
  <c r="E361" i="3"/>
  <c r="I360" i="3"/>
  <c r="H360" i="3"/>
  <c r="J360" i="3" s="1"/>
  <c r="K360" i="3" s="1"/>
  <c r="F360" i="3"/>
  <c r="E360" i="3"/>
  <c r="H359" i="3"/>
  <c r="F359" i="3"/>
  <c r="K358" i="3"/>
  <c r="I358" i="3"/>
  <c r="J358" i="3" s="1"/>
  <c r="H358" i="3"/>
  <c r="F358" i="3"/>
  <c r="E358" i="3"/>
  <c r="I357" i="3"/>
  <c r="J357" i="3" s="1"/>
  <c r="K357" i="3" s="1"/>
  <c r="H357" i="3"/>
  <c r="F357" i="3"/>
  <c r="E357" i="3"/>
  <c r="K356" i="3"/>
  <c r="I356" i="3"/>
  <c r="J356" i="3" s="1"/>
  <c r="H356" i="3"/>
  <c r="G356" i="3"/>
  <c r="F356" i="3"/>
  <c r="E356" i="3"/>
  <c r="J355" i="3"/>
  <c r="K355" i="3" s="1"/>
  <c r="I355" i="3"/>
  <c r="H355" i="3"/>
  <c r="F355" i="3"/>
  <c r="E355" i="3"/>
  <c r="J354" i="3"/>
  <c r="K354" i="3" s="1"/>
  <c r="I354" i="3"/>
  <c r="H354" i="3"/>
  <c r="F354" i="3"/>
  <c r="E354" i="3"/>
  <c r="J353" i="3"/>
  <c r="K353" i="3" s="1"/>
  <c r="I353" i="3"/>
  <c r="H353" i="3"/>
  <c r="F353" i="3"/>
  <c r="E353" i="3"/>
  <c r="J352" i="3"/>
  <c r="K352" i="3" s="1"/>
  <c r="I352" i="3"/>
  <c r="H352" i="3"/>
  <c r="F352" i="3"/>
  <c r="E352" i="3"/>
  <c r="J351" i="3"/>
  <c r="K351" i="3" s="1"/>
  <c r="I351" i="3"/>
  <c r="H351" i="3"/>
  <c r="F351" i="3"/>
  <c r="E351" i="3"/>
  <c r="J350" i="3"/>
  <c r="K350" i="3" s="1"/>
  <c r="I350" i="3"/>
  <c r="H350" i="3"/>
  <c r="F350" i="3"/>
  <c r="E350" i="3"/>
  <c r="J349" i="3"/>
  <c r="K349" i="3" s="1"/>
  <c r="I349" i="3"/>
  <c r="H349" i="3"/>
  <c r="F349" i="3"/>
  <c r="E349" i="3"/>
  <c r="H348" i="3"/>
  <c r="F348" i="3"/>
  <c r="I347" i="3"/>
  <c r="H347" i="3"/>
  <c r="J347" i="3" s="1"/>
  <c r="K347" i="3" s="1"/>
  <c r="F347" i="3"/>
  <c r="E347" i="3"/>
  <c r="I346" i="3"/>
  <c r="H346" i="3"/>
  <c r="J346" i="3" s="1"/>
  <c r="K346" i="3" s="1"/>
  <c r="F346" i="3"/>
  <c r="E346" i="3"/>
  <c r="I345" i="3"/>
  <c r="H345" i="3"/>
  <c r="J345" i="3" s="1"/>
  <c r="K345" i="3" s="1"/>
  <c r="F345" i="3"/>
  <c r="E345" i="3"/>
  <c r="I344" i="3"/>
  <c r="H344" i="3"/>
  <c r="J344" i="3" s="1"/>
  <c r="K344" i="3" s="1"/>
  <c r="F344" i="3"/>
  <c r="E344" i="3"/>
  <c r="I343" i="3"/>
  <c r="J343" i="3" s="1"/>
  <c r="K343" i="3" s="1"/>
  <c r="H343" i="3"/>
  <c r="F343" i="3"/>
  <c r="E343" i="3"/>
  <c r="J342" i="3"/>
  <c r="K342" i="3" s="1"/>
  <c r="I342" i="3"/>
  <c r="H342" i="3"/>
  <c r="F342" i="3"/>
  <c r="E342" i="3"/>
  <c r="J341" i="3"/>
  <c r="K341" i="3" s="1"/>
  <c r="I341" i="3"/>
  <c r="H341" i="3"/>
  <c r="F341" i="3"/>
  <c r="E341" i="3"/>
  <c r="I340" i="3"/>
  <c r="H340" i="3"/>
  <c r="J340" i="3" s="1"/>
  <c r="K340" i="3" s="1"/>
  <c r="F340" i="3"/>
  <c r="E340" i="3"/>
  <c r="I339" i="3"/>
  <c r="J339" i="3" s="1"/>
  <c r="K339" i="3" s="1"/>
  <c r="H339" i="3"/>
  <c r="F339" i="3"/>
  <c r="E339" i="3"/>
  <c r="J338" i="3"/>
  <c r="K338" i="3" s="1"/>
  <c r="I338" i="3"/>
  <c r="H338" i="3"/>
  <c r="F338" i="3"/>
  <c r="E338" i="3"/>
  <c r="J337" i="3"/>
  <c r="K337" i="3" s="1"/>
  <c r="I337" i="3"/>
  <c r="H337" i="3"/>
  <c r="F337" i="3"/>
  <c r="E337" i="3"/>
  <c r="I336" i="3"/>
  <c r="H336" i="3"/>
  <c r="J336" i="3" s="1"/>
  <c r="K336" i="3" s="1"/>
  <c r="F336" i="3"/>
  <c r="E336" i="3"/>
  <c r="H335" i="3"/>
  <c r="F335" i="3"/>
  <c r="J334" i="3"/>
  <c r="K334" i="3" s="1"/>
  <c r="I334" i="3"/>
  <c r="H334" i="3"/>
  <c r="F334" i="3"/>
  <c r="E334" i="3"/>
  <c r="J333" i="3"/>
  <c r="K333" i="3" s="1"/>
  <c r="I333" i="3"/>
  <c r="H333" i="3"/>
  <c r="F333" i="3"/>
  <c r="E333" i="3"/>
  <c r="J332" i="3"/>
  <c r="K332" i="3" s="1"/>
  <c r="I332" i="3"/>
  <c r="H332" i="3"/>
  <c r="F332" i="3"/>
  <c r="E332" i="3"/>
  <c r="J331" i="3"/>
  <c r="K331" i="3" s="1"/>
  <c r="I331" i="3"/>
  <c r="H331" i="3"/>
  <c r="F331" i="3"/>
  <c r="E331" i="3"/>
  <c r="J330" i="3"/>
  <c r="K330" i="3" s="1"/>
  <c r="I330" i="3"/>
  <c r="H330" i="3"/>
  <c r="F330" i="3"/>
  <c r="E330" i="3"/>
  <c r="I329" i="3"/>
  <c r="H329" i="3"/>
  <c r="J329" i="3" s="1"/>
  <c r="K329" i="3" s="1"/>
  <c r="F329" i="3"/>
  <c r="E329" i="3"/>
  <c r="H328" i="3"/>
  <c r="F328" i="3"/>
  <c r="I327" i="3"/>
  <c r="H327" i="3"/>
  <c r="J327" i="3" s="1"/>
  <c r="K327" i="3" s="1"/>
  <c r="F327" i="3"/>
  <c r="E327" i="3"/>
  <c r="I326" i="3"/>
  <c r="H326" i="3"/>
  <c r="J326" i="3" s="1"/>
  <c r="K326" i="3" s="1"/>
  <c r="F326" i="3"/>
  <c r="E326" i="3"/>
  <c r="I325" i="3"/>
  <c r="H325" i="3"/>
  <c r="J325" i="3" s="1"/>
  <c r="K325" i="3" s="1"/>
  <c r="F325" i="3"/>
  <c r="E325" i="3"/>
  <c r="I324" i="3"/>
  <c r="H324" i="3"/>
  <c r="J324" i="3" s="1"/>
  <c r="K324" i="3" s="1"/>
  <c r="F324" i="3"/>
  <c r="E324" i="3"/>
  <c r="J323" i="3"/>
  <c r="K323" i="3" s="1"/>
  <c r="I323" i="3"/>
  <c r="H323" i="3"/>
  <c r="F323" i="3"/>
  <c r="E323" i="3"/>
  <c r="J322" i="3"/>
  <c r="K322" i="3" s="1"/>
  <c r="I322" i="3"/>
  <c r="H322" i="3"/>
  <c r="F322" i="3"/>
  <c r="E322" i="3"/>
  <c r="H321" i="3"/>
  <c r="F321" i="3"/>
  <c r="I320" i="3"/>
  <c r="H320" i="3"/>
  <c r="J320" i="3" s="1"/>
  <c r="K320" i="3" s="1"/>
  <c r="F320" i="3"/>
  <c r="E320" i="3"/>
  <c r="I319" i="3"/>
  <c r="J319" i="3" s="1"/>
  <c r="K319" i="3" s="1"/>
  <c r="H319" i="3"/>
  <c r="F319" i="3"/>
  <c r="E319" i="3"/>
  <c r="I318" i="3"/>
  <c r="H318" i="3"/>
  <c r="J318" i="3" s="1"/>
  <c r="K318" i="3" s="1"/>
  <c r="F318" i="3"/>
  <c r="E318" i="3"/>
  <c r="I317" i="3"/>
  <c r="J317" i="3" s="1"/>
  <c r="K317" i="3" s="1"/>
  <c r="H317" i="3"/>
  <c r="F317" i="3"/>
  <c r="E317" i="3"/>
  <c r="I316" i="3"/>
  <c r="H316" i="3"/>
  <c r="J316" i="3" s="1"/>
  <c r="K316" i="3" s="1"/>
  <c r="F316" i="3"/>
  <c r="E316" i="3"/>
  <c r="I315" i="3"/>
  <c r="J315" i="3" s="1"/>
  <c r="K315" i="3" s="1"/>
  <c r="H315" i="3"/>
  <c r="F315" i="3"/>
  <c r="E315" i="3"/>
  <c r="I314" i="3"/>
  <c r="H314" i="3"/>
  <c r="J314" i="3" s="1"/>
  <c r="K314" i="3" s="1"/>
  <c r="F314" i="3"/>
  <c r="E314" i="3"/>
  <c r="I313" i="3"/>
  <c r="J313" i="3" s="1"/>
  <c r="K313" i="3" s="1"/>
  <c r="H313" i="3"/>
  <c r="F313" i="3"/>
  <c r="E313" i="3"/>
  <c r="I312" i="3"/>
  <c r="H312" i="3"/>
  <c r="J312" i="3" s="1"/>
  <c r="K312" i="3" s="1"/>
  <c r="F312" i="3"/>
  <c r="E312" i="3"/>
  <c r="I311" i="3"/>
  <c r="H311" i="3"/>
  <c r="J311" i="3" s="1"/>
  <c r="K311" i="3" s="1"/>
  <c r="F311" i="3"/>
  <c r="E311" i="3"/>
  <c r="I310" i="3"/>
  <c r="H310" i="3"/>
  <c r="J310" i="3" s="1"/>
  <c r="K310" i="3" s="1"/>
  <c r="F310" i="3"/>
  <c r="E310" i="3"/>
  <c r="I309" i="3"/>
  <c r="H309" i="3"/>
  <c r="J309" i="3" s="1"/>
  <c r="K309" i="3" s="1"/>
  <c r="F309" i="3"/>
  <c r="E309" i="3"/>
  <c r="I308" i="3"/>
  <c r="H308" i="3"/>
  <c r="J308" i="3" s="1"/>
  <c r="K308" i="3" s="1"/>
  <c r="F308" i="3"/>
  <c r="E308" i="3"/>
  <c r="I307" i="3"/>
  <c r="H307" i="3"/>
  <c r="J307" i="3" s="1"/>
  <c r="K307" i="3" s="1"/>
  <c r="F307" i="3"/>
  <c r="E307" i="3"/>
  <c r="I306" i="3"/>
  <c r="H306" i="3"/>
  <c r="J306" i="3" s="1"/>
  <c r="K306" i="3" s="1"/>
  <c r="F306" i="3"/>
  <c r="E306" i="3"/>
  <c r="I305" i="3"/>
  <c r="H305" i="3"/>
  <c r="J305" i="3" s="1"/>
  <c r="K305" i="3" s="1"/>
  <c r="F305" i="3"/>
  <c r="E305" i="3"/>
  <c r="I304" i="3"/>
  <c r="H304" i="3"/>
  <c r="J304" i="3" s="1"/>
  <c r="K304" i="3" s="1"/>
  <c r="F304" i="3"/>
  <c r="E304" i="3"/>
  <c r="I303" i="3"/>
  <c r="H303" i="3"/>
  <c r="J303" i="3" s="1"/>
  <c r="K303" i="3" s="1"/>
  <c r="F303" i="3"/>
  <c r="E303" i="3"/>
  <c r="I302" i="3"/>
  <c r="H302" i="3"/>
  <c r="J302" i="3" s="1"/>
  <c r="K302" i="3" s="1"/>
  <c r="F302" i="3"/>
  <c r="E302" i="3"/>
  <c r="I301" i="3"/>
  <c r="H301" i="3"/>
  <c r="J301" i="3" s="1"/>
  <c r="K301" i="3" s="1"/>
  <c r="F301" i="3"/>
  <c r="E301" i="3"/>
  <c r="I300" i="3"/>
  <c r="H300" i="3"/>
  <c r="J300" i="3" s="1"/>
  <c r="K300" i="3" s="1"/>
  <c r="F300" i="3"/>
  <c r="E300" i="3"/>
  <c r="I299" i="3"/>
  <c r="H299" i="3"/>
  <c r="J299" i="3" s="1"/>
  <c r="K299" i="3" s="1"/>
  <c r="F299" i="3"/>
  <c r="E299" i="3"/>
  <c r="H298" i="3"/>
  <c r="F298" i="3"/>
  <c r="I297" i="3"/>
  <c r="J297" i="3" s="1"/>
  <c r="K297" i="3" s="1"/>
  <c r="H297" i="3"/>
  <c r="F297" i="3"/>
  <c r="E297" i="3"/>
  <c r="I296" i="3"/>
  <c r="J296" i="3" s="1"/>
  <c r="K296" i="3" s="1"/>
  <c r="H296" i="3"/>
  <c r="F296" i="3"/>
  <c r="E296" i="3"/>
  <c r="I295" i="3"/>
  <c r="J295" i="3" s="1"/>
  <c r="K295" i="3" s="1"/>
  <c r="H295" i="3"/>
  <c r="F295" i="3"/>
  <c r="E295" i="3"/>
  <c r="I294" i="3"/>
  <c r="J294" i="3" s="1"/>
  <c r="K294" i="3" s="1"/>
  <c r="H294" i="3"/>
  <c r="F294" i="3"/>
  <c r="E294" i="3"/>
  <c r="I293" i="3"/>
  <c r="J293" i="3" s="1"/>
  <c r="K293" i="3" s="1"/>
  <c r="H293" i="3"/>
  <c r="F293" i="3"/>
  <c r="E293" i="3"/>
  <c r="I292" i="3"/>
  <c r="J292" i="3" s="1"/>
  <c r="K292" i="3" s="1"/>
  <c r="H292" i="3"/>
  <c r="F292" i="3"/>
  <c r="E292" i="3"/>
  <c r="I291" i="3"/>
  <c r="J291" i="3" s="1"/>
  <c r="K291" i="3" s="1"/>
  <c r="H291" i="3"/>
  <c r="F291" i="3"/>
  <c r="E291" i="3"/>
  <c r="I290" i="3"/>
  <c r="J290" i="3" s="1"/>
  <c r="K290" i="3" s="1"/>
  <c r="K289" i="3" s="1"/>
  <c r="H290" i="3"/>
  <c r="F290" i="3"/>
  <c r="E290" i="3"/>
  <c r="H289" i="3"/>
  <c r="F289" i="3"/>
  <c r="I288" i="3"/>
  <c r="H288" i="3"/>
  <c r="J288" i="3" s="1"/>
  <c r="K288" i="3" s="1"/>
  <c r="F288" i="3"/>
  <c r="E288" i="3"/>
  <c r="I287" i="3"/>
  <c r="H287" i="3"/>
  <c r="J287" i="3" s="1"/>
  <c r="K287" i="3" s="1"/>
  <c r="F287" i="3"/>
  <c r="E287" i="3"/>
  <c r="I286" i="3"/>
  <c r="H286" i="3"/>
  <c r="J286" i="3" s="1"/>
  <c r="K286" i="3" s="1"/>
  <c r="F286" i="3"/>
  <c r="E286" i="3"/>
  <c r="I285" i="3"/>
  <c r="H285" i="3"/>
  <c r="J285" i="3" s="1"/>
  <c r="K285" i="3" s="1"/>
  <c r="F285" i="3"/>
  <c r="E285" i="3"/>
  <c r="I284" i="3"/>
  <c r="H284" i="3"/>
  <c r="J284" i="3" s="1"/>
  <c r="K284" i="3" s="1"/>
  <c r="F284" i="3"/>
  <c r="E284" i="3"/>
  <c r="I283" i="3"/>
  <c r="H283" i="3"/>
  <c r="J283" i="3" s="1"/>
  <c r="K283" i="3" s="1"/>
  <c r="F283" i="3"/>
  <c r="E283" i="3"/>
  <c r="I282" i="3"/>
  <c r="H282" i="3"/>
  <c r="J282" i="3" s="1"/>
  <c r="K282" i="3" s="1"/>
  <c r="F282" i="3"/>
  <c r="E282" i="3"/>
  <c r="I281" i="3"/>
  <c r="H281" i="3"/>
  <c r="J281" i="3" s="1"/>
  <c r="K281" i="3" s="1"/>
  <c r="F281" i="3"/>
  <c r="E281" i="3"/>
  <c r="H280" i="3"/>
  <c r="F280" i="3"/>
  <c r="I279" i="3"/>
  <c r="J279" i="3" s="1"/>
  <c r="K279" i="3" s="1"/>
  <c r="H279" i="3"/>
  <c r="F279" i="3"/>
  <c r="E279" i="3"/>
  <c r="I278" i="3"/>
  <c r="J278" i="3" s="1"/>
  <c r="K278" i="3" s="1"/>
  <c r="H278" i="3"/>
  <c r="F278" i="3"/>
  <c r="E278" i="3"/>
  <c r="K277" i="3"/>
  <c r="I277" i="3"/>
  <c r="J277" i="3" s="1"/>
  <c r="H277" i="3"/>
  <c r="F277" i="3"/>
  <c r="E277" i="3"/>
  <c r="I276" i="3"/>
  <c r="J276" i="3" s="1"/>
  <c r="K276" i="3" s="1"/>
  <c r="H276" i="3"/>
  <c r="F276" i="3"/>
  <c r="E276" i="3"/>
  <c r="I275" i="3"/>
  <c r="J275" i="3" s="1"/>
  <c r="K275" i="3" s="1"/>
  <c r="H275" i="3"/>
  <c r="F275" i="3"/>
  <c r="E275" i="3"/>
  <c r="I274" i="3"/>
  <c r="J274" i="3" s="1"/>
  <c r="K274" i="3" s="1"/>
  <c r="H274" i="3"/>
  <c r="F274" i="3"/>
  <c r="E274" i="3"/>
  <c r="K273" i="3"/>
  <c r="I273" i="3"/>
  <c r="J273" i="3" s="1"/>
  <c r="H273" i="3"/>
  <c r="F273" i="3"/>
  <c r="E273" i="3"/>
  <c r="I272" i="3"/>
  <c r="J272" i="3" s="1"/>
  <c r="K272" i="3" s="1"/>
  <c r="H272" i="3"/>
  <c r="F272" i="3"/>
  <c r="E272" i="3"/>
  <c r="H271" i="3"/>
  <c r="F271" i="3"/>
  <c r="H270" i="3"/>
  <c r="F270" i="3"/>
  <c r="I269" i="3"/>
  <c r="J269" i="3" s="1"/>
  <c r="K269" i="3" s="1"/>
  <c r="H269" i="3"/>
  <c r="F269" i="3"/>
  <c r="E269" i="3"/>
  <c r="K268" i="3"/>
  <c r="I268" i="3"/>
  <c r="J268" i="3" s="1"/>
  <c r="H268" i="3"/>
  <c r="F268" i="3"/>
  <c r="E268" i="3"/>
  <c r="I267" i="3"/>
  <c r="J267" i="3" s="1"/>
  <c r="K267" i="3" s="1"/>
  <c r="H267" i="3"/>
  <c r="F267" i="3"/>
  <c r="E267" i="3"/>
  <c r="I266" i="3"/>
  <c r="J266" i="3" s="1"/>
  <c r="K266" i="3" s="1"/>
  <c r="K265" i="3" s="1"/>
  <c r="H266" i="3"/>
  <c r="F266" i="3"/>
  <c r="E266" i="3"/>
  <c r="H265" i="3"/>
  <c r="F265" i="3"/>
  <c r="I264" i="3"/>
  <c r="H264" i="3"/>
  <c r="J264" i="3" s="1"/>
  <c r="K264" i="3" s="1"/>
  <c r="F264" i="3"/>
  <c r="E264" i="3"/>
  <c r="I263" i="3"/>
  <c r="H263" i="3"/>
  <c r="J263" i="3" s="1"/>
  <c r="K263" i="3" s="1"/>
  <c r="F263" i="3"/>
  <c r="E263" i="3"/>
  <c r="I262" i="3"/>
  <c r="H262" i="3"/>
  <c r="F262" i="3"/>
  <c r="E262" i="3"/>
  <c r="I261" i="3"/>
  <c r="H261" i="3"/>
  <c r="J261" i="3" s="1"/>
  <c r="K261" i="3" s="1"/>
  <c r="F261" i="3"/>
  <c r="E261" i="3"/>
  <c r="I260" i="3"/>
  <c r="H260" i="3"/>
  <c r="F260" i="3"/>
  <c r="E260" i="3"/>
  <c r="I259" i="3"/>
  <c r="H259" i="3"/>
  <c r="J259" i="3" s="1"/>
  <c r="K259" i="3" s="1"/>
  <c r="F259" i="3"/>
  <c r="E259" i="3"/>
  <c r="I258" i="3"/>
  <c r="H258" i="3"/>
  <c r="J258" i="3" s="1"/>
  <c r="K258" i="3" s="1"/>
  <c r="F258" i="3"/>
  <c r="E258" i="3"/>
  <c r="I257" i="3"/>
  <c r="H257" i="3"/>
  <c r="J257" i="3" s="1"/>
  <c r="K257" i="3" s="1"/>
  <c r="F257" i="3"/>
  <c r="E257" i="3"/>
  <c r="I256" i="3"/>
  <c r="H256" i="3"/>
  <c r="F256" i="3"/>
  <c r="E256" i="3"/>
  <c r="I255" i="3"/>
  <c r="H255" i="3"/>
  <c r="J255" i="3" s="1"/>
  <c r="K255" i="3" s="1"/>
  <c r="F255" i="3"/>
  <c r="E255" i="3"/>
  <c r="I254" i="3"/>
  <c r="H254" i="3"/>
  <c r="F254" i="3"/>
  <c r="E254" i="3"/>
  <c r="I253" i="3"/>
  <c r="H253" i="3"/>
  <c r="J253" i="3" s="1"/>
  <c r="K253" i="3" s="1"/>
  <c r="F253" i="3"/>
  <c r="E253" i="3"/>
  <c r="I252" i="3"/>
  <c r="H252" i="3"/>
  <c r="J252" i="3" s="1"/>
  <c r="K252" i="3" s="1"/>
  <c r="F252" i="3"/>
  <c r="E252" i="3"/>
  <c r="H251" i="3"/>
  <c r="F251" i="3"/>
  <c r="I250" i="3"/>
  <c r="J250" i="3" s="1"/>
  <c r="K250" i="3" s="1"/>
  <c r="H250" i="3"/>
  <c r="F250" i="3"/>
  <c r="E250" i="3"/>
  <c r="K249" i="3"/>
  <c r="I249" i="3"/>
  <c r="J249" i="3" s="1"/>
  <c r="H249" i="3"/>
  <c r="F249" i="3"/>
  <c r="E249" i="3"/>
  <c r="I248" i="3"/>
  <c r="J248" i="3" s="1"/>
  <c r="K248" i="3" s="1"/>
  <c r="H248" i="3"/>
  <c r="F248" i="3"/>
  <c r="E248" i="3"/>
  <c r="K247" i="3"/>
  <c r="I247" i="3"/>
  <c r="J247" i="3" s="1"/>
  <c r="H247" i="3"/>
  <c r="F247" i="3"/>
  <c r="E247" i="3"/>
  <c r="I246" i="3"/>
  <c r="J246" i="3" s="1"/>
  <c r="K246" i="3" s="1"/>
  <c r="H246" i="3"/>
  <c r="F246" i="3"/>
  <c r="E246" i="3"/>
  <c r="K245" i="3"/>
  <c r="H245" i="3"/>
  <c r="F245" i="3"/>
  <c r="I244" i="3"/>
  <c r="H244" i="3"/>
  <c r="J244" i="3" s="1"/>
  <c r="K244" i="3" s="1"/>
  <c r="F244" i="3"/>
  <c r="E244" i="3"/>
  <c r="I243" i="3"/>
  <c r="H243" i="3"/>
  <c r="J243" i="3" s="1"/>
  <c r="K243" i="3" s="1"/>
  <c r="F243" i="3"/>
  <c r="E243" i="3"/>
  <c r="I242" i="3"/>
  <c r="H242" i="3"/>
  <c r="J242" i="3" s="1"/>
  <c r="K242" i="3" s="1"/>
  <c r="F242" i="3"/>
  <c r="E242" i="3"/>
  <c r="I241" i="3"/>
  <c r="H241" i="3"/>
  <c r="F241" i="3"/>
  <c r="E241" i="3"/>
  <c r="I240" i="3"/>
  <c r="H240" i="3"/>
  <c r="J240" i="3" s="1"/>
  <c r="K240" i="3" s="1"/>
  <c r="F240" i="3"/>
  <c r="E240" i="3"/>
  <c r="I239" i="3"/>
  <c r="H239" i="3"/>
  <c r="J239" i="3" s="1"/>
  <c r="K239" i="3" s="1"/>
  <c r="F239" i="3"/>
  <c r="E239" i="3"/>
  <c r="I238" i="3"/>
  <c r="H238" i="3"/>
  <c r="J238" i="3" s="1"/>
  <c r="K238" i="3" s="1"/>
  <c r="F238" i="3"/>
  <c r="E238" i="3"/>
  <c r="I237" i="3"/>
  <c r="H237" i="3"/>
  <c r="J237" i="3" s="1"/>
  <c r="K237" i="3" s="1"/>
  <c r="F237" i="3"/>
  <c r="E237" i="3"/>
  <c r="I236" i="3"/>
  <c r="H236" i="3"/>
  <c r="J236" i="3" s="1"/>
  <c r="K236" i="3" s="1"/>
  <c r="F236" i="3"/>
  <c r="E236" i="3"/>
  <c r="I235" i="3"/>
  <c r="H235" i="3"/>
  <c r="F235" i="3"/>
  <c r="E235" i="3"/>
  <c r="I234" i="3"/>
  <c r="H234" i="3"/>
  <c r="J234" i="3" s="1"/>
  <c r="K234" i="3" s="1"/>
  <c r="F234" i="3"/>
  <c r="E234" i="3"/>
  <c r="I233" i="3"/>
  <c r="H233" i="3"/>
  <c r="J233" i="3" s="1"/>
  <c r="K233" i="3" s="1"/>
  <c r="F233" i="3"/>
  <c r="E233" i="3"/>
  <c r="I232" i="3"/>
  <c r="H232" i="3"/>
  <c r="J232" i="3" s="1"/>
  <c r="K232" i="3" s="1"/>
  <c r="F232" i="3"/>
  <c r="E232" i="3"/>
  <c r="I231" i="3"/>
  <c r="H231" i="3"/>
  <c r="J231" i="3" s="1"/>
  <c r="K231" i="3" s="1"/>
  <c r="F231" i="3"/>
  <c r="E231" i="3"/>
  <c r="I230" i="3"/>
  <c r="H230" i="3"/>
  <c r="J230" i="3" s="1"/>
  <c r="K230" i="3" s="1"/>
  <c r="F230" i="3"/>
  <c r="E230" i="3"/>
  <c r="I229" i="3"/>
  <c r="H229" i="3"/>
  <c r="J229" i="3" s="1"/>
  <c r="K229" i="3" s="1"/>
  <c r="F229" i="3"/>
  <c r="E229" i="3"/>
  <c r="I228" i="3"/>
  <c r="H228" i="3"/>
  <c r="J228" i="3" s="1"/>
  <c r="K228" i="3" s="1"/>
  <c r="F228" i="3"/>
  <c r="E228" i="3"/>
  <c r="H227" i="3"/>
  <c r="F227" i="3"/>
  <c r="I226" i="3"/>
  <c r="J226" i="3" s="1"/>
  <c r="K226" i="3" s="1"/>
  <c r="H226" i="3"/>
  <c r="F226" i="3"/>
  <c r="E226" i="3"/>
  <c r="I225" i="3"/>
  <c r="J225" i="3" s="1"/>
  <c r="K225" i="3" s="1"/>
  <c r="H225" i="3"/>
  <c r="F225" i="3"/>
  <c r="E225" i="3"/>
  <c r="K224" i="3"/>
  <c r="I224" i="3"/>
  <c r="J224" i="3" s="1"/>
  <c r="H224" i="3"/>
  <c r="F224" i="3"/>
  <c r="E224" i="3"/>
  <c r="I223" i="3"/>
  <c r="J223" i="3" s="1"/>
  <c r="K223" i="3" s="1"/>
  <c r="H223" i="3"/>
  <c r="F223" i="3"/>
  <c r="E223" i="3"/>
  <c r="I222" i="3"/>
  <c r="J222" i="3" s="1"/>
  <c r="K222" i="3" s="1"/>
  <c r="H222" i="3"/>
  <c r="F222" i="3"/>
  <c r="E222" i="3"/>
  <c r="I221" i="3"/>
  <c r="J221" i="3" s="1"/>
  <c r="K221" i="3" s="1"/>
  <c r="H221" i="3"/>
  <c r="F221" i="3"/>
  <c r="E221" i="3"/>
  <c r="H220" i="3"/>
  <c r="F220" i="3"/>
  <c r="I219" i="3"/>
  <c r="H219" i="3"/>
  <c r="J219" i="3" s="1"/>
  <c r="K219" i="3" s="1"/>
  <c r="F219" i="3"/>
  <c r="E219" i="3"/>
  <c r="I218" i="3"/>
  <c r="H218" i="3"/>
  <c r="J218" i="3" s="1"/>
  <c r="K218" i="3" s="1"/>
  <c r="F218" i="3"/>
  <c r="E218" i="3"/>
  <c r="I217" i="3"/>
  <c r="H217" i="3"/>
  <c r="J217" i="3" s="1"/>
  <c r="K217" i="3" s="1"/>
  <c r="F217" i="3"/>
  <c r="E217" i="3"/>
  <c r="I216" i="3"/>
  <c r="H216" i="3"/>
  <c r="J216" i="3" s="1"/>
  <c r="K216" i="3" s="1"/>
  <c r="F216" i="3"/>
  <c r="E216" i="3"/>
  <c r="I215" i="3"/>
  <c r="H215" i="3"/>
  <c r="J215" i="3" s="1"/>
  <c r="K215" i="3" s="1"/>
  <c r="K214" i="3" s="1"/>
  <c r="F215" i="3"/>
  <c r="E215" i="3"/>
  <c r="H214" i="3"/>
  <c r="F214" i="3"/>
  <c r="I213" i="3"/>
  <c r="J213" i="3" s="1"/>
  <c r="K213" i="3" s="1"/>
  <c r="H213" i="3"/>
  <c r="F213" i="3"/>
  <c r="E213" i="3"/>
  <c r="I212" i="3"/>
  <c r="J212" i="3" s="1"/>
  <c r="K212" i="3" s="1"/>
  <c r="H212" i="3"/>
  <c r="F212" i="3"/>
  <c r="E212" i="3"/>
  <c r="K211" i="3"/>
  <c r="I211" i="3"/>
  <c r="J211" i="3" s="1"/>
  <c r="H211" i="3"/>
  <c r="F211" i="3"/>
  <c r="E211" i="3"/>
  <c r="I210" i="3"/>
  <c r="J210" i="3" s="1"/>
  <c r="K210" i="3" s="1"/>
  <c r="H210" i="3"/>
  <c r="F210" i="3"/>
  <c r="E210" i="3"/>
  <c r="H209" i="3"/>
  <c r="F209" i="3"/>
  <c r="I208" i="3"/>
  <c r="H208" i="3"/>
  <c r="J208" i="3" s="1"/>
  <c r="K208" i="3" s="1"/>
  <c r="F208" i="3"/>
  <c r="E208" i="3"/>
  <c r="I207" i="3"/>
  <c r="H207" i="3"/>
  <c r="F207" i="3"/>
  <c r="E207" i="3"/>
  <c r="H206" i="3"/>
  <c r="F206" i="3"/>
  <c r="I205" i="3"/>
  <c r="J205" i="3" s="1"/>
  <c r="K205" i="3" s="1"/>
  <c r="H205" i="3"/>
  <c r="F205" i="3"/>
  <c r="E205" i="3"/>
  <c r="K204" i="3"/>
  <c r="I204" i="3"/>
  <c r="J204" i="3" s="1"/>
  <c r="H204" i="3"/>
  <c r="F204" i="3"/>
  <c r="E204" i="3"/>
  <c r="I203" i="3"/>
  <c r="J203" i="3" s="1"/>
  <c r="K203" i="3" s="1"/>
  <c r="H203" i="3"/>
  <c r="F203" i="3"/>
  <c r="E203" i="3"/>
  <c r="I202" i="3"/>
  <c r="J202" i="3" s="1"/>
  <c r="K202" i="3" s="1"/>
  <c r="H202" i="3"/>
  <c r="F202" i="3"/>
  <c r="E202" i="3"/>
  <c r="I201" i="3"/>
  <c r="J201" i="3" s="1"/>
  <c r="K201" i="3" s="1"/>
  <c r="H201" i="3"/>
  <c r="F201" i="3"/>
  <c r="E201" i="3"/>
  <c r="K200" i="3"/>
  <c r="I200" i="3"/>
  <c r="J200" i="3" s="1"/>
  <c r="H200" i="3"/>
  <c r="F200" i="3"/>
  <c r="E200" i="3"/>
  <c r="I199" i="3"/>
  <c r="J199" i="3" s="1"/>
  <c r="K199" i="3" s="1"/>
  <c r="H199" i="3"/>
  <c r="F199" i="3"/>
  <c r="E199" i="3"/>
  <c r="I198" i="3"/>
  <c r="J198" i="3" s="1"/>
  <c r="K198" i="3" s="1"/>
  <c r="H198" i="3"/>
  <c r="F198" i="3"/>
  <c r="E198" i="3"/>
  <c r="I197" i="3"/>
  <c r="J197" i="3" s="1"/>
  <c r="K197" i="3" s="1"/>
  <c r="H197" i="3"/>
  <c r="F197" i="3"/>
  <c r="E197" i="3"/>
  <c r="H196" i="3"/>
  <c r="F196" i="3"/>
  <c r="I195" i="3"/>
  <c r="H195" i="3"/>
  <c r="J195" i="3" s="1"/>
  <c r="K195" i="3" s="1"/>
  <c r="F195" i="3"/>
  <c r="E195" i="3"/>
  <c r="I194" i="3"/>
  <c r="H194" i="3"/>
  <c r="J194" i="3" s="1"/>
  <c r="K194" i="3" s="1"/>
  <c r="F194" i="3"/>
  <c r="E194" i="3"/>
  <c r="I193" i="3"/>
  <c r="H193" i="3"/>
  <c r="J193" i="3" s="1"/>
  <c r="K193" i="3" s="1"/>
  <c r="F193" i="3"/>
  <c r="E193" i="3"/>
  <c r="I192" i="3"/>
  <c r="H192" i="3"/>
  <c r="J192" i="3" s="1"/>
  <c r="K192" i="3" s="1"/>
  <c r="F192" i="3"/>
  <c r="E192" i="3"/>
  <c r="I191" i="3"/>
  <c r="H191" i="3"/>
  <c r="J191" i="3" s="1"/>
  <c r="K191" i="3" s="1"/>
  <c r="F191" i="3"/>
  <c r="E191" i="3"/>
  <c r="I190" i="3"/>
  <c r="H190" i="3"/>
  <c r="F190" i="3"/>
  <c r="E190" i="3"/>
  <c r="I189" i="3"/>
  <c r="H189" i="3"/>
  <c r="J189" i="3" s="1"/>
  <c r="K189" i="3" s="1"/>
  <c r="F189" i="3"/>
  <c r="E189" i="3"/>
  <c r="I188" i="3"/>
  <c r="H188" i="3"/>
  <c r="J188" i="3" s="1"/>
  <c r="K188" i="3" s="1"/>
  <c r="F188" i="3"/>
  <c r="E188" i="3"/>
  <c r="I187" i="3"/>
  <c r="H187" i="3"/>
  <c r="J187" i="3" s="1"/>
  <c r="K187" i="3" s="1"/>
  <c r="F187" i="3"/>
  <c r="E187" i="3"/>
  <c r="I186" i="3"/>
  <c r="H186" i="3"/>
  <c r="J186" i="3" s="1"/>
  <c r="K186" i="3" s="1"/>
  <c r="F186" i="3"/>
  <c r="E186" i="3"/>
  <c r="I185" i="3"/>
  <c r="H185" i="3"/>
  <c r="J185" i="3" s="1"/>
  <c r="K185" i="3" s="1"/>
  <c r="F185" i="3"/>
  <c r="E185" i="3"/>
  <c r="H184" i="3"/>
  <c r="F184" i="3"/>
  <c r="J183" i="3"/>
  <c r="K183" i="3" s="1"/>
  <c r="I183" i="3"/>
  <c r="H183" i="3"/>
  <c r="F183" i="3"/>
  <c r="E183" i="3"/>
  <c r="I182" i="3"/>
  <c r="J182" i="3" s="1"/>
  <c r="K182" i="3" s="1"/>
  <c r="H182" i="3"/>
  <c r="F182" i="3"/>
  <c r="E182" i="3"/>
  <c r="I181" i="3"/>
  <c r="J181" i="3" s="1"/>
  <c r="K181" i="3" s="1"/>
  <c r="H181" i="3"/>
  <c r="F181" i="3"/>
  <c r="E181" i="3"/>
  <c r="H180" i="3"/>
  <c r="F180" i="3"/>
  <c r="I179" i="3"/>
  <c r="H179" i="3"/>
  <c r="J179" i="3" s="1"/>
  <c r="K179" i="3" s="1"/>
  <c r="F179" i="3"/>
  <c r="E179" i="3"/>
  <c r="I178" i="3"/>
  <c r="H178" i="3"/>
  <c r="J178" i="3" s="1"/>
  <c r="K178" i="3" s="1"/>
  <c r="F178" i="3"/>
  <c r="E178" i="3"/>
  <c r="I177" i="3"/>
  <c r="H177" i="3"/>
  <c r="F177" i="3"/>
  <c r="E177" i="3"/>
  <c r="I176" i="3"/>
  <c r="H176" i="3"/>
  <c r="J176" i="3" s="1"/>
  <c r="K176" i="3" s="1"/>
  <c r="F176" i="3"/>
  <c r="E176" i="3"/>
  <c r="I175" i="3"/>
  <c r="H175" i="3"/>
  <c r="J175" i="3" s="1"/>
  <c r="K175" i="3" s="1"/>
  <c r="F175" i="3"/>
  <c r="E175" i="3"/>
  <c r="I174" i="3"/>
  <c r="H174" i="3"/>
  <c r="J174" i="3" s="1"/>
  <c r="K174" i="3" s="1"/>
  <c r="F174" i="3"/>
  <c r="E174" i="3"/>
  <c r="I173" i="3"/>
  <c r="H173" i="3"/>
  <c r="J173" i="3" s="1"/>
  <c r="K173" i="3" s="1"/>
  <c r="F173" i="3"/>
  <c r="E173" i="3"/>
  <c r="I172" i="3"/>
  <c r="H172" i="3"/>
  <c r="J172" i="3" s="1"/>
  <c r="K172" i="3" s="1"/>
  <c r="F172" i="3"/>
  <c r="E172" i="3"/>
  <c r="H171" i="3"/>
  <c r="F171" i="3"/>
  <c r="J170" i="3"/>
  <c r="K170" i="3" s="1"/>
  <c r="I170" i="3"/>
  <c r="H170" i="3"/>
  <c r="F170" i="3"/>
  <c r="E170" i="3"/>
  <c r="I169" i="3"/>
  <c r="J169" i="3" s="1"/>
  <c r="K169" i="3" s="1"/>
  <c r="H169" i="3"/>
  <c r="F169" i="3"/>
  <c r="E169" i="3"/>
  <c r="I168" i="3"/>
  <c r="J168" i="3" s="1"/>
  <c r="K168" i="3" s="1"/>
  <c r="H168" i="3"/>
  <c r="F168" i="3"/>
  <c r="E168" i="3"/>
  <c r="K167" i="3"/>
  <c r="I167" i="3"/>
  <c r="J167" i="3" s="1"/>
  <c r="H167" i="3"/>
  <c r="F167" i="3"/>
  <c r="E167" i="3"/>
  <c r="J166" i="3"/>
  <c r="K166" i="3" s="1"/>
  <c r="I166" i="3"/>
  <c r="H166" i="3"/>
  <c r="F166" i="3"/>
  <c r="E166" i="3"/>
  <c r="I165" i="3"/>
  <c r="J165" i="3" s="1"/>
  <c r="K165" i="3" s="1"/>
  <c r="H165" i="3"/>
  <c r="F165" i="3"/>
  <c r="E165" i="3"/>
  <c r="I164" i="3"/>
  <c r="J164" i="3" s="1"/>
  <c r="K164" i="3" s="1"/>
  <c r="H164" i="3"/>
  <c r="F164" i="3"/>
  <c r="E164" i="3"/>
  <c r="K163" i="3"/>
  <c r="I163" i="3"/>
  <c r="J163" i="3" s="1"/>
  <c r="H163" i="3"/>
  <c r="F163" i="3"/>
  <c r="E163" i="3"/>
  <c r="I162" i="3"/>
  <c r="J162" i="3" s="1"/>
  <c r="K162" i="3" s="1"/>
  <c r="H162" i="3"/>
  <c r="F162" i="3"/>
  <c r="E162" i="3"/>
  <c r="I161" i="3"/>
  <c r="J161" i="3" s="1"/>
  <c r="K161" i="3" s="1"/>
  <c r="H161" i="3"/>
  <c r="F161" i="3"/>
  <c r="E161" i="3"/>
  <c r="H160" i="3"/>
  <c r="F160" i="3"/>
  <c r="I159" i="3"/>
  <c r="H159" i="3"/>
  <c r="J159" i="3" s="1"/>
  <c r="K159" i="3" s="1"/>
  <c r="F159" i="3"/>
  <c r="E159" i="3"/>
  <c r="I158" i="3"/>
  <c r="H158" i="3"/>
  <c r="J158" i="3" s="1"/>
  <c r="K158" i="3" s="1"/>
  <c r="F158" i="3"/>
  <c r="E158" i="3"/>
  <c r="I157" i="3"/>
  <c r="H157" i="3"/>
  <c r="J157" i="3" s="1"/>
  <c r="K157" i="3" s="1"/>
  <c r="F157" i="3"/>
  <c r="E157" i="3"/>
  <c r="I156" i="3"/>
  <c r="H156" i="3"/>
  <c r="J156" i="3" s="1"/>
  <c r="K156" i="3" s="1"/>
  <c r="K155" i="3" s="1"/>
  <c r="F156" i="3"/>
  <c r="E156" i="3"/>
  <c r="H155" i="3"/>
  <c r="F155" i="3"/>
  <c r="I154" i="3"/>
  <c r="J154" i="3" s="1"/>
  <c r="K154" i="3" s="1"/>
  <c r="K153" i="3" s="1"/>
  <c r="H154" i="3"/>
  <c r="F154" i="3"/>
  <c r="E154" i="3"/>
  <c r="H153" i="3"/>
  <c r="F153" i="3"/>
  <c r="H152" i="3"/>
  <c r="F152" i="3"/>
  <c r="I151" i="3"/>
  <c r="J151" i="3" s="1"/>
  <c r="K151" i="3" s="1"/>
  <c r="H151" i="3"/>
  <c r="F151" i="3"/>
  <c r="E151" i="3"/>
  <c r="I150" i="3"/>
  <c r="J150" i="3" s="1"/>
  <c r="K150" i="3" s="1"/>
  <c r="H150" i="3"/>
  <c r="F150" i="3"/>
  <c r="E150" i="3"/>
  <c r="H149" i="3"/>
  <c r="F149" i="3"/>
  <c r="I148" i="3"/>
  <c r="H148" i="3"/>
  <c r="J148" i="3" s="1"/>
  <c r="K148" i="3" s="1"/>
  <c r="F148" i="3"/>
  <c r="E148" i="3"/>
  <c r="I147" i="3"/>
  <c r="H147" i="3"/>
  <c r="J147" i="3" s="1"/>
  <c r="K147" i="3" s="1"/>
  <c r="F147" i="3"/>
  <c r="E147" i="3"/>
  <c r="H146" i="3"/>
  <c r="F146" i="3"/>
  <c r="J145" i="3"/>
  <c r="K145" i="3" s="1"/>
  <c r="I145" i="3"/>
  <c r="H145" i="3"/>
  <c r="F145" i="3"/>
  <c r="E145" i="3"/>
  <c r="I144" i="3"/>
  <c r="J144" i="3" s="1"/>
  <c r="K144" i="3" s="1"/>
  <c r="H144" i="3"/>
  <c r="F144" i="3"/>
  <c r="E144" i="3"/>
  <c r="I143" i="3"/>
  <c r="J143" i="3" s="1"/>
  <c r="K143" i="3" s="1"/>
  <c r="K142" i="3" s="1"/>
  <c r="H143" i="3"/>
  <c r="F143" i="3"/>
  <c r="E143" i="3"/>
  <c r="H142" i="3"/>
  <c r="F142" i="3"/>
  <c r="I141" i="3"/>
  <c r="H141" i="3"/>
  <c r="J141" i="3" s="1"/>
  <c r="K141" i="3" s="1"/>
  <c r="K140" i="3" s="1"/>
  <c r="F141" i="3"/>
  <c r="E141" i="3"/>
  <c r="H140" i="3"/>
  <c r="F140" i="3"/>
  <c r="H139" i="3"/>
  <c r="F139" i="3"/>
  <c r="I138" i="3"/>
  <c r="H138" i="3"/>
  <c r="F138" i="3"/>
  <c r="E138" i="3"/>
  <c r="I137" i="3"/>
  <c r="H137" i="3"/>
  <c r="F137" i="3"/>
  <c r="E137" i="3"/>
  <c r="I136" i="3"/>
  <c r="H136" i="3"/>
  <c r="F136" i="3"/>
  <c r="E136" i="3"/>
  <c r="I135" i="3"/>
  <c r="H135" i="3"/>
  <c r="F135" i="3"/>
  <c r="E135" i="3"/>
  <c r="I134" i="3"/>
  <c r="H134" i="3"/>
  <c r="F134" i="3"/>
  <c r="E134" i="3"/>
  <c r="I133" i="3"/>
  <c r="H133" i="3"/>
  <c r="F133" i="3"/>
  <c r="E133" i="3"/>
  <c r="I132" i="3"/>
  <c r="H132" i="3"/>
  <c r="F132" i="3"/>
  <c r="E132" i="3"/>
  <c r="I131" i="3"/>
  <c r="H131" i="3"/>
  <c r="F131" i="3"/>
  <c r="E131" i="3"/>
  <c r="H130" i="3"/>
  <c r="F130" i="3"/>
  <c r="I129" i="3"/>
  <c r="J129" i="3" s="1"/>
  <c r="K129" i="3" s="1"/>
  <c r="H129" i="3"/>
  <c r="F129" i="3"/>
  <c r="E129" i="3"/>
  <c r="K128" i="3"/>
  <c r="I128" i="3"/>
  <c r="J128" i="3" s="1"/>
  <c r="H128" i="3"/>
  <c r="F128" i="3"/>
  <c r="E128" i="3"/>
  <c r="J127" i="3"/>
  <c r="K127" i="3" s="1"/>
  <c r="I127" i="3"/>
  <c r="H127" i="3"/>
  <c r="F127" i="3"/>
  <c r="E127" i="3"/>
  <c r="K126" i="3"/>
  <c r="J126" i="3"/>
  <c r="I126" i="3"/>
  <c r="H126" i="3"/>
  <c r="F126" i="3"/>
  <c r="E126" i="3"/>
  <c r="J125" i="3"/>
  <c r="K125" i="3" s="1"/>
  <c r="I125" i="3"/>
  <c r="H125" i="3"/>
  <c r="F125" i="3"/>
  <c r="E125" i="3"/>
  <c r="J124" i="3"/>
  <c r="K124" i="3" s="1"/>
  <c r="I124" i="3"/>
  <c r="H124" i="3"/>
  <c r="F124" i="3"/>
  <c r="E124" i="3"/>
  <c r="J123" i="3"/>
  <c r="K123" i="3" s="1"/>
  <c r="I123" i="3"/>
  <c r="H123" i="3"/>
  <c r="F123" i="3"/>
  <c r="E123" i="3"/>
  <c r="K122" i="3"/>
  <c r="J122" i="3"/>
  <c r="I122" i="3"/>
  <c r="H122" i="3"/>
  <c r="F122" i="3"/>
  <c r="E122" i="3"/>
  <c r="J121" i="3"/>
  <c r="K121" i="3" s="1"/>
  <c r="I121" i="3"/>
  <c r="H121" i="3"/>
  <c r="F121" i="3"/>
  <c r="E121" i="3"/>
  <c r="J120" i="3"/>
  <c r="K120" i="3" s="1"/>
  <c r="K119" i="3" s="1"/>
  <c r="I120" i="3"/>
  <c r="H120" i="3"/>
  <c r="F120" i="3"/>
  <c r="E120" i="3"/>
  <c r="H119" i="3"/>
  <c r="F119" i="3"/>
  <c r="I118" i="3"/>
  <c r="H118" i="3"/>
  <c r="F118" i="3"/>
  <c r="E118" i="3"/>
  <c r="I117" i="3"/>
  <c r="H117" i="3"/>
  <c r="F117" i="3"/>
  <c r="E117" i="3"/>
  <c r="I116" i="3"/>
  <c r="H116" i="3"/>
  <c r="F116" i="3"/>
  <c r="E116" i="3"/>
  <c r="I115" i="3"/>
  <c r="H115" i="3"/>
  <c r="F115" i="3"/>
  <c r="E115" i="3"/>
  <c r="I114" i="3"/>
  <c r="H114" i="3"/>
  <c r="F114" i="3"/>
  <c r="E114" i="3"/>
  <c r="I113" i="3"/>
  <c r="H113" i="3"/>
  <c r="F113" i="3"/>
  <c r="E113" i="3"/>
  <c r="I112" i="3"/>
  <c r="H112" i="3"/>
  <c r="F112" i="3"/>
  <c r="E112" i="3"/>
  <c r="I111" i="3"/>
  <c r="H111" i="3"/>
  <c r="F111" i="3"/>
  <c r="E111" i="3"/>
  <c r="I110" i="3"/>
  <c r="H110" i="3"/>
  <c r="F110" i="3"/>
  <c r="E110" i="3"/>
  <c r="I109" i="3"/>
  <c r="H109" i="3"/>
  <c r="F109" i="3"/>
  <c r="E109" i="3"/>
  <c r="I108" i="3"/>
  <c r="H108" i="3"/>
  <c r="F108" i="3"/>
  <c r="E108" i="3"/>
  <c r="H107" i="3"/>
  <c r="F107" i="3"/>
  <c r="H106" i="3"/>
  <c r="F106" i="3"/>
  <c r="I105" i="3"/>
  <c r="H105" i="3"/>
  <c r="J105" i="3" s="1"/>
  <c r="K105" i="3" s="1"/>
  <c r="F105" i="3"/>
  <c r="E105" i="3"/>
  <c r="I104" i="3"/>
  <c r="H104" i="3"/>
  <c r="J104" i="3" s="1"/>
  <c r="K104" i="3" s="1"/>
  <c r="F104" i="3"/>
  <c r="E104" i="3"/>
  <c r="I103" i="3"/>
  <c r="H103" i="3"/>
  <c r="J103" i="3" s="1"/>
  <c r="K103" i="3" s="1"/>
  <c r="F103" i="3"/>
  <c r="E103" i="3"/>
  <c r="I102" i="3"/>
  <c r="H102" i="3"/>
  <c r="J102" i="3" s="1"/>
  <c r="K102" i="3" s="1"/>
  <c r="F102" i="3"/>
  <c r="E102" i="3"/>
  <c r="I101" i="3"/>
  <c r="H101" i="3"/>
  <c r="J101" i="3" s="1"/>
  <c r="K101" i="3" s="1"/>
  <c r="F101" i="3"/>
  <c r="E101" i="3"/>
  <c r="I100" i="3"/>
  <c r="H100" i="3"/>
  <c r="J100" i="3" s="1"/>
  <c r="K100" i="3" s="1"/>
  <c r="F100" i="3"/>
  <c r="E100" i="3"/>
  <c r="I99" i="3"/>
  <c r="H99" i="3"/>
  <c r="J99" i="3" s="1"/>
  <c r="K99" i="3" s="1"/>
  <c r="F99" i="3"/>
  <c r="E99" i="3"/>
  <c r="I98" i="3"/>
  <c r="H98" i="3"/>
  <c r="J98" i="3" s="1"/>
  <c r="K98" i="3" s="1"/>
  <c r="F98" i="3"/>
  <c r="E98" i="3"/>
  <c r="I97" i="3"/>
  <c r="H97" i="3"/>
  <c r="J97" i="3" s="1"/>
  <c r="K97" i="3" s="1"/>
  <c r="F97" i="3"/>
  <c r="E97" i="3"/>
  <c r="I96" i="3"/>
  <c r="H96" i="3"/>
  <c r="J96" i="3" s="1"/>
  <c r="K96" i="3" s="1"/>
  <c r="F96" i="3"/>
  <c r="E96" i="3"/>
  <c r="I95" i="3"/>
  <c r="H95" i="3"/>
  <c r="J95" i="3" s="1"/>
  <c r="K95" i="3" s="1"/>
  <c r="F95" i="3"/>
  <c r="E95" i="3"/>
  <c r="I94" i="3"/>
  <c r="H94" i="3"/>
  <c r="J94" i="3" s="1"/>
  <c r="K94" i="3" s="1"/>
  <c r="F94" i="3"/>
  <c r="E94" i="3"/>
  <c r="I93" i="3"/>
  <c r="H93" i="3"/>
  <c r="J93" i="3" s="1"/>
  <c r="K93" i="3" s="1"/>
  <c r="F93" i="3"/>
  <c r="E93" i="3"/>
  <c r="I92" i="3"/>
  <c r="H92" i="3"/>
  <c r="J92" i="3" s="1"/>
  <c r="K92" i="3" s="1"/>
  <c r="F92" i="3"/>
  <c r="E92" i="3"/>
  <c r="I91" i="3"/>
  <c r="H91" i="3"/>
  <c r="F91" i="3"/>
  <c r="E91" i="3"/>
  <c r="I90" i="3"/>
  <c r="H90" i="3"/>
  <c r="F90" i="3"/>
  <c r="E90" i="3"/>
  <c r="I89" i="3"/>
  <c r="H89" i="3"/>
  <c r="J89" i="3" s="1"/>
  <c r="K89" i="3" s="1"/>
  <c r="F89" i="3"/>
  <c r="E89" i="3"/>
  <c r="I88" i="3"/>
  <c r="J88" i="3" s="1"/>
  <c r="K88" i="3" s="1"/>
  <c r="H88" i="3"/>
  <c r="F88" i="3"/>
  <c r="E88" i="3"/>
  <c r="I87" i="3"/>
  <c r="H87" i="3"/>
  <c r="F87" i="3"/>
  <c r="E87" i="3"/>
  <c r="J86" i="3"/>
  <c r="K86" i="3" s="1"/>
  <c r="I86" i="3"/>
  <c r="H86" i="3"/>
  <c r="F86" i="3"/>
  <c r="E86" i="3"/>
  <c r="H85" i="3"/>
  <c r="F85" i="3"/>
  <c r="J84" i="3"/>
  <c r="K84" i="3" s="1"/>
  <c r="I84" i="3"/>
  <c r="H84" i="3"/>
  <c r="F84" i="3"/>
  <c r="E84" i="3"/>
  <c r="J83" i="3"/>
  <c r="K83" i="3" s="1"/>
  <c r="I83" i="3"/>
  <c r="H83" i="3"/>
  <c r="F83" i="3"/>
  <c r="E83" i="3"/>
  <c r="J82" i="3"/>
  <c r="K82" i="3" s="1"/>
  <c r="I82" i="3"/>
  <c r="H82" i="3"/>
  <c r="F82" i="3"/>
  <c r="E82" i="3"/>
  <c r="J81" i="3"/>
  <c r="K81" i="3" s="1"/>
  <c r="I81" i="3"/>
  <c r="H81" i="3"/>
  <c r="F81" i="3"/>
  <c r="E81" i="3"/>
  <c r="J80" i="3"/>
  <c r="K80" i="3" s="1"/>
  <c r="I80" i="3"/>
  <c r="H80" i="3"/>
  <c r="F80" i="3"/>
  <c r="E80" i="3"/>
  <c r="J79" i="3"/>
  <c r="K79" i="3" s="1"/>
  <c r="I79" i="3"/>
  <c r="H79" i="3"/>
  <c r="F79" i="3"/>
  <c r="E79" i="3"/>
  <c r="K78" i="3"/>
  <c r="J78" i="3"/>
  <c r="I78" i="3"/>
  <c r="H78" i="3"/>
  <c r="F78" i="3"/>
  <c r="E78" i="3"/>
  <c r="H77" i="3"/>
  <c r="F77" i="3"/>
  <c r="H76" i="3"/>
  <c r="F76" i="3"/>
  <c r="I75" i="3"/>
  <c r="J75" i="3" s="1"/>
  <c r="K75" i="3" s="1"/>
  <c r="H75" i="3"/>
  <c r="F75" i="3"/>
  <c r="E75" i="3"/>
  <c r="I74" i="3"/>
  <c r="J74" i="3" s="1"/>
  <c r="K74" i="3" s="1"/>
  <c r="H74" i="3"/>
  <c r="F74" i="3"/>
  <c r="E74" i="3"/>
  <c r="J73" i="3"/>
  <c r="K73" i="3" s="1"/>
  <c r="I73" i="3"/>
  <c r="H73" i="3"/>
  <c r="F73" i="3"/>
  <c r="E73" i="3"/>
  <c r="I72" i="3"/>
  <c r="J72" i="3" s="1"/>
  <c r="K72" i="3" s="1"/>
  <c r="H72" i="3"/>
  <c r="F72" i="3"/>
  <c r="E72" i="3"/>
  <c r="J71" i="3"/>
  <c r="K71" i="3" s="1"/>
  <c r="K70" i="3" s="1"/>
  <c r="I71" i="3"/>
  <c r="H71" i="3"/>
  <c r="F71" i="3"/>
  <c r="E71" i="3"/>
  <c r="H70" i="3"/>
  <c r="F70" i="3"/>
  <c r="I69" i="3"/>
  <c r="H69" i="3"/>
  <c r="J69" i="3" s="1"/>
  <c r="K69" i="3" s="1"/>
  <c r="F69" i="3"/>
  <c r="E69" i="3"/>
  <c r="J68" i="3"/>
  <c r="K68" i="3" s="1"/>
  <c r="I68" i="3"/>
  <c r="H68" i="3"/>
  <c r="F68" i="3"/>
  <c r="E68" i="3"/>
  <c r="I67" i="3"/>
  <c r="J67" i="3" s="1"/>
  <c r="K67" i="3" s="1"/>
  <c r="H67" i="3"/>
  <c r="F67" i="3"/>
  <c r="E67" i="3"/>
  <c r="I66" i="3"/>
  <c r="H66" i="3"/>
  <c r="F66" i="3"/>
  <c r="E66" i="3"/>
  <c r="I65" i="3"/>
  <c r="H65" i="3"/>
  <c r="J65" i="3" s="1"/>
  <c r="K65" i="3" s="1"/>
  <c r="F65" i="3"/>
  <c r="E65" i="3"/>
  <c r="I64" i="3"/>
  <c r="H64" i="3"/>
  <c r="J64" i="3" s="1"/>
  <c r="K64" i="3" s="1"/>
  <c r="F64" i="3"/>
  <c r="E64" i="3"/>
  <c r="H63" i="3"/>
  <c r="F63" i="3"/>
  <c r="H62" i="3"/>
  <c r="F62" i="3"/>
  <c r="I61" i="3"/>
  <c r="H61" i="3"/>
  <c r="J61" i="3" s="1"/>
  <c r="K61" i="3" s="1"/>
  <c r="K60" i="3" s="1"/>
  <c r="F61" i="3"/>
  <c r="E61" i="3"/>
  <c r="H60" i="3"/>
  <c r="F60" i="3"/>
  <c r="J59" i="3"/>
  <c r="K59" i="3" s="1"/>
  <c r="I59" i="3"/>
  <c r="H59" i="3"/>
  <c r="F59" i="3"/>
  <c r="E59" i="3"/>
  <c r="J58" i="3"/>
  <c r="K58" i="3" s="1"/>
  <c r="I58" i="3"/>
  <c r="H58" i="3"/>
  <c r="F58" i="3"/>
  <c r="E58" i="3"/>
  <c r="J57" i="3"/>
  <c r="K57" i="3" s="1"/>
  <c r="I57" i="3"/>
  <c r="H57" i="3"/>
  <c r="F57" i="3"/>
  <c r="E57" i="3"/>
  <c r="I56" i="3"/>
  <c r="H56" i="3"/>
  <c r="J56" i="3" s="1"/>
  <c r="K56" i="3" s="1"/>
  <c r="F56" i="3"/>
  <c r="E56" i="3"/>
  <c r="J55" i="3"/>
  <c r="K55" i="3" s="1"/>
  <c r="I55" i="3"/>
  <c r="H55" i="3"/>
  <c r="F55" i="3"/>
  <c r="E55" i="3"/>
  <c r="I54" i="3"/>
  <c r="H54" i="3"/>
  <c r="J54" i="3" s="1"/>
  <c r="K54" i="3" s="1"/>
  <c r="F54" i="3"/>
  <c r="E54" i="3"/>
  <c r="H53" i="3"/>
  <c r="J52" i="3"/>
  <c r="K52" i="3" s="1"/>
  <c r="I52" i="3"/>
  <c r="H52" i="3"/>
  <c r="F52" i="3"/>
  <c r="E52" i="3"/>
  <c r="I51" i="3"/>
  <c r="H51" i="3"/>
  <c r="J51" i="3" s="1"/>
  <c r="K51" i="3" s="1"/>
  <c r="F51" i="3"/>
  <c r="E51" i="3"/>
  <c r="J50" i="3"/>
  <c r="K50" i="3" s="1"/>
  <c r="I50" i="3"/>
  <c r="H50" i="3"/>
  <c r="F50" i="3"/>
  <c r="E50" i="3"/>
  <c r="I49" i="3"/>
  <c r="H49" i="3"/>
  <c r="J49" i="3" s="1"/>
  <c r="K49" i="3" s="1"/>
  <c r="F49" i="3"/>
  <c r="E49" i="3"/>
  <c r="J48" i="3"/>
  <c r="K48" i="3" s="1"/>
  <c r="I48" i="3"/>
  <c r="H48" i="3"/>
  <c r="F48" i="3"/>
  <c r="E48" i="3"/>
  <c r="H47" i="3"/>
  <c r="J46" i="3"/>
  <c r="K46" i="3" s="1"/>
  <c r="K45" i="3" s="1"/>
  <c r="I46" i="3"/>
  <c r="H46" i="3"/>
  <c r="F46" i="3"/>
  <c r="E46" i="3"/>
  <c r="H45" i="3"/>
  <c r="H44" i="3"/>
  <c r="I43" i="3"/>
  <c r="H43" i="3"/>
  <c r="F43" i="3"/>
  <c r="E43" i="3"/>
  <c r="H42" i="3"/>
  <c r="I41" i="3"/>
  <c r="H41" i="3"/>
  <c r="J41" i="3" s="1"/>
  <c r="K41" i="3" s="1"/>
  <c r="F41" i="3"/>
  <c r="E41" i="3"/>
  <c r="K40" i="3"/>
  <c r="H40" i="3"/>
  <c r="J39" i="3"/>
  <c r="K39" i="3" s="1"/>
  <c r="I39" i="3"/>
  <c r="H39" i="3"/>
  <c r="F39" i="3"/>
  <c r="E39" i="3"/>
  <c r="I38" i="3"/>
  <c r="H38" i="3"/>
  <c r="J38" i="3" s="1"/>
  <c r="K38" i="3" s="1"/>
  <c r="K37" i="3" s="1"/>
  <c r="F38" i="3"/>
  <c r="E38" i="3"/>
  <c r="H37" i="3"/>
  <c r="J36" i="3"/>
  <c r="K36" i="3" s="1"/>
  <c r="I36" i="3"/>
  <c r="H36" i="3"/>
  <c r="F36" i="3"/>
  <c r="E36" i="3"/>
  <c r="I35" i="3"/>
  <c r="H35" i="3"/>
  <c r="J35" i="3" s="1"/>
  <c r="K35" i="3" s="1"/>
  <c r="K34" i="3" s="1"/>
  <c r="F35" i="3"/>
  <c r="E35" i="3"/>
  <c r="H34" i="3"/>
  <c r="I33" i="3"/>
  <c r="H33" i="3"/>
  <c r="J33" i="3" s="1"/>
  <c r="K33" i="3" s="1"/>
  <c r="K32" i="3" s="1"/>
  <c r="F33" i="3"/>
  <c r="E33" i="3"/>
  <c r="H32" i="3"/>
  <c r="J31" i="3"/>
  <c r="K31" i="3" s="1"/>
  <c r="I31" i="3"/>
  <c r="H31" i="3"/>
  <c r="F31" i="3"/>
  <c r="E31" i="3"/>
  <c r="I30" i="3"/>
  <c r="H30" i="3"/>
  <c r="J30" i="3" s="1"/>
  <c r="K30" i="3" s="1"/>
  <c r="F30" i="3"/>
  <c r="E30" i="3"/>
  <c r="J29" i="3"/>
  <c r="K29" i="3" s="1"/>
  <c r="I29" i="3"/>
  <c r="H29" i="3"/>
  <c r="F29" i="3"/>
  <c r="E29" i="3"/>
  <c r="I28" i="3"/>
  <c r="H28" i="3"/>
  <c r="J28" i="3" s="1"/>
  <c r="K28" i="3" s="1"/>
  <c r="F28" i="3"/>
  <c r="E28" i="3"/>
  <c r="J27" i="3"/>
  <c r="K27" i="3" s="1"/>
  <c r="I27" i="3"/>
  <c r="H27" i="3"/>
  <c r="F27" i="3"/>
  <c r="E27" i="3"/>
  <c r="I26" i="3"/>
  <c r="H26" i="3"/>
  <c r="J26" i="3" s="1"/>
  <c r="K26" i="3" s="1"/>
  <c r="F26" i="3"/>
  <c r="E26" i="3"/>
  <c r="H25" i="3"/>
  <c r="J24" i="3"/>
  <c r="K24" i="3" s="1"/>
  <c r="I24" i="3"/>
  <c r="H24" i="3"/>
  <c r="F24" i="3"/>
  <c r="E24" i="3"/>
  <c r="I23" i="3"/>
  <c r="H23" i="3"/>
  <c r="F23" i="3"/>
  <c r="E23" i="3"/>
  <c r="J22" i="3"/>
  <c r="K22" i="3" s="1"/>
  <c r="I22" i="3"/>
  <c r="H22" i="3"/>
  <c r="F22" i="3"/>
  <c r="E22" i="3"/>
  <c r="I21" i="3"/>
  <c r="H21" i="3"/>
  <c r="J21" i="3" s="1"/>
  <c r="K21" i="3" s="1"/>
  <c r="F21" i="3"/>
  <c r="E21" i="3"/>
  <c r="J20" i="3"/>
  <c r="K20" i="3" s="1"/>
  <c r="I20" i="3"/>
  <c r="H20" i="3"/>
  <c r="F20" i="3"/>
  <c r="E20" i="3"/>
  <c r="H19" i="3"/>
  <c r="H18" i="3"/>
  <c r="J17" i="3"/>
  <c r="K17" i="3" s="1"/>
  <c r="I17" i="3"/>
  <c r="H17" i="3"/>
  <c r="F17" i="3"/>
  <c r="E17" i="3"/>
  <c r="I16" i="3"/>
  <c r="H16" i="3"/>
  <c r="J16" i="3" s="1"/>
  <c r="K16" i="3" s="1"/>
  <c r="F16" i="3"/>
  <c r="E16" i="3"/>
  <c r="J15" i="3"/>
  <c r="K15" i="3" s="1"/>
  <c r="K14" i="3" s="1"/>
  <c r="I15" i="3"/>
  <c r="H15" i="3"/>
  <c r="F15" i="3"/>
  <c r="E15" i="3"/>
  <c r="I13" i="3"/>
  <c r="H13" i="3"/>
  <c r="J13" i="3" s="1"/>
  <c r="K13" i="3" s="1"/>
  <c r="K12" i="3" s="1"/>
  <c r="F13" i="3"/>
  <c r="E13" i="3"/>
  <c r="B534" i="2"/>
  <c r="B533" i="2"/>
  <c r="B532" i="2"/>
  <c r="J530" i="2"/>
  <c r="K530" i="2" s="1"/>
  <c r="K529" i="2" s="1"/>
  <c r="I530" i="2"/>
  <c r="H530" i="2"/>
  <c r="F530" i="2"/>
  <c r="E530" i="2"/>
  <c r="F529" i="2"/>
  <c r="I528" i="2"/>
  <c r="H528" i="2"/>
  <c r="J528" i="2" s="1"/>
  <c r="K528" i="2" s="1"/>
  <c r="K527" i="2" s="1"/>
  <c r="F528" i="2"/>
  <c r="E528" i="2"/>
  <c r="H527" i="2"/>
  <c r="F527" i="2"/>
  <c r="I526" i="2"/>
  <c r="J526" i="2" s="1"/>
  <c r="K526" i="2" s="1"/>
  <c r="H526" i="2"/>
  <c r="F526" i="2"/>
  <c r="E526" i="2"/>
  <c r="I525" i="2"/>
  <c r="J525" i="2" s="1"/>
  <c r="K525" i="2" s="1"/>
  <c r="H525" i="2"/>
  <c r="F525" i="2"/>
  <c r="E525" i="2"/>
  <c r="I524" i="2"/>
  <c r="J524" i="2" s="1"/>
  <c r="K524" i="2" s="1"/>
  <c r="H524" i="2"/>
  <c r="F524" i="2"/>
  <c r="E524" i="2"/>
  <c r="I523" i="2"/>
  <c r="J523" i="2" s="1"/>
  <c r="K523" i="2" s="1"/>
  <c r="K522" i="2" s="1"/>
  <c r="H523" i="2"/>
  <c r="F523" i="2"/>
  <c r="E523" i="2"/>
  <c r="H522" i="2"/>
  <c r="F522" i="2"/>
  <c r="I521" i="2"/>
  <c r="H521" i="2"/>
  <c r="J521" i="2" s="1"/>
  <c r="K521" i="2" s="1"/>
  <c r="F521" i="2"/>
  <c r="E521" i="2"/>
  <c r="J520" i="2"/>
  <c r="K520" i="2" s="1"/>
  <c r="K519" i="2" s="1"/>
  <c r="I520" i="2"/>
  <c r="H520" i="2"/>
  <c r="F520" i="2"/>
  <c r="E520" i="2"/>
  <c r="H519" i="2"/>
  <c r="F519" i="2"/>
  <c r="J518" i="2"/>
  <c r="K518" i="2" s="1"/>
  <c r="I518" i="2"/>
  <c r="H518" i="2"/>
  <c r="F518" i="2"/>
  <c r="E518" i="2"/>
  <c r="I517" i="2"/>
  <c r="J517" i="2" s="1"/>
  <c r="K517" i="2" s="1"/>
  <c r="H517" i="2"/>
  <c r="F517" i="2"/>
  <c r="E517" i="2"/>
  <c r="I516" i="2"/>
  <c r="J516" i="2" s="1"/>
  <c r="K516" i="2" s="1"/>
  <c r="H516" i="2"/>
  <c r="F516" i="2"/>
  <c r="E516" i="2"/>
  <c r="I515" i="2"/>
  <c r="J515" i="2" s="1"/>
  <c r="K515" i="2" s="1"/>
  <c r="H515" i="2"/>
  <c r="F515" i="2"/>
  <c r="E515" i="2"/>
  <c r="I514" i="2"/>
  <c r="J514" i="2" s="1"/>
  <c r="K514" i="2" s="1"/>
  <c r="H514" i="2"/>
  <c r="F514" i="2"/>
  <c r="E514" i="2"/>
  <c r="H513" i="2"/>
  <c r="F513" i="2"/>
  <c r="I512" i="2"/>
  <c r="H512" i="2"/>
  <c r="J512" i="2" s="1"/>
  <c r="K512" i="2" s="1"/>
  <c r="F512" i="2"/>
  <c r="E512" i="2"/>
  <c r="J511" i="2"/>
  <c r="K511" i="2" s="1"/>
  <c r="I511" i="2"/>
  <c r="H511" i="2"/>
  <c r="F511" i="2"/>
  <c r="E511" i="2"/>
  <c r="I510" i="2"/>
  <c r="H510" i="2"/>
  <c r="J510" i="2" s="1"/>
  <c r="K510" i="2" s="1"/>
  <c r="F510" i="2"/>
  <c r="E510" i="2"/>
  <c r="J509" i="2"/>
  <c r="K509" i="2" s="1"/>
  <c r="I509" i="2"/>
  <c r="H509" i="2"/>
  <c r="F509" i="2"/>
  <c r="E509" i="2"/>
  <c r="I508" i="2"/>
  <c r="H508" i="2"/>
  <c r="J508" i="2" s="1"/>
  <c r="K508" i="2" s="1"/>
  <c r="F508" i="2"/>
  <c r="E508" i="2"/>
  <c r="H507" i="2"/>
  <c r="F507" i="2"/>
  <c r="I506" i="2"/>
  <c r="J506" i="2" s="1"/>
  <c r="K506" i="2" s="1"/>
  <c r="K505" i="2" s="1"/>
  <c r="H506" i="2"/>
  <c r="F506" i="2"/>
  <c r="E506" i="2"/>
  <c r="H505" i="2"/>
  <c r="F505" i="2"/>
  <c r="J504" i="2"/>
  <c r="K504" i="2" s="1"/>
  <c r="I504" i="2"/>
  <c r="H504" i="2"/>
  <c r="F504" i="2"/>
  <c r="E504" i="2"/>
  <c r="I503" i="2"/>
  <c r="H503" i="2"/>
  <c r="J503" i="2" s="1"/>
  <c r="K503" i="2" s="1"/>
  <c r="F503" i="2"/>
  <c r="E503" i="2"/>
  <c r="J502" i="2"/>
  <c r="K502" i="2" s="1"/>
  <c r="I502" i="2"/>
  <c r="H502" i="2"/>
  <c r="F502" i="2"/>
  <c r="E502" i="2"/>
  <c r="I501" i="2"/>
  <c r="H501" i="2"/>
  <c r="J501" i="2" s="1"/>
  <c r="K501" i="2" s="1"/>
  <c r="F501" i="2"/>
  <c r="E501" i="2"/>
  <c r="J500" i="2"/>
  <c r="K500" i="2" s="1"/>
  <c r="I500" i="2"/>
  <c r="H500" i="2"/>
  <c r="F500" i="2"/>
  <c r="E500" i="2"/>
  <c r="I499" i="2"/>
  <c r="H499" i="2"/>
  <c r="J499" i="2" s="1"/>
  <c r="K499" i="2" s="1"/>
  <c r="F499" i="2"/>
  <c r="E499" i="2"/>
  <c r="J498" i="2"/>
  <c r="K498" i="2" s="1"/>
  <c r="I498" i="2"/>
  <c r="H498" i="2"/>
  <c r="F498" i="2"/>
  <c r="E498" i="2"/>
  <c r="H497" i="2"/>
  <c r="F497" i="2"/>
  <c r="J496" i="2"/>
  <c r="K496" i="2" s="1"/>
  <c r="I496" i="2"/>
  <c r="H496" i="2"/>
  <c r="F496" i="2"/>
  <c r="E496" i="2"/>
  <c r="I495" i="2"/>
  <c r="J495" i="2" s="1"/>
  <c r="K495" i="2" s="1"/>
  <c r="H495" i="2"/>
  <c r="F495" i="2"/>
  <c r="E495" i="2"/>
  <c r="H494" i="2"/>
  <c r="F494" i="2"/>
  <c r="J493" i="2"/>
  <c r="K493" i="2" s="1"/>
  <c r="I493" i="2"/>
  <c r="H493" i="2"/>
  <c r="F493" i="2"/>
  <c r="E493" i="2"/>
  <c r="I492" i="2"/>
  <c r="H492" i="2"/>
  <c r="J492" i="2" s="1"/>
  <c r="K492" i="2" s="1"/>
  <c r="F492" i="2"/>
  <c r="E492" i="2"/>
  <c r="J491" i="2"/>
  <c r="K491" i="2" s="1"/>
  <c r="I491" i="2"/>
  <c r="H491" i="2"/>
  <c r="F491" i="2"/>
  <c r="E491" i="2"/>
  <c r="I490" i="2"/>
  <c r="H490" i="2"/>
  <c r="J490" i="2" s="1"/>
  <c r="K490" i="2" s="1"/>
  <c r="F490" i="2"/>
  <c r="E490" i="2"/>
  <c r="J489" i="2"/>
  <c r="K489" i="2" s="1"/>
  <c r="I489" i="2"/>
  <c r="H489" i="2"/>
  <c r="F489" i="2"/>
  <c r="E489" i="2"/>
  <c r="I488" i="2"/>
  <c r="H488" i="2"/>
  <c r="J488" i="2" s="1"/>
  <c r="K488" i="2" s="1"/>
  <c r="F488" i="2"/>
  <c r="E488" i="2"/>
  <c r="J487" i="2"/>
  <c r="K487" i="2" s="1"/>
  <c r="I487" i="2"/>
  <c r="H487" i="2"/>
  <c r="F487" i="2"/>
  <c r="E487" i="2"/>
  <c r="I486" i="2"/>
  <c r="H486" i="2"/>
  <c r="J486" i="2" s="1"/>
  <c r="K486" i="2" s="1"/>
  <c r="F486" i="2"/>
  <c r="E486" i="2"/>
  <c r="J485" i="2"/>
  <c r="K485" i="2" s="1"/>
  <c r="I485" i="2"/>
  <c r="H485" i="2"/>
  <c r="F485" i="2"/>
  <c r="E485" i="2"/>
  <c r="I484" i="2"/>
  <c r="H484" i="2"/>
  <c r="J484" i="2" s="1"/>
  <c r="K484" i="2" s="1"/>
  <c r="F484" i="2"/>
  <c r="E484" i="2"/>
  <c r="J483" i="2"/>
  <c r="K483" i="2" s="1"/>
  <c r="I483" i="2"/>
  <c r="H483" i="2"/>
  <c r="F483" i="2"/>
  <c r="E483" i="2"/>
  <c r="I482" i="2"/>
  <c r="H482" i="2"/>
  <c r="J482" i="2" s="1"/>
  <c r="K482" i="2" s="1"/>
  <c r="F482" i="2"/>
  <c r="E482" i="2"/>
  <c r="J481" i="2"/>
  <c r="K481" i="2" s="1"/>
  <c r="I481" i="2"/>
  <c r="H481" i="2"/>
  <c r="F481" i="2"/>
  <c r="E481" i="2"/>
  <c r="H480" i="2"/>
  <c r="F480" i="2"/>
  <c r="J479" i="2"/>
  <c r="K479" i="2" s="1"/>
  <c r="I479" i="2"/>
  <c r="H479" i="2"/>
  <c r="F479" i="2"/>
  <c r="E479" i="2"/>
  <c r="I478" i="2"/>
  <c r="J478" i="2" s="1"/>
  <c r="K478" i="2" s="1"/>
  <c r="H478" i="2"/>
  <c r="F478" i="2"/>
  <c r="E478" i="2"/>
  <c r="I477" i="2"/>
  <c r="J477" i="2" s="1"/>
  <c r="K477" i="2" s="1"/>
  <c r="H477" i="2"/>
  <c r="F477" i="2"/>
  <c r="E477" i="2"/>
  <c r="I476" i="2"/>
  <c r="J476" i="2" s="1"/>
  <c r="K476" i="2" s="1"/>
  <c r="H476" i="2"/>
  <c r="F476" i="2"/>
  <c r="E476" i="2"/>
  <c r="I475" i="2"/>
  <c r="J475" i="2" s="1"/>
  <c r="K475" i="2" s="1"/>
  <c r="H475" i="2"/>
  <c r="F475" i="2"/>
  <c r="E475" i="2"/>
  <c r="I474" i="2"/>
  <c r="J474" i="2" s="1"/>
  <c r="K474" i="2" s="1"/>
  <c r="H474" i="2"/>
  <c r="F474" i="2"/>
  <c r="E474" i="2"/>
  <c r="J473" i="2"/>
  <c r="K473" i="2" s="1"/>
  <c r="I473" i="2"/>
  <c r="H473" i="2"/>
  <c r="F473" i="2"/>
  <c r="E473" i="2"/>
  <c r="I472" i="2"/>
  <c r="J472" i="2" s="1"/>
  <c r="K472" i="2" s="1"/>
  <c r="H472" i="2"/>
  <c r="F472" i="2"/>
  <c r="E472" i="2"/>
  <c r="J471" i="2"/>
  <c r="K471" i="2" s="1"/>
  <c r="I471" i="2"/>
  <c r="H471" i="2"/>
  <c r="F471" i="2"/>
  <c r="E471" i="2"/>
  <c r="I470" i="2"/>
  <c r="J470" i="2" s="1"/>
  <c r="K470" i="2" s="1"/>
  <c r="H470" i="2"/>
  <c r="F470" i="2"/>
  <c r="E470" i="2"/>
  <c r="I469" i="2"/>
  <c r="J469" i="2" s="1"/>
  <c r="K469" i="2" s="1"/>
  <c r="H469" i="2"/>
  <c r="F469" i="2"/>
  <c r="E469" i="2"/>
  <c r="I468" i="2"/>
  <c r="J468" i="2" s="1"/>
  <c r="K468" i="2" s="1"/>
  <c r="H468" i="2"/>
  <c r="F468" i="2"/>
  <c r="E468" i="2"/>
  <c r="I467" i="2"/>
  <c r="J467" i="2" s="1"/>
  <c r="K467" i="2" s="1"/>
  <c r="H467" i="2"/>
  <c r="F467" i="2"/>
  <c r="E467" i="2"/>
  <c r="I466" i="2"/>
  <c r="J466" i="2" s="1"/>
  <c r="K466" i="2" s="1"/>
  <c r="H466" i="2"/>
  <c r="F466" i="2"/>
  <c r="E466" i="2"/>
  <c r="H465" i="2"/>
  <c r="F465" i="2"/>
  <c r="J464" i="2"/>
  <c r="K464" i="2" s="1"/>
  <c r="I464" i="2"/>
  <c r="H464" i="2"/>
  <c r="F464" i="2"/>
  <c r="E464" i="2"/>
  <c r="I463" i="2"/>
  <c r="H463" i="2"/>
  <c r="J463" i="2" s="1"/>
  <c r="K463" i="2" s="1"/>
  <c r="F463" i="2"/>
  <c r="E463" i="2"/>
  <c r="J462" i="2"/>
  <c r="K462" i="2" s="1"/>
  <c r="I462" i="2"/>
  <c r="H462" i="2"/>
  <c r="F462" i="2"/>
  <c r="E462" i="2"/>
  <c r="I461" i="2"/>
  <c r="H461" i="2"/>
  <c r="J461" i="2" s="1"/>
  <c r="K461" i="2" s="1"/>
  <c r="F461" i="2"/>
  <c r="E461" i="2"/>
  <c r="H460" i="2"/>
  <c r="F460" i="2"/>
  <c r="I459" i="2"/>
  <c r="J459" i="2" s="1"/>
  <c r="K459" i="2" s="1"/>
  <c r="H459" i="2"/>
  <c r="F459" i="2"/>
  <c r="E459" i="2"/>
  <c r="J458" i="2"/>
  <c r="K458" i="2" s="1"/>
  <c r="I458" i="2"/>
  <c r="H458" i="2"/>
  <c r="F458" i="2"/>
  <c r="E458" i="2"/>
  <c r="I457" i="2"/>
  <c r="J457" i="2" s="1"/>
  <c r="K457" i="2" s="1"/>
  <c r="H457" i="2"/>
  <c r="F457" i="2"/>
  <c r="E457" i="2"/>
  <c r="I456" i="2"/>
  <c r="J456" i="2" s="1"/>
  <c r="K456" i="2" s="1"/>
  <c r="H456" i="2"/>
  <c r="F456" i="2"/>
  <c r="E456" i="2"/>
  <c r="I455" i="2"/>
  <c r="J455" i="2" s="1"/>
  <c r="K455" i="2" s="1"/>
  <c r="H455" i="2"/>
  <c r="F455" i="2"/>
  <c r="E455" i="2"/>
  <c r="I454" i="2"/>
  <c r="J454" i="2" s="1"/>
  <c r="K454" i="2" s="1"/>
  <c r="H454" i="2"/>
  <c r="F454" i="2"/>
  <c r="E454" i="2"/>
  <c r="I453" i="2"/>
  <c r="J453" i="2" s="1"/>
  <c r="K453" i="2" s="1"/>
  <c r="H453" i="2"/>
  <c r="F453" i="2"/>
  <c r="E453" i="2"/>
  <c r="H452" i="2"/>
  <c r="F452" i="2"/>
  <c r="J451" i="2"/>
  <c r="K451" i="2" s="1"/>
  <c r="I451" i="2"/>
  <c r="H451" i="2"/>
  <c r="F451" i="2"/>
  <c r="E451" i="2"/>
  <c r="J450" i="2"/>
  <c r="K450" i="2" s="1"/>
  <c r="I450" i="2"/>
  <c r="H450" i="2"/>
  <c r="F450" i="2"/>
  <c r="E450" i="2"/>
  <c r="J449" i="2"/>
  <c r="K449" i="2" s="1"/>
  <c r="I449" i="2"/>
  <c r="H449" i="2"/>
  <c r="F449" i="2"/>
  <c r="E449" i="2"/>
  <c r="I448" i="2"/>
  <c r="H448" i="2"/>
  <c r="J448" i="2" s="1"/>
  <c r="K448" i="2" s="1"/>
  <c r="F448" i="2"/>
  <c r="E448" i="2"/>
  <c r="J447" i="2"/>
  <c r="K447" i="2" s="1"/>
  <c r="I447" i="2"/>
  <c r="H447" i="2"/>
  <c r="F447" i="2"/>
  <c r="E447" i="2"/>
  <c r="I446" i="2"/>
  <c r="H446" i="2"/>
  <c r="J446" i="2" s="1"/>
  <c r="K446" i="2" s="1"/>
  <c r="K445" i="2" s="1"/>
  <c r="F446" i="2"/>
  <c r="E446" i="2"/>
  <c r="H445" i="2"/>
  <c r="F445" i="2"/>
  <c r="H444" i="2"/>
  <c r="F444" i="2"/>
  <c r="I443" i="2"/>
  <c r="H443" i="2"/>
  <c r="J443" i="2" s="1"/>
  <c r="K443" i="2" s="1"/>
  <c r="K442" i="2" s="1"/>
  <c r="F443" i="2"/>
  <c r="E443" i="2"/>
  <c r="H442" i="2"/>
  <c r="F442" i="2"/>
  <c r="I441" i="2"/>
  <c r="J441" i="2" s="1"/>
  <c r="K441" i="2" s="1"/>
  <c r="H441" i="2"/>
  <c r="F441" i="2"/>
  <c r="E441" i="2"/>
  <c r="I440" i="2"/>
  <c r="J440" i="2" s="1"/>
  <c r="K440" i="2" s="1"/>
  <c r="H440" i="2"/>
  <c r="F440" i="2"/>
  <c r="E440" i="2"/>
  <c r="I439" i="2"/>
  <c r="J439" i="2" s="1"/>
  <c r="K439" i="2" s="1"/>
  <c r="H439" i="2"/>
  <c r="F439" i="2"/>
  <c r="E439" i="2"/>
  <c r="H438" i="2"/>
  <c r="F438" i="2"/>
  <c r="J437" i="2"/>
  <c r="K437" i="2" s="1"/>
  <c r="I437" i="2"/>
  <c r="H437" i="2"/>
  <c r="F437" i="2"/>
  <c r="E437" i="2"/>
  <c r="I436" i="2"/>
  <c r="H436" i="2"/>
  <c r="J436" i="2" s="1"/>
  <c r="K436" i="2" s="1"/>
  <c r="F436" i="2"/>
  <c r="E436" i="2"/>
  <c r="H435" i="2"/>
  <c r="F435" i="2"/>
  <c r="I434" i="2"/>
  <c r="J434" i="2" s="1"/>
  <c r="K434" i="2" s="1"/>
  <c r="K433" i="2" s="1"/>
  <c r="H434" i="2"/>
  <c r="F434" i="2"/>
  <c r="E434" i="2"/>
  <c r="H433" i="2"/>
  <c r="F433" i="2"/>
  <c r="H432" i="2"/>
  <c r="F432" i="2"/>
  <c r="I431" i="2"/>
  <c r="J431" i="2" s="1"/>
  <c r="K431" i="2" s="1"/>
  <c r="K430" i="2" s="1"/>
  <c r="H431" i="2"/>
  <c r="F431" i="2"/>
  <c r="E431" i="2"/>
  <c r="H430" i="2"/>
  <c r="F430" i="2"/>
  <c r="J429" i="2"/>
  <c r="K429" i="2" s="1"/>
  <c r="I429" i="2"/>
  <c r="H429" i="2"/>
  <c r="F429" i="2"/>
  <c r="E429" i="2"/>
  <c r="I428" i="2"/>
  <c r="H428" i="2"/>
  <c r="J428" i="2" s="1"/>
  <c r="K428" i="2" s="1"/>
  <c r="K427" i="2" s="1"/>
  <c r="K426" i="2" s="1"/>
  <c r="F428" i="2"/>
  <c r="E428" i="2"/>
  <c r="H427" i="2"/>
  <c r="F427" i="2"/>
  <c r="H426" i="2"/>
  <c r="F426" i="2"/>
  <c r="I425" i="2"/>
  <c r="H425" i="2"/>
  <c r="J425" i="2" s="1"/>
  <c r="K425" i="2" s="1"/>
  <c r="K424" i="2" s="1"/>
  <c r="F425" i="2"/>
  <c r="E425" i="2"/>
  <c r="H424" i="2"/>
  <c r="F424" i="2"/>
  <c r="I423" i="2"/>
  <c r="J423" i="2" s="1"/>
  <c r="K423" i="2" s="1"/>
  <c r="H423" i="2"/>
  <c r="F423" i="2"/>
  <c r="E423" i="2"/>
  <c r="J422" i="2"/>
  <c r="K422" i="2" s="1"/>
  <c r="I422" i="2"/>
  <c r="H422" i="2"/>
  <c r="F422" i="2"/>
  <c r="E422" i="2"/>
  <c r="H421" i="2"/>
  <c r="F421" i="2"/>
  <c r="I420" i="2"/>
  <c r="H420" i="2"/>
  <c r="J420" i="2" s="1"/>
  <c r="K420" i="2" s="1"/>
  <c r="F420" i="2"/>
  <c r="E420" i="2"/>
  <c r="J419" i="2"/>
  <c r="K419" i="2" s="1"/>
  <c r="I419" i="2"/>
  <c r="H419" i="2"/>
  <c r="F419" i="2"/>
  <c r="E419" i="2"/>
  <c r="I418" i="2"/>
  <c r="H418" i="2"/>
  <c r="J418" i="2" s="1"/>
  <c r="K418" i="2" s="1"/>
  <c r="F418" i="2"/>
  <c r="E418" i="2"/>
  <c r="H417" i="2"/>
  <c r="F417" i="2"/>
  <c r="I416" i="2"/>
  <c r="J416" i="2" s="1"/>
  <c r="K416" i="2" s="1"/>
  <c r="K415" i="2" s="1"/>
  <c r="H416" i="2"/>
  <c r="F416" i="2"/>
  <c r="E416" i="2"/>
  <c r="H415" i="2"/>
  <c r="F415" i="2"/>
  <c r="J414" i="2"/>
  <c r="K414" i="2" s="1"/>
  <c r="I414" i="2"/>
  <c r="H414" i="2"/>
  <c r="F414" i="2"/>
  <c r="E414" i="2"/>
  <c r="I413" i="2"/>
  <c r="H413" i="2"/>
  <c r="J413" i="2" s="1"/>
  <c r="K413" i="2" s="1"/>
  <c r="F413" i="2"/>
  <c r="E413" i="2"/>
  <c r="J412" i="2"/>
  <c r="K412" i="2" s="1"/>
  <c r="I412" i="2"/>
  <c r="H412" i="2"/>
  <c r="F412" i="2"/>
  <c r="E412" i="2"/>
  <c r="I411" i="2"/>
  <c r="H411" i="2"/>
  <c r="J411" i="2" s="1"/>
  <c r="K411" i="2" s="1"/>
  <c r="F411" i="2"/>
  <c r="E411" i="2"/>
  <c r="H410" i="2"/>
  <c r="F410" i="2"/>
  <c r="I409" i="2"/>
  <c r="J409" i="2" s="1"/>
  <c r="K409" i="2" s="1"/>
  <c r="H409" i="2"/>
  <c r="F409" i="2"/>
  <c r="E409" i="2"/>
  <c r="J408" i="2"/>
  <c r="K408" i="2" s="1"/>
  <c r="I408" i="2"/>
  <c r="H408" i="2"/>
  <c r="F408" i="2"/>
  <c r="E408" i="2"/>
  <c r="I407" i="2"/>
  <c r="J407" i="2" s="1"/>
  <c r="K407" i="2" s="1"/>
  <c r="K406" i="2" s="1"/>
  <c r="H407" i="2"/>
  <c r="F407" i="2"/>
  <c r="E407" i="2"/>
  <c r="H406" i="2"/>
  <c r="F406" i="2"/>
  <c r="H405" i="2"/>
  <c r="F405" i="2"/>
  <c r="I404" i="2"/>
  <c r="J404" i="2" s="1"/>
  <c r="K404" i="2" s="1"/>
  <c r="H404" i="2"/>
  <c r="F404" i="2"/>
  <c r="E404" i="2"/>
  <c r="J403" i="2"/>
  <c r="K403" i="2" s="1"/>
  <c r="K402" i="2" s="1"/>
  <c r="I403" i="2"/>
  <c r="H403" i="2"/>
  <c r="F403" i="2"/>
  <c r="E403" i="2"/>
  <c r="H402" i="2"/>
  <c r="F402" i="2"/>
  <c r="I401" i="2"/>
  <c r="H401" i="2"/>
  <c r="J401" i="2" s="1"/>
  <c r="K401" i="2" s="1"/>
  <c r="F401" i="2"/>
  <c r="E401" i="2"/>
  <c r="J400" i="2"/>
  <c r="K400" i="2" s="1"/>
  <c r="I400" i="2"/>
  <c r="H400" i="2"/>
  <c r="F400" i="2"/>
  <c r="E400" i="2"/>
  <c r="I399" i="2"/>
  <c r="H399" i="2"/>
  <c r="J399" i="2" s="1"/>
  <c r="K399" i="2" s="1"/>
  <c r="F399" i="2"/>
  <c r="E399" i="2"/>
  <c r="J398" i="2"/>
  <c r="K398" i="2" s="1"/>
  <c r="I398" i="2"/>
  <c r="H398" i="2"/>
  <c r="F398" i="2"/>
  <c r="E398" i="2"/>
  <c r="I397" i="2"/>
  <c r="H397" i="2"/>
  <c r="J397" i="2" s="1"/>
  <c r="K397" i="2" s="1"/>
  <c r="F397" i="2"/>
  <c r="E397" i="2"/>
  <c r="J396" i="2"/>
  <c r="K396" i="2" s="1"/>
  <c r="I396" i="2"/>
  <c r="H396" i="2"/>
  <c r="F396" i="2"/>
  <c r="E396" i="2"/>
  <c r="H395" i="2"/>
  <c r="F395" i="2"/>
  <c r="J394" i="2"/>
  <c r="K394" i="2" s="1"/>
  <c r="I394" i="2"/>
  <c r="H394" i="2"/>
  <c r="F394" i="2"/>
  <c r="E394" i="2"/>
  <c r="I393" i="2"/>
  <c r="J393" i="2" s="1"/>
  <c r="K393" i="2" s="1"/>
  <c r="H393" i="2"/>
  <c r="F393" i="2"/>
  <c r="E393" i="2"/>
  <c r="H392" i="2"/>
  <c r="F392" i="2"/>
  <c r="H391" i="2"/>
  <c r="F391" i="2"/>
  <c r="I390" i="2"/>
  <c r="J390" i="2" s="1"/>
  <c r="K390" i="2" s="1"/>
  <c r="K389" i="2" s="1"/>
  <c r="H390" i="2"/>
  <c r="F390" i="2"/>
  <c r="E390" i="2"/>
  <c r="H389" i="2"/>
  <c r="F389" i="2"/>
  <c r="J388" i="2"/>
  <c r="K388" i="2" s="1"/>
  <c r="I388" i="2"/>
  <c r="H388" i="2"/>
  <c r="F388" i="2"/>
  <c r="E388" i="2"/>
  <c r="I387" i="2"/>
  <c r="H387" i="2"/>
  <c r="J387" i="2" s="1"/>
  <c r="K387" i="2" s="1"/>
  <c r="F387" i="2"/>
  <c r="E387" i="2"/>
  <c r="H386" i="2"/>
  <c r="F386" i="2"/>
  <c r="I385" i="2"/>
  <c r="J385" i="2" s="1"/>
  <c r="K385" i="2" s="1"/>
  <c r="H385" i="2"/>
  <c r="F385" i="2"/>
  <c r="E385" i="2"/>
  <c r="I384" i="2"/>
  <c r="J384" i="2" s="1"/>
  <c r="K384" i="2" s="1"/>
  <c r="H384" i="2"/>
  <c r="F384" i="2"/>
  <c r="E384" i="2"/>
  <c r="I383" i="2"/>
  <c r="J383" i="2" s="1"/>
  <c r="K383" i="2" s="1"/>
  <c r="H383" i="2"/>
  <c r="F383" i="2"/>
  <c r="E383" i="2"/>
  <c r="H382" i="2"/>
  <c r="F382" i="2"/>
  <c r="H381" i="2"/>
  <c r="F381" i="2"/>
  <c r="I380" i="2"/>
  <c r="J380" i="2" s="1"/>
  <c r="K380" i="2" s="1"/>
  <c r="K379" i="2" s="1"/>
  <c r="K378" i="2" s="1"/>
  <c r="H380" i="2"/>
  <c r="F380" i="2"/>
  <c r="E380" i="2"/>
  <c r="H379" i="2"/>
  <c r="F379" i="2"/>
  <c r="H378" i="2"/>
  <c r="F378" i="2"/>
  <c r="I377" i="2"/>
  <c r="J377" i="2" s="1"/>
  <c r="K377" i="2" s="1"/>
  <c r="H377" i="2"/>
  <c r="F377" i="2"/>
  <c r="E377" i="2"/>
  <c r="I376" i="2"/>
  <c r="J376" i="2" s="1"/>
  <c r="K376" i="2" s="1"/>
  <c r="H376" i="2"/>
  <c r="F376" i="2"/>
  <c r="E376" i="2"/>
  <c r="I375" i="2"/>
  <c r="J375" i="2" s="1"/>
  <c r="K375" i="2" s="1"/>
  <c r="H375" i="2"/>
  <c r="F375" i="2"/>
  <c r="E375" i="2"/>
  <c r="J374" i="2"/>
  <c r="K374" i="2" s="1"/>
  <c r="I374" i="2"/>
  <c r="H374" i="2"/>
  <c r="F374" i="2"/>
  <c r="E374" i="2"/>
  <c r="I373" i="2"/>
  <c r="J373" i="2" s="1"/>
  <c r="K373" i="2" s="1"/>
  <c r="H373" i="2"/>
  <c r="F373" i="2"/>
  <c r="E373" i="2"/>
  <c r="J372" i="2"/>
  <c r="K372" i="2" s="1"/>
  <c r="I372" i="2"/>
  <c r="H372" i="2"/>
  <c r="F372" i="2"/>
  <c r="E372" i="2"/>
  <c r="I371" i="2"/>
  <c r="H371" i="2"/>
  <c r="J371" i="2" s="1"/>
  <c r="K371" i="2" s="1"/>
  <c r="F371" i="2"/>
  <c r="E371" i="2"/>
  <c r="I370" i="2"/>
  <c r="J370" i="2" s="1"/>
  <c r="K370" i="2" s="1"/>
  <c r="K369" i="2" s="1"/>
  <c r="H370" i="2"/>
  <c r="F370" i="2"/>
  <c r="E370" i="2"/>
  <c r="H369" i="2"/>
  <c r="F369" i="2"/>
  <c r="J368" i="2"/>
  <c r="K368" i="2" s="1"/>
  <c r="K367" i="2" s="1"/>
  <c r="I368" i="2"/>
  <c r="H368" i="2"/>
  <c r="F368" i="2"/>
  <c r="E368" i="2"/>
  <c r="H367" i="2"/>
  <c r="F367" i="2"/>
  <c r="I366" i="2"/>
  <c r="H366" i="2"/>
  <c r="J366" i="2" s="1"/>
  <c r="K366" i="2" s="1"/>
  <c r="F366" i="2"/>
  <c r="E366" i="2"/>
  <c r="J365" i="2"/>
  <c r="K365" i="2" s="1"/>
  <c r="I365" i="2"/>
  <c r="H365" i="2"/>
  <c r="F365" i="2"/>
  <c r="E365" i="2"/>
  <c r="I364" i="2"/>
  <c r="H364" i="2"/>
  <c r="F364" i="2"/>
  <c r="E364" i="2"/>
  <c r="H363" i="2"/>
  <c r="F363" i="2"/>
  <c r="J362" i="2"/>
  <c r="K362" i="2" s="1"/>
  <c r="I362" i="2"/>
  <c r="H362" i="2"/>
  <c r="F362" i="2"/>
  <c r="E362" i="2"/>
  <c r="J361" i="2"/>
  <c r="K361" i="2" s="1"/>
  <c r="K360" i="2" s="1"/>
  <c r="I361" i="2"/>
  <c r="H361" i="2"/>
  <c r="F361" i="2"/>
  <c r="E361" i="2"/>
  <c r="H360" i="2"/>
  <c r="F360" i="2"/>
  <c r="I359" i="2"/>
  <c r="H359" i="2"/>
  <c r="F359" i="2"/>
  <c r="E359" i="2"/>
  <c r="J358" i="2"/>
  <c r="K358" i="2" s="1"/>
  <c r="I358" i="2"/>
  <c r="H358" i="2"/>
  <c r="F358" i="2"/>
  <c r="E358" i="2"/>
  <c r="I357" i="2"/>
  <c r="H357" i="2"/>
  <c r="F357" i="2"/>
  <c r="E357" i="2"/>
  <c r="I356" i="2"/>
  <c r="J356" i="2" s="1"/>
  <c r="K356" i="2" s="1"/>
  <c r="H356" i="2"/>
  <c r="F356" i="2"/>
  <c r="E356" i="2"/>
  <c r="I355" i="2"/>
  <c r="H355" i="2"/>
  <c r="F355" i="2"/>
  <c r="E355" i="2"/>
  <c r="K354" i="2"/>
  <c r="J354" i="2"/>
  <c r="I354" i="2"/>
  <c r="H354" i="2"/>
  <c r="F354" i="2"/>
  <c r="E354" i="2"/>
  <c r="I353" i="2"/>
  <c r="H353" i="2"/>
  <c r="F353" i="2"/>
  <c r="E353" i="2"/>
  <c r="I352" i="2"/>
  <c r="J352" i="2" s="1"/>
  <c r="K352" i="2" s="1"/>
  <c r="H352" i="2"/>
  <c r="F352" i="2"/>
  <c r="E352" i="2"/>
  <c r="I351" i="2"/>
  <c r="H351" i="2"/>
  <c r="J351" i="2" s="1"/>
  <c r="K351" i="2" s="1"/>
  <c r="F351" i="2"/>
  <c r="E351" i="2"/>
  <c r="I350" i="2"/>
  <c r="J350" i="2" s="1"/>
  <c r="K350" i="2" s="1"/>
  <c r="H350" i="2"/>
  <c r="F350" i="2"/>
  <c r="E350" i="2"/>
  <c r="I349" i="2"/>
  <c r="H349" i="2"/>
  <c r="J349" i="2" s="1"/>
  <c r="K349" i="2" s="1"/>
  <c r="F349" i="2"/>
  <c r="E349" i="2"/>
  <c r="I348" i="2"/>
  <c r="J348" i="2" s="1"/>
  <c r="K348" i="2" s="1"/>
  <c r="H348" i="2"/>
  <c r="F348" i="2"/>
  <c r="E348" i="2"/>
  <c r="H347" i="2"/>
  <c r="F347" i="2"/>
  <c r="I346" i="2"/>
  <c r="H346" i="2"/>
  <c r="J346" i="2" s="1"/>
  <c r="K346" i="2" s="1"/>
  <c r="F346" i="2"/>
  <c r="E346" i="2"/>
  <c r="I345" i="2"/>
  <c r="J345" i="2" s="1"/>
  <c r="K345" i="2" s="1"/>
  <c r="H345" i="2"/>
  <c r="F345" i="2"/>
  <c r="E345" i="2"/>
  <c r="I344" i="2"/>
  <c r="J344" i="2" s="1"/>
  <c r="K344" i="2" s="1"/>
  <c r="H344" i="2"/>
  <c r="F344" i="2"/>
  <c r="E344" i="2"/>
  <c r="J343" i="2"/>
  <c r="K343" i="2" s="1"/>
  <c r="I343" i="2"/>
  <c r="H343" i="2"/>
  <c r="F343" i="2"/>
  <c r="E343" i="2"/>
  <c r="J342" i="2"/>
  <c r="K342" i="2" s="1"/>
  <c r="I342" i="2"/>
  <c r="H342" i="2"/>
  <c r="F342" i="2"/>
  <c r="E342" i="2"/>
  <c r="I341" i="2"/>
  <c r="J341" i="2" s="1"/>
  <c r="K341" i="2" s="1"/>
  <c r="H341" i="2"/>
  <c r="F341" i="2"/>
  <c r="E341" i="2"/>
  <c r="J340" i="2"/>
  <c r="K340" i="2" s="1"/>
  <c r="I340" i="2"/>
  <c r="H340" i="2"/>
  <c r="F340" i="2"/>
  <c r="E340" i="2"/>
  <c r="J339" i="2"/>
  <c r="K339" i="2" s="1"/>
  <c r="I339" i="2"/>
  <c r="H339" i="2"/>
  <c r="F339" i="2"/>
  <c r="E339" i="2"/>
  <c r="I338" i="2"/>
  <c r="H338" i="2"/>
  <c r="J338" i="2" s="1"/>
  <c r="K338" i="2" s="1"/>
  <c r="F338" i="2"/>
  <c r="E338" i="2"/>
  <c r="I337" i="2"/>
  <c r="J337" i="2" s="1"/>
  <c r="K337" i="2" s="1"/>
  <c r="H337" i="2"/>
  <c r="F337" i="2"/>
  <c r="E337" i="2"/>
  <c r="I336" i="2"/>
  <c r="J336" i="2" s="1"/>
  <c r="K336" i="2" s="1"/>
  <c r="H336" i="2"/>
  <c r="F336" i="2"/>
  <c r="E336" i="2"/>
  <c r="I335" i="2"/>
  <c r="J335" i="2" s="1"/>
  <c r="K335" i="2" s="1"/>
  <c r="H335" i="2"/>
  <c r="F335" i="2"/>
  <c r="E335" i="2"/>
  <c r="H334" i="2"/>
  <c r="F334" i="2"/>
  <c r="J333" i="2"/>
  <c r="K333" i="2" s="1"/>
  <c r="I333" i="2"/>
  <c r="H333" i="2"/>
  <c r="F333" i="2"/>
  <c r="E333" i="2"/>
  <c r="K332" i="2"/>
  <c r="I332" i="2"/>
  <c r="J332" i="2" s="1"/>
  <c r="H332" i="2"/>
  <c r="F332" i="2"/>
  <c r="E332" i="2"/>
  <c r="I331" i="2"/>
  <c r="J331" i="2" s="1"/>
  <c r="K331" i="2" s="1"/>
  <c r="H331" i="2"/>
  <c r="F331" i="2"/>
  <c r="E331" i="2"/>
  <c r="I330" i="2"/>
  <c r="J330" i="2" s="1"/>
  <c r="K330" i="2" s="1"/>
  <c r="H330" i="2"/>
  <c r="F330" i="2"/>
  <c r="E330" i="2"/>
  <c r="I329" i="2"/>
  <c r="J329" i="2" s="1"/>
  <c r="K329" i="2" s="1"/>
  <c r="H329" i="2"/>
  <c r="F329" i="2"/>
  <c r="E329" i="2"/>
  <c r="K328" i="2"/>
  <c r="K327" i="2" s="1"/>
  <c r="I328" i="2"/>
  <c r="J328" i="2" s="1"/>
  <c r="H328" i="2"/>
  <c r="F328" i="2"/>
  <c r="E328" i="2"/>
  <c r="H327" i="2"/>
  <c r="F327" i="2"/>
  <c r="I326" i="2"/>
  <c r="J326" i="2" s="1"/>
  <c r="K326" i="2" s="1"/>
  <c r="H326" i="2"/>
  <c r="F326" i="2"/>
  <c r="E326" i="2"/>
  <c r="I325" i="2"/>
  <c r="J325" i="2" s="1"/>
  <c r="K325" i="2" s="1"/>
  <c r="H325" i="2"/>
  <c r="F325" i="2"/>
  <c r="E325" i="2"/>
  <c r="I324" i="2"/>
  <c r="H324" i="2"/>
  <c r="J324" i="2" s="1"/>
  <c r="K324" i="2" s="1"/>
  <c r="F324" i="2"/>
  <c r="E324" i="2"/>
  <c r="I323" i="2"/>
  <c r="H323" i="2"/>
  <c r="J323" i="2" s="1"/>
  <c r="K323" i="2" s="1"/>
  <c r="F323" i="2"/>
  <c r="E323" i="2"/>
  <c r="I322" i="2"/>
  <c r="J322" i="2" s="1"/>
  <c r="K322" i="2" s="1"/>
  <c r="H322" i="2"/>
  <c r="F322" i="2"/>
  <c r="E322" i="2"/>
  <c r="J321" i="2"/>
  <c r="K321" i="2" s="1"/>
  <c r="I321" i="2"/>
  <c r="H321" i="2"/>
  <c r="F321" i="2"/>
  <c r="E321" i="2"/>
  <c r="H320" i="2"/>
  <c r="F320" i="2"/>
  <c r="I319" i="2"/>
  <c r="J319" i="2" s="1"/>
  <c r="K319" i="2" s="1"/>
  <c r="H319" i="2"/>
  <c r="F319" i="2"/>
  <c r="E319" i="2"/>
  <c r="K318" i="2"/>
  <c r="J318" i="2"/>
  <c r="I318" i="2"/>
  <c r="H318" i="2"/>
  <c r="F318" i="2"/>
  <c r="E318" i="2"/>
  <c r="I317" i="2"/>
  <c r="J317" i="2" s="1"/>
  <c r="K317" i="2" s="1"/>
  <c r="H317" i="2"/>
  <c r="F317" i="2"/>
  <c r="E317" i="2"/>
  <c r="J316" i="2"/>
  <c r="K316" i="2" s="1"/>
  <c r="I316" i="2"/>
  <c r="H316" i="2"/>
  <c r="F316" i="2"/>
  <c r="E316" i="2"/>
  <c r="K315" i="2"/>
  <c r="I315" i="2"/>
  <c r="J315" i="2" s="1"/>
  <c r="H315" i="2"/>
  <c r="F315" i="2"/>
  <c r="E315" i="2"/>
  <c r="I314" i="2"/>
  <c r="J314" i="2" s="1"/>
  <c r="K314" i="2" s="1"/>
  <c r="H314" i="2"/>
  <c r="F314" i="2"/>
  <c r="E314" i="2"/>
  <c r="I313" i="2"/>
  <c r="J313" i="2" s="1"/>
  <c r="K313" i="2" s="1"/>
  <c r="H313" i="2"/>
  <c r="F313" i="2"/>
  <c r="E313" i="2"/>
  <c r="I312" i="2"/>
  <c r="J312" i="2" s="1"/>
  <c r="K312" i="2" s="1"/>
  <c r="H312" i="2"/>
  <c r="F312" i="2"/>
  <c r="E312" i="2"/>
  <c r="K311" i="2"/>
  <c r="I311" i="2"/>
  <c r="J311" i="2" s="1"/>
  <c r="H311" i="2"/>
  <c r="F311" i="2"/>
  <c r="E311" i="2"/>
  <c r="I310" i="2"/>
  <c r="J310" i="2" s="1"/>
  <c r="K310" i="2" s="1"/>
  <c r="H310" i="2"/>
  <c r="F310" i="2"/>
  <c r="E310" i="2"/>
  <c r="I309" i="2"/>
  <c r="J309" i="2" s="1"/>
  <c r="K309" i="2" s="1"/>
  <c r="H309" i="2"/>
  <c r="F309" i="2"/>
  <c r="E309" i="2"/>
  <c r="J308" i="2"/>
  <c r="K308" i="2" s="1"/>
  <c r="I308" i="2"/>
  <c r="H308" i="2"/>
  <c r="F308" i="2"/>
  <c r="E308" i="2"/>
  <c r="I307" i="2"/>
  <c r="H307" i="2"/>
  <c r="J307" i="2" s="1"/>
  <c r="K307" i="2" s="1"/>
  <c r="F307" i="2"/>
  <c r="E307" i="2"/>
  <c r="I306" i="2"/>
  <c r="J306" i="2" s="1"/>
  <c r="K306" i="2" s="1"/>
  <c r="H306" i="2"/>
  <c r="F306" i="2"/>
  <c r="E306" i="2"/>
  <c r="I305" i="2"/>
  <c r="H305" i="2"/>
  <c r="F305" i="2"/>
  <c r="E305" i="2"/>
  <c r="I304" i="2"/>
  <c r="J304" i="2" s="1"/>
  <c r="K304" i="2" s="1"/>
  <c r="H304" i="2"/>
  <c r="F304" i="2"/>
  <c r="E304" i="2"/>
  <c r="I303" i="2"/>
  <c r="H303" i="2"/>
  <c r="F303" i="2"/>
  <c r="E303" i="2"/>
  <c r="J302" i="2"/>
  <c r="K302" i="2" s="1"/>
  <c r="I302" i="2"/>
  <c r="H302" i="2"/>
  <c r="F302" i="2"/>
  <c r="E302" i="2"/>
  <c r="I301" i="2"/>
  <c r="H301" i="2"/>
  <c r="J301" i="2" s="1"/>
  <c r="K301" i="2" s="1"/>
  <c r="F301" i="2"/>
  <c r="E301" i="2"/>
  <c r="I300" i="2"/>
  <c r="J300" i="2" s="1"/>
  <c r="K300" i="2" s="1"/>
  <c r="H300" i="2"/>
  <c r="F300" i="2"/>
  <c r="E300" i="2"/>
  <c r="I299" i="2"/>
  <c r="H299" i="2"/>
  <c r="J299" i="2" s="1"/>
  <c r="K299" i="2" s="1"/>
  <c r="F299" i="2"/>
  <c r="E299" i="2"/>
  <c r="J298" i="2"/>
  <c r="K298" i="2" s="1"/>
  <c r="I298" i="2"/>
  <c r="H298" i="2"/>
  <c r="F298" i="2"/>
  <c r="E298" i="2"/>
  <c r="H297" i="2"/>
  <c r="F297" i="2"/>
  <c r="I296" i="2"/>
  <c r="J296" i="2" s="1"/>
  <c r="K296" i="2" s="1"/>
  <c r="H296" i="2"/>
  <c r="F296" i="2"/>
  <c r="E296" i="2"/>
  <c r="I295" i="2"/>
  <c r="J295" i="2" s="1"/>
  <c r="K295" i="2" s="1"/>
  <c r="H295" i="2"/>
  <c r="F295" i="2"/>
  <c r="E295" i="2"/>
  <c r="I294" i="2"/>
  <c r="H294" i="2"/>
  <c r="J294" i="2" s="1"/>
  <c r="K294" i="2" s="1"/>
  <c r="F294" i="2"/>
  <c r="E294" i="2"/>
  <c r="I293" i="2"/>
  <c r="H293" i="2"/>
  <c r="J293" i="2" s="1"/>
  <c r="K293" i="2" s="1"/>
  <c r="F293" i="2"/>
  <c r="E293" i="2"/>
  <c r="I292" i="2"/>
  <c r="J292" i="2" s="1"/>
  <c r="K292" i="2" s="1"/>
  <c r="H292" i="2"/>
  <c r="F292" i="2"/>
  <c r="E292" i="2"/>
  <c r="J291" i="2"/>
  <c r="K291" i="2" s="1"/>
  <c r="I291" i="2"/>
  <c r="H291" i="2"/>
  <c r="F291" i="2"/>
  <c r="E291" i="2"/>
  <c r="J290" i="2"/>
  <c r="K290" i="2" s="1"/>
  <c r="I290" i="2"/>
  <c r="H290" i="2"/>
  <c r="F290" i="2"/>
  <c r="E290" i="2"/>
  <c r="I289" i="2"/>
  <c r="H289" i="2"/>
  <c r="J289" i="2" s="1"/>
  <c r="K289" i="2" s="1"/>
  <c r="F289" i="2"/>
  <c r="E289" i="2"/>
  <c r="H288" i="2"/>
  <c r="F288" i="2"/>
  <c r="I287" i="2"/>
  <c r="J287" i="2" s="1"/>
  <c r="K287" i="2" s="1"/>
  <c r="H287" i="2"/>
  <c r="F287" i="2"/>
  <c r="E287" i="2"/>
  <c r="I286" i="2"/>
  <c r="J286" i="2" s="1"/>
  <c r="K286" i="2" s="1"/>
  <c r="H286" i="2"/>
  <c r="F286" i="2"/>
  <c r="E286" i="2"/>
  <c r="J285" i="2"/>
  <c r="K285" i="2" s="1"/>
  <c r="I285" i="2"/>
  <c r="H285" i="2"/>
  <c r="F285" i="2"/>
  <c r="E285" i="2"/>
  <c r="I284" i="2"/>
  <c r="J284" i="2" s="1"/>
  <c r="K284" i="2" s="1"/>
  <c r="H284" i="2"/>
  <c r="F284" i="2"/>
  <c r="E284" i="2"/>
  <c r="I283" i="2"/>
  <c r="J283" i="2" s="1"/>
  <c r="K283" i="2" s="1"/>
  <c r="H283" i="2"/>
  <c r="F283" i="2"/>
  <c r="E283" i="2"/>
  <c r="I282" i="2"/>
  <c r="J282" i="2" s="1"/>
  <c r="K282" i="2" s="1"/>
  <c r="H282" i="2"/>
  <c r="F282" i="2"/>
  <c r="E282" i="2"/>
  <c r="I281" i="2"/>
  <c r="J281" i="2" s="1"/>
  <c r="K281" i="2" s="1"/>
  <c r="H281" i="2"/>
  <c r="F281" i="2"/>
  <c r="E281" i="2"/>
  <c r="I280" i="2"/>
  <c r="H280" i="2"/>
  <c r="J280" i="2" s="1"/>
  <c r="K280" i="2" s="1"/>
  <c r="F280" i="2"/>
  <c r="E280" i="2"/>
  <c r="H279" i="2"/>
  <c r="F279" i="2"/>
  <c r="I278" i="2"/>
  <c r="H278" i="2"/>
  <c r="J278" i="2" s="1"/>
  <c r="K278" i="2" s="1"/>
  <c r="F278" i="2"/>
  <c r="E278" i="2"/>
  <c r="J277" i="2"/>
  <c r="K277" i="2" s="1"/>
  <c r="I277" i="2"/>
  <c r="H277" i="2"/>
  <c r="F277" i="2"/>
  <c r="E277" i="2"/>
  <c r="I276" i="2"/>
  <c r="H276" i="2"/>
  <c r="J276" i="2" s="1"/>
  <c r="K276" i="2" s="1"/>
  <c r="F276" i="2"/>
  <c r="E276" i="2"/>
  <c r="I275" i="2"/>
  <c r="J275" i="2" s="1"/>
  <c r="K275" i="2" s="1"/>
  <c r="H275" i="2"/>
  <c r="F275" i="2"/>
  <c r="E275" i="2"/>
  <c r="I274" i="2"/>
  <c r="J274" i="2" s="1"/>
  <c r="K274" i="2" s="1"/>
  <c r="H274" i="2"/>
  <c r="F274" i="2"/>
  <c r="E274" i="2"/>
  <c r="I273" i="2"/>
  <c r="H273" i="2"/>
  <c r="J273" i="2" s="1"/>
  <c r="K273" i="2" s="1"/>
  <c r="F273" i="2"/>
  <c r="E273" i="2"/>
  <c r="J272" i="2"/>
  <c r="K272" i="2" s="1"/>
  <c r="I272" i="2"/>
  <c r="H272" i="2"/>
  <c r="F272" i="2"/>
  <c r="E272" i="2"/>
  <c r="H271" i="2"/>
  <c r="F271" i="2"/>
  <c r="H270" i="2"/>
  <c r="F270" i="2"/>
  <c r="I269" i="2"/>
  <c r="H269" i="2"/>
  <c r="J269" i="2" s="1"/>
  <c r="K269" i="2" s="1"/>
  <c r="F269" i="2"/>
  <c r="E269" i="2"/>
  <c r="J268" i="2"/>
  <c r="K268" i="2" s="1"/>
  <c r="I268" i="2"/>
  <c r="H268" i="2"/>
  <c r="F268" i="2"/>
  <c r="E268" i="2"/>
  <c r="I267" i="2"/>
  <c r="H267" i="2"/>
  <c r="J267" i="2" s="1"/>
  <c r="K267" i="2" s="1"/>
  <c r="F267" i="2"/>
  <c r="E267" i="2"/>
  <c r="I266" i="2"/>
  <c r="J266" i="2" s="1"/>
  <c r="K266" i="2" s="1"/>
  <c r="K265" i="2" s="1"/>
  <c r="H266" i="2"/>
  <c r="F266" i="2"/>
  <c r="E266" i="2"/>
  <c r="H265" i="2"/>
  <c r="F265" i="2"/>
  <c r="J264" i="2"/>
  <c r="K264" i="2" s="1"/>
  <c r="I264" i="2"/>
  <c r="H264" i="2"/>
  <c r="F264" i="2"/>
  <c r="E264" i="2"/>
  <c r="I263" i="2"/>
  <c r="J263" i="2" s="1"/>
  <c r="K263" i="2" s="1"/>
  <c r="H263" i="2"/>
  <c r="F263" i="2"/>
  <c r="E263" i="2"/>
  <c r="J262" i="2"/>
  <c r="K262" i="2" s="1"/>
  <c r="I262" i="2"/>
  <c r="H262" i="2"/>
  <c r="F262" i="2"/>
  <c r="E262" i="2"/>
  <c r="I261" i="2"/>
  <c r="J261" i="2" s="1"/>
  <c r="K261" i="2" s="1"/>
  <c r="H261" i="2"/>
  <c r="F261" i="2"/>
  <c r="E261" i="2"/>
  <c r="J260" i="2"/>
  <c r="K260" i="2" s="1"/>
  <c r="I260" i="2"/>
  <c r="H260" i="2"/>
  <c r="F260" i="2"/>
  <c r="E260" i="2"/>
  <c r="I259" i="2"/>
  <c r="J259" i="2" s="1"/>
  <c r="K259" i="2" s="1"/>
  <c r="H259" i="2"/>
  <c r="F259" i="2"/>
  <c r="E259" i="2"/>
  <c r="J258" i="2"/>
  <c r="K258" i="2" s="1"/>
  <c r="I258" i="2"/>
  <c r="H258" i="2"/>
  <c r="F258" i="2"/>
  <c r="E258" i="2"/>
  <c r="I257" i="2"/>
  <c r="J257" i="2" s="1"/>
  <c r="K257" i="2" s="1"/>
  <c r="H257" i="2"/>
  <c r="F257" i="2"/>
  <c r="E257" i="2"/>
  <c r="J256" i="2"/>
  <c r="K256" i="2" s="1"/>
  <c r="I256" i="2"/>
  <c r="H256" i="2"/>
  <c r="F256" i="2"/>
  <c r="E256" i="2"/>
  <c r="I255" i="2"/>
  <c r="J255" i="2" s="1"/>
  <c r="K255" i="2" s="1"/>
  <c r="H255" i="2"/>
  <c r="F255" i="2"/>
  <c r="E255" i="2"/>
  <c r="J254" i="2"/>
  <c r="K254" i="2" s="1"/>
  <c r="I254" i="2"/>
  <c r="H254" i="2"/>
  <c r="F254" i="2"/>
  <c r="E254" i="2"/>
  <c r="I253" i="2"/>
  <c r="J253" i="2" s="1"/>
  <c r="K253" i="2" s="1"/>
  <c r="H253" i="2"/>
  <c r="F253" i="2"/>
  <c r="E253" i="2"/>
  <c r="J252" i="2"/>
  <c r="K252" i="2" s="1"/>
  <c r="K251" i="2" s="1"/>
  <c r="I252" i="2"/>
  <c r="H252" i="2"/>
  <c r="F252" i="2"/>
  <c r="E252" i="2"/>
  <c r="H251" i="2"/>
  <c r="F251" i="2"/>
  <c r="I250" i="2"/>
  <c r="J250" i="2" s="1"/>
  <c r="K250" i="2" s="1"/>
  <c r="H250" i="2"/>
  <c r="F250" i="2"/>
  <c r="E250" i="2"/>
  <c r="I249" i="2"/>
  <c r="H249" i="2"/>
  <c r="J249" i="2" s="1"/>
  <c r="K249" i="2" s="1"/>
  <c r="F249" i="2"/>
  <c r="E249" i="2"/>
  <c r="I248" i="2"/>
  <c r="H248" i="2"/>
  <c r="J248" i="2" s="1"/>
  <c r="K248" i="2" s="1"/>
  <c r="F248" i="2"/>
  <c r="E248" i="2"/>
  <c r="I247" i="2"/>
  <c r="J247" i="2" s="1"/>
  <c r="K247" i="2" s="1"/>
  <c r="H247" i="2"/>
  <c r="F247" i="2"/>
  <c r="E247" i="2"/>
  <c r="I246" i="2"/>
  <c r="H246" i="2"/>
  <c r="J246" i="2" s="1"/>
  <c r="K246" i="2" s="1"/>
  <c r="K245" i="2" s="1"/>
  <c r="F246" i="2"/>
  <c r="E246" i="2"/>
  <c r="H245" i="2"/>
  <c r="F245" i="2"/>
  <c r="I244" i="2"/>
  <c r="J244" i="2" s="1"/>
  <c r="K244" i="2" s="1"/>
  <c r="H244" i="2"/>
  <c r="F244" i="2"/>
  <c r="E244" i="2"/>
  <c r="J243" i="2"/>
  <c r="K243" i="2" s="1"/>
  <c r="I243" i="2"/>
  <c r="H243" i="2"/>
  <c r="F243" i="2"/>
  <c r="E243" i="2"/>
  <c r="I242" i="2"/>
  <c r="J242" i="2" s="1"/>
  <c r="K242" i="2" s="1"/>
  <c r="H242" i="2"/>
  <c r="F242" i="2"/>
  <c r="E242" i="2"/>
  <c r="J241" i="2"/>
  <c r="K241" i="2" s="1"/>
  <c r="I241" i="2"/>
  <c r="H241" i="2"/>
  <c r="F241" i="2"/>
  <c r="E241" i="2"/>
  <c r="I240" i="2"/>
  <c r="J240" i="2" s="1"/>
  <c r="K240" i="2" s="1"/>
  <c r="H240" i="2"/>
  <c r="F240" i="2"/>
  <c r="E240" i="2"/>
  <c r="J239" i="2"/>
  <c r="K239" i="2" s="1"/>
  <c r="I239" i="2"/>
  <c r="H239" i="2"/>
  <c r="F239" i="2"/>
  <c r="E239" i="2"/>
  <c r="I238" i="2"/>
  <c r="J238" i="2" s="1"/>
  <c r="K238" i="2" s="1"/>
  <c r="H238" i="2"/>
  <c r="F238" i="2"/>
  <c r="E238" i="2"/>
  <c r="J237" i="2"/>
  <c r="K237" i="2" s="1"/>
  <c r="I237" i="2"/>
  <c r="H237" i="2"/>
  <c r="F237" i="2"/>
  <c r="E237" i="2"/>
  <c r="I236" i="2"/>
  <c r="J236" i="2" s="1"/>
  <c r="K236" i="2" s="1"/>
  <c r="H236" i="2"/>
  <c r="F236" i="2"/>
  <c r="E236" i="2"/>
  <c r="J235" i="2"/>
  <c r="K235" i="2" s="1"/>
  <c r="I235" i="2"/>
  <c r="H235" i="2"/>
  <c r="F235" i="2"/>
  <c r="E235" i="2"/>
  <c r="I234" i="2"/>
  <c r="J234" i="2" s="1"/>
  <c r="K234" i="2" s="1"/>
  <c r="H234" i="2"/>
  <c r="F234" i="2"/>
  <c r="E234" i="2"/>
  <c r="J233" i="2"/>
  <c r="K233" i="2" s="1"/>
  <c r="I233" i="2"/>
  <c r="H233" i="2"/>
  <c r="F233" i="2"/>
  <c r="E233" i="2"/>
  <c r="I232" i="2"/>
  <c r="J232" i="2" s="1"/>
  <c r="K232" i="2" s="1"/>
  <c r="H232" i="2"/>
  <c r="F232" i="2"/>
  <c r="E232" i="2"/>
  <c r="J231" i="2"/>
  <c r="K231" i="2" s="1"/>
  <c r="I231" i="2"/>
  <c r="H231" i="2"/>
  <c r="F231" i="2"/>
  <c r="E231" i="2"/>
  <c r="I230" i="2"/>
  <c r="J230" i="2" s="1"/>
  <c r="K230" i="2" s="1"/>
  <c r="H230" i="2"/>
  <c r="F230" i="2"/>
  <c r="E230" i="2"/>
  <c r="J229" i="2"/>
  <c r="K229" i="2" s="1"/>
  <c r="I229" i="2"/>
  <c r="H229" i="2"/>
  <c r="F229" i="2"/>
  <c r="E229" i="2"/>
  <c r="I228" i="2"/>
  <c r="J228" i="2" s="1"/>
  <c r="K228" i="2" s="1"/>
  <c r="H228" i="2"/>
  <c r="F228" i="2"/>
  <c r="E228" i="2"/>
  <c r="H227" i="2"/>
  <c r="F227" i="2"/>
  <c r="J226" i="2"/>
  <c r="K226" i="2" s="1"/>
  <c r="I226" i="2"/>
  <c r="H226" i="2"/>
  <c r="F226" i="2"/>
  <c r="E226" i="2"/>
  <c r="I225" i="2"/>
  <c r="H225" i="2"/>
  <c r="J225" i="2" s="1"/>
  <c r="K225" i="2" s="1"/>
  <c r="F225" i="2"/>
  <c r="E225" i="2"/>
  <c r="J224" i="2"/>
  <c r="K224" i="2" s="1"/>
  <c r="I224" i="2"/>
  <c r="H224" i="2"/>
  <c r="F224" i="2"/>
  <c r="E224" i="2"/>
  <c r="I223" i="2"/>
  <c r="H223" i="2"/>
  <c r="J223" i="2" s="1"/>
  <c r="K223" i="2" s="1"/>
  <c r="F223" i="2"/>
  <c r="E223" i="2"/>
  <c r="J222" i="2"/>
  <c r="K222" i="2" s="1"/>
  <c r="I222" i="2"/>
  <c r="H222" i="2"/>
  <c r="F222" i="2"/>
  <c r="E222" i="2"/>
  <c r="I221" i="2"/>
  <c r="H221" i="2"/>
  <c r="J221" i="2" s="1"/>
  <c r="K221" i="2" s="1"/>
  <c r="K220" i="2" s="1"/>
  <c r="F221" i="2"/>
  <c r="E221" i="2"/>
  <c r="H220" i="2"/>
  <c r="F220" i="2"/>
  <c r="I219" i="2"/>
  <c r="H219" i="2"/>
  <c r="J219" i="2" s="1"/>
  <c r="K219" i="2" s="1"/>
  <c r="F219" i="2"/>
  <c r="E219" i="2"/>
  <c r="J218" i="2"/>
  <c r="K218" i="2" s="1"/>
  <c r="I218" i="2"/>
  <c r="H218" i="2"/>
  <c r="F218" i="2"/>
  <c r="E218" i="2"/>
  <c r="I217" i="2"/>
  <c r="H217" i="2"/>
  <c r="J217" i="2" s="1"/>
  <c r="K217" i="2" s="1"/>
  <c r="F217" i="2"/>
  <c r="E217" i="2"/>
  <c r="J216" i="2"/>
  <c r="K216" i="2" s="1"/>
  <c r="I216" i="2"/>
  <c r="H216" i="2"/>
  <c r="F216" i="2"/>
  <c r="E216" i="2"/>
  <c r="I215" i="2"/>
  <c r="H215" i="2"/>
  <c r="J215" i="2" s="1"/>
  <c r="K215" i="2" s="1"/>
  <c r="K214" i="2" s="1"/>
  <c r="F215" i="2"/>
  <c r="E215" i="2"/>
  <c r="H214" i="2"/>
  <c r="F214" i="2"/>
  <c r="J213" i="2"/>
  <c r="K213" i="2" s="1"/>
  <c r="I213" i="2"/>
  <c r="H213" i="2"/>
  <c r="F213" i="2"/>
  <c r="E213" i="2"/>
  <c r="I212" i="2"/>
  <c r="H212" i="2"/>
  <c r="J212" i="2" s="1"/>
  <c r="K212" i="2" s="1"/>
  <c r="F212" i="2"/>
  <c r="E212" i="2"/>
  <c r="J211" i="2"/>
  <c r="K211" i="2" s="1"/>
  <c r="I211" i="2"/>
  <c r="H211" i="2"/>
  <c r="F211" i="2"/>
  <c r="E211" i="2"/>
  <c r="I210" i="2"/>
  <c r="H210" i="2"/>
  <c r="J210" i="2" s="1"/>
  <c r="K210" i="2" s="1"/>
  <c r="F210" i="2"/>
  <c r="E210" i="2"/>
  <c r="H209" i="2"/>
  <c r="F209" i="2"/>
  <c r="I208" i="2"/>
  <c r="H208" i="2"/>
  <c r="J208" i="2" s="1"/>
  <c r="K208" i="2" s="1"/>
  <c r="F208" i="2"/>
  <c r="E208" i="2"/>
  <c r="J207" i="2"/>
  <c r="K207" i="2" s="1"/>
  <c r="I207" i="2"/>
  <c r="H207" i="2"/>
  <c r="F207" i="2"/>
  <c r="E207" i="2"/>
  <c r="H206" i="2"/>
  <c r="F206" i="2"/>
  <c r="I205" i="2"/>
  <c r="H205" i="2"/>
  <c r="J205" i="2" s="1"/>
  <c r="K205" i="2" s="1"/>
  <c r="F205" i="2"/>
  <c r="E205" i="2"/>
  <c r="J204" i="2"/>
  <c r="K204" i="2" s="1"/>
  <c r="I204" i="2"/>
  <c r="H204" i="2"/>
  <c r="F204" i="2"/>
  <c r="E204" i="2"/>
  <c r="I203" i="2"/>
  <c r="H203" i="2"/>
  <c r="J203" i="2" s="1"/>
  <c r="K203" i="2" s="1"/>
  <c r="F203" i="2"/>
  <c r="E203" i="2"/>
  <c r="J202" i="2"/>
  <c r="K202" i="2" s="1"/>
  <c r="I202" i="2"/>
  <c r="H202" i="2"/>
  <c r="F202" i="2"/>
  <c r="E202" i="2"/>
  <c r="I201" i="2"/>
  <c r="H201" i="2"/>
  <c r="J201" i="2" s="1"/>
  <c r="K201" i="2" s="1"/>
  <c r="F201" i="2"/>
  <c r="E201" i="2"/>
  <c r="J200" i="2"/>
  <c r="K200" i="2" s="1"/>
  <c r="I200" i="2"/>
  <c r="H200" i="2"/>
  <c r="F200" i="2"/>
  <c r="E200" i="2"/>
  <c r="I199" i="2"/>
  <c r="H199" i="2"/>
  <c r="J199" i="2" s="1"/>
  <c r="K199" i="2" s="1"/>
  <c r="F199" i="2"/>
  <c r="E199" i="2"/>
  <c r="J198" i="2"/>
  <c r="K198" i="2" s="1"/>
  <c r="I198" i="2"/>
  <c r="H198" i="2"/>
  <c r="F198" i="2"/>
  <c r="E198" i="2"/>
  <c r="I197" i="2"/>
  <c r="H197" i="2"/>
  <c r="J197" i="2" s="1"/>
  <c r="K197" i="2" s="1"/>
  <c r="K196" i="2" s="1"/>
  <c r="F197" i="2"/>
  <c r="E197" i="2"/>
  <c r="H196" i="2"/>
  <c r="F196" i="2"/>
  <c r="I195" i="2"/>
  <c r="H195" i="2"/>
  <c r="J195" i="2" s="1"/>
  <c r="K195" i="2" s="1"/>
  <c r="F195" i="2"/>
  <c r="E195" i="2"/>
  <c r="J194" i="2"/>
  <c r="K194" i="2" s="1"/>
  <c r="I194" i="2"/>
  <c r="H194" i="2"/>
  <c r="F194" i="2"/>
  <c r="E194" i="2"/>
  <c r="I193" i="2"/>
  <c r="H193" i="2"/>
  <c r="J193" i="2" s="1"/>
  <c r="K193" i="2" s="1"/>
  <c r="F193" i="2"/>
  <c r="E193" i="2"/>
  <c r="J192" i="2"/>
  <c r="K192" i="2" s="1"/>
  <c r="I192" i="2"/>
  <c r="H192" i="2"/>
  <c r="F192" i="2"/>
  <c r="E192" i="2"/>
  <c r="I191" i="2"/>
  <c r="H191" i="2"/>
  <c r="J191" i="2" s="1"/>
  <c r="K191" i="2" s="1"/>
  <c r="F191" i="2"/>
  <c r="E191" i="2"/>
  <c r="J190" i="2"/>
  <c r="K190" i="2" s="1"/>
  <c r="I190" i="2"/>
  <c r="H190" i="2"/>
  <c r="F190" i="2"/>
  <c r="E190" i="2"/>
  <c r="I189" i="2"/>
  <c r="H189" i="2"/>
  <c r="J189" i="2" s="1"/>
  <c r="K189" i="2" s="1"/>
  <c r="F189" i="2"/>
  <c r="E189" i="2"/>
  <c r="J188" i="2"/>
  <c r="K188" i="2" s="1"/>
  <c r="I188" i="2"/>
  <c r="H188" i="2"/>
  <c r="F188" i="2"/>
  <c r="E188" i="2"/>
  <c r="I187" i="2"/>
  <c r="H187" i="2"/>
  <c r="J187" i="2" s="1"/>
  <c r="K187" i="2" s="1"/>
  <c r="F187" i="2"/>
  <c r="E187" i="2"/>
  <c r="J186" i="2"/>
  <c r="K186" i="2" s="1"/>
  <c r="I186" i="2"/>
  <c r="H186" i="2"/>
  <c r="F186" i="2"/>
  <c r="E186" i="2"/>
  <c r="I185" i="2"/>
  <c r="H185" i="2"/>
  <c r="J185" i="2" s="1"/>
  <c r="K185" i="2" s="1"/>
  <c r="F185" i="2"/>
  <c r="E185" i="2"/>
  <c r="H184" i="2"/>
  <c r="F184" i="2"/>
  <c r="J183" i="2"/>
  <c r="K183" i="2" s="1"/>
  <c r="I183" i="2"/>
  <c r="H183" i="2"/>
  <c r="F183" i="2"/>
  <c r="E183" i="2"/>
  <c r="I182" i="2"/>
  <c r="H182" i="2"/>
  <c r="J182" i="2" s="1"/>
  <c r="K182" i="2" s="1"/>
  <c r="F182" i="2"/>
  <c r="E182" i="2"/>
  <c r="J181" i="2"/>
  <c r="K181" i="2" s="1"/>
  <c r="K180" i="2" s="1"/>
  <c r="I181" i="2"/>
  <c r="H181" i="2"/>
  <c r="F181" i="2"/>
  <c r="E181" i="2"/>
  <c r="H180" i="2"/>
  <c r="F180" i="2"/>
  <c r="J179" i="2"/>
  <c r="K179" i="2" s="1"/>
  <c r="I179" i="2"/>
  <c r="H179" i="2"/>
  <c r="F179" i="2"/>
  <c r="E179" i="2"/>
  <c r="I178" i="2"/>
  <c r="H178" i="2"/>
  <c r="J178" i="2" s="1"/>
  <c r="K178" i="2" s="1"/>
  <c r="F178" i="2"/>
  <c r="E178" i="2"/>
  <c r="J177" i="2"/>
  <c r="K177" i="2" s="1"/>
  <c r="I177" i="2"/>
  <c r="H177" i="2"/>
  <c r="F177" i="2"/>
  <c r="E177" i="2"/>
  <c r="I176" i="2"/>
  <c r="H176" i="2"/>
  <c r="J176" i="2" s="1"/>
  <c r="K176" i="2" s="1"/>
  <c r="F176" i="2"/>
  <c r="E176" i="2"/>
  <c r="J175" i="2"/>
  <c r="K175" i="2" s="1"/>
  <c r="I175" i="2"/>
  <c r="H175" i="2"/>
  <c r="F175" i="2"/>
  <c r="E175" i="2"/>
  <c r="I174" i="2"/>
  <c r="H174" i="2"/>
  <c r="J174" i="2" s="1"/>
  <c r="K174" i="2" s="1"/>
  <c r="F174" i="2"/>
  <c r="E174" i="2"/>
  <c r="J173" i="2"/>
  <c r="K173" i="2" s="1"/>
  <c r="I173" i="2"/>
  <c r="H173" i="2"/>
  <c r="F173" i="2"/>
  <c r="E173" i="2"/>
  <c r="I172" i="2"/>
  <c r="H172" i="2"/>
  <c r="J172" i="2" s="1"/>
  <c r="K172" i="2" s="1"/>
  <c r="F172" i="2"/>
  <c r="E172" i="2"/>
  <c r="H171" i="2"/>
  <c r="F171" i="2"/>
  <c r="J170" i="2"/>
  <c r="K170" i="2" s="1"/>
  <c r="I170" i="2"/>
  <c r="H170" i="2"/>
  <c r="F170" i="2"/>
  <c r="E170" i="2"/>
  <c r="I169" i="2"/>
  <c r="H169" i="2"/>
  <c r="J169" i="2" s="1"/>
  <c r="K169" i="2" s="1"/>
  <c r="F169" i="2"/>
  <c r="E169" i="2"/>
  <c r="J168" i="2"/>
  <c r="K168" i="2" s="1"/>
  <c r="I168" i="2"/>
  <c r="H168" i="2"/>
  <c r="F168" i="2"/>
  <c r="E168" i="2"/>
  <c r="I167" i="2"/>
  <c r="H167" i="2"/>
  <c r="J167" i="2" s="1"/>
  <c r="K167" i="2" s="1"/>
  <c r="F167" i="2"/>
  <c r="E167" i="2"/>
  <c r="J166" i="2"/>
  <c r="K166" i="2" s="1"/>
  <c r="I166" i="2"/>
  <c r="H166" i="2"/>
  <c r="F166" i="2"/>
  <c r="E166" i="2"/>
  <c r="I165" i="2"/>
  <c r="H165" i="2"/>
  <c r="J165" i="2" s="1"/>
  <c r="K165" i="2" s="1"/>
  <c r="F165" i="2"/>
  <c r="E165" i="2"/>
  <c r="J164" i="2"/>
  <c r="K164" i="2" s="1"/>
  <c r="I164" i="2"/>
  <c r="H164" i="2"/>
  <c r="F164" i="2"/>
  <c r="E164" i="2"/>
  <c r="I163" i="2"/>
  <c r="H163" i="2"/>
  <c r="J163" i="2" s="1"/>
  <c r="K163" i="2" s="1"/>
  <c r="F163" i="2"/>
  <c r="E163" i="2"/>
  <c r="J162" i="2"/>
  <c r="K162" i="2" s="1"/>
  <c r="I162" i="2"/>
  <c r="H162" i="2"/>
  <c r="F162" i="2"/>
  <c r="E162" i="2"/>
  <c r="I161" i="2"/>
  <c r="H161" i="2"/>
  <c r="J161" i="2" s="1"/>
  <c r="K161" i="2" s="1"/>
  <c r="F161" i="2"/>
  <c r="E161" i="2"/>
  <c r="H160" i="2"/>
  <c r="F160" i="2"/>
  <c r="I159" i="2"/>
  <c r="H159" i="2"/>
  <c r="J159" i="2" s="1"/>
  <c r="K159" i="2" s="1"/>
  <c r="F159" i="2"/>
  <c r="E159" i="2"/>
  <c r="J158" i="2"/>
  <c r="K158" i="2" s="1"/>
  <c r="I158" i="2"/>
  <c r="H158" i="2"/>
  <c r="F158" i="2"/>
  <c r="E158" i="2"/>
  <c r="I157" i="2"/>
  <c r="H157" i="2"/>
  <c r="J157" i="2" s="1"/>
  <c r="K157" i="2" s="1"/>
  <c r="F157" i="2"/>
  <c r="E157" i="2"/>
  <c r="J156" i="2"/>
  <c r="K156" i="2" s="1"/>
  <c r="I156" i="2"/>
  <c r="H156" i="2"/>
  <c r="F156" i="2"/>
  <c r="E156" i="2"/>
  <c r="H155" i="2"/>
  <c r="F155" i="2"/>
  <c r="I154" i="2"/>
  <c r="H154" i="2"/>
  <c r="J154" i="2" s="1"/>
  <c r="K154" i="2" s="1"/>
  <c r="K153" i="2" s="1"/>
  <c r="F154" i="2"/>
  <c r="E154" i="2"/>
  <c r="H153" i="2"/>
  <c r="F153" i="2"/>
  <c r="H152" i="2"/>
  <c r="F152" i="2"/>
  <c r="I151" i="2"/>
  <c r="H151" i="2"/>
  <c r="J151" i="2" s="1"/>
  <c r="K151" i="2" s="1"/>
  <c r="F151" i="2"/>
  <c r="E151" i="2"/>
  <c r="J150" i="2"/>
  <c r="K150" i="2" s="1"/>
  <c r="K149" i="2" s="1"/>
  <c r="I150" i="2"/>
  <c r="H150" i="2"/>
  <c r="F150" i="2"/>
  <c r="E150" i="2"/>
  <c r="H149" i="2"/>
  <c r="F149" i="2"/>
  <c r="J148" i="2"/>
  <c r="K148" i="2" s="1"/>
  <c r="I148" i="2"/>
  <c r="H148" i="2"/>
  <c r="F148" i="2"/>
  <c r="E148" i="2"/>
  <c r="I147" i="2"/>
  <c r="H147" i="2"/>
  <c r="J147" i="2" s="1"/>
  <c r="K147" i="2" s="1"/>
  <c r="F147" i="2"/>
  <c r="E147" i="2"/>
  <c r="H146" i="2"/>
  <c r="F146" i="2"/>
  <c r="J145" i="2"/>
  <c r="K145" i="2" s="1"/>
  <c r="I145" i="2"/>
  <c r="H145" i="2"/>
  <c r="F145" i="2"/>
  <c r="E145" i="2"/>
  <c r="I144" i="2"/>
  <c r="H144" i="2"/>
  <c r="J144" i="2" s="1"/>
  <c r="K144" i="2" s="1"/>
  <c r="F144" i="2"/>
  <c r="E144" i="2"/>
  <c r="J143" i="2"/>
  <c r="K143" i="2" s="1"/>
  <c r="K142" i="2" s="1"/>
  <c r="I143" i="2"/>
  <c r="H143" i="2"/>
  <c r="F143" i="2"/>
  <c r="E143" i="2"/>
  <c r="H142" i="2"/>
  <c r="F142" i="2"/>
  <c r="J141" i="2"/>
  <c r="K141" i="2" s="1"/>
  <c r="K140" i="2" s="1"/>
  <c r="I141" i="2"/>
  <c r="H141" i="2"/>
  <c r="F141" i="2"/>
  <c r="E141" i="2"/>
  <c r="H140" i="2"/>
  <c r="F140" i="2"/>
  <c r="H139" i="2"/>
  <c r="F139" i="2"/>
  <c r="J138" i="2"/>
  <c r="K138" i="2" s="1"/>
  <c r="I138" i="2"/>
  <c r="H138" i="2"/>
  <c r="F138" i="2"/>
  <c r="E138" i="2"/>
  <c r="I137" i="2"/>
  <c r="H137" i="2"/>
  <c r="J137" i="2" s="1"/>
  <c r="K137" i="2" s="1"/>
  <c r="F137" i="2"/>
  <c r="E137" i="2"/>
  <c r="J136" i="2"/>
  <c r="K136" i="2" s="1"/>
  <c r="I136" i="2"/>
  <c r="H136" i="2"/>
  <c r="F136" i="2"/>
  <c r="E136" i="2"/>
  <c r="I135" i="2"/>
  <c r="H135" i="2"/>
  <c r="J135" i="2" s="1"/>
  <c r="K135" i="2" s="1"/>
  <c r="F135" i="2"/>
  <c r="E135" i="2"/>
  <c r="J134" i="2"/>
  <c r="K134" i="2" s="1"/>
  <c r="I134" i="2"/>
  <c r="H134" i="2"/>
  <c r="F134" i="2"/>
  <c r="E134" i="2"/>
  <c r="I133" i="2"/>
  <c r="H133" i="2"/>
  <c r="J133" i="2" s="1"/>
  <c r="K133" i="2" s="1"/>
  <c r="F133" i="2"/>
  <c r="E133" i="2"/>
  <c r="J132" i="2"/>
  <c r="K132" i="2" s="1"/>
  <c r="I132" i="2"/>
  <c r="H132" i="2"/>
  <c r="F132" i="2"/>
  <c r="E132" i="2"/>
  <c r="I131" i="2"/>
  <c r="H131" i="2"/>
  <c r="J131" i="2" s="1"/>
  <c r="K131" i="2" s="1"/>
  <c r="K130" i="2" s="1"/>
  <c r="F131" i="2"/>
  <c r="E131" i="2"/>
  <c r="H130" i="2"/>
  <c r="F130" i="2"/>
  <c r="J129" i="2"/>
  <c r="K129" i="2" s="1"/>
  <c r="I129" i="2"/>
  <c r="H129" i="2"/>
  <c r="F129" i="2"/>
  <c r="E129" i="2"/>
  <c r="I128" i="2"/>
  <c r="H128" i="2"/>
  <c r="J128" i="2" s="1"/>
  <c r="K128" i="2" s="1"/>
  <c r="F128" i="2"/>
  <c r="E128" i="2"/>
  <c r="J127" i="2"/>
  <c r="K127" i="2" s="1"/>
  <c r="I127" i="2"/>
  <c r="H127" i="2"/>
  <c r="F127" i="2"/>
  <c r="E127" i="2"/>
  <c r="I126" i="2"/>
  <c r="H126" i="2"/>
  <c r="J126" i="2" s="1"/>
  <c r="K126" i="2" s="1"/>
  <c r="F126" i="2"/>
  <c r="E126" i="2"/>
  <c r="J125" i="2"/>
  <c r="K125" i="2" s="1"/>
  <c r="I125" i="2"/>
  <c r="H125" i="2"/>
  <c r="F125" i="2"/>
  <c r="E125" i="2"/>
  <c r="I124" i="2"/>
  <c r="H124" i="2"/>
  <c r="J124" i="2" s="1"/>
  <c r="K124" i="2" s="1"/>
  <c r="F124" i="2"/>
  <c r="E124" i="2"/>
  <c r="J123" i="2"/>
  <c r="K123" i="2" s="1"/>
  <c r="I123" i="2"/>
  <c r="H123" i="2"/>
  <c r="F123" i="2"/>
  <c r="E123" i="2"/>
  <c r="I122" i="2"/>
  <c r="H122" i="2"/>
  <c r="J122" i="2" s="1"/>
  <c r="K122" i="2" s="1"/>
  <c r="F122" i="2"/>
  <c r="E122" i="2"/>
  <c r="J121" i="2"/>
  <c r="K121" i="2" s="1"/>
  <c r="I121" i="2"/>
  <c r="H121" i="2"/>
  <c r="F121" i="2"/>
  <c r="E121" i="2"/>
  <c r="I120" i="2"/>
  <c r="H120" i="2"/>
  <c r="J120" i="2" s="1"/>
  <c r="K120" i="2" s="1"/>
  <c r="K119" i="2" s="1"/>
  <c r="F120" i="2"/>
  <c r="E120" i="2"/>
  <c r="H119" i="2"/>
  <c r="F119" i="2"/>
  <c r="I118" i="2"/>
  <c r="H118" i="2"/>
  <c r="J118" i="2" s="1"/>
  <c r="K118" i="2" s="1"/>
  <c r="F118" i="2"/>
  <c r="E118" i="2"/>
  <c r="J117" i="2"/>
  <c r="K117" i="2" s="1"/>
  <c r="I117" i="2"/>
  <c r="H117" i="2"/>
  <c r="F117" i="2"/>
  <c r="E117" i="2"/>
  <c r="I116" i="2"/>
  <c r="H116" i="2"/>
  <c r="J116" i="2" s="1"/>
  <c r="K116" i="2" s="1"/>
  <c r="F116" i="2"/>
  <c r="E116" i="2"/>
  <c r="J115" i="2"/>
  <c r="K115" i="2" s="1"/>
  <c r="I115" i="2"/>
  <c r="H115" i="2"/>
  <c r="F115" i="2"/>
  <c r="E115" i="2"/>
  <c r="I114" i="2"/>
  <c r="H114" i="2"/>
  <c r="J114" i="2" s="1"/>
  <c r="K114" i="2" s="1"/>
  <c r="F114" i="2"/>
  <c r="E114" i="2"/>
  <c r="J113" i="2"/>
  <c r="K113" i="2" s="1"/>
  <c r="I113" i="2"/>
  <c r="H113" i="2"/>
  <c r="F113" i="2"/>
  <c r="E113" i="2"/>
  <c r="I112" i="2"/>
  <c r="H112" i="2"/>
  <c r="J112" i="2" s="1"/>
  <c r="K112" i="2" s="1"/>
  <c r="F112" i="2"/>
  <c r="E112" i="2"/>
  <c r="J111" i="2"/>
  <c r="K111" i="2" s="1"/>
  <c r="I111" i="2"/>
  <c r="H111" i="2"/>
  <c r="F111" i="2"/>
  <c r="E111" i="2"/>
  <c r="I110" i="2"/>
  <c r="H110" i="2"/>
  <c r="J110" i="2" s="1"/>
  <c r="K110" i="2" s="1"/>
  <c r="F110" i="2"/>
  <c r="E110" i="2"/>
  <c r="J109" i="2"/>
  <c r="K109" i="2" s="1"/>
  <c r="I109" i="2"/>
  <c r="H109" i="2"/>
  <c r="F109" i="2"/>
  <c r="E109" i="2"/>
  <c r="I108" i="2"/>
  <c r="H108" i="2"/>
  <c r="J108" i="2" s="1"/>
  <c r="K108" i="2" s="1"/>
  <c r="F108" i="2"/>
  <c r="E108" i="2"/>
  <c r="H107" i="2"/>
  <c r="F107" i="2"/>
  <c r="H106" i="2"/>
  <c r="F106" i="2"/>
  <c r="I105" i="2"/>
  <c r="H105" i="2"/>
  <c r="J105" i="2" s="1"/>
  <c r="K105" i="2" s="1"/>
  <c r="F105" i="2"/>
  <c r="E105" i="2"/>
  <c r="J104" i="2"/>
  <c r="K104" i="2" s="1"/>
  <c r="I104" i="2"/>
  <c r="H104" i="2"/>
  <c r="F104" i="2"/>
  <c r="E104" i="2"/>
  <c r="I103" i="2"/>
  <c r="H103" i="2"/>
  <c r="J103" i="2" s="1"/>
  <c r="K103" i="2" s="1"/>
  <c r="F103" i="2"/>
  <c r="E103" i="2"/>
  <c r="J102" i="2"/>
  <c r="K102" i="2" s="1"/>
  <c r="I102" i="2"/>
  <c r="H102" i="2"/>
  <c r="F102" i="2"/>
  <c r="E102" i="2"/>
  <c r="I101" i="2"/>
  <c r="H101" i="2"/>
  <c r="J101" i="2" s="1"/>
  <c r="K101" i="2" s="1"/>
  <c r="F101" i="2"/>
  <c r="E101" i="2"/>
  <c r="J100" i="2"/>
  <c r="K100" i="2" s="1"/>
  <c r="I100" i="2"/>
  <c r="H100" i="2"/>
  <c r="F100" i="2"/>
  <c r="E100" i="2"/>
  <c r="I99" i="2"/>
  <c r="H99" i="2"/>
  <c r="J99" i="2" s="1"/>
  <c r="K99" i="2" s="1"/>
  <c r="F99" i="2"/>
  <c r="E99" i="2"/>
  <c r="J98" i="2"/>
  <c r="K98" i="2" s="1"/>
  <c r="I98" i="2"/>
  <c r="H98" i="2"/>
  <c r="F98" i="2"/>
  <c r="E98" i="2"/>
  <c r="I97" i="2"/>
  <c r="H97" i="2"/>
  <c r="J97" i="2" s="1"/>
  <c r="K97" i="2" s="1"/>
  <c r="F97" i="2"/>
  <c r="E97" i="2"/>
  <c r="J96" i="2"/>
  <c r="K96" i="2" s="1"/>
  <c r="I96" i="2"/>
  <c r="H96" i="2"/>
  <c r="F96" i="2"/>
  <c r="E96" i="2"/>
  <c r="I95" i="2"/>
  <c r="H95" i="2"/>
  <c r="J95" i="2" s="1"/>
  <c r="K95" i="2" s="1"/>
  <c r="F95" i="2"/>
  <c r="E95" i="2"/>
  <c r="J94" i="2"/>
  <c r="K94" i="2" s="1"/>
  <c r="I94" i="2"/>
  <c r="H94" i="2"/>
  <c r="F94" i="2"/>
  <c r="E94" i="2"/>
  <c r="I93" i="2"/>
  <c r="H93" i="2"/>
  <c r="J93" i="2" s="1"/>
  <c r="K93" i="2" s="1"/>
  <c r="F93" i="2"/>
  <c r="E93" i="2"/>
  <c r="J92" i="2"/>
  <c r="K92" i="2" s="1"/>
  <c r="I92" i="2"/>
  <c r="H92" i="2"/>
  <c r="F92" i="2"/>
  <c r="E92" i="2"/>
  <c r="I91" i="2"/>
  <c r="H91" i="2"/>
  <c r="J91" i="2" s="1"/>
  <c r="K91" i="2" s="1"/>
  <c r="F91" i="2"/>
  <c r="E91" i="2"/>
  <c r="J90" i="2"/>
  <c r="K90" i="2" s="1"/>
  <c r="I90" i="2"/>
  <c r="H90" i="2"/>
  <c r="F90" i="2"/>
  <c r="E90" i="2"/>
  <c r="I89" i="2"/>
  <c r="H89" i="2"/>
  <c r="J89" i="2" s="1"/>
  <c r="K89" i="2" s="1"/>
  <c r="F89" i="2"/>
  <c r="E89" i="2"/>
  <c r="J88" i="2"/>
  <c r="K88" i="2" s="1"/>
  <c r="I88" i="2"/>
  <c r="H88" i="2"/>
  <c r="F88" i="2"/>
  <c r="E88" i="2"/>
  <c r="I87" i="2"/>
  <c r="H87" i="2"/>
  <c r="J87" i="2" s="1"/>
  <c r="K87" i="2" s="1"/>
  <c r="F87" i="2"/>
  <c r="E87" i="2"/>
  <c r="J86" i="2"/>
  <c r="K86" i="2" s="1"/>
  <c r="K85" i="2" s="1"/>
  <c r="I86" i="2"/>
  <c r="H86" i="2"/>
  <c r="F86" i="2"/>
  <c r="E86" i="2"/>
  <c r="H85" i="2"/>
  <c r="F85" i="2"/>
  <c r="I84" i="2"/>
  <c r="H84" i="2"/>
  <c r="J84" i="2" s="1"/>
  <c r="K84" i="2" s="1"/>
  <c r="F84" i="2"/>
  <c r="E84" i="2"/>
  <c r="I83" i="2"/>
  <c r="J83" i="2" s="1"/>
  <c r="K83" i="2" s="1"/>
  <c r="H83" i="2"/>
  <c r="F83" i="2"/>
  <c r="E83" i="2"/>
  <c r="I82" i="2"/>
  <c r="H82" i="2"/>
  <c r="J82" i="2" s="1"/>
  <c r="K82" i="2" s="1"/>
  <c r="F82" i="2"/>
  <c r="E82" i="2"/>
  <c r="I81" i="2"/>
  <c r="J81" i="2" s="1"/>
  <c r="K81" i="2" s="1"/>
  <c r="H81" i="2"/>
  <c r="F81" i="2"/>
  <c r="E81" i="2"/>
  <c r="I80" i="2"/>
  <c r="H80" i="2"/>
  <c r="J80" i="2" s="1"/>
  <c r="K80" i="2" s="1"/>
  <c r="F80" i="2"/>
  <c r="E80" i="2"/>
  <c r="I79" i="2"/>
  <c r="J79" i="2" s="1"/>
  <c r="K79" i="2" s="1"/>
  <c r="H79" i="2"/>
  <c r="F79" i="2"/>
  <c r="E79" i="2"/>
  <c r="I78" i="2"/>
  <c r="H78" i="2"/>
  <c r="J78" i="2" s="1"/>
  <c r="K78" i="2" s="1"/>
  <c r="F78" i="2"/>
  <c r="E78" i="2"/>
  <c r="H77" i="2"/>
  <c r="F77" i="2"/>
  <c r="H76" i="2"/>
  <c r="F76" i="2"/>
  <c r="I75" i="2"/>
  <c r="H75" i="2"/>
  <c r="J75" i="2" s="1"/>
  <c r="K75" i="2" s="1"/>
  <c r="F75" i="2"/>
  <c r="E75" i="2"/>
  <c r="I74" i="2"/>
  <c r="J74" i="2" s="1"/>
  <c r="K74" i="2" s="1"/>
  <c r="H74" i="2"/>
  <c r="F74" i="2"/>
  <c r="E74" i="2"/>
  <c r="I73" i="2"/>
  <c r="H73" i="2"/>
  <c r="J73" i="2" s="1"/>
  <c r="K73" i="2" s="1"/>
  <c r="F73" i="2"/>
  <c r="E73" i="2"/>
  <c r="I72" i="2"/>
  <c r="J72" i="2" s="1"/>
  <c r="K72" i="2" s="1"/>
  <c r="H72" i="2"/>
  <c r="F72" i="2"/>
  <c r="E72" i="2"/>
  <c r="I71" i="2"/>
  <c r="H71" i="2"/>
  <c r="J71" i="2" s="1"/>
  <c r="K71" i="2" s="1"/>
  <c r="F71" i="2"/>
  <c r="E71" i="2"/>
  <c r="H70" i="2"/>
  <c r="F70" i="2"/>
  <c r="I69" i="2"/>
  <c r="H69" i="2"/>
  <c r="J69" i="2" s="1"/>
  <c r="K69" i="2" s="1"/>
  <c r="F69" i="2"/>
  <c r="E69" i="2"/>
  <c r="J68" i="2"/>
  <c r="K68" i="2" s="1"/>
  <c r="I68" i="2"/>
  <c r="H68" i="2"/>
  <c r="F68" i="2"/>
  <c r="E68" i="2"/>
  <c r="I67" i="2"/>
  <c r="H67" i="2"/>
  <c r="J67" i="2" s="1"/>
  <c r="K67" i="2" s="1"/>
  <c r="F67" i="2"/>
  <c r="E67" i="2"/>
  <c r="J66" i="2"/>
  <c r="K66" i="2" s="1"/>
  <c r="I66" i="2"/>
  <c r="H66" i="2"/>
  <c r="F66" i="2"/>
  <c r="E66" i="2"/>
  <c r="I65" i="2"/>
  <c r="H65" i="2"/>
  <c r="J65" i="2" s="1"/>
  <c r="K65" i="2" s="1"/>
  <c r="F65" i="2"/>
  <c r="E65" i="2"/>
  <c r="J64" i="2"/>
  <c r="K64" i="2" s="1"/>
  <c r="I64" i="2"/>
  <c r="H64" i="2"/>
  <c r="F64" i="2"/>
  <c r="E64" i="2"/>
  <c r="H63" i="2"/>
  <c r="F63" i="2"/>
  <c r="H62" i="2"/>
  <c r="F62" i="2"/>
  <c r="J61" i="2"/>
  <c r="K61" i="2" s="1"/>
  <c r="K60" i="2" s="1"/>
  <c r="I61" i="2"/>
  <c r="H61" i="2"/>
  <c r="F61" i="2"/>
  <c r="E61" i="2"/>
  <c r="H60" i="2"/>
  <c r="F60" i="2"/>
  <c r="I59" i="2"/>
  <c r="H59" i="2"/>
  <c r="J59" i="2" s="1"/>
  <c r="K59" i="2" s="1"/>
  <c r="F59" i="2"/>
  <c r="E59" i="2"/>
  <c r="I58" i="2"/>
  <c r="J58" i="2" s="1"/>
  <c r="K58" i="2" s="1"/>
  <c r="H58" i="2"/>
  <c r="F58" i="2"/>
  <c r="E58" i="2"/>
  <c r="I57" i="2"/>
  <c r="H57" i="2"/>
  <c r="J57" i="2" s="1"/>
  <c r="K57" i="2" s="1"/>
  <c r="F57" i="2"/>
  <c r="E57" i="2"/>
  <c r="I56" i="2"/>
  <c r="J56" i="2" s="1"/>
  <c r="K56" i="2" s="1"/>
  <c r="H56" i="2"/>
  <c r="F56" i="2"/>
  <c r="E56" i="2"/>
  <c r="I55" i="2"/>
  <c r="H55" i="2"/>
  <c r="J55" i="2" s="1"/>
  <c r="K55" i="2" s="1"/>
  <c r="F55" i="2"/>
  <c r="E55" i="2"/>
  <c r="I54" i="2"/>
  <c r="J54" i="2" s="1"/>
  <c r="K54" i="2" s="1"/>
  <c r="H54" i="2"/>
  <c r="F54" i="2"/>
  <c r="E54" i="2"/>
  <c r="H53" i="2"/>
  <c r="I52" i="2"/>
  <c r="H52" i="2"/>
  <c r="J52" i="2" s="1"/>
  <c r="K52" i="2" s="1"/>
  <c r="F52" i="2"/>
  <c r="E52" i="2"/>
  <c r="I51" i="2"/>
  <c r="H51" i="2"/>
  <c r="J51" i="2" s="1"/>
  <c r="K51" i="2" s="1"/>
  <c r="F51" i="2"/>
  <c r="E51" i="2"/>
  <c r="I50" i="2"/>
  <c r="H50" i="2"/>
  <c r="J50" i="2" s="1"/>
  <c r="K50" i="2" s="1"/>
  <c r="F50" i="2"/>
  <c r="E50" i="2"/>
  <c r="I49" i="2"/>
  <c r="H49" i="2"/>
  <c r="J49" i="2" s="1"/>
  <c r="K49" i="2" s="1"/>
  <c r="F49" i="2"/>
  <c r="E49" i="2"/>
  <c r="I48" i="2"/>
  <c r="H48" i="2"/>
  <c r="F48" i="2"/>
  <c r="E48" i="2"/>
  <c r="H47" i="2"/>
  <c r="J46" i="2"/>
  <c r="K46" i="2" s="1"/>
  <c r="K45" i="2" s="1"/>
  <c r="I46" i="2"/>
  <c r="H46" i="2"/>
  <c r="F46" i="2"/>
  <c r="E46" i="2"/>
  <c r="H45" i="2"/>
  <c r="H44" i="2"/>
  <c r="I43" i="2"/>
  <c r="H43" i="2"/>
  <c r="J43" i="2" s="1"/>
  <c r="K43" i="2" s="1"/>
  <c r="K42" i="2" s="1"/>
  <c r="F43" i="2"/>
  <c r="E43" i="2"/>
  <c r="H42" i="2"/>
  <c r="K41" i="2"/>
  <c r="K40" i="2" s="1"/>
  <c r="I41" i="2"/>
  <c r="H41" i="2"/>
  <c r="J41" i="2" s="1"/>
  <c r="F41" i="2"/>
  <c r="E41" i="2"/>
  <c r="H40" i="2"/>
  <c r="I39" i="2"/>
  <c r="H39" i="2"/>
  <c r="J39" i="2" s="1"/>
  <c r="K39" i="2" s="1"/>
  <c r="F39" i="2"/>
  <c r="E39" i="2"/>
  <c r="I38" i="2"/>
  <c r="J38" i="2" s="1"/>
  <c r="K38" i="2" s="1"/>
  <c r="K37" i="2" s="1"/>
  <c r="H38" i="2"/>
  <c r="F38" i="2"/>
  <c r="E38" i="2"/>
  <c r="H37" i="2"/>
  <c r="I36" i="2"/>
  <c r="H36" i="2"/>
  <c r="J36" i="2" s="1"/>
  <c r="K36" i="2" s="1"/>
  <c r="F36" i="2"/>
  <c r="E36" i="2"/>
  <c r="I35" i="2"/>
  <c r="H35" i="2"/>
  <c r="J35" i="2" s="1"/>
  <c r="K35" i="2" s="1"/>
  <c r="F35" i="2"/>
  <c r="E35" i="2"/>
  <c r="H34" i="2"/>
  <c r="K33" i="2"/>
  <c r="K32" i="2" s="1"/>
  <c r="I33" i="2"/>
  <c r="H33" i="2"/>
  <c r="J33" i="2" s="1"/>
  <c r="F33" i="2"/>
  <c r="E33" i="2"/>
  <c r="H32" i="2"/>
  <c r="I31" i="2"/>
  <c r="H31" i="2"/>
  <c r="J31" i="2" s="1"/>
  <c r="K31" i="2" s="1"/>
  <c r="F31" i="2"/>
  <c r="E31" i="2"/>
  <c r="I30" i="2"/>
  <c r="J30" i="2" s="1"/>
  <c r="K30" i="2" s="1"/>
  <c r="H30" i="2"/>
  <c r="F30" i="2"/>
  <c r="E30" i="2"/>
  <c r="I29" i="2"/>
  <c r="H29" i="2"/>
  <c r="J29" i="2" s="1"/>
  <c r="K29" i="2" s="1"/>
  <c r="F29" i="2"/>
  <c r="E29" i="2"/>
  <c r="I28" i="2"/>
  <c r="J28" i="2" s="1"/>
  <c r="K28" i="2" s="1"/>
  <c r="H28" i="2"/>
  <c r="F28" i="2"/>
  <c r="E28" i="2"/>
  <c r="I27" i="2"/>
  <c r="H27" i="2"/>
  <c r="J27" i="2" s="1"/>
  <c r="K27" i="2" s="1"/>
  <c r="F27" i="2"/>
  <c r="E27" i="2"/>
  <c r="I26" i="2"/>
  <c r="J26" i="2" s="1"/>
  <c r="K26" i="2" s="1"/>
  <c r="H26" i="2"/>
  <c r="F26" i="2"/>
  <c r="E26" i="2"/>
  <c r="H25" i="2"/>
  <c r="I24" i="2"/>
  <c r="H24" i="2"/>
  <c r="F24" i="2"/>
  <c r="E24" i="2"/>
  <c r="I23" i="2"/>
  <c r="H23" i="2"/>
  <c r="J23" i="2" s="1"/>
  <c r="K23" i="2" s="1"/>
  <c r="F23" i="2"/>
  <c r="E23" i="2"/>
  <c r="I22" i="2"/>
  <c r="H22" i="2"/>
  <c r="J22" i="2" s="1"/>
  <c r="K22" i="2" s="1"/>
  <c r="F22" i="2"/>
  <c r="E22" i="2"/>
  <c r="I21" i="2"/>
  <c r="H21" i="2"/>
  <c r="J21" i="2" s="1"/>
  <c r="K21" i="2" s="1"/>
  <c r="F21" i="2"/>
  <c r="E21" i="2"/>
  <c r="I20" i="2"/>
  <c r="H20" i="2"/>
  <c r="J20" i="2" s="1"/>
  <c r="K20" i="2" s="1"/>
  <c r="F20" i="2"/>
  <c r="E20" i="2"/>
  <c r="H19" i="2"/>
  <c r="H18" i="2"/>
  <c r="I17" i="2"/>
  <c r="H17" i="2"/>
  <c r="J17" i="2" s="1"/>
  <c r="K17" i="2" s="1"/>
  <c r="F17" i="2"/>
  <c r="E17" i="2"/>
  <c r="I16" i="2"/>
  <c r="J16" i="2" s="1"/>
  <c r="K16" i="2" s="1"/>
  <c r="H16" i="2"/>
  <c r="F16" i="2"/>
  <c r="E16" i="2"/>
  <c r="I15" i="2"/>
  <c r="H15" i="2"/>
  <c r="J15" i="2" s="1"/>
  <c r="K15" i="2" s="1"/>
  <c r="F15" i="2"/>
  <c r="E15" i="2"/>
  <c r="J13" i="2"/>
  <c r="K13" i="2" s="1"/>
  <c r="K12" i="2" s="1"/>
  <c r="I13" i="2"/>
  <c r="H13" i="2"/>
  <c r="F13" i="2"/>
  <c r="E13" i="2"/>
  <c r="D535" i="1"/>
  <c r="B534" i="1"/>
  <c r="B533" i="1"/>
  <c r="B532" i="1"/>
  <c r="I530" i="1"/>
  <c r="H530" i="1"/>
  <c r="J530" i="1" s="1"/>
  <c r="K530" i="1" s="1"/>
  <c r="K529" i="1" s="1"/>
  <c r="G530" i="1"/>
  <c r="F530" i="1"/>
  <c r="E530" i="1"/>
  <c r="F529" i="1"/>
  <c r="I528" i="1"/>
  <c r="H528" i="1"/>
  <c r="J528" i="1" s="1"/>
  <c r="K528" i="1" s="1"/>
  <c r="K527" i="1" s="1"/>
  <c r="G528" i="1"/>
  <c r="F528" i="1"/>
  <c r="E528" i="1"/>
  <c r="H527" i="1"/>
  <c r="F527" i="1"/>
  <c r="I526" i="1"/>
  <c r="J526" i="1" s="1"/>
  <c r="H526" i="1"/>
  <c r="G526" i="1"/>
  <c r="F526" i="1"/>
  <c r="E526" i="1"/>
  <c r="I525" i="1"/>
  <c r="H525" i="1"/>
  <c r="J525" i="1" s="1"/>
  <c r="G525" i="1"/>
  <c r="K525" i="1" s="1"/>
  <c r="F525" i="1"/>
  <c r="E525" i="1"/>
  <c r="I524" i="1"/>
  <c r="H524" i="1"/>
  <c r="J524" i="1" s="1"/>
  <c r="G524" i="1"/>
  <c r="K524" i="1" s="1"/>
  <c r="F524" i="1"/>
  <c r="E524" i="1"/>
  <c r="J523" i="1"/>
  <c r="I523" i="1"/>
  <c r="H523" i="1"/>
  <c r="G523" i="1"/>
  <c r="F523" i="1"/>
  <c r="E523" i="1"/>
  <c r="H522" i="1"/>
  <c r="F522" i="1"/>
  <c r="I521" i="1"/>
  <c r="H521" i="1"/>
  <c r="J521" i="1" s="1"/>
  <c r="K521" i="1" s="1"/>
  <c r="F521" i="1"/>
  <c r="E521" i="1"/>
  <c r="K520" i="1"/>
  <c r="J520" i="1"/>
  <c r="I520" i="1"/>
  <c r="H520" i="1"/>
  <c r="F520" i="1"/>
  <c r="E520" i="1"/>
  <c r="H519" i="1"/>
  <c r="F519" i="1"/>
  <c r="I518" i="1"/>
  <c r="H518" i="1"/>
  <c r="J518" i="1" s="1"/>
  <c r="K518" i="1" s="1"/>
  <c r="F518" i="1"/>
  <c r="E518" i="1"/>
  <c r="I517" i="1"/>
  <c r="J517" i="1" s="1"/>
  <c r="K517" i="1" s="1"/>
  <c r="H517" i="1"/>
  <c r="F517" i="1"/>
  <c r="E517" i="1"/>
  <c r="K516" i="1"/>
  <c r="I516" i="1"/>
  <c r="H516" i="1"/>
  <c r="J516" i="1" s="1"/>
  <c r="F516" i="1"/>
  <c r="E516" i="1"/>
  <c r="I515" i="1"/>
  <c r="J515" i="1" s="1"/>
  <c r="K515" i="1" s="1"/>
  <c r="H515" i="1"/>
  <c r="F515" i="1"/>
  <c r="E515" i="1"/>
  <c r="I514" i="1"/>
  <c r="H514" i="1"/>
  <c r="J514" i="1" s="1"/>
  <c r="K514" i="1" s="1"/>
  <c r="K513" i="1" s="1"/>
  <c r="F514" i="1"/>
  <c r="E514" i="1"/>
  <c r="H513" i="1"/>
  <c r="F513" i="1"/>
  <c r="I512" i="1"/>
  <c r="H512" i="1"/>
  <c r="J512" i="1" s="1"/>
  <c r="K512" i="1" s="1"/>
  <c r="F512" i="1"/>
  <c r="E512" i="1"/>
  <c r="K511" i="1"/>
  <c r="J511" i="1"/>
  <c r="I511" i="1"/>
  <c r="H511" i="1"/>
  <c r="F511" i="1"/>
  <c r="E511" i="1"/>
  <c r="I510" i="1"/>
  <c r="H510" i="1"/>
  <c r="J510" i="1" s="1"/>
  <c r="K510" i="1" s="1"/>
  <c r="F510" i="1"/>
  <c r="E510" i="1"/>
  <c r="K509" i="1"/>
  <c r="J509" i="1"/>
  <c r="I509" i="1"/>
  <c r="H509" i="1"/>
  <c r="F509" i="1"/>
  <c r="E509" i="1"/>
  <c r="I508" i="1"/>
  <c r="H508" i="1"/>
  <c r="J508" i="1" s="1"/>
  <c r="K508" i="1" s="1"/>
  <c r="K507" i="1" s="1"/>
  <c r="F508" i="1"/>
  <c r="E508" i="1"/>
  <c r="H507" i="1"/>
  <c r="F507" i="1"/>
  <c r="I506" i="1"/>
  <c r="J506" i="1" s="1"/>
  <c r="H506" i="1"/>
  <c r="G506" i="1"/>
  <c r="K506" i="1" s="1"/>
  <c r="K505" i="1" s="1"/>
  <c r="F506" i="1"/>
  <c r="E506" i="1"/>
  <c r="H505" i="1"/>
  <c r="F505" i="1"/>
  <c r="I504" i="1"/>
  <c r="H504" i="1"/>
  <c r="J504" i="1" s="1"/>
  <c r="G504" i="1"/>
  <c r="K504" i="1" s="1"/>
  <c r="F504" i="1"/>
  <c r="E504" i="1"/>
  <c r="J503" i="1"/>
  <c r="I503" i="1"/>
  <c r="H503" i="1"/>
  <c r="G503" i="1"/>
  <c r="F503" i="1"/>
  <c r="E503" i="1"/>
  <c r="I502" i="1"/>
  <c r="J502" i="1" s="1"/>
  <c r="H502" i="1"/>
  <c r="G502" i="1"/>
  <c r="F502" i="1"/>
  <c r="E502" i="1"/>
  <c r="I501" i="1"/>
  <c r="H501" i="1"/>
  <c r="J501" i="1" s="1"/>
  <c r="K501" i="1" s="1"/>
  <c r="G501" i="1"/>
  <c r="F501" i="1"/>
  <c r="E501" i="1"/>
  <c r="I500" i="1"/>
  <c r="H500" i="1"/>
  <c r="J500" i="1" s="1"/>
  <c r="G500" i="1"/>
  <c r="K500" i="1" s="1"/>
  <c r="F500" i="1"/>
  <c r="E500" i="1"/>
  <c r="K499" i="1"/>
  <c r="J499" i="1"/>
  <c r="I499" i="1"/>
  <c r="H499" i="1"/>
  <c r="G499" i="1"/>
  <c r="F499" i="1"/>
  <c r="E499" i="1"/>
  <c r="I498" i="1"/>
  <c r="H498" i="1"/>
  <c r="J498" i="1" s="1"/>
  <c r="K498" i="1" s="1"/>
  <c r="G498" i="1"/>
  <c r="F498" i="1"/>
  <c r="E498" i="1"/>
  <c r="H497" i="1"/>
  <c r="F497" i="1"/>
  <c r="I496" i="1"/>
  <c r="H496" i="1"/>
  <c r="J496" i="1" s="1"/>
  <c r="G496" i="1"/>
  <c r="K496" i="1" s="1"/>
  <c r="F496" i="1"/>
  <c r="E496" i="1"/>
  <c r="K495" i="1"/>
  <c r="K494" i="1" s="1"/>
  <c r="J495" i="1"/>
  <c r="I495" i="1"/>
  <c r="H495" i="1"/>
  <c r="G495" i="1"/>
  <c r="F495" i="1"/>
  <c r="E495" i="1"/>
  <c r="H494" i="1"/>
  <c r="F494" i="1"/>
  <c r="I493" i="1"/>
  <c r="H493" i="1"/>
  <c r="G493" i="1"/>
  <c r="F493" i="1"/>
  <c r="E493" i="1"/>
  <c r="I492" i="1"/>
  <c r="H492" i="1"/>
  <c r="J492" i="1" s="1"/>
  <c r="G492" i="1"/>
  <c r="K492" i="1" s="1"/>
  <c r="F492" i="1"/>
  <c r="E492" i="1"/>
  <c r="J491" i="1"/>
  <c r="I491" i="1"/>
  <c r="H491" i="1"/>
  <c r="G491" i="1"/>
  <c r="K491" i="1" s="1"/>
  <c r="F491" i="1"/>
  <c r="E491" i="1"/>
  <c r="I490" i="1"/>
  <c r="H490" i="1"/>
  <c r="J490" i="1" s="1"/>
  <c r="K490" i="1" s="1"/>
  <c r="G490" i="1"/>
  <c r="F490" i="1"/>
  <c r="E490" i="1"/>
  <c r="I489" i="1"/>
  <c r="H489" i="1"/>
  <c r="G489" i="1"/>
  <c r="F489" i="1"/>
  <c r="E489" i="1"/>
  <c r="K488" i="1"/>
  <c r="I488" i="1"/>
  <c r="H488" i="1"/>
  <c r="J488" i="1" s="1"/>
  <c r="G488" i="1"/>
  <c r="F488" i="1"/>
  <c r="E488" i="1"/>
  <c r="K487" i="1"/>
  <c r="I487" i="1"/>
  <c r="H487" i="1"/>
  <c r="J487" i="1" s="1"/>
  <c r="G487" i="1"/>
  <c r="F487" i="1"/>
  <c r="E487" i="1"/>
  <c r="J486" i="1"/>
  <c r="I486" i="1"/>
  <c r="H486" i="1"/>
  <c r="G486" i="1"/>
  <c r="F486" i="1"/>
  <c r="E486" i="1"/>
  <c r="J485" i="1"/>
  <c r="I485" i="1"/>
  <c r="H485" i="1"/>
  <c r="G485" i="1"/>
  <c r="F485" i="1"/>
  <c r="E485" i="1"/>
  <c r="I484" i="1"/>
  <c r="H484" i="1"/>
  <c r="J484" i="1" s="1"/>
  <c r="G484" i="1"/>
  <c r="K484" i="1" s="1"/>
  <c r="F484" i="1"/>
  <c r="E484" i="1"/>
  <c r="I483" i="1"/>
  <c r="J483" i="1" s="1"/>
  <c r="H483" i="1"/>
  <c r="G483" i="1"/>
  <c r="F483" i="1"/>
  <c r="E483" i="1"/>
  <c r="I482" i="1"/>
  <c r="J482" i="1" s="1"/>
  <c r="H482" i="1"/>
  <c r="G482" i="1"/>
  <c r="F482" i="1"/>
  <c r="E482" i="1"/>
  <c r="I481" i="1"/>
  <c r="H481" i="1"/>
  <c r="J481" i="1" s="1"/>
  <c r="K481" i="1" s="1"/>
  <c r="G481" i="1"/>
  <c r="F481" i="1"/>
  <c r="E481" i="1"/>
  <c r="H480" i="1"/>
  <c r="F480" i="1"/>
  <c r="I479" i="1"/>
  <c r="J479" i="1" s="1"/>
  <c r="H479" i="1"/>
  <c r="G479" i="1"/>
  <c r="F479" i="1"/>
  <c r="E479" i="1"/>
  <c r="J478" i="1"/>
  <c r="I478" i="1"/>
  <c r="H478" i="1"/>
  <c r="G478" i="1"/>
  <c r="K478" i="1" s="1"/>
  <c r="F478" i="1"/>
  <c r="E478" i="1"/>
  <c r="I477" i="1"/>
  <c r="H477" i="1"/>
  <c r="G477" i="1"/>
  <c r="F477" i="1"/>
  <c r="E477" i="1"/>
  <c r="I476" i="1"/>
  <c r="H476" i="1"/>
  <c r="J476" i="1" s="1"/>
  <c r="G476" i="1"/>
  <c r="K476" i="1" s="1"/>
  <c r="F476" i="1"/>
  <c r="E476" i="1"/>
  <c r="J475" i="1"/>
  <c r="I475" i="1"/>
  <c r="H475" i="1"/>
  <c r="G475" i="1"/>
  <c r="K475" i="1" s="1"/>
  <c r="F475" i="1"/>
  <c r="E475" i="1"/>
  <c r="I474" i="1"/>
  <c r="H474" i="1"/>
  <c r="J474" i="1" s="1"/>
  <c r="K474" i="1" s="1"/>
  <c r="G474" i="1"/>
  <c r="F474" i="1"/>
  <c r="E474" i="1"/>
  <c r="K473" i="1"/>
  <c r="I473" i="1"/>
  <c r="H473" i="1"/>
  <c r="J473" i="1" s="1"/>
  <c r="G473" i="1"/>
  <c r="F473" i="1"/>
  <c r="E473" i="1"/>
  <c r="I472" i="1"/>
  <c r="H472" i="1"/>
  <c r="J472" i="1" s="1"/>
  <c r="G472" i="1"/>
  <c r="F472" i="1"/>
  <c r="E472" i="1"/>
  <c r="I471" i="1"/>
  <c r="H471" i="1"/>
  <c r="J471" i="1" s="1"/>
  <c r="K471" i="1" s="1"/>
  <c r="G471" i="1"/>
  <c r="F471" i="1"/>
  <c r="E471" i="1"/>
  <c r="I470" i="1"/>
  <c r="J470" i="1" s="1"/>
  <c r="H470" i="1"/>
  <c r="G470" i="1"/>
  <c r="F470" i="1"/>
  <c r="E470" i="1"/>
  <c r="I469" i="1"/>
  <c r="H469" i="1"/>
  <c r="J469" i="1" s="1"/>
  <c r="G469" i="1"/>
  <c r="F469" i="1"/>
  <c r="E469" i="1"/>
  <c r="J468" i="1"/>
  <c r="K468" i="1" s="1"/>
  <c r="I468" i="1"/>
  <c r="H468" i="1"/>
  <c r="G468" i="1"/>
  <c r="F468" i="1"/>
  <c r="E468" i="1"/>
  <c r="I467" i="1"/>
  <c r="J467" i="1" s="1"/>
  <c r="H467" i="1"/>
  <c r="G467" i="1"/>
  <c r="F467" i="1"/>
  <c r="E467" i="1"/>
  <c r="I466" i="1"/>
  <c r="J466" i="1" s="1"/>
  <c r="H466" i="1"/>
  <c r="G466" i="1"/>
  <c r="F466" i="1"/>
  <c r="E466" i="1"/>
  <c r="H465" i="1"/>
  <c r="F465" i="1"/>
  <c r="J464" i="1"/>
  <c r="K464" i="1" s="1"/>
  <c r="I464" i="1"/>
  <c r="H464" i="1"/>
  <c r="G464" i="1"/>
  <c r="F464" i="1"/>
  <c r="E464" i="1"/>
  <c r="I463" i="1"/>
  <c r="J463" i="1" s="1"/>
  <c r="H463" i="1"/>
  <c r="G463" i="1"/>
  <c r="K463" i="1" s="1"/>
  <c r="F463" i="1"/>
  <c r="E463" i="1"/>
  <c r="I462" i="1"/>
  <c r="J462" i="1" s="1"/>
  <c r="H462" i="1"/>
  <c r="G462" i="1"/>
  <c r="F462" i="1"/>
  <c r="E462" i="1"/>
  <c r="I461" i="1"/>
  <c r="H461" i="1"/>
  <c r="J461" i="1" s="1"/>
  <c r="G461" i="1"/>
  <c r="K461" i="1" s="1"/>
  <c r="F461" i="1"/>
  <c r="E461" i="1"/>
  <c r="H460" i="1"/>
  <c r="F460" i="1"/>
  <c r="I459" i="1"/>
  <c r="J459" i="1" s="1"/>
  <c r="K459" i="1" s="1"/>
  <c r="H459" i="1"/>
  <c r="G459" i="1"/>
  <c r="F459" i="1"/>
  <c r="E459" i="1"/>
  <c r="I458" i="1"/>
  <c r="J458" i="1" s="1"/>
  <c r="K458" i="1" s="1"/>
  <c r="H458" i="1"/>
  <c r="G458" i="1"/>
  <c r="F458" i="1"/>
  <c r="E458" i="1"/>
  <c r="I457" i="1"/>
  <c r="H457" i="1"/>
  <c r="F457" i="1"/>
  <c r="E457" i="1"/>
  <c r="I456" i="1"/>
  <c r="H456" i="1"/>
  <c r="J456" i="1" s="1"/>
  <c r="K456" i="1" s="1"/>
  <c r="G456" i="1"/>
  <c r="F456" i="1"/>
  <c r="E456" i="1"/>
  <c r="I455" i="1"/>
  <c r="J455" i="1" s="1"/>
  <c r="H455" i="1"/>
  <c r="G455" i="1"/>
  <c r="F455" i="1"/>
  <c r="E455" i="1"/>
  <c r="I454" i="1"/>
  <c r="H454" i="1"/>
  <c r="J454" i="1" s="1"/>
  <c r="G454" i="1"/>
  <c r="F454" i="1"/>
  <c r="E454" i="1"/>
  <c r="I453" i="1"/>
  <c r="H453" i="1"/>
  <c r="J453" i="1" s="1"/>
  <c r="G453" i="1"/>
  <c r="K453" i="1" s="1"/>
  <c r="F453" i="1"/>
  <c r="E453" i="1"/>
  <c r="H452" i="1"/>
  <c r="F452" i="1"/>
  <c r="J451" i="1"/>
  <c r="I451" i="1"/>
  <c r="H451" i="1"/>
  <c r="G451" i="1"/>
  <c r="F451" i="1"/>
  <c r="E451" i="1"/>
  <c r="I450" i="1"/>
  <c r="J450" i="1" s="1"/>
  <c r="H450" i="1"/>
  <c r="G450" i="1"/>
  <c r="F450" i="1"/>
  <c r="E450" i="1"/>
  <c r="I449" i="1"/>
  <c r="H449" i="1"/>
  <c r="J449" i="1" s="1"/>
  <c r="K449" i="1" s="1"/>
  <c r="G449" i="1"/>
  <c r="F449" i="1"/>
  <c r="E449" i="1"/>
  <c r="K448" i="1"/>
  <c r="I448" i="1"/>
  <c r="J448" i="1" s="1"/>
  <c r="H448" i="1"/>
  <c r="G448" i="1"/>
  <c r="F448" i="1"/>
  <c r="E448" i="1"/>
  <c r="J447" i="1"/>
  <c r="I447" i="1"/>
  <c r="H447" i="1"/>
  <c r="G447" i="1"/>
  <c r="K447" i="1" s="1"/>
  <c r="F447" i="1"/>
  <c r="E447" i="1"/>
  <c r="I446" i="1"/>
  <c r="H446" i="1"/>
  <c r="J446" i="1" s="1"/>
  <c r="K446" i="1" s="1"/>
  <c r="F446" i="1"/>
  <c r="E446" i="1"/>
  <c r="H445" i="1"/>
  <c r="F445" i="1"/>
  <c r="H444" i="1"/>
  <c r="F444" i="1"/>
  <c r="I443" i="1"/>
  <c r="H443" i="1"/>
  <c r="J443" i="1" s="1"/>
  <c r="G443" i="1"/>
  <c r="K443" i="1" s="1"/>
  <c r="K442" i="1" s="1"/>
  <c r="F443" i="1"/>
  <c r="E443" i="1"/>
  <c r="H442" i="1"/>
  <c r="F442" i="1"/>
  <c r="I441" i="1"/>
  <c r="J441" i="1" s="1"/>
  <c r="K441" i="1" s="1"/>
  <c r="H441" i="1"/>
  <c r="G441" i="1"/>
  <c r="F441" i="1"/>
  <c r="E441" i="1"/>
  <c r="K440" i="1"/>
  <c r="J440" i="1"/>
  <c r="I440" i="1"/>
  <c r="H440" i="1"/>
  <c r="G440" i="1"/>
  <c r="F440" i="1"/>
  <c r="E440" i="1"/>
  <c r="K439" i="1"/>
  <c r="K438" i="1" s="1"/>
  <c r="I439" i="1"/>
  <c r="H439" i="1"/>
  <c r="J439" i="1" s="1"/>
  <c r="G439" i="1"/>
  <c r="F439" i="1"/>
  <c r="E439" i="1"/>
  <c r="H438" i="1"/>
  <c r="F438" i="1"/>
  <c r="I437" i="1"/>
  <c r="H437" i="1"/>
  <c r="J437" i="1" s="1"/>
  <c r="K437" i="1" s="1"/>
  <c r="K435" i="1" s="1"/>
  <c r="G437" i="1"/>
  <c r="F437" i="1"/>
  <c r="E437" i="1"/>
  <c r="K436" i="1"/>
  <c r="J436" i="1"/>
  <c r="I436" i="1"/>
  <c r="H436" i="1"/>
  <c r="G436" i="1"/>
  <c r="F436" i="1"/>
  <c r="E436" i="1"/>
  <c r="H435" i="1"/>
  <c r="F435" i="1"/>
  <c r="I434" i="1"/>
  <c r="J434" i="1" s="1"/>
  <c r="K434" i="1" s="1"/>
  <c r="K433" i="1" s="1"/>
  <c r="K432" i="1" s="1"/>
  <c r="D44" i="4" s="1"/>
  <c r="H434" i="1"/>
  <c r="G434" i="1"/>
  <c r="F434" i="1"/>
  <c r="E434" i="1"/>
  <c r="H433" i="1"/>
  <c r="F433" i="1"/>
  <c r="H432" i="1"/>
  <c r="F432" i="1"/>
  <c r="J431" i="1"/>
  <c r="K431" i="1" s="1"/>
  <c r="K430" i="1" s="1"/>
  <c r="I431" i="1"/>
  <c r="H431" i="1"/>
  <c r="G431" i="1"/>
  <c r="F431" i="1"/>
  <c r="E431" i="1"/>
  <c r="H430" i="1"/>
  <c r="F430" i="1"/>
  <c r="I429" i="1"/>
  <c r="H429" i="1"/>
  <c r="J429" i="1" s="1"/>
  <c r="G429" i="1"/>
  <c r="K429" i="1" s="1"/>
  <c r="F429" i="1"/>
  <c r="E429" i="1"/>
  <c r="I428" i="1"/>
  <c r="H428" i="1"/>
  <c r="J428" i="1" s="1"/>
  <c r="G428" i="1"/>
  <c r="F428" i="1"/>
  <c r="E428" i="1"/>
  <c r="H427" i="1"/>
  <c r="F427" i="1"/>
  <c r="H426" i="1"/>
  <c r="F426" i="1"/>
  <c r="I425" i="1"/>
  <c r="H425" i="1"/>
  <c r="J425" i="1" s="1"/>
  <c r="G425" i="1"/>
  <c r="K425" i="1" s="1"/>
  <c r="K424" i="1" s="1"/>
  <c r="F425" i="1"/>
  <c r="E425" i="1"/>
  <c r="H424" i="1"/>
  <c r="F424" i="1"/>
  <c r="I423" i="1"/>
  <c r="H423" i="1"/>
  <c r="J423" i="1" s="1"/>
  <c r="G423" i="1"/>
  <c r="K423" i="1" s="1"/>
  <c r="F423" i="1"/>
  <c r="E423" i="1"/>
  <c r="I422" i="1"/>
  <c r="J422" i="1" s="1"/>
  <c r="H422" i="1"/>
  <c r="G422" i="1"/>
  <c r="K422" i="1" s="1"/>
  <c r="K421" i="1" s="1"/>
  <c r="F422" i="1"/>
  <c r="E422" i="1"/>
  <c r="H421" i="1"/>
  <c r="F421" i="1"/>
  <c r="I420" i="1"/>
  <c r="H420" i="1"/>
  <c r="J420" i="1" s="1"/>
  <c r="K420" i="1" s="1"/>
  <c r="G420" i="1"/>
  <c r="F420" i="1"/>
  <c r="E420" i="1"/>
  <c r="I419" i="1"/>
  <c r="H419" i="1"/>
  <c r="J419" i="1" s="1"/>
  <c r="G419" i="1"/>
  <c r="K419" i="1" s="1"/>
  <c r="F419" i="1"/>
  <c r="E419" i="1"/>
  <c r="I418" i="1"/>
  <c r="J418" i="1" s="1"/>
  <c r="H418" i="1"/>
  <c r="G418" i="1"/>
  <c r="F418" i="1"/>
  <c r="E418" i="1"/>
  <c r="H417" i="1"/>
  <c r="F417" i="1"/>
  <c r="I416" i="1"/>
  <c r="H416" i="1"/>
  <c r="J416" i="1" s="1"/>
  <c r="K416" i="1" s="1"/>
  <c r="K415" i="1" s="1"/>
  <c r="G416" i="1"/>
  <c r="F416" i="1"/>
  <c r="E416" i="1"/>
  <c r="H415" i="1"/>
  <c r="F415" i="1"/>
  <c r="I414" i="1"/>
  <c r="J414" i="1" s="1"/>
  <c r="K414" i="1" s="1"/>
  <c r="H414" i="1"/>
  <c r="G414" i="1"/>
  <c r="F414" i="1"/>
  <c r="E414" i="1"/>
  <c r="J413" i="1"/>
  <c r="K413" i="1" s="1"/>
  <c r="I413" i="1"/>
  <c r="H413" i="1"/>
  <c r="G413" i="1"/>
  <c r="F413" i="1"/>
  <c r="E413" i="1"/>
  <c r="I412" i="1"/>
  <c r="H412" i="1"/>
  <c r="J412" i="1" s="1"/>
  <c r="K412" i="1" s="1"/>
  <c r="G412" i="1"/>
  <c r="F412" i="1"/>
  <c r="E412" i="1"/>
  <c r="I411" i="1"/>
  <c r="H411" i="1"/>
  <c r="J411" i="1" s="1"/>
  <c r="G411" i="1"/>
  <c r="F411" i="1"/>
  <c r="E411" i="1"/>
  <c r="H410" i="1"/>
  <c r="F410" i="1"/>
  <c r="J409" i="1"/>
  <c r="K409" i="1" s="1"/>
  <c r="I409" i="1"/>
  <c r="H409" i="1"/>
  <c r="G409" i="1"/>
  <c r="F409" i="1"/>
  <c r="E409" i="1"/>
  <c r="K408" i="1"/>
  <c r="I408" i="1"/>
  <c r="H408" i="1"/>
  <c r="J408" i="1" s="1"/>
  <c r="G408" i="1"/>
  <c r="F408" i="1"/>
  <c r="E408" i="1"/>
  <c r="I407" i="1"/>
  <c r="H407" i="1"/>
  <c r="J407" i="1" s="1"/>
  <c r="G407" i="1"/>
  <c r="F407" i="1"/>
  <c r="E407" i="1"/>
  <c r="H406" i="1"/>
  <c r="F406" i="1"/>
  <c r="H405" i="1"/>
  <c r="F405" i="1"/>
  <c r="I404" i="1"/>
  <c r="H404" i="1"/>
  <c r="J404" i="1" s="1"/>
  <c r="G404" i="1"/>
  <c r="K404" i="1" s="1"/>
  <c r="F404" i="1"/>
  <c r="E404" i="1"/>
  <c r="J403" i="1"/>
  <c r="K403" i="1" s="1"/>
  <c r="I403" i="1"/>
  <c r="H403" i="1"/>
  <c r="G403" i="1"/>
  <c r="F403" i="1"/>
  <c r="E403" i="1"/>
  <c r="H402" i="1"/>
  <c r="F402" i="1"/>
  <c r="I401" i="1"/>
  <c r="H401" i="1"/>
  <c r="J401" i="1" s="1"/>
  <c r="G401" i="1"/>
  <c r="K401" i="1" s="1"/>
  <c r="F401" i="1"/>
  <c r="E401" i="1"/>
  <c r="I400" i="1"/>
  <c r="H400" i="1"/>
  <c r="J400" i="1" s="1"/>
  <c r="G400" i="1"/>
  <c r="K400" i="1" s="1"/>
  <c r="F400" i="1"/>
  <c r="E400" i="1"/>
  <c r="J399" i="1"/>
  <c r="K399" i="1" s="1"/>
  <c r="I399" i="1"/>
  <c r="H399" i="1"/>
  <c r="G399" i="1"/>
  <c r="F399" i="1"/>
  <c r="E399" i="1"/>
  <c r="I398" i="1"/>
  <c r="J398" i="1" s="1"/>
  <c r="K398" i="1" s="1"/>
  <c r="H398" i="1"/>
  <c r="G398" i="1"/>
  <c r="F398" i="1"/>
  <c r="E398" i="1"/>
  <c r="K397" i="1"/>
  <c r="J397" i="1"/>
  <c r="I397" i="1"/>
  <c r="H397" i="1"/>
  <c r="G397" i="1"/>
  <c r="F397" i="1"/>
  <c r="E397" i="1"/>
  <c r="I396" i="1"/>
  <c r="H396" i="1"/>
  <c r="J396" i="1" s="1"/>
  <c r="K396" i="1" s="1"/>
  <c r="K395" i="1" s="1"/>
  <c r="G396" i="1"/>
  <c r="F396" i="1"/>
  <c r="E396" i="1"/>
  <c r="H395" i="1"/>
  <c r="F395" i="1"/>
  <c r="I394" i="1"/>
  <c r="J394" i="1" s="1"/>
  <c r="K394" i="1" s="1"/>
  <c r="H394" i="1"/>
  <c r="G394" i="1"/>
  <c r="F394" i="1"/>
  <c r="E394" i="1"/>
  <c r="J393" i="1"/>
  <c r="I393" i="1"/>
  <c r="H393" i="1"/>
  <c r="G393" i="1"/>
  <c r="K393" i="1" s="1"/>
  <c r="F393" i="1"/>
  <c r="E393" i="1"/>
  <c r="K392" i="1"/>
  <c r="H392" i="1"/>
  <c r="F392" i="1"/>
  <c r="H391" i="1"/>
  <c r="F391" i="1"/>
  <c r="I390" i="1"/>
  <c r="H390" i="1"/>
  <c r="J390" i="1" s="1"/>
  <c r="G390" i="1"/>
  <c r="F390" i="1"/>
  <c r="E390" i="1"/>
  <c r="H389" i="1"/>
  <c r="F389" i="1"/>
  <c r="K388" i="1"/>
  <c r="J388" i="1"/>
  <c r="I388" i="1"/>
  <c r="H388" i="1"/>
  <c r="G388" i="1"/>
  <c r="F388" i="1"/>
  <c r="E388" i="1"/>
  <c r="J387" i="1"/>
  <c r="K387" i="1" s="1"/>
  <c r="K386" i="1" s="1"/>
  <c r="I387" i="1"/>
  <c r="H387" i="1"/>
  <c r="G387" i="1"/>
  <c r="F387" i="1"/>
  <c r="E387" i="1"/>
  <c r="H386" i="1"/>
  <c r="F386" i="1"/>
  <c r="I385" i="1"/>
  <c r="H385" i="1"/>
  <c r="J385" i="1" s="1"/>
  <c r="K385" i="1" s="1"/>
  <c r="G385" i="1"/>
  <c r="F385" i="1"/>
  <c r="E385" i="1"/>
  <c r="K384" i="1"/>
  <c r="J384" i="1"/>
  <c r="I384" i="1"/>
  <c r="H384" i="1"/>
  <c r="G384" i="1"/>
  <c r="F384" i="1"/>
  <c r="E384" i="1"/>
  <c r="J383" i="1"/>
  <c r="K383" i="1" s="1"/>
  <c r="I383" i="1"/>
  <c r="H383" i="1"/>
  <c r="G383" i="1"/>
  <c r="F383" i="1"/>
  <c r="E383" i="1"/>
  <c r="H382" i="1"/>
  <c r="F382" i="1"/>
  <c r="H381" i="1"/>
  <c r="F381" i="1"/>
  <c r="I380" i="1"/>
  <c r="H380" i="1"/>
  <c r="J380" i="1" s="1"/>
  <c r="K380" i="1" s="1"/>
  <c r="K379" i="1" s="1"/>
  <c r="K378" i="1" s="1"/>
  <c r="D34" i="4" s="1"/>
  <c r="G380" i="1"/>
  <c r="F380" i="1"/>
  <c r="E380" i="1"/>
  <c r="H379" i="1"/>
  <c r="F379" i="1"/>
  <c r="H378" i="1"/>
  <c r="F378" i="1"/>
  <c r="I377" i="1"/>
  <c r="H377" i="1"/>
  <c r="J377" i="1" s="1"/>
  <c r="G377" i="1"/>
  <c r="F377" i="1"/>
  <c r="E377" i="1"/>
  <c r="I376" i="1"/>
  <c r="H376" i="1"/>
  <c r="J376" i="1" s="1"/>
  <c r="G376" i="1"/>
  <c r="K376" i="1" s="1"/>
  <c r="F376" i="1"/>
  <c r="E376" i="1"/>
  <c r="J375" i="1"/>
  <c r="K375" i="1" s="1"/>
  <c r="I375" i="1"/>
  <c r="H375" i="1"/>
  <c r="G375" i="1"/>
  <c r="F375" i="1"/>
  <c r="E375" i="1"/>
  <c r="I374" i="1"/>
  <c r="J374" i="1" s="1"/>
  <c r="K374" i="1" s="1"/>
  <c r="H374" i="1"/>
  <c r="G374" i="1"/>
  <c r="F374" i="1"/>
  <c r="E374" i="1"/>
  <c r="I373" i="1"/>
  <c r="H373" i="1"/>
  <c r="J373" i="1" s="1"/>
  <c r="G373" i="1"/>
  <c r="F373" i="1"/>
  <c r="E373" i="1"/>
  <c r="I372" i="1"/>
  <c r="H372" i="1"/>
  <c r="J372" i="1" s="1"/>
  <c r="K372" i="1" s="1"/>
  <c r="G372" i="1"/>
  <c r="F372" i="1"/>
  <c r="E372" i="1"/>
  <c r="I371" i="1"/>
  <c r="H371" i="1"/>
  <c r="J371" i="1" s="1"/>
  <c r="G371" i="1"/>
  <c r="K371" i="1" s="1"/>
  <c r="F371" i="1"/>
  <c r="E371" i="1"/>
  <c r="I370" i="1"/>
  <c r="J370" i="1" s="1"/>
  <c r="K370" i="1" s="1"/>
  <c r="H370" i="1"/>
  <c r="G370" i="1"/>
  <c r="F370" i="1"/>
  <c r="E370" i="1"/>
  <c r="H369" i="1"/>
  <c r="F369" i="1"/>
  <c r="I368" i="1"/>
  <c r="H368" i="1"/>
  <c r="J368" i="1" s="1"/>
  <c r="K368" i="1" s="1"/>
  <c r="K367" i="1" s="1"/>
  <c r="G368" i="1"/>
  <c r="F368" i="1"/>
  <c r="E368" i="1"/>
  <c r="H367" i="1"/>
  <c r="F367" i="1"/>
  <c r="I366" i="1"/>
  <c r="J366" i="1" s="1"/>
  <c r="K366" i="1" s="1"/>
  <c r="H366" i="1"/>
  <c r="G366" i="1"/>
  <c r="F366" i="1"/>
  <c r="E366" i="1"/>
  <c r="J365" i="1"/>
  <c r="I365" i="1"/>
  <c r="H365" i="1"/>
  <c r="G365" i="1"/>
  <c r="K365" i="1" s="1"/>
  <c r="F365" i="1"/>
  <c r="E365" i="1"/>
  <c r="I364" i="1"/>
  <c r="H364" i="1"/>
  <c r="J364" i="1" s="1"/>
  <c r="K364" i="1" s="1"/>
  <c r="K363" i="1" s="1"/>
  <c r="G364" i="1"/>
  <c r="F364" i="1"/>
  <c r="E364" i="1"/>
  <c r="H363" i="1"/>
  <c r="F363" i="1"/>
  <c r="I362" i="1"/>
  <c r="J362" i="1" s="1"/>
  <c r="K362" i="1" s="1"/>
  <c r="H362" i="1"/>
  <c r="G362" i="1"/>
  <c r="F362" i="1"/>
  <c r="E362" i="1"/>
  <c r="J361" i="1"/>
  <c r="I361" i="1"/>
  <c r="H361" i="1"/>
  <c r="G361" i="1"/>
  <c r="K361" i="1" s="1"/>
  <c r="F361" i="1"/>
  <c r="E361" i="1"/>
  <c r="K360" i="1"/>
  <c r="H360" i="1"/>
  <c r="F360" i="1"/>
  <c r="J359" i="1"/>
  <c r="K359" i="1" s="1"/>
  <c r="I359" i="1"/>
  <c r="H359" i="1"/>
  <c r="G359" i="1"/>
  <c r="F359" i="1"/>
  <c r="E359" i="1"/>
  <c r="I358" i="1"/>
  <c r="J358" i="1" s="1"/>
  <c r="K358" i="1" s="1"/>
  <c r="H358" i="1"/>
  <c r="G358" i="1"/>
  <c r="F358" i="1"/>
  <c r="E358" i="1"/>
  <c r="J357" i="1"/>
  <c r="I357" i="1"/>
  <c r="H357" i="1"/>
  <c r="G357" i="1"/>
  <c r="K357" i="1" s="1"/>
  <c r="F357" i="1"/>
  <c r="E357" i="1"/>
  <c r="I356" i="1"/>
  <c r="H356" i="1"/>
  <c r="J356" i="1" s="1"/>
  <c r="K356" i="1" s="1"/>
  <c r="G356" i="1"/>
  <c r="F356" i="1"/>
  <c r="E356" i="1"/>
  <c r="I355" i="1"/>
  <c r="H355" i="1"/>
  <c r="J355" i="1" s="1"/>
  <c r="G355" i="1"/>
  <c r="F355" i="1"/>
  <c r="E355" i="1"/>
  <c r="I354" i="1"/>
  <c r="J354" i="1" s="1"/>
  <c r="K354" i="1" s="1"/>
  <c r="H354" i="1"/>
  <c r="G354" i="1"/>
  <c r="F354" i="1"/>
  <c r="E354" i="1"/>
  <c r="I353" i="1"/>
  <c r="H353" i="1"/>
  <c r="J353" i="1" s="1"/>
  <c r="K353" i="1" s="1"/>
  <c r="G353" i="1"/>
  <c r="F353" i="1"/>
  <c r="E353" i="1"/>
  <c r="I352" i="1"/>
  <c r="J352" i="1" s="1"/>
  <c r="K352" i="1" s="1"/>
  <c r="H352" i="1"/>
  <c r="G352" i="1"/>
  <c r="F352" i="1"/>
  <c r="E352" i="1"/>
  <c r="J351" i="1"/>
  <c r="K351" i="1" s="1"/>
  <c r="I351" i="1"/>
  <c r="H351" i="1"/>
  <c r="G351" i="1"/>
  <c r="F351" i="1"/>
  <c r="E351" i="1"/>
  <c r="I350" i="1"/>
  <c r="H350" i="1"/>
  <c r="J350" i="1" s="1"/>
  <c r="G350" i="1"/>
  <c r="K350" i="1" s="1"/>
  <c r="F350" i="1"/>
  <c r="E350" i="1"/>
  <c r="I349" i="1"/>
  <c r="H349" i="1"/>
  <c r="J349" i="1" s="1"/>
  <c r="G349" i="1"/>
  <c r="K349" i="1" s="1"/>
  <c r="F349" i="1"/>
  <c r="E349" i="1"/>
  <c r="I348" i="1"/>
  <c r="H348" i="1"/>
  <c r="J348" i="1" s="1"/>
  <c r="G348" i="1"/>
  <c r="F348" i="1"/>
  <c r="E348" i="1"/>
  <c r="H347" i="1"/>
  <c r="F347" i="1"/>
  <c r="I346" i="1"/>
  <c r="H346" i="1"/>
  <c r="J346" i="1" s="1"/>
  <c r="G346" i="1"/>
  <c r="K346" i="1" s="1"/>
  <c r="F346" i="1"/>
  <c r="E346" i="1"/>
  <c r="I345" i="1"/>
  <c r="H345" i="1"/>
  <c r="J345" i="1" s="1"/>
  <c r="G345" i="1"/>
  <c r="F345" i="1"/>
  <c r="E345" i="1"/>
  <c r="I344" i="1"/>
  <c r="H344" i="1"/>
  <c r="J344" i="1" s="1"/>
  <c r="G344" i="1"/>
  <c r="K344" i="1" s="1"/>
  <c r="F344" i="1"/>
  <c r="E344" i="1"/>
  <c r="J343" i="1"/>
  <c r="K343" i="1" s="1"/>
  <c r="I343" i="1"/>
  <c r="H343" i="1"/>
  <c r="G343" i="1"/>
  <c r="F343" i="1"/>
  <c r="E343" i="1"/>
  <c r="I342" i="1"/>
  <c r="J342" i="1" s="1"/>
  <c r="K342" i="1" s="1"/>
  <c r="H342" i="1"/>
  <c r="G342" i="1"/>
  <c r="F342" i="1"/>
  <c r="E342" i="1"/>
  <c r="J341" i="1"/>
  <c r="I341" i="1"/>
  <c r="H341" i="1"/>
  <c r="G341" i="1"/>
  <c r="K341" i="1" s="1"/>
  <c r="F341" i="1"/>
  <c r="E341" i="1"/>
  <c r="I340" i="1"/>
  <c r="H340" i="1"/>
  <c r="J340" i="1" s="1"/>
  <c r="K340" i="1" s="1"/>
  <c r="G340" i="1"/>
  <c r="F340" i="1"/>
  <c r="E340" i="1"/>
  <c r="I339" i="1"/>
  <c r="H339" i="1"/>
  <c r="J339" i="1" s="1"/>
  <c r="G339" i="1"/>
  <c r="K339" i="1" s="1"/>
  <c r="F339" i="1"/>
  <c r="E339" i="1"/>
  <c r="I338" i="1"/>
  <c r="H338" i="1"/>
  <c r="J338" i="1" s="1"/>
  <c r="K338" i="1" s="1"/>
  <c r="G338" i="1"/>
  <c r="F338" i="1"/>
  <c r="E338" i="1"/>
  <c r="I337" i="1"/>
  <c r="H337" i="1"/>
  <c r="J337" i="1" s="1"/>
  <c r="K337" i="1" s="1"/>
  <c r="G337" i="1"/>
  <c r="F337" i="1"/>
  <c r="E337" i="1"/>
  <c r="K336" i="1"/>
  <c r="J336" i="1"/>
  <c r="I336" i="1"/>
  <c r="H336" i="1"/>
  <c r="G336" i="1"/>
  <c r="F336" i="1"/>
  <c r="E336" i="1"/>
  <c r="J335" i="1"/>
  <c r="K335" i="1" s="1"/>
  <c r="I335" i="1"/>
  <c r="H335" i="1"/>
  <c r="G335" i="1"/>
  <c r="F335" i="1"/>
  <c r="E335" i="1"/>
  <c r="H334" i="1"/>
  <c r="F334" i="1"/>
  <c r="I333" i="1"/>
  <c r="H333" i="1"/>
  <c r="J333" i="1" s="1"/>
  <c r="K333" i="1" s="1"/>
  <c r="G333" i="1"/>
  <c r="F333" i="1"/>
  <c r="E333" i="1"/>
  <c r="K332" i="1"/>
  <c r="J332" i="1"/>
  <c r="I332" i="1"/>
  <c r="H332" i="1"/>
  <c r="G332" i="1"/>
  <c r="F332" i="1"/>
  <c r="E332" i="1"/>
  <c r="J331" i="1"/>
  <c r="K331" i="1" s="1"/>
  <c r="I331" i="1"/>
  <c r="H331" i="1"/>
  <c r="G331" i="1"/>
  <c r="F331" i="1"/>
  <c r="E331" i="1"/>
  <c r="I330" i="1"/>
  <c r="H330" i="1"/>
  <c r="J330" i="1" s="1"/>
  <c r="G330" i="1"/>
  <c r="K330" i="1" s="1"/>
  <c r="F330" i="1"/>
  <c r="E330" i="1"/>
  <c r="I329" i="1"/>
  <c r="H329" i="1"/>
  <c r="J329" i="1" s="1"/>
  <c r="G329" i="1"/>
  <c r="K329" i="1" s="1"/>
  <c r="F329" i="1"/>
  <c r="E329" i="1"/>
  <c r="I328" i="1"/>
  <c r="H328" i="1"/>
  <c r="J328" i="1" s="1"/>
  <c r="G328" i="1"/>
  <c r="K328" i="1" s="1"/>
  <c r="F328" i="1"/>
  <c r="E328" i="1"/>
  <c r="H327" i="1"/>
  <c r="F327" i="1"/>
  <c r="I326" i="1"/>
  <c r="H326" i="1"/>
  <c r="J326" i="1" s="1"/>
  <c r="G326" i="1"/>
  <c r="K326" i="1" s="1"/>
  <c r="F326" i="1"/>
  <c r="E326" i="1"/>
  <c r="I325" i="1"/>
  <c r="H325" i="1"/>
  <c r="J325" i="1" s="1"/>
  <c r="G325" i="1"/>
  <c r="K325" i="1" s="1"/>
  <c r="F325" i="1"/>
  <c r="E325" i="1"/>
  <c r="I324" i="1"/>
  <c r="H324" i="1"/>
  <c r="J324" i="1" s="1"/>
  <c r="G324" i="1"/>
  <c r="F324" i="1"/>
  <c r="E324" i="1"/>
  <c r="J323" i="1"/>
  <c r="K323" i="1" s="1"/>
  <c r="I323" i="1"/>
  <c r="H323" i="1"/>
  <c r="G323" i="1"/>
  <c r="F323" i="1"/>
  <c r="E323" i="1"/>
  <c r="I322" i="1"/>
  <c r="J322" i="1" s="1"/>
  <c r="K322" i="1" s="1"/>
  <c r="H322" i="1"/>
  <c r="G322" i="1"/>
  <c r="F322" i="1"/>
  <c r="E322" i="1"/>
  <c r="I321" i="1"/>
  <c r="H321" i="1"/>
  <c r="J321" i="1" s="1"/>
  <c r="G321" i="1"/>
  <c r="F321" i="1"/>
  <c r="E321" i="1"/>
  <c r="H320" i="1"/>
  <c r="F320" i="1"/>
  <c r="J319" i="1"/>
  <c r="K319" i="1" s="1"/>
  <c r="I319" i="1"/>
  <c r="H319" i="1"/>
  <c r="G319" i="1"/>
  <c r="F319" i="1"/>
  <c r="E319" i="1"/>
  <c r="I318" i="1"/>
  <c r="J318" i="1" s="1"/>
  <c r="H318" i="1"/>
  <c r="G318" i="1"/>
  <c r="F318" i="1"/>
  <c r="E318" i="1"/>
  <c r="I317" i="1"/>
  <c r="H317" i="1"/>
  <c r="J317" i="1" s="1"/>
  <c r="G317" i="1"/>
  <c r="K317" i="1" s="1"/>
  <c r="F317" i="1"/>
  <c r="E317" i="1"/>
  <c r="K316" i="1"/>
  <c r="I316" i="1"/>
  <c r="H316" i="1"/>
  <c r="J316" i="1" s="1"/>
  <c r="G316" i="1"/>
  <c r="F316" i="1"/>
  <c r="E316" i="1"/>
  <c r="I315" i="1"/>
  <c r="H315" i="1"/>
  <c r="J315" i="1" s="1"/>
  <c r="G315" i="1"/>
  <c r="F315" i="1"/>
  <c r="E315" i="1"/>
  <c r="I314" i="1"/>
  <c r="J314" i="1" s="1"/>
  <c r="K314" i="1" s="1"/>
  <c r="H314" i="1"/>
  <c r="G314" i="1"/>
  <c r="F314" i="1"/>
  <c r="E314" i="1"/>
  <c r="I313" i="1"/>
  <c r="H313" i="1"/>
  <c r="J313" i="1" s="1"/>
  <c r="K313" i="1" s="1"/>
  <c r="G313" i="1"/>
  <c r="F313" i="1"/>
  <c r="E313" i="1"/>
  <c r="K312" i="1"/>
  <c r="J312" i="1"/>
  <c r="I312" i="1"/>
  <c r="H312" i="1"/>
  <c r="G312" i="1"/>
  <c r="F312" i="1"/>
  <c r="E312" i="1"/>
  <c r="J311" i="1"/>
  <c r="K311" i="1" s="1"/>
  <c r="I311" i="1"/>
  <c r="H311" i="1"/>
  <c r="G311" i="1"/>
  <c r="F311" i="1"/>
  <c r="E311" i="1"/>
  <c r="I310" i="1"/>
  <c r="H310" i="1"/>
  <c r="J310" i="1" s="1"/>
  <c r="G310" i="1"/>
  <c r="K310" i="1" s="1"/>
  <c r="F310" i="1"/>
  <c r="E310" i="1"/>
  <c r="I309" i="1"/>
  <c r="H309" i="1"/>
  <c r="J309" i="1" s="1"/>
  <c r="G309" i="1"/>
  <c r="K309" i="1" s="1"/>
  <c r="F309" i="1"/>
  <c r="E309" i="1"/>
  <c r="I308" i="1"/>
  <c r="H308" i="1"/>
  <c r="J308" i="1" s="1"/>
  <c r="G308" i="1"/>
  <c r="F308" i="1"/>
  <c r="E308" i="1"/>
  <c r="J307" i="1"/>
  <c r="K307" i="1" s="1"/>
  <c r="I307" i="1"/>
  <c r="H307" i="1"/>
  <c r="G307" i="1"/>
  <c r="F307" i="1"/>
  <c r="E307" i="1"/>
  <c r="I306" i="1"/>
  <c r="J306" i="1" s="1"/>
  <c r="H306" i="1"/>
  <c r="G306" i="1"/>
  <c r="K306" i="1" s="1"/>
  <c r="F306" i="1"/>
  <c r="E306" i="1"/>
  <c r="I305" i="1"/>
  <c r="H305" i="1"/>
  <c r="J305" i="1" s="1"/>
  <c r="G305" i="1"/>
  <c r="F305" i="1"/>
  <c r="E305" i="1"/>
  <c r="I304" i="1"/>
  <c r="H304" i="1"/>
  <c r="J304" i="1" s="1"/>
  <c r="K304" i="1" s="1"/>
  <c r="G304" i="1"/>
  <c r="F304" i="1"/>
  <c r="E304" i="1"/>
  <c r="I303" i="1"/>
  <c r="H303" i="1"/>
  <c r="J303" i="1" s="1"/>
  <c r="G303" i="1"/>
  <c r="F303" i="1"/>
  <c r="E303" i="1"/>
  <c r="I302" i="1"/>
  <c r="J302" i="1" s="1"/>
  <c r="K302" i="1" s="1"/>
  <c r="H302" i="1"/>
  <c r="G302" i="1"/>
  <c r="F302" i="1"/>
  <c r="E302" i="1"/>
  <c r="I301" i="1"/>
  <c r="H301" i="1"/>
  <c r="J301" i="1" s="1"/>
  <c r="K301" i="1" s="1"/>
  <c r="G301" i="1"/>
  <c r="F301" i="1"/>
  <c r="E301" i="1"/>
  <c r="K300" i="1"/>
  <c r="J300" i="1"/>
  <c r="I300" i="1"/>
  <c r="H300" i="1"/>
  <c r="G300" i="1"/>
  <c r="F300" i="1"/>
  <c r="E300" i="1"/>
  <c r="J299" i="1"/>
  <c r="K299" i="1" s="1"/>
  <c r="I299" i="1"/>
  <c r="H299" i="1"/>
  <c r="G299" i="1"/>
  <c r="F299" i="1"/>
  <c r="E299" i="1"/>
  <c r="I298" i="1"/>
  <c r="H298" i="1"/>
  <c r="J298" i="1" s="1"/>
  <c r="G298" i="1"/>
  <c r="K298" i="1" s="1"/>
  <c r="F298" i="1"/>
  <c r="E298" i="1"/>
  <c r="H297" i="1"/>
  <c r="F297" i="1"/>
  <c r="K296" i="1"/>
  <c r="J296" i="1"/>
  <c r="I296" i="1"/>
  <c r="H296" i="1"/>
  <c r="G296" i="1"/>
  <c r="F296" i="1"/>
  <c r="E296" i="1"/>
  <c r="J295" i="1"/>
  <c r="K295" i="1" s="1"/>
  <c r="I295" i="1"/>
  <c r="H295" i="1"/>
  <c r="G295" i="1"/>
  <c r="F295" i="1"/>
  <c r="E295" i="1"/>
  <c r="I294" i="1"/>
  <c r="H294" i="1"/>
  <c r="J294" i="1" s="1"/>
  <c r="G294" i="1"/>
  <c r="F294" i="1"/>
  <c r="E294" i="1"/>
  <c r="I293" i="1"/>
  <c r="H293" i="1"/>
  <c r="J293" i="1" s="1"/>
  <c r="G293" i="1"/>
  <c r="K293" i="1" s="1"/>
  <c r="F293" i="1"/>
  <c r="E293" i="1"/>
  <c r="I292" i="1"/>
  <c r="H292" i="1"/>
  <c r="J292" i="1" s="1"/>
  <c r="G292" i="1"/>
  <c r="K292" i="1" s="1"/>
  <c r="F292" i="1"/>
  <c r="E292" i="1"/>
  <c r="J291" i="1"/>
  <c r="K291" i="1" s="1"/>
  <c r="I291" i="1"/>
  <c r="H291" i="1"/>
  <c r="G291" i="1"/>
  <c r="F291" i="1"/>
  <c r="E291" i="1"/>
  <c r="I290" i="1"/>
  <c r="J290" i="1" s="1"/>
  <c r="H290" i="1"/>
  <c r="G290" i="1"/>
  <c r="F290" i="1"/>
  <c r="E290" i="1"/>
  <c r="I289" i="1"/>
  <c r="H289" i="1"/>
  <c r="J289" i="1" s="1"/>
  <c r="K289" i="1" s="1"/>
  <c r="G289" i="1"/>
  <c r="F289" i="1"/>
  <c r="E289" i="1"/>
  <c r="H288" i="1"/>
  <c r="F288" i="1"/>
  <c r="J287" i="1"/>
  <c r="K287" i="1" s="1"/>
  <c r="I287" i="1"/>
  <c r="H287" i="1"/>
  <c r="G287" i="1"/>
  <c r="F287" i="1"/>
  <c r="E287" i="1"/>
  <c r="I286" i="1"/>
  <c r="J286" i="1" s="1"/>
  <c r="H286" i="1"/>
  <c r="G286" i="1"/>
  <c r="K286" i="1" s="1"/>
  <c r="F286" i="1"/>
  <c r="E286" i="1"/>
  <c r="I285" i="1"/>
  <c r="H285" i="1"/>
  <c r="J285" i="1" s="1"/>
  <c r="K285" i="1" s="1"/>
  <c r="G285" i="1"/>
  <c r="F285" i="1"/>
  <c r="E285" i="1"/>
  <c r="K284" i="1"/>
  <c r="I284" i="1"/>
  <c r="H284" i="1"/>
  <c r="J284" i="1" s="1"/>
  <c r="G284" i="1"/>
  <c r="F284" i="1"/>
  <c r="E284" i="1"/>
  <c r="J283" i="1"/>
  <c r="I283" i="1"/>
  <c r="H283" i="1"/>
  <c r="G283" i="1"/>
  <c r="K283" i="1" s="1"/>
  <c r="F283" i="1"/>
  <c r="E283" i="1"/>
  <c r="I282" i="1"/>
  <c r="H282" i="1"/>
  <c r="J282" i="1" s="1"/>
  <c r="K282" i="1" s="1"/>
  <c r="G282" i="1"/>
  <c r="F282" i="1"/>
  <c r="E282" i="1"/>
  <c r="I281" i="1"/>
  <c r="H281" i="1"/>
  <c r="J281" i="1" s="1"/>
  <c r="K281" i="1" s="1"/>
  <c r="G281" i="1"/>
  <c r="F281" i="1"/>
  <c r="E281" i="1"/>
  <c r="K280" i="1"/>
  <c r="J280" i="1"/>
  <c r="I280" i="1"/>
  <c r="H280" i="1"/>
  <c r="G280" i="1"/>
  <c r="F280" i="1"/>
  <c r="E280" i="1"/>
  <c r="H279" i="1"/>
  <c r="F279" i="1"/>
  <c r="I278" i="1"/>
  <c r="H278" i="1"/>
  <c r="J278" i="1" s="1"/>
  <c r="K278" i="1" s="1"/>
  <c r="G278" i="1"/>
  <c r="F278" i="1"/>
  <c r="E278" i="1"/>
  <c r="I277" i="1"/>
  <c r="H277" i="1"/>
  <c r="J277" i="1" s="1"/>
  <c r="K277" i="1" s="1"/>
  <c r="G277" i="1"/>
  <c r="F277" i="1"/>
  <c r="E277" i="1"/>
  <c r="K276" i="1"/>
  <c r="J276" i="1"/>
  <c r="I276" i="1"/>
  <c r="H276" i="1"/>
  <c r="G276" i="1"/>
  <c r="F276" i="1"/>
  <c r="E276" i="1"/>
  <c r="J275" i="1"/>
  <c r="K275" i="1" s="1"/>
  <c r="I275" i="1"/>
  <c r="H275" i="1"/>
  <c r="G275" i="1"/>
  <c r="F275" i="1"/>
  <c r="E275" i="1"/>
  <c r="I274" i="1"/>
  <c r="H274" i="1"/>
  <c r="J274" i="1" s="1"/>
  <c r="G274" i="1"/>
  <c r="K274" i="1" s="1"/>
  <c r="F274" i="1"/>
  <c r="E274" i="1"/>
  <c r="I273" i="1"/>
  <c r="H273" i="1"/>
  <c r="J273" i="1" s="1"/>
  <c r="G273" i="1"/>
  <c r="F273" i="1"/>
  <c r="E273" i="1"/>
  <c r="I272" i="1"/>
  <c r="H272" i="1"/>
  <c r="J272" i="1" s="1"/>
  <c r="G272" i="1"/>
  <c r="K272" i="1" s="1"/>
  <c r="F272" i="1"/>
  <c r="E272" i="1"/>
  <c r="H271" i="1"/>
  <c r="F271" i="1"/>
  <c r="H270" i="1"/>
  <c r="F270" i="1"/>
  <c r="I269" i="1"/>
  <c r="H269" i="1"/>
  <c r="J269" i="1" s="1"/>
  <c r="K269" i="1" s="1"/>
  <c r="G269" i="1"/>
  <c r="F269" i="1"/>
  <c r="E269" i="1"/>
  <c r="K268" i="1"/>
  <c r="J268" i="1"/>
  <c r="I268" i="1"/>
  <c r="H268" i="1"/>
  <c r="G268" i="1"/>
  <c r="F268" i="1"/>
  <c r="E268" i="1"/>
  <c r="J267" i="1"/>
  <c r="K267" i="1" s="1"/>
  <c r="I267" i="1"/>
  <c r="H267" i="1"/>
  <c r="G267" i="1"/>
  <c r="F267" i="1"/>
  <c r="E267" i="1"/>
  <c r="I266" i="1"/>
  <c r="H266" i="1"/>
  <c r="J266" i="1" s="1"/>
  <c r="G266" i="1"/>
  <c r="F266" i="1"/>
  <c r="E266" i="1"/>
  <c r="H265" i="1"/>
  <c r="F265" i="1"/>
  <c r="K264" i="1"/>
  <c r="J264" i="1"/>
  <c r="I264" i="1"/>
  <c r="H264" i="1"/>
  <c r="G264" i="1"/>
  <c r="F264" i="1"/>
  <c r="E264" i="1"/>
  <c r="J263" i="1"/>
  <c r="K263" i="1" s="1"/>
  <c r="I263" i="1"/>
  <c r="H263" i="1"/>
  <c r="G263" i="1"/>
  <c r="F263" i="1"/>
  <c r="E263" i="1"/>
  <c r="I262" i="1"/>
  <c r="H262" i="1"/>
  <c r="J262" i="1" s="1"/>
  <c r="G262" i="1"/>
  <c r="K262" i="1" s="1"/>
  <c r="F262" i="1"/>
  <c r="E262" i="1"/>
  <c r="I261" i="1"/>
  <c r="H261" i="1"/>
  <c r="J261" i="1" s="1"/>
  <c r="G261" i="1"/>
  <c r="K261" i="1" s="1"/>
  <c r="F261" i="1"/>
  <c r="E261" i="1"/>
  <c r="I260" i="1"/>
  <c r="H260" i="1"/>
  <c r="J260" i="1" s="1"/>
  <c r="G260" i="1"/>
  <c r="F260" i="1"/>
  <c r="E260" i="1"/>
  <c r="K259" i="1"/>
  <c r="J259" i="1"/>
  <c r="I259" i="1"/>
  <c r="H259" i="1"/>
  <c r="G259" i="1"/>
  <c r="F259" i="1"/>
  <c r="E259" i="1"/>
  <c r="I258" i="1"/>
  <c r="J258" i="1" s="1"/>
  <c r="K258" i="1" s="1"/>
  <c r="H258" i="1"/>
  <c r="G258" i="1"/>
  <c r="F258" i="1"/>
  <c r="E258" i="1"/>
  <c r="I257" i="1"/>
  <c r="H257" i="1"/>
  <c r="J257" i="1" s="1"/>
  <c r="K257" i="1" s="1"/>
  <c r="G257" i="1"/>
  <c r="F257" i="1"/>
  <c r="E257" i="1"/>
  <c r="K256" i="1"/>
  <c r="I256" i="1"/>
  <c r="H256" i="1"/>
  <c r="J256" i="1" s="1"/>
  <c r="G256" i="1"/>
  <c r="F256" i="1"/>
  <c r="E256" i="1"/>
  <c r="I255" i="1"/>
  <c r="H255" i="1"/>
  <c r="J255" i="1" s="1"/>
  <c r="G255" i="1"/>
  <c r="F255" i="1"/>
  <c r="E255" i="1"/>
  <c r="J254" i="1"/>
  <c r="K254" i="1" s="1"/>
  <c r="I254" i="1"/>
  <c r="H254" i="1"/>
  <c r="G254" i="1"/>
  <c r="F254" i="1"/>
  <c r="E254" i="1"/>
  <c r="I253" i="1"/>
  <c r="H253" i="1"/>
  <c r="J253" i="1" s="1"/>
  <c r="K253" i="1" s="1"/>
  <c r="G253" i="1"/>
  <c r="F253" i="1"/>
  <c r="E253" i="1"/>
  <c r="K252" i="1"/>
  <c r="J252" i="1"/>
  <c r="I252" i="1"/>
  <c r="H252" i="1"/>
  <c r="G252" i="1"/>
  <c r="F252" i="1"/>
  <c r="E252" i="1"/>
  <c r="H251" i="1"/>
  <c r="F251" i="1"/>
  <c r="J250" i="1"/>
  <c r="I250" i="1"/>
  <c r="H250" i="1"/>
  <c r="G250" i="1"/>
  <c r="K250" i="1" s="1"/>
  <c r="F250" i="1"/>
  <c r="E250" i="1"/>
  <c r="I249" i="1"/>
  <c r="H249" i="1"/>
  <c r="J249" i="1" s="1"/>
  <c r="G249" i="1"/>
  <c r="F249" i="1"/>
  <c r="E249" i="1"/>
  <c r="I248" i="1"/>
  <c r="J248" i="1" s="1"/>
  <c r="K248" i="1" s="1"/>
  <c r="H248" i="1"/>
  <c r="G248" i="1"/>
  <c r="F248" i="1"/>
  <c r="E248" i="1"/>
  <c r="J247" i="1"/>
  <c r="K247" i="1" s="1"/>
  <c r="I247" i="1"/>
  <c r="H247" i="1"/>
  <c r="G247" i="1"/>
  <c r="F247" i="1"/>
  <c r="E247" i="1"/>
  <c r="I246" i="1"/>
  <c r="H246" i="1"/>
  <c r="J246" i="1" s="1"/>
  <c r="G246" i="1"/>
  <c r="K246" i="1" s="1"/>
  <c r="F246" i="1"/>
  <c r="E246" i="1"/>
  <c r="H245" i="1"/>
  <c r="F245" i="1"/>
  <c r="I244" i="1"/>
  <c r="J244" i="1" s="1"/>
  <c r="K244" i="1" s="1"/>
  <c r="H244" i="1"/>
  <c r="G244" i="1"/>
  <c r="F244" i="1"/>
  <c r="E244" i="1"/>
  <c r="J243" i="1"/>
  <c r="K243" i="1" s="1"/>
  <c r="I243" i="1"/>
  <c r="H243" i="1"/>
  <c r="G243" i="1"/>
  <c r="F243" i="1"/>
  <c r="E243" i="1"/>
  <c r="I242" i="1"/>
  <c r="H242" i="1"/>
  <c r="J242" i="1" s="1"/>
  <c r="G242" i="1"/>
  <c r="F242" i="1"/>
  <c r="E242" i="1"/>
  <c r="I241" i="1"/>
  <c r="H241" i="1"/>
  <c r="J241" i="1" s="1"/>
  <c r="K241" i="1" s="1"/>
  <c r="G241" i="1"/>
  <c r="F241" i="1"/>
  <c r="E241" i="1"/>
  <c r="I240" i="1"/>
  <c r="H240" i="1"/>
  <c r="J240" i="1" s="1"/>
  <c r="G240" i="1"/>
  <c r="K240" i="1" s="1"/>
  <c r="F240" i="1"/>
  <c r="E240" i="1"/>
  <c r="K239" i="1"/>
  <c r="J239" i="1"/>
  <c r="I239" i="1"/>
  <c r="H239" i="1"/>
  <c r="G239" i="1"/>
  <c r="F239" i="1"/>
  <c r="E239" i="1"/>
  <c r="I238" i="1"/>
  <c r="J238" i="1" s="1"/>
  <c r="K238" i="1" s="1"/>
  <c r="H238" i="1"/>
  <c r="G238" i="1"/>
  <c r="F238" i="1"/>
  <c r="E238" i="1"/>
  <c r="J237" i="1"/>
  <c r="K237" i="1" s="1"/>
  <c r="I237" i="1"/>
  <c r="H237" i="1"/>
  <c r="G237" i="1"/>
  <c r="F237" i="1"/>
  <c r="E237" i="1"/>
  <c r="K236" i="1"/>
  <c r="I236" i="1"/>
  <c r="H236" i="1"/>
  <c r="J236" i="1" s="1"/>
  <c r="G236" i="1"/>
  <c r="F236" i="1"/>
  <c r="E236" i="1"/>
  <c r="I235" i="1"/>
  <c r="H235" i="1"/>
  <c r="J235" i="1" s="1"/>
  <c r="G235" i="1"/>
  <c r="F235" i="1"/>
  <c r="E235" i="1"/>
  <c r="J234" i="1"/>
  <c r="I234" i="1"/>
  <c r="H234" i="1"/>
  <c r="G234" i="1"/>
  <c r="K234" i="1" s="1"/>
  <c r="F234" i="1"/>
  <c r="E234" i="1"/>
  <c r="I233" i="1"/>
  <c r="H233" i="1"/>
  <c r="J233" i="1" s="1"/>
  <c r="G233" i="1"/>
  <c r="F233" i="1"/>
  <c r="E233" i="1"/>
  <c r="I232" i="1"/>
  <c r="J232" i="1" s="1"/>
  <c r="K232" i="1" s="1"/>
  <c r="H232" i="1"/>
  <c r="G232" i="1"/>
  <c r="F232" i="1"/>
  <c r="E232" i="1"/>
  <c r="J231" i="1"/>
  <c r="K231" i="1" s="1"/>
  <c r="I231" i="1"/>
  <c r="H231" i="1"/>
  <c r="G231" i="1"/>
  <c r="F231" i="1"/>
  <c r="E231" i="1"/>
  <c r="I230" i="1"/>
  <c r="H230" i="1"/>
  <c r="J230" i="1" s="1"/>
  <c r="G230" i="1"/>
  <c r="K230" i="1" s="1"/>
  <c r="F230" i="1"/>
  <c r="E230" i="1"/>
  <c r="I229" i="1"/>
  <c r="H229" i="1"/>
  <c r="J229" i="1" s="1"/>
  <c r="K229" i="1" s="1"/>
  <c r="G229" i="1"/>
  <c r="F229" i="1"/>
  <c r="E229" i="1"/>
  <c r="I228" i="1"/>
  <c r="H228" i="1"/>
  <c r="J228" i="1" s="1"/>
  <c r="G228" i="1"/>
  <c r="K228" i="1" s="1"/>
  <c r="F228" i="1"/>
  <c r="E228" i="1"/>
  <c r="H227" i="1"/>
  <c r="F227" i="1"/>
  <c r="I226" i="1"/>
  <c r="H226" i="1"/>
  <c r="J226" i="1" s="1"/>
  <c r="G226" i="1"/>
  <c r="K226" i="1" s="1"/>
  <c r="F226" i="1"/>
  <c r="E226" i="1"/>
  <c r="I225" i="1"/>
  <c r="H225" i="1"/>
  <c r="J225" i="1" s="1"/>
  <c r="K225" i="1" s="1"/>
  <c r="G225" i="1"/>
  <c r="F225" i="1"/>
  <c r="E225" i="1"/>
  <c r="I224" i="1"/>
  <c r="H224" i="1"/>
  <c r="J224" i="1" s="1"/>
  <c r="G224" i="1"/>
  <c r="F224" i="1"/>
  <c r="E224" i="1"/>
  <c r="K223" i="1"/>
  <c r="J223" i="1"/>
  <c r="I223" i="1"/>
  <c r="H223" i="1"/>
  <c r="G223" i="1"/>
  <c r="F223" i="1"/>
  <c r="E223" i="1"/>
  <c r="I222" i="1"/>
  <c r="J222" i="1" s="1"/>
  <c r="K222" i="1" s="1"/>
  <c r="H222" i="1"/>
  <c r="G222" i="1"/>
  <c r="F222" i="1"/>
  <c r="E222" i="1"/>
  <c r="J221" i="1"/>
  <c r="K221" i="1" s="1"/>
  <c r="I221" i="1"/>
  <c r="H221" i="1"/>
  <c r="G221" i="1"/>
  <c r="F221" i="1"/>
  <c r="E221" i="1"/>
  <c r="H220" i="1"/>
  <c r="F220" i="1"/>
  <c r="K219" i="1"/>
  <c r="J219" i="1"/>
  <c r="I219" i="1"/>
  <c r="H219" i="1"/>
  <c r="G219" i="1"/>
  <c r="F219" i="1"/>
  <c r="E219" i="1"/>
  <c r="I218" i="1"/>
  <c r="J218" i="1" s="1"/>
  <c r="K218" i="1" s="1"/>
  <c r="H218" i="1"/>
  <c r="G218" i="1"/>
  <c r="F218" i="1"/>
  <c r="E218" i="1"/>
  <c r="J217" i="1"/>
  <c r="K217" i="1" s="1"/>
  <c r="I217" i="1"/>
  <c r="H217" i="1"/>
  <c r="G217" i="1"/>
  <c r="F217" i="1"/>
  <c r="E217" i="1"/>
  <c r="I216" i="1"/>
  <c r="H216" i="1"/>
  <c r="J216" i="1" s="1"/>
  <c r="K216" i="1" s="1"/>
  <c r="G216" i="1"/>
  <c r="F216" i="1"/>
  <c r="E216" i="1"/>
  <c r="I215" i="1"/>
  <c r="H215" i="1"/>
  <c r="J215" i="1" s="1"/>
  <c r="G215" i="1"/>
  <c r="K215" i="1" s="1"/>
  <c r="F215" i="1"/>
  <c r="E215" i="1"/>
  <c r="H214" i="1"/>
  <c r="F214" i="1"/>
  <c r="J213" i="1"/>
  <c r="K213" i="1" s="1"/>
  <c r="I213" i="1"/>
  <c r="H213" i="1"/>
  <c r="G213" i="1"/>
  <c r="F213" i="1"/>
  <c r="E213" i="1"/>
  <c r="I212" i="1"/>
  <c r="H212" i="1"/>
  <c r="J212" i="1" s="1"/>
  <c r="K212" i="1" s="1"/>
  <c r="G212" i="1"/>
  <c r="F212" i="1"/>
  <c r="E212" i="1"/>
  <c r="I211" i="1"/>
  <c r="H211" i="1"/>
  <c r="J211" i="1" s="1"/>
  <c r="G211" i="1"/>
  <c r="K211" i="1" s="1"/>
  <c r="F211" i="1"/>
  <c r="E211" i="1"/>
  <c r="J210" i="1"/>
  <c r="I210" i="1"/>
  <c r="H210" i="1"/>
  <c r="G210" i="1"/>
  <c r="K210" i="1" s="1"/>
  <c r="F210" i="1"/>
  <c r="E210" i="1"/>
  <c r="H209" i="1"/>
  <c r="F209" i="1"/>
  <c r="K208" i="1"/>
  <c r="I208" i="1"/>
  <c r="H208" i="1"/>
  <c r="J208" i="1" s="1"/>
  <c r="G208" i="1"/>
  <c r="F208" i="1"/>
  <c r="E208" i="1"/>
  <c r="I207" i="1"/>
  <c r="H207" i="1"/>
  <c r="J207" i="1" s="1"/>
  <c r="G207" i="1"/>
  <c r="K207" i="1" s="1"/>
  <c r="F207" i="1"/>
  <c r="E207" i="1"/>
  <c r="H206" i="1"/>
  <c r="F206" i="1"/>
  <c r="J205" i="1"/>
  <c r="K205" i="1" s="1"/>
  <c r="I205" i="1"/>
  <c r="H205" i="1"/>
  <c r="G205" i="1"/>
  <c r="F205" i="1"/>
  <c r="E205" i="1"/>
  <c r="K204" i="1"/>
  <c r="I204" i="1"/>
  <c r="H204" i="1"/>
  <c r="J204" i="1" s="1"/>
  <c r="G204" i="1"/>
  <c r="F204" i="1"/>
  <c r="E204" i="1"/>
  <c r="I203" i="1"/>
  <c r="H203" i="1"/>
  <c r="J203" i="1" s="1"/>
  <c r="G203" i="1"/>
  <c r="K203" i="1" s="1"/>
  <c r="F203" i="1"/>
  <c r="E203" i="1"/>
  <c r="J202" i="1"/>
  <c r="I202" i="1"/>
  <c r="H202" i="1"/>
  <c r="G202" i="1"/>
  <c r="K202" i="1" s="1"/>
  <c r="F202" i="1"/>
  <c r="E202" i="1"/>
  <c r="I201" i="1"/>
  <c r="H201" i="1"/>
  <c r="J201" i="1" s="1"/>
  <c r="G201" i="1"/>
  <c r="F201" i="1"/>
  <c r="E201" i="1"/>
  <c r="I200" i="1"/>
  <c r="J200" i="1" s="1"/>
  <c r="K200" i="1" s="1"/>
  <c r="H200" i="1"/>
  <c r="G200" i="1"/>
  <c r="F200" i="1"/>
  <c r="E200" i="1"/>
  <c r="J199" i="1"/>
  <c r="K199" i="1" s="1"/>
  <c r="I199" i="1"/>
  <c r="H199" i="1"/>
  <c r="G199" i="1"/>
  <c r="F199" i="1"/>
  <c r="E199" i="1"/>
  <c r="I198" i="1"/>
  <c r="H198" i="1"/>
  <c r="J198" i="1" s="1"/>
  <c r="G198" i="1"/>
  <c r="F198" i="1"/>
  <c r="E198" i="1"/>
  <c r="I197" i="1"/>
  <c r="H197" i="1"/>
  <c r="J197" i="1" s="1"/>
  <c r="K197" i="1" s="1"/>
  <c r="G197" i="1"/>
  <c r="F197" i="1"/>
  <c r="E197" i="1"/>
  <c r="H196" i="1"/>
  <c r="F196" i="1"/>
  <c r="J195" i="1"/>
  <c r="K195" i="1" s="1"/>
  <c r="I195" i="1"/>
  <c r="H195" i="1"/>
  <c r="G195" i="1"/>
  <c r="F195" i="1"/>
  <c r="E195" i="1"/>
  <c r="I194" i="1"/>
  <c r="H194" i="1"/>
  <c r="J194" i="1" s="1"/>
  <c r="G194" i="1"/>
  <c r="F194" i="1"/>
  <c r="E194" i="1"/>
  <c r="I193" i="1"/>
  <c r="H193" i="1"/>
  <c r="J193" i="1" s="1"/>
  <c r="K193" i="1" s="1"/>
  <c r="G193" i="1"/>
  <c r="F193" i="1"/>
  <c r="E193" i="1"/>
  <c r="I192" i="1"/>
  <c r="H192" i="1"/>
  <c r="J192" i="1" s="1"/>
  <c r="G192" i="1"/>
  <c r="K192" i="1" s="1"/>
  <c r="F192" i="1"/>
  <c r="E192" i="1"/>
  <c r="K191" i="1"/>
  <c r="J191" i="1"/>
  <c r="I191" i="1"/>
  <c r="H191" i="1"/>
  <c r="G191" i="1"/>
  <c r="F191" i="1"/>
  <c r="E191" i="1"/>
  <c r="I190" i="1"/>
  <c r="J190" i="1" s="1"/>
  <c r="K190" i="1" s="1"/>
  <c r="H190" i="1"/>
  <c r="G190" i="1"/>
  <c r="F190" i="1"/>
  <c r="E190" i="1"/>
  <c r="J189" i="1"/>
  <c r="K189" i="1" s="1"/>
  <c r="I189" i="1"/>
  <c r="H189" i="1"/>
  <c r="G189" i="1"/>
  <c r="F189" i="1"/>
  <c r="E189" i="1"/>
  <c r="I188" i="1"/>
  <c r="H188" i="1"/>
  <c r="J188" i="1" s="1"/>
  <c r="K188" i="1" s="1"/>
  <c r="G188" i="1"/>
  <c r="F188" i="1"/>
  <c r="E188" i="1"/>
  <c r="I187" i="1"/>
  <c r="H187" i="1"/>
  <c r="J187" i="1" s="1"/>
  <c r="G187" i="1"/>
  <c r="K187" i="1" s="1"/>
  <c r="F187" i="1"/>
  <c r="E187" i="1"/>
  <c r="J186" i="1"/>
  <c r="I186" i="1"/>
  <c r="H186" i="1"/>
  <c r="G186" i="1"/>
  <c r="K186" i="1" s="1"/>
  <c r="F186" i="1"/>
  <c r="E186" i="1"/>
  <c r="I185" i="1"/>
  <c r="H185" i="1"/>
  <c r="G185" i="1"/>
  <c r="F185" i="1"/>
  <c r="E185" i="1"/>
  <c r="H184" i="1"/>
  <c r="F184" i="1"/>
  <c r="I183" i="1"/>
  <c r="H183" i="1"/>
  <c r="J183" i="1" s="1"/>
  <c r="G183" i="1"/>
  <c r="K183" i="1" s="1"/>
  <c r="F183" i="1"/>
  <c r="E183" i="1"/>
  <c r="J182" i="1"/>
  <c r="I182" i="1"/>
  <c r="H182" i="1"/>
  <c r="G182" i="1"/>
  <c r="K182" i="1" s="1"/>
  <c r="F182" i="1"/>
  <c r="E182" i="1"/>
  <c r="I181" i="1"/>
  <c r="H181" i="1"/>
  <c r="G181" i="1"/>
  <c r="F181" i="1"/>
  <c r="E181" i="1"/>
  <c r="H180" i="1"/>
  <c r="F180" i="1"/>
  <c r="I179" i="1"/>
  <c r="H179" i="1"/>
  <c r="J179" i="1" s="1"/>
  <c r="G179" i="1"/>
  <c r="K179" i="1" s="1"/>
  <c r="F179" i="1"/>
  <c r="E179" i="1"/>
  <c r="J178" i="1"/>
  <c r="I178" i="1"/>
  <c r="H178" i="1"/>
  <c r="G178" i="1"/>
  <c r="K178" i="1" s="1"/>
  <c r="F178" i="1"/>
  <c r="E178" i="1"/>
  <c r="I177" i="1"/>
  <c r="H177" i="1"/>
  <c r="G177" i="1"/>
  <c r="F177" i="1"/>
  <c r="E177" i="1"/>
  <c r="I176" i="1"/>
  <c r="J176" i="1" s="1"/>
  <c r="K176" i="1" s="1"/>
  <c r="H176" i="1"/>
  <c r="G176" i="1"/>
  <c r="F176" i="1"/>
  <c r="E176" i="1"/>
  <c r="K175" i="1"/>
  <c r="J175" i="1"/>
  <c r="I175" i="1"/>
  <c r="H175" i="1"/>
  <c r="G175" i="1"/>
  <c r="F175" i="1"/>
  <c r="E175" i="1"/>
  <c r="I174" i="1"/>
  <c r="H174" i="1"/>
  <c r="J174" i="1" s="1"/>
  <c r="G174" i="1"/>
  <c r="F174" i="1"/>
  <c r="E174" i="1"/>
  <c r="I173" i="1"/>
  <c r="H173" i="1"/>
  <c r="J173" i="1" s="1"/>
  <c r="K173" i="1" s="1"/>
  <c r="G173" i="1"/>
  <c r="F173" i="1"/>
  <c r="E173" i="1"/>
  <c r="I172" i="1"/>
  <c r="H172" i="1"/>
  <c r="J172" i="1" s="1"/>
  <c r="G172" i="1"/>
  <c r="K172" i="1" s="1"/>
  <c r="F172" i="1"/>
  <c r="E172" i="1"/>
  <c r="H171" i="1"/>
  <c r="F171" i="1"/>
  <c r="I170" i="1"/>
  <c r="J170" i="1" s="1"/>
  <c r="H170" i="1"/>
  <c r="G170" i="1"/>
  <c r="K170" i="1" s="1"/>
  <c r="F170" i="1"/>
  <c r="E170" i="1"/>
  <c r="I169" i="1"/>
  <c r="H169" i="1"/>
  <c r="J169" i="1" s="1"/>
  <c r="K169" i="1" s="1"/>
  <c r="G169" i="1"/>
  <c r="F169" i="1"/>
  <c r="E169" i="1"/>
  <c r="I168" i="1"/>
  <c r="H168" i="1"/>
  <c r="J168" i="1" s="1"/>
  <c r="G168" i="1"/>
  <c r="K168" i="1" s="1"/>
  <c r="F168" i="1"/>
  <c r="E168" i="1"/>
  <c r="K167" i="1"/>
  <c r="J167" i="1"/>
  <c r="I167" i="1"/>
  <c r="H167" i="1"/>
  <c r="G167" i="1"/>
  <c r="F167" i="1"/>
  <c r="E167" i="1"/>
  <c r="I166" i="1"/>
  <c r="J166" i="1" s="1"/>
  <c r="K166" i="1" s="1"/>
  <c r="H166" i="1"/>
  <c r="G166" i="1"/>
  <c r="F166" i="1"/>
  <c r="E166" i="1"/>
  <c r="J165" i="1"/>
  <c r="K165" i="1" s="1"/>
  <c r="I165" i="1"/>
  <c r="H165" i="1"/>
  <c r="G165" i="1"/>
  <c r="F165" i="1"/>
  <c r="E165" i="1"/>
  <c r="I164" i="1"/>
  <c r="H164" i="1"/>
  <c r="J164" i="1" s="1"/>
  <c r="K164" i="1" s="1"/>
  <c r="G164" i="1"/>
  <c r="F164" i="1"/>
  <c r="E164" i="1"/>
  <c r="I163" i="1"/>
  <c r="H163" i="1"/>
  <c r="J163" i="1" s="1"/>
  <c r="G163" i="1"/>
  <c r="F163" i="1"/>
  <c r="E163" i="1"/>
  <c r="J162" i="1"/>
  <c r="I162" i="1"/>
  <c r="H162" i="1"/>
  <c r="G162" i="1"/>
  <c r="K162" i="1" s="1"/>
  <c r="F162" i="1"/>
  <c r="E162" i="1"/>
  <c r="I161" i="1"/>
  <c r="H161" i="1"/>
  <c r="J161" i="1" s="1"/>
  <c r="G161" i="1"/>
  <c r="K161" i="1" s="1"/>
  <c r="F161" i="1"/>
  <c r="E161" i="1"/>
  <c r="H160" i="1"/>
  <c r="F160" i="1"/>
  <c r="I159" i="1"/>
  <c r="H159" i="1"/>
  <c r="J159" i="1" s="1"/>
  <c r="G159" i="1"/>
  <c r="K159" i="1" s="1"/>
  <c r="F159" i="1"/>
  <c r="E159" i="1"/>
  <c r="J158" i="1"/>
  <c r="I158" i="1"/>
  <c r="H158" i="1"/>
  <c r="G158" i="1"/>
  <c r="K158" i="1" s="1"/>
  <c r="F158" i="1"/>
  <c r="E158" i="1"/>
  <c r="I157" i="1"/>
  <c r="H157" i="1"/>
  <c r="J157" i="1" s="1"/>
  <c r="G157" i="1"/>
  <c r="K157" i="1" s="1"/>
  <c r="F157" i="1"/>
  <c r="E157" i="1"/>
  <c r="I156" i="1"/>
  <c r="J156" i="1" s="1"/>
  <c r="K156" i="1" s="1"/>
  <c r="K155" i="1" s="1"/>
  <c r="H156" i="1"/>
  <c r="G156" i="1"/>
  <c r="F156" i="1"/>
  <c r="E156" i="1"/>
  <c r="H155" i="1"/>
  <c r="F155" i="1"/>
  <c r="J154" i="1"/>
  <c r="I154" i="1"/>
  <c r="H154" i="1"/>
  <c r="G154" i="1"/>
  <c r="K154" i="1" s="1"/>
  <c r="K153" i="1" s="1"/>
  <c r="F154" i="1"/>
  <c r="E154" i="1"/>
  <c r="H153" i="1"/>
  <c r="F153" i="1"/>
  <c r="H152" i="1"/>
  <c r="F152" i="1"/>
  <c r="I151" i="1"/>
  <c r="H151" i="1"/>
  <c r="J151" i="1" s="1"/>
  <c r="K151" i="1" s="1"/>
  <c r="G151" i="1"/>
  <c r="F151" i="1"/>
  <c r="E151" i="1"/>
  <c r="J150" i="1"/>
  <c r="K150" i="1" s="1"/>
  <c r="K149" i="1" s="1"/>
  <c r="I150" i="1"/>
  <c r="H150" i="1"/>
  <c r="G150" i="1"/>
  <c r="F150" i="1"/>
  <c r="E150" i="1"/>
  <c r="H149" i="1"/>
  <c r="F149" i="1"/>
  <c r="I148" i="1"/>
  <c r="H148" i="1"/>
  <c r="J148" i="1" s="1"/>
  <c r="G148" i="1"/>
  <c r="K148" i="1" s="1"/>
  <c r="F148" i="1"/>
  <c r="E148" i="1"/>
  <c r="I147" i="1"/>
  <c r="H147" i="1"/>
  <c r="J147" i="1" s="1"/>
  <c r="K147" i="1" s="1"/>
  <c r="G147" i="1"/>
  <c r="F147" i="1"/>
  <c r="E147" i="1"/>
  <c r="H146" i="1"/>
  <c r="F146" i="1"/>
  <c r="I145" i="1"/>
  <c r="H145" i="1"/>
  <c r="J145" i="1" s="1"/>
  <c r="K145" i="1" s="1"/>
  <c r="G145" i="1"/>
  <c r="F145" i="1"/>
  <c r="E145" i="1"/>
  <c r="I144" i="1"/>
  <c r="H144" i="1"/>
  <c r="J144" i="1" s="1"/>
  <c r="G144" i="1"/>
  <c r="K144" i="1" s="1"/>
  <c r="F144" i="1"/>
  <c r="E144" i="1"/>
  <c r="I143" i="1"/>
  <c r="H143" i="1"/>
  <c r="J143" i="1" s="1"/>
  <c r="K143" i="1" s="1"/>
  <c r="G143" i="1"/>
  <c r="F143" i="1"/>
  <c r="E143" i="1"/>
  <c r="H142" i="1"/>
  <c r="F142" i="1"/>
  <c r="I141" i="1"/>
  <c r="H141" i="1"/>
  <c r="J141" i="1" s="1"/>
  <c r="K141" i="1" s="1"/>
  <c r="K140" i="1" s="1"/>
  <c r="G141" i="1"/>
  <c r="F141" i="1"/>
  <c r="E141" i="1"/>
  <c r="H140" i="1"/>
  <c r="F140" i="1"/>
  <c r="H139" i="1"/>
  <c r="F139" i="1"/>
  <c r="J138" i="1"/>
  <c r="I138" i="1"/>
  <c r="H138" i="1"/>
  <c r="G138" i="1"/>
  <c r="K138" i="1" s="1"/>
  <c r="F138" i="1"/>
  <c r="E138" i="1"/>
  <c r="I137" i="1"/>
  <c r="H137" i="1"/>
  <c r="G137" i="1"/>
  <c r="F137" i="1"/>
  <c r="E137" i="1"/>
  <c r="I136" i="1"/>
  <c r="J136" i="1" s="1"/>
  <c r="K136" i="1" s="1"/>
  <c r="H136" i="1"/>
  <c r="G136" i="1"/>
  <c r="F136" i="1"/>
  <c r="E136" i="1"/>
  <c r="K135" i="1"/>
  <c r="J135" i="1"/>
  <c r="I135" i="1"/>
  <c r="H135" i="1"/>
  <c r="G135" i="1"/>
  <c r="F135" i="1"/>
  <c r="E135" i="1"/>
  <c r="I134" i="1"/>
  <c r="J134" i="1" s="1"/>
  <c r="H134" i="1"/>
  <c r="G134" i="1"/>
  <c r="K134" i="1" s="1"/>
  <c r="F134" i="1"/>
  <c r="E134" i="1"/>
  <c r="I133" i="1"/>
  <c r="H133" i="1"/>
  <c r="J133" i="1" s="1"/>
  <c r="K133" i="1" s="1"/>
  <c r="G133" i="1"/>
  <c r="F133" i="1"/>
  <c r="E133" i="1"/>
  <c r="I132" i="1"/>
  <c r="H132" i="1"/>
  <c r="J132" i="1" s="1"/>
  <c r="G132" i="1"/>
  <c r="K132" i="1" s="1"/>
  <c r="F132" i="1"/>
  <c r="E132" i="1"/>
  <c r="I131" i="1"/>
  <c r="H131" i="1"/>
  <c r="J131" i="1" s="1"/>
  <c r="K131" i="1" s="1"/>
  <c r="G131" i="1"/>
  <c r="F131" i="1"/>
  <c r="E131" i="1"/>
  <c r="H130" i="1"/>
  <c r="F130" i="1"/>
  <c r="I129" i="1"/>
  <c r="H129" i="1"/>
  <c r="J129" i="1" s="1"/>
  <c r="K129" i="1" s="1"/>
  <c r="G129" i="1"/>
  <c r="F129" i="1"/>
  <c r="E129" i="1"/>
  <c r="I128" i="1"/>
  <c r="H128" i="1"/>
  <c r="J128" i="1" s="1"/>
  <c r="G128" i="1"/>
  <c r="K128" i="1" s="1"/>
  <c r="F128" i="1"/>
  <c r="E128" i="1"/>
  <c r="I127" i="1"/>
  <c r="H127" i="1"/>
  <c r="J127" i="1" s="1"/>
  <c r="K127" i="1" s="1"/>
  <c r="G127" i="1"/>
  <c r="F127" i="1"/>
  <c r="E127" i="1"/>
  <c r="I126" i="1"/>
  <c r="J126" i="1" s="1"/>
  <c r="K126" i="1" s="1"/>
  <c r="H126" i="1"/>
  <c r="G126" i="1"/>
  <c r="F126" i="1"/>
  <c r="E126" i="1"/>
  <c r="J125" i="1"/>
  <c r="K125" i="1" s="1"/>
  <c r="I125" i="1"/>
  <c r="H125" i="1"/>
  <c r="G125" i="1"/>
  <c r="F125" i="1"/>
  <c r="E125" i="1"/>
  <c r="K124" i="1"/>
  <c r="I124" i="1"/>
  <c r="H124" i="1"/>
  <c r="J124" i="1" s="1"/>
  <c r="G124" i="1"/>
  <c r="F124" i="1"/>
  <c r="E124" i="1"/>
  <c r="I123" i="1"/>
  <c r="H123" i="1"/>
  <c r="J123" i="1" s="1"/>
  <c r="G123" i="1"/>
  <c r="F123" i="1"/>
  <c r="E123" i="1"/>
  <c r="J122" i="1"/>
  <c r="I122" i="1"/>
  <c r="H122" i="1"/>
  <c r="G122" i="1"/>
  <c r="K122" i="1" s="1"/>
  <c r="F122" i="1"/>
  <c r="E122" i="1"/>
  <c r="I121" i="1"/>
  <c r="H121" i="1"/>
  <c r="J121" i="1" s="1"/>
  <c r="G121" i="1"/>
  <c r="F121" i="1"/>
  <c r="E121" i="1"/>
  <c r="I120" i="1"/>
  <c r="J120" i="1" s="1"/>
  <c r="K120" i="1" s="1"/>
  <c r="H120" i="1"/>
  <c r="G120" i="1"/>
  <c r="F120" i="1"/>
  <c r="E120" i="1"/>
  <c r="H119" i="1"/>
  <c r="F119" i="1"/>
  <c r="J118" i="1"/>
  <c r="I118" i="1"/>
  <c r="H118" i="1"/>
  <c r="G118" i="1"/>
  <c r="K118" i="1" s="1"/>
  <c r="F118" i="1"/>
  <c r="E118" i="1"/>
  <c r="I117" i="1"/>
  <c r="H117" i="1"/>
  <c r="J117" i="1" s="1"/>
  <c r="G117" i="1"/>
  <c r="F117" i="1"/>
  <c r="E117" i="1"/>
  <c r="I116" i="1"/>
  <c r="J116" i="1" s="1"/>
  <c r="K116" i="1" s="1"/>
  <c r="H116" i="1"/>
  <c r="G116" i="1"/>
  <c r="F116" i="1"/>
  <c r="E116" i="1"/>
  <c r="J115" i="1"/>
  <c r="K115" i="1" s="1"/>
  <c r="I115" i="1"/>
  <c r="H115" i="1"/>
  <c r="G115" i="1"/>
  <c r="F115" i="1"/>
  <c r="E115" i="1"/>
  <c r="I114" i="1"/>
  <c r="J114" i="1" s="1"/>
  <c r="H114" i="1"/>
  <c r="G114" i="1"/>
  <c r="F114" i="1"/>
  <c r="E114" i="1"/>
  <c r="I113" i="1"/>
  <c r="H113" i="1"/>
  <c r="J113" i="1" s="1"/>
  <c r="K113" i="1" s="1"/>
  <c r="G113" i="1"/>
  <c r="F113" i="1"/>
  <c r="E113" i="1"/>
  <c r="I112" i="1"/>
  <c r="H112" i="1"/>
  <c r="J112" i="1" s="1"/>
  <c r="G112" i="1"/>
  <c r="F112" i="1"/>
  <c r="E112" i="1"/>
  <c r="I111" i="1"/>
  <c r="H111" i="1"/>
  <c r="J111" i="1" s="1"/>
  <c r="K111" i="1" s="1"/>
  <c r="G111" i="1"/>
  <c r="F111" i="1"/>
  <c r="E111" i="1"/>
  <c r="J110" i="1"/>
  <c r="K110" i="1" s="1"/>
  <c r="I110" i="1"/>
  <c r="H110" i="1"/>
  <c r="G110" i="1"/>
  <c r="F110" i="1"/>
  <c r="E110" i="1"/>
  <c r="J109" i="1"/>
  <c r="K109" i="1" s="1"/>
  <c r="I109" i="1"/>
  <c r="H109" i="1"/>
  <c r="G109" i="1"/>
  <c r="F109" i="1"/>
  <c r="E109" i="1"/>
  <c r="K108" i="1"/>
  <c r="I108" i="1"/>
  <c r="H108" i="1"/>
  <c r="J108" i="1" s="1"/>
  <c r="G108" i="1"/>
  <c r="F108" i="1"/>
  <c r="E108" i="1"/>
  <c r="H107" i="1"/>
  <c r="F107" i="1"/>
  <c r="H106" i="1"/>
  <c r="F106" i="1"/>
  <c r="I105" i="1"/>
  <c r="H105" i="1"/>
  <c r="J105" i="1" s="1"/>
  <c r="K105" i="1" s="1"/>
  <c r="G105" i="1"/>
  <c r="F105" i="1"/>
  <c r="E105" i="1"/>
  <c r="I104" i="1"/>
  <c r="H104" i="1"/>
  <c r="J104" i="1" s="1"/>
  <c r="G104" i="1"/>
  <c r="F104" i="1"/>
  <c r="E104" i="1"/>
  <c r="I103" i="1"/>
  <c r="H103" i="1"/>
  <c r="J103" i="1" s="1"/>
  <c r="K103" i="1" s="1"/>
  <c r="G103" i="1"/>
  <c r="F103" i="1"/>
  <c r="E103" i="1"/>
  <c r="I102" i="1"/>
  <c r="J102" i="1" s="1"/>
  <c r="K102" i="1" s="1"/>
  <c r="H102" i="1"/>
  <c r="G102" i="1"/>
  <c r="F102" i="1"/>
  <c r="E102" i="1"/>
  <c r="J101" i="1"/>
  <c r="K101" i="1" s="1"/>
  <c r="I101" i="1"/>
  <c r="H101" i="1"/>
  <c r="G101" i="1"/>
  <c r="F101" i="1"/>
  <c r="E101" i="1"/>
  <c r="I100" i="1"/>
  <c r="H100" i="1"/>
  <c r="J100" i="1" s="1"/>
  <c r="K100" i="1" s="1"/>
  <c r="G100" i="1"/>
  <c r="F100" i="1"/>
  <c r="E100" i="1"/>
  <c r="I99" i="1"/>
  <c r="H99" i="1"/>
  <c r="J99" i="1" s="1"/>
  <c r="G99" i="1"/>
  <c r="K99" i="1" s="1"/>
  <c r="F99" i="1"/>
  <c r="E99" i="1"/>
  <c r="J98" i="1"/>
  <c r="I98" i="1"/>
  <c r="H98" i="1"/>
  <c r="G98" i="1"/>
  <c r="K98" i="1" s="1"/>
  <c r="F98" i="1"/>
  <c r="E98" i="1"/>
  <c r="I97" i="1"/>
  <c r="H97" i="1"/>
  <c r="G97" i="1"/>
  <c r="F97" i="1"/>
  <c r="E97" i="1"/>
  <c r="I96" i="1"/>
  <c r="J96" i="1" s="1"/>
  <c r="K96" i="1" s="1"/>
  <c r="H96" i="1"/>
  <c r="G96" i="1"/>
  <c r="F96" i="1"/>
  <c r="E96" i="1"/>
  <c r="K95" i="1"/>
  <c r="J95" i="1"/>
  <c r="I95" i="1"/>
  <c r="H95" i="1"/>
  <c r="G95" i="1"/>
  <c r="F95" i="1"/>
  <c r="E95" i="1"/>
  <c r="I94" i="1"/>
  <c r="J94" i="1" s="1"/>
  <c r="H94" i="1"/>
  <c r="G94" i="1"/>
  <c r="F94" i="1"/>
  <c r="E94" i="1"/>
  <c r="I93" i="1"/>
  <c r="H93" i="1"/>
  <c r="J93" i="1" s="1"/>
  <c r="K93" i="1" s="1"/>
  <c r="G93" i="1"/>
  <c r="F93" i="1"/>
  <c r="E93" i="1"/>
  <c r="I92" i="1"/>
  <c r="H92" i="1"/>
  <c r="J92" i="1" s="1"/>
  <c r="G92" i="1"/>
  <c r="F92" i="1"/>
  <c r="E92" i="1"/>
  <c r="I91" i="1"/>
  <c r="H91" i="1"/>
  <c r="J91" i="1" s="1"/>
  <c r="K91" i="1" s="1"/>
  <c r="G91" i="1"/>
  <c r="F91" i="1"/>
  <c r="E91" i="1"/>
  <c r="I90" i="1"/>
  <c r="J90" i="1" s="1"/>
  <c r="K90" i="1" s="1"/>
  <c r="H90" i="1"/>
  <c r="G90" i="1"/>
  <c r="F90" i="1"/>
  <c r="E90" i="1"/>
  <c r="J89" i="1"/>
  <c r="K89" i="1" s="1"/>
  <c r="I89" i="1"/>
  <c r="H89" i="1"/>
  <c r="G89" i="1"/>
  <c r="F89" i="1"/>
  <c r="E89" i="1"/>
  <c r="I88" i="1"/>
  <c r="H88" i="1"/>
  <c r="J88" i="1" s="1"/>
  <c r="K88" i="1" s="1"/>
  <c r="G88" i="1"/>
  <c r="F88" i="1"/>
  <c r="E88" i="1"/>
  <c r="I87" i="1"/>
  <c r="H87" i="1"/>
  <c r="J87" i="1" s="1"/>
  <c r="G87" i="1"/>
  <c r="K87" i="1" s="1"/>
  <c r="F87" i="1"/>
  <c r="E87" i="1"/>
  <c r="J86" i="1"/>
  <c r="I86" i="1"/>
  <c r="H86" i="1"/>
  <c r="G86" i="1"/>
  <c r="K86" i="1" s="1"/>
  <c r="F86" i="1"/>
  <c r="E86" i="1"/>
  <c r="H85" i="1"/>
  <c r="F85" i="1"/>
  <c r="I84" i="1"/>
  <c r="H84" i="1"/>
  <c r="J84" i="1" s="1"/>
  <c r="K84" i="1" s="1"/>
  <c r="G84" i="1"/>
  <c r="F84" i="1"/>
  <c r="E84" i="1"/>
  <c r="I83" i="1"/>
  <c r="H83" i="1"/>
  <c r="J83" i="1" s="1"/>
  <c r="G83" i="1"/>
  <c r="K83" i="1" s="1"/>
  <c r="F83" i="1"/>
  <c r="E83" i="1"/>
  <c r="J82" i="1"/>
  <c r="I82" i="1"/>
  <c r="H82" i="1"/>
  <c r="G82" i="1"/>
  <c r="K82" i="1" s="1"/>
  <c r="F82" i="1"/>
  <c r="E82" i="1"/>
  <c r="I81" i="1"/>
  <c r="H81" i="1"/>
  <c r="J81" i="1" s="1"/>
  <c r="G81" i="1"/>
  <c r="K81" i="1" s="1"/>
  <c r="F81" i="1"/>
  <c r="E81" i="1"/>
  <c r="I80" i="1"/>
  <c r="J80" i="1" s="1"/>
  <c r="K80" i="1" s="1"/>
  <c r="H80" i="1"/>
  <c r="G80" i="1"/>
  <c r="F80" i="1"/>
  <c r="E80" i="1"/>
  <c r="K79" i="1"/>
  <c r="J79" i="1"/>
  <c r="I79" i="1"/>
  <c r="H79" i="1"/>
  <c r="G79" i="1"/>
  <c r="F79" i="1"/>
  <c r="E79" i="1"/>
  <c r="I78" i="1"/>
  <c r="J78" i="1" s="1"/>
  <c r="K78" i="1" s="1"/>
  <c r="H78" i="1"/>
  <c r="G78" i="1"/>
  <c r="F78" i="1"/>
  <c r="E78" i="1"/>
  <c r="H77" i="1"/>
  <c r="F77" i="1"/>
  <c r="H76" i="1"/>
  <c r="F76" i="1"/>
  <c r="I75" i="1"/>
  <c r="H75" i="1"/>
  <c r="J75" i="1" s="1"/>
  <c r="G75" i="1"/>
  <c r="F75" i="1"/>
  <c r="E75" i="1"/>
  <c r="J74" i="1"/>
  <c r="I74" i="1"/>
  <c r="H74" i="1"/>
  <c r="G74" i="1"/>
  <c r="K74" i="1" s="1"/>
  <c r="F74" i="1"/>
  <c r="E74" i="1"/>
  <c r="I73" i="1"/>
  <c r="H73" i="1"/>
  <c r="J73" i="1" s="1"/>
  <c r="G73" i="1"/>
  <c r="K73" i="1" s="1"/>
  <c r="F73" i="1"/>
  <c r="E73" i="1"/>
  <c r="I72" i="1"/>
  <c r="J72" i="1" s="1"/>
  <c r="K72" i="1" s="1"/>
  <c r="H72" i="1"/>
  <c r="G72" i="1"/>
  <c r="F72" i="1"/>
  <c r="E72" i="1"/>
  <c r="K71" i="1"/>
  <c r="J71" i="1"/>
  <c r="I71" i="1"/>
  <c r="H71" i="1"/>
  <c r="G71" i="1"/>
  <c r="F71" i="1"/>
  <c r="E71" i="1"/>
  <c r="H70" i="1"/>
  <c r="F70" i="1"/>
  <c r="I69" i="1"/>
  <c r="H69" i="1"/>
  <c r="J69" i="1" s="1"/>
  <c r="G69" i="1"/>
  <c r="F69" i="1"/>
  <c r="E69" i="1"/>
  <c r="I68" i="1"/>
  <c r="J68" i="1" s="1"/>
  <c r="K68" i="1" s="1"/>
  <c r="H68" i="1"/>
  <c r="G68" i="1"/>
  <c r="F68" i="1"/>
  <c r="E68" i="1"/>
  <c r="J67" i="1"/>
  <c r="K67" i="1" s="1"/>
  <c r="I67" i="1"/>
  <c r="H67" i="1"/>
  <c r="G67" i="1"/>
  <c r="F67" i="1"/>
  <c r="E67" i="1"/>
  <c r="I66" i="1"/>
  <c r="J66" i="1" s="1"/>
  <c r="K66" i="1" s="1"/>
  <c r="H66" i="1"/>
  <c r="G66" i="1"/>
  <c r="F66" i="1"/>
  <c r="E66" i="1"/>
  <c r="I65" i="1"/>
  <c r="H65" i="1"/>
  <c r="J65" i="1" s="1"/>
  <c r="F65" i="1"/>
  <c r="E65" i="1"/>
  <c r="I64" i="1"/>
  <c r="H64" i="1"/>
  <c r="J64" i="1" s="1"/>
  <c r="G64" i="1"/>
  <c r="F64" i="1"/>
  <c r="E64" i="1"/>
  <c r="H63" i="1"/>
  <c r="F63" i="1"/>
  <c r="H62" i="1"/>
  <c r="F62" i="1"/>
  <c r="I61" i="1"/>
  <c r="H61" i="1"/>
  <c r="J61" i="1" s="1"/>
  <c r="G61" i="1"/>
  <c r="F61" i="1"/>
  <c r="E61" i="1"/>
  <c r="H60" i="1"/>
  <c r="F60" i="1"/>
  <c r="I59" i="1"/>
  <c r="H59" i="1"/>
  <c r="J59" i="1" s="1"/>
  <c r="G59" i="1"/>
  <c r="F59" i="1"/>
  <c r="E59" i="1"/>
  <c r="J58" i="1"/>
  <c r="I58" i="1"/>
  <c r="H58" i="1"/>
  <c r="G58" i="1"/>
  <c r="K58" i="1" s="1"/>
  <c r="F58" i="1"/>
  <c r="E58" i="1"/>
  <c r="I57" i="1"/>
  <c r="H57" i="1"/>
  <c r="J57" i="1" s="1"/>
  <c r="G57" i="1"/>
  <c r="K57" i="1" s="1"/>
  <c r="F57" i="1"/>
  <c r="E57" i="1"/>
  <c r="I56" i="1"/>
  <c r="J56" i="1" s="1"/>
  <c r="K56" i="1" s="1"/>
  <c r="H56" i="1"/>
  <c r="G56" i="1"/>
  <c r="F56" i="1"/>
  <c r="E56" i="1"/>
  <c r="K55" i="1"/>
  <c r="J55" i="1"/>
  <c r="I55" i="1"/>
  <c r="H55" i="1"/>
  <c r="G55" i="1"/>
  <c r="F55" i="1"/>
  <c r="E55" i="1"/>
  <c r="I54" i="1"/>
  <c r="J54" i="1" s="1"/>
  <c r="K54" i="1" s="1"/>
  <c r="H54" i="1"/>
  <c r="G54" i="1"/>
  <c r="F54" i="1"/>
  <c r="E54" i="1"/>
  <c r="H53" i="1"/>
  <c r="K52" i="1"/>
  <c r="J52" i="1"/>
  <c r="I52" i="1"/>
  <c r="H52" i="1"/>
  <c r="G52" i="1"/>
  <c r="F52" i="1"/>
  <c r="E52" i="1"/>
  <c r="I51" i="1"/>
  <c r="J51" i="1" s="1"/>
  <c r="K51" i="1" s="1"/>
  <c r="H51" i="1"/>
  <c r="G51" i="1"/>
  <c r="F51" i="1"/>
  <c r="E51" i="1"/>
  <c r="J50" i="1"/>
  <c r="K50" i="1" s="1"/>
  <c r="I50" i="1"/>
  <c r="H50" i="1"/>
  <c r="G50" i="1"/>
  <c r="F50" i="1"/>
  <c r="E50" i="1"/>
  <c r="I49" i="1"/>
  <c r="H49" i="1"/>
  <c r="J49" i="1" s="1"/>
  <c r="K49" i="1" s="1"/>
  <c r="G49" i="1"/>
  <c r="F49" i="1"/>
  <c r="E49" i="1"/>
  <c r="I48" i="1"/>
  <c r="H48" i="1"/>
  <c r="J48" i="1" s="1"/>
  <c r="G48" i="1"/>
  <c r="K48" i="1" s="1"/>
  <c r="F48" i="1"/>
  <c r="E48" i="1"/>
  <c r="H47" i="1"/>
  <c r="I46" i="1"/>
  <c r="J46" i="1" s="1"/>
  <c r="K46" i="1" s="1"/>
  <c r="K45" i="1" s="1"/>
  <c r="H46" i="1"/>
  <c r="G46" i="1"/>
  <c r="F46" i="1"/>
  <c r="E46" i="1"/>
  <c r="H45" i="1"/>
  <c r="H44" i="1"/>
  <c r="K43" i="1"/>
  <c r="K42" i="1" s="1"/>
  <c r="J43" i="1"/>
  <c r="I43" i="1"/>
  <c r="H43" i="1"/>
  <c r="G43" i="1"/>
  <c r="F43" i="1"/>
  <c r="E43" i="1"/>
  <c r="H42" i="1"/>
  <c r="I41" i="1"/>
  <c r="H41" i="1"/>
  <c r="J41" i="1" s="1"/>
  <c r="K41" i="1" s="1"/>
  <c r="K40" i="1" s="1"/>
  <c r="G41" i="1"/>
  <c r="F41" i="1"/>
  <c r="E41" i="1"/>
  <c r="H40" i="1"/>
  <c r="I39" i="1"/>
  <c r="H39" i="1"/>
  <c r="J39" i="1" s="1"/>
  <c r="G39" i="1"/>
  <c r="K39" i="1" s="1"/>
  <c r="F39" i="1"/>
  <c r="E39" i="1"/>
  <c r="I38" i="1"/>
  <c r="J38" i="1" s="1"/>
  <c r="H38" i="1"/>
  <c r="F38" i="1"/>
  <c r="E38" i="1"/>
  <c r="H37" i="1"/>
  <c r="I36" i="1"/>
  <c r="H36" i="1"/>
  <c r="J36" i="1" s="1"/>
  <c r="K36" i="1" s="1"/>
  <c r="G36" i="1"/>
  <c r="F36" i="1"/>
  <c r="E36" i="1"/>
  <c r="I35" i="1"/>
  <c r="H35" i="1"/>
  <c r="J35" i="1" s="1"/>
  <c r="G35" i="1"/>
  <c r="F35" i="1"/>
  <c r="E35" i="1"/>
  <c r="H34" i="1"/>
  <c r="J33" i="1"/>
  <c r="K33" i="1" s="1"/>
  <c r="I33" i="1"/>
  <c r="H33" i="1"/>
  <c r="G33" i="1"/>
  <c r="F33" i="1"/>
  <c r="E33" i="1"/>
  <c r="K32" i="1"/>
  <c r="H32" i="1"/>
  <c r="I31" i="1"/>
  <c r="J31" i="1" s="1"/>
  <c r="H31" i="1"/>
  <c r="G31" i="1"/>
  <c r="K31" i="1" s="1"/>
  <c r="F31" i="1"/>
  <c r="E31" i="1"/>
  <c r="I30" i="1"/>
  <c r="H30" i="1"/>
  <c r="G30" i="1"/>
  <c r="F30" i="1"/>
  <c r="E30" i="1"/>
  <c r="I29" i="1"/>
  <c r="J29" i="1" s="1"/>
  <c r="K29" i="1" s="1"/>
  <c r="H29" i="1"/>
  <c r="G29" i="1"/>
  <c r="F29" i="1"/>
  <c r="E29" i="1"/>
  <c r="K28" i="1"/>
  <c r="J28" i="1"/>
  <c r="I28" i="1"/>
  <c r="H28" i="1"/>
  <c r="G28" i="1"/>
  <c r="F28" i="1"/>
  <c r="E28" i="1"/>
  <c r="I27" i="1"/>
  <c r="J27" i="1" s="1"/>
  <c r="K27" i="1" s="1"/>
  <c r="H27" i="1"/>
  <c r="G27" i="1"/>
  <c r="F27" i="1"/>
  <c r="E27" i="1"/>
  <c r="I26" i="1"/>
  <c r="H26" i="1"/>
  <c r="J26" i="1" s="1"/>
  <c r="K26" i="1" s="1"/>
  <c r="G26" i="1"/>
  <c r="F26" i="1"/>
  <c r="E26" i="1"/>
  <c r="H25" i="1"/>
  <c r="J24" i="1"/>
  <c r="I24" i="1"/>
  <c r="H24" i="1"/>
  <c r="F24" i="1"/>
  <c r="E24" i="1"/>
  <c r="J23" i="1"/>
  <c r="K23" i="1" s="1"/>
  <c r="I23" i="1"/>
  <c r="H23" i="1"/>
  <c r="G23" i="1"/>
  <c r="F23" i="1"/>
  <c r="E23" i="1"/>
  <c r="I22" i="1"/>
  <c r="H22" i="1"/>
  <c r="J22" i="1" s="1"/>
  <c r="F22" i="1"/>
  <c r="E22" i="1"/>
  <c r="I21" i="1"/>
  <c r="H21" i="1"/>
  <c r="J21" i="1" s="1"/>
  <c r="F21" i="1"/>
  <c r="E21" i="1"/>
  <c r="I20" i="1"/>
  <c r="J20" i="1" s="1"/>
  <c r="H20" i="1"/>
  <c r="G20" i="1"/>
  <c r="K20" i="1" s="1"/>
  <c r="F20" i="1"/>
  <c r="E20" i="1"/>
  <c r="H19" i="1"/>
  <c r="H18" i="1"/>
  <c r="I17" i="1"/>
  <c r="H17" i="1"/>
  <c r="J17" i="1" s="1"/>
  <c r="K17" i="1" s="1"/>
  <c r="G17" i="1"/>
  <c r="F17" i="1"/>
  <c r="E17" i="1"/>
  <c r="I16" i="1"/>
  <c r="H16" i="1"/>
  <c r="J16" i="1" s="1"/>
  <c r="G16" i="1"/>
  <c r="K16" i="1" s="1"/>
  <c r="F16" i="1"/>
  <c r="E16" i="1"/>
  <c r="J15" i="1"/>
  <c r="K15" i="1" s="1"/>
  <c r="I15" i="1"/>
  <c r="H15" i="1"/>
  <c r="G15" i="1"/>
  <c r="F15" i="1"/>
  <c r="E15" i="1"/>
  <c r="J13" i="1"/>
  <c r="K13" i="1" s="1"/>
  <c r="K12" i="1" s="1"/>
  <c r="I13" i="1"/>
  <c r="H13" i="1"/>
  <c r="G13" i="1"/>
  <c r="F13" i="1"/>
  <c r="E13" i="1"/>
  <c r="V44" i="4" l="1"/>
  <c r="S44" i="4"/>
  <c r="P44" i="4"/>
  <c r="M44" i="4"/>
  <c r="J44" i="4"/>
  <c r="G44" i="4"/>
  <c r="AC44" i="4"/>
  <c r="AE44" i="4" s="1"/>
  <c r="Z44" i="4"/>
  <c r="AF44" i="4"/>
  <c r="AH44" i="4" s="1"/>
  <c r="Y44" i="4"/>
  <c r="M34" i="4"/>
  <c r="J34" i="4"/>
  <c r="G34" i="4"/>
  <c r="AH34" i="4"/>
  <c r="AE34" i="4"/>
  <c r="W34" i="4"/>
  <c r="V34" i="4"/>
  <c r="S34" i="4"/>
  <c r="Z34" i="4"/>
  <c r="AB34" i="4" s="1"/>
  <c r="P34" i="4"/>
  <c r="K279" i="1"/>
  <c r="K373" i="1"/>
  <c r="K411" i="1"/>
  <c r="K410" i="1" s="1"/>
  <c r="K460" i="1"/>
  <c r="K181" i="1"/>
  <c r="K180" i="1" s="1"/>
  <c r="K327" i="1"/>
  <c r="K19" i="2"/>
  <c r="K97" i="1"/>
  <c r="K14" i="1"/>
  <c r="K11" i="1" s="1"/>
  <c r="K35" i="1"/>
  <c r="K34" i="1" s="1"/>
  <c r="K64" i="1"/>
  <c r="J97" i="1"/>
  <c r="K123" i="1"/>
  <c r="K142" i="1"/>
  <c r="K174" i="1"/>
  <c r="J181" i="1"/>
  <c r="K235" i="1"/>
  <c r="K227" i="1" s="1"/>
  <c r="K260" i="1"/>
  <c r="K318" i="1"/>
  <c r="K390" i="1"/>
  <c r="K389" i="1" s="1"/>
  <c r="K77" i="1"/>
  <c r="K70" i="1"/>
  <c r="K114" i="1"/>
  <c r="K121" i="1"/>
  <c r="K119" i="1" s="1"/>
  <c r="J137" i="1"/>
  <c r="K137" i="1" s="1"/>
  <c r="K130" i="1" s="1"/>
  <c r="K233" i="1"/>
  <c r="K249" i="1"/>
  <c r="K245" i="1" s="1"/>
  <c r="K467" i="1"/>
  <c r="K47" i="1"/>
  <c r="K69" i="1"/>
  <c r="K104" i="1"/>
  <c r="K206" i="1"/>
  <c r="K273" i="1"/>
  <c r="K271" i="1" s="1"/>
  <c r="K305" i="1"/>
  <c r="K321" i="1"/>
  <c r="K402" i="1"/>
  <c r="K391" i="1" s="1"/>
  <c r="D38" i="4" s="1"/>
  <c r="K407" i="1"/>
  <c r="K406" i="1" s="1"/>
  <c r="K462" i="1"/>
  <c r="K61" i="1"/>
  <c r="K60" i="1" s="1"/>
  <c r="K112" i="1"/>
  <c r="K163" i="1"/>
  <c r="K160" i="1" s="1"/>
  <c r="K198" i="1"/>
  <c r="K196" i="1" s="1"/>
  <c r="K209" i="1"/>
  <c r="K242" i="1"/>
  <c r="K294" i="1"/>
  <c r="K303" i="1"/>
  <c r="K297" i="1" s="1"/>
  <c r="K472" i="1"/>
  <c r="K214" i="1"/>
  <c r="K382" i="1"/>
  <c r="K107" i="1"/>
  <c r="K146" i="1"/>
  <c r="K418" i="1"/>
  <c r="K417" i="1" s="1"/>
  <c r="J30" i="1"/>
  <c r="K30" i="1" s="1"/>
  <c r="K25" i="1" s="1"/>
  <c r="K94" i="1"/>
  <c r="K85" i="1" s="1"/>
  <c r="K117" i="1"/>
  <c r="J177" i="1"/>
  <c r="K177" i="1" s="1"/>
  <c r="K171" i="1" s="1"/>
  <c r="J185" i="1"/>
  <c r="K185" i="1" s="1"/>
  <c r="K184" i="1" s="1"/>
  <c r="K224" i="1"/>
  <c r="K220" i="1" s="1"/>
  <c r="K266" i="1"/>
  <c r="K265" i="1" s="1"/>
  <c r="K290" i="1"/>
  <c r="K308" i="1"/>
  <c r="K324" i="1"/>
  <c r="K345" i="1"/>
  <c r="K334" i="1" s="1"/>
  <c r="K348" i="1"/>
  <c r="K347" i="1" s="1"/>
  <c r="K355" i="1"/>
  <c r="K377" i="1"/>
  <c r="K369" i="1" s="1"/>
  <c r="K59" i="1"/>
  <c r="K53" i="1" s="1"/>
  <c r="K75" i="1"/>
  <c r="K92" i="1"/>
  <c r="K194" i="1"/>
  <c r="K201" i="1"/>
  <c r="K255" i="1"/>
  <c r="K251" i="1" s="1"/>
  <c r="K315" i="1"/>
  <c r="K428" i="1"/>
  <c r="K427" i="1" s="1"/>
  <c r="K426" i="1" s="1"/>
  <c r="D42" i="4" s="1"/>
  <c r="K466" i="1"/>
  <c r="K455" i="1"/>
  <c r="J457" i="1"/>
  <c r="K457" i="1" s="1"/>
  <c r="K485" i="1"/>
  <c r="J493" i="1"/>
  <c r="K493" i="1" s="1"/>
  <c r="K523" i="1"/>
  <c r="K522" i="1" s="1"/>
  <c r="K53" i="2"/>
  <c r="K63" i="2"/>
  <c r="K146" i="2"/>
  <c r="K451" i="1"/>
  <c r="K469" i="1"/>
  <c r="K483" i="1"/>
  <c r="J489" i="1"/>
  <c r="K489" i="1" s="1"/>
  <c r="K503" i="1"/>
  <c r="K497" i="1" s="1"/>
  <c r="J24" i="2"/>
  <c r="K24" i="2" s="1"/>
  <c r="K34" i="2"/>
  <c r="K171" i="2"/>
  <c r="K288" i="2"/>
  <c r="K334" i="2"/>
  <c r="K513" i="2"/>
  <c r="J48" i="2"/>
  <c r="K48" i="2" s="1"/>
  <c r="K47" i="2" s="1"/>
  <c r="K44" i="2" s="1"/>
  <c r="K160" i="2"/>
  <c r="K279" i="2"/>
  <c r="K139" i="3"/>
  <c r="K519" i="1"/>
  <c r="K70" i="2"/>
  <c r="K77" i="2"/>
  <c r="K76" i="2" s="1"/>
  <c r="K139" i="2"/>
  <c r="K209" i="2"/>
  <c r="K479" i="1"/>
  <c r="K526" i="1"/>
  <c r="K11" i="2"/>
  <c r="K454" i="1"/>
  <c r="K452" i="1" s="1"/>
  <c r="J477" i="1"/>
  <c r="K477" i="1" s="1"/>
  <c r="K227" i="2"/>
  <c r="K486" i="1"/>
  <c r="K206" i="2"/>
  <c r="K320" i="2"/>
  <c r="K180" i="3"/>
  <c r="K450" i="1"/>
  <c r="K445" i="1" s="1"/>
  <c r="K470" i="1"/>
  <c r="K482" i="1"/>
  <c r="K480" i="1" s="1"/>
  <c r="K14" i="2"/>
  <c r="K25" i="2"/>
  <c r="K107" i="2"/>
  <c r="K106" i="2" s="1"/>
  <c r="K184" i="2"/>
  <c r="K347" i="2"/>
  <c r="K502" i="1"/>
  <c r="K155" i="2"/>
  <c r="K152" i="2" s="1"/>
  <c r="K271" i="2"/>
  <c r="K465" i="2"/>
  <c r="K410" i="2"/>
  <c r="K435" i="2"/>
  <c r="K438" i="2"/>
  <c r="K432" i="2" s="1"/>
  <c r="J66" i="3"/>
  <c r="K66" i="3" s="1"/>
  <c r="K63" i="3" s="1"/>
  <c r="K62" i="3" s="1"/>
  <c r="J359" i="2"/>
  <c r="K359" i="2" s="1"/>
  <c r="K417" i="2"/>
  <c r="K405" i="2" s="1"/>
  <c r="K460" i="2"/>
  <c r="K25" i="3"/>
  <c r="J43" i="3"/>
  <c r="K43" i="3" s="1"/>
  <c r="K42" i="3" s="1"/>
  <c r="K77" i="3"/>
  <c r="J177" i="3"/>
  <c r="K177" i="3" s="1"/>
  <c r="K171" i="3" s="1"/>
  <c r="K152" i="3" s="1"/>
  <c r="K220" i="3"/>
  <c r="K53" i="3"/>
  <c r="J357" i="2"/>
  <c r="K357" i="2" s="1"/>
  <c r="K19" i="3"/>
  <c r="K18" i="3" s="1"/>
  <c r="J23" i="3"/>
  <c r="K23" i="3" s="1"/>
  <c r="K392" i="2"/>
  <c r="K391" i="2" s="1"/>
  <c r="K395" i="2"/>
  <c r="K480" i="2"/>
  <c r="K494" i="2"/>
  <c r="K497" i="2"/>
  <c r="K11" i="3"/>
  <c r="K47" i="3"/>
  <c r="K44" i="3" s="1"/>
  <c r="J355" i="2"/>
  <c r="K355" i="2" s="1"/>
  <c r="K452" i="2"/>
  <c r="K444" i="2" s="1"/>
  <c r="K149" i="3"/>
  <c r="K160" i="3"/>
  <c r="K382" i="2"/>
  <c r="K381" i="2" s="1"/>
  <c r="K421" i="2"/>
  <c r="K507" i="2"/>
  <c r="K196" i="3"/>
  <c r="K271" i="3"/>
  <c r="K335" i="3"/>
  <c r="J305" i="2"/>
  <c r="K305" i="2" s="1"/>
  <c r="J353" i="2"/>
  <c r="K353" i="2" s="1"/>
  <c r="J364" i="2"/>
  <c r="K364" i="2" s="1"/>
  <c r="K363" i="2" s="1"/>
  <c r="J303" i="2"/>
  <c r="K303" i="2" s="1"/>
  <c r="K297" i="2" s="1"/>
  <c r="K386" i="2"/>
  <c r="J90" i="3"/>
  <c r="K90" i="3" s="1"/>
  <c r="K209" i="3"/>
  <c r="B46" i="4"/>
  <c r="B42" i="4"/>
  <c r="B38" i="4"/>
  <c r="B44" i="4"/>
  <c r="B40" i="4"/>
  <c r="K146" i="3"/>
  <c r="K512" i="3"/>
  <c r="J109" i="3"/>
  <c r="K109" i="3" s="1"/>
  <c r="J112" i="3"/>
  <c r="K112" i="3" s="1"/>
  <c r="J115" i="3"/>
  <c r="K115" i="3" s="1"/>
  <c r="J118" i="3"/>
  <c r="K118" i="3" s="1"/>
  <c r="J132" i="3"/>
  <c r="K132" i="3" s="1"/>
  <c r="J135" i="3"/>
  <c r="K135" i="3" s="1"/>
  <c r="J138" i="3"/>
  <c r="K138" i="3" s="1"/>
  <c r="J207" i="3"/>
  <c r="K207" i="3" s="1"/>
  <c r="K206" i="3" s="1"/>
  <c r="K401" i="3"/>
  <c r="K321" i="3"/>
  <c r="K381" i="3"/>
  <c r="K380" i="3" s="1"/>
  <c r="K444" i="3"/>
  <c r="J91" i="3"/>
  <c r="K91" i="3" s="1"/>
  <c r="J256" i="3"/>
  <c r="K256" i="3" s="1"/>
  <c r="J262" i="3"/>
  <c r="K262" i="3" s="1"/>
  <c r="K437" i="3"/>
  <c r="J190" i="3"/>
  <c r="K190" i="3" s="1"/>
  <c r="K184" i="3" s="1"/>
  <c r="J235" i="3"/>
  <c r="K235" i="3" s="1"/>
  <c r="J241" i="3"/>
  <c r="K241" i="3" s="1"/>
  <c r="K227" i="3" s="1"/>
  <c r="K328" i="3"/>
  <c r="J110" i="3"/>
  <c r="K110" i="3" s="1"/>
  <c r="J113" i="3"/>
  <c r="K113" i="3" s="1"/>
  <c r="J116" i="3"/>
  <c r="K116" i="3" s="1"/>
  <c r="J133" i="3"/>
  <c r="K133" i="3" s="1"/>
  <c r="J136" i="3"/>
  <c r="K136" i="3" s="1"/>
  <c r="K409" i="3"/>
  <c r="K280" i="3"/>
  <c r="K298" i="3"/>
  <c r="K459" i="3"/>
  <c r="J254" i="3"/>
  <c r="K254" i="3" s="1"/>
  <c r="K251" i="3" s="1"/>
  <c r="J260" i="3"/>
  <c r="K260" i="3" s="1"/>
  <c r="K348" i="3"/>
  <c r="B36" i="4"/>
  <c r="J87" i="3"/>
  <c r="K87" i="3" s="1"/>
  <c r="K85" i="3" s="1"/>
  <c r="J108" i="3"/>
  <c r="K108" i="3" s="1"/>
  <c r="J111" i="3"/>
  <c r="K111" i="3" s="1"/>
  <c r="J114" i="3"/>
  <c r="K114" i="3" s="1"/>
  <c r="J117" i="3"/>
  <c r="K117" i="3" s="1"/>
  <c r="J131" i="3"/>
  <c r="K131" i="3" s="1"/>
  <c r="K130" i="3" s="1"/>
  <c r="J134" i="3"/>
  <c r="K134" i="3" s="1"/>
  <c r="J137" i="3"/>
  <c r="K137" i="3" s="1"/>
  <c r="K464" i="3"/>
  <c r="K496" i="3"/>
  <c r="B148" i="5"/>
  <c r="P148" i="5"/>
  <c r="P405" i="5"/>
  <c r="O410" i="5" s="1"/>
  <c r="B405" i="5"/>
  <c r="P570" i="5"/>
  <c r="O574" i="5" s="1"/>
  <c r="B570" i="5"/>
  <c r="P718" i="5"/>
  <c r="O722" i="5" s="1"/>
  <c r="B718" i="5"/>
  <c r="P232" i="5"/>
  <c r="O236" i="5" s="1"/>
  <c r="B232" i="5"/>
  <c r="P482" i="5"/>
  <c r="O486" i="5" s="1"/>
  <c r="B482" i="5"/>
  <c r="J418" i="3"/>
  <c r="K418" i="3" s="1"/>
  <c r="K416" i="3" s="1"/>
  <c r="K404" i="3" s="1"/>
  <c r="J520" i="3"/>
  <c r="K520" i="3" s="1"/>
  <c r="K518" i="3" s="1"/>
  <c r="P176" i="5"/>
  <c r="B176" i="5"/>
  <c r="J399" i="3"/>
  <c r="K399" i="3" s="1"/>
  <c r="P108" i="5"/>
  <c r="O112" i="5" s="1"/>
  <c r="B108" i="5"/>
  <c r="N783" i="5"/>
  <c r="P835" i="5"/>
  <c r="O843" i="5" s="1"/>
  <c r="B835" i="5"/>
  <c r="N1016" i="5"/>
  <c r="P1019" i="5" s="1"/>
  <c r="Q1019" i="5" s="1"/>
  <c r="R1019" i="5" s="1"/>
  <c r="N1046" i="5"/>
  <c r="N1048" i="5" s="1"/>
  <c r="P1051" i="5" s="1"/>
  <c r="Q1051" i="5" s="1"/>
  <c r="R1051" i="5" s="1"/>
  <c r="K420" i="3"/>
  <c r="J397" i="3"/>
  <c r="K397" i="3" s="1"/>
  <c r="J413" i="3"/>
  <c r="K413" i="3" s="1"/>
  <c r="P308" i="5"/>
  <c r="O312" i="5" s="1"/>
  <c r="B308" i="5"/>
  <c r="P324" i="5"/>
  <c r="O328" i="5" s="1"/>
  <c r="B324" i="5"/>
  <c r="P380" i="5"/>
  <c r="O384" i="5" s="1"/>
  <c r="B380" i="5"/>
  <c r="J395" i="3"/>
  <c r="K395" i="3" s="1"/>
  <c r="K394" i="3" s="1"/>
  <c r="K390" i="3" s="1"/>
  <c r="J411" i="3"/>
  <c r="K411" i="3" s="1"/>
  <c r="R183" i="5"/>
  <c r="P742" i="5"/>
  <c r="O747" i="5" s="1"/>
  <c r="B742" i="5"/>
  <c r="J361" i="3"/>
  <c r="K361" i="3" s="1"/>
  <c r="K359" i="3" s="1"/>
  <c r="J436" i="3"/>
  <c r="K436" i="3" s="1"/>
  <c r="K434" i="3" s="1"/>
  <c r="K431" i="3" s="1"/>
  <c r="K479" i="3"/>
  <c r="P42" i="5"/>
  <c r="O46" i="5" s="1"/>
  <c r="B42" i="5"/>
  <c r="N1506" i="5"/>
  <c r="P1509" i="5" s="1"/>
  <c r="Q1509" i="5" s="1"/>
  <c r="R1509" i="5" s="1"/>
  <c r="P939" i="5"/>
  <c r="O943" i="5" s="1"/>
  <c r="B939" i="5"/>
  <c r="B1036" i="5"/>
  <c r="B1243" i="5"/>
  <c r="P348" i="5"/>
  <c r="O352" i="5" s="1"/>
  <c r="B348" i="5"/>
  <c r="R445" i="5"/>
  <c r="R617" i="5"/>
  <c r="R1316" i="5"/>
  <c r="P1873" i="5"/>
  <c r="O1881" i="5" s="1"/>
  <c r="B1873" i="5"/>
  <c r="B18" i="5"/>
  <c r="P59" i="5"/>
  <c r="O64" i="5" s="1"/>
  <c r="B100" i="5"/>
  <c r="R339" i="5"/>
  <c r="B506" i="5"/>
  <c r="R545" i="5"/>
  <c r="R657" i="5"/>
  <c r="B788" i="5"/>
  <c r="B1092" i="5"/>
  <c r="N1690" i="5"/>
  <c r="P1693" i="5" s="1"/>
  <c r="Q1693" i="5" s="1"/>
  <c r="R1693" i="5" s="1"/>
  <c r="P168" i="5"/>
  <c r="B168" i="5"/>
  <c r="B200" i="5"/>
  <c r="R363" i="5"/>
  <c r="N1818" i="5"/>
  <c r="P1821" i="5" s="1"/>
  <c r="Q1821" i="5" s="1"/>
  <c r="R1821" i="5" s="1"/>
  <c r="P682" i="5"/>
  <c r="O686" i="5" s="1"/>
  <c r="B682" i="5"/>
  <c r="P710" i="5"/>
  <c r="O714" i="5" s="1"/>
  <c r="B710" i="5"/>
  <c r="R725" i="5"/>
  <c r="P751" i="5"/>
  <c r="B751" i="5"/>
  <c r="B1251" i="5"/>
  <c r="P1251" i="5"/>
  <c r="O1255" i="5" s="1"/>
  <c r="B124" i="5"/>
  <c r="P498" i="5"/>
  <c r="O502" i="5" s="1"/>
  <c r="B498" i="5"/>
  <c r="N765" i="5"/>
  <c r="R1059" i="5"/>
  <c r="R1075" i="5"/>
  <c r="B159" i="5"/>
  <c r="P216" i="5"/>
  <c r="O220" i="5" s="1"/>
  <c r="B216" i="5"/>
  <c r="B276" i="5"/>
  <c r="B388" i="5"/>
  <c r="R513" i="5"/>
  <c r="P610" i="5"/>
  <c r="O614" i="5" s="1"/>
  <c r="B610" i="5"/>
  <c r="P634" i="5"/>
  <c r="O638" i="5" s="1"/>
  <c r="B634" i="5"/>
  <c r="B658" i="5"/>
  <c r="N863" i="5"/>
  <c r="P865" i="5" s="1"/>
  <c r="Q865" i="5" s="1"/>
  <c r="R865" i="5" s="1"/>
  <c r="P466" i="5"/>
  <c r="O470" i="5" s="1"/>
  <c r="B466" i="5"/>
  <c r="P538" i="5"/>
  <c r="O542" i="5" s="1"/>
  <c r="B538" i="5"/>
  <c r="N902" i="5"/>
  <c r="P905" i="5" s="1"/>
  <c r="Q905" i="5" s="1"/>
  <c r="R905" i="5" s="1"/>
  <c r="P1004" i="5"/>
  <c r="O1008" i="5" s="1"/>
  <c r="B1004" i="5"/>
  <c r="P1100" i="5"/>
  <c r="O1104" i="5" s="1"/>
  <c r="B1100" i="5"/>
  <c r="R665" i="5"/>
  <c r="B1299" i="5"/>
  <c r="P1299" i="5"/>
  <c r="O1303" i="5" s="1"/>
  <c r="B1336" i="5"/>
  <c r="P1336" i="5"/>
  <c r="O1342" i="5" s="1"/>
  <c r="P1649" i="5"/>
  <c r="O1665" i="5" s="1"/>
  <c r="B1649" i="5"/>
  <c r="P264" i="5"/>
  <c r="O272" i="5" s="1"/>
  <c r="B264" i="5"/>
  <c r="P300" i="5"/>
  <c r="O304" i="5" s="1"/>
  <c r="B300" i="5"/>
  <c r="P768" i="5"/>
  <c r="B768" i="5"/>
  <c r="P1227" i="5"/>
  <c r="O1231" i="5" s="1"/>
  <c r="B1227" i="5"/>
  <c r="R1325" i="5"/>
  <c r="AG57" i="7"/>
  <c r="BD57" i="7"/>
  <c r="AZ57" i="7"/>
  <c r="AZ69" i="7"/>
  <c r="BI63" i="7"/>
  <c r="N1849" i="5"/>
  <c r="P1852" i="5" s="1"/>
  <c r="Q1852" i="5" s="1"/>
  <c r="R1852" i="5" s="1"/>
  <c r="BI29" i="7"/>
  <c r="BI41" i="7"/>
  <c r="Q43" i="8"/>
  <c r="BM38" i="8"/>
  <c r="B1346" i="5"/>
  <c r="N1665" i="5"/>
  <c r="P1668" i="5" s="1"/>
  <c r="Q1668" i="5" s="1"/>
  <c r="R1668" i="5" s="1"/>
  <c r="H28" i="6"/>
  <c r="H33" i="6" s="1"/>
  <c r="T65" i="7"/>
  <c r="BD328" i="7"/>
  <c r="AZ328" i="7"/>
  <c r="BI328" i="7" s="1"/>
  <c r="AG328" i="7"/>
  <c r="B1401" i="5"/>
  <c r="BI30" i="7"/>
  <c r="BI40" i="7"/>
  <c r="BI43" i="7"/>
  <c r="BI52" i="7"/>
  <c r="BD309" i="7"/>
  <c r="BI306" i="7"/>
  <c r="BI309" i="7" s="1"/>
  <c r="P1798" i="5"/>
  <c r="O1818" i="5" s="1"/>
  <c r="B1798" i="5"/>
  <c r="T328" i="7"/>
  <c r="H69" i="6"/>
  <c r="H73" i="6" s="1"/>
  <c r="AZ207" i="7"/>
  <c r="BD207" i="7"/>
  <c r="AG207" i="7"/>
  <c r="AZ205" i="7"/>
  <c r="BI32" i="7"/>
  <c r="BI205" i="7" s="1"/>
  <c r="AZ73" i="7"/>
  <c r="BI67" i="7"/>
  <c r="B1417" i="5"/>
  <c r="B1480" i="5"/>
  <c r="P1554" i="5"/>
  <c r="O1564" i="5" s="1"/>
  <c r="N1734" i="5"/>
  <c r="P1738" i="5" s="1"/>
  <c r="Q1738" i="5" s="1"/>
  <c r="R1738" i="5" s="1"/>
  <c r="T46" i="7"/>
  <c r="H15" i="6"/>
  <c r="BD90" i="7"/>
  <c r="AU90" i="7"/>
  <c r="P1152" i="5"/>
  <c r="O1156" i="5" s="1"/>
  <c r="B1152" i="5"/>
  <c r="P1210" i="5"/>
  <c r="O1215" i="5" s="1"/>
  <c r="B1210" i="5"/>
  <c r="R1452" i="5"/>
  <c r="N1491" i="5"/>
  <c r="P1494" i="5" s="1"/>
  <c r="Q1494" i="5" s="1"/>
  <c r="R1494" i="5" s="1"/>
  <c r="N1564" i="5"/>
  <c r="P1567" i="5" s="1"/>
  <c r="Q1567" i="5" s="1"/>
  <c r="R1567" i="5" s="1"/>
  <c r="B530" i="5"/>
  <c r="B602" i="5"/>
  <c r="B855" i="5"/>
  <c r="B955" i="5"/>
  <c r="B1020" i="5"/>
  <c r="B1392" i="5"/>
  <c r="P1598" i="5"/>
  <c r="O1610" i="5" s="1"/>
  <c r="B1598" i="5"/>
  <c r="N1775" i="5"/>
  <c r="P1865" i="5"/>
  <c r="O1869" i="5" s="1"/>
  <c r="B1865" i="5"/>
  <c r="AZ135" i="7"/>
  <c r="AG135" i="7"/>
  <c r="BD135" i="7"/>
  <c r="BI152" i="7"/>
  <c r="AZ187" i="7"/>
  <c r="BI187" i="7" s="1"/>
  <c r="AG187" i="7"/>
  <c r="BD187" i="7"/>
  <c r="N1712" i="5"/>
  <c r="P1714" i="5" s="1"/>
  <c r="Q1714" i="5" s="1"/>
  <c r="R1714" i="5" s="1"/>
  <c r="BD89" i="7"/>
  <c r="AG89" i="7"/>
  <c r="P1326" i="5"/>
  <c r="O1332" i="5" s="1"/>
  <c r="B1326" i="5"/>
  <c r="N1476" i="5"/>
  <c r="P1479" i="5" s="1"/>
  <c r="Q1479" i="5" s="1"/>
  <c r="R1479" i="5" s="1"/>
  <c r="N1610" i="5"/>
  <c r="P1613" i="5" s="1"/>
  <c r="Q1613" i="5" s="1"/>
  <c r="R1613" i="5" s="1"/>
  <c r="BI31" i="7"/>
  <c r="BD151" i="7"/>
  <c r="AZ151" i="7"/>
  <c r="AG151" i="7"/>
  <c r="P1822" i="5"/>
  <c r="O1826" i="5" s="1"/>
  <c r="B1822" i="5"/>
  <c r="O1861" i="5"/>
  <c r="O1849" i="5"/>
  <c r="H67" i="6"/>
  <c r="AZ80" i="7"/>
  <c r="BI74" i="7"/>
  <c r="BI263" i="7"/>
  <c r="AZ36" i="7"/>
  <c r="BI36" i="7" s="1"/>
  <c r="BD47" i="7"/>
  <c r="BI47" i="7" s="1"/>
  <c r="BD53" i="7"/>
  <c r="AZ53" i="7"/>
  <c r="BD58" i="7"/>
  <c r="BD77" i="7"/>
  <c r="BD132" i="7"/>
  <c r="AG132" i="7"/>
  <c r="AZ140" i="7"/>
  <c r="BI140" i="7" s="1"/>
  <c r="AG140" i="7"/>
  <c r="BD152" i="7"/>
  <c r="BI164" i="7"/>
  <c r="AG169" i="7"/>
  <c r="BD169" i="7"/>
  <c r="AZ169" i="7"/>
  <c r="BD213" i="7"/>
  <c r="BD216" i="7"/>
  <c r="BI216" i="7" s="1"/>
  <c r="AU216" i="7"/>
  <c r="BD263" i="7"/>
  <c r="BD314" i="7"/>
  <c r="AZ314" i="7"/>
  <c r="BI314" i="7" s="1"/>
  <c r="AG314" i="7"/>
  <c r="BI333" i="7"/>
  <c r="BI337" i="7" s="1"/>
  <c r="AZ337" i="7"/>
  <c r="BD342" i="7"/>
  <c r="BI342" i="7" s="1"/>
  <c r="AZ35" i="7"/>
  <c r="BI35" i="7" s="1"/>
  <c r="BD36" i="7"/>
  <c r="AZ48" i="7"/>
  <c r="BD88" i="7"/>
  <c r="BD127" i="7"/>
  <c r="BD145" i="7"/>
  <c r="BD148" i="7"/>
  <c r="AZ148" i="7"/>
  <c r="BI148" i="7" s="1"/>
  <c r="BI202" i="7"/>
  <c r="AG253" i="7"/>
  <c r="BD253" i="7"/>
  <c r="AZ253" i="7"/>
  <c r="BI253" i="7" s="1"/>
  <c r="BI291" i="7"/>
  <c r="BD341" i="7"/>
  <c r="AG341" i="7"/>
  <c r="AZ341" i="7"/>
  <c r="AG41" i="7"/>
  <c r="BD48" i="7"/>
  <c r="BD75" i="7"/>
  <c r="BD80" i="7"/>
  <c r="BD94" i="7"/>
  <c r="BD120" i="7"/>
  <c r="BI159" i="7"/>
  <c r="AZ167" i="7"/>
  <c r="BI163" i="7"/>
  <c r="BI167" i="7" s="1"/>
  <c r="BI266" i="7"/>
  <c r="BI272" i="7"/>
  <c r="BI284" i="7"/>
  <c r="BD324" i="7"/>
  <c r="BD46" i="7"/>
  <c r="AZ46" i="7"/>
  <c r="BD65" i="7"/>
  <c r="AZ65" i="7"/>
  <c r="AZ66" i="7"/>
  <c r="BI262" i="7"/>
  <c r="BD298" i="7"/>
  <c r="AZ298" i="7"/>
  <c r="AG298" i="7"/>
  <c r="AG150" i="7"/>
  <c r="BD150" i="7"/>
  <c r="AZ150" i="7"/>
  <c r="AG261" i="7"/>
  <c r="BD261" i="7"/>
  <c r="AZ261" i="7"/>
  <c r="BI261" i="7" s="1"/>
  <c r="D18" i="10"/>
  <c r="C18" i="10"/>
  <c r="H35" i="6"/>
  <c r="H38" i="6" s="1"/>
  <c r="AG28" i="7"/>
  <c r="AU40" i="7"/>
  <c r="AG51" i="7"/>
  <c r="AG55" i="7"/>
  <c r="AU69" i="7"/>
  <c r="AG73" i="7"/>
  <c r="AG79" i="7"/>
  <c r="AG93" i="7"/>
  <c r="AU130" i="7"/>
  <c r="BD158" i="7"/>
  <c r="BI158" i="7" s="1"/>
  <c r="AZ194" i="7"/>
  <c r="BI194" i="7" s="1"/>
  <c r="AG194" i="7"/>
  <c r="BD214" i="7"/>
  <c r="AG214" i="7"/>
  <c r="BI275" i="7"/>
  <c r="AU283" i="7"/>
  <c r="BD283" i="7"/>
  <c r="BD300" i="7"/>
  <c r="AG300" i="7"/>
  <c r="BD316" i="7"/>
  <c r="BI316" i="7" s="1"/>
  <c r="AU316" i="7"/>
  <c r="BI340" i="7"/>
  <c r="B1518" i="5"/>
  <c r="B1614" i="5"/>
  <c r="B1760" i="5"/>
  <c r="AG29" i="7"/>
  <c r="AG32" i="7"/>
  <c r="AG45" i="7"/>
  <c r="AG50" i="7"/>
  <c r="BD72" i="7"/>
  <c r="BD85" i="7"/>
  <c r="AZ134" i="7"/>
  <c r="BI134" i="7" s="1"/>
  <c r="BI139" i="7"/>
  <c r="AZ154" i="7"/>
  <c r="BI154" i="7" s="1"/>
  <c r="BI209" i="7"/>
  <c r="BD258" i="7"/>
  <c r="AZ258" i="7"/>
  <c r="AG258" i="7"/>
  <c r="BI283" i="7"/>
  <c r="BI331" i="7" s="1"/>
  <c r="BI289" i="7"/>
  <c r="BI293" i="7" s="1"/>
  <c r="BD323" i="7"/>
  <c r="G51" i="6"/>
  <c r="AZ55" i="7"/>
  <c r="BD128" i="7"/>
  <c r="BI133" i="7"/>
  <c r="AZ143" i="7"/>
  <c r="BI143" i="7" s="1"/>
  <c r="BI147" i="7"/>
  <c r="BD154" i="7"/>
  <c r="BI171" i="7"/>
  <c r="BI200" i="7"/>
  <c r="AZ300" i="7"/>
  <c r="BI321" i="7"/>
  <c r="AZ287" i="7"/>
  <c r="AZ349" i="7"/>
  <c r="AZ351" i="7" s="1"/>
  <c r="BD122" i="7"/>
  <c r="BI165" i="7"/>
  <c r="BI214" i="7"/>
  <c r="BI270" i="7"/>
  <c r="BI285" i="7"/>
  <c r="BI343" i="7"/>
  <c r="BI145" i="7"/>
  <c r="BD149" i="7"/>
  <c r="AU203" i="7"/>
  <c r="BD203" i="7"/>
  <c r="BI203" i="7" s="1"/>
  <c r="BD260" i="7"/>
  <c r="C112" i="10"/>
  <c r="D112" i="10"/>
  <c r="BI27" i="7"/>
  <c r="BD98" i="7"/>
  <c r="BD113" i="7"/>
  <c r="BI136" i="7"/>
  <c r="AG145" i="7"/>
  <c r="BD173" i="7"/>
  <c r="BI173" i="7" s="1"/>
  <c r="AG173" i="7"/>
  <c r="AZ183" i="7"/>
  <c r="BI180" i="7"/>
  <c r="BI183" i="7" s="1"/>
  <c r="BD182" i="7"/>
  <c r="AZ182" i="7"/>
  <c r="BI182" i="7" s="1"/>
  <c r="AG182" i="7"/>
  <c r="AG269" i="7"/>
  <c r="BD269" i="7"/>
  <c r="AZ269" i="7"/>
  <c r="BI269" i="7" s="1"/>
  <c r="BI273" i="7"/>
  <c r="AZ142" i="7"/>
  <c r="BI142" i="7" s="1"/>
  <c r="AZ186" i="7"/>
  <c r="BI186" i="7" s="1"/>
  <c r="BI191" i="7" s="1"/>
  <c r="AZ278" i="7"/>
  <c r="BI278" i="7" s="1"/>
  <c r="I109" i="14"/>
  <c r="I223" i="14"/>
  <c r="I638" i="14"/>
  <c r="F128" i="18"/>
  <c r="G38" i="1" s="1"/>
  <c r="K38" i="1" s="1"/>
  <c r="K37" i="1" s="1"/>
  <c r="F43" i="18"/>
  <c r="F41" i="18" s="1"/>
  <c r="G24" i="1" s="1"/>
  <c r="K24" i="1" s="1"/>
  <c r="BD133" i="7"/>
  <c r="BD142" i="7"/>
  <c r="AZ149" i="7"/>
  <c r="BI149" i="7" s="1"/>
  <c r="AZ252" i="7"/>
  <c r="AZ260" i="7"/>
  <c r="AG267" i="7"/>
  <c r="AZ299" i="7"/>
  <c r="BI299" i="7" s="1"/>
  <c r="AZ323" i="7"/>
  <c r="BI323" i="7" s="1"/>
  <c r="AZ324" i="7"/>
  <c r="BI324" i="7" s="1"/>
  <c r="I188" i="14"/>
  <c r="I265" i="14"/>
  <c r="I302" i="14"/>
  <c r="I289" i="14" s="1"/>
  <c r="I331" i="14"/>
  <c r="I430" i="14"/>
  <c r="I449" i="14"/>
  <c r="I471" i="14"/>
  <c r="I494" i="14"/>
  <c r="BD146" i="7"/>
  <c r="BI146" i="7" s="1"/>
  <c r="AZ195" i="7"/>
  <c r="BI195" i="7" s="1"/>
  <c r="BD198" i="7"/>
  <c r="BI198" i="7" s="1"/>
  <c r="BD252" i="7"/>
  <c r="AZ259" i="7"/>
  <c r="BI259" i="7" s="1"/>
  <c r="AZ268" i="7"/>
  <c r="BI268" i="7" s="1"/>
  <c r="AZ277" i="7"/>
  <c r="BI277" i="7" s="1"/>
  <c r="AZ315" i="7"/>
  <c r="BI315" i="7" s="1"/>
  <c r="BD340" i="7"/>
  <c r="I88" i="14"/>
  <c r="I197" i="14"/>
  <c r="I274" i="14"/>
  <c r="I360" i="14"/>
  <c r="BD197" i="7"/>
  <c r="BI197" i="7" s="1"/>
  <c r="BD256" i="7"/>
  <c r="BI256" i="7" s="1"/>
  <c r="AZ303" i="7"/>
  <c r="D115" i="10"/>
  <c r="C115" i="10"/>
  <c r="I21" i="14"/>
  <c r="I13" i="14" s="1"/>
  <c r="I67" i="14"/>
  <c r="I206" i="14"/>
  <c r="I215" i="14"/>
  <c r="I114" i="14"/>
  <c r="I315" i="14"/>
  <c r="BI257" i="7"/>
  <c r="AG272" i="7"/>
  <c r="AU274" i="7"/>
  <c r="AG285" i="7"/>
  <c r="BD287" i="7"/>
  <c r="AU292" i="7"/>
  <c r="AU296" i="7"/>
  <c r="AG302" i="7"/>
  <c r="AG311" i="7"/>
  <c r="AG343" i="7"/>
  <c r="I326" i="14"/>
  <c r="I338" i="14"/>
  <c r="I544" i="14"/>
  <c r="AU160" i="7"/>
  <c r="AG166" i="7"/>
  <c r="AG172" i="7"/>
  <c r="AG188" i="7"/>
  <c r="AG210" i="7"/>
  <c r="BI250" i="7"/>
  <c r="BI281" i="7" s="1"/>
  <c r="AG255" i="7"/>
  <c r="BD266" i="7"/>
  <c r="AG271" i="7"/>
  <c r="AG280" i="7"/>
  <c r="AG284" i="7"/>
  <c r="AG289" i="7"/>
  <c r="AG290" i="7"/>
  <c r="AZ292" i="7"/>
  <c r="BI292" i="7" s="1"/>
  <c r="AG301" i="7"/>
  <c r="AG321" i="7"/>
  <c r="AG330" i="7"/>
  <c r="BD335" i="7"/>
  <c r="BI335" i="7" s="1"/>
  <c r="C44" i="10"/>
  <c r="I237" i="14"/>
  <c r="I281" i="14"/>
  <c r="I403" i="14"/>
  <c r="K400" i="15"/>
  <c r="L13" i="15"/>
  <c r="BI189" i="7"/>
  <c r="BD286" i="7"/>
  <c r="BI286" i="7" s="1"/>
  <c r="D117" i="10"/>
  <c r="C117" i="10"/>
  <c r="I141" i="14"/>
  <c r="I441" i="14"/>
  <c r="I41" i="14"/>
  <c r="F42" i="14"/>
  <c r="I42" i="14" s="1"/>
  <c r="I49" i="14"/>
  <c r="AZ188" i="7"/>
  <c r="BI188" i="7" s="1"/>
  <c r="BD201" i="7"/>
  <c r="BI201" i="7" s="1"/>
  <c r="BD208" i="7"/>
  <c r="BI208" i="7" s="1"/>
  <c r="BD255" i="7"/>
  <c r="BI255" i="7" s="1"/>
  <c r="BD264" i="7"/>
  <c r="BI264" i="7" s="1"/>
  <c r="AZ280" i="7"/>
  <c r="BI280" i="7" s="1"/>
  <c r="BD333" i="7"/>
  <c r="I416" i="14"/>
  <c r="BI213" i="7"/>
  <c r="I100" i="14"/>
  <c r="I173" i="14"/>
  <c r="I385" i="14"/>
  <c r="K386" i="15"/>
  <c r="L386" i="15" s="1"/>
  <c r="C172" i="10"/>
  <c r="C193" i="10"/>
  <c r="I156" i="14"/>
  <c r="I151" i="14" s="1"/>
  <c r="K70" i="15"/>
  <c r="K78" i="15"/>
  <c r="K117" i="15"/>
  <c r="F129" i="18"/>
  <c r="C158" i="10"/>
  <c r="K160" i="15"/>
  <c r="F23" i="18"/>
  <c r="G21" i="1" s="1"/>
  <c r="K21" i="1" s="1"/>
  <c r="K19" i="1" s="1"/>
  <c r="K18" i="1" s="1"/>
  <c r="D18" i="4" s="1"/>
  <c r="C150" i="10"/>
  <c r="C178" i="10"/>
  <c r="C189" i="10"/>
  <c r="F135" i="14"/>
  <c r="K76" i="15"/>
  <c r="K84" i="15"/>
  <c r="K87" i="15"/>
  <c r="K86" i="15" s="1"/>
  <c r="L86" i="15" s="1"/>
  <c r="G91" i="15"/>
  <c r="K91" i="15" s="1"/>
  <c r="K90" i="15"/>
  <c r="K115" i="15"/>
  <c r="K158" i="15"/>
  <c r="F395" i="18"/>
  <c r="C151" i="10"/>
  <c r="C174" i="10"/>
  <c r="F126" i="14"/>
  <c r="I126" i="14" s="1"/>
  <c r="I122" i="14" s="1"/>
  <c r="I537" i="14"/>
  <c r="K63" i="15"/>
  <c r="K383" i="15"/>
  <c r="L383" i="15" s="1"/>
  <c r="C170" i="10"/>
  <c r="I40" i="14"/>
  <c r="I34" i="14" s="1"/>
  <c r="C132" i="10"/>
  <c r="C156" i="10"/>
  <c r="C160" i="10"/>
  <c r="C180" i="10"/>
  <c r="C191" i="10"/>
  <c r="C202" i="10"/>
  <c r="C208" i="10"/>
  <c r="I644" i="14"/>
  <c r="H195" i="15"/>
  <c r="J195" i="15" s="1"/>
  <c r="K195" i="15" s="1"/>
  <c r="F195" i="15"/>
  <c r="K17" i="15"/>
  <c r="K72" i="15"/>
  <c r="K80" i="15"/>
  <c r="K95" i="15"/>
  <c r="K106" i="15"/>
  <c r="K104" i="15" s="1"/>
  <c r="L104" i="15" s="1"/>
  <c r="E195" i="15"/>
  <c r="F29" i="18"/>
  <c r="G22" i="1" s="1"/>
  <c r="K22" i="1" s="1"/>
  <c r="I593" i="14"/>
  <c r="I584" i="14" s="1"/>
  <c r="K39" i="15"/>
  <c r="K101" i="15"/>
  <c r="K250" i="15"/>
  <c r="F29" i="16"/>
  <c r="D11" i="16" s="1"/>
  <c r="E11" i="16" s="1"/>
  <c r="G145" i="15"/>
  <c r="K145" i="15" s="1"/>
  <c r="F28" i="16"/>
  <c r="G28" i="16" s="1"/>
  <c r="E182" i="15"/>
  <c r="K44" i="1" l="1"/>
  <c r="D20" i="4" s="1"/>
  <c r="K152" i="1"/>
  <c r="D30" i="4" s="1"/>
  <c r="E18" i="4"/>
  <c r="AH18" i="4"/>
  <c r="AE18" i="4"/>
  <c r="AB18" i="4"/>
  <c r="Y18" i="4"/>
  <c r="S18" i="4"/>
  <c r="P18" i="4"/>
  <c r="V18" i="4"/>
  <c r="M18" i="4"/>
  <c r="H18" i="4"/>
  <c r="M38" i="4"/>
  <c r="J38" i="4"/>
  <c r="AH38" i="4"/>
  <c r="G38" i="4"/>
  <c r="AE38" i="4"/>
  <c r="Z38" i="4"/>
  <c r="AB38" i="4" s="1"/>
  <c r="W38" i="4"/>
  <c r="Y38" i="4" s="1"/>
  <c r="T38" i="4"/>
  <c r="S38" i="4"/>
  <c r="P38" i="4"/>
  <c r="D16" i="4"/>
  <c r="K444" i="1"/>
  <c r="D46" i="4" s="1"/>
  <c r="BI66" i="7"/>
  <c r="AZ72" i="7"/>
  <c r="AZ211" i="7"/>
  <c r="BI207" i="7"/>
  <c r="BI211" i="7" s="1"/>
  <c r="AZ177" i="7"/>
  <c r="BI169" i="7"/>
  <c r="BI177" i="7" s="1"/>
  <c r="N42" i="8"/>
  <c r="N43" i="8" s="1"/>
  <c r="BM43" i="8"/>
  <c r="K443" i="3"/>
  <c r="K76" i="3"/>
  <c r="K139" i="1"/>
  <c r="D28" i="4" s="1"/>
  <c r="I135" i="14"/>
  <c r="I128" i="14" s="1"/>
  <c r="I121" i="14" s="1"/>
  <c r="F137" i="14"/>
  <c r="I137" i="14" s="1"/>
  <c r="BI349" i="7"/>
  <c r="BI351" i="7" s="1"/>
  <c r="BI287" i="7"/>
  <c r="BI298" i="7"/>
  <c r="BI151" i="7"/>
  <c r="J1889" i="5"/>
  <c r="N1889" i="5" s="1"/>
  <c r="N1901" i="5" s="1"/>
  <c r="H1903" i="5" s="1"/>
  <c r="N1903" i="5" s="1"/>
  <c r="P1906" i="5" s="1"/>
  <c r="P767" i="5"/>
  <c r="Q767" i="5" s="1"/>
  <c r="R767" i="5" s="1"/>
  <c r="K270" i="2"/>
  <c r="AI44" i="4"/>
  <c r="AJ44" i="4" s="1"/>
  <c r="AB44" i="4"/>
  <c r="K106" i="1"/>
  <c r="D26" i="4" s="1"/>
  <c r="K465" i="1"/>
  <c r="K381" i="1"/>
  <c r="D36" i="4" s="1"/>
  <c r="K76" i="1"/>
  <c r="D24" i="4" s="1"/>
  <c r="AZ71" i="7"/>
  <c r="BI65" i="7"/>
  <c r="AZ70" i="7"/>
  <c r="N1867" i="5"/>
  <c r="N1869" i="5" s="1"/>
  <c r="P1872" i="5" s="1"/>
  <c r="Q1872" i="5" s="1"/>
  <c r="R1872" i="5" s="1"/>
  <c r="P787" i="5"/>
  <c r="Q787" i="5" s="1"/>
  <c r="R787" i="5" s="1"/>
  <c r="AH42" i="4"/>
  <c r="AC42" i="4"/>
  <c r="AE42" i="4" s="1"/>
  <c r="Z42" i="4"/>
  <c r="Y42" i="4"/>
  <c r="S42" i="4"/>
  <c r="P42" i="4"/>
  <c r="M42" i="4"/>
  <c r="J42" i="4"/>
  <c r="V42" i="4"/>
  <c r="G42" i="4"/>
  <c r="AI34" i="4"/>
  <c r="AJ34" i="4" s="1"/>
  <c r="Y34" i="4"/>
  <c r="AI35" i="4" s="1"/>
  <c r="AI45" i="4"/>
  <c r="H22" i="6"/>
  <c r="H74" i="6" s="1"/>
  <c r="H395" i="18"/>
  <c r="G65" i="1"/>
  <c r="K65" i="1" s="1"/>
  <c r="K63" i="1" s="1"/>
  <c r="K62" i="1" s="1"/>
  <c r="D22" i="4" s="1"/>
  <c r="BI135" i="7"/>
  <c r="BI69" i="7"/>
  <c r="AZ75" i="7"/>
  <c r="I493" i="14"/>
  <c r="BI300" i="7"/>
  <c r="BI46" i="7"/>
  <c r="BI57" i="7"/>
  <c r="BI260" i="7"/>
  <c r="BI150" i="7"/>
  <c r="K270" i="3"/>
  <c r="K405" i="1"/>
  <c r="D40" i="4" s="1"/>
  <c r="AZ58" i="7"/>
  <c r="BI58" i="7" s="1"/>
  <c r="BI55" i="7"/>
  <c r="T298" i="7"/>
  <c r="H51" i="6"/>
  <c r="H56" i="6" s="1"/>
  <c r="BI80" i="7"/>
  <c r="AZ86" i="7"/>
  <c r="N1755" i="5"/>
  <c r="P1759" i="5" s="1"/>
  <c r="Q1759" i="5" s="1"/>
  <c r="R1759" i="5" s="1"/>
  <c r="P1777" i="5"/>
  <c r="Q1777" i="5" s="1"/>
  <c r="R1777" i="5" s="1"/>
  <c r="K62" i="2"/>
  <c r="K18" i="2"/>
  <c r="K534" i="2" s="1"/>
  <c r="L400" i="15"/>
  <c r="K399" i="15"/>
  <c r="K398" i="15"/>
  <c r="K405" i="15"/>
  <c r="AZ79" i="7"/>
  <c r="BI73" i="7"/>
  <c r="K107" i="3"/>
  <c r="K106" i="3" s="1"/>
  <c r="K536" i="3" s="1"/>
  <c r="K288" i="1"/>
  <c r="K270" i="1" s="1"/>
  <c r="D32" i="4" s="1"/>
  <c r="K320" i="1"/>
  <c r="BI252" i="7"/>
  <c r="BI341" i="7"/>
  <c r="I66" i="14"/>
  <c r="BI258" i="7"/>
  <c r="BI48" i="7"/>
  <c r="BI53" i="7"/>
  <c r="AH22" i="4" l="1"/>
  <c r="G22" i="4"/>
  <c r="AE22" i="4"/>
  <c r="AB22" i="4"/>
  <c r="W22" i="4"/>
  <c r="Q22" i="4"/>
  <c r="M22" i="4"/>
  <c r="T22" i="4"/>
  <c r="P22" i="4"/>
  <c r="J22" i="4"/>
  <c r="K538" i="2"/>
  <c r="K532" i="2"/>
  <c r="K533" i="2" s="1"/>
  <c r="K541" i="3"/>
  <c r="K534" i="3"/>
  <c r="K535" i="3" s="1"/>
  <c r="H75" i="6"/>
  <c r="H76" i="6" s="1"/>
  <c r="I649" i="14"/>
  <c r="AC32" i="4"/>
  <c r="AE32" i="4" s="1"/>
  <c r="Z32" i="4"/>
  <c r="AB32" i="4" s="1"/>
  <c r="W32" i="4"/>
  <c r="Y32" i="4" s="1"/>
  <c r="S32" i="4"/>
  <c r="P32" i="4"/>
  <c r="M32" i="4"/>
  <c r="AF32" i="4"/>
  <c r="AH32" i="4" s="1"/>
  <c r="J32" i="4"/>
  <c r="T32" i="4"/>
  <c r="G32" i="4"/>
  <c r="BI79" i="7"/>
  <c r="AZ85" i="7"/>
  <c r="Q1906" i="5"/>
  <c r="R1906" i="5" s="1"/>
  <c r="H744" i="5"/>
  <c r="N744" i="5" s="1"/>
  <c r="N747" i="5" s="1"/>
  <c r="P750" i="5" s="1"/>
  <c r="Q750" i="5" s="1"/>
  <c r="R750" i="5" s="1"/>
  <c r="BI75" i="7"/>
  <c r="AZ81" i="7"/>
  <c r="AI38" i="4"/>
  <c r="AJ38" i="4" s="1"/>
  <c r="V38" i="4"/>
  <c r="AI39" i="4" s="1"/>
  <c r="BI71" i="7"/>
  <c r="AZ77" i="7"/>
  <c r="BI86" i="7"/>
  <c r="AZ92" i="7"/>
  <c r="BI70" i="7"/>
  <c r="AZ76" i="7"/>
  <c r="V24" i="4"/>
  <c r="S24" i="4"/>
  <c r="P24" i="4"/>
  <c r="M24" i="4"/>
  <c r="J24" i="4"/>
  <c r="AH24" i="4"/>
  <c r="G24" i="4"/>
  <c r="AC24" i="4"/>
  <c r="W24" i="4"/>
  <c r="Z24" i="4"/>
  <c r="Z36" i="4"/>
  <c r="AB36" i="4" s="1"/>
  <c r="W36" i="4"/>
  <c r="V36" i="4"/>
  <c r="S36" i="4"/>
  <c r="P36" i="4"/>
  <c r="J36" i="4"/>
  <c r="G36" i="4"/>
  <c r="AH36" i="4"/>
  <c r="AE36" i="4"/>
  <c r="M36" i="4"/>
  <c r="BI72" i="7"/>
  <c r="AZ78" i="7"/>
  <c r="W40" i="4"/>
  <c r="V40" i="4"/>
  <c r="S40" i="4"/>
  <c r="P40" i="4"/>
  <c r="M40" i="4"/>
  <c r="AF40" i="4"/>
  <c r="AH40" i="4" s="1"/>
  <c r="G40" i="4"/>
  <c r="AC40" i="4"/>
  <c r="AE40" i="4" s="1"/>
  <c r="Z40" i="4"/>
  <c r="AB40" i="4" s="1"/>
  <c r="J40" i="4"/>
  <c r="AC46" i="4"/>
  <c r="AE46" i="4" s="1"/>
  <c r="Z46" i="4"/>
  <c r="AB46" i="4" s="1"/>
  <c r="W46" i="4"/>
  <c r="V46" i="4"/>
  <c r="P46" i="4"/>
  <c r="M46" i="4"/>
  <c r="J46" i="4"/>
  <c r="AF46" i="4"/>
  <c r="AH46" i="4" s="1"/>
  <c r="G46" i="4"/>
  <c r="S46" i="4"/>
  <c r="AC26" i="4"/>
  <c r="AE26" i="4" s="1"/>
  <c r="Z26" i="4"/>
  <c r="AB26" i="4" s="1"/>
  <c r="W26" i="4"/>
  <c r="V26" i="4"/>
  <c r="P26" i="4"/>
  <c r="M26" i="4"/>
  <c r="AH26" i="4"/>
  <c r="G26" i="4"/>
  <c r="S26" i="4"/>
  <c r="J26" i="4"/>
  <c r="N28" i="4"/>
  <c r="M28" i="4"/>
  <c r="J28" i="4"/>
  <c r="AH28" i="4"/>
  <c r="G28" i="4"/>
  <c r="AE28" i="4"/>
  <c r="AB28" i="4"/>
  <c r="C28" i="4"/>
  <c r="T28" i="4"/>
  <c r="V28" i="4" s="1"/>
  <c r="Q28" i="4"/>
  <c r="S28" i="4" s="1"/>
  <c r="Y28" i="4"/>
  <c r="K534" i="1"/>
  <c r="AB42" i="4"/>
  <c r="AI42" i="4"/>
  <c r="AJ42" i="4" s="1"/>
  <c r="D53" i="4"/>
  <c r="D54" i="4"/>
  <c r="AJ16" i="4"/>
  <c r="C16" i="4"/>
  <c r="E53" i="4"/>
  <c r="G18" i="4"/>
  <c r="AI19" i="4" s="1"/>
  <c r="AI18" i="4"/>
  <c r="AJ18" i="4" s="1"/>
  <c r="E54" i="4"/>
  <c r="J18" i="4"/>
  <c r="W30" i="4"/>
  <c r="Y30" i="4" s="1"/>
  <c r="T30" i="4"/>
  <c r="S30" i="4"/>
  <c r="P30" i="4"/>
  <c r="AF30" i="4"/>
  <c r="J30" i="4"/>
  <c r="G30" i="4"/>
  <c r="AC30" i="4"/>
  <c r="AE30" i="4" s="1"/>
  <c r="Z30" i="4"/>
  <c r="AB30" i="4" s="1"/>
  <c r="M30" i="4"/>
  <c r="AI43" i="4"/>
  <c r="S20" i="4"/>
  <c r="N20" i="4"/>
  <c r="K20" i="4"/>
  <c r="AH20" i="4"/>
  <c r="G20" i="4"/>
  <c r="AE20" i="4"/>
  <c r="Y20" i="4"/>
  <c r="H20" i="4"/>
  <c r="AB20" i="4"/>
  <c r="V20" i="4"/>
  <c r="AH30" i="4" l="1"/>
  <c r="AI31" i="4" s="1"/>
  <c r="AF53" i="4"/>
  <c r="AH53" i="4" s="1"/>
  <c r="Y26" i="4"/>
  <c r="AI26" i="4"/>
  <c r="AJ26" i="4" s="1"/>
  <c r="Y46" i="4"/>
  <c r="AI47" i="4" s="1"/>
  <c r="AI46" i="4"/>
  <c r="AJ46" i="4" s="1"/>
  <c r="C34" i="4"/>
  <c r="C44" i="4"/>
  <c r="C42" i="4"/>
  <c r="C18" i="4"/>
  <c r="C38" i="4"/>
  <c r="M20" i="4"/>
  <c r="K53" i="4"/>
  <c r="M53" i="4" s="1"/>
  <c r="C26" i="4"/>
  <c r="C46" i="4"/>
  <c r="Y40" i="4"/>
  <c r="AI41" i="4" s="1"/>
  <c r="AI40" i="4"/>
  <c r="AJ40" i="4" s="1"/>
  <c r="Y36" i="4"/>
  <c r="AI36" i="4"/>
  <c r="AJ36" i="4" s="1"/>
  <c r="C32" i="4"/>
  <c r="J20" i="4"/>
  <c r="AI21" i="4" s="1"/>
  <c r="AI20" i="4"/>
  <c r="AJ20" i="4" s="1"/>
  <c r="P20" i="4"/>
  <c r="N53" i="4"/>
  <c r="P53" i="4" s="1"/>
  <c r="AZ82" i="7"/>
  <c r="BI76" i="7"/>
  <c r="AZ84" i="7"/>
  <c r="BI78" i="7"/>
  <c r="BI85" i="7"/>
  <c r="AZ91" i="7"/>
  <c r="T53" i="4"/>
  <c r="V53" i="4" s="1"/>
  <c r="V22" i="4"/>
  <c r="AI23" i="4" s="1"/>
  <c r="AI28" i="4"/>
  <c r="AJ28" i="4" s="1"/>
  <c r="P28" i="4"/>
  <c r="AI29" i="4" s="1"/>
  <c r="AB24" i="4"/>
  <c r="Z53" i="4"/>
  <c r="AB53" i="4" s="1"/>
  <c r="I653" i="14"/>
  <c r="I650" i="14"/>
  <c r="L33" i="14"/>
  <c r="AI37" i="4"/>
  <c r="V30" i="4"/>
  <c r="AI30" i="4"/>
  <c r="AJ30" i="4" s="1"/>
  <c r="AZ98" i="7"/>
  <c r="BI92" i="7"/>
  <c r="AI33" i="4"/>
  <c r="Q53" i="4"/>
  <c r="S53" i="4" s="1"/>
  <c r="S22" i="4"/>
  <c r="AI22" i="4"/>
  <c r="AJ22" i="4" s="1"/>
  <c r="C40" i="4"/>
  <c r="C36" i="4"/>
  <c r="C24" i="4"/>
  <c r="V32" i="4"/>
  <c r="AI32" i="4"/>
  <c r="AJ32" i="4" s="1"/>
  <c r="G54" i="4"/>
  <c r="AI27" i="4"/>
  <c r="AC53" i="4"/>
  <c r="AE53" i="4" s="1"/>
  <c r="AE24" i="4"/>
  <c r="AZ83" i="7"/>
  <c r="BI77" i="7"/>
  <c r="C22" i="4"/>
  <c r="K533" i="1"/>
  <c r="K532" i="1"/>
  <c r="K546" i="1"/>
  <c r="AI24" i="4"/>
  <c r="AJ24" i="4" s="1"/>
  <c r="Y24" i="4"/>
  <c r="AI25" i="4" s="1"/>
  <c r="H53" i="4"/>
  <c r="J53" i="4" s="1"/>
  <c r="W53" i="4"/>
  <c r="Y53" i="4" s="1"/>
  <c r="Y22" i="4"/>
  <c r="C20" i="4"/>
  <c r="C54" i="4" s="1"/>
  <c r="C30" i="4"/>
  <c r="G53" i="4"/>
  <c r="AZ87" i="7"/>
  <c r="BI81" i="7"/>
  <c r="C53" i="4" l="1"/>
  <c r="AZ93" i="7"/>
  <c r="BI87" i="7"/>
  <c r="AZ97" i="7"/>
  <c r="BI91" i="7"/>
  <c r="H54" i="4"/>
  <c r="BI98" i="7"/>
  <c r="AZ104" i="7"/>
  <c r="AZ88" i="7"/>
  <c r="BI82" i="7"/>
  <c r="BI84" i="7"/>
  <c r="AZ90" i="7"/>
  <c r="BI83" i="7"/>
  <c r="AZ89" i="7"/>
  <c r="BI104" i="7" l="1"/>
  <c r="AZ110" i="7"/>
  <c r="BI93" i="7"/>
  <c r="AZ99" i="7"/>
  <c r="AZ96" i="7"/>
  <c r="BI90" i="7"/>
  <c r="BI89" i="7"/>
  <c r="AZ95" i="7"/>
  <c r="BI88" i="7"/>
  <c r="AZ94" i="7"/>
  <c r="J54" i="4"/>
  <c r="K54" i="4"/>
  <c r="BI97" i="7"/>
  <c r="AZ103" i="7"/>
  <c r="N54" i="4" l="1"/>
  <c r="M54" i="4"/>
  <c r="AZ116" i="7"/>
  <c r="BI110" i="7"/>
  <c r="AZ101" i="7"/>
  <c r="BI95" i="7"/>
  <c r="BI96" i="7"/>
  <c r="AZ102" i="7"/>
  <c r="BI103" i="7"/>
  <c r="AZ109" i="7"/>
  <c r="BI94" i="7"/>
  <c r="AZ100" i="7"/>
  <c r="AZ105" i="7"/>
  <c r="BI99" i="7"/>
  <c r="Q54" i="4" l="1"/>
  <c r="P54" i="4"/>
  <c r="BI116" i="7"/>
  <c r="AZ122" i="7"/>
  <c r="BI105" i="7"/>
  <c r="AZ111" i="7"/>
  <c r="BI102" i="7"/>
  <c r="AZ108" i="7"/>
  <c r="BI100" i="7"/>
  <c r="AZ106" i="7"/>
  <c r="BI109" i="7"/>
  <c r="AZ115" i="7"/>
  <c r="BI101" i="7"/>
  <c r="AZ107" i="7"/>
  <c r="AZ121" i="7" l="1"/>
  <c r="BI115" i="7"/>
  <c r="AZ114" i="7"/>
  <c r="BI108" i="7"/>
  <c r="BI106" i="7"/>
  <c r="AZ112" i="7"/>
  <c r="BI122" i="7"/>
  <c r="AZ128" i="7"/>
  <c r="BI128" i="7" s="1"/>
  <c r="BI107" i="7"/>
  <c r="AZ113" i="7"/>
  <c r="BI111" i="7"/>
  <c r="AZ117" i="7"/>
  <c r="T54" i="4"/>
  <c r="S54" i="4"/>
  <c r="AZ123" i="7" l="1"/>
  <c r="BI117" i="7"/>
  <c r="BI113" i="7"/>
  <c r="AZ119" i="7"/>
  <c r="BI112" i="7"/>
  <c r="AZ118" i="7"/>
  <c r="AZ120" i="7"/>
  <c r="BI114" i="7"/>
  <c r="W54" i="4"/>
  <c r="V54" i="4"/>
  <c r="AZ127" i="7"/>
  <c r="BI127" i="7" s="1"/>
  <c r="BI121" i="7"/>
  <c r="BI120" i="7" l="1"/>
  <c r="AZ126" i="7"/>
  <c r="AZ129" i="7"/>
  <c r="BI129" i="7" s="1"/>
  <c r="BI123" i="7"/>
  <c r="Z54" i="4"/>
  <c r="Y54" i="4"/>
  <c r="BI118" i="7"/>
  <c r="AZ124" i="7"/>
  <c r="BI119" i="7"/>
  <c r="AZ125" i="7"/>
  <c r="AZ156" i="7" l="1"/>
  <c r="BI125" i="7"/>
  <c r="BI156" i="7" s="1"/>
  <c r="AZ131" i="7"/>
  <c r="BI131" i="7" s="1"/>
  <c r="AB54" i="4"/>
  <c r="AC54" i="4"/>
  <c r="AZ132" i="7"/>
  <c r="BI132" i="7" s="1"/>
  <c r="BI126" i="7"/>
  <c r="BI124" i="7"/>
  <c r="AZ130" i="7"/>
  <c r="BI130" i="7" s="1"/>
  <c r="AF54" i="4" l="1"/>
  <c r="AH54" i="4" s="1"/>
  <c r="AE54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 desconhecido</author>
  </authors>
  <commentList>
    <comment ref="G72" authorId="0" shapeId="0" xr:uid="{00000000-0006-0000-0900-000001000000}">
      <text>
        <r>
          <rPr>
            <sz val="10"/>
            <rFont val="Arial"/>
            <family val="2"/>
          </rPr>
          <t xml:space="preserve">DESLOCAMENTO DE MOBILIÁRIOS
</t>
        </r>
      </text>
    </comment>
    <comment ref="G196" authorId="0" shapeId="0" xr:uid="{00000000-0006-0000-0900-000002000000}">
      <text>
        <r>
          <rPr>
            <sz val="10"/>
            <rFont val="Arial"/>
            <family val="2"/>
          </rPr>
          <t xml:space="preserve">TRATAMENTO DOS PERFIS METALICOS
</t>
        </r>
      </text>
    </comment>
    <comment ref="G197" authorId="0" shapeId="0" xr:uid="{00000000-0006-0000-0900-000003000000}">
      <text>
        <r>
          <rPr>
            <sz val="10"/>
            <rFont val="Arial"/>
            <family val="2"/>
          </rPr>
          <t>TEXTURA APLICAÇÃO</t>
        </r>
      </text>
    </comment>
  </commentList>
</comments>
</file>

<file path=xl/sharedStrings.xml><?xml version="1.0" encoding="utf-8"?>
<sst xmlns="http://schemas.openxmlformats.org/spreadsheetml/2006/main" count="30156" uniqueCount="11066">
  <si>
    <r>
      <rPr>
        <b/>
        <sz val="15"/>
        <color rgb="FF0066CC"/>
        <rFont val="Calibri Light"/>
        <family val="2"/>
        <charset val="1"/>
      </rPr>
      <t xml:space="preserve">
PREFEITURA DE PORTO FERREIRA
</t>
    </r>
    <r>
      <rPr>
        <b/>
        <sz val="13"/>
        <color rgb="FF0066CC"/>
        <rFont val="Calibri Light"/>
        <family val="2"/>
        <charset val="1"/>
      </rPr>
      <t xml:space="preserve">“A CAPITAL NACIONAL DA CERÂMICA ARTÍSTICA E DA DECORAÇÃO”
</t>
    </r>
    <r>
      <rPr>
        <b/>
        <sz val="12"/>
        <color rgb="FF0066CC"/>
        <rFont val="Calibri Light"/>
        <family val="2"/>
        <charset val="1"/>
      </rPr>
      <t xml:space="preserve">SECRETARIA DE OBRAS E DESENVOLVIMENTO URBANO
</t>
    </r>
  </si>
  <si>
    <t>Objeto</t>
  </si>
  <si>
    <t>REMANESCENTE DE OBRA PARA CONSTRUÇÃO DA ESCOLA ESTADUAL DO PARQUE RESIDENCIAL PORTO BELO</t>
  </si>
  <si>
    <t>Endereço:</t>
  </si>
  <si>
    <t>RUA JOSÉ GOMES, PARQUE RESIDENCIAL PORTO BELO</t>
  </si>
  <si>
    <t>Local e Data da Elaboração:</t>
  </si>
  <si>
    <t>PORTO FERREIRA – SP</t>
  </si>
  <si>
    <t>Fonte:</t>
  </si>
  <si>
    <t>FDE OUTUBRO 2023</t>
  </si>
  <si>
    <t>BDI:</t>
  </si>
  <si>
    <t>ITEM</t>
  </si>
  <si>
    <t>FONTE</t>
  </si>
  <si>
    <t>CÓD.</t>
  </si>
  <si>
    <t>REFORMA E REPAROS EM PONTES DO MUNICÍPIO</t>
  </si>
  <si>
    <t>UNID</t>
  </si>
  <si>
    <t>QUANT.</t>
  </si>
  <si>
    <t>P UNIT S/ BDI</t>
  </si>
  <si>
    <t>BDI</t>
  </si>
  <si>
    <t>P UNIT C/ BDI</t>
  </si>
  <si>
    <t>PREÇO TOTAL COM BDI</t>
  </si>
  <si>
    <t>01.00.000</t>
  </si>
  <si>
    <t>SERVICOS PRELIMINARES</t>
  </si>
  <si>
    <t>1.1</t>
  </si>
  <si>
    <t>01.01.000</t>
  </si>
  <si>
    <t>LIMPEZA DO TERRENO</t>
  </si>
  <si>
    <t>1.1.1</t>
  </si>
  <si>
    <t>FDE</t>
  </si>
  <si>
    <t>01.01.001</t>
  </si>
  <si>
    <t>1.2</t>
  </si>
  <si>
    <t>01.03.000</t>
  </si>
  <si>
    <t>MOVIMENTO DE TERRA MECANIZADO</t>
  </si>
  <si>
    <t>1.2.1</t>
  </si>
  <si>
    <t>01.03.001</t>
  </si>
  <si>
    <t>1.2.2</t>
  </si>
  <si>
    <t>01.03.002</t>
  </si>
  <si>
    <t>1.2.3</t>
  </si>
  <si>
    <t>01.03.005</t>
  </si>
  <si>
    <t>02.00.000</t>
  </si>
  <si>
    <t>INFRA ESTRUTURA</t>
  </si>
  <si>
    <t>2.1</t>
  </si>
  <si>
    <t>02.01.000</t>
  </si>
  <si>
    <t>ESCAVACAO</t>
  </si>
  <si>
    <t>2.1.1</t>
  </si>
  <si>
    <t>02.01.001</t>
  </si>
  <si>
    <t>2.1.2</t>
  </si>
  <si>
    <t>02.01.010</t>
  </si>
  <si>
    <t>2.1.3</t>
  </si>
  <si>
    <t>02.01.012</t>
  </si>
  <si>
    <t>2.1.4</t>
  </si>
  <si>
    <t>02.01.015</t>
  </si>
  <si>
    <t>2.1.5</t>
  </si>
  <si>
    <t>02.01.025</t>
  </si>
  <si>
    <t>2.2</t>
  </si>
  <si>
    <t>02.02.000</t>
  </si>
  <si>
    <t>FUNDACAO PROFUNDA</t>
  </si>
  <si>
    <t>2.2.1</t>
  </si>
  <si>
    <t>02.02.021</t>
  </si>
  <si>
    <t>2.2.2</t>
  </si>
  <si>
    <t>02.02.026</t>
  </si>
  <si>
    <t>2.2.3</t>
  </si>
  <si>
    <t>02.02.070</t>
  </si>
  <si>
    <t>2.2.4</t>
  </si>
  <si>
    <t>02.02.071</t>
  </si>
  <si>
    <t>2.2.5</t>
  </si>
  <si>
    <t>02.02.072</t>
  </si>
  <si>
    <t>2.2.6</t>
  </si>
  <si>
    <t>02.02.085</t>
  </si>
  <si>
    <t>2.3</t>
  </si>
  <si>
    <t>02.03.000</t>
  </si>
  <si>
    <t>FORMA</t>
  </si>
  <si>
    <t>2.3.1</t>
  </si>
  <si>
    <t>02.03.001</t>
  </si>
  <si>
    <t>2.4</t>
  </si>
  <si>
    <t>02.04.000</t>
  </si>
  <si>
    <t>ARMADURA</t>
  </si>
  <si>
    <t>2.4.1</t>
  </si>
  <si>
    <t>02.04.002</t>
  </si>
  <si>
    <t>2.4.2</t>
  </si>
  <si>
    <t>02.04.003</t>
  </si>
  <si>
    <t>2.5</t>
  </si>
  <si>
    <t>02.05.000</t>
  </si>
  <si>
    <t>CONCRETO</t>
  </si>
  <si>
    <t>2.5.1</t>
  </si>
  <si>
    <t>02.05.018</t>
  </si>
  <si>
    <t>2.5.2</t>
  </si>
  <si>
    <t>02.05.050</t>
  </si>
  <si>
    <t>2.6</t>
  </si>
  <si>
    <t>02.06.000</t>
  </si>
  <si>
    <t>EMBASAMENTO</t>
  </si>
  <si>
    <t>2.6.1</t>
  </si>
  <si>
    <t>02.06.003</t>
  </si>
  <si>
    <t>2.7</t>
  </si>
  <si>
    <t>02.07.000</t>
  </si>
  <si>
    <t>IMPERMEABILIZACOES</t>
  </si>
  <si>
    <t>2.7.1</t>
  </si>
  <si>
    <t>02.07.001</t>
  </si>
  <si>
    <t>03.00.000</t>
  </si>
  <si>
    <t>SUPER ESTRUTURA</t>
  </si>
  <si>
    <t>3.1</t>
  </si>
  <si>
    <t>03.01.000</t>
  </si>
  <si>
    <t>3.1.1</t>
  </si>
  <si>
    <t>03.01.002</t>
  </si>
  <si>
    <t>3.2</t>
  </si>
  <si>
    <t>03.02.000</t>
  </si>
  <si>
    <t>3.2.1</t>
  </si>
  <si>
    <t>03.02.002</t>
  </si>
  <si>
    <t>3.2.2</t>
  </si>
  <si>
    <t>03.02.005</t>
  </si>
  <si>
    <t>3.2.3</t>
  </si>
  <si>
    <t>03.02.010</t>
  </si>
  <si>
    <t>3.2.4</t>
  </si>
  <si>
    <t>03.02.020</t>
  </si>
  <si>
    <t>3.2.5</t>
  </si>
  <si>
    <t>03.02.022</t>
  </si>
  <si>
    <t>3.3</t>
  </si>
  <si>
    <t>03.03.000</t>
  </si>
  <si>
    <t>3.3.1</t>
  </si>
  <si>
    <t>03.03.026</t>
  </si>
  <si>
    <t>3.3.2</t>
  </si>
  <si>
    <t>03.03.034</t>
  </si>
  <si>
    <t>3.3.3</t>
  </si>
  <si>
    <t>03.03.036</t>
  </si>
  <si>
    <t>3.3.4</t>
  </si>
  <si>
    <t>03.03.037</t>
  </si>
  <si>
    <t>3.3.5</t>
  </si>
  <si>
    <t>03.03.095</t>
  </si>
  <si>
    <t>3.3.6</t>
  </si>
  <si>
    <t>03.03.098</t>
  </si>
  <si>
    <t>3.4</t>
  </si>
  <si>
    <t>03.04.000</t>
  </si>
  <si>
    <t>ESTRUTURA METÁLICA</t>
  </si>
  <si>
    <t>3.4.1</t>
  </si>
  <si>
    <t>03.04.010</t>
  </si>
  <si>
    <t>04.00.000</t>
  </si>
  <si>
    <t>ALVENARIA E OUTROS ELEMENTOS DIVISÓRIAS</t>
  </si>
  <si>
    <t>4.1</t>
  </si>
  <si>
    <t>04.01.000</t>
  </si>
  <si>
    <t>ALVENARIA</t>
  </si>
  <si>
    <t>4.1.1</t>
  </si>
  <si>
    <t>04.01.033</t>
  </si>
  <si>
    <t>4.1.2</t>
  </si>
  <si>
    <t>04.01.034</t>
  </si>
  <si>
    <t>4.1.3</t>
  </si>
  <si>
    <t>04.01.045</t>
  </si>
  <si>
    <t>4.1.4</t>
  </si>
  <si>
    <t>04.01.046</t>
  </si>
  <si>
    <t>4.1.5</t>
  </si>
  <si>
    <t>04.01.049</t>
  </si>
  <si>
    <t>4.1.6</t>
  </si>
  <si>
    <t>04.01.064</t>
  </si>
  <si>
    <t>4.2</t>
  </si>
  <si>
    <t>04.03.000</t>
  </si>
  <si>
    <t>PLACAS DIVISÓRIAS</t>
  </si>
  <si>
    <t>4.2.1</t>
  </si>
  <si>
    <t>04.03.001</t>
  </si>
  <si>
    <t>4.2.2</t>
  </si>
  <si>
    <t>04.03.002</t>
  </si>
  <si>
    <t>4.2.3</t>
  </si>
  <si>
    <t>04.03.003</t>
  </si>
  <si>
    <t>4.2.4</t>
  </si>
  <si>
    <t>04.03.008</t>
  </si>
  <si>
    <t>4.2.5</t>
  </si>
  <si>
    <t>04.03.023</t>
  </si>
  <si>
    <t>05.00.000</t>
  </si>
  <si>
    <t>ELEMENTOS DE MADEIRA/COMPONENTES ESPECIAIS</t>
  </si>
  <si>
    <t>5.1</t>
  </si>
  <si>
    <t>05.01.000</t>
  </si>
  <si>
    <t>PORTAS/BATENTES/FERRAGENS</t>
  </si>
  <si>
    <t>5.1.1</t>
  </si>
  <si>
    <t>05.01.001</t>
  </si>
  <si>
    <t>5.1.2</t>
  </si>
  <si>
    <t>05.01.002</t>
  </si>
  <si>
    <t>5.1.3</t>
  </si>
  <si>
    <t>05.01.028</t>
  </si>
  <si>
    <t>5.1.4</t>
  </si>
  <si>
    <t>05.01.029</t>
  </si>
  <si>
    <t>5.1.5</t>
  </si>
  <si>
    <t>05.01.048</t>
  </si>
  <si>
    <t>5.1.6</t>
  </si>
  <si>
    <t>05.01.051</t>
  </si>
  <si>
    <t>5.1.7</t>
  </si>
  <si>
    <t>05.01.070</t>
  </si>
  <si>
    <t>5.2</t>
  </si>
  <si>
    <t>05.05.000</t>
  </si>
  <si>
    <t>OUTROS COMPONENTES PADRONIZADOS</t>
  </si>
  <si>
    <t>5.2.1</t>
  </si>
  <si>
    <t>05.05.040</t>
  </si>
  <si>
    <t>5.2.2</t>
  </si>
  <si>
    <t>05.05.053</t>
  </si>
  <si>
    <t>5.2.3</t>
  </si>
  <si>
    <t>05.05.054</t>
  </si>
  <si>
    <t>5.2.4</t>
  </si>
  <si>
    <t>05.05.055</t>
  </si>
  <si>
    <t>5.2.5</t>
  </si>
  <si>
    <t>05.05.060</t>
  </si>
  <si>
    <t>5.2.6</t>
  </si>
  <si>
    <t>05.05.061</t>
  </si>
  <si>
    <t>5.2.7</t>
  </si>
  <si>
    <t>05.05.062</t>
  </si>
  <si>
    <t>5.2.8</t>
  </si>
  <si>
    <t>05.05.064</t>
  </si>
  <si>
    <t>5.2.9</t>
  </si>
  <si>
    <t>05.05.067</t>
  </si>
  <si>
    <t>5.2.10</t>
  </si>
  <si>
    <t>05.05.068</t>
  </si>
  <si>
    <t>5.2.11</t>
  </si>
  <si>
    <t>05.05.069</t>
  </si>
  <si>
    <t>5.2.12</t>
  </si>
  <si>
    <t>05.05.075</t>
  </si>
  <si>
    <t>5.2.13</t>
  </si>
  <si>
    <t>05.05.078</t>
  </si>
  <si>
    <t>5.2.14</t>
  </si>
  <si>
    <t>05.05.080</t>
  </si>
  <si>
    <t>5.2.15</t>
  </si>
  <si>
    <t>05.05.086</t>
  </si>
  <si>
    <t>5.2.16</t>
  </si>
  <si>
    <t>05.05.089</t>
  </si>
  <si>
    <t>5.2.17</t>
  </si>
  <si>
    <t>05.05.090</t>
  </si>
  <si>
    <t>5.2.18</t>
  </si>
  <si>
    <t>05.05.101</t>
  </si>
  <si>
    <t>5.2.19</t>
  </si>
  <si>
    <t>05.05.103</t>
  </si>
  <si>
    <t>5.2.20</t>
  </si>
  <si>
    <t>05.05.104</t>
  </si>
  <si>
    <t>06.00.000</t>
  </si>
  <si>
    <t>ELEMENTOS METALICOS/COMPONENTES ESPECIAIS</t>
  </si>
  <si>
    <t>6.1</t>
  </si>
  <si>
    <t>06.01.000</t>
  </si>
  <si>
    <t>ESQUADRIAS METALICAS</t>
  </si>
  <si>
    <t>6.1.1</t>
  </si>
  <si>
    <t>06.01.001</t>
  </si>
  <si>
    <t>6.1.2</t>
  </si>
  <si>
    <t>06.01.002</t>
  </si>
  <si>
    <t>6.1.3</t>
  </si>
  <si>
    <t>06.01.003</t>
  </si>
  <si>
    <t>6.1.4</t>
  </si>
  <si>
    <t>06.01.004</t>
  </si>
  <si>
    <t>6.1.5</t>
  </si>
  <si>
    <t>06.01.005</t>
  </si>
  <si>
    <t>6.1.6</t>
  </si>
  <si>
    <t>06.01.006</t>
  </si>
  <si>
    <t>6.1.7</t>
  </si>
  <si>
    <t>06.01.017</t>
  </si>
  <si>
    <t>6.1.8</t>
  </si>
  <si>
    <t>06.01.022</t>
  </si>
  <si>
    <t>6.1.9</t>
  </si>
  <si>
    <t>06.01.023</t>
  </si>
  <si>
    <t>6.1.10</t>
  </si>
  <si>
    <t>06.01.025</t>
  </si>
  <si>
    <t>6.1.11</t>
  </si>
  <si>
    <t>06.01.040</t>
  </si>
  <si>
    <t>6.2</t>
  </si>
  <si>
    <t>06.02.000</t>
  </si>
  <si>
    <t>PORTAS</t>
  </si>
  <si>
    <t>6.2.1</t>
  </si>
  <si>
    <t>06.02.010</t>
  </si>
  <si>
    <t>6.2.2</t>
  </si>
  <si>
    <t>06.02.015</t>
  </si>
  <si>
    <t>6.2.3</t>
  </si>
  <si>
    <t>06.02.016</t>
  </si>
  <si>
    <t>6.2.4</t>
  </si>
  <si>
    <t>06.02.019</t>
  </si>
  <si>
    <t>6.2.5</t>
  </si>
  <si>
    <t>06.02.032</t>
  </si>
  <si>
    <t>6.2.6</t>
  </si>
  <si>
    <t>06.02.046</t>
  </si>
  <si>
    <t>6.2.7</t>
  </si>
  <si>
    <t>06.02.049</t>
  </si>
  <si>
    <t>6.2.8</t>
  </si>
  <si>
    <t>06.02.053</t>
  </si>
  <si>
    <t>6.2.9</t>
  </si>
  <si>
    <t>06.02.061</t>
  </si>
  <si>
    <t>6.2.10</t>
  </si>
  <si>
    <t>06.02.094</t>
  </si>
  <si>
    <t>6.3</t>
  </si>
  <si>
    <t>06.03.000</t>
  </si>
  <si>
    <t>OUTROS ELEMENTOS METALICOS</t>
  </si>
  <si>
    <t>6.3.1</t>
  </si>
  <si>
    <t>06.03.001</t>
  </si>
  <si>
    <t>6.3.2</t>
  </si>
  <si>
    <t>06.03.017</t>
  </si>
  <si>
    <t>6.3.3</t>
  </si>
  <si>
    <t>06.03.018</t>
  </si>
  <si>
    <t>6.3.4</t>
  </si>
  <si>
    <t>06.03.019</t>
  </si>
  <si>
    <t>6.3.5</t>
  </si>
  <si>
    <t>06.03.020</t>
  </si>
  <si>
    <t>6.3.6</t>
  </si>
  <si>
    <t>06.03.024</t>
  </si>
  <si>
    <t>6.3.7</t>
  </si>
  <si>
    <t>06.03.100</t>
  </si>
  <si>
    <t>6.3.8</t>
  </si>
  <si>
    <t>06.03.106</t>
  </si>
  <si>
    <t>07.00.000</t>
  </si>
  <si>
    <t>COBERTURA</t>
  </si>
  <si>
    <t>7.1</t>
  </si>
  <si>
    <t>07.02.000</t>
  </si>
  <si>
    <t>ESTRUTURA DE COBERTURA METALICA</t>
  </si>
  <si>
    <t>7.1.1</t>
  </si>
  <si>
    <t>07.02.004</t>
  </si>
  <si>
    <t>7.2</t>
  </si>
  <si>
    <t>07.03.000</t>
  </si>
  <si>
    <t>7.2.1</t>
  </si>
  <si>
    <t>07.03.065</t>
  </si>
  <si>
    <t>7.2.2</t>
  </si>
  <si>
    <t>07.03.133</t>
  </si>
  <si>
    <t>7.2.3</t>
  </si>
  <si>
    <t>07.03.138</t>
  </si>
  <si>
    <t>7.3</t>
  </si>
  <si>
    <t>07.04.000</t>
  </si>
  <si>
    <t>PECAS PARA COBERTURA</t>
  </si>
  <si>
    <t>7.3.1</t>
  </si>
  <si>
    <t>07.04.037</t>
  </si>
  <si>
    <t>7.3.2</t>
  </si>
  <si>
    <t>07.04.042</t>
  </si>
  <si>
    <t>7.4</t>
  </si>
  <si>
    <t>07.05.000</t>
  </si>
  <si>
    <t>FECHAMENTOS / VEDACOES / PECAS PARA COBERTURA</t>
  </si>
  <si>
    <t>7.4.1</t>
  </si>
  <si>
    <t>07.05.007</t>
  </si>
  <si>
    <t>7.4.2</t>
  </si>
  <si>
    <t>07.05.008</t>
  </si>
  <si>
    <t>08.00.000</t>
  </si>
  <si>
    <t>INSTALAÇÕES HIDRAULICAS</t>
  </si>
  <si>
    <t>8.1</t>
  </si>
  <si>
    <t>08.01.000</t>
  </si>
  <si>
    <t>CAVALETE E ABRIGO</t>
  </si>
  <si>
    <t>8.1.1</t>
  </si>
  <si>
    <t>08.01.002</t>
  </si>
  <si>
    <t>8.2</t>
  </si>
  <si>
    <t>08.02.000</t>
  </si>
  <si>
    <t>ABRIGO E REDE DE GAS</t>
  </si>
  <si>
    <t>8.2.1</t>
  </si>
  <si>
    <t>08.02.003</t>
  </si>
  <si>
    <t>8.2.2</t>
  </si>
  <si>
    <t>08.02.016</t>
  </si>
  <si>
    <t>8.2.3</t>
  </si>
  <si>
    <t>08.02.021</t>
  </si>
  <si>
    <t>8.2.4</t>
  </si>
  <si>
    <t>08.02.041</t>
  </si>
  <si>
    <t>8.3</t>
  </si>
  <si>
    <t>08.03.000</t>
  </si>
  <si>
    <t>REDE DE AGUA FRIA: TUBULACOES</t>
  </si>
  <si>
    <t>8.3.1</t>
  </si>
  <si>
    <t>08.03.002</t>
  </si>
  <si>
    <t>8.3.2</t>
  </si>
  <si>
    <t>08.03.003</t>
  </si>
  <si>
    <t>8.3.3</t>
  </si>
  <si>
    <t>08.03.016</t>
  </si>
  <si>
    <t>8.3.4</t>
  </si>
  <si>
    <t>08.03.017</t>
  </si>
  <si>
    <t>8.3.5</t>
  </si>
  <si>
    <t>08.03.018</t>
  </si>
  <si>
    <t>8.3.6</t>
  </si>
  <si>
    <t>08.03.019</t>
  </si>
  <si>
    <t>8.3.7</t>
  </si>
  <si>
    <t>08.03.020</t>
  </si>
  <si>
    <t>8.3.8</t>
  </si>
  <si>
    <t>08.03.021</t>
  </si>
  <si>
    <t>8.3.9</t>
  </si>
  <si>
    <t>08.03.022</t>
  </si>
  <si>
    <t>8.3.10</t>
  </si>
  <si>
    <t>08.03.099</t>
  </si>
  <si>
    <t>8.4</t>
  </si>
  <si>
    <t>08.04.000</t>
  </si>
  <si>
    <t>REDE DE AGUA FRIA: DEMAIS SERVICOS</t>
  </si>
  <si>
    <t>8.4.1</t>
  </si>
  <si>
    <t>08.04.005</t>
  </si>
  <si>
    <t>8.4.2</t>
  </si>
  <si>
    <t>08.04.006</t>
  </si>
  <si>
    <t>8.4.3</t>
  </si>
  <si>
    <t>08.04.022</t>
  </si>
  <si>
    <t>8.4.4</t>
  </si>
  <si>
    <t>08.04.023</t>
  </si>
  <si>
    <t>8.4.5</t>
  </si>
  <si>
    <t>08.04.032</t>
  </si>
  <si>
    <t>8.4.6</t>
  </si>
  <si>
    <t>08.04.044</t>
  </si>
  <si>
    <t>8.4.7</t>
  </si>
  <si>
    <t>08.04.054</t>
  </si>
  <si>
    <t>8.4.8</t>
  </si>
  <si>
    <t>08.04.099</t>
  </si>
  <si>
    <t>8.5</t>
  </si>
  <si>
    <t>08.07.000</t>
  </si>
  <si>
    <t>COMBATE A INCENDIO : TUBULACOES</t>
  </si>
  <si>
    <t>8.5.1</t>
  </si>
  <si>
    <t>08.07.002</t>
  </si>
  <si>
    <t>8.5.2</t>
  </si>
  <si>
    <t>08.07.003</t>
  </si>
  <si>
    <t>8.5.3</t>
  </si>
  <si>
    <t>08.07.010</t>
  </si>
  <si>
    <t>8.6</t>
  </si>
  <si>
    <t>08.08.000</t>
  </si>
  <si>
    <t>COMBATE A INCENDIO : DEMAIS SERVIÇOS</t>
  </si>
  <si>
    <t>8.6.1</t>
  </si>
  <si>
    <t>08.08.002</t>
  </si>
  <si>
    <t>8.6.2</t>
  </si>
  <si>
    <t>08.08.003</t>
  </si>
  <si>
    <t>8.6.3</t>
  </si>
  <si>
    <t>08.08.012</t>
  </si>
  <si>
    <t>8.6.4</t>
  </si>
  <si>
    <t>08.08.028</t>
  </si>
  <si>
    <t>8.6.5</t>
  </si>
  <si>
    <t>08.08.041</t>
  </si>
  <si>
    <t>8.6.6</t>
  </si>
  <si>
    <t>08.08.045</t>
  </si>
  <si>
    <t>8.6.7</t>
  </si>
  <si>
    <t>08.08.046</t>
  </si>
  <si>
    <t>8.6.8</t>
  </si>
  <si>
    <t>08.08.047</t>
  </si>
  <si>
    <t>8.6.9</t>
  </si>
  <si>
    <t>08.08.050</t>
  </si>
  <si>
    <t>8.6.10</t>
  </si>
  <si>
    <t>08.08.061</t>
  </si>
  <si>
    <t>8.6.11</t>
  </si>
  <si>
    <t>08.08.077</t>
  </si>
  <si>
    <t>8.7</t>
  </si>
  <si>
    <t>08.09.000</t>
  </si>
  <si>
    <t>REDE DE ESGOTO: TUBULACOES</t>
  </si>
  <si>
    <t>8.7.1</t>
  </si>
  <si>
    <t>08.09.001</t>
  </si>
  <si>
    <t>8.7.2</t>
  </si>
  <si>
    <t>08.09.002</t>
  </si>
  <si>
    <t>8.7.3</t>
  </si>
  <si>
    <t>08.09.003</t>
  </si>
  <si>
    <t>8.7.4</t>
  </si>
  <si>
    <t>08.09.015</t>
  </si>
  <si>
    <t>8.7.5</t>
  </si>
  <si>
    <t>08.09.016</t>
  </si>
  <si>
    <t>8.7.6</t>
  </si>
  <si>
    <t>08.09.017</t>
  </si>
  <si>
    <t>8.7.7</t>
  </si>
  <si>
    <t>08.09.018</t>
  </si>
  <si>
    <t>8.7.8</t>
  </si>
  <si>
    <t>08.09.019</t>
  </si>
  <si>
    <t>8.7.9</t>
  </si>
  <si>
    <t>08.09.099</t>
  </si>
  <si>
    <t>8.8</t>
  </si>
  <si>
    <t>08.10.000</t>
  </si>
  <si>
    <t>REDE DE ESGOTO: DEMAIS SERVICOS</t>
  </si>
  <si>
    <t>8.8.1</t>
  </si>
  <si>
    <t>08.10.048</t>
  </si>
  <si>
    <t>8.8.2</t>
  </si>
  <si>
    <t>08.10.099</t>
  </si>
  <si>
    <t>8.9</t>
  </si>
  <si>
    <t>08.11.000</t>
  </si>
  <si>
    <t>REDE DE AGUAS PLUVIAIS: TUBULACOES</t>
  </si>
  <si>
    <t>8.9.1</t>
  </si>
  <si>
    <t>08.11.004</t>
  </si>
  <si>
    <t>8.9.2</t>
  </si>
  <si>
    <t>08.11.005</t>
  </si>
  <si>
    <t>8.9.3</t>
  </si>
  <si>
    <t>08.11.051</t>
  </si>
  <si>
    <t>8.9.4</t>
  </si>
  <si>
    <t>08.11.053</t>
  </si>
  <si>
    <t>8.10</t>
  </si>
  <si>
    <t>08.12.000</t>
  </si>
  <si>
    <t>REDE DE AGUAS PLUVIAIS: DEMAIS SERVICOS</t>
  </si>
  <si>
    <t>8.10.1</t>
  </si>
  <si>
    <t>08.12.032</t>
  </si>
  <si>
    <t>8.10.2</t>
  </si>
  <si>
    <t>08.12.033</t>
  </si>
  <si>
    <t>8.10.3</t>
  </si>
  <si>
    <t>08.12.034</t>
  </si>
  <si>
    <t>8.10.4</t>
  </si>
  <si>
    <t>08.12.066</t>
  </si>
  <si>
    <t>8.10.5</t>
  </si>
  <si>
    <t>08.12.099</t>
  </si>
  <si>
    <t>8.11</t>
  </si>
  <si>
    <t>08.13.000</t>
  </si>
  <si>
    <t>RESERVATORIO: INSTALACOES - TUBULACOES</t>
  </si>
  <si>
    <t>8.11.1</t>
  </si>
  <si>
    <t>08.13.012</t>
  </si>
  <si>
    <t>8.11.2</t>
  </si>
  <si>
    <t>08.13.013</t>
  </si>
  <si>
    <t>8.11.3</t>
  </si>
  <si>
    <t>08.13.014</t>
  </si>
  <si>
    <t>8.11.4</t>
  </si>
  <si>
    <t>08.13.015</t>
  </si>
  <si>
    <t>8.11.5</t>
  </si>
  <si>
    <t>08.13.017</t>
  </si>
  <si>
    <t>8.11.6</t>
  </si>
  <si>
    <t>08.13.018</t>
  </si>
  <si>
    <t>8.12</t>
  </si>
  <si>
    <t>08.14.000</t>
  </si>
  <si>
    <t>RESERVATORIO: INSTALACOES - DEMAIS SERVICOS</t>
  </si>
  <si>
    <t>8.12.1</t>
  </si>
  <si>
    <t>08.14.003</t>
  </si>
  <si>
    <t>8.12.2</t>
  </si>
  <si>
    <t>08.14.004</t>
  </si>
  <si>
    <t>8.12.3</t>
  </si>
  <si>
    <t>08.14.005</t>
  </si>
  <si>
    <t>8.12.4</t>
  </si>
  <si>
    <t>08.14.006</t>
  </si>
  <si>
    <t>8.12.5</t>
  </si>
  <si>
    <t>08.14.008</t>
  </si>
  <si>
    <t>8.12.6</t>
  </si>
  <si>
    <t>08.14.016</t>
  </si>
  <si>
    <t>8.12.7</t>
  </si>
  <si>
    <t>08.14.018</t>
  </si>
  <si>
    <t>8.12.8</t>
  </si>
  <si>
    <t>08.14.028</t>
  </si>
  <si>
    <t>8.12.9</t>
  </si>
  <si>
    <t>08.14.031</t>
  </si>
  <si>
    <t>8.12.10</t>
  </si>
  <si>
    <t>08.14.037</t>
  </si>
  <si>
    <t>8.12.11</t>
  </si>
  <si>
    <t>08.14.046</t>
  </si>
  <si>
    <t>8.12.12</t>
  </si>
  <si>
    <t>08.14.073</t>
  </si>
  <si>
    <t>8.12.13</t>
  </si>
  <si>
    <t>08.14.074</t>
  </si>
  <si>
    <t>8.12.14</t>
  </si>
  <si>
    <t>08.14.085</t>
  </si>
  <si>
    <t>8.12.15</t>
  </si>
  <si>
    <t>08.14.086</t>
  </si>
  <si>
    <t>8.12.16</t>
  </si>
  <si>
    <t>08.14.087</t>
  </si>
  <si>
    <t>8.12.17</t>
  </si>
  <si>
    <t>08.14.099</t>
  </si>
  <si>
    <t>8.13</t>
  </si>
  <si>
    <t>08.15.000</t>
  </si>
  <si>
    <t>BEBEDOUROS,LAVATORIOS E MICTORIOS PADRONIZADOS</t>
  </si>
  <si>
    <t>8.13.1</t>
  </si>
  <si>
    <t>08.15.013</t>
  </si>
  <si>
    <t>8.13.2</t>
  </si>
  <si>
    <t>08.15.016</t>
  </si>
  <si>
    <t>8.13.3</t>
  </si>
  <si>
    <t>08.15.018</t>
  </si>
  <si>
    <t>8.13.4</t>
  </si>
  <si>
    <t>08.15.019</t>
  </si>
  <si>
    <t>8.13.5</t>
  </si>
  <si>
    <t>08.15.023</t>
  </si>
  <si>
    <t>8.14</t>
  </si>
  <si>
    <t>08.16.000</t>
  </si>
  <si>
    <t>LOUCAS</t>
  </si>
  <si>
    <t>8.14.1</t>
  </si>
  <si>
    <t>08.16.001</t>
  </si>
  <si>
    <t>8.14.2</t>
  </si>
  <si>
    <t>08.16.010</t>
  </si>
  <si>
    <t>8.14.3</t>
  </si>
  <si>
    <t>08.16.045</t>
  </si>
  <si>
    <t>8.14.4</t>
  </si>
  <si>
    <t>08.16.051</t>
  </si>
  <si>
    <t>8.14.5</t>
  </si>
  <si>
    <t>08.16.065</t>
  </si>
  <si>
    <t>8.14.6</t>
  </si>
  <si>
    <t>08.16.070</t>
  </si>
  <si>
    <t>8.14.7</t>
  </si>
  <si>
    <t>08.16.083</t>
  </si>
  <si>
    <t>8.14.8</t>
  </si>
  <si>
    <t>08.16.089</t>
  </si>
  <si>
    <t>8.14.9</t>
  </si>
  <si>
    <t>08.16.090</t>
  </si>
  <si>
    <t>8.14.10</t>
  </si>
  <si>
    <t>08.16.091</t>
  </si>
  <si>
    <t>8.14.11</t>
  </si>
  <si>
    <t>08.16.092</t>
  </si>
  <si>
    <t>8.14.12</t>
  </si>
  <si>
    <t>08.16.093</t>
  </si>
  <si>
    <t>8.14.13</t>
  </si>
  <si>
    <t>08.16.094</t>
  </si>
  <si>
    <t>8.15</t>
  </si>
  <si>
    <t>08.17.000</t>
  </si>
  <si>
    <t>APARELHOS E METAIS</t>
  </si>
  <si>
    <t>8.15.1</t>
  </si>
  <si>
    <t>08.17.037</t>
  </si>
  <si>
    <t>8.15.2</t>
  </si>
  <si>
    <t>08.17.058</t>
  </si>
  <si>
    <t>8.15.3</t>
  </si>
  <si>
    <t>08.17.080</t>
  </si>
  <si>
    <t>8.15.4</t>
  </si>
  <si>
    <t>08.17.081</t>
  </si>
  <si>
    <t>09.00.000</t>
  </si>
  <si>
    <t>INSTALACOES ELETRICAS</t>
  </si>
  <si>
    <t>9.1</t>
  </si>
  <si>
    <t>09.02.000</t>
  </si>
  <si>
    <t>ENTRADA EM BAIXA TENSAO</t>
  </si>
  <si>
    <t>9.1.1</t>
  </si>
  <si>
    <t>09.02.011</t>
  </si>
  <si>
    <t>9.1.2</t>
  </si>
  <si>
    <t>09.02.043</t>
  </si>
  <si>
    <t>9.1.3</t>
  </si>
  <si>
    <t>09.02.061</t>
  </si>
  <si>
    <t>9.1.4</t>
  </si>
  <si>
    <t>09.02.078</t>
  </si>
  <si>
    <t>9.1.5</t>
  </si>
  <si>
    <t>09.02.088</t>
  </si>
  <si>
    <t>9.1.6</t>
  </si>
  <si>
    <t>09.02.091</t>
  </si>
  <si>
    <t>9.1.7</t>
  </si>
  <si>
    <t>09.02.102</t>
  </si>
  <si>
    <t>9.2</t>
  </si>
  <si>
    <t>09.03.000</t>
  </si>
  <si>
    <t>ENTRADA: INTERLIGACAO AO QUADRO GERAL</t>
  </si>
  <si>
    <t>9.2.1</t>
  </si>
  <si>
    <t>09.03.007</t>
  </si>
  <si>
    <t>9.2.2</t>
  </si>
  <si>
    <t>09.03.009</t>
  </si>
  <si>
    <t>9.2.3</t>
  </si>
  <si>
    <t>09.03.015</t>
  </si>
  <si>
    <t>9.2.4</t>
  </si>
  <si>
    <t>09.03.046</t>
  </si>
  <si>
    <t>9.2.5</t>
  </si>
  <si>
    <t>09.03.047</t>
  </si>
  <si>
    <t>9.2.6</t>
  </si>
  <si>
    <t>09.03.048</t>
  </si>
  <si>
    <t>9.2.7</t>
  </si>
  <si>
    <t>09.03.049</t>
  </si>
  <si>
    <t>9.2.8</t>
  </si>
  <si>
    <t>09.03.052</t>
  </si>
  <si>
    <t>9.3</t>
  </si>
  <si>
    <t>09.04.000</t>
  </si>
  <si>
    <t>QUADRO GERAL</t>
  </si>
  <si>
    <t>9.3.1</t>
  </si>
  <si>
    <t>09.04.006</t>
  </si>
  <si>
    <t>9.3.2</t>
  </si>
  <si>
    <t>09.04.019</t>
  </si>
  <si>
    <t>9.3.3</t>
  </si>
  <si>
    <t>09.04.020</t>
  </si>
  <si>
    <t>9.3.4</t>
  </si>
  <si>
    <t>09.04.021</t>
  </si>
  <si>
    <t>9.3.5</t>
  </si>
  <si>
    <t>09.04.041</t>
  </si>
  <si>
    <t>9.3.6</t>
  </si>
  <si>
    <t>09.04.042</t>
  </si>
  <si>
    <t>9.3.7</t>
  </si>
  <si>
    <t>09.04.044</t>
  </si>
  <si>
    <t>9.3.8</t>
  </si>
  <si>
    <t>09.04.091</t>
  </si>
  <si>
    <t>9.4</t>
  </si>
  <si>
    <t>09.05.000</t>
  </si>
  <si>
    <t>REDE DE BAIXA TENSAO: DUTO/QUADROS PARCIAIS</t>
  </si>
  <si>
    <t>9.4.1</t>
  </si>
  <si>
    <t>09.05.002</t>
  </si>
  <si>
    <t>9.4.2</t>
  </si>
  <si>
    <t>09.05.003</t>
  </si>
  <si>
    <t>9.4.3</t>
  </si>
  <si>
    <t>09.05.004</t>
  </si>
  <si>
    <t>9.4.4</t>
  </si>
  <si>
    <t>09.05.005</t>
  </si>
  <si>
    <t>9.4.5</t>
  </si>
  <si>
    <t>09.05.006</t>
  </si>
  <si>
    <t>9.4.6</t>
  </si>
  <si>
    <t>09.05.013</t>
  </si>
  <si>
    <t>9.4.7</t>
  </si>
  <si>
    <t>09.05.014</t>
  </si>
  <si>
    <t>9.4.8</t>
  </si>
  <si>
    <t>09.05.015</t>
  </si>
  <si>
    <t>9.4.9</t>
  </si>
  <si>
    <t>09.05.016</t>
  </si>
  <si>
    <t>9.4.10</t>
  </si>
  <si>
    <t>09.05.040</t>
  </si>
  <si>
    <t>9.4.11</t>
  </si>
  <si>
    <t>09.05.042</t>
  </si>
  <si>
    <t>9.4.12</t>
  </si>
  <si>
    <t>09.05.045</t>
  </si>
  <si>
    <t>9.4.13</t>
  </si>
  <si>
    <t>09.05.047</t>
  </si>
  <si>
    <t>9.4.14</t>
  </si>
  <si>
    <t>09.05.069</t>
  </si>
  <si>
    <t>9.4.15</t>
  </si>
  <si>
    <t>09.05.070</t>
  </si>
  <si>
    <t>9.4.16</t>
  </si>
  <si>
    <t>09.05.073</t>
  </si>
  <si>
    <t>9.4.17</t>
  </si>
  <si>
    <t>09.05.074</t>
  </si>
  <si>
    <t>9.4.18</t>
  </si>
  <si>
    <t>09.05.077</t>
  </si>
  <si>
    <t>9.4.19</t>
  </si>
  <si>
    <t>09.05.087</t>
  </si>
  <si>
    <t>9.4.20</t>
  </si>
  <si>
    <t>09.05.092</t>
  </si>
  <si>
    <t>9.4.21</t>
  </si>
  <si>
    <t>09.05.093</t>
  </si>
  <si>
    <t>9.4.22</t>
  </si>
  <si>
    <t>09.05.096</t>
  </si>
  <si>
    <t>9.5</t>
  </si>
  <si>
    <t>09.06.000</t>
  </si>
  <si>
    <t>REDE DE BAIXA TENSAO: CAIXAS DE PASSAGEM</t>
  </si>
  <si>
    <t>9.5.1</t>
  </si>
  <si>
    <t>09.06.002</t>
  </si>
  <si>
    <t>9.5.2</t>
  </si>
  <si>
    <t>09.06.009</t>
  </si>
  <si>
    <t>9.5.3</t>
  </si>
  <si>
    <t>09.06.015</t>
  </si>
  <si>
    <t>9.5.4</t>
  </si>
  <si>
    <t>09.06.025</t>
  </si>
  <si>
    <t>9.5.5</t>
  </si>
  <si>
    <t>09.06.036</t>
  </si>
  <si>
    <t>9.5.6</t>
  </si>
  <si>
    <t>09.06.047</t>
  </si>
  <si>
    <t>9.6</t>
  </si>
  <si>
    <t>09.07.000</t>
  </si>
  <si>
    <t>REDE DE BAIXA TENSAO: ENFIACAO</t>
  </si>
  <si>
    <t>9.6.1</t>
  </si>
  <si>
    <t>09.07.003</t>
  </si>
  <si>
    <t>9.6.2</t>
  </si>
  <si>
    <t>09.07.004</t>
  </si>
  <si>
    <t>9.6.3</t>
  </si>
  <si>
    <t>09.07.006</t>
  </si>
  <si>
    <t>9.6.4</t>
  </si>
  <si>
    <t>09.07.011</t>
  </si>
  <si>
    <t>9.6.5</t>
  </si>
  <si>
    <t>09.07.012</t>
  </si>
  <si>
    <t>9.6.6</t>
  </si>
  <si>
    <t>09.07.013</t>
  </si>
  <si>
    <t>9.7</t>
  </si>
  <si>
    <t>09.08.000</t>
  </si>
  <si>
    <t>PONTOS DE: INTERRUPTORES E TOMADAS</t>
  </si>
  <si>
    <t>9.7.1</t>
  </si>
  <si>
    <t>09.08.055</t>
  </si>
  <si>
    <t>9.7.2</t>
  </si>
  <si>
    <t>09.08.067</t>
  </si>
  <si>
    <t>9.7.3</t>
  </si>
  <si>
    <t>09.08.069</t>
  </si>
  <si>
    <t>9.7.4</t>
  </si>
  <si>
    <t>09.08.070</t>
  </si>
  <si>
    <t>9.7.5</t>
  </si>
  <si>
    <t>09.08.075</t>
  </si>
  <si>
    <t>9.7.6</t>
  </si>
  <si>
    <t>09.08.079</t>
  </si>
  <si>
    <t>9.7.7</t>
  </si>
  <si>
    <t>09.08.081</t>
  </si>
  <si>
    <t>9.7.8</t>
  </si>
  <si>
    <t>09.08.083</t>
  </si>
  <si>
    <t>9.7.9</t>
  </si>
  <si>
    <t>09.08.084</t>
  </si>
  <si>
    <t>9.7.10</t>
  </si>
  <si>
    <t>09.08.085</t>
  </si>
  <si>
    <t>9.7.11</t>
  </si>
  <si>
    <t>09.08.086</t>
  </si>
  <si>
    <t>9.7.12</t>
  </si>
  <si>
    <t>09.08.087</t>
  </si>
  <si>
    <t>9.8</t>
  </si>
  <si>
    <t>09.09.000</t>
  </si>
  <si>
    <t>LUMINARIAS INTERNAS</t>
  </si>
  <si>
    <t>9.8.1</t>
  </si>
  <si>
    <t>09.09.034</t>
  </si>
  <si>
    <t>9.8.2</t>
  </si>
  <si>
    <t>09.09.036</t>
  </si>
  <si>
    <t>9.8.3</t>
  </si>
  <si>
    <t>09.09.037</t>
  </si>
  <si>
    <t>9.8.4</t>
  </si>
  <si>
    <t>09.09.044</t>
  </si>
  <si>
    <t>9.8.5</t>
  </si>
  <si>
    <t>09.09.046</t>
  </si>
  <si>
    <t>9.8.6</t>
  </si>
  <si>
    <t>09.09.051</t>
  </si>
  <si>
    <t>9.8.7</t>
  </si>
  <si>
    <t>09.09.052</t>
  </si>
  <si>
    <t>9.8.8</t>
  </si>
  <si>
    <t>09.09.060</t>
  </si>
  <si>
    <t>9.8.9</t>
  </si>
  <si>
    <t>09.09.061</t>
  </si>
  <si>
    <t>9.8.10</t>
  </si>
  <si>
    <t>09.09.065</t>
  </si>
  <si>
    <t>9.8.11</t>
  </si>
  <si>
    <t>09.09.074</t>
  </si>
  <si>
    <t>9.8.12</t>
  </si>
  <si>
    <t>09.09.083</t>
  </si>
  <si>
    <t>9.9</t>
  </si>
  <si>
    <t>09.10.000</t>
  </si>
  <si>
    <t>CENTRO DE LUZ</t>
  </si>
  <si>
    <t>9.9.1</t>
  </si>
  <si>
    <t>09.10.003</t>
  </si>
  <si>
    <t>9.9.2</t>
  </si>
  <si>
    <t>09.10.011</t>
  </si>
  <si>
    <t>9.10</t>
  </si>
  <si>
    <t>09.11.000</t>
  </si>
  <si>
    <t>ILUMINACAO EXTERNA</t>
  </si>
  <si>
    <t>9.10.1</t>
  </si>
  <si>
    <t>09.11.035</t>
  </si>
  <si>
    <t>9.10.2</t>
  </si>
  <si>
    <t>09.11.068</t>
  </si>
  <si>
    <t>9.10.3</t>
  </si>
  <si>
    <t>9.11</t>
  </si>
  <si>
    <t>09.12.000</t>
  </si>
  <si>
    <t>APARELHOS ELETRICOS</t>
  </si>
  <si>
    <t>9.11.1</t>
  </si>
  <si>
    <t>09.12.001</t>
  </si>
  <si>
    <t>9.12</t>
  </si>
  <si>
    <t>09.13.000</t>
  </si>
  <si>
    <t xml:space="preserve">PARA RAIOS </t>
  </si>
  <si>
    <t>9.12.1</t>
  </si>
  <si>
    <t>09.13.010</t>
  </si>
  <si>
    <t>9.12.2</t>
  </si>
  <si>
    <t>09.13.025</t>
  </si>
  <si>
    <t>9.12.3</t>
  </si>
  <si>
    <t>09.13.027</t>
  </si>
  <si>
    <t>9.12.4</t>
  </si>
  <si>
    <t>09.13.032</t>
  </si>
  <si>
    <t>9.12.5</t>
  </si>
  <si>
    <t>09.13.033</t>
  </si>
  <si>
    <t>9.12.6</t>
  </si>
  <si>
    <t>09.13.034</t>
  </si>
  <si>
    <t>9.12.7</t>
  </si>
  <si>
    <t>09.13.036</t>
  </si>
  <si>
    <t>9.12.8</t>
  </si>
  <si>
    <t>09.13.040</t>
  </si>
  <si>
    <t>10.00.000</t>
  </si>
  <si>
    <t>FORRO</t>
  </si>
  <si>
    <t>10.1</t>
  </si>
  <si>
    <t>10.01.000</t>
  </si>
  <si>
    <t>10.1.1</t>
  </si>
  <si>
    <t>10.01.076</t>
  </si>
  <si>
    <t>11.00.000</t>
  </si>
  <si>
    <t>IMPERMEABILIZACOES / JUNTAS DE DILATACAO</t>
  </si>
  <si>
    <t>11.1</t>
  </si>
  <si>
    <t>11.02.000</t>
  </si>
  <si>
    <t>IMPERMEABILIZACOES: LAJES, CALHAS, MARQUISES</t>
  </si>
  <si>
    <t>11.1.1</t>
  </si>
  <si>
    <t>11.02.026</t>
  </si>
  <si>
    <t>11.1.2</t>
  </si>
  <si>
    <t>11.02.066</t>
  </si>
  <si>
    <t>11.1.3</t>
  </si>
  <si>
    <t>11.02.067</t>
  </si>
  <si>
    <t>11.2</t>
  </si>
  <si>
    <t>11.03.000</t>
  </si>
  <si>
    <t>IMPERMEABILIZACOES: RESERVATORIOS D'AGUA</t>
  </si>
  <si>
    <t>11.2.1</t>
  </si>
  <si>
    <t>11.03.007</t>
  </si>
  <si>
    <t>11.2.2</t>
  </si>
  <si>
    <t>11.03.010</t>
  </si>
  <si>
    <t>11.3</t>
  </si>
  <si>
    <t>11.04.000</t>
  </si>
  <si>
    <t>JUNTAS DE DILATACAO</t>
  </si>
  <si>
    <t>11.3.1</t>
  </si>
  <si>
    <t>11.04.004</t>
  </si>
  <si>
    <t>12.00.000</t>
  </si>
  <si>
    <t>REVESTIMENTOS: TETO E PAREDE</t>
  </si>
  <si>
    <t>12.1</t>
  </si>
  <si>
    <t>12.01.000</t>
  </si>
  <si>
    <t>REVESTIMENTO DE TETO</t>
  </si>
  <si>
    <t>12.1.1</t>
  </si>
  <si>
    <t>12.01.001</t>
  </si>
  <si>
    <t>12.1.2</t>
  </si>
  <si>
    <t>12.01.006</t>
  </si>
  <si>
    <t>12.2</t>
  </si>
  <si>
    <t>12.02.000</t>
  </si>
  <si>
    <t>REVESTIMENTO DE PAREDES INTERNAS</t>
  </si>
  <si>
    <t>12.2.1</t>
  </si>
  <si>
    <t>12.02.002</t>
  </si>
  <si>
    <t>12.2.2</t>
  </si>
  <si>
    <t>12.02.005</t>
  </si>
  <si>
    <t>12.2.3</t>
  </si>
  <si>
    <t>12.02.006</t>
  </si>
  <si>
    <t>12.2.4</t>
  </si>
  <si>
    <t>12.02.009</t>
  </si>
  <si>
    <t>12.2.5</t>
  </si>
  <si>
    <t>12.02.036</t>
  </si>
  <si>
    <t>12.2.6</t>
  </si>
  <si>
    <t>12.02.043</t>
  </si>
  <si>
    <t>12.3</t>
  </si>
  <si>
    <t>12.04.000</t>
  </si>
  <si>
    <t>REVESTIMENTO DE PAREDES EXTERNAS</t>
  </si>
  <si>
    <t>12.3.1</t>
  </si>
  <si>
    <t>12.04.004</t>
  </si>
  <si>
    <t>12.3.2</t>
  </si>
  <si>
    <t>12.04.006</t>
  </si>
  <si>
    <t>13.00.000</t>
  </si>
  <si>
    <t>PISOS INTERNOS / RODAPES / PEITORIS</t>
  </si>
  <si>
    <t>13.1</t>
  </si>
  <si>
    <t>13.01.000</t>
  </si>
  <si>
    <t>LASTRO PARA PISOS E ENCHIMENTO DE REBAIXOS DE LAJES</t>
  </si>
  <si>
    <t>13.1.1</t>
  </si>
  <si>
    <t>13.01.004</t>
  </si>
  <si>
    <t>13.1.2</t>
  </si>
  <si>
    <t>13.01.006</t>
  </si>
  <si>
    <t>13.1.3</t>
  </si>
  <si>
    <t>13.01.017</t>
  </si>
  <si>
    <t>13.2</t>
  </si>
  <si>
    <t>13.02.000</t>
  </si>
  <si>
    <t>REVESTIMENTO DE PISOS</t>
  </si>
  <si>
    <t>13.2.1</t>
  </si>
  <si>
    <t>13.02.005</t>
  </si>
  <si>
    <t>13.2.2</t>
  </si>
  <si>
    <t>13.02.023</t>
  </si>
  <si>
    <t>13.2.3</t>
  </si>
  <si>
    <t>13.02.059</t>
  </si>
  <si>
    <t>13.2.4</t>
  </si>
  <si>
    <t>13.02.069</t>
  </si>
  <si>
    <t>13.3</t>
  </si>
  <si>
    <t>13.04.000</t>
  </si>
  <si>
    <t>REVESTIMENTO DE DEGRAUS</t>
  </si>
  <si>
    <t>13.3.1</t>
  </si>
  <si>
    <t>13.04.001</t>
  </si>
  <si>
    <t>13.4</t>
  </si>
  <si>
    <t>13.05.000</t>
  </si>
  <si>
    <t>REVESTIMENTO DE RODAPES</t>
  </si>
  <si>
    <t>13.4.1</t>
  </si>
  <si>
    <t>13.05.005</t>
  </si>
  <si>
    <t>13.4.2</t>
  </si>
  <si>
    <t>13.05.006</t>
  </si>
  <si>
    <t>13.4.3</t>
  </si>
  <si>
    <t>13.05.022</t>
  </si>
  <si>
    <t>13.5</t>
  </si>
  <si>
    <t>13.06.000</t>
  </si>
  <si>
    <t>REVESTIMENTO DE SOLEIRAS</t>
  </si>
  <si>
    <t>13.5.1</t>
  </si>
  <si>
    <t>13.06.075</t>
  </si>
  <si>
    <t>13.5.2</t>
  </si>
  <si>
    <t>13.06.083</t>
  </si>
  <si>
    <t>13.6</t>
  </si>
  <si>
    <t>13.07.000</t>
  </si>
  <si>
    <t>REVESTIMENTO DE PEITORIS</t>
  </si>
  <si>
    <t>13.6.1</t>
  </si>
  <si>
    <t>13.07.002</t>
  </si>
  <si>
    <t>14.00.000</t>
  </si>
  <si>
    <t>VIDROS</t>
  </si>
  <si>
    <t>14.1</t>
  </si>
  <si>
    <t>14.01.000</t>
  </si>
  <si>
    <t>14.1.1</t>
  </si>
  <si>
    <t>14.01.002</t>
  </si>
  <si>
    <t>14.1.2</t>
  </si>
  <si>
    <t>14.01.035</t>
  </si>
  <si>
    <t>14.2</t>
  </si>
  <si>
    <t>14.02.000</t>
  </si>
  <si>
    <t>ESPELHOS</t>
  </si>
  <si>
    <t>14.2.1</t>
  </si>
  <si>
    <t>14.02.001</t>
  </si>
  <si>
    <t>15.00.000</t>
  </si>
  <si>
    <t>PINTURA</t>
  </si>
  <si>
    <t>15.1</t>
  </si>
  <si>
    <t>15.01.000</t>
  </si>
  <si>
    <t>ESTRUTURA</t>
  </si>
  <si>
    <t>15.1.1</t>
  </si>
  <si>
    <t>15.01.004</t>
  </si>
  <si>
    <t>15.2</t>
  </si>
  <si>
    <t>15.02.000</t>
  </si>
  <si>
    <t>FORROS / PAREDES INTERNAS</t>
  </si>
  <si>
    <t>15.2.1</t>
  </si>
  <si>
    <t>15.02.005</t>
  </si>
  <si>
    <t>15.2.2</t>
  </si>
  <si>
    <t>15.02.019</t>
  </si>
  <si>
    <t>15.3</t>
  </si>
  <si>
    <t>15.03.000</t>
  </si>
  <si>
    <t>ESQUADRIAS</t>
  </si>
  <si>
    <t>15.3.1</t>
  </si>
  <si>
    <t>15.03.011</t>
  </si>
  <si>
    <t>15.3.2</t>
  </si>
  <si>
    <t>15.03.021</t>
  </si>
  <si>
    <t>15.3.3</t>
  </si>
  <si>
    <t>15.03.060</t>
  </si>
  <si>
    <t>15.4</t>
  </si>
  <si>
    <t>15.04.000</t>
  </si>
  <si>
    <t>EXTERNA</t>
  </si>
  <si>
    <t>15.4.1</t>
  </si>
  <si>
    <t>15.04.006</t>
  </si>
  <si>
    <t>16.00.000</t>
  </si>
  <si>
    <t>SERVICOS COMPLEMENTARES</t>
  </si>
  <si>
    <t>16.1</t>
  </si>
  <si>
    <t>16.01.000</t>
  </si>
  <si>
    <t>FECHO:MUROS/ALAMBRADOS/PORTOES</t>
  </si>
  <si>
    <t>16.1.1</t>
  </si>
  <si>
    <t>16.01.016</t>
  </si>
  <si>
    <t>16.1.2</t>
  </si>
  <si>
    <t>16.01.029</t>
  </si>
  <si>
    <t>16.1.3</t>
  </si>
  <si>
    <t>16.01.088</t>
  </si>
  <si>
    <t>16.1.4</t>
  </si>
  <si>
    <t>16.01.091</t>
  </si>
  <si>
    <t>16.1.5</t>
  </si>
  <si>
    <t>16.01.092</t>
  </si>
  <si>
    <t>16.1.6</t>
  </si>
  <si>
    <t>16.01.094</t>
  </si>
  <si>
    <t>16.2</t>
  </si>
  <si>
    <t>16.02.000</t>
  </si>
  <si>
    <t>PISOS</t>
  </si>
  <si>
    <t>16.2.1</t>
  </si>
  <si>
    <t>16.02.018</t>
  </si>
  <si>
    <t>16.2.2</t>
  </si>
  <si>
    <t>16.02.022</t>
  </si>
  <si>
    <t>16.2.3</t>
  </si>
  <si>
    <t>16.02.027</t>
  </si>
  <si>
    <t>16.2.4</t>
  </si>
  <si>
    <t>16.02.064</t>
  </si>
  <si>
    <t>16.2.5</t>
  </si>
  <si>
    <t>16.02.066</t>
  </si>
  <si>
    <t>16.2.6</t>
  </si>
  <si>
    <t>16.02.068</t>
  </si>
  <si>
    <t>16.2.7</t>
  </si>
  <si>
    <t>16.02.071</t>
  </si>
  <si>
    <t>16.3</t>
  </si>
  <si>
    <t>16.03.000</t>
  </si>
  <si>
    <t>GRAMADOS/PAISAGISMO</t>
  </si>
  <si>
    <t>16.3.1</t>
  </si>
  <si>
    <t>16.03.006</t>
  </si>
  <si>
    <t>16.3.2</t>
  </si>
  <si>
    <t>16.03.014</t>
  </si>
  <si>
    <t>16.3.3</t>
  </si>
  <si>
    <t>16.03.490</t>
  </si>
  <si>
    <t>16.3.4</t>
  </si>
  <si>
    <t>16.03.498</t>
  </si>
  <si>
    <t>16.4</t>
  </si>
  <si>
    <t>16.05.000</t>
  </si>
  <si>
    <t>ÁGUAS PLUVIAIS E DRENAGEM DE ACABAMENTO</t>
  </si>
  <si>
    <t>16.4.1</t>
  </si>
  <si>
    <t>16.05.004</t>
  </si>
  <si>
    <t>16.4.2</t>
  </si>
  <si>
    <t>16.05.012</t>
  </si>
  <si>
    <t>16.4.3</t>
  </si>
  <si>
    <t>16.05.032</t>
  </si>
  <si>
    <t>16.4.4</t>
  </si>
  <si>
    <t>16.05.036</t>
  </si>
  <si>
    <t>16.4.5</t>
  </si>
  <si>
    <t>16.05.045</t>
  </si>
  <si>
    <t>16.4.6</t>
  </si>
  <si>
    <t>16.05.048</t>
  </si>
  <si>
    <t>16.4.7</t>
  </si>
  <si>
    <t>16.05.052</t>
  </si>
  <si>
    <t>16.4.8</t>
  </si>
  <si>
    <t>16.05.058</t>
  </si>
  <si>
    <t>16.4.9</t>
  </si>
  <si>
    <t>16.05.064</t>
  </si>
  <si>
    <t>16.4.10</t>
  </si>
  <si>
    <t>16.05.065</t>
  </si>
  <si>
    <t>16.4.11</t>
  </si>
  <si>
    <t>16.05.066</t>
  </si>
  <si>
    <t>16.4.12</t>
  </si>
  <si>
    <t>16.05.067</t>
  </si>
  <si>
    <t>16.4.13</t>
  </si>
  <si>
    <t>16.05.075</t>
  </si>
  <si>
    <t>16.4.14</t>
  </si>
  <si>
    <t>16.05.099</t>
  </si>
  <si>
    <t>16.5</t>
  </si>
  <si>
    <t>16.06.000</t>
  </si>
  <si>
    <t>COMPLEMENTOS EXTERNOS/CANTEIRO DE OBRA/ALAMBRADO</t>
  </si>
  <si>
    <t>16.5.1</t>
  </si>
  <si>
    <t>16.06.022</t>
  </si>
  <si>
    <t>16.5.2</t>
  </si>
  <si>
    <t>16.06.023</t>
  </si>
  <si>
    <t>16.5.3</t>
  </si>
  <si>
    <t>16.06.024</t>
  </si>
  <si>
    <t>16.5.4</t>
  </si>
  <si>
    <t>16.06.051</t>
  </si>
  <si>
    <t>16.5.5</t>
  </si>
  <si>
    <t>16.06.085</t>
  </si>
  <si>
    <t>16.5.6</t>
  </si>
  <si>
    <t>16.06.086</t>
  </si>
  <si>
    <t>16.5.7</t>
  </si>
  <si>
    <t>16.06.087</t>
  </si>
  <si>
    <t>16.5.8</t>
  </si>
  <si>
    <t>16.06.090</t>
  </si>
  <si>
    <t>16.5.9</t>
  </si>
  <si>
    <t>16.06.091</t>
  </si>
  <si>
    <t>16.5.10</t>
  </si>
  <si>
    <t>16.06.092</t>
  </si>
  <si>
    <t>16.5.11</t>
  </si>
  <si>
    <t>16.06.093</t>
  </si>
  <si>
    <t>16.5.12</t>
  </si>
  <si>
    <t>16.06.101</t>
  </si>
  <si>
    <t>16.5.13</t>
  </si>
  <si>
    <t>16.06.103</t>
  </si>
  <si>
    <t>16.6</t>
  </si>
  <si>
    <t>16.07.000</t>
  </si>
  <si>
    <t>AREA EXTERNA : RECREACAO</t>
  </si>
  <si>
    <t>16.6.1</t>
  </si>
  <si>
    <t>16.07.012</t>
  </si>
  <si>
    <t>16.6.2</t>
  </si>
  <si>
    <t>16.07.040</t>
  </si>
  <si>
    <t>16.7</t>
  </si>
  <si>
    <t>16.08.000</t>
  </si>
  <si>
    <t>REDE E TRATAMENTO DE ESGOTO</t>
  </si>
  <si>
    <t>16.7.1</t>
  </si>
  <si>
    <t>16.08.026</t>
  </si>
  <si>
    <t>16.7.2</t>
  </si>
  <si>
    <t>16.08.027</t>
  </si>
  <si>
    <t>16.7.3</t>
  </si>
  <si>
    <t>16.08.028</t>
  </si>
  <si>
    <t>16.7.4</t>
  </si>
  <si>
    <t>16.08.037</t>
  </si>
  <si>
    <t>16.7.5</t>
  </si>
  <si>
    <t>16.08.038</t>
  </si>
  <si>
    <t>16.7.6</t>
  </si>
  <si>
    <t>16.08.040</t>
  </si>
  <si>
    <t>16.7.7</t>
  </si>
  <si>
    <t>16.08.041</t>
  </si>
  <si>
    <t>16.8</t>
  </si>
  <si>
    <t>16.11.000</t>
  </si>
  <si>
    <t>LIMPEZA FINAL</t>
  </si>
  <si>
    <t>16.8.1</t>
  </si>
  <si>
    <t>16.11.005</t>
  </si>
  <si>
    <t>16.9</t>
  </si>
  <si>
    <t>16.13.000</t>
  </si>
  <si>
    <t>MUROS DE ARRIMO - SERVICOS EM TERRA</t>
  </si>
  <si>
    <t>16.9.1</t>
  </si>
  <si>
    <t>16.13.001</t>
  </si>
  <si>
    <t>16.9.2</t>
  </si>
  <si>
    <t>16.13.010</t>
  </si>
  <si>
    <t>16.9.3</t>
  </si>
  <si>
    <t>16.13.015</t>
  </si>
  <si>
    <t>16.9.4</t>
  </si>
  <si>
    <t>16.13.025</t>
  </si>
  <si>
    <t>16.9.5</t>
  </si>
  <si>
    <t>16.13.026</t>
  </si>
  <si>
    <t>16.10</t>
  </si>
  <si>
    <t>16.14.000</t>
  </si>
  <si>
    <t>MUROS DE ARRIMO - CONCRETO ARMADO</t>
  </si>
  <si>
    <t>16.10.1</t>
  </si>
  <si>
    <t>16.14.006</t>
  </si>
  <si>
    <t>16.10.2</t>
  </si>
  <si>
    <t>16.14.011</t>
  </si>
  <si>
    <t>16.10.3</t>
  </si>
  <si>
    <t>16.14.012</t>
  </si>
  <si>
    <t>16.10.4</t>
  </si>
  <si>
    <t>16.14.038</t>
  </si>
  <si>
    <t>16.10.5</t>
  </si>
  <si>
    <t>16.14.055</t>
  </si>
  <si>
    <t>16.11</t>
  </si>
  <si>
    <t>16.15.000</t>
  </si>
  <si>
    <t>MUROS DE ARRIMO - OUTROS SERVICOS</t>
  </si>
  <si>
    <t>16.11.1</t>
  </si>
  <si>
    <t>16.15.006</t>
  </si>
  <si>
    <t>16.11.2</t>
  </si>
  <si>
    <t>16.15.031</t>
  </si>
  <si>
    <t>16.12</t>
  </si>
  <si>
    <t>16.18.000</t>
  </si>
  <si>
    <t>SERVICOS COMPLEMENTARES - CIVIL</t>
  </si>
  <si>
    <t>16.12.1</t>
  </si>
  <si>
    <t>16.18.070</t>
  </si>
  <si>
    <t>16.12.2</t>
  </si>
  <si>
    <t>16.18.072</t>
  </si>
  <si>
    <t>16.12.3</t>
  </si>
  <si>
    <t>16.18.080</t>
  </si>
  <si>
    <t>16.12.4</t>
  </si>
  <si>
    <t>16.18.081</t>
  </si>
  <si>
    <t>16.13</t>
  </si>
  <si>
    <t>16.43.000</t>
  </si>
  <si>
    <t>FUROS EM CONCRETO</t>
  </si>
  <si>
    <t>16.13.1</t>
  </si>
  <si>
    <t>16.43.005</t>
  </si>
  <si>
    <t>16.14</t>
  </si>
  <si>
    <t>16.49.000</t>
  </si>
  <si>
    <t>SERVICOS ESPECIAIS PARA ESTRUTURA PRE-MOLDADA</t>
  </si>
  <si>
    <t>16.14.1</t>
  </si>
  <si>
    <t>16.49.001</t>
  </si>
  <si>
    <t>SUBTOTAL S/ BDI</t>
  </si>
  <si>
    <t>BDI 23%</t>
  </si>
  <si>
    <t>TOTAL</t>
  </si>
  <si>
    <t>Porto Ferreira, SP</t>
  </si>
  <si>
    <t>Alan Marcel Scarpa Baldassa</t>
  </si>
  <si>
    <t>Chefe de Divisão de Obras e Projetos</t>
  </si>
  <si>
    <t xml:space="preserve">CREA/SP 5063816119 </t>
  </si>
  <si>
    <t>Rômulo Luís de Lima Ripa</t>
  </si>
  <si>
    <t>Executivo Municipal</t>
  </si>
  <si>
    <t>ESTRUTURA METALICA</t>
  </si>
  <si>
    <t>ALVENARIA E OUTROS ELEMENTOS DIVISORIOS</t>
  </si>
  <si>
    <t>PLACAS DIVISORIAS</t>
  </si>
  <si>
    <t>INSTALACOES HIDRAULICAS</t>
  </si>
  <si>
    <t>09.01.011</t>
  </si>
  <si>
    <t>09.09.038</t>
  </si>
  <si>
    <t>09.09.086</t>
  </si>
  <si>
    <t>09.09.011</t>
  </si>
  <si>
    <t>09.09.018</t>
  </si>
  <si>
    <t>09.09.014</t>
  </si>
  <si>
    <t>09.09.041</t>
  </si>
  <si>
    <t>09.09.039</t>
  </si>
  <si>
    <t>09.09.048</t>
  </si>
  <si>
    <t>09.11.022</t>
  </si>
  <si>
    <t>09.11.043</t>
  </si>
  <si>
    <t>08.12.035</t>
  </si>
  <si>
    <t>16.05.030</t>
  </si>
  <si>
    <t>16.05.043</t>
  </si>
  <si>
    <t>Completo</t>
  </si>
  <si>
    <t>PREFEITURA DE PORTO FERREIRA
“A CAPITAL NACIONAL DA CERÂMICA ARTÍSTICA E DA DECORAÇÃO”
SECRETARIA DE OBRAS E DESENVOLVIMENTO URBANO</t>
  </si>
  <si>
    <t xml:space="preserve">OBJETO:  </t>
  </si>
  <si>
    <t>LOCAIS:</t>
  </si>
  <si>
    <t>CRONOGRAMA FÍSICO - FINANCEIRO</t>
  </si>
  <si>
    <t xml:space="preserve">DESCRIÇÃO DOS SERVIÇOS </t>
  </si>
  <si>
    <t>%</t>
  </si>
  <si>
    <t>CUSTO TOTAL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</si>
  <si>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</si>
  <si>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</si>
  <si>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</si>
  <si>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</si>
  <si>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</si>
  <si>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</si>
  <si>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</si>
  <si>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</si>
  <si>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</si>
  <si>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</si>
  <si>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TOTAL GERAL</t>
  </si>
  <si>
    <t>TOTAL ACUMULADO</t>
  </si>
  <si>
    <t>PREFEITURA DE SÃO BERNARDO DO CAMPO</t>
  </si>
  <si>
    <t>Processo:</t>
  </si>
  <si>
    <t>60257/08/A83</t>
  </si>
  <si>
    <t>PREVISTO</t>
  </si>
  <si>
    <t>SALDOS</t>
  </si>
  <si>
    <t>MEDIÇÃO ATUAL - 1ª MEDIÇÃO</t>
  </si>
  <si>
    <t>SECRETARIA</t>
  </si>
  <si>
    <t>Nota Empenho:</t>
  </si>
  <si>
    <t>Obra:</t>
  </si>
  <si>
    <t>Contratada:</t>
  </si>
  <si>
    <t>Medição nº</t>
  </si>
  <si>
    <t>LOGIC ENGENHARIA E CONSTRUÇÕES LTDA.</t>
  </si>
  <si>
    <t>Local:</t>
  </si>
  <si>
    <t>Fiscalização:</t>
  </si>
  <si>
    <t>Período:</t>
  </si>
  <si>
    <t>MEMÓRIA DE CÁLCULO</t>
  </si>
  <si>
    <t>CÓD. TAB. FDE</t>
  </si>
  <si>
    <t>DISCRIMINAÇÃO DE CÁLCULO</t>
  </si>
  <si>
    <t>UN.</t>
  </si>
  <si>
    <t>QUANTIDADE</t>
  </si>
  <si>
    <t>PARCIAL</t>
  </si>
  <si>
    <t>ACUMULADO</t>
  </si>
  <si>
    <t>REVISÃO DE ELETRICA</t>
  </si>
  <si>
    <t>=</t>
  </si>
  <si>
    <t>MEDIÇÕES ANTERIORES</t>
  </si>
  <si>
    <t>ELETRICA DA SALA DE AULA MANICURE - 02</t>
  </si>
  <si>
    <t>ELETRICA DA SALA DE AULA COMPUTAÇÃO</t>
  </si>
  <si>
    <t xml:space="preserve">ELETRICA DA SALA DE AULA CABELEIREIRO - 02 </t>
  </si>
  <si>
    <t>ELETRICA DAS LUMINÁRIAS</t>
  </si>
  <si>
    <t>M</t>
  </si>
  <si>
    <t>ELETRICA DOS VENTILADORES</t>
  </si>
  <si>
    <t>ALIMENTADORES QUADRO SALA CABELEIREIRA</t>
  </si>
  <si>
    <t>ILUMINAÇÃO DE EMERGÊNCIA</t>
  </si>
  <si>
    <t>TUBULAÇÃO ELÉTRICA</t>
  </si>
  <si>
    <t>CORREDOR DE ACESSO</t>
  </si>
  <si>
    <t xml:space="preserve">SALAS DE AULA DE MANICURE </t>
  </si>
  <si>
    <t>CORREDOR DE ACESSO/COPA/ALMOXARIF./DESPENSA/DIRET/SECRET</t>
  </si>
  <si>
    <t xml:space="preserve">SALAS DE AULA </t>
  </si>
  <si>
    <t>FIXAÇÃO DE LUMINÁRIAS</t>
  </si>
  <si>
    <t>REVISÃO GERAL DAS LUMINÁRIAS EXISTENTES</t>
  </si>
  <si>
    <t>FIXAÇÃO DE INSTALAÇÕES ELÉTRICAS ELETRODUTOS</t>
  </si>
  <si>
    <t>DO ITEM 168098 - ENTULHO</t>
  </si>
  <si>
    <t>X</t>
  </si>
  <si>
    <t>(m3)</t>
  </si>
  <si>
    <t>( km)</t>
  </si>
  <si>
    <t>(larg.)</t>
  </si>
  <si>
    <t>(comp.)</t>
  </si>
  <si>
    <t>COPA</t>
  </si>
  <si>
    <t>CORREDOR</t>
  </si>
  <si>
    <t>SALAS DE AULA - ALA ESQUERDA</t>
  </si>
  <si>
    <t>SALAS DE AULA - ALA direita</t>
  </si>
  <si>
    <t>ALMOXARIFADO</t>
  </si>
  <si>
    <t>DIRETORIA</t>
  </si>
  <si>
    <t>DESPENSA</t>
  </si>
  <si>
    <t>SANITÁRIOS</t>
  </si>
  <si>
    <t>M2</t>
  </si>
  <si>
    <t>SALAS DE AULA - FUNDOS</t>
  </si>
  <si>
    <t>(qtd)</t>
  </si>
  <si>
    <t>(peso)</t>
  </si>
  <si>
    <t>PORTÃO DE ACESSO</t>
  </si>
  <si>
    <t>GRADIL ABRIGO DE GÁS</t>
  </si>
  <si>
    <t>GRADIL ABRIGO FRONTAL</t>
  </si>
  <si>
    <t>GRADIL PROTEÇÃO DAS JANELAS</t>
  </si>
  <si>
    <t>KG</t>
  </si>
  <si>
    <t xml:space="preserve">DESMONTAGEM RESERVATÓRIO </t>
  </si>
  <si>
    <t>JANELAS</t>
  </si>
  <si>
    <t>QTD</t>
  </si>
  <si>
    <t>Largura (m)</t>
  </si>
  <si>
    <t>Altura (m)</t>
  </si>
  <si>
    <t xml:space="preserve">Cozinha </t>
  </si>
  <si>
    <t>x</t>
  </si>
  <si>
    <t xml:space="preserve">Despensa </t>
  </si>
  <si>
    <t>Almoxarifado</t>
  </si>
  <si>
    <t>Sala de aula - Ala esquerda</t>
  </si>
  <si>
    <t>Sala de aula - Ala direita</t>
  </si>
  <si>
    <t>Diretoria</t>
  </si>
  <si>
    <t>Secretaria</t>
  </si>
  <si>
    <t xml:space="preserve">Sanitarios </t>
  </si>
  <si>
    <t>PORTAS E GRADES</t>
  </si>
  <si>
    <t>Portão frente</t>
  </si>
  <si>
    <t>Portão lateral</t>
  </si>
  <si>
    <t>Grade - Abrigo frente</t>
  </si>
  <si>
    <t>Grade - Abrigo do gás</t>
  </si>
  <si>
    <t>Grade - Proteção das janelas</t>
  </si>
  <si>
    <t>AÇO P/ ALVENARIA SALA DE AULA CABELEIREIRA</t>
  </si>
  <si>
    <t>AÇO P / ALVEMARIA SOB A BANCADA DA COPA</t>
  </si>
  <si>
    <t>AÇO P / ALVEMARIA - ENTRADA DE ENERGIA</t>
  </si>
  <si>
    <t>BASE RESERVATÓRIO</t>
  </si>
  <si>
    <t>MURO LATERAL ESQUERDA</t>
  </si>
  <si>
    <t>GROUT P/ ALVENARIA SALA DE AULA CABELEIREIRA</t>
  </si>
  <si>
    <t>(qtd.)</t>
  </si>
  <si>
    <t>ALVENARIA SALA DE AULA CABELEIREIRA</t>
  </si>
  <si>
    <t xml:space="preserve">ALVENARIA SOB BANCADAS </t>
  </si>
  <si>
    <t>ALVENARIA - ENTRADA DE ENERGIA</t>
  </si>
  <si>
    <t>ALVENARIA - ENTRADA DE ENERGIA - PERPENDICULAR</t>
  </si>
  <si>
    <t>ALVENARIA - MURO LATERAL ESQUERDA</t>
  </si>
  <si>
    <t>(alt.)</t>
  </si>
  <si>
    <t>DIVISÓRIA SALÃO FUNDOS</t>
  </si>
  <si>
    <t>DIVISÓRIA SALA 01</t>
  </si>
  <si>
    <t>(esp.)</t>
  </si>
  <si>
    <t>CONCRETAGEM POSTE</t>
  </si>
  <si>
    <t>LAJE DE COBERTURA</t>
  </si>
  <si>
    <t xml:space="preserve">PILARETES DA ALVENARIA </t>
  </si>
  <si>
    <t>BALDRAME</t>
  </si>
  <si>
    <t xml:space="preserve">BASE RESERVATÓRIO </t>
  </si>
  <si>
    <t>PILARETES DA ALVENARIA</t>
  </si>
  <si>
    <t>DIVISÓRIA REMONTADA NA COPA</t>
  </si>
  <si>
    <t>DIVISÓRIA REMONTADA NA ÁREA DOS FUNDOS</t>
  </si>
  <si>
    <t>SALA DE AULA DOS FUNDOS - 01</t>
  </si>
  <si>
    <t>SALA DE AULA DOS FUNDOS - 02</t>
  </si>
  <si>
    <t>REMOÇÃO PORTA COPA</t>
  </si>
  <si>
    <t>REMOÇÃO DE DOBRADIÇAS</t>
  </si>
  <si>
    <t>REMOÇÃO DE FECHADURAS</t>
  </si>
  <si>
    <t>INSTALAÇÃO DE FECHADURA</t>
  </si>
  <si>
    <t>INSTALAÇÃO DE PORTA COPA</t>
  </si>
  <si>
    <t>REMOÇÃO DE VIDRO SALA 01</t>
  </si>
  <si>
    <t>ESQUADRIA DA COZINHA</t>
  </si>
  <si>
    <t xml:space="preserve">CUMEEIRA </t>
  </si>
  <si>
    <t>REVISÃO DO TELHADO</t>
  </si>
  <si>
    <t>RECOLOCAÇÃO DE TELHAS</t>
  </si>
  <si>
    <t>comp (ml)</t>
  </si>
  <si>
    <t>altura (m)</t>
  </si>
  <si>
    <t>TELAS ACIMA DO TELHADO</t>
  </si>
  <si>
    <t>REVISÃO DE TELHADO</t>
  </si>
  <si>
    <t>REDE DE ÁGUA DAS CADEIRAS DE CABELEIREIRO</t>
  </si>
  <si>
    <t>REDE DE ÁGUA INSTALAÇÕES PROVISÓRIAS</t>
  </si>
  <si>
    <t>CADEIRAS CABELEIREIRO</t>
  </si>
  <si>
    <t>REDE DE ÁGUA CADEIRAS CABELEIREIRO</t>
  </si>
  <si>
    <t>PROVISÓRIA RESERVATÓRIO</t>
  </si>
  <si>
    <t>TUBULAÇÃO DE ESGOTO</t>
  </si>
  <si>
    <t>PONTO BACIA SANITÁRIA</t>
  </si>
  <si>
    <t>TUBULAÇÃO DE AGUAS PLUVIAIS</t>
  </si>
  <si>
    <t>PRUMADAS DE ÁGUA PLUVIAL</t>
  </si>
  <si>
    <t>REDE DE ESGOTO CADEIRAS CABELEIREIRO</t>
  </si>
  <si>
    <t>CAIXAS DE INSPEÇÃO -  ESGOTO</t>
  </si>
  <si>
    <t>(lados)</t>
  </si>
  <si>
    <t>INSTALAÇÃO EXTERNA</t>
  </si>
  <si>
    <t>TUBULAÇÃO DA COZINHA NOVA</t>
  </si>
  <si>
    <t>INSTALAÇÃO RESERVATÓRIO</t>
  </si>
  <si>
    <t>CADEIRAS DE CABELEIREIRA</t>
  </si>
  <si>
    <t>PIA DE COZINHA</t>
  </si>
  <si>
    <t>TUBULAÇÕES DAS REDES DE AF DOS SANITÁRIOS</t>
  </si>
  <si>
    <t>TUBULAÇÕES DA REDE PROVISÓRIA</t>
  </si>
  <si>
    <t>TUBULAÇÕES SAÍDA DO RESERVATÓRIO METÁLICO</t>
  </si>
  <si>
    <t>BACIAS SANITÁRIAS</t>
  </si>
  <si>
    <t>LAVATÓRIOS</t>
  </si>
  <si>
    <t>TORNEIRA TANQUE</t>
  </si>
  <si>
    <t>TORNEIRAS LAVATÓRIOS</t>
  </si>
  <si>
    <t>TORNEIRAS DAS PIAS</t>
  </si>
  <si>
    <t>TANQUE</t>
  </si>
  <si>
    <t>PIAS</t>
  </si>
  <si>
    <t>RESERVATÓRIO NOVO</t>
  </si>
  <si>
    <t xml:space="preserve">COZINHA </t>
  </si>
  <si>
    <t>DO ITEM 8.17.30 COZINHA</t>
  </si>
  <si>
    <t>AZULEJOS DO TANQUE</t>
  </si>
  <si>
    <t>AZULEJOS SOBRE A PIA</t>
  </si>
  <si>
    <t>AZULEJOS SOBRE OS LAVATÓRIOS</t>
  </si>
  <si>
    <t>AZULEJOS PAREDE CADEIRAS CABELEIRERIRA</t>
  </si>
  <si>
    <t>PAREDES</t>
  </si>
  <si>
    <t>LADOS</t>
  </si>
  <si>
    <t>SALA DE AULA - TANQUE</t>
  </si>
  <si>
    <t>SANITÁRIO P/AZULEJO</t>
  </si>
  <si>
    <t>COZINHA FECHAMENTO DE PAREDE</t>
  </si>
  <si>
    <t>CHAPAS LIGAÇÃO DAS PLACAS</t>
  </si>
  <si>
    <t>ENTRADA DE ENERGIA - PAREDE FUNDOS</t>
  </si>
  <si>
    <t>ENTRADA ENERGIA - PAREDE PERPENDICULAR</t>
  </si>
  <si>
    <t>ENTRADA ENERGIA - COBERTURA</t>
  </si>
  <si>
    <t>ENTRADA ENERGIA - POSTE</t>
  </si>
  <si>
    <t>MURO LATERAL DIREITA</t>
  </si>
  <si>
    <t>Esp.</t>
  </si>
  <si>
    <t>ENTRADA DE ENERGIA - EXISTENTE</t>
  </si>
  <si>
    <t>TRINCAS NAS PAREDES LIMITROFES</t>
  </si>
  <si>
    <t>PAREDES INTERNAS</t>
  </si>
  <si>
    <t>PAREDES EXTERNAS</t>
  </si>
  <si>
    <t>LATERAL ESQUERDA</t>
  </si>
  <si>
    <t>LATERAL DIREITA</t>
  </si>
  <si>
    <t>FRONTAL</t>
  </si>
  <si>
    <t>ALTURA  TOTAL MÉDIA 17CM</t>
  </si>
  <si>
    <t xml:space="preserve">TOTAL </t>
  </si>
  <si>
    <t>CAIXAS DE INSPEÇÃO - AP E ELÉTRICA</t>
  </si>
  <si>
    <t>ABERTURA DE BASE RESERVATÓRIO</t>
  </si>
  <si>
    <t>ABERTURA PARA BASE ENTRADA DE ENERGIA</t>
  </si>
  <si>
    <t>(prof.)</t>
  </si>
  <si>
    <t>INSTALAÇÃO DE POSTE</t>
  </si>
  <si>
    <t>ABERTURA DE VALA BASE RESERVATÓRIO</t>
  </si>
  <si>
    <t>FECHAMENTO DE TELHAS NO TELHADO</t>
  </si>
  <si>
    <t>Chapas ligação placas cimentícias</t>
  </si>
  <si>
    <t xml:space="preserve">SANITÁRIO </t>
  </si>
  <si>
    <t>SALA DE AULA - ALA ESQUERDA</t>
  </si>
  <si>
    <t>PAREDES LIMITROFES</t>
  </si>
  <si>
    <t>PAREDES SANITÁRIOS</t>
  </si>
  <si>
    <t>(ml)</t>
  </si>
  <si>
    <t>FUNDOS</t>
  </si>
  <si>
    <t>MURO FRONTAL LATERAL</t>
  </si>
  <si>
    <t>MURO FRONTAL</t>
  </si>
  <si>
    <t>ENTRADA DE ENERGIA</t>
  </si>
  <si>
    <t>ENTRADA DE ENERGIA - LAJE</t>
  </si>
  <si>
    <t>'</t>
  </si>
  <si>
    <t>Sanitarios porta interna</t>
  </si>
  <si>
    <t>Corredor</t>
  </si>
  <si>
    <t>Sala de aula 2 - ao lado dos sanitarios</t>
  </si>
  <si>
    <t>Estrutura de madeira do telhado - sala dos fundos</t>
  </si>
  <si>
    <t>CALHA</t>
  </si>
  <si>
    <t>LIMPEZA DA OBRA</t>
  </si>
  <si>
    <t>ÁREA EXTERNAS</t>
  </si>
  <si>
    <t>LATERAL ESQUERDA (PISO)</t>
  </si>
  <si>
    <t>LATERAL DIREITA (PISO)</t>
  </si>
  <si>
    <t>FRONTAL (PISO)</t>
  </si>
  <si>
    <t>ÁREA EXTERNA</t>
  </si>
  <si>
    <t>LATERAL ESQUERDA (MURO)</t>
  </si>
  <si>
    <t>LATERAL DIREITA (MURO)</t>
  </si>
  <si>
    <t>FRONTAL (MURO)</t>
  </si>
  <si>
    <t>LIMPEZA FORRO</t>
  </si>
  <si>
    <t>do item 09.52.02 - poste</t>
  </si>
  <si>
    <t>m3</t>
  </si>
  <si>
    <t>do item 09.52.17 - fio embutido</t>
  </si>
  <si>
    <t>do item 10.60.01 - forro</t>
  </si>
  <si>
    <t>do item 03.40.30 - desmontagem estrutura metálica</t>
  </si>
  <si>
    <t>do item 05.60.01 - folha de porta</t>
  </si>
  <si>
    <t>do item 76.60.01 - telhas</t>
  </si>
  <si>
    <t>do item 76.06.50 - cumeeira</t>
  </si>
  <si>
    <t xml:space="preserve">do item 76.01.50 - caibro </t>
  </si>
  <si>
    <t>do item 76.01.60 - ripa</t>
  </si>
  <si>
    <t>do item 85.02.00 - calhas</t>
  </si>
  <si>
    <t>do item 12.60.01 - granito</t>
  </si>
  <si>
    <t>do item 12.50.02 - azulejos</t>
  </si>
  <si>
    <t>do item 02.50.03 - alvenaria</t>
  </si>
  <si>
    <t>do item 13.50.01 - demolição</t>
  </si>
  <si>
    <t>sub total</t>
  </si>
  <si>
    <t>ANDAIME</t>
  </si>
  <si>
    <t>*</t>
  </si>
  <si>
    <t>PREFEITURA   MUNICIPAL  DE  SÃO BERNARDO DO CAMPO</t>
  </si>
  <si>
    <t>SECRETARIA DE OBRAS</t>
  </si>
  <si>
    <t>DEPARTAMENTO DE PROJETOS E OBRAS PÚBLICAS</t>
  </si>
  <si>
    <t>NATUREZA DOS SERVIÇOS:</t>
  </si>
  <si>
    <t>CRAS ALVES DIAS</t>
  </si>
  <si>
    <t>LOCAL:</t>
  </si>
  <si>
    <t>DESCRIÇÃO</t>
  </si>
  <si>
    <t>PREÇO UNITÁRIO</t>
  </si>
  <si>
    <t>PREÇO TOTAL</t>
  </si>
  <si>
    <t>SERVIÇOS INICIAIS/ DEMOLIÇÕES</t>
  </si>
  <si>
    <t xml:space="preserve">CPOS </t>
  </si>
  <si>
    <t>04.03.040</t>
  </si>
  <si>
    <t>Retirada de telhamento perfil e material qualquer, exceto barro</t>
  </si>
  <si>
    <t>m2</t>
  </si>
  <si>
    <t>04.07.020</t>
  </si>
  <si>
    <t>Retirada de forro qualquer em placas ou tiras fixadas</t>
  </si>
  <si>
    <t>1.3</t>
  </si>
  <si>
    <t>03.02.040</t>
  </si>
  <si>
    <t>Demolição manual de alvenaria de elevação ou elemento vazado, incluindo revestimento</t>
  </si>
  <si>
    <t>1.4</t>
  </si>
  <si>
    <t>04.17.020</t>
  </si>
  <si>
    <t>Remoção de aparelho de iluminação ou projetor fixo em teto, piso ou parede</t>
  </si>
  <si>
    <t>Unid</t>
  </si>
  <si>
    <t>Subtotal</t>
  </si>
  <si>
    <t>VEDAÇÃO E ALVENARIA</t>
  </si>
  <si>
    <t>14.10.110</t>
  </si>
  <si>
    <t>Alvenaria de bloco de concreto de vedação, uso revestido, de 14 cm</t>
  </si>
  <si>
    <t>15.03.030</t>
  </si>
  <si>
    <t>Fornecimento e montagem de estrutura em aço ASTM-A36, sem pintura ( Perfil UDC 127 x 50 x 17 x 3mm )</t>
  </si>
  <si>
    <t>16.13.130</t>
  </si>
  <si>
    <t>Telhamento em chapa de aço com pintura poliéster, tipo sanduíche, espessura de 0,50 mm, com poliestireno expandido</t>
  </si>
  <si>
    <t>m²</t>
  </si>
  <si>
    <t>16.33.020</t>
  </si>
  <si>
    <t>Calha, rufo, afins em chapa galvanizada nº 24 - corte 0,33 m</t>
  </si>
  <si>
    <t>m</t>
  </si>
  <si>
    <t>16.12.200</t>
  </si>
  <si>
    <t>Cumeeira em chapa de aço pré-pintada com epóxi e poliéster, perfil trapezoidal, com espessura de 0,50 mm</t>
  </si>
  <si>
    <t>REVESTIMENTOS</t>
  </si>
  <si>
    <t>17.02.020</t>
  </si>
  <si>
    <t>Chapisco</t>
  </si>
  <si>
    <t>17.02.120</t>
  </si>
  <si>
    <t>Emboço comum</t>
  </si>
  <si>
    <t>22.02.030</t>
  </si>
  <si>
    <t>Forro em painéis de gesso acartonado, com espessura de 12,5 mm, fixo</t>
  </si>
  <si>
    <t>23.09.020</t>
  </si>
  <si>
    <t>Porta lisa com batente madeira - 60 x 210 cm</t>
  </si>
  <si>
    <t>M²</t>
  </si>
  <si>
    <t>23.09.040</t>
  </si>
  <si>
    <t>Porta lisa com batente madeira - 80 x 210 cm</t>
  </si>
  <si>
    <t>Pintura em alvenaria e concreto</t>
  </si>
  <si>
    <t>33.02.060</t>
  </si>
  <si>
    <t>Massa corrida a base de PVA</t>
  </si>
  <si>
    <t>7.1.2</t>
  </si>
  <si>
    <t>33.10.010</t>
  </si>
  <si>
    <t>Tinta látex antimofo em massa, inclusive preparo</t>
  </si>
  <si>
    <t>7.1.3</t>
  </si>
  <si>
    <t xml:space="preserve">Pintura em esquadrias </t>
  </si>
  <si>
    <t>33.12.010</t>
  </si>
  <si>
    <t>Esmalte em superfície de madeira, inclusive preparo</t>
  </si>
  <si>
    <t>Aparelhos e Louças</t>
  </si>
  <si>
    <t>44.01.110</t>
  </si>
  <si>
    <t>Lavatório de louça com coluna</t>
  </si>
  <si>
    <t>Instalações Elétricas</t>
  </si>
  <si>
    <t>CPOS</t>
  </si>
  <si>
    <t>41.14.450</t>
  </si>
  <si>
    <t>Luminária retangular de sobrepor tipo calha aberta para 2 lâmpadas fluorescentes tubulares de 32W</t>
  </si>
  <si>
    <t>39.03.170</t>
  </si>
  <si>
    <t>Cabo de cobre de 2,5 mm², isolamento 0,6/1 kV - isolação em PVC 70°C</t>
  </si>
  <si>
    <t>37.13.840</t>
  </si>
  <si>
    <t>Mini-disjuntor termomagnético, bipolar 220/380 V, corrente de 10 A até 32 A</t>
  </si>
  <si>
    <t>38.13.016</t>
  </si>
  <si>
    <t>Eletroduto corrugado em polietileno de alta densidade, DN= 40 mm, com acessórios</t>
  </si>
  <si>
    <t>SERVIÇOS COMPLEMENTARES</t>
  </si>
  <si>
    <t>17.03.040</t>
  </si>
  <si>
    <t>EXECUÇÃO DE PASSEIO (CALÇADA) OU PISO DE CONCRETO COM CONCRETO MOLDADO</t>
  </si>
  <si>
    <t>10.2</t>
  </si>
  <si>
    <t>34.05.080</t>
  </si>
  <si>
    <t>Alambrado em tela de aço galvanizado de 2´, montantes metálicos e arame farpado, até 4,00 m de altura</t>
  </si>
  <si>
    <t>10.3</t>
  </si>
  <si>
    <t>55.01.020</t>
  </si>
  <si>
    <t>LIMPEZA FINAL DE OBRA</t>
  </si>
  <si>
    <t>TOTAL S/BDI</t>
  </si>
  <si>
    <t>TOTAL COM BDI</t>
  </si>
  <si>
    <t>Grau de Sigilo</t>
  </si>
  <si>
    <t>BOLETIM DE MEDIÇÃO I</t>
  </si>
  <si>
    <t>#00</t>
  </si>
  <si>
    <t>Nº do CTEF (Contrato Execução/Fornecimento)</t>
  </si>
  <si>
    <t>BM - número</t>
  </si>
  <si>
    <t>BM - Data emissão</t>
  </si>
  <si>
    <t>BM - Período de referência da medição</t>
  </si>
  <si>
    <t xml:space="preserve">Nº do CT  </t>
  </si>
  <si>
    <t>Data do CT</t>
  </si>
  <si>
    <t>De</t>
  </si>
  <si>
    <t>até</t>
  </si>
  <si>
    <t>Início da obra - data</t>
  </si>
  <si>
    <t>Previsão Término obra</t>
  </si>
  <si>
    <t>Empresa Contratada</t>
  </si>
  <si>
    <t>CNPJ</t>
  </si>
  <si>
    <t>CTEF- Valor total inicial  (R$)</t>
  </si>
  <si>
    <t>CTEF - dt assinatura</t>
  </si>
  <si>
    <t>Objeto do CTEF ( resumido)</t>
  </si>
  <si>
    <t>CTEF- Valor total atual (R$)</t>
  </si>
  <si>
    <t>CTEF-Dt último Adit.</t>
  </si>
  <si>
    <t>Local da obra ( Bairro / Município / UF)</t>
  </si>
  <si>
    <t xml:space="preserve">Fonte de Recursos </t>
  </si>
  <si>
    <t>outra (descrever):</t>
  </si>
  <si>
    <t>OGU</t>
  </si>
  <si>
    <t xml:space="preserve">FGTS ou </t>
  </si>
  <si>
    <t>Discriminação dos serviços do Orçamento</t>
  </si>
  <si>
    <t>Previsto no Orçamento</t>
  </si>
  <si>
    <t xml:space="preserve">Diferenças a Atualizar </t>
  </si>
  <si>
    <t>Executado Físico (Quantidade)</t>
  </si>
  <si>
    <t>Executado Financeiro (R$)</t>
  </si>
  <si>
    <t>Desvio</t>
  </si>
  <si>
    <t>item</t>
  </si>
  <si>
    <t>Qtdes</t>
  </si>
  <si>
    <t>Preço</t>
  </si>
  <si>
    <t>Preço total</t>
  </si>
  <si>
    <t>Acumulado até o</t>
  </si>
  <si>
    <t>Medido no</t>
  </si>
  <si>
    <t>Acum  inclui</t>
  </si>
  <si>
    <t>Acum inclui o</t>
  </si>
  <si>
    <t>(%)</t>
  </si>
  <si>
    <t>sub</t>
  </si>
  <si>
    <t>Descrição</t>
  </si>
  <si>
    <t>Unitário</t>
  </si>
  <si>
    <t>Total</t>
  </si>
  <si>
    <t>a atualizar</t>
  </si>
  <si>
    <t>período anterior</t>
  </si>
  <si>
    <t>no período</t>
  </si>
  <si>
    <t>o período</t>
  </si>
  <si>
    <t>período  anterior</t>
  </si>
  <si>
    <t>período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</si>
  <si>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</si>
  <si>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</si>
  <si>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TOTAL com BDI</t>
  </si>
  <si>
    <t>BDI (%)</t>
  </si>
  <si>
    <t>23% incluso</t>
  </si>
  <si>
    <t>TOTAIS</t>
  </si>
  <si>
    <t>Observações</t>
  </si>
  <si>
    <t>São Bernardo do Campo, 02 de julho de 2014</t>
  </si>
  <si>
    <t>Local e data</t>
  </si>
  <si>
    <t>Representante:</t>
  </si>
  <si>
    <t>Resp.Técnico pela Fiscalização da obra/serviço</t>
  </si>
  <si>
    <t>Nome:</t>
  </si>
  <si>
    <t>ARQTº ALFREDO LUIZ BUSO</t>
  </si>
  <si>
    <t>Joel Ribeiro de Oliveira</t>
  </si>
  <si>
    <t>Cargo:</t>
  </si>
  <si>
    <t>Profissão:</t>
  </si>
  <si>
    <t>Tecgº - Construção Civil</t>
  </si>
  <si>
    <t>JRO</t>
  </si>
  <si>
    <t>Área:</t>
  </si>
  <si>
    <t>Respondendo pelo Expediente da  Secretaria de Obras</t>
  </si>
  <si>
    <t xml:space="preserve">CREA Nº </t>
  </si>
  <si>
    <r>
      <rPr>
        <sz val="9"/>
        <rFont val="Arial"/>
        <family val="2"/>
        <charset val="1"/>
      </rPr>
      <t xml:space="preserve"> </t>
    </r>
    <r>
      <rPr>
        <b/>
        <sz val="9"/>
        <rFont val="Arial"/>
        <family val="2"/>
        <charset val="1"/>
      </rPr>
      <t xml:space="preserve"> -</t>
    </r>
  </si>
  <si>
    <t>RRE Setor Público</t>
  </si>
  <si>
    <t>RRE</t>
  </si>
  <si>
    <t>Data emissão</t>
  </si>
  <si>
    <t>Referência (Mês/Ano)</t>
  </si>
  <si>
    <t>CT - Valores</t>
  </si>
  <si>
    <t>CT - Programa</t>
  </si>
  <si>
    <t>Nº</t>
  </si>
  <si>
    <t>(R$)</t>
  </si>
  <si>
    <t xml:space="preserve">Nº do CTEF  </t>
  </si>
  <si>
    <t>BM</t>
  </si>
  <si>
    <t>Item</t>
  </si>
  <si>
    <t>Nº do CTEF</t>
  </si>
  <si>
    <t xml:space="preserve">Investimento </t>
  </si>
  <si>
    <t>CT -Modalidade/</t>
  </si>
  <si>
    <t>CT - Objeto</t>
  </si>
  <si>
    <t>REFORMA DO CAMPO DE FUTEBOL SOCIETY - BAETINHA</t>
  </si>
  <si>
    <t>Outras fontes</t>
  </si>
  <si>
    <t>Contrapartida</t>
  </si>
  <si>
    <t>FGTS</t>
  </si>
  <si>
    <t>Discriminação dos itens/subitens Invest.</t>
  </si>
  <si>
    <t>Valores previstos no QCI</t>
  </si>
  <si>
    <t>Licitados</t>
  </si>
  <si>
    <t>Saldo</t>
  </si>
  <si>
    <t>Realizado no período (R$)</t>
  </si>
  <si>
    <t>Acumulado realizado incluindo o período</t>
  </si>
  <si>
    <t xml:space="preserve">Descrição </t>
  </si>
  <si>
    <t>Cp</t>
  </si>
  <si>
    <t>VI</t>
  </si>
  <si>
    <t>Cp  (R$)</t>
  </si>
  <si>
    <t>VI  (R$)</t>
  </si>
  <si>
    <t>% Físico</t>
  </si>
  <si>
    <t>% Financ</t>
  </si>
  <si>
    <t>Subtotal  Obras</t>
  </si>
  <si>
    <t>Total Geral</t>
  </si>
  <si>
    <t>Observações Gerais:</t>
  </si>
  <si>
    <t>São Bernardo do Campo, 01 de julho de 2014</t>
  </si>
  <si>
    <t>Representante Tomador</t>
  </si>
  <si>
    <t>Resp. Financeiro:</t>
  </si>
  <si>
    <r>
      <rPr>
        <sz val="9"/>
        <rFont val="Arial"/>
        <family val="2"/>
        <charset val="1"/>
      </rPr>
      <t xml:space="preserve">Nome: </t>
    </r>
    <r>
      <rPr>
        <b/>
        <sz val="9"/>
        <rFont val="Arial"/>
        <family val="2"/>
        <charset val="1"/>
      </rPr>
      <t>Arqtº</t>
    </r>
    <r>
      <rPr>
        <sz val="9"/>
        <rFont val="Arial"/>
        <family val="2"/>
        <charset val="1"/>
      </rPr>
      <t xml:space="preserve">  </t>
    </r>
    <r>
      <rPr>
        <b/>
        <sz val="9"/>
        <rFont val="Arial"/>
        <family val="2"/>
        <charset val="1"/>
      </rPr>
      <t>Alfredo Luiz Buso</t>
    </r>
  </si>
  <si>
    <t>José Alexandre Pena Devesa</t>
  </si>
  <si>
    <t xml:space="preserve">Cargo: </t>
  </si>
  <si>
    <t>Secretário de Esportes</t>
  </si>
  <si>
    <t>Área:  Respondendo pelo Expediente da Secretaria de Obras</t>
  </si>
  <si>
    <t>TABELA DE CUSTOS UNITÁRIOS - FDE - DATA BASE: JUNHO / 2.008</t>
  </si>
  <si>
    <t>UN</t>
  </si>
  <si>
    <t xml:space="preserve">RETIRANDO A VEGETACAO, TRONCOS ATE 5CM DE DIAMETRO E RASPAGEM  </t>
  </si>
  <si>
    <t xml:space="preserve">M2  </t>
  </si>
  <si>
    <t xml:space="preserve">CORTE, RECORTE E REMOCAO DE ARVORES INCL RAIZES DIAM&gt;5&lt;15CM </t>
  </si>
  <si>
    <t xml:space="preserve">UN </t>
  </si>
  <si>
    <t xml:space="preserve">CORTE, RECORTE E REMOCAO DE ARVORES INCL RAIZES DIAM&gt;15&lt;30CM </t>
  </si>
  <si>
    <t xml:space="preserve">CORTE, RECORTE E REMOCAO DE ARVORES INCL RAIZES DIAM&gt;30&lt;60CM </t>
  </si>
  <si>
    <t xml:space="preserve">CORTE, RECORTE E REMOCAO DE ARVORES INCL RAIZES DIAM&gt;60CM </t>
  </si>
  <si>
    <t xml:space="preserve">LIMPEZAS DO TERRENO </t>
  </si>
  <si>
    <t xml:space="preserve">MV </t>
  </si>
  <si>
    <t>MOVIMENTO DE TERRA MANUAL</t>
  </si>
  <si>
    <t xml:space="preserve">CORTE E ATERRO DENTRO DA OBRA COM TRANSPORTE INTERNO  </t>
  </si>
  <si>
    <t xml:space="preserve">M3  </t>
  </si>
  <si>
    <t xml:space="preserve">CORTE COM RETIRADA POR CAMINHAO NOS PRIMEIROS 100 M </t>
  </si>
  <si>
    <t xml:space="preserve">M3 </t>
  </si>
  <si>
    <t xml:space="preserve">ATERRO COM TRANSPORTE POR CAMINHAO NOS PRIMEIROS 100 M </t>
  </si>
  <si>
    <t xml:space="preserve">TRANSPORTE POR CAMINHAO M3X </t>
  </si>
  <si>
    <t xml:space="preserve">KM </t>
  </si>
  <si>
    <t xml:space="preserve">MOVIMENTOS DE TERRA MANUAL </t>
  </si>
  <si>
    <t xml:space="preserve">MOVIMENTOS DE TERRA MECANIZADOS </t>
  </si>
  <si>
    <t>ESCORAMENTO DE TERRA</t>
  </si>
  <si>
    <t xml:space="preserve">PONTALETADO  </t>
  </si>
  <si>
    <t xml:space="preserve">ESCORAMENTO DE VALAS CONTINUO AT? 2,00M </t>
  </si>
  <si>
    <t xml:space="preserve">M2 </t>
  </si>
  <si>
    <t xml:space="preserve">ESCORAMENTO DE VALAS CONTINUO AT? 4,00M </t>
  </si>
  <si>
    <t xml:space="preserve">ESCORAMENTO DE VALAS DESCONTINUO AT? 2,00M </t>
  </si>
  <si>
    <t xml:space="preserve">ESCORAMENTO DE VALAS DESCONTINUO AT? 4,00M </t>
  </si>
  <si>
    <t xml:space="preserve">ESCORAMENTOS DE TERRA </t>
  </si>
  <si>
    <t>ESCAVAÇÃO MANUAL EM TERRA</t>
  </si>
  <si>
    <t xml:space="preserve">ESCAVACAO MANUAL - PROFUNDIDADE ATE 1.80 M  </t>
  </si>
  <si>
    <t xml:space="preserve">ESCAVACAO MANUAL - PROFUNDIDADE ALEM DE 1.80 M </t>
  </si>
  <si>
    <t xml:space="preserve">ESCAVACOES MANUAIS EM TERRA </t>
  </si>
  <si>
    <t>APILOAMENTO E ATERRO DE CAVAS</t>
  </si>
  <si>
    <t>PARA SIMPLES REGULARIZACAO</t>
  </si>
  <si>
    <t xml:space="preserve"> REATERRO INTERNO APILOADO</t>
  </si>
  <si>
    <t>M3</t>
  </si>
  <si>
    <t xml:space="preserve">APILOAMENTO E ATERRO DE CAVAS </t>
  </si>
  <si>
    <t>MV</t>
  </si>
  <si>
    <t>LASTRO DE PEDRA BRITADA OU DE CONCRETO SIMPLES</t>
  </si>
  <si>
    <t>LASTRO DE PEDRA BRITADA - 5CM</t>
  </si>
  <si>
    <t>LASTRO DE CONCRETO - 5 CM</t>
  </si>
  <si>
    <t>LASTROS</t>
  </si>
  <si>
    <t>DRENAGEM DO TERRENO</t>
  </si>
  <si>
    <t>TUBO DE PVC RIGIDO JUNTA ELASTICA DN 100MM (4") CLASSE A INCL CONEX</t>
  </si>
  <si>
    <t xml:space="preserve">M </t>
  </si>
  <si>
    <t>TUBO DE PVC RIGIDO JUNTA ELASTICA DN 150MM (6") CLASSE A INCL CONEX</t>
  </si>
  <si>
    <t>TUBO DE CONCRETO - CLASSE C1 - DN 300MM</t>
  </si>
  <si>
    <t>TUBO DE CONCRETO - CLASSE C1 - DN 400MM</t>
  </si>
  <si>
    <t>TUBO DE CONCRETO - CLASSE C1 - DN 500MM</t>
  </si>
  <si>
    <t>TUBO DE CONCRETO - CLASSE C1 - DN 600MM</t>
  </si>
  <si>
    <t>TUBO DE CONCRETO - CLASSE CA1 - DN 700MM</t>
  </si>
  <si>
    <t>TUBO DE CONCRETO - CLASSE CA1 - DN 800MM</t>
  </si>
  <si>
    <t>TUBO DE CONCRETO - CLASSE CA1 - DN 900MM</t>
  </si>
  <si>
    <t>TUBO DE CONCRETO - CLASSE CA1 - DN 1000MM</t>
  </si>
  <si>
    <t>TUBO DE CONCRETO - CLASSE CA1 - DN 1100MM</t>
  </si>
  <si>
    <t>TUBO DE CONCRETO - CLASSE CA1 - DN 1200MM</t>
  </si>
  <si>
    <t>TUBO DRENO PLASTICO CORRUGADO PERFURADO DE 100MM EM BARRAS</t>
  </si>
  <si>
    <t>TUBO DRENO PLASTICO CORRUGADO PERFURADO DE 150MM EM BARRAS</t>
  </si>
  <si>
    <t>MANTA GEOTEXTIL DE 200 GR/M2</t>
  </si>
  <si>
    <t>MANTA GEOTEXTIL DE 300 GR/M2</t>
  </si>
  <si>
    <t>MANTA GEOTEXTIL DE 600 GR/M2</t>
  </si>
  <si>
    <t>ENVOLVIMENTO DE DRENOS COM PEDRA BRITADA</t>
  </si>
  <si>
    <t>ENVOLVIMENTO DE DRENOS COM AREIA GROSSA</t>
  </si>
  <si>
    <t>FORNEC E INST DE DHP EM FUROS DE 100MM C/TUBO PVC 1 1/2" INCL TXS INST</t>
  </si>
  <si>
    <t>FORNEC E INST DE DHP EM FUROS DE 100MM C/TUBO PVC 2" INCL TXS INST</t>
  </si>
  <si>
    <t>CAIXA DE LIGACAO OU INSPECAO - ALVENARIA DE 1/2 TIJOLO REVESTIDA</t>
  </si>
  <si>
    <t>CAIXA DE LIGACAO OU INSPECAO - ALVENARIA DE 1 TIJOLO REVESTIDA</t>
  </si>
  <si>
    <t>CAIXA DE LIGACAO OU INSPECAO - TAMPA DE CONCRETO ARMADO</t>
  </si>
  <si>
    <t>TUBO DRENO PEAD CORRUG PERF DN 65MM EM ROLOS</t>
  </si>
  <si>
    <t>TUBO DRENO PEAD CORRUG PERF DN 80MM EM ROLO</t>
  </si>
  <si>
    <t>TUBO DRENO PEAD CORRUG PERF DN 100MM EM ROLO</t>
  </si>
  <si>
    <t>TUBO DRENO PEAD CORRUG PERF DN 170MM EM ROLO</t>
  </si>
  <si>
    <t>TUBO DRENO PEAD CORRUG PERF P/ PAISAGISMO DN 65MM EM ROLO</t>
  </si>
  <si>
    <t>TUBO DRENO PEAD CORRUG PERF P/ PAISAGISMO DN 110MM EM ROLO</t>
  </si>
  <si>
    <t>SERVICOS EM DRENAGEM DO TERRENO</t>
  </si>
  <si>
    <t>DEMOLICOES</t>
  </si>
  <si>
    <t>RETIRADAS</t>
  </si>
  <si>
    <t>RECOLOCACOES</t>
  </si>
  <si>
    <t>CONSERVAÇÃO - SERVIÇOS PRELIMINARES</t>
  </si>
  <si>
    <t>SERVICOS PARCIAIS</t>
  </si>
  <si>
    <t>ESCAVAÇÃO</t>
  </si>
  <si>
    <t>ESCAVACAO MANUAL - PROFUNDIDADE ATE 1.80 M</t>
  </si>
  <si>
    <t>ESCAVACAO MANUAL - PROFUNDIDADE ALEM DE 1.80 M</t>
  </si>
  <si>
    <t>ESCORAMENTO DE TERRA CONTINUO</t>
  </si>
  <si>
    <t>ESCORAMENTO DE TERRA DESCONTINUO</t>
  </si>
  <si>
    <t>APILOAMENTO PARA SIMPLES REGULARIZACAO</t>
  </si>
  <si>
    <t>REATERRO INTERNO APILOADO</t>
  </si>
  <si>
    <t>REATERRO COM ADICAO DE 2% DE CIMENTO</t>
  </si>
  <si>
    <t>ESCAVACOES</t>
  </si>
  <si>
    <t>FUNDAÇÃO PROFUNDA</t>
  </si>
  <si>
    <t>TUBULOES: ESCAVACAO MANUAL - DIAMETRO DE 70CM</t>
  </si>
  <si>
    <t>TUBULOES: ESCAVACAO MECANICA - DIAMETRO DE 50CM</t>
  </si>
  <si>
    <t>TUBULOES: ESCAVACAO MECANICA - DIAMETRO DE 60CM</t>
  </si>
  <si>
    <t>TUBULÕES : CONCRETO FCK 20 MPA PARA BASE E FUSTE</t>
  </si>
  <si>
    <t>ACO CA-50 (A OU B) FYK = 500 MPA</t>
  </si>
  <si>
    <t>BROCA DE CONCRETO DE DIAMETRO 20CM - INCL ARRANQUES</t>
  </si>
  <si>
    <t>BROCA DE CONCRETO DE DIAMETRO 25CM - INCL ARRANQUES</t>
  </si>
  <si>
    <t>BROCA DE CONCRETO DE DIAMETRO 30CM - INCL ARRANQUES</t>
  </si>
  <si>
    <t>ESTACAS TIPO STRAUSS DIAM 25CM CAPACIDADE ATE 20 TF</t>
  </si>
  <si>
    <t>ESTACAS TIPO STRAUSS DIAM 32CM CAPACIDADE ATE 30 TF</t>
  </si>
  <si>
    <t>ESTACAS TIPO STRAUSS DIAM 38CM CAPACIDADE ATE 40 TF</t>
  </si>
  <si>
    <t>ESTACAS TIPO STRAUSS DIAM 45CM CAPACIDADE ATE 60 TF</t>
  </si>
  <si>
    <t>ESTACAS TIPO STRAUSS DIAM 55CM CAPACIDADE ATE 90 TF</t>
  </si>
  <si>
    <t>ESTACA ESCAVADA MECANICAMENTE DIAM 25CM CAPACIDADE ATE 20 TF</t>
  </si>
  <si>
    <t>ESTACA ESCAVADA MECANICAMENTE DIAM 30CM CAPACIDADE ATE 30 TF</t>
  </si>
  <si>
    <t>ESTACA ESCAVADA MECANICAMENTE DIAM 35CM CAPACIDADE ATE 40 TF</t>
  </si>
  <si>
    <t>ESTACA PRE-MOLD CONC SECAO MIN 225 CM2 P/ATE 15 TF</t>
  </si>
  <si>
    <t>ESTACA PRE-MOLD CONC SECAO MIN 289 CM2 P/ATE 20 TF</t>
  </si>
  <si>
    <t>ESTACA PRE-MOLD CONC SECAO MIN 314 CM2 P/ATE 25 TF</t>
  </si>
  <si>
    <t>ESTACA PRE-MOLD CONC SECAO MIN 415 CM2 P/ATE 30 TF</t>
  </si>
  <si>
    <t>ESTACA PRE-MOLD CONC SECAO MIN 531 CM2 P/ATE 40 TF</t>
  </si>
  <si>
    <t>ESTACA PRE-MOLD CONC SECAO MIN 616 CM2 P/ATE 50 TF</t>
  </si>
  <si>
    <t>ESTACA PRE-MOLD CONC SECAO MIN 855 CM2 P/ATE 70 TF</t>
  </si>
  <si>
    <t>ESTACA RAIZ DN 150MM - CAPACIDADE ATE 25 TF</t>
  </si>
  <si>
    <t>ESTACA RAIZ DN 160MM - CAPACIDADE ATE 30 TF</t>
  </si>
  <si>
    <t>ESTACA RAIZ DN 200MM - CAPACIDADE ATE 50 TF</t>
  </si>
  <si>
    <t>ESTACA RAIZ DN 250MM - CAPACIDADE ATE 70 TF</t>
  </si>
  <si>
    <t>ESTACA RAIZ DN 310MM - CAPACIDADE ATE 100 TF</t>
  </si>
  <si>
    <t>ESTACA RAIZ DN 410MM - CAPACIDADE ATE 140 TF</t>
  </si>
  <si>
    <t>ESTACA TIPO HELICE DN 25CM PARA CARGAS ATE 25 TF</t>
  </si>
  <si>
    <t>ESTACA TIPO HELICE DN 30CM PARA CARGAS ATE 35 TF</t>
  </si>
  <si>
    <t>ESTACA TIPO HELICE DN 35CM PARA CARGAS ATE 50 TF</t>
  </si>
  <si>
    <t>ESTACA TIPO HELICE DN 40CM PARA CARGAS ATE 60 TF</t>
  </si>
  <si>
    <t>ESTACA TIPO HELICE DN 50CM PARA CARGAS ATE 100 TF</t>
  </si>
  <si>
    <t>ESTACA TIPO HELICE DN 60CM PARA CARGAS ATE 150 TF</t>
  </si>
  <si>
    <t>ESTACA TIPO HELICE DN 70CM PARA CARGAS ATE 200 TF</t>
  </si>
  <si>
    <t>ESTACA TIPO HELICE DN 80CM PARA CARGAS ATE 250 TF</t>
  </si>
  <si>
    <t>ESTACA TIPO HELICE DN 90CM PARA CARGAS ATE 300 TF</t>
  </si>
  <si>
    <t>TAXA DE MOBILIZACAO DE EQUIPAMENTO PARA ESTACA TIPO HELICE</t>
  </si>
  <si>
    <t>EMENDA COM ANEIS SOLDADOS PARA ESTACA</t>
  </si>
  <si>
    <t>TAXA DE MOBILIZACAO DE EQUIPAMENTO - ESCATAS PRE-MOLDADAS</t>
  </si>
  <si>
    <t>TAXA DE MOBILIZACAO DE EQUIPAMENTOS - ESCATAS STRAUSS</t>
  </si>
  <si>
    <t>FUNDACOES PROFUNDAS</t>
  </si>
  <si>
    <t>FORMA DE MADEIRA MACICA</t>
  </si>
  <si>
    <t>FORMAS</t>
  </si>
  <si>
    <t>ACO CA 50 (A OU B) FYK= 500 M PA</t>
  </si>
  <si>
    <t>ACO CA 60 (A OU B) FYK= 600 M PA</t>
  </si>
  <si>
    <t>TELA ARMADURA (MALHA ACO CA 60 FYK= 600 M PA)</t>
  </si>
  <si>
    <t>ARMADURAS</t>
  </si>
  <si>
    <t>CONCRETO DOSADO E LANCADO FCK= 20 M PA</t>
  </si>
  <si>
    <t>CONCRETO DOSADO E LANCADO FCK=25MPA</t>
  </si>
  <si>
    <t>CONCRETO DOSADO E LANCADO FCK=30MPA</t>
  </si>
  <si>
    <t>CONCRETO DOSADO,BOMBEADO E LANCADO FCK= 20 M PA</t>
  </si>
  <si>
    <t>CONCRETO DOSADO,BOMBEADO E LANCADO FCK=25MPA</t>
  </si>
  <si>
    <t>CONCRETO DOSADO, BOMBEADO E LANCADO FCK=30MPA</t>
  </si>
  <si>
    <t>CONCRETO GROUT</t>
  </si>
  <si>
    <t>FORNECIMENTO E MONTAGEM DE ESTRUTURA PRE-MOLDADA DE CONCRETO</t>
  </si>
  <si>
    <t>CONCRETOS</t>
  </si>
  <si>
    <t>ALVENARIA DE FUNDACAO E EMBASAMENTO COM TIJ MACICOS COMUNS</t>
  </si>
  <si>
    <t>ALVENARIA DE FUNDACAO E EMBASAMENTO COM BLOCOS DE CONCRETO</t>
  </si>
  <si>
    <t>ALVENARIA DE FUNDACAO E EMBASAMENTO COM BLOCOS DE CONCRETO ESTRUTURAL</t>
  </si>
  <si>
    <t>ALVENARIA DE FUNDACAO E EMBASAMENTO COM BLOCOS CERAMICOS PORTANTE</t>
  </si>
  <si>
    <t>ALVENARIA DE FUNDACAO E EMBASAMENTO COM BLOCOS CERAMICOS DE VEDACAO</t>
  </si>
  <si>
    <t>ALVENARIA DE FUNDACAO E EMBASAMENTO C/ TIJOLO CERAMICO FURADO (BAIANO)</t>
  </si>
  <si>
    <t>ALVENARIA DE FUNDACAO E EMBASAMENTO COM TIJOLOS LAMINADOS</t>
  </si>
  <si>
    <t>EMBASAMENTOS</t>
  </si>
  <si>
    <t>IMPERMEABILIZAÇÕES</t>
  </si>
  <si>
    <t>IMPERM RESP ALV EMBAS COM ARGAM CIM-AREIA 1:3 CONTENDO HIDROFUGO</t>
  </si>
  <si>
    <t>IMPERM RESP ALV EMBAS C/ CIM-AREIA 1-3 HIDROFUGO/TINTA BETUMINUSA</t>
  </si>
  <si>
    <t>IMPERMEABILIZACAO POR CRISTALIZACAO - SUB SOLOS</t>
  </si>
  <si>
    <t>DE CONCRETO SIMPLES (MANUAL)</t>
  </si>
  <si>
    <t>LASTRO DE CONCRETO SIMPLES (MANUAL)</t>
  </si>
  <si>
    <t>DE ALVENARIA DE FUNDACAO (MANUAL)</t>
  </si>
  <si>
    <t>CONSERVAÇÃO - INFRA ESTRUTURA</t>
  </si>
  <si>
    <t>SERVICOS DE INFRA ESTRUTURA</t>
  </si>
  <si>
    <t>FORMAS DE MADEIRA MACICA</t>
  </si>
  <si>
    <t>FORMAS PLANAS PLASTIFICADA PARA CONCRETO APARENTE</t>
  </si>
  <si>
    <t>FORMAS CURVAS PLASTIFICADA PARA CONCRETO APARENTE</t>
  </si>
  <si>
    <t>CIMBRAMENTO DE MADEIRA</t>
  </si>
  <si>
    <t>FORMA DE TUBO DE PAPELAO DIAM. 15 CM</t>
  </si>
  <si>
    <t>FORMA DE TUBO DE PAPELAO DIAM. 20 CM</t>
  </si>
  <si>
    <t>FORMA DE TUBO DE PAPELAO DIAM. 25 CM</t>
  </si>
  <si>
    <t>FORMA DE TUBO DE PAPELAO DIAM. 30 CM</t>
  </si>
  <si>
    <t>FORMA DE TUBO DE PAPELAO DIAM. 35 CM</t>
  </si>
  <si>
    <t>FORMA DE TUBO DE PAPELAO DIAM. 40 CM</t>
  </si>
  <si>
    <t>FORMA DE TUBO DE PAPELAO DIAM. 45 CM</t>
  </si>
  <si>
    <t>FORMA DE TUBO DE PAPELAO DIAM. 50 CM</t>
  </si>
  <si>
    <t>FORMA DE TUBO DE PAPELAO DIAM. 55 CM</t>
  </si>
  <si>
    <t>FORMA DE TUBO DE PAPELAO DIAM. 60 CM</t>
  </si>
  <si>
    <t>FORMA METALICA TREPANTE PARA RESERVATORIO - INCLUSIVE COMPLEMENTOS</t>
  </si>
  <si>
    <t>LAJE PRE-FABRICADA UNID C/VIGOTAS PROTENDIDAS LP12-100KGF/M2</t>
  </si>
  <si>
    <t>LAJE PRE-FABRICADA UNIDIRECIONAL C/VIGOTAS PROTENDIDAS LP12-300KGF/M2</t>
  </si>
  <si>
    <t>LAJE PRE-FABRICADA UNIDIRECIONAL C/VIGOTAS PROTENDIDAS LP16-100KGF/M2</t>
  </si>
  <si>
    <t>LAJE PRE-FABRICADA UNIDIRECIONAL C/VIGOTAS PROTENDIDAS LP16-300KGF/M2</t>
  </si>
  <si>
    <t>LAJE PRE-FABRICADA UNIDIRECIONAL C/VIGOTAS PROTENDIDAS LP20-100KGF/M2</t>
  </si>
  <si>
    <t>LAJE PRE-FABRICADA UNIDIRECIONAL C/VIGOTAS PROTENDIDAS LP20-300KGF/M2</t>
  </si>
  <si>
    <t>LAJE PRE-FABRICADA UNIDIRECIONAL C/VIGOTAS PROTENDIDAS LP20-500KGF/M2</t>
  </si>
  <si>
    <t>LAJE PRE-FABRICADA UNIDIRECIONAL C/VIGOTAS PROTENDIDAS LP24-100KGF/M2</t>
  </si>
  <si>
    <t>LAJE PRE-FABRICADA UNIDIRECIONAL C/VIGOTAS PROTENDIDAS LP24-300KGF/M2</t>
  </si>
  <si>
    <t>CONCRETO DOSADO E LANCADO FCK=25 MPA</t>
  </si>
  <si>
    <t>LAJE PRE-FABRICADA UNIDIRECIONAL C/VIGOTAS PROTENDIDAS LP24-500KGF/M2</t>
  </si>
  <si>
    <t>LAJE PRE-FABRICADA VIGOTA TRELICADA UNIDIRECIONAL LT12-100KGF/M2</t>
  </si>
  <si>
    <t>LAJE PRE-FABRICADA VIGOTA TRELICADA UNIDIRECIONAL LT16-100KGF/M2</t>
  </si>
  <si>
    <t>LAJE PRE-FABRICADA VIGOTA TRELICADA UNIDIRECIONAL LT16-300KGF/M2</t>
  </si>
  <si>
    <t>CONCRETO DOSADO,BOMBEADO E LANCADO FCK 25 MPA</t>
  </si>
  <si>
    <t>LAJE PRE-FABRICADA VIGOTA TRELICADA UNIDIRECIONAL LT20-100KGF/M2</t>
  </si>
  <si>
    <t>LAJE PRE-FABRICADA VIGOTA TRELICADA UNIDIRECIONAL LT20-300KGF/M2</t>
  </si>
  <si>
    <t>LAJE PRE-FABRICADA VIGOTA TRELICADA UNIDIRECIONAL LT20-500KGF/M2</t>
  </si>
  <si>
    <t>LAJE PRE-FABRICADA VIGOTA TRELICADA UNIDIRECIONAL LT25-300KGF/M2</t>
  </si>
  <si>
    <t>LAJE PRE-FABRICADA VIGOTA TRELICADA UNIDIRECIONAL LT25-500KGF/M2</t>
  </si>
  <si>
    <t>LAJE PRE-FABRICADA PAINEL ALVEOLAR CONCRETO PROTENDIDO H10-100KGF/M2</t>
  </si>
  <si>
    <t>LAJE PRE-FABRICADA PAINEL ALVEOLAR CONCRETO PROTENDIDO H15-100KGF/M2</t>
  </si>
  <si>
    <t>LAJE PRE-FABRICADA PAINEL ALVEOLAR CONCRETO PROTENDIDO H15-300KGF/M2</t>
  </si>
  <si>
    <t>LAJE PRE-FABRICADA PAINEL ALVEOLAR CONCRETO PROTENDIDO H15-500KGF/M2</t>
  </si>
  <si>
    <t>LAJE PRE-FABRICADA PAINEL ALVEOLAR CONCRETO PROTENDIDO H20-300KGF/M2</t>
  </si>
  <si>
    <t>LAJE PRE-FABRICADA PAINEL ALVEOLAR CONCRETO PROTENDIDO H20-500KGF/M2</t>
  </si>
  <si>
    <t>LAJE MISTA B-11 SOBRECARGA 100 KG</t>
  </si>
  <si>
    <t>LAJE MISTA B-16 SOBRECARGA 500 KG</t>
  </si>
  <si>
    <t>LAJE MISTA B-16 SOBRECARGA 300 KG</t>
  </si>
  <si>
    <t>LAJE MISTA B-20 SOBRECARGA 300 KG</t>
  </si>
  <si>
    <t>LAJE MISTA B-12 SOBRECARGA 100 KG</t>
  </si>
  <si>
    <t>LAJE MISTA B-12 SOBRECARGA 300 KG</t>
  </si>
  <si>
    <t>LAJE MISTA B-16 SOBRECARGA 100 KG</t>
  </si>
  <si>
    <t>LAJE PRE-FABRICADA PRE-LAJE TRELICADA BIDIR C/ EPS PLT12-100KGF/M2</t>
  </si>
  <si>
    <t>LAJE PRE-FABRICADA PRE-LAJE TRELICADA BIDIR C/ EPS PLT16-100KGF/M2</t>
  </si>
  <si>
    <t>LAJE PRE-FABRICADA PRE-LAJE TRELICADA BIDIR C/ EPS PLT-16 300KGF/M2</t>
  </si>
  <si>
    <t>PAINEIS/LAJES PISO EM CONCRETO CELULAR AUTOCLAVADO E=7,50CM</t>
  </si>
  <si>
    <t>PAINEIS/LAJES FORRO EM CONCRETO CELULAR AUTOCLAVADO E=7,50CM</t>
  </si>
  <si>
    <t>LAJE PRE-FABRICADA PRE-LAJE TRELICADA BIDIR C/ EPS PLT20-100KGF/M2</t>
  </si>
  <si>
    <t>TIJOLO FURADO CERAMICO P/ENCHIMENTO DE REBAIXO DE LAJE</t>
  </si>
  <si>
    <t>CONCRETO PREPARADO NO LOCAL C/AGREGADO LEVE P/ENCHIMENTO</t>
  </si>
  <si>
    <t>LAJE PRE-FABRICADA PRE-LAJE TRELICADA BIDIR C/ EPS PLT20-300KGF/M2</t>
  </si>
  <si>
    <t>LAJE PRE-FABRICADA PRE-LAJE TRELICADA BIDIR C/ EPS PLT20-500KGF/M2</t>
  </si>
  <si>
    <t>LAJE PRE-FABRICADA PRE-LAJE TRELICADA BIDIR C/ EPS PLT25-300KGF/M2</t>
  </si>
  <si>
    <t>LAJE STEEL DECK E=0,95MM PARA PISO E=15CM C/ CAPA CONCRETO FCK=25</t>
  </si>
  <si>
    <t>LAJE STEEL DECK E=0,80MM PARA FORRO E=15CM C/ CAPA CONCRETO FCK=25</t>
  </si>
  <si>
    <t>LAJE PRE-FABRICADA PRE-LAJE TRELICADA BIDIR C/ EPS PLT25-500KGF/M2</t>
  </si>
  <si>
    <t>REFORCO PARA LAJE MISTA</t>
  </si>
  <si>
    <t>LAJE PRE-FABRICADA PRE-LAJE TRELICADA UNIDIR C/ EPS PLT12-100KGF/M2</t>
  </si>
  <si>
    <t>LAJE PRE-FABRICADA PRE-LAJE TRELICADA UNIDIR C/ EPS PLT16-100KGF/M2</t>
  </si>
  <si>
    <t>LAJE PRE-FABRICADA PRE-LAJE TRELICADA UNIDIR C/ EPS PLT16-300KGF/M2</t>
  </si>
  <si>
    <t>LAJE PRE-FABRICADA PRE-LAJE TRELICADA UNIDIR C/ EPS PLT20-100KGF/M2</t>
  </si>
  <si>
    <t>LAJE PRE-FABRICADA PRE-LAJE TRELICADA UNIDIR C/ EPS PLT20-300KGF/M2</t>
  </si>
  <si>
    <t>LAJE PRE-FABRICADA PRE-LAJE TRELICADA UNIDIR C/ EPS PLT20-500KGF/M2</t>
  </si>
  <si>
    <t>LAJE PRE-FABRICADA PRE-LAJE TRELICADA UNIDIR C/ EPS PLT25-300KGF/M2</t>
  </si>
  <si>
    <t>LAJE PRE-FABRICADA PRE-LAJE TRELICADA UNIDIR C/ EPS PLT25-500KGF/M2</t>
  </si>
  <si>
    <t>FORNECIMENTO DE EST MET - ACO ESTRUTURAL ASTM OU ABNT - NAO PATINAVEL</t>
  </si>
  <si>
    <t>FORNEC DE ESTR METALICA ACO ASTM A709/A588 (RESIST A CORROSAO)</t>
  </si>
  <si>
    <t>MONTAGEM DE ESTRUTURA METALICA</t>
  </si>
  <si>
    <t>DESMONTAGEM DE ESTRUTURA METALICA</t>
  </si>
  <si>
    <t>ESTRUTURAS METALICAS</t>
  </si>
  <si>
    <t>ESTRUTURA DE MADEIRA</t>
  </si>
  <si>
    <t>PILAR DE MADEIRA (PASSAGEM COBERTA)</t>
  </si>
  <si>
    <t>VIGA DE MADEIRA 6X12 CM (PASSAGEM COBERTA)</t>
  </si>
  <si>
    <t>VIGA DE MADEIRA 6X16 CM (PASSAGEM COBERTA)</t>
  </si>
  <si>
    <t>ESTRUTURAS DE MADEIRA</t>
  </si>
  <si>
    <t>DE CONCRETO INCLUINDO REVESTIMENTOS (MANUAL)</t>
  </si>
  <si>
    <t>DE LAJES MISTAS OU PRE-MOLDADAS INCLUINDO REVESTIMENTOS (MANUAL)</t>
  </si>
  <si>
    <t>CONSERVAÇÃO - SUPER ESTRUTURA</t>
  </si>
  <si>
    <t>ALVENARIA E OUTROS ELEMENTOS DIVISÓRIOS</t>
  </si>
  <si>
    <t>ALVENARIA DE TIJOLO DE BARRO MACICO E=1/4 TIJOLO</t>
  </si>
  <si>
    <t>ALVENARIA DE TIJOLO DE BARRO MACICO E=1/2 TIJOLO</t>
  </si>
  <si>
    <t>ALVENARIA DE TIJOLO DE BARRO MACICO E=1 TIJOLO</t>
  </si>
  <si>
    <t>ALVENARIA DE TIJOLO DE BARRO A VISTA E=1/4 TIJOLO</t>
  </si>
  <si>
    <t>REVESTIMENTO DE TIJOLO DE BARRO A VISTA E=1/2 TIJOLO/DISP ALTERNADA</t>
  </si>
  <si>
    <t>ALVENARIA DE TIJOLO DE BARRO A VISTA E=1/2 TIJOLO</t>
  </si>
  <si>
    <t>ALVENARIA DE TIJOLO DE BARRO A VISTA E=1 TIJOLO</t>
  </si>
  <si>
    <t>ALVENARIA DE TIJOLO LAMINADO A VISTA E=1/2 TIJOLO/DISP ALTERNADO</t>
  </si>
  <si>
    <t>ALVENARIA DE TIJOLO LAMINADO A VISTA E=1/4 TIJOLO</t>
  </si>
  <si>
    <t>ALVENARIA DE TIJOLO LAMINADO A VISTA E=1/2 TIJOLO</t>
  </si>
  <si>
    <t>ALVENARIA DE TIJOLO LAMINADO A VISTA E=1 TIJOLO</t>
  </si>
  <si>
    <t>ALVENARIA DE BLOCOS DE CONCRETO E=9CM</t>
  </si>
  <si>
    <t>ALVENARIA DE BLOCOS DE CONCRETO E=14CM</t>
  </si>
  <si>
    <t>ALVENARIA DE BLOCOS DE CONCRETO E=19CM</t>
  </si>
  <si>
    <t>ALVENARIA DE BLOCO CERAMICO PORTANTE E=14CM</t>
  </si>
  <si>
    <t>ALVENARIA DE BLOCO CERAMICO PORTANTE E=19CM</t>
  </si>
  <si>
    <t>CONCRETO GROUT PARA PAREDE AUTO PORTANTE</t>
  </si>
  <si>
    <t>ARMADURA CA 50 PARA PAREDE AUTO-PORTANTE</t>
  </si>
  <si>
    <t>ARMADURA CA 60 PARA PAREDE AUTO-PORTANTE</t>
  </si>
  <si>
    <t>ALVENARIA AUTO-PORTANTE: BLOCO CONCRETO ESTRUTURAL DE 19X19X19CM</t>
  </si>
  <si>
    <t>ALVENARIA AUTO-PORTANTE: BLOCO CONCRETO ESTRUTURAL DE 14X19X39CM</t>
  </si>
  <si>
    <t>ALVENARIA AUTO-PORTANTE: BLOCO CONCRETO ESTRUTURAL DE 19X19X39CM</t>
  </si>
  <si>
    <t>VERGA/CINTA EM BLOCO DE CONCRETO CANALETA - 11,5X19X39CM</t>
  </si>
  <si>
    <t>VERGA/CINTA EM BLOCO DE CONCRETO CANALETA - 14 CM</t>
  </si>
  <si>
    <t>VERGA/CINTA EM BLOCO DE CONCRETO CANALETA - 19 CM</t>
  </si>
  <si>
    <t>ALVENARIA DE CONCR CELULAR - CHAPAS ARMADAS SIMPLES ESPESS 7,5 CM</t>
  </si>
  <si>
    <t>ALVENARIA DE CONCR CELULAR - CHAPAS ARMADAS SIMPLES ESPESS 10 CM</t>
  </si>
  <si>
    <t>ALVENARIA DE CONCRETO CELULAR - BLOCOS E=7CM</t>
  </si>
  <si>
    <t>ALVENARIA DE CONCRETO CELULAR - BLOCOS E=11CM</t>
  </si>
  <si>
    <t>ALVENARIA DE CONCRETO CELULAR BLOCOS E=14CM</t>
  </si>
  <si>
    <t>ALVENARIA DE TIJOLO CERAMICO FURADO (BAIANO) ESP.NOM. 10 CM</t>
  </si>
  <si>
    <t>ALVENARIA DE TIJOLO CERAMICO FURADO (BAIANO) ESP.NOM. 12.5 CM</t>
  </si>
  <si>
    <t>ALVENARIA DE TIJOLO CERAMICO FURADO (BAIANO) ESP.NOM 15 CM</t>
  </si>
  <si>
    <t>ALVENARIA DE TIJOLO CERAMICO FURADO (BAIANO) ESP.NOM. 20 CM</t>
  </si>
  <si>
    <t>ALVENARIAS</t>
  </si>
  <si>
    <t>ELEMENTOS VAZADOS</t>
  </si>
  <si>
    <t>ELEMENTO VAZADO DE CONCRETO QUADRICULADO REF NEO-REX 18 / REF UNICA 4D</t>
  </si>
  <si>
    <t>ELEMENTO VAZADO DE CONCRETO TIPO VENEZIANA REF UNICA 11A</t>
  </si>
  <si>
    <t>ELEMENTO VAZADO DE BLOCO DE CONCRETO</t>
  </si>
  <si>
    <t>ELEMENTO VAZADO DE BLOCOS CERAMICOS DE VEDACAO</t>
  </si>
  <si>
    <t>ELEMENTO VAZADO REF NEO REX 4A / REF UNICA 2C</t>
  </si>
  <si>
    <t>ELEMENTO VAZADO REF NEO REX N 16 / REF UNICA 1</t>
  </si>
  <si>
    <t>ELEMENTO VAZADO REF NEO REX 16DS/16DC</t>
  </si>
  <si>
    <t>ELEMENTO VAZADO REF NEO REX 17A</t>
  </si>
  <si>
    <t>ELEMENTO VAZADO REF NEO REX 19B/19C / REF UNICA 5/5B</t>
  </si>
  <si>
    <t>ELEMENTO VAZADO REF NEO REX 22B / REF UNICA 4B</t>
  </si>
  <si>
    <t>ELEMENTO VAZADO REF NEO REX 22C / REF UNICA 4A</t>
  </si>
  <si>
    <t>ELEMENTO VAZADO REF NEO REX 23A / REF UNICA 3A</t>
  </si>
  <si>
    <t>ELEMENTO VAZADO REF NEO REX 41 / REF UNICA 4</t>
  </si>
  <si>
    <t>ELEMENTO VAZADO REF NEO REX 59 / REF UNICA 11</t>
  </si>
  <si>
    <t>ELEMENTO VAZADO REF NEO REX 62 / REF UNICA 6</t>
  </si>
  <si>
    <t>ELEMENTO VAZADO REF NEO REX 62A / REF UNICA 6A</t>
  </si>
  <si>
    <t>ELEMENTO VAZADO REF NEO REX 79</t>
  </si>
  <si>
    <t>ELEMENTO VAZADO REF NEO REX 90</t>
  </si>
  <si>
    <t>ELEMENTO VAZADO REF NEO REX 95 / REF UNICA 23A</t>
  </si>
  <si>
    <t>ELEMENTO VAZADO REF NEO REX 97 / REF UNICA 1H</t>
  </si>
  <si>
    <t>ELEMENTO VAZADO CERAMICO 18X18X7CM</t>
  </si>
  <si>
    <t>DV-01 DIVISORIA DE GRANILITE - LATERAL ABERTA</t>
  </si>
  <si>
    <t>DV-02 DIVISORIA DE GRANILITE - LATERAL FECHADA</t>
  </si>
  <si>
    <t>DV-03 DIVISORIA DE GRANILITE - FRONTAL</t>
  </si>
  <si>
    <t>DV-04 DIVISORIA DE GRANILITE - ANTEPARO</t>
  </si>
  <si>
    <t>PLACAS DE CONCRETO - ESPESSURA 5 CM</t>
  </si>
  <si>
    <t>DIVISORIA CHAPA FIBRA MAD PRENS BP/PAINEL/VIDRO/VENTIL PERM E=35MM</t>
  </si>
  <si>
    <t>DIVISORIA CHAPA FIBRA MAD PRENS BP/PAINEL CEGO 1,20X2,11M E=35MM</t>
  </si>
  <si>
    <t>DIVISORIA CHAPA FIBRA MAD PRENS BP/PAINEL VENT PERM 1,20X2,11M E=35MM</t>
  </si>
  <si>
    <t>DIVISORIA PAINEL BP-PLUS PERFIL MET AÇO GALV E=35MM</t>
  </si>
  <si>
    <t>DIVISORIAS DE GESSO ACARTONADO</t>
  </si>
  <si>
    <t>DE ALVENARIAS EM GERAL E ELEMENTOS VAZADOS,INCL REVESTIMENTOS</t>
  </si>
  <si>
    <t>DIVISORIAS DE MADEIRA INCLUINDO ENTARUGAMENTO</t>
  </si>
  <si>
    <t>DE DIVISORIAS EM PLACAS PARA SANITARIOS</t>
  </si>
  <si>
    <t>DE PLACAS DE FIBRO CIMENTO</t>
  </si>
  <si>
    <t>DE DIVISORIAS EM CHAPAS DE MADEIRA, INCLUSIVE ENTARUGAMENTO</t>
  </si>
  <si>
    <t>DE DIVISORIAS EM CHAPA DE MADEIRA,EXCLUSIVE ENTARUGAMENTO</t>
  </si>
  <si>
    <t>DE PAINEIS DIVISORIAS COM MONTANTES METALICAS</t>
  </si>
  <si>
    <t>RECOLOCACAO -ALVENARIA E OUTROS ELEMENTOS DIVISORIOS</t>
  </si>
  <si>
    <t>DE DIVISORIAS EM CHAPAS DE MADEIRA INCLUSIVE ENTARUGAMENTO</t>
  </si>
  <si>
    <t>DE DIVISORIAS EM CHAPAS DE MADEIRA EXCLUSIVE ENTARUGAMENTO</t>
  </si>
  <si>
    <t>DE PAINEIS DIVISORIOS COM MONTANTES METALICAS</t>
  </si>
  <si>
    <t>RECOLOCACOES DE ALVENARIA E OUTROS ELEMENTOS DIVISORIOS</t>
  </si>
  <si>
    <t>CONSERVACAO - ALVENARIA E OUTROS ELEMENTOS DIVISORIOS</t>
  </si>
  <si>
    <t>ALVENARIA DE CHAPAS DE CONCRETO CELULAR SIMPLES E=10 CM</t>
  </si>
  <si>
    <t>DIVISORIA DE CHAPA COMPENSADO PINHO E=4MM AMBAS FACES,INCL ENTARUG</t>
  </si>
  <si>
    <t>DIVISORIA CHAPA COMPENSADO CEDRO DE E=4MM AMBAS FACES INCL ENTARUG</t>
  </si>
  <si>
    <t>DIVISORIAS DE CHAPAS DURATEX OU SIMILAR,INCL ENTARUGAMENTO</t>
  </si>
  <si>
    <t>CHAPA DURATEX OU SIMILAR</t>
  </si>
  <si>
    <t>DIVISORIAS DE CHAPAS DIVILUX OU SIMILAR</t>
  </si>
  <si>
    <t>SERVICOS DE ALVENARIA E OUTROS ELEMENTOS DIVISORIOS</t>
  </si>
  <si>
    <t>PM-67 PORTA DE MADEIRA MACHO/FEMEA P/ PINT. BAT. MET. L=82CM</t>
  </si>
  <si>
    <t>PM-68 PORTA DE MADEIRA MACHO/FEMEA P/ PINT. BAT. MET. L=92CM</t>
  </si>
  <si>
    <t>PM-04 PORTA DE MADEIRA SARRAFEADA P/ PINT. BAT. MADEIRA L=82CM</t>
  </si>
  <si>
    <t>PM-05 PORTA DE MADEIRA SARRAFEADA P/ PINT. BAT. MADEIRA L=92CM</t>
  </si>
  <si>
    <t>PM-69 PORTA DE MADEIRA MACHO/FEMEA P/ PINT. BAT. MET. L=124CM</t>
  </si>
  <si>
    <t>PM-08 PORTA DE MADEIRA SARRAFEADA P/ PINT. BAT. MADEIRA L=124CM</t>
  </si>
  <si>
    <t>PM-19 PORTA DE MADEIRA MACHO/FEMEA P/ PINT. BAT. MADEIRA L=62CM</t>
  </si>
  <si>
    <t>PM-20 PORTA DE MADEIRA MACHO/FEMEA P/ PINT. BAT. MADEIRA L=82CM</t>
  </si>
  <si>
    <t>PM-21 PORTA DE MADEIRA MACHO/FEMEA P/ PINT. BAT. MADEIRA L=92CM</t>
  </si>
  <si>
    <t>PM-22 PORTA DE MADEIRA MACHO/FEMEA P/ PINT. BAT. MADEIRA L=124CM</t>
  </si>
  <si>
    <t>PM-23 PORTA DE MADEIRA MACHO/FEMEA P/ PINT. BAT. MADEIRA L=72CM</t>
  </si>
  <si>
    <t>PM-24 PORTA DE MADEIRA SARRAFEADA P/ PINT. BAT. MADEIRA L=72CM</t>
  </si>
  <si>
    <t>PM-34 PORTA DE MADEIRA MACHO/FEMEA P/ PINT. C/ BAND. BAT. MET. L=72CM</t>
  </si>
  <si>
    <t>PM-35 PORTA DE MADEIRA MACHO/FEMEA P/ PINT. C/ BAND. BAT. MET. L=82CM</t>
  </si>
  <si>
    <t>PM-36 PORTA DE MADEIRA MACHO/FEMEA P/ PINT. C/ BAND. BAT. MET. L=92CM</t>
  </si>
  <si>
    <t>PM-37 PORTA DE MADEIRA MACHO/FEMEA P/ PINT. C/ BAND. BAT. MET. L=124CM</t>
  </si>
  <si>
    <t>PORTAS PARA DIVISORIAS CHAPA FIBRA MAD PRENS BP COM FERRAGENS</t>
  </si>
  <si>
    <t>PM-74 PORTA DE SARRAFEADO MACIÇO P/BOXES L=62CM-COMPLETA</t>
  </si>
  <si>
    <t>PM-38 PORTA DE MADEIRA MACHO/FEMEA P/ PINT. C/ BAND. BAT. MAD. L=72CM</t>
  </si>
  <si>
    <t>PM-39 PORTA DE MADEIRA MACHO/FEMEA P/ PINT. C/ BAND. BAT. MAD. L=82CM</t>
  </si>
  <si>
    <t>PM-40 PORTA DE MADEIRA MACHO/FEMEA P/ PINT. C/ BAND. BAT. MAD. L=92CM</t>
  </si>
  <si>
    <t>PM-41 PORTA DE MADEIRA MACHO/FEMEA P/ PINT. C/ BAND. BAT. MAD. L=124CM</t>
  </si>
  <si>
    <t>PM-70 PORTA DE MADEIRA SARRAFEADA P/ PINT. BAT. MET. L=72CM</t>
  </si>
  <si>
    <t>PM-71 PORTA DE MADEIRA SARRAFEADA P/ PINT. BAT. MET. L=82CM</t>
  </si>
  <si>
    <t>PM-72 PORTA DE MADEIRA SARRAFEADA P/ PINT. BAT. MET. L=92CM</t>
  </si>
  <si>
    <t>PM-73 PORTA DE MADEIRA SARRAFEADA P/ PINT. BAT. MET. L=124CM</t>
  </si>
  <si>
    <t>PM-81 PORTA DE SARRAFEADO MACIÇO P/BOXE ACESSIVEL-COMPLETA</t>
  </si>
  <si>
    <t>PM-75 PORTA SARRAFEADO MACICO SANIT. ACESSIVEL BAT. MET.</t>
  </si>
  <si>
    <t>PM-76 PORTA SARRAFEADO MACICO SANIT. ACESSIVEL BAT. MAD.</t>
  </si>
  <si>
    <t>PM-79 PORTA PARA HALL DO ELEVADOR BAT. MET.</t>
  </si>
  <si>
    <t>PM-80 PORTA PARA HALL DO ELEVADOR BAT. MAD.</t>
  </si>
  <si>
    <t>PORTA ARMARIO EMBUTIDO EM COMPENSADO 3 CM -BAT PEROBA 7 X 1,5CM</t>
  </si>
  <si>
    <t>PM-58 PORTA DE MADEIRA SARRAFEADA P/ PINT. C/ BAND. BAT. MET. L=72CM</t>
  </si>
  <si>
    <t>PM-59 PORTA DE MADEIRA SARRAFEADA P/ PINT. C/ BAND. BAT. MET. L=82CM</t>
  </si>
  <si>
    <t>PM-60 PORTA DE MADEIRA SARRAFEADA P/ PINT. C/ BAND. BAT. MET. L=92CM</t>
  </si>
  <si>
    <t>PM-61 PORTA DE MADEIRA SARRAFEADA P/ PINT. C/ BAND. BAT. MET. L=124CM</t>
  </si>
  <si>
    <t>PM-62 PORTA DE MADEIRA SARRAFEADA P/ PINT. C/ BAND. BAT. MAD. L=72CM</t>
  </si>
  <si>
    <t>PM-63 PORTA DE MADEIRA SARRAFEADA P/ PINT. C/ BAND. BAT. MAD. L=82CM</t>
  </si>
  <si>
    <t>PM-64 PORTA DE MADEIRA SARRAFEADA P/ PINT. C/ BAND. BAT. MAD. L=92CM</t>
  </si>
  <si>
    <t>PM-65 PORTA DE MADEIRA SARRAFEADA P/ PINT. C/ BAND. BAT. MAD. L=124CM</t>
  </si>
  <si>
    <t>PM-66 PORTA DE MADEIRA MACHO/FEMEA P/ PINT. BAT. MET. L=72CM</t>
  </si>
  <si>
    <t>ELEMENTOS DE MADEIRA COM ACESSORIO</t>
  </si>
  <si>
    <t>JM-01 JANELA VENEZIANA</t>
  </si>
  <si>
    <t>FERRA</t>
  </si>
  <si>
    <t>FERRAGENS</t>
  </si>
  <si>
    <t>QUADRO NEGRO / QUADROS DE AVISO</t>
  </si>
  <si>
    <t>BS-05 BANCADA PARA COZINHA - GRANITO</t>
  </si>
  <si>
    <t>BE-02 BANCADA LABORATORIO / EDUC.ART. / AULA PRATICA - L=10,80M</t>
  </si>
  <si>
    <t>BE-03 BANCADA LABORATORIO / EDUCACAO ARTISTICA / AULA PRATICA L=7,20M</t>
  </si>
  <si>
    <t>PR-08 PRATELEIRA DE GRANITO</t>
  </si>
  <si>
    <t>PR-03 PRATELEIRA DE GRANILITE - L=30CM</t>
  </si>
  <si>
    <t>*FP-01 FAIXA DE PROTECAO EM MDF</t>
  </si>
  <si>
    <t>*FP-02 GUARNICAO PARA EXPOSICAO EM MDF</t>
  </si>
  <si>
    <t>PR-09 PRATELEIRA EM GRANILITE - L=55CM</t>
  </si>
  <si>
    <t>GS-03 GUICHE PARA SECRETARIA (REVESTIMENTO LAMINADO)</t>
  </si>
  <si>
    <t>PR-10 PRATELEIRA EM GRANILITE L=70CM</t>
  </si>
  <si>
    <t>ET-05 ESTRADO DE POLIPROPILENO</t>
  </si>
  <si>
    <t>BA-07 BALCAO DE DISTRIBUICAO 1,50X0,50M(GRANITO)</t>
  </si>
  <si>
    <t>BA-12 BALCÃO DE ATENDIMENTO DE GRANITO (210X60CM)</t>
  </si>
  <si>
    <t>GS-04 GUICHE PARA SECRETARIA COM GRADE</t>
  </si>
  <si>
    <t>BA-09 BALCAO DE ADENDIMENTO 2,10X0,50M (GRANITO)</t>
  </si>
  <si>
    <t>BA-10 BALCÃO DE DISTRIB.DE GRANITO (L=350CM)</t>
  </si>
  <si>
    <t>BA-11 BALCÃO DE DEVOLUÇÃO DE GRANITO (L=70CM)</t>
  </si>
  <si>
    <t>CC-01 CUBA INOX (60X50X30 CM) INCL VALV. AMERICANA - GRANITO</t>
  </si>
  <si>
    <t>CC-O3 CUBA INOX 50X40X25CM - TORNEIRA PAREDE</t>
  </si>
  <si>
    <t>CC-04 CUBA DUPLA INOX (102X40X25 CM) INCL VALV. AMERICANA - GRANITO</t>
  </si>
  <si>
    <t>CC-05 CUBA INOX (50X40X25CM) TORNEIRA DE MESA</t>
  </si>
  <si>
    <t>COMPONENTES</t>
  </si>
  <si>
    <t>OUTROS COMPONENTES</t>
  </si>
  <si>
    <t>BI-02 BRISE EM ALETAS DE CHAPA METALICA L=0,40M</t>
  </si>
  <si>
    <t>REVESTIM INT DE ARMARIOS EMBUT-C/COMPENSADO CEDRO DE E=6MM</t>
  </si>
  <si>
    <t>CHAPA DE POLICARBONATO (LEXAN/POLYHARD) ESP=3MM</t>
  </si>
  <si>
    <t>CHAPA DE POLICARBONATO COMPACTA E=4MM</t>
  </si>
  <si>
    <t>CHAPA DE POLICARBONATO ALVEOLAR E=6MM</t>
  </si>
  <si>
    <t>RP-02 REFORCO DE FECHADURAS PARA PORTAS (RP-02)</t>
  </si>
  <si>
    <t>DE QUADRO NEGRO TIPO GREEMBOARD INCLUINDO ENTARUGAMENTO</t>
  </si>
  <si>
    <t>DE FOLHAS DE PORTAS OU JANELAS</t>
  </si>
  <si>
    <t>DE BATENTES DE ESQUADRIAS DE MADEIRA</t>
  </si>
  <si>
    <t>DE GUARNICAO OU MOLDURAS</t>
  </si>
  <si>
    <t>DE PORTA GIZ, INCLUSIVE SUPORTES</t>
  </si>
  <si>
    <t>DE FECHADURAS DE EMBUTIR</t>
  </si>
  <si>
    <t>DE CREMONA FECHO DE ALAVANCA DE EMBUTIR,TARJETAS E FECHAD SOBREPOR</t>
  </si>
  <si>
    <t>DE DOBRADICAS</t>
  </si>
  <si>
    <t>RECOLOCACAO - ELEMENTOS DE MADEIRA/COMPONENTES ESPECIAIS</t>
  </si>
  <si>
    <t>DE FOLHAS DE PORTA OU JANELA</t>
  </si>
  <si>
    <t>DE PORTA-GIZ, INCLUINDO SUPORTES</t>
  </si>
  <si>
    <t>DE CREMONA,FECHOS DE ALAVANCA EMBUTIR,TARJETAS E FECHADURAS SOBREPOR</t>
  </si>
  <si>
    <t>RECOLOCACAO DE ELEM DE MADEIRA/COMPONENTES</t>
  </si>
  <si>
    <t>CONSERVACAO - ELEMENTOS DE MADEIRA/COMPONETES ESPECIAS - PARTE 1</t>
  </si>
  <si>
    <t>PORTA COMPENS LISA IMBUIA P/ PINTURA</t>
  </si>
  <si>
    <t>PORTA COMPENS LISA IMBUIA COM VISOR</t>
  </si>
  <si>
    <t>PORTA ALMOFADADA IMBUIA</t>
  </si>
  <si>
    <t>PORTA MACHO-FEMEA IMBUIA</t>
  </si>
  <si>
    <t>PORTA TIPO VENEZIANA</t>
  </si>
  <si>
    <t>FOLHA DE PORTA LISA DE 22 MM PARA ARMARIOS</t>
  </si>
  <si>
    <t>JANELA GUILHOTINA IMBUIA: FOLHA</t>
  </si>
  <si>
    <t>BANDEIRA P/ PORTA COMPENS LISA IMBUIA P/ PINTURA</t>
  </si>
  <si>
    <t>BATENTE DE MADEIRA PARA PORTAS DE 1 FL SEM BANDEIRA</t>
  </si>
  <si>
    <t>CJ</t>
  </si>
  <si>
    <t>BATENTE DE MADEIRA PARA PORTAS DE 1 FOLHA COM BANDEIRA</t>
  </si>
  <si>
    <t>BATENTE DE MADEIRA PARA PORTA DE 2 FLS SEM BANDEIRA</t>
  </si>
  <si>
    <t>BATENTE DE MADEIRA PARA PORTAS DE 2 FLS COM BANDEIRA</t>
  </si>
  <si>
    <t>BATENTE DE MADEIRA PARA PORTAS DE BOX SANITARIO</t>
  </si>
  <si>
    <t>BATENTE DE MADEIRA PARA ARMARIO</t>
  </si>
  <si>
    <t>BATENTE DE MADEIRA PARA JANELAS</t>
  </si>
  <si>
    <t>BATENTE METALICO - PERFIL CHAPA 14 DOBRADA 57X30X42 MM</t>
  </si>
  <si>
    <t>BATENTE METALICO EM PERFIL CHAPA 16 ZINC DOBRADA 57X30X42 MM</t>
  </si>
  <si>
    <t>BATENTE METALICO EM PERFIL DE CHAPA ZINCADA</t>
  </si>
  <si>
    <t>GUARNICAO DE 5 CM PARA PORTA DE 1 FOLHA</t>
  </si>
  <si>
    <t>GUARNICAO DE 5 CM PARA PORTA DE 2 FOLHAS</t>
  </si>
  <si>
    <t>GUARNICAO MADEIRA DE 5,0CM</t>
  </si>
  <si>
    <t>GUARNICAO MADEIRA DE 7,0CM</t>
  </si>
  <si>
    <t>GUARNICAO MADEIRA DE 10,0CM</t>
  </si>
  <si>
    <t>GUARNICAO MADEIRA DE 15,0CM</t>
  </si>
  <si>
    <t>PORTA GIZ, INCLUSIVE SUPORTES</t>
  </si>
  <si>
    <t>LG-01 LOUSA QUADRICULADA L=4.61M</t>
  </si>
  <si>
    <t>CHAPA GREENBOARD DE 1,3 MM DE ESPESSURA</t>
  </si>
  <si>
    <t>LG-02 LOUSA QUADRICULADA L=2.55M</t>
  </si>
  <si>
    <t>LG-03 LOUSA EM ARGAMASSA L=4.61M</t>
  </si>
  <si>
    <t>ALCAPAO DE MADEIRA</t>
  </si>
  <si>
    <t>QUADRO NEGRO EM MASSA - COMPLETO</t>
  </si>
  <si>
    <t>FP-01 FAIXA DE PROTEÇÃO EM MDF</t>
  </si>
  <si>
    <t>FP-02 FAIXA DE EXPOSIÇÃO EM MDF</t>
  </si>
  <si>
    <t>FECHADURA COMPLETA, CILINDRICA DE EMBUTIR</t>
  </si>
  <si>
    <t>JG</t>
  </si>
  <si>
    <t>FECHADURA COMPLETA, TIPO GORGE DE EMBUTIR</t>
  </si>
  <si>
    <t>FECHADURA COMPL TIPO TARGETA DE SOBREPOR C/VISOR "LIVRE-OCUPADO"</t>
  </si>
  <si>
    <t>FECHADURA DE SOBREPOR CILINDRICA PARA PORTOES</t>
  </si>
  <si>
    <t>DOBRADICA DE 3 1/2" X 3" CROMADO, COM EIXO E BOLA DE LATAO</t>
  </si>
  <si>
    <t>DOBRADICA DE 3 1/2" X 3" EM ACO LAMINADO</t>
  </si>
  <si>
    <t>DOBRADICA FERRO CROMADO COM PINO E BOLAS DE FERRO 3" X 2 1/2"</t>
  </si>
  <si>
    <t>DOBRADICA DE 3" X 2 1/2" EM ACO LAMINADO</t>
  </si>
  <si>
    <t>CREMONA COMPLETO</t>
  </si>
  <si>
    <t>VARETA PARA CREMONA</t>
  </si>
  <si>
    <t>BORBOLETA PARA JANELAS</t>
  </si>
  <si>
    <t>PR</t>
  </si>
  <si>
    <t>FECHO TIPO UNHO DE EMBUTIR DE 10 CM</t>
  </si>
  <si>
    <t>FECHO TIPO UNHO DE EMBUTIR DE 22 CM</t>
  </si>
  <si>
    <t>FECHO TIPO UNHO DE EMBUTIR DE 40 CM</t>
  </si>
  <si>
    <t>DOBRADICA FERRO CROM C/ PINO BOLAS ANEIS FERRO 3 1/2"X3"</t>
  </si>
  <si>
    <t>FECHADURA CILINDRICA COMPLETO (FECHAD ROSETA MACAN)</t>
  </si>
  <si>
    <t>SERVICOS DE ELEMENTOS DE MADEIRA/COMPONENTES</t>
  </si>
  <si>
    <t>CONSERVACAO - ELEMENTOS DE MADEIRA/COMPONETES ESPECIAS - PARTE 2</t>
  </si>
  <si>
    <t>PORTA COMPENS LISA IMBUIA P/ VERNIZ 72X210CM</t>
  </si>
  <si>
    <t>PORTA COMPENS LISA IMBUIA P/ VERNIZ 82X210CM</t>
  </si>
  <si>
    <t>PORTA COMPENS LISA IMBUIA P/ VERNIZ 92X210CM</t>
  </si>
  <si>
    <t>PORTA COMPENS LISA IMBUIA P/ PINTURA 72X210CM</t>
  </si>
  <si>
    <t>PORTA COMPENS LISA IMBUIA P/ PINTURA 82X210CM</t>
  </si>
  <si>
    <t>PORTA COMPENS LISA IMBUIA P/ PINTURA 92X210CM</t>
  </si>
  <si>
    <t>PORTA MACHO-FEMEA IMBUIA 72X210CM</t>
  </si>
  <si>
    <t>PORTA MACHO-FEMEA IMBUIA 82X210CM</t>
  </si>
  <si>
    <t>PORTA MACHO-FEMEA IMBUIA 92X210CM</t>
  </si>
  <si>
    <t>PORTA DE ARMARIO SOB PIA TIPO VENEZIANA - DE ABRIR</t>
  </si>
  <si>
    <t>PORTA DE ARMARIO SOB PIA TIPO VENEZIANA - DE CORRER</t>
  </si>
  <si>
    <t>PORTA DE ARMARIO SOB PIA REVEST LAMINADO FENOL-MELAMINICO - DE ABRIR</t>
  </si>
  <si>
    <t>PORTA DE ARMARIO SOB PIA REVEST LAMINADO FENOL-MELAMINICO - DE CORRER</t>
  </si>
  <si>
    <t>FECHADURAS E FECHOS PARA PORTAS INT WC - TARGETA LATAO LIVRE-OCUPADO</t>
  </si>
  <si>
    <t>ESPELHOS RET 200 X 50 MM PESO MINIMO 170 G</t>
  </si>
  <si>
    <t>FECHOS DE EMBUTIR DE ALAVANCA DE 22 CM</t>
  </si>
  <si>
    <t>CHAPA LAMINADO MELAMINICO ACAB TEXTURIZADO E=1MM</t>
  </si>
  <si>
    <t>JANELAS DE MADEIRA TIPO GUILHOTINA - COM VENEZIANAS</t>
  </si>
  <si>
    <t>FERRAGEM PORTAS EXTERNAS 1 FOLHA - COM DOBRAD DE FERRO POLIDO</t>
  </si>
  <si>
    <t>FERRAGEM PORTINHOLAS ARMARIO SOB PIA - COM 2 FOLHAS DE CORRER</t>
  </si>
  <si>
    <t>CADEADO DE LATAO COM CILINDRO - TRAVA DUPLA DE 25 MM</t>
  </si>
  <si>
    <t>CADEADO DE LATAO COM CILINDRO - TRAVA DUPLA DE 35 MM</t>
  </si>
  <si>
    <t>CADEADO DE LATAO COM CILINDRO - TRAVA DUPLA DE 45 MM</t>
  </si>
  <si>
    <t>CADEADO DE LATAO COM CILINDRO - TRAVA DUPLA DE 50 MM</t>
  </si>
  <si>
    <t>CADEADO DE LATAO C/ CILINDRO-TRAVA DUPLA DE 30MM - PESO MIN 110G</t>
  </si>
  <si>
    <t>PORTA CADEADO EM FERRO PINTADO - DE 60MM - PESO MIN 25G</t>
  </si>
  <si>
    <t>PORTA CADEADO EM FERRO PINTADO - DE 90MM - PESO MIN 115G</t>
  </si>
  <si>
    <t>PORTA CADEADO EM FERRO PINTADO - DE 110MM - PESO MIN 135G</t>
  </si>
  <si>
    <t>RECOLOCACOES DE ELEM DE MADEIRA/COMPONENTES</t>
  </si>
  <si>
    <t>CONSERVACAO - ELEMENTOS DE MADEIRA/COMPONENTES ESPECIAIS - PARTE 3</t>
  </si>
  <si>
    <t>BL-01 BANCADA LATERAL PARA LABORATORIO (PARTE CIVIL)</t>
  </si>
  <si>
    <t>BL-02 BANCADA LATERAL PARA LABORATORIO (PARTE CIVIL EXCETO PORTAS)</t>
  </si>
  <si>
    <t>BS-03 BANCADA LIVRE COZINHA - GRANITO (PARTE CIVIL EXCETO PORTAS)</t>
  </si>
  <si>
    <t>TAMPO DE PIA EM GRANITO E=2CM</t>
  </si>
  <si>
    <t>ELEMENTOS METÁLICOS/COMPONENTES ESPECIAIS</t>
  </si>
  <si>
    <t>EF-01 ESQUADRIA DE FERRO 90X60CM</t>
  </si>
  <si>
    <t>EF-02 ESQUADRIA DE FERRO 90X120CM</t>
  </si>
  <si>
    <t>EF-03 ESQUADRIA DE FERRO 90X150CM</t>
  </si>
  <si>
    <t>EF-04 ESQUADRIA DE FERRO 180X60CM</t>
  </si>
  <si>
    <t>EF-05 ESQUADRIA DE FERRO 180X120CM</t>
  </si>
  <si>
    <t>EF-06 ESQUADRIA DE FERRO 180X150CM</t>
  </si>
  <si>
    <t>EF-13 ESQUADRIA DE FERRO 90X90CM</t>
  </si>
  <si>
    <t>EF-14 ESQUADRIA DE FERRO 180X90CM</t>
  </si>
  <si>
    <t>EF-15 ESQUADRIA DE FERRO / VENTILACAO CRUZADA H=30 A 45CM</t>
  </si>
  <si>
    <t>EF-16 ESQUADRIA DE FERRO FIXA L=90CM</t>
  </si>
  <si>
    <t>EF-17 ESQUADRIA DE FERRO FIXA L=180CM</t>
  </si>
  <si>
    <t>EF-18 ESQUADRIA DE FERRO / VENTILACAO PERMANENTE L=90X60CM</t>
  </si>
  <si>
    <t>EF-19 ESQUADRIA DE FERRO VENTILACAO PERMANENTE L=180X60CM</t>
  </si>
  <si>
    <t>EF-20 ESQUADRIA DE FERRO 180X180CM</t>
  </si>
  <si>
    <t>EF-21 ESQUADRIA DE FERRO 180X210CM</t>
  </si>
  <si>
    <t>EF-22 ESQUADRIA DE FERRO COM BASCULANTE L=90CM</t>
  </si>
  <si>
    <t>CAIXILHOS DE FERRO -BASCULANTES</t>
  </si>
  <si>
    <t>CAIXILHOS DE FERRO -FIXOS</t>
  </si>
  <si>
    <t>CAIXILHOS DE FERRO -FIXO COM VENTILACAO PERMANENTE</t>
  </si>
  <si>
    <t>EF-23 ESQUADRIA DE FERRO COM BASCULANTE L=180CM</t>
  </si>
  <si>
    <t>EF-24 ESQ FERRO VENEZIANA DA CAIXA DO ELEVADOR (0.80X0.40M)</t>
  </si>
  <si>
    <t>EF-25 ESQ DE FERRO VENTILACAO CRUZADA (H=60 A 80CM)</t>
  </si>
  <si>
    <t>EF-26 ESQ DE FERRO VENTILACAO CRUZADA (180X65CM)</t>
  </si>
  <si>
    <t>EF-27 ESQ DE FERRO VENTILACAO CRUZADA (180X75CM)</t>
  </si>
  <si>
    <t>EV-01 ESQUADRIA VENEZIANA DE ACO (1,20X2,00 M)</t>
  </si>
  <si>
    <t>EA-13 JANELA DE ALUMINIO - 1,80 X 1,50 M</t>
  </si>
  <si>
    <t>EA-14 JANELA DE ALUMINIO - 1,80 X 1,20 M</t>
  </si>
  <si>
    <t>EA-15 JANELA DE ALUMINIO - 1,80 X 0,60 M</t>
  </si>
  <si>
    <t>EA-16 JANELA DE ALUMINIO (0,90X0,90M)</t>
  </si>
  <si>
    <t>EA - 17 JANELA DE ALUMINIO (1,80 X0,90 M)</t>
  </si>
  <si>
    <t>EA-18 JANELA DE ALUMINIO (VENTILACAO CRUZADA) L= 180 CM</t>
  </si>
  <si>
    <t>CAIXILHOS DE ALUMINIO -BASCULANTES</t>
  </si>
  <si>
    <t>CAIXILHOS DE ALUMINIO -FIXO</t>
  </si>
  <si>
    <t>VENEZIANA INDUSTRIAL -ALETAS PVC MONTANTES ACO GALVANIZADO REF 100</t>
  </si>
  <si>
    <t>VENEZIANA INDUSTRIAL-ALETAS FIBRA DE VIDRO MONTANTES ACO GALV REF 100</t>
  </si>
  <si>
    <t>VENEZIANA INDUSTRIAL-ALETAS PVC MONTANTES ACO PRE-PINTADO REF 100</t>
  </si>
  <si>
    <t>VENEZIANA INDUSTRIAL-ALETAS FIBRA VIDRO MONTANTES ACO PRE-PINT REF 100</t>
  </si>
  <si>
    <t>VENEZIANA INDUSTRIAL-ALETAS PVC MONTANTE ALUMINIO ANODIZADO REF 100</t>
  </si>
  <si>
    <t>VENEZIANA INDUSTRIAL-ALETAS FIBRA VIDRO MONTANTES ALUM ANODIZ REF 100</t>
  </si>
  <si>
    <t>VENEZIANA INDUSTRIAL-ALETAS PVC/MONTANTES ACO GALVANIZADO/REF.50</t>
  </si>
  <si>
    <t>VENEZIANA INDUSTRIAL-ALETAS PVC/MONTANTES ALUM. ANODIZADO/REF.50</t>
  </si>
  <si>
    <t>SERVICOS EM ELEMENTOS METALICOS/COMPONENTES</t>
  </si>
  <si>
    <t>PF-11 PORTA/JANELA DE FERRO 180X260CM</t>
  </si>
  <si>
    <t>PF-20 PORTA DE FERRO COM BANDEIRA L=180CM</t>
  </si>
  <si>
    <t>PF-15 PORTA EM CHAPA DE FERRO (L=82 CM)</t>
  </si>
  <si>
    <t>PF-16 PORTA EM CHAPA DE FERRO (L=92 CM)</t>
  </si>
  <si>
    <t>PF-17 PORTA EM CHAPA DE FERRO L=102CM</t>
  </si>
  <si>
    <t>PF-19 PORTA DE FERRO P/ RESERVATORIO</t>
  </si>
  <si>
    <t>PORTA DE FERRO</t>
  </si>
  <si>
    <t>PORTA EM CHAPA DE AÇO</t>
  </si>
  <si>
    <t>PAINEL FIXO EM CH.PERFURADA (E=1,5MM D=1/2" AA 45%)</t>
  </si>
  <si>
    <t>PF-23 PORTA DE FERRO C/ BANDEIRA EM CHAPA PERFURADA L=140CM</t>
  </si>
  <si>
    <t>PF-21 PORTA DE FERRO COM BANDEIRA EM CHAPA PERFURADA L=102CM</t>
  </si>
  <si>
    <t>PF-22 PORTA DE FERRO C/ BANDEIRA EM CHAPA PERFURADA L=82CM</t>
  </si>
  <si>
    <t>PF-24 PORTA EM CHAPA DE FERRO GALVANIZADO L=82CM</t>
  </si>
  <si>
    <t>PF-25 PORTA EM CHAPA DE FERRO GALVANIZADO L=140CM</t>
  </si>
  <si>
    <t>PF-26 PORTA DE FERRO PARA HALL ELEVADOR L=90CM</t>
  </si>
  <si>
    <t>PF-27 PORTA DE FERRO 90X215CM</t>
  </si>
  <si>
    <t>PF-28 PORTA DE FERRO COM BANDEIRA 90X260CM</t>
  </si>
  <si>
    <t>PF-29 PORTA DE FERRO COM BANDEIRA EM CHAPA PERFURADA 90X260CM</t>
  </si>
  <si>
    <t>PF-30 PORTA EM CHAPA DE AÇO C/VENT.PERM (L=140CM)</t>
  </si>
  <si>
    <t>PF-31 PORTA EM CH.DE AÇO COM VENT.PERM.(L=82CM)</t>
  </si>
  <si>
    <t>PORTA DE ENROLAR EM GRADES RETANGULARES</t>
  </si>
  <si>
    <t>PT-38 PORTAO EM GRADIL ELETROFUNDIDO (345X230CM)</t>
  </si>
  <si>
    <t>PT-39 PORTAO EM GRADIL ELETROFUNDIDO (165X230CM)</t>
  </si>
  <si>
    <t>PT-40 BANDEIRA EM GRADIL ELETROFUNDIDO</t>
  </si>
  <si>
    <t>PORTÃO EM GRADIL ELETROFUNDIDO</t>
  </si>
  <si>
    <t>PT-43 PORTAO DE CORRER EM GRADIL ELETROF (360X230CM)</t>
  </si>
  <si>
    <t>PT-44 PORTAO DE CORRER EM GRADIL ELETROF (720X230CM)</t>
  </si>
  <si>
    <t>PT-45 PORTAO DE CORRER EM GRADIL ELETROF (372X230CM)</t>
  </si>
  <si>
    <t>PT-46 PORTAO DE CORRER EM GRADIL ELETROF (732X230CM)</t>
  </si>
  <si>
    <t>PT-47 PORTÃO BASCULANTE-GRADIL ELETROFUND 705X230CM (USO INT)</t>
  </si>
  <si>
    <t>PT-48 PORTÃO BASCULANTE-GRADIL ELETROFUND 525X230CM (USO INT)</t>
  </si>
  <si>
    <t>PT-49 PORTÃO BASCULANTE-GRADIL ELETROFUND 345X230CM (USO INT)</t>
  </si>
  <si>
    <t>PT-24 PORTAO GRADIL C/BANDEIRA (L MAX =360CM)</t>
  </si>
  <si>
    <t>PT-25 PORTAO EM CHAPA DE ACO C/ BANDEIRA (LMAX = 360CM</t>
  </si>
  <si>
    <t>PT-26 PORTA GRADIL ORSOMENTAL GALV A FOGO C/ BANDEIRA (LMAX=360CM)</t>
  </si>
  <si>
    <t>PORTÃO DE CORRER EM GRADIL ELETROFUNDIDO</t>
  </si>
  <si>
    <t>PORTÃO BASCULANTE EM GRADIL ELETROFUNDIDO</t>
  </si>
  <si>
    <t>ME-02 MONTANTE ESTRUTURAL VERTICAL P/ ESQUADRIAS EM VAO DE 7,20M</t>
  </si>
  <si>
    <t>ME-03 MONTANTE ESTRUTURAL HORIZONTAL P/ ESQUADRIAS</t>
  </si>
  <si>
    <t>TI-01 TAMPA DE INSPECAO - ACO</t>
  </si>
  <si>
    <t>AF-01 ALCAPAO PARA LAJE DE FORRO</t>
  </si>
  <si>
    <t>CO-06 CORRIMAO TUBULAR</t>
  </si>
  <si>
    <t>CO-08 GUARDA CORPO TUBULAR SOBRE ALVENARIA</t>
  </si>
  <si>
    <t>EM-05 ESCADA MARINHEIRO (GALVANIZADA)</t>
  </si>
  <si>
    <t>EM-06 ESCADA DE MARINHEIRO C/GUARDA CORPO GALVANIZADA</t>
  </si>
  <si>
    <t>CO-13 CORRIMAO TUBULAR INTERMEDIARIO</t>
  </si>
  <si>
    <t>CO-14 CORRIMAO E GUARDA CORPO EM ACO GALVANIZADO</t>
  </si>
  <si>
    <t>CO-15 GUARDA CORPO TUBULAR H=1,10M (USO INTERNO)</t>
  </si>
  <si>
    <t>TP-12 TELA DE PROTECAO REMOVIVEL</t>
  </si>
  <si>
    <t>CO-15 GUARDA CORPO TUBULAR H=1,30M (USO EXTERNO)</t>
  </si>
  <si>
    <t>TP-03 TELA DE PROTECAO ARAME GALVANIZADO ONDULADO-REQUADRO DE FERRO</t>
  </si>
  <si>
    <t>GRADE DE PROTECAO DE FERRO PINTADO - COM TELA EMERG.83/84</t>
  </si>
  <si>
    <t>GRADE DE PROTECAO DE FERRO PINTADO - SEM TELA EMERG.83/84</t>
  </si>
  <si>
    <t>GR-01 GRADE DE PROTECAO</t>
  </si>
  <si>
    <t>GR-02 GRADE DE PROTECAO / GUICHE (122X92 CM)</t>
  </si>
  <si>
    <t>CHAPA PERFURADA GALV 14(FUROS REDONDOS E ALTERNADOS 3/8")AREA PERF 48%</t>
  </si>
  <si>
    <t>PERFIL METALICO TUBULAR SECCAO QUADRADA 8X8CM E=3MM</t>
  </si>
  <si>
    <t>PERFIL L DE FERRO 1"X1"X1/8"</t>
  </si>
  <si>
    <t>TELA DE ARAME CONTRA INSETOS DE ARAME GALV</t>
  </si>
  <si>
    <t>CO-16 CORRIMAO TUBULAR DUPLO</t>
  </si>
  <si>
    <t>CO-17 CORRIMAO TUBULAR DUPLO LATERAL</t>
  </si>
  <si>
    <t>CO-18 CORRIMÃO DUPLO</t>
  </si>
  <si>
    <t>CO-19 CORRIMÃO DUPLO COM MONTANTE VERTICAL</t>
  </si>
  <si>
    <t>CO-20 CORRIMÃO DUPLO INTERMEDIÁRIO</t>
  </si>
  <si>
    <t>CO-21 CORRIMÃO SIMPLES</t>
  </si>
  <si>
    <t>CO-22 CORRIMÃO SIMPLES COM MONTANTE VERTICAL</t>
  </si>
  <si>
    <t>CO-23 CORRIMÃO SIMPLES INTERMEDIÁRIO</t>
  </si>
  <si>
    <t>CO-24 GUARDA CORPO TUBULAR SOBRE ALVENARIA</t>
  </si>
  <si>
    <t>CO-25 GUARDA CORPO METÁLICO C/CHAPA LISA (H=110CM)</t>
  </si>
  <si>
    <t>CO-25 GUARDA CORPO METÁLICO C/CHAPA LISA (130CM)</t>
  </si>
  <si>
    <t>CO-26 GUARDA CORPO METÁLICO C/CHAPA PERFURADA (H=110CM)</t>
  </si>
  <si>
    <t>CO-26 GUARDA CORPO METÁLICO C/CHAPA PERFURADA (H=130CM)</t>
  </si>
  <si>
    <t>BARRA DE APOIO P/DEFICIENTES EM LATAO CROMADO</t>
  </si>
  <si>
    <t>QE-36 REDE DE PROTECAO PARA QUADRAS DE ESPORTES</t>
  </si>
  <si>
    <t>QE-38 TABELA DE BASQUETE (FUNDACAO DIRETA)</t>
  </si>
  <si>
    <t>QE-39 TABELA DE BASQUETE (LAJE ALVEOLAR)</t>
  </si>
  <si>
    <t>QE-40 TABELA DE BASQUETE (PRE-LAJE TRELICADA)</t>
  </si>
  <si>
    <t>QE-41 TABELA DE BASQUETE (SOMENTE TRELICA - FIXACAO PAREDE/PILAR)</t>
  </si>
  <si>
    <t>QE-42 POSTE PARA REDE DE VOLEIBOL (FUNDACAO DIRETA)</t>
  </si>
  <si>
    <t>QE-43 POSTE PARA REDE VOLEIBOL (LAJE ALVEOLAR)</t>
  </si>
  <si>
    <t>QE-44 POSTE PARA REDE VOLEIBOL (PRE-LAJE TRELICADA)</t>
  </si>
  <si>
    <t>QE-45 TRAVE DE FUTEBOL DE SALAO (FUNDACAO DIRETA)</t>
  </si>
  <si>
    <t>QE-46 TRAVE DE FUTEBOL DE SALAO (LAJE ALVEOLAR)</t>
  </si>
  <si>
    <t>QE-47 TRAVE DE FUTEBOL DE SALAO (PRE-LAJE TRELICADA)</t>
  </si>
  <si>
    <t>CAIXILHARIA EM ALUMINIO</t>
  </si>
  <si>
    <t>CAIXILHARIA EM FERRO</t>
  </si>
  <si>
    <t>DEGRAUS DE ESCADA DE MARINHEIRO EM GRAMPOS</t>
  </si>
  <si>
    <t>DE ESQUADRIAS METALICAS</t>
  </si>
  <si>
    <t>RETIRADA DE TELA</t>
  </si>
  <si>
    <t>DE BATENTES</t>
  </si>
  <si>
    <t>DE BRACO DE ALAVANCA</t>
  </si>
  <si>
    <t>DE ALAVANCA</t>
  </si>
  <si>
    <t>DE PUXADOR DE ENGATE PARA CAIXILHO DE CORRER</t>
  </si>
  <si>
    <t>DE ESCADA DE MARINHEIRO COM GUARDA-CORPO</t>
  </si>
  <si>
    <t>RECOLOCACAO DE TELA</t>
  </si>
  <si>
    <t>DE ESCADA MARINHEIRO COM GUARDA CORPO</t>
  </si>
  <si>
    <t>RECOLOCACOES DE ELEMENTOS METALICOS/COMPONENTES</t>
  </si>
  <si>
    <t>CONSERVACAO - ELEMENTOS METALICOS/COMPONENTES ESPECIAIS</t>
  </si>
  <si>
    <t>CAIXILHO BASCULANTE EM PERFIL DE FERRO</t>
  </si>
  <si>
    <t>CAIXILHO FIXO EM PERFIL DE FERRO</t>
  </si>
  <si>
    <t>CAIXILHO DE CORRER EM PERFIL DE FERRO</t>
  </si>
  <si>
    <t>FOLHA PARA CAIXILHO DE CORRER EM PERFIL DE FERRO</t>
  </si>
  <si>
    <t>CAIXILHO MAXIMAR DE FERRO</t>
  </si>
  <si>
    <t>PORTA DE ABRIR COM BATENTE EM CHAPA DE FERRO</t>
  </si>
  <si>
    <t>PORTA PANTOGRAFICA</t>
  </si>
  <si>
    <t>PORTA DE ENROLAR EM TIRAS ARTICULADAS</t>
  </si>
  <si>
    <t>PORTAO DE 1 FOLHA DE TUBOS E TELA GALVANIZADOS COM PORTA CADEADO</t>
  </si>
  <si>
    <t>PORTAO DE 2 FOLHAS DE TUBO E TELA GALVANIZADOS COM PORTA CADEADO</t>
  </si>
  <si>
    <t>TELA DE PROTEC P/CAIXILHO C/REQ DE PERFIL DE FERRO E TELA ARAME GALV</t>
  </si>
  <si>
    <t>TELA MOSQUITEIRO COM REQUADRO DE PERFIL DE FERRO</t>
  </si>
  <si>
    <t>CHAPA DE FERRO N 14, INCLUSIVE SOLDAGEM</t>
  </si>
  <si>
    <t>ALCAPAO EM CHAPA DE FERRO COM PORTA CADEADO</t>
  </si>
  <si>
    <t>COLUNA DE BATENTE MOVEL PARA PORTAS DE ENROLAR</t>
  </si>
  <si>
    <t>BRACO DE ALAVANCA DE FERRO</t>
  </si>
  <si>
    <t>ALAVANCA PARA CAIXILHO BASCULANTE</t>
  </si>
  <si>
    <t>PUXADORES DE ENGATE EM LATAO CROMADO PARA CAIXILHO DE CORRER</t>
  </si>
  <si>
    <t>CADEADO E PORTA CADEADO</t>
  </si>
  <si>
    <t>LUBRIFICACAO DE CAIXILHO E TROCA DE REBITES</t>
  </si>
  <si>
    <t>FERRO TRABALHADO (CAIXILHO)</t>
  </si>
  <si>
    <t>CAIXILHO FIXO EM ALUMINIO ANODIZADO</t>
  </si>
  <si>
    <t>CAIXILHO DE CORRER EM ALUMINIO ANODIZADO</t>
  </si>
  <si>
    <t>FOLHA PARA CAIXILHO DE CORRER EM ALUMINIO ANODIZADO</t>
  </si>
  <si>
    <t>CAIXILHO MAXIMAR EM ALUMINIO ANODIZADO</t>
  </si>
  <si>
    <t>BRACO DE ALAVANCA DE ALUMINIO</t>
  </si>
  <si>
    <t>PUXADOR DE ENGATE DE ALUMINIO TIPO "BICO DE PAPAGAIO"</t>
  </si>
  <si>
    <t>ESTRUTURAS DE COBERTURA EM MADEIRAS DE LEI</t>
  </si>
  <si>
    <t>EM TESOURAS PARA TELHAS CERAMICAS - VAOS ATE 7.00 M</t>
  </si>
  <si>
    <t>EM TESOURAS PARA TELHAS CERAMICAS - VAOS DE 7.01 A 10.00 M</t>
  </si>
  <si>
    <t>EM TESOURAS PARA TELHAS CERAMICAS - VAOS DE 10.01 A 13.00 M</t>
  </si>
  <si>
    <t>EM TESOURAS PARA TELHAS CERAMICAS - VAOS DE 13.01 A 18.00 M</t>
  </si>
  <si>
    <t>EM TESOURAS PARA TELHAS OND CIM-AM/AL/PLAST - VAOS ATE 7,00 M</t>
  </si>
  <si>
    <t>EM TESOURAS PARA TELHAS OND CIM-AM/AL/PLAST - VAOS DE 7.01 A 10,00 M</t>
  </si>
  <si>
    <t>EM TESOURAS PARA TELHAS OND CIM-AM/AL/PLAST - VAOS DE 10.01 A 13,00 M</t>
  </si>
  <si>
    <t>EM TESOURAS PARA TELHAS OND CIM-AM/AL/PLAST - VAOS DE 13,01 A 18,00 M</t>
  </si>
  <si>
    <t>EM TERCAS PARA TELHAS CERAMICAS</t>
  </si>
  <si>
    <t>EM TERCAS PARA TELHAS DE CIM-AM/AL/PLAST</t>
  </si>
  <si>
    <t>EM TERCAS PARA TELHAS TRAPEZOIDAIS</t>
  </si>
  <si>
    <t>EM TRELICAS PARA TELHAS ONDULADAS CIM-AM - PROJ.MOD.81</t>
  </si>
  <si>
    <t>PECAS DE MADEIRA MACICA</t>
  </si>
  <si>
    <t>ESTRUTURAS DE COBERTURA</t>
  </si>
  <si>
    <t>FORNECIMENTO DE ESTRUTURA METALICA EM ALUMINIO (ESPACIAL)</t>
  </si>
  <si>
    <t>MONTAGEM DE ESTRUTURA METALICO EM ALUMINIO (ESPACIAL)</t>
  </si>
  <si>
    <t>FORNECIMENTO E MONTAGEM DE ESTRUTURA METALICA - MULTIVIGAS</t>
  </si>
  <si>
    <t>TELHAS DE BARRO FRANCESA</t>
  </si>
  <si>
    <t>TELHAS DE BARRO PAULISTA</t>
  </si>
  <si>
    <t>TELHAS DE BARRO PLAN</t>
  </si>
  <si>
    <t>TELHA DE BARRO ROMANA</t>
  </si>
  <si>
    <t>TELHA DE BARRO PORTUGUESA</t>
  </si>
  <si>
    <t>TELHA DE BARRO COLONIAL</t>
  </si>
  <si>
    <t>TELHAS DE VIDRO PLAN</t>
  </si>
  <si>
    <t>TELHAS DE VIDRO PAULISTA</t>
  </si>
  <si>
    <t>TELHAS DE VIDRO FRANCESA</t>
  </si>
  <si>
    <t>TELHAS DE VIDRO ROMANA</t>
  </si>
  <si>
    <t>TELHA DE FIBROCIMENTO ONDULADA E=6MM</t>
  </si>
  <si>
    <t>TELHA DE FIBROCIMENTO ONDULADA E=8MM</t>
  </si>
  <si>
    <t>TELHA DE FIBROCIMENTO MAX H=125MM E=8MM</t>
  </si>
  <si>
    <t>TELHAS DE VIDRO PORTUGUESA</t>
  </si>
  <si>
    <t>TELHA DE VIDRO COLONIAL</t>
  </si>
  <si>
    <t>TELHA DE FIBROCIMENTO TRAPEZOIDAL C/ 43CM</t>
  </si>
  <si>
    <t>TELHA DE FIBROCIMENTO TRAPEZOIDAL C/ 49CM</t>
  </si>
  <si>
    <t>TELHA DE FIBROCIMENTO TRAPEZOIDAL C/ 90CM</t>
  </si>
  <si>
    <t>TELHA TECNOLOGIA CRFS MODULAR E=8MM</t>
  </si>
  <si>
    <t>TELHA TECNOLOGIA CRFS TRAPEZOIDAL 44CM E=8MM</t>
  </si>
  <si>
    <t>TELHA DE FIBROCIMENTO MODULADA</t>
  </si>
  <si>
    <t>TELHA TECNOLOGIA CRFS TRAPEZOIDAL 90CM E=8MM</t>
  </si>
  <si>
    <t>TELHA DE ALUMINIO ONDULADA ACAB. NATURAL E=0,5MM</t>
  </si>
  <si>
    <t>TELHA DE ALUMINIO ONDULADA ACAB. NATURAL E=0,7MM</t>
  </si>
  <si>
    <t>TELHA DE ALUMINIO TRAPEZOIDAL ACAB. NATURAL E=0,5MM</t>
  </si>
  <si>
    <t>TELHA DE ALUMINIO TRAPEZOIDAL ACAB. NATURAL E=0,7MM</t>
  </si>
  <si>
    <t>TELHA DE POLIESTER (PERFIL DA ONDULADA ALUMINIO) - E=1,2MM</t>
  </si>
  <si>
    <t>TELHA DE PVC RIGIDO TRANSLUCIDA - PERFIL FIBROCIMENTO ONDULADA</t>
  </si>
  <si>
    <t>TELHA DE POLIESTER (PERFIL DA TRAPEZOIDAL ALUMINIO) - E=1,2MM</t>
  </si>
  <si>
    <t>TELHA CALANDRADA ACO GALV NATURAL ONDULADA E=0,80MM</t>
  </si>
  <si>
    <t>TELHA DE CONCRETO CINZA PEROLA / NATURAL</t>
  </si>
  <si>
    <t>TELHA DE CONCRETO COLORIDA</t>
  </si>
  <si>
    <t>TELHA DE ACO GALV PINT 1 FACE PO OU COIL-COATING ONDULADA E=0,5 MM</t>
  </si>
  <si>
    <t>TELHA CALANDRADA ACO GALVANIZADA PINTADA 1 FACE OND E=0,80MM</t>
  </si>
  <si>
    <t>TELHA DE ACO GALV PINT 1 FACE PO OU COIL-COATING ONDULADA E=0,65MM</t>
  </si>
  <si>
    <t>TELHA ACO GALV PINT 1 FACE PO/COIL-COATING TRAPEZ E=0,5MM H ATE 40MM</t>
  </si>
  <si>
    <t>TELHA ACO GALV PINT 1 FACE PO/COIL-COATING TRAPEZ E=0,65MM H ATE 40MM</t>
  </si>
  <si>
    <t>TELHA ACO GALV PINT 1 FACE PO/COIL-COATING TRAPEZ E=0,5MM H=100MM</t>
  </si>
  <si>
    <t>TELHA ACO GALV PINT 1 FACE PO/COIL-COATING TRAPEZ E=0,65MM H=100MM</t>
  </si>
  <si>
    <t>TELHA DE ACO GALV PINT 1 FACE PO OU COIL-COATING ONDULADA E=0.8MM</t>
  </si>
  <si>
    <t>TELHA DE POLIESTER (PERFIL DA ONDULADA FIBROCIMENTO)</t>
  </si>
  <si>
    <t>TELHA DE POLIESTER (PERFIL DA CANALETE 49/KALHETA)</t>
  </si>
  <si>
    <t>TELHA DE POLIESTER (PERFIL DA CANALETA 90/KACHETAO)</t>
  </si>
  <si>
    <t>TELHA DE POLIESTER (PERFIL DA MAXIPLAC)</t>
  </si>
  <si>
    <t>TELHA DE POLIESTER (PERFIL DA ONDULADA ACO) - E=1,2MM</t>
  </si>
  <si>
    <t>TELHA DE POLIESTER (PERFIL DA TRAPEZOIDAL ACO H ATE 40MM) - E=1,2MM</t>
  </si>
  <si>
    <t>TELHA DE POLIESTER (PERFIL DA TRAPEZOIDAL ACO H=100MM) - E=1,2MM</t>
  </si>
  <si>
    <t>TELHA DE POLIESTER (PERFIL DA ONDULADA CRFS) - E=1,2MM</t>
  </si>
  <si>
    <t>TELHA ACO GALV PINT 1 FACE PO/COIL-COATING TRAPEZ E=0,8MM H=40MM</t>
  </si>
  <si>
    <t>TELHA ACO GALV PINT 1 FACE PO/COIL-COATING TRAPEZ E=0,8MM H=100MM</t>
  </si>
  <si>
    <t>TELHA DE ACO GALV. ACAB. NATURAL OND. E=0,5MM</t>
  </si>
  <si>
    <t>TELHA DE ACO GALV.ACAB. NATURAL OND.E=0,65MM</t>
  </si>
  <si>
    <t>TELHA DE ACO GALV.ACAB. NATURAL OND.E=0,8MM</t>
  </si>
  <si>
    <t>TELHA DE ACO GALV.ACAB.NATURAL TRAPEZ.E=0,5MM H= ATÉ 40,0MM</t>
  </si>
  <si>
    <t>TELHA DE ACO GALV.ACAB. NATURAL TRAPEZ.E=0,5MM H=100,0MM</t>
  </si>
  <si>
    <t>TELHA DE ACO GALV. ACAB.NATURAL TRAPEZ.E=0,65MM H= ATÉ40,0MM</t>
  </si>
  <si>
    <t>TELHA DE ACO GALV.ACAB.NATURAL TRAPEZ. E=0,65MM H=100,0MM</t>
  </si>
  <si>
    <t>TELHA DE ACO GALV.ACAB.NATURAL TRAPEZ. E=0,8MM H=40,0MM</t>
  </si>
  <si>
    <t>TELHA DE ACO GALV.ACAB.NATURAL TRAPEZ.E=0,8MM H=100,0MM</t>
  </si>
  <si>
    <t>TELHA ACO GALV AUTO PORTANTE ACAB NATURAL E=0,8MM H=180MM</t>
  </si>
  <si>
    <t>TELHA CALANDRADA ACO GALV PINT 1 FACE PO/COIL-COATING OND E=0,65MM</t>
  </si>
  <si>
    <t>TELHA MULTIDOBRA/CALANDRADA ACO GALV PINT 1 FACE TRAP E=0,8MM</t>
  </si>
  <si>
    <t>TELHA MULTIDOBRA/CALANDRADA ACO GALV PINT 1 FACE TRAP E=0,65MM</t>
  </si>
  <si>
    <t>TELHA CALANDRADA ACO GALV NATURAL OND E=0,65MM</t>
  </si>
  <si>
    <t>TELHA MULTIDOBRA/CALANDRADA ACO GALVANIZADA NATURAL TRAP E=0,80MM</t>
  </si>
  <si>
    <t>TELHA MULTIDOBRA/CALANDRADA ACO GALVANIZADA NATURAL TRAP E=0,65MM</t>
  </si>
  <si>
    <t>TELHA ACO GALV AUTO PORTANTE ACAB NATURAL E=0,8MM H=260MM</t>
  </si>
  <si>
    <t>TELHA ACO GALV AUTOPORTANTE SAND LA DE ROCHA ACAB NAT E=0,8MM H=260MM</t>
  </si>
  <si>
    <t>TELHA ACO GALV AUTOPORTANTE SAND LA DE ROCHA ACAB NAT E=0,8MM H=180MM</t>
  </si>
  <si>
    <t>TELHA TECNOLOGIA CRFS ONDULADA E=6MM</t>
  </si>
  <si>
    <t>TELHA TECNOLOGIA CRFS ONDULADA E=8MM</t>
  </si>
  <si>
    <t>TELHA ACO GALV TRAP SAND POLIURETANO PINT 1 FACE CHAPA 0,5MM E=30MM</t>
  </si>
  <si>
    <t>TELHA ACO GALV TRAP SAND POLIURETANO PINT 1 FACE CHAPA 0,5MM E=50MM</t>
  </si>
  <si>
    <t>COBERTURAS</t>
  </si>
  <si>
    <t>CUMEEIRA E ESPIGAO EMBOCADOS PARA TELHA DE BARRO FRANCESA</t>
  </si>
  <si>
    <t>*CUMEEIRAS E ESPIGOES EMBOCADOS PARA TELHA DE BARRO PAULISTA</t>
  </si>
  <si>
    <t>*CUMEEIRAS E ESPIGOES EMBOCADOS PARA TELHA DE BARRO PLAN</t>
  </si>
  <si>
    <t>*CUMEEIRAS E ESPIGOES DE BARRO EMBOCADOS PARA TIPO ROMANA</t>
  </si>
  <si>
    <t>CUMEEIRA ACO GALV NATURAL P/ TELHA ZIPADA(PERFIL 305MM)FORNEC/MONT</t>
  </si>
  <si>
    <t>CUMEEIRA NORMAL P/ TELHA TECNOLOGIA CRFS ONDULADA</t>
  </si>
  <si>
    <t>CUMEEIRA ARTICULADA P/ TELHA TECNOLOGIA CRFS ONDULADA</t>
  </si>
  <si>
    <t>CUMEEIRA SHED P/ TELHA TECNOLOGIA CRFS ONDULADA</t>
  </si>
  <si>
    <t>CUMEEIRA NORMAL PARA TELHA DE FIBROCIMENTO ONDULADA</t>
  </si>
  <si>
    <t>CUMEEIRA ARTICULADA PARA TELHA DE FIBROCIMENTO ONDULADA</t>
  </si>
  <si>
    <t>CUMEEIRA SHED PARA TELHA DE FIBROCIMENTO ONDULADA</t>
  </si>
  <si>
    <t>CUMMEIRA ARTICULADA DE VENTILACAO PARA TELHA FIBROCIMENTO ONDULADA</t>
  </si>
  <si>
    <t>CUMEEIRA ARTICULADA DE VENTILACAO P/ TELHA TECNOLOGIA CRFS ONDULADA</t>
  </si>
  <si>
    <t>CUMEEIRA NORMAL PARA TELHA FIBROCIMENTO MODULADA</t>
  </si>
  <si>
    <t>CUMEEIRA ARTICULADA PARA TELHA FIBROCIMENTO MODULADA</t>
  </si>
  <si>
    <t>CUMEEIRA UNIVERSAL PARA TELHA FIBROCIMENTO ONDULADA</t>
  </si>
  <si>
    <t>CUMEEIRA SHED PARA TELHA DE ALUMINIO TRAPEZOIDAL</t>
  </si>
  <si>
    <t>ESPIGAO NORMAL P/ TELHA TECNOLOGIA CRFS ONDULADA</t>
  </si>
  <si>
    <t>CUMEEIRA NORMAL P/ TELHA DE FIBROCIMENTO TRAPEZOIDAL C/ 43CM</t>
  </si>
  <si>
    <t>CUMEEIRA NORMAL P/ TELHA DE FIBROCIMENTO TRAPEZOIDAL C/ 49CM</t>
  </si>
  <si>
    <t>CUMEEIRA NORMAL P/ TELHA DE FIBROCIMENTO TRAPEZOIDAL C/ 90CM</t>
  </si>
  <si>
    <t>CUMEEIRA ARTICULADA P/ TELHA DE FIBROCIMENTO TRAPEZOIDAL C/ 49CM</t>
  </si>
  <si>
    <t>CUMEEIRA ARTICULADA P/ TELHA DE FIBROCIMENTO TRAPEZOIDAL C/ 90CM</t>
  </si>
  <si>
    <t>TELHA DE VENTILACAO P/ TELHA TECNOLOGIA CRFS ONDULADA</t>
  </si>
  <si>
    <t>TELHA DE CLARABOIA P/ TELHA TECNOLOGIA CRFS ONDULADA</t>
  </si>
  <si>
    <t>ARESTA P/ TELHA TECNOLOGIA CRFS ONDULADA</t>
  </si>
  <si>
    <t>CUMEEIRA SHED PARA TELHA DE ALUMINIO ONDULADA ACAB. NATURAL</t>
  </si>
  <si>
    <t>CUMEEIRA PARA TELHA DE ALUMINIO ONDULADA ACAB. NATURAL E=0,8MM</t>
  </si>
  <si>
    <t>CUMEEIRA PARA TELHA DE ALUMINIO TRAPEZOIDAL ACAB. NATURAL E=0,8MM</t>
  </si>
  <si>
    <t>CUMEEIRA ACO PINT PO/COIL-COATING PERFIL OND/TRAP E=0,65MM H ATE 40MM</t>
  </si>
  <si>
    <t>CUMEEIRA DE ACO PINT PO OU COIL-COATING LISA OU LISA DENTADA E=0.5MM</t>
  </si>
  <si>
    <t>DOMOS P/ VENTILACAO P/ TELHA TECNOLOGIA CRFS ONDULADA</t>
  </si>
  <si>
    <t>CUMEEIRA ACO GALV PINT PO/COIL-COATING PERFIL TRAPEZ H=100MM E=0,65MM</t>
  </si>
  <si>
    <t>ESPIGAO NORMAL PARA TELHA FIBROCIMENTO ONDULADA</t>
  </si>
  <si>
    <t>RUFO P/ TELHA TECNOLOGIA CRFS ONDULADA</t>
  </si>
  <si>
    <t>CUMEEIRA DE ACO NATURAL LISA OU LISA DENTADA E=0,5MM</t>
  </si>
  <si>
    <t>CUMEEIRA DE ACO NATURAL PERFIL ONDUL OU TRAP E=0,65MM H ATE 40MM</t>
  </si>
  <si>
    <t>CUMEEIRA DE ACO GALV NATURAL PERFIL TRAP E=0,5MM H=100MM</t>
  </si>
  <si>
    <t>TELHA DE VENTILACAO EM TELHADO DE FIBROCIMENTO ONDULADO</t>
  </si>
  <si>
    <t>RUFO DE ACO NATURAL SIMPLES E=0,5MM</t>
  </si>
  <si>
    <t>RUFO LISO DE ACO GALV NATURAL E=0,65MM CORTE ATE 300MM</t>
  </si>
  <si>
    <t>TELHA DE CLARABOIA EM TELHADO DE FIBROCIMENTO ONDULADO</t>
  </si>
  <si>
    <t>RUFO LISO DE ACO GALV NATURAL E=0,65MM CORTE ATE 400MM</t>
  </si>
  <si>
    <t>RUFO LISO DE ACO GALV NATURAL E=0,65MM CORTE ATE 600MM</t>
  </si>
  <si>
    <t>RUFO LISO DE ACO GALV NATURAL E=0,65MM CORTE ACIMA DE 600MM</t>
  </si>
  <si>
    <t>ARESTA PARA TELHA DE FIBROCIMENTO ONDULADA</t>
  </si>
  <si>
    <t>RUFO LISO DE ALUMINIO ACAB. NATURAL E=0,8MM CORTE 0,16M</t>
  </si>
  <si>
    <t>RUFO LISO DE ALUMINIO ACAB. NATURAL E=O,8MM CORTE 0,25M</t>
  </si>
  <si>
    <t>RUFO LISO DE ALUMINIO ACAB. NATURAL E=0,8MM CORTE 0,33M</t>
  </si>
  <si>
    <t>RUFO LISO DE ALUMINIO ACAB. NATURAL E=0,8MM CORTE 0,50M</t>
  </si>
  <si>
    <t>RUFO LISO DE ALUMINIO ACAB. NATURAL E=0,8MM CORTE 1,00M</t>
  </si>
  <si>
    <t>RUFO PARA TELHA FIBROCIMENTO MODULADA</t>
  </si>
  <si>
    <t>RUFO DENTADO ACO GALV NATURAL E=0,65MM CORTE ATE 300MM</t>
  </si>
  <si>
    <t>RUFO DENTADO ACO GALV NATURAL E=0,65MM CORTE ATE 400MM</t>
  </si>
  <si>
    <t>RUFO DENTADO ACO GALV NATURAL E=0,65MM CORTE ATE 600MM</t>
  </si>
  <si>
    <t>DOMOS PARA VENTILACAO DE FIBRO-CIMENTO</t>
  </si>
  <si>
    <t>DOMO DE ACRILICO COM CAIXILHO DE ALUMINIO</t>
  </si>
  <si>
    <t>TAMPAO P/ TELHA DE FIBROCIMENTO TRAPEZOIDAL C/ 43CM</t>
  </si>
  <si>
    <t>TAMPAO P/ TELHA DE FIBROCIMENTO TRAPEZOIDAL C/ 49CM</t>
  </si>
  <si>
    <t>TAMPAO P/ TELHA DE FIBROCIMENTO TRAPEZOIDAL C/ 90CM</t>
  </si>
  <si>
    <t>RUFO DENTADO ACO GALV NATURAL E=0,65MM CORTE ACIMA DE 600MM</t>
  </si>
  <si>
    <t>PLACA P/ VENTILACAO DE CUMEEIRA P/ TELHA FIBROCIMENTO ONDULADA</t>
  </si>
  <si>
    <t>PLACA DE VENTILACAO P/ TELHA FIBROCIMENTO TRAPEZOIDAL C/ 43CM</t>
  </si>
  <si>
    <t>PLACA DE VENTILACAO P/ TELHA FIBROCIMENTO TRAPEZOIDAL C/ 49CM</t>
  </si>
  <si>
    <t>PLACA DE VENTILACAO P/ TELHA FIBROCIMENTO TRAPEZOIDAL C/ 90CM</t>
  </si>
  <si>
    <t>*CUMEEIRAS E ESPIGOES DE BARRO EMBOCADOS PARA TIPO PORTUGUESA</t>
  </si>
  <si>
    <t>RUFO PARA TELHA DE FIBROCIMENTO TRAPEZOIDAL C/ 49CM</t>
  </si>
  <si>
    <t>RUFO PARA TELHA DE FIBROCIMENTO TRAPEZOIDAL C/ 90CM</t>
  </si>
  <si>
    <t>*CUMEEIRAS E ESPIGOES DE BARRO EMBOCADOS PARA TIPO COLONIAL</t>
  </si>
  <si>
    <t>RUFO PARA TELHA FIBROCIMENTO ONDULADA</t>
  </si>
  <si>
    <t>RUFO DENTADO ACO GALV PINT PO/COIL-COATING E=0,65MM CORTE ATE 300MM</t>
  </si>
  <si>
    <t>RUFO DENTADO ACO GALV PINT PO/COIL-COATING E=0,65MM CORTE ATE 400MM</t>
  </si>
  <si>
    <t>RUFO DENTADO ACO GALV PINT PO/COIL-COATING E=0,50MM CORTE ATE 300MM</t>
  </si>
  <si>
    <t>RUFO DENTADO ACO GALV PINT PO/COIL-COATING E=0,50MM CORTE ATE 400MM</t>
  </si>
  <si>
    <t>RUFO DENTADO ACO GALV PINT PO/COIL-COATING E=0,50MM CORTE ATE 600MM</t>
  </si>
  <si>
    <t>RUFO DENTADO ACO GALV PINT PO/COIL-COATING E=0,50MM CORTE ACIMA 600MM</t>
  </si>
  <si>
    <t>RUFO DENTADO ACO GALV PINT PO/COIL-COATING E=0,65MM CORTE ATE 600MM</t>
  </si>
  <si>
    <t>RUFO DE ACO PINTADO PO OU COIL-COATING SIMPLES E=0,5MM</t>
  </si>
  <si>
    <t>RUFO LISO ACO GALV PINT PO OU COIL-COATING E=0,65MM CORTE ATE 300MM</t>
  </si>
  <si>
    <t>RUFO LISO ACO GALV PINT PO/COIL-COATING E=0,65MM CORTE ATE 400MM</t>
  </si>
  <si>
    <t>RUFO LISO ACO GALV PINT PO/COIL-COATING E=0,65MM CORTE ATE 600MM</t>
  </si>
  <si>
    <t>RUFO LISO ACO GALV PINT PO/COIL-COATING E=0,65MM CORTE ACIMA 600MM</t>
  </si>
  <si>
    <t>RUFO LISO ACO GALV PINT PO/COIL-COATING E=0,50MM CORTE ATE 300MM</t>
  </si>
  <si>
    <t>RUFO LISO ACO GALV PINT PO/COIL-COATING E=0,50MM CORTE ATE 400MM</t>
  </si>
  <si>
    <t>RUFO LISO ACO GALV PINT PO/COIL-COATING E=0,50MM CORTE ATE 600MM</t>
  </si>
  <si>
    <t>RUFO LISO ACO GALV PINT PO/COIL-COATING E=0,50MM CORTE ACIMA 600MM</t>
  </si>
  <si>
    <t>RUFO DENTADO ACO GALV PINT PO/COIL-COATING E=0,65MM CORTE ACIMA 600MM</t>
  </si>
  <si>
    <t>RUFOS ONDULADOS DE ALUMINIO ACAB. NATURAL ESP 0,8MM</t>
  </si>
  <si>
    <t>RUFO TRAPEZOIDAL DE ALUMINIO ACAB. NATURAL ESP 0,8MM</t>
  </si>
  <si>
    <t>CONTRA RUFO ONDULADO DE ALUMINIO ESP 0,8MM</t>
  </si>
  <si>
    <t>CONTRA RUFO TRAPEZOIDAL DE ALUMINIO ESP 0,8MM</t>
  </si>
  <si>
    <t>FECHAMENTOS / VEDAÇÕES / PEÇAS PARA COBERTURA</t>
  </si>
  <si>
    <t>FECHAMENTO DE OITAO C/ TELHA ONDULADA FIBROC ESP 8 MM</t>
  </si>
  <si>
    <t>FECHAMENTO DE OITAO C/ TELHA TECNOLOGIA CRFS ONDULADA E=8MM</t>
  </si>
  <si>
    <t>FECHAMENTO TELHA PERF GALV PINT PO 2 FACES TRAP E=0,95MM H=40MM</t>
  </si>
  <si>
    <t>FECHAMENTO TELHA PERFURADA GALV PINT 2 FACES E=0,95MM H=35MM</t>
  </si>
  <si>
    <t>VEDACAO LATERAL DE COBERTURA COM TELA DE NYLON</t>
  </si>
  <si>
    <t>GRADE DE PROTECAO EM MADEIRA PINTADA (PROJ. EMERGENCIA)</t>
  </si>
  <si>
    <t>CUMEEIRA P/ TELHA AUTOP ACO GALV ACAB NAT LISA/DENT H 180MM ATE 260MM</t>
  </si>
  <si>
    <t>CUMEEIRA NORMAL PARA TELHA TECNOLOGIA CRFS MODULAR</t>
  </si>
  <si>
    <t>CUMEEIRA ARTICULADA PARA TELHA TECNOLOGIA CRFS MODULAR</t>
  </si>
  <si>
    <t>RUFO PARA TELHA TECNOLOGIA CRFS MODULAR</t>
  </si>
  <si>
    <t>CUMEEIRA NORMAL PARA TELHA TECNOLOGIA CRFS TRAPEZOIDAL 44CM</t>
  </si>
  <si>
    <t>CUMEEIRA NORMAL PARA TELMHA TECNOLOGIA CRFS TRAPEZOIDAL 90CM</t>
  </si>
  <si>
    <t>CUMEEIRA ARTICULADA PARA TELHA TECNOLOGIA CRFS TRAPEZOIDAL 90CM</t>
  </si>
  <si>
    <t>RUFO PARA TELHA TECNOLOGIA CRFS TRAPEZOIDAL 90CM</t>
  </si>
  <si>
    <t>SUB-COBERTURA COM MANTA ALUMINIZADA</t>
  </si>
  <si>
    <t>FECHAMENTOS E/OU VEDACOES</t>
  </si>
  <si>
    <t>DEMOLIÇÕES</t>
  </si>
  <si>
    <t>DEMOLICAO DE TELHA FIBRO CIMENTO TRAPEZOIDAL</t>
  </si>
  <si>
    <t>ESTRUT DE MADEIRA EM TESOURA,PONTAL OU MISTA P/TELHA BARRO SOBRE LAJE</t>
  </si>
  <si>
    <t>ESTRUTURA DE MADEIRA EM TESOURA PARA TELHAS DE BARRO SOBRE VAO LIVRE</t>
  </si>
  <si>
    <t>ESTRUT DE MADEIRA EM TESOURA,PONTAL OU MISTA P/TELHA FIBRO-CIM SB LAJE</t>
  </si>
  <si>
    <t>ESTRUT DE MADEIRA EM TESOURA,PARA TELHA DE FIBRO-CIM SOBRE VAO LIVRE</t>
  </si>
  <si>
    <t>VIGAMENTO DE APOIO P/TELHAS DE BARRO/FIBRO-CIM/AL/PLAST/PLANA PRE-FAB</t>
  </si>
  <si>
    <t>DE CAIBROS</t>
  </si>
  <si>
    <t>DE RIPAS</t>
  </si>
  <si>
    <t>DE FERRAGENS PARA ESTRUTURA DE MADEIRA</t>
  </si>
  <si>
    <t>TELHAS DE BARRO</t>
  </si>
  <si>
    <t>TELHAS DE BARRO - S/REAPROV</t>
  </si>
  <si>
    <t>CUMEEIRAS E ESPIGOES DE BARRO</t>
  </si>
  <si>
    <t>CUMEEIRAS E ESPIGOES DE BARRO - S/REAPROV</t>
  </si>
  <si>
    <t>TELHAS OND DE FIBRO-CIM/PLAST OU ALUM/PLANA PRE FAB</t>
  </si>
  <si>
    <t>TELHAS OND DE FIBRO-CIM/PLAST OU ALUM/PLANA PRE FAB - S/REAPROV</t>
  </si>
  <si>
    <t>CUMEEIRAS, ESPIGOES E RUFOS DE FIBRO-CIMENTO</t>
  </si>
  <si>
    <t>CUMEEIRAS, ESPIGOES E RUFOS DE FIBRO-CIMENTO - S/REAPROV</t>
  </si>
  <si>
    <t>RECOLOCAO</t>
  </si>
  <si>
    <t>DE VIGAS</t>
  </si>
  <si>
    <t>DE FERRAGEM PARA ESTRUTURA DE MADEIRA</t>
  </si>
  <si>
    <t>DE TELHAS DE BARRO TIPO FRANCESA / ROMANA</t>
  </si>
  <si>
    <t>DE TELHA DE BARRO TIPO PLAN</t>
  </si>
  <si>
    <t>DE TELHA DE CIMENTO-AMIANTO, PLASTICO OU ALUMINIO</t>
  </si>
  <si>
    <t>DE CUMEEIRAS E ESPIGOES DE BARRO</t>
  </si>
  <si>
    <t>DE CUMEEIRAS, ESPIGOES E RUFOS DE CIMENTO-AMIANTO</t>
  </si>
  <si>
    <t>RECOLOCACOES DE COBERTURA</t>
  </si>
  <si>
    <t>CONSERVACAO - COBERTURA</t>
  </si>
  <si>
    <t>RIPAS DE PEROBA DE 5 X 1,2 CM</t>
  </si>
  <si>
    <t>CAIBRO DE PEROBA DE 5 X 6 CM</t>
  </si>
  <si>
    <t>TABUA DE PEROBA DE 12 X 3 CM</t>
  </si>
  <si>
    <t>VIGA DE PEROBA DE 6 X 12 CM</t>
  </si>
  <si>
    <t>VIGA DE PEROBA DE 6 X 16 CM</t>
  </si>
  <si>
    <t>RIPA DE MADEIRA (GARAPERA) 5X2CM</t>
  </si>
  <si>
    <t>SARRAFO DE CEDRINHO 10X2,5CM (BRUTO)</t>
  </si>
  <si>
    <t>ML</t>
  </si>
  <si>
    <t>PECAS ESPECIAIS DE PEROBA</t>
  </si>
  <si>
    <t>PARAFUSO P/ FIXACAO TELHA FIBROC OND/MOD/MAXIPLAC 5/16" X 110 MM GALV</t>
  </si>
  <si>
    <t>PARAFUSO TIPO FRANCES, COM PORCA E ARRUELA</t>
  </si>
  <si>
    <t>FERRO CHATO EM "U" DE 2"X 1.1/4" COM PARAFUSOS, PARA PENDURAL</t>
  </si>
  <si>
    <t>ESTRIBO DE FERRO REDONDO DE DIAM 1/2", PORCAS E CHAPA</t>
  </si>
  <si>
    <t>CHAPA DE EMENDA DE 2" X 1.1/4"</t>
  </si>
  <si>
    <t>PARAFUSO PARA FIXACAO DE TELHA FIBROCIMENTO ONDULADA</t>
  </si>
  <si>
    <t>PARAFUSO OU GANCHO P/ FIXACAO TELHA FIBROCIMENTO MAX E MODULADA</t>
  </si>
  <si>
    <t>TERMINAL PARA BEIRAL DE TELHA ONDULADA - FIBROCIMENTO</t>
  </si>
  <si>
    <t>TELHAS DE VIDRO TIPO FANCESA PARA ILUMINACAO</t>
  </si>
  <si>
    <t>CUMEEIRAS E ESPIGOES DE BARRO EMBOCADAS PARA TELHAS FRANCESAS</t>
  </si>
  <si>
    <t>DE OITAO EM TABUAS DE PINHO MACHO E FEMEA</t>
  </si>
  <si>
    <t>TELHAS VOGATEX DE FIBRO-CIMENTO ESPESSURA DE 4 MM</t>
  </si>
  <si>
    <t>PARAFUSO PARA FIXACAO TELHA FIBROCIMENTO TRAPEZOIDAL C/ 43CM</t>
  </si>
  <si>
    <t>PARAFUSO PARA FIXACAO TELHA FIBROCIMENTO TRAPEZOIDAL C/ 90CM</t>
  </si>
  <si>
    <t>PARAFUSO P/ FIXACAO TELHA FIBROCIMENTO TRAPEZOIDAL C/ 0,49 M</t>
  </si>
  <si>
    <t>AMARRACAO DE TELHAS DE BARRO COM ARAME DE COBRE</t>
  </si>
  <si>
    <t>EMBOCAMENTO DE BEIRAL EM TELHAS DE BARRO</t>
  </si>
  <si>
    <t>SERVICOS DE COBERTURA</t>
  </si>
  <si>
    <t>AC-04 ABRIGO E CAVALETE DE 3/4" COMPLETO 85X65X30CM</t>
  </si>
  <si>
    <t>AC-05 ABRIGO E CAVALETE DE 1" COMPLETO 85X65X30CM</t>
  </si>
  <si>
    <t>AC-06 ABRIGO E CAVALETE DE 1 1/4" COMPLETO 200X90X40CM</t>
  </si>
  <si>
    <t>AC-07 ABRIGO E CAVALETE DE 1 1/2" COMPLETO 200X90X40CM</t>
  </si>
  <si>
    <t>AC-08 ABRIGO E CAVALETE DE 2" COMPLETO 245X110X40CM</t>
  </si>
  <si>
    <t>ABRIGO PARA CAVALETE COM PORTINHOLA DE CHAPA DE ACO</t>
  </si>
  <si>
    <t>CAVALETE DE 3/4" - (TUBO E CONEXOES DE FERRO GALVANIZADO)</t>
  </si>
  <si>
    <t>CAVALETE DE 1" - (TUBO E CONEXOES DE FERRO GALVANIZADO)</t>
  </si>
  <si>
    <t>CAVALETE DE 1.1/2" - (TUBO E CONEXOES DE FERRO GALVANIZADO)</t>
  </si>
  <si>
    <t>SERVICOS EM CAVALETE E ABRIGO</t>
  </si>
  <si>
    <t>AG-04 ABRIGO PARA GAS COM 2 CILINDROS DE 45 KG</t>
  </si>
  <si>
    <t>AG-05 ABRIGO PARA GAS COM 4 CILINDROS DE 45 KG</t>
  </si>
  <si>
    <t>AG-06 ABRIGO PARA GAS COM 6 CILINDROS DE 45 KG</t>
  </si>
  <si>
    <t>AG-07 ABRIGO PARA MEDIDOR COMGAS 60X60X30CM</t>
  </si>
  <si>
    <t>AG-08 ABRIGO PARA GAS COM 2 BUJOES DE 13 KG</t>
  </si>
  <si>
    <t>PROTECAO ANTICORROSIVA PARA RAMAIS SOB A TERRA</t>
  </si>
  <si>
    <t>PROTECAO MECANICA PARA RAMAIS SOB ATERRA</t>
  </si>
  <si>
    <t>SG-01 SIFAO PARA REDE DE GAS</t>
  </si>
  <si>
    <t>VG-01 VALVULA E REGULADOR DE PRESSAO DE GAS</t>
  </si>
  <si>
    <t>TUBO ACO GALV NBR5590-CLASSE PESADA DN 20MM (3/4") INCL CONEXOES</t>
  </si>
  <si>
    <t>TUBO ACO GALV NBR5590-CLASSE PESADA DN 25MM (1") INCL CONEXOES</t>
  </si>
  <si>
    <t>TUBO ACO GALV NBR5590-CLASSE PESADA DN 32MM (1 1/4") INCL CONEXOES</t>
  </si>
  <si>
    <t>TUBO ACO GALV NBR5590-CLASSE PESADA DN 40MM (1 1/2") INCL CONEXOES</t>
  </si>
  <si>
    <t>ENVOLVIMENTO C/ TUBO DE PVC DN 150MM EM TUBULACAO DE GAS DE RUA</t>
  </si>
  <si>
    <t>TUBO DE COBRE P/ GAS CLASSE A S/COST DN=1/2 (15) SOLDA FOSCOPER</t>
  </si>
  <si>
    <t>TUBO DE COBRE P/ GAS CLASSE A S/COST DN=3/4 (22) SOLDA FOSCOPER</t>
  </si>
  <si>
    <t>TUBO DE COBRE P/ GAS CLASSE A S/COST DN=1 (28) SOLDA FOSCOPER</t>
  </si>
  <si>
    <t>TUBO DE COBRE P/ GAS CLASSE A S/COST DN=1 1/4 (35) SOLDA FOSCOPER</t>
  </si>
  <si>
    <t>TUBO DE COBRE P/ GAS CLSSE A S/COST DN=1 1/2 (42) SOLDA FOSCOPER</t>
  </si>
  <si>
    <t>SERVICOS EM ABRIGO E REDE DE GAS</t>
  </si>
  <si>
    <t>REDE DE ÁGUA FRIA: TUBULAÇÕES</t>
  </si>
  <si>
    <t>TUBO ACO GALVANIZ NBR5580-CL MEDIA, DN15MM (1/2") - INCL CONEXOES</t>
  </si>
  <si>
    <t>TUBO ACO GALVANIZ NBR5580-CL MEDIA, DN20MM (3/4") - INCL CONEXOES</t>
  </si>
  <si>
    <t>TUBO ACO GALVANIZ NBR5580-CL MEDIA, DN25MM (1") - INCL. CONEXOES</t>
  </si>
  <si>
    <t>TUBO ACO GALVANIZ NBR 5580-CL MEDIA, DN32MM (1 1/4")-INCL CONEXOES</t>
  </si>
  <si>
    <t>TUBO ACO GALVANIZ NBR5580-CL MEDIA, DN40MM (1 1/2")-INCL CONEXOES</t>
  </si>
  <si>
    <t>TUBO ACO GALVANIZ NBR5580-CL MEDIA, DN50MM (2") - INCL CONEXOES</t>
  </si>
  <si>
    <t>TUBO ACO GALVANIZ NBR5580-CL MEDIA, DN65MM (2 1/2") - INCL CONEXOES</t>
  </si>
  <si>
    <t>TUBO ACO GALVANIZ NBR5580-CL MEDIA, DN80MM (3")-INCL CONEXOES</t>
  </si>
  <si>
    <t>TUBO ACO GALVANIZ NBR5580-CL MEDIA, DN100MM (4")-INCL CONEXOES</t>
  </si>
  <si>
    <t>TUBO ACO GALVANIZ NBR5580-CL MEDIA, DN 150MM (6") - INCL CONEXOES</t>
  </si>
  <si>
    <t>TUBO DE PVC RIGIDO JUNTA SOLDAVEL DN 20MM (1/2") INCL CONEXOES</t>
  </si>
  <si>
    <t>TUBO DE PVC RIGIDO JUNTA SOLDAVEL DN 25MM (3/4") INCL CONEXOES</t>
  </si>
  <si>
    <t>TUBO DE PVC RIGIDO JUNTA SOLDAVEL DN 32MM (1") INCL CONEXOES</t>
  </si>
  <si>
    <t>TUBO DE PVC RIGIDO JUNTA SOLDAVEL DN 40MM (1.1/4") INCL CONEXOES</t>
  </si>
  <si>
    <t>TUBO DE PVC RIGIDO JUNTA SOLDAVEL DN 50MM (1.1/2") INCL CONEXOES</t>
  </si>
  <si>
    <t>TUBO DE PVC RIGIDO JUNTA SOLDAVEL DN 60MM (2") INCL CONEXOES</t>
  </si>
  <si>
    <t>TUBO DE PVC RIGIDO JUNTA SOLDAVEL DN 75MM (2.1/2") INCL CONEXOES</t>
  </si>
  <si>
    <t>TUBO DE PVC RIGIDO JUNTA SOLDAVEL DN 85MM (3") INCL CONEXOES</t>
  </si>
  <si>
    <t>TUBO DE PVC RIGIDO JUNTA SOLDAVEL DN 110MM (4") INCL CONEXOES</t>
  </si>
  <si>
    <t>SERVICOS EM REDE DE AGUA FRIA</t>
  </si>
  <si>
    <t>REDE DE ÁGUA FRIA: DEMAIS SERVIÇOS</t>
  </si>
  <si>
    <t>REGISTRO DE GAVETA BRUTO DN 15MM (1/2")</t>
  </si>
  <si>
    <t>REGISTRO DE GAVETA BRUTO DN 20MM (3/4")</t>
  </si>
  <si>
    <t>REGISTRO DE GAVETA BRUTO DN 25MM (1")</t>
  </si>
  <si>
    <t>REGISTRO DE GAVETA BRUTO DN 32MM (1 1/4")</t>
  </si>
  <si>
    <t>REGISTRO DE GAVETA BRUTO DN 40MM 1 1/2"</t>
  </si>
  <si>
    <t>REGISTRO DE GAVETA BRUTO DN 50MM (2")</t>
  </si>
  <si>
    <t>REGISTRO DE GAVETA BRUTO DN 65MM (2 1/2")</t>
  </si>
  <si>
    <t>REGISTRO DE GAVETA BRUTO DN 80MM (3")</t>
  </si>
  <si>
    <t>REGISTRO DE GAVETA BRUTO DN 100MM (4")</t>
  </si>
  <si>
    <t>REGISTRO DE PRESSAO BRUTO DE 1/2"</t>
  </si>
  <si>
    <t>REGISTRO DE PRESSAO BRUTO DE 3/4"</t>
  </si>
  <si>
    <t>REGISTRO DE GAVETA COM CANOPLA CROMADA DN 15MM (1/2")</t>
  </si>
  <si>
    <t>REGISTRO DE GAVETA COM CANOPLA CROMADA DN 20MM (3/4")</t>
  </si>
  <si>
    <t>REGISTRO DE GAVETA COM CANOPLA CROMADA DN 25MM (1")</t>
  </si>
  <si>
    <t>REGISTRO DE GAVETA COM CANOPLA CROMADA DN 32MM (1 1/4")</t>
  </si>
  <si>
    <t>REGISTRO DE GAVETA COM CANOPLA CROMADA DN 40MM (1 1/2")</t>
  </si>
  <si>
    <t>REGISTRO DE PRESSAO C/ CANOPLA CROMADA DN 15MM (1/2")</t>
  </si>
  <si>
    <t>REGISTRO DE PRESSAO C/ CANOPLA CROMADA DN 20MM (3/4")</t>
  </si>
  <si>
    <t>VALVULA DE DESCARGA COMUM COM CANOPLA CROMADA LISA DN 32MM (1 1/4")</t>
  </si>
  <si>
    <t>VALVULA DE DESCARGA COMUM COM CANOPLA CROMADA LISA DN 40MM (1 1/2")</t>
  </si>
  <si>
    <t>VALVULA DE DESCARGA C/ REG INCORP DN=32MM(1 1/4) ACAB ANTIVANDALISMO</t>
  </si>
  <si>
    <t>VALVULA DE DESCARGA C/ REG INCORP DN=40MM(1 1/2) ACAB ANTIVANDALISMO</t>
  </si>
  <si>
    <t>VALVULA DE DESCARGA DE FECHAMENTO AUTOMATICO PARA MICTORIO</t>
  </si>
  <si>
    <t>VALVULA DE DESCARGA C/REG INCORP DN 32MM (1 1/4") C/ ACAB SIMPLES</t>
  </si>
  <si>
    <t>VALVULA DE DESCARGA C/REG INCORP DN 40MM (1 1/2") C/ ACAB SIMPLES</t>
  </si>
  <si>
    <t>ENVELOPE DE CONCRETO PARA DUTOS</t>
  </si>
  <si>
    <t>REDE DE ÁGUA QUENTE: TUBULACOES</t>
  </si>
  <si>
    <t>REDE DE ÁGUA QUENTE: DEMAIS SERVICOS</t>
  </si>
  <si>
    <t>REDE DE INCÊNDIO: TUBULACOES</t>
  </si>
  <si>
    <t>TUBO ACO GALVANIZ NBR5580-CL MEDIA, DN65MM (2 1/2")- INCL CONEXOES</t>
  </si>
  <si>
    <t>TUBO ACO GLAVANIZ NBR5580-CL MEDIA, DN100MM (4")-INCL CONEXOES</t>
  </si>
  <si>
    <t>PROTECAO ANTI CORROSIVA PARA RAMAIS SOB A TERRA</t>
  </si>
  <si>
    <t>SERVICOS EM REDE DE INCENDIO</t>
  </si>
  <si>
    <t>REDE DE INCÊNDIO: DEMAIS SERVICOS</t>
  </si>
  <si>
    <t>REGISTRO GLOBO ANGULAR AMARELO 2 1/2"</t>
  </si>
  <si>
    <t>REGISTRO DE RECALQUE NO PASSEIO (RR-01)</t>
  </si>
  <si>
    <t>VALVULA DE RETENCAO VERT.BRONZE TIPO LEVE DE 2 1/2"</t>
  </si>
  <si>
    <t>VALVULA DE RETENCAO VERT.BRONZE TIPO LEVE DE 3"</t>
  </si>
  <si>
    <t>VALVULA DE RETENCAO VERT.BRONZE TIPO LEVE DE 4"</t>
  </si>
  <si>
    <t>HIDRANTE COM REGISTRO TIPO GLOBO AMARELO DE 2 1/2"</t>
  </si>
  <si>
    <t>ABRIGO PARA HIDRANTE 0,60X0,90X0,20 M</t>
  </si>
  <si>
    <t>AH-02 ABRIGO PARA HIDRANTE COMPLETO COM MANGUEIRA DE 1 1/2" - 30M</t>
  </si>
  <si>
    <t>AH-03 ABRIGO PARA HIDRANTE COMPLETO COM MANGUEIRA DE 2 1/2" - 30M</t>
  </si>
  <si>
    <t>MANGUEIRA COM UNIAO DE ENGATE RAPIDO DE 1 1/2"</t>
  </si>
  <si>
    <t>MANGUEIRA COM UNIAO DE ENGATE RAPIDO DE 2 1/2"</t>
  </si>
  <si>
    <t>ESGUICHO DE LATAO C/ENGATE RAPIDO ORIFICIO DE 1/2"</t>
  </si>
  <si>
    <t>ESGUICHO DE LATAO C/ENGATE RAPIDO ORIFICIO DE 5/8"</t>
  </si>
  <si>
    <t>ESGUICHO DE LATAO C/ENGATE RAPIDO ORIFICIO DE 3/4"</t>
  </si>
  <si>
    <t>VALVULA RETENCAO HORIZ BRONZE DE 2 1/2"</t>
  </si>
  <si>
    <t>VALVULA RETENCAO HORIZONTAL DE BRONZE DE 3"</t>
  </si>
  <si>
    <t>VALVULA RETENCAO HORIZONTAL BRONZE DE 4"</t>
  </si>
  <si>
    <t>EXTINTORES MANUAIS DE CO2 CAPACIDADE 4KG</t>
  </si>
  <si>
    <t>EXTINTORES MANUAIS DE CO2 COM CAPACIDADE DE 6 KG</t>
  </si>
  <si>
    <t>EXTINTORES MANUAIS PO QUIMICO SECO COM CAPACIDADE DE 4 KG</t>
  </si>
  <si>
    <t>EXTINTOR MANUAL PO QUIMICO SECO C/ CAPACIDADE DE 12KG</t>
  </si>
  <si>
    <t>EXTINTORES MANUAIS DE AGUA PRESSURIZADA CAP DE 10 L</t>
  </si>
  <si>
    <t>MANOMETRO INDUSTRIAL COM TOMADA INFERIOR.</t>
  </si>
  <si>
    <t>PRESSOSTATO (VALVULA DE FLUXO) COM SENSOR DIAFRAGMA.</t>
  </si>
  <si>
    <t>AI-01 ABRIGO PARA BOMBA DE INCENDIO</t>
  </si>
  <si>
    <t>CONJ MOTOR-BOMBA (CENTRIFUGA) 1/2 HP (3400 L/H -20 MCA)</t>
  </si>
  <si>
    <t>CONJ MOTOR-BOMBA (CENTRIFUGA) 3/4 HP (7400 L/H - 20 MCA)</t>
  </si>
  <si>
    <t>CONJ MOTOR-BOMBA (CENTRIFUGA) 1 HP (8500 L/H - 20 MCA)</t>
  </si>
  <si>
    <t>CONJ MOTOR-BOMBA (CENTRIFUGA) 1.5 HP (10000 L/H - 20 MCA)</t>
  </si>
  <si>
    <t>CONJ MOTOR-BOMBA (CENTRIFUGA) 2 HP (13900 L/H - 20 MCA)</t>
  </si>
  <si>
    <t>CONJ MOTOR-BOMBA (CENTRIFUGA) 3 HP (25000 L/H - 20 MCA)</t>
  </si>
  <si>
    <t>CONJ MOTOR-BOMBA (CENTRIFUGA) 4 HP (31200 L/H - 20 MCA)</t>
  </si>
  <si>
    <t>CONJ MOTOR-BOMBA (CENTRIFUGA) 5 HP (31200 L/H -20 MCA)</t>
  </si>
  <si>
    <t>CONJ MOTOR-BOMBA (CENTRIFUGA) 7,5 HP (40000L/H 20 MCA)</t>
  </si>
  <si>
    <t>CONJ MOTOR-BOMBA (CENTRIFUGA) 10 HP (40000 L/H 20MCA)</t>
  </si>
  <si>
    <t>REDE DE ESGOTO - TUBULAÇÕES</t>
  </si>
  <si>
    <t>TUBO DE FERRO FUNDIDO DN 50MM (2") - INCLUSIVE CONEXOES - DESC</t>
  </si>
  <si>
    <t>TUBO DE FERRO FUNDIDO DN 75MM (3") - INCLUSIVE CONEXOES - DESC</t>
  </si>
  <si>
    <t>TUBO DE FERRO FUNDIDO DN 100MM (4") - INCLUSIVE CONEXOES - DESC</t>
  </si>
  <si>
    <t>TUBO DE FERRO FUNDIDO DN 75MM (3") - INCLUSIVE CONEXOES - ESGOTO</t>
  </si>
  <si>
    <t>TUBO DE FERRO FUNDIDO DN 100MM (4") - INCLUSIVE CONEXOES - ESGOTO</t>
  </si>
  <si>
    <t>TUBO DE FERRO FUNDIDO DN 150MM (6") - INCLUSIVE CONEXOES - ESGOTO</t>
  </si>
  <si>
    <t>TUBO DE PVC RIGIDO JUNTA SOLDAVEL DN 40MM (1.1/2") INCL CONEXOES</t>
  </si>
  <si>
    <t>TUBO DE PVC RIGIDO JUNTA ELASTICA DN 50MM (2") INCL CONEXOES</t>
  </si>
  <si>
    <t>TUBO DE PVC RIGIDO JUNTA ELASTICA DN 75MM (3") INCL CONEXOES</t>
  </si>
  <si>
    <t>TUBO DE PVC RIGIDO JUNTA ELASTICA DN 100MM (4") INCL CONEXOES</t>
  </si>
  <si>
    <t>TUBO DE PVC RIGIDO JUNTA ELASTICA DN 150MM (6") INCL CONEXOES</t>
  </si>
  <si>
    <t>TUBO DE ACO GALVANIZADO DN 40MM (1.1/2") - INCLUSIVE CONEXOES</t>
  </si>
  <si>
    <t>TUBO DE PVC "R" 40MM INCL CONEXOES - COL ESGOTO</t>
  </si>
  <si>
    <t>TUBO DE PVC "R" 50MM INCL CONEXOES - COL ESGOTO</t>
  </si>
  <si>
    <t>TUBO DE PVC "R" 75MM INCL CONEXOES - COL ESGOTO</t>
  </si>
  <si>
    <t>TUBO DE PVC "R" 100MM INCL CONEXOES - COL ESGOTO</t>
  </si>
  <si>
    <t>TUBO DE PVC "R" 150MM INCL CONEXOES - COL ESGOTO</t>
  </si>
  <si>
    <t>SERVICOS EM REDE DE ESGOTO</t>
  </si>
  <si>
    <t>REDE DE ESGOTO - DEMAIS SERVICOS</t>
  </si>
  <si>
    <t>CAIXA SIFONADA DE PVC DN 100X150X50MM C/GRELHA PVC CROMADO</t>
  </si>
  <si>
    <t>CAIXA SIFONADA DE PVC DN 150X150X50MM C/GRELHA METALICA</t>
  </si>
  <si>
    <t>CAIXA SIFONADA DE PVC DN 100X100X50MM C/GRELHA PVC CROMADO</t>
  </si>
  <si>
    <t>CG-01 CAIXA DE GORDURA EM ALVENARIA</t>
  </si>
  <si>
    <t>CI-01 CAIXA DE INSPECAO 60X60CM PARA ESGOTO</t>
  </si>
  <si>
    <t>CI-02 CAIXA DE INSPECAO 80X80CM PARA ESGOTO</t>
  </si>
  <si>
    <t>CAIXA DE ALVENARIA - ESCAVACAO MANUAL COM APILOAMENTO DO FUNDO</t>
  </si>
  <si>
    <t>CAIXA DE ALVENARIA - LASTRO DE CONCRETO</t>
  </si>
  <si>
    <t>CAIXA DE ALVENARIA - PAREDE DE 1/2 TIJOLO REVESTIDO</t>
  </si>
  <si>
    <t>CAIXA DE ALVENARIA - PAREDE DE 1 TIJOLO REVESTIDO</t>
  </si>
  <si>
    <t>CAIXA DE ALVENARIA - TAMPA DE CONCRETO</t>
  </si>
  <si>
    <t>RALO SIFONADO CONICO PVC DN 100MM C/GRELHA PVC CROMADO</t>
  </si>
  <si>
    <t>RALO SIFONADO DE F.FUNDIDO DN 150 MM C/GRELHA PVC CROMADO</t>
  </si>
  <si>
    <t>RALO SECO CONICO PVC DN 100MM C/GRELHA PVC CROMADO</t>
  </si>
  <si>
    <t>RALO SECO DE F.FUNDIDO DN 100 MM C/GRELHA PVC CROMADO</t>
  </si>
  <si>
    <t>TERMINAL DE VENTILACAO EM PVC P/ESGOTO DN 50MM (2")</t>
  </si>
  <si>
    <t>TERMINAL DE VENTILACAO EM PVC P/ ESGOTO DN 75MM (3")</t>
  </si>
  <si>
    <t>TERMINAL DE VENTILACAO EM PVC P/ ESGOTO DN 100MM(4")</t>
  </si>
  <si>
    <t>REDE DE ÁGUAS PLUVIAIS - TUBULACOES</t>
  </si>
  <si>
    <t>TUBO DE FERRO FUNDIDO DN 50MM (2") - INCLUSIVE CONEXOES</t>
  </si>
  <si>
    <t>TUBO DE FERRO FUNDIDO DN 75MM (3") - INCLUSIVE CONEXOES</t>
  </si>
  <si>
    <t>TUBO DE FERRO FUNDIDO DN 100MM (4") - INCLUSIVE CONEXOES</t>
  </si>
  <si>
    <t>TUBO DE FERRO FUNDIDO DN 150MM (6") - INCLUSIVE CONEXOES</t>
  </si>
  <si>
    <t>TUBO DE PVC RIGIDO JUNTA ELASTICA DN 200MM (8") INCL CONEXOES</t>
  </si>
  <si>
    <t>TUBO DE PVC RIGIDO JUNTA ELASTICA DN 250MM (10") INCL CONEXOES</t>
  </si>
  <si>
    <t>TUBO DE PVC RIGIDO JUNTA ELASTICA DN 300MM (12") INCL CONEXOES</t>
  </si>
  <si>
    <t>TUBO DE FERRO FUNDIDO RADIAL COM INSPECAO DE 3"</t>
  </si>
  <si>
    <t>TUBO DE FERRO FUNDIDO RADIAL COM INSPECAO DE 4"</t>
  </si>
  <si>
    <t>TUBO DE PVC "R" PARA AGUAS PLUVIAIS 40MM - INCL. CONEXOES</t>
  </si>
  <si>
    <t>TUBO DE PVC "R" PARA AGUAS PLUVIAIS 50MM - INCL. CONEXOES</t>
  </si>
  <si>
    <t>TUBO DE PVC "R" PARA AGUAS PLUVIAIS 75MM - INCL. CONEXOES</t>
  </si>
  <si>
    <t>TUBO DE PVC "R" PARA AGUAS PLUVIAIS 100MM - INCL. CONEXOES</t>
  </si>
  <si>
    <t>TUBO DE PVC "R" PARA AGUAS PLUVIAIS 150MM - INCL CONEXOES</t>
  </si>
  <si>
    <t>SERVICOS EM REDE DE AGUAS PLUVIAIS</t>
  </si>
  <si>
    <t>REDE DE ÁGUAS PLUVIAIS - DEMAIS SERVIÇOS</t>
  </si>
  <si>
    <t>CONDUTOR EM CHAPA GALVANIZADA N 24 DESENV. 0,25M</t>
  </si>
  <si>
    <t>CONDUTOR EM CHAPA GALVANIZADA N 26 DESENV. 0,25M</t>
  </si>
  <si>
    <t>CONDUTOR DE CHAPA GALVANIZADA N 24 - DESENVOLVIMENTO DE 0,33 M</t>
  </si>
  <si>
    <t>CONDUTOR DE CHAPA GALVANIZADA N 26 - DESENVOLVIMENTO DE 0,33 M</t>
  </si>
  <si>
    <t>LIGACAO CALHA CONDUTOR DE CHAPA ACO GALVANIZADO N.24 DIAMETRO DE 3"</t>
  </si>
  <si>
    <t>LIGACAO CALHA CONDUTOR DE CHAPA ACO GALVANIZADO N.24 DIAMETRO DE 4"</t>
  </si>
  <si>
    <t>CALHA OU AGUA FURTADA EM FIBRA DE VIDRO-DESENV. 0,33M</t>
  </si>
  <si>
    <t>CALHA OU AGUA FURTADA EM FIBRA DE VIDRO-DESENV. 0,50M</t>
  </si>
  <si>
    <t>CALHA OU AGUA FURTADA EM FIBRA DE VIDRO-DESENV. 1,00M</t>
  </si>
  <si>
    <t>CALHA OU AGUA FURTADA EM CHAPA GALV. N 24 - CORTE 0,33M</t>
  </si>
  <si>
    <t>CALHA OU AGUA FURTADA EM CHAPA GALV. N 24 - CORTE 0,50M</t>
  </si>
  <si>
    <t>CALHA OU AGUA FURTADA EM CHAPA GALV. N 24 - CORTE 1,00M</t>
  </si>
  <si>
    <t>CALHA OU AGUA FURTADA EM CHAPA GALV. N 26 - CORTE 0.33M</t>
  </si>
  <si>
    <t>CALHA OU AGUA FURTADA EM CHAPA GALV. N 26 - CORTE 0,50M</t>
  </si>
  <si>
    <t>CALHA OU AGUA FURTADA EM CHAPA GALV. N 26 - CORTE 1,00M</t>
  </si>
  <si>
    <t>CALHA EM CHAPA DE COBRE N 26 - CORTE 0,33 M</t>
  </si>
  <si>
    <t>CALHA EM CHAPA DE COBRE N 26 - CORTE 0,50 M</t>
  </si>
  <si>
    <t>CALHA DE CHAPA DE COBRE N 26 - CORTE 1,00 M</t>
  </si>
  <si>
    <t>RUFO EM CHAPA GALVANIZADA N 24 - CORTE 0,16 M</t>
  </si>
  <si>
    <t>RUFO EM CHAPA GALVANIZADA N 24 - CORTE 0,25 M</t>
  </si>
  <si>
    <t>RUFO EM CHAPA GALVANIZADA N 24 - CORTE 0,33 M</t>
  </si>
  <si>
    <t>RUFO EM CHAPA GALVANIZADA N 24 - CORTE 0,50 M</t>
  </si>
  <si>
    <t>RUFO EM CHAPA GALVANIZADA N 24 - CORTE 1,00 M</t>
  </si>
  <si>
    <t>RUFO EM CHAPA GALVANIZADA N 26 - CORTE 0,16 M</t>
  </si>
  <si>
    <t>RUFO EM CHAPA GALVANIZADA N 26 - CORTE 0,25 M</t>
  </si>
  <si>
    <t>RUFO EM CHAPA GALVANIZADA N 26 - CORTE 0,33 M</t>
  </si>
  <si>
    <t>RUFO EM CHAPA GALVANIZADA N 26 - CORTE 0,50 M</t>
  </si>
  <si>
    <t>RUFO EM CHAPA GALVANIZADA N 26 - CORTE 1,00 M</t>
  </si>
  <si>
    <t>RUFO EM CHAPA DE COBRE N 26 - CORTE 0,16 M</t>
  </si>
  <si>
    <t>RUFO EM CHAPA DE COBRE N 26 - CORTE 0,25 M</t>
  </si>
  <si>
    <t>RUFO EM CHAPA DE COBRE N 26 - CORTE 0,33 M</t>
  </si>
  <si>
    <t>RUFO EM CHAPA DE COBRE N 26 - CORTE 0,50 M</t>
  </si>
  <si>
    <t>RUFO EM CHAPA DE COBRE N 26 - CORTE 1,00 M</t>
  </si>
  <si>
    <t>RUFO EM FIBRA DE VIDRO - DESENV. 0,16M</t>
  </si>
  <si>
    <t>RUFO EM FIBRA DE VIDRO - DESENV. 0,25M</t>
  </si>
  <si>
    <t>RUFO EM FIBRA DE VIDRO - DESENV. 0,33M</t>
  </si>
  <si>
    <t>RUFO EM FIBRA DE VIDRO - DESENV. 0,50M</t>
  </si>
  <si>
    <t>RUFO EM FIBRA DE VIDRO - DESENV. 1,00M</t>
  </si>
  <si>
    <t>GRELHA HEMISFERICA DE FERRO FUNDIDO DN 75MM (3")</t>
  </si>
  <si>
    <t>GRELHA HEMISFERICA DE FERRO FUNDIDO DN 100MM (4")</t>
  </si>
  <si>
    <t>GRELHA HEMISFERICA DE F F DE 6"</t>
  </si>
  <si>
    <t>CAIXA INSPECAO DE ALVENARIA DE TIJ DE 0,70X0,70X1,00 M</t>
  </si>
  <si>
    <t>CA-10 CAIXA DE AREIA 50X50 CM PARA AGUAS PLUVIAIS</t>
  </si>
  <si>
    <t>GRELHA FERRO PERF. - 1,00X0,40 M</t>
  </si>
  <si>
    <t>GRELHA FERRO PERF. 1,00X0,50 M</t>
  </si>
  <si>
    <t>RALO SECO DE F. FUNDIDO DN 100 MM C/GRELHA PVC CROMADO</t>
  </si>
  <si>
    <t>CALHA DE ALUMINIO ACAB. NATURAL E=0,8MM CORTE 0,33M</t>
  </si>
  <si>
    <t>CALHA DE ALUMINIO ACAB. NATURAL E=0,8MM CORTE 0,50M</t>
  </si>
  <si>
    <t>CALHA DE ALUMINIO ACAB. NATUARL E=0,8MM CORTE 1,00M</t>
  </si>
  <si>
    <t>RESERVATORIO - INSTALACOES - TUBULAÇOES</t>
  </si>
  <si>
    <t>TUBO ACO GALVANIZ NBR5580-CL MEDIA, DN25MM (1") - INCL CONEXOES</t>
  </si>
  <si>
    <t>TUBO ACO GALVANIZ NBR5580-CL MEDIA, DN32MM (1 1/4")-INCL CONEXOES</t>
  </si>
  <si>
    <t>TUBO ACO GALVANIZ NBR5580-CL MEDIA, DN40MM (1 1/2") - INCL CONEXOES</t>
  </si>
  <si>
    <t>TUBO ACO GALVANIZ NBR5580-CL MEDIA, DN65MM (2 1/2")-INCL CONEXOES</t>
  </si>
  <si>
    <t>SERVICOS EM RESERVATORIOS</t>
  </si>
  <si>
    <t>RESERVATORIO - INSTALACOES - DEMAIS SERVIÇOS</t>
  </si>
  <si>
    <t>REGISTRO DE GAVETA BRUTO DN 40MM (1.1/2")</t>
  </si>
  <si>
    <t>REGISTRO DE GAVETA BRUTO DN 65MM (2.1/2")</t>
  </si>
  <si>
    <t>VALVULA DE RETENCAO HORIZONTAL DE BRONZE DE 1"</t>
  </si>
  <si>
    <t>VALVULA DE RETENCAO HORIZONTAL DE BRONZE DE 1.1/4"</t>
  </si>
  <si>
    <t>VALVULA DE RETENCAO HORIZONTAL DE BRONZE DE 1.1/2"</t>
  </si>
  <si>
    <t>VALVULA DE RETENCAO HORIZONTAL DE BRONZE DE 2"</t>
  </si>
  <si>
    <t>VALVULA DE RETENCAO HORIZONTAL DE BRONZE DE 2.1/2"</t>
  </si>
  <si>
    <t>VALVULA DE RETENCAO HORIZONTAL DE BRONZE DE 3"</t>
  </si>
  <si>
    <t>VALVULA DE RETENCAO HORIZONTAL DE BRONZE DE 4"</t>
  </si>
  <si>
    <t>VALVULA DE RETENCAO VERTICAL DE BRONZE DE 1"</t>
  </si>
  <si>
    <t>VALVULA DE RETENCAO VERTICAL DE BRONZE DE 1.1/4"</t>
  </si>
  <si>
    <t>VALVULA DE RETENCAO VERTICAL DE BRONZE DE 1.1/2"</t>
  </si>
  <si>
    <t>VALVULA DE RETENCAO VERTICAL DE BRONZE DE 2"</t>
  </si>
  <si>
    <t>VALVULA DE RETENCAO VERTICAL DE BRONZE DE 2.1/2"</t>
  </si>
  <si>
    <t>VALVULA DE RETENCAO VERTICAL DE BRONZE DE 3"</t>
  </si>
  <si>
    <t>VALVULA DE RETENCAO VERTICAL DE BRONZE DE 4"</t>
  </si>
  <si>
    <t>VALVULA DE RETENCAO DE PE COM CRIVO DE BRONZE DE 1"</t>
  </si>
  <si>
    <t>VALVULA DE RETENCAO DE PE COM CRIVO DE BRONZE DE 1.1/4"</t>
  </si>
  <si>
    <t>VALVULA DE RETENCAO DE PE COM CRIVO DE BRONZE DE 1.1/2"</t>
  </si>
  <si>
    <t>VALVULA DE RETENCAO DE PE COM CRIVO DE BRONZE DE 2"</t>
  </si>
  <si>
    <t>VALVULA DE RETENCAO DE PE COM CRIVO DE BRONZE DE 2.1/2"</t>
  </si>
  <si>
    <t>VALVULA DE RETENCAO DE PE COM CRIVO DE BRONZE DE 3"</t>
  </si>
  <si>
    <t>TORNEIRA DE BOIA EM LATAO (BOIA PLAST) DN 20MM (3/4")</t>
  </si>
  <si>
    <t>TORNEIRA DE BOIA EM LATAO (BOIA PLAST) DN 25MM (1")</t>
  </si>
  <si>
    <t>TORNEIRA DE BOIA EM LATAO (BOIA PLAST) DN 32MM (1 1/4")</t>
  </si>
  <si>
    <t>TORNEIRA DE BOIA EM LATAO (BOIA PLAST) DN 40MM (1 1/2")</t>
  </si>
  <si>
    <t>TORNEIRA DE BOIA EM LATAO (BOIA PLAST) DN50MM (2")</t>
  </si>
  <si>
    <t>RA-01 RESERVATORIO METALICO ACOPLADO 23M3 H=13,00M</t>
  </si>
  <si>
    <t>RA-02 RESERVATORIO METALICO ACOPLADO 30M3 H=13,00M</t>
  </si>
  <si>
    <t>RA-03 RESERVATORIO METALICO ACOPLADO 40M3 H=13,00M</t>
  </si>
  <si>
    <t>RA-04 RESERVATORIO METALICO ACOPLADO 23M3 H=10,00M</t>
  </si>
  <si>
    <t>RA-05 RESERVATORIO METALICO ACOPLADO 28M3 H=10,00M</t>
  </si>
  <si>
    <t>RA-06 RESERVATORIO METALICO ACOPLADO 35M3 H=10,00M</t>
  </si>
  <si>
    <t>RA-07 RESERVATORIO METALICO ACOPLADO 23M3 H=7,00M</t>
  </si>
  <si>
    <t>RA-08 RESERVATORIO METALICO ACOPLADO 28M3 H=7,00M</t>
  </si>
  <si>
    <t>RA-09 RESERVATORIO METALICO ACOPLADO 40M3 H=7,00M</t>
  </si>
  <si>
    <t>ANEIS PRE-MOLDADOS EM CONCRETO ARMADO P/ RESERVATORIO D'AGUA D=3,00M</t>
  </si>
  <si>
    <t>LAJE PRE-MOLDADA D=3,00M E=8CM P/ RESERVATORIO</t>
  </si>
  <si>
    <t>LAJE PRE-MOLDADA D=3,00M E=15CM P/ RESERVATORIO</t>
  </si>
  <si>
    <t>RA-10 RESERVATORIO METALICO INFERIOR 9M3</t>
  </si>
  <si>
    <t>RA-11 RESERVATORIO METALICO INFERIOR 13M3</t>
  </si>
  <si>
    <t>RA-12 RESERVATORIO METALICO INFERIOR 17M3</t>
  </si>
  <si>
    <t>RA-13 RESERVATORIO METALICO SUPERIOR 10M3 H=5,00M</t>
  </si>
  <si>
    <t>RA-14 RESERVATORIO METALICO SUPERIOR 15M3 H=5,00M</t>
  </si>
  <si>
    <t>RA-15 RESERVATORIO METALICO SUPERIOR 20M3 H=5,00M</t>
  </si>
  <si>
    <t>CONJ MOTOR-BOMBA (CENTRIFUGA) 1/2 HP (3400 L/H-20 MCA)</t>
  </si>
  <si>
    <t>CONJ MOTOR-BOMBA(CENTRIFUGA)3/4 HP(7400 L/H-20 MCA)</t>
  </si>
  <si>
    <t>CONJ MOTOR-BOMBA(CENTRIFUGA)1,5 HP(10000 L/H-20 MCA)</t>
  </si>
  <si>
    <t>CONJ MOTOR-BOMBA (CENTRIFUGA) 2 HP (13900 L/H-20 MCA)</t>
  </si>
  <si>
    <t>CONJ MOTOR-BOMBA(CENTRIFUGA)3 HP(25000 L/H-20 MCA)</t>
  </si>
  <si>
    <t>CONJ MOTOR-BOMBA (CENTRIFUGA) 1 HP 8500 L/H-20 MCA</t>
  </si>
  <si>
    <t>ANEIS PRE-MOLDADOS EM CONCRETO ARMADO P/ RESERVATORIO D'AGUA D=2,50M</t>
  </si>
  <si>
    <t>LAJE PRE-MOLDADA D=2,50M E=8CM P/ RESERVATORIO</t>
  </si>
  <si>
    <t>LAJE PRE-MOLDADA D=2,50M E=15CM P/ RESERVATORIO</t>
  </si>
  <si>
    <t>ANEIS PRE-MOLDADOS EM CONCRETO ARMADO P/ RESERVATORIO D'AGUA D=2,12M</t>
  </si>
  <si>
    <t>LAJE PRE-MOLDADA D=2,12M E=8CM P/ RESERVATORIO</t>
  </si>
  <si>
    <t>LAJE PRE-MOLDADA D=2,12M E=15CM P/ RESERVATORIO</t>
  </si>
  <si>
    <t>ANEIS PRE-MOLDADOS EM CONCRETO ARMADO P/ RESERVATORIO D'AGUA D=1,80M</t>
  </si>
  <si>
    <t>LAJE PRE-MOLDADA D=1,80M E=6CM P/ RESERVATORIO</t>
  </si>
  <si>
    <t>LAJE PRE-MOLDADA D=1,80M E=12CM P/ RESERVATORIO</t>
  </si>
  <si>
    <t>CAIXA D`AGUA CONICA 500L POLIETILENO COM TAMPA</t>
  </si>
  <si>
    <t>CAIXA D`AGUA CONICA 1000L POLIETILENO COM TAMPA</t>
  </si>
  <si>
    <t>SERVICOS RESERVATORIOS</t>
  </si>
  <si>
    <t>BEBEDOUROS, LAVATÓRIOS E MICTÓRIOS PADRONIZADOS</t>
  </si>
  <si>
    <t>LT-07 LAVATÓRIO COM TORNEIRA DE MESA (SANIT ADM)</t>
  </si>
  <si>
    <t>LT-04 LAVATORIO /BEBEDOURO COLETIVO</t>
  </si>
  <si>
    <t>LT-05 LAVATORIO COLETIVO C/ TAMPO DE CONCRETO L=50CM</t>
  </si>
  <si>
    <t>LT-06 LAVATORIO COLETIVO C/ TAMPO DE GRANITO L=50CM</t>
  </si>
  <si>
    <t>BB-01 BEBEDOURO COLETIVO</t>
  </si>
  <si>
    <t>MT-04 MICTORIO COLETIVO</t>
  </si>
  <si>
    <t>SERVICOS EM BEBEDOUROS,LAVATORIOS E MICTORIOS PADRONIZADOS</t>
  </si>
  <si>
    <t>LOUÇA</t>
  </si>
  <si>
    <t>BACIA SIFONADA DE LOUCA BRANCA (VDR 6L) C/ ASSENTO</t>
  </si>
  <si>
    <t>BACIA SIFONADA COM CAIXA DE DESCARGA ACOPLADA BRANCA</t>
  </si>
  <si>
    <t>LAVATORIO DE LOUCA BRANCA SEM COLUNA C/ TORNEIRA DE FECHAM AUTOMATICO</t>
  </si>
  <si>
    <t>MICTORIO DE LOUCA SIFONADO/AUTO ASPIRANTE BRANCO</t>
  </si>
  <si>
    <t>TANQUE DE LOUCA BRANCA,PEQUENO C/COLUNA</t>
  </si>
  <si>
    <t>TANQUE DE LOUCA BRANCA,GRANDE C/COLUNA</t>
  </si>
  <si>
    <t>SABONETEIRA DE LOUCA BRANCA DE 7,5X15 CM</t>
  </si>
  <si>
    <t>SABONETEIRA DE LOUCA BRANCA DE 15X15 CM</t>
  </si>
  <si>
    <t>PAPELEIRA DE LOUCA BRANCA DE 15X15CM</t>
  </si>
  <si>
    <t>CABIDE DE LOUCA BRANCA COM 2 GANCHOS</t>
  </si>
  <si>
    <t>VA-01 VARAL/TOALHEIRO</t>
  </si>
  <si>
    <t>BR-01 BACIA P/ SANITARIO ACESSIVEL</t>
  </si>
  <si>
    <t>BR-02 LAVATORIO PARA SANITARIO ACESSIVEL</t>
  </si>
  <si>
    <t>BR-03 BOX PARA SANITARIO ACESSIVEL</t>
  </si>
  <si>
    <t>BR-04 BARRA DE APOIO COM FIXAÇÃO LATERAL</t>
  </si>
  <si>
    <t>BR-05 TROCADOR ACESSÍVEL</t>
  </si>
  <si>
    <t>SERVICOS EM LOUCAS</t>
  </si>
  <si>
    <t>MICTORIO COLETIVO DE ACO INOXIDAVEL</t>
  </si>
  <si>
    <t>TAMPO PARA PIA MARMORE NACIONAL ESPESSURA DE 3 CM</t>
  </si>
  <si>
    <t>CHUVEIRO ANTIVANDALISMO</t>
  </si>
  <si>
    <t>CHUVEIRO SIMPLES C/ARTICULACAO, LATAO CROMADO DN 15MM (1/2")</t>
  </si>
  <si>
    <t>CHUVEIRO ELETRICO DE 220V/5400W</t>
  </si>
  <si>
    <t>CHUVEIRO ELETRICO COM RESISTENCIA BLINDADA</t>
  </si>
  <si>
    <t>AQUECEDOR ELETRICO DE PASSAGEM COM RESISTENCIA BLINDADA</t>
  </si>
  <si>
    <t>CAIXA DE DESCARGA CAPACIDADE 18 L DE PLASTICO DE SOBREPOR</t>
  </si>
  <si>
    <t>BEBEDOURO ELETRICO COM CAPACIDADE DE 40 L</t>
  </si>
  <si>
    <t>BEBEDOURO ELETRICO COM CAPACIDADE DE 80 L</t>
  </si>
  <si>
    <t>EX-01 EXAUSTOR AXIAL DN 40CM</t>
  </si>
  <si>
    <t>FILTRO PRESSAO CUNO(AQUALAR)C/ELEM FILTR CARVAO ATIVADO E CEL 180/L/H</t>
  </si>
  <si>
    <t>FILTRO PRESSAO CUNO (AQUALAR)C/ELEM FILTRANTE CARVAO E CEL 360/L/H</t>
  </si>
  <si>
    <t>FT-02 FILTRO PARA AGUA POTAVEL</t>
  </si>
  <si>
    <t>SUPORTE PARA TALHA EM MARMORE DE CANTO</t>
  </si>
  <si>
    <t>SUPORTE PARA TALHA EM MARMORE DE CENTRO</t>
  </si>
  <si>
    <t>TANQUE SIMPLES DE CONCRETO PRE-MOLDADO 600X600MM/APOIO EM ALVENARIA</t>
  </si>
  <si>
    <t>TANQUE SIMPLES DE CONCRETO PRE-MOLDADO 600X600MM</t>
  </si>
  <si>
    <t>RESTRITOR DE VAZAO 12L/MIN PARA CHUVEIRO SIMPLES</t>
  </si>
  <si>
    <t>RESTRITOR DE VAZAO 6L/MIN PARA TORNEIRAS E MISTURADORES</t>
  </si>
  <si>
    <t>TORNEIRA DE LAVAGEM COM CANOPLA DE 1/2"</t>
  </si>
  <si>
    <t>TJ-03 TORNEIRA DE JARDIM</t>
  </si>
  <si>
    <t>TORNEIRA ELETRICA - ELETRODUTO DE POLIETILENO</t>
  </si>
  <si>
    <t>TORNEIRA DE FECHAMENTO AUTOMATICO DE MESA</t>
  </si>
  <si>
    <t>TORNEIRA DE FECHAMENTO AUTOMATICO DE PAREDE</t>
  </si>
  <si>
    <t>TORNEIRA DE PAREDE ANTIVANDALISMO</t>
  </si>
  <si>
    <t>TORNEIRA DE USO RESTRITO DE 1/2</t>
  </si>
  <si>
    <t>TORNEIRA DE USO RESTRITO DE 3/4</t>
  </si>
  <si>
    <t>SERVICOS EM APARELHOS E METAIS</t>
  </si>
  <si>
    <t>DE TUBULACOES EM GERAL INCLUINDO CONEXOES, CAIXAS E RALOS</t>
  </si>
  <si>
    <t>DE CALHAS E RUFOS EM CHAPAS METALICAS</t>
  </si>
  <si>
    <t>DE CONDUTORES APARENTES</t>
  </si>
  <si>
    <t>DE REGISTROS E VALVULAS DE DESCARGA</t>
  </si>
  <si>
    <t>DE VALVULAS DE RETENCAO</t>
  </si>
  <si>
    <t>DE TORNEIRAS</t>
  </si>
  <si>
    <t>DE SIFOES</t>
  </si>
  <si>
    <t>DE APARELHOS SANITARIOS INCLUINDO ACESSORIOS</t>
  </si>
  <si>
    <t>DE CAIXA DE DESCARGA DE SOBREPOR</t>
  </si>
  <si>
    <t>DE RESERVATORIOS DE FIBRO CIMENTO ATE 1000 LITROS</t>
  </si>
  <si>
    <t>DE CONJUNTO DE MOTOR-BOMBA</t>
  </si>
  <si>
    <t>DE HIDRANTE DE PAREDE COMPLETO</t>
  </si>
  <si>
    <t>RECOLOCACAO</t>
  </si>
  <si>
    <t>DE REGISTRO E VALVULAS DE DESCARGA</t>
  </si>
  <si>
    <t>DE VALVULA DE RETENCAO</t>
  </si>
  <si>
    <t>DE CAIXAS DE DESCARGA DE SOBREPOR</t>
  </si>
  <si>
    <t>DE RESERVATORIO DE FIBRO-CIMENTO ATE 1000 L</t>
  </si>
  <si>
    <t>DE CONJUNTO MOTOR BOMBA</t>
  </si>
  <si>
    <t>RECOLOCACOES DE INSTALACOES HIDRAULICAS</t>
  </si>
  <si>
    <t>CONSERVACAO - REDE DE GAS E AGUA FRIA</t>
  </si>
  <si>
    <t>CANOPLA PARA REGISTROS</t>
  </si>
  <si>
    <t>CANOPLA PARA VALVULA DE DESCARGA</t>
  </si>
  <si>
    <t>VOLANTE CROMADO PARA REGISTRO</t>
  </si>
  <si>
    <t>BOTAO PARA VALVULA DE DESCARGA</t>
  </si>
  <si>
    <t>ACABAMENTO ANTIVANDALISMO PARA VALVULA DE DESCARGA</t>
  </si>
  <si>
    <t>REPARO PARA CAIXA DE DESCARGA ACOPLADA</t>
  </si>
  <si>
    <t>REPARO DE VALVULA DE DESCARGA</t>
  </si>
  <si>
    <t>TUBO DE DESCARGA EM PVC DN=40MM</t>
  </si>
  <si>
    <t>TORNEIRA DE PRESSAO CROMADA DE 1/2" EM PAREDE</t>
  </si>
  <si>
    <t>TORNEIRA PARA LAVATORIO DE LOUCA BRANCA OU BANCADA</t>
  </si>
  <si>
    <t>RECARGA DE EXTINTOR DE GAS CARBONICO DE 6 LITROS</t>
  </si>
  <si>
    <t>RECARGA DE EXTINTOR DE ESPUMA DE 10 LITROS</t>
  </si>
  <si>
    <t>RECARGA DE EXTINTOR DE PO QUIMICO DE 4 KG</t>
  </si>
  <si>
    <t>EXTINTOR DE INCENDIO DE AGUA PRESSURIZADA 10L : RECARGA</t>
  </si>
  <si>
    <t>OUTROS SERVICOS DE REDE DE GAS E AGUA FRIA</t>
  </si>
  <si>
    <t>CONSERVACAO - REDE DE ESGOTO E AGUAS PLUVIAIS</t>
  </si>
  <si>
    <t>RALO SIFONADO F.FUNDIDO DN 150MM C/GRELHA PVC CROMADO</t>
  </si>
  <si>
    <t>GRELHA METALICA CROMADA DIAM 15 CM</t>
  </si>
  <si>
    <t>GRELHA METALICA CROMADA DIAM 10 CM</t>
  </si>
  <si>
    <t>GRELHA DE FERRO FUNDIDO DE 20X20 CM</t>
  </si>
  <si>
    <t>GRELHA DE FERRO FUNDIDO DE 15X15 CM</t>
  </si>
  <si>
    <t>SIFAO METALICO TIPO COPO DN 2X2"</t>
  </si>
  <si>
    <t>SIFAO METALICO TIPO COPO DN 1 1/2 X 1 1/2"</t>
  </si>
  <si>
    <t>SIFAO PVC RIGIDO TIPO COPO DN 2X2"</t>
  </si>
  <si>
    <t>SIFAO PVC RIGIDO TIPO COPO DN 1 1/2X1 1/2"</t>
  </si>
  <si>
    <t>DESENTUPIMENTO DE RAMAIS DE ESGOTO</t>
  </si>
  <si>
    <t>LIMPEZA SIMPLES EM CALHAS METALICAS</t>
  </si>
  <si>
    <t>LIMPEZA SIMPLES EM LAJES/CALHAS DE CONCRETO</t>
  </si>
  <si>
    <t>SOLDA E REBITAGEM EM CALHAS DE CHAPA GALVANIZADA</t>
  </si>
  <si>
    <t>SOLDA EM CHAPA GALVANIZADA</t>
  </si>
  <si>
    <t>OUTROS SERVICOS DE REDES DE ESGOTO E AGUAS PLUVIAIS</t>
  </si>
  <si>
    <t>CONSERVACAO - APARELHOS E METAIS</t>
  </si>
  <si>
    <t>TAMPA DE PLASTICO PARA BACIA SANITARIA</t>
  </si>
  <si>
    <t>BOLSA PLASTICA PARA BACIA SANITARIA</t>
  </si>
  <si>
    <t>CAIXA DE DESCARGA DE SOBREPOR - PLASTICA</t>
  </si>
  <si>
    <t>CAIXA DE DESCARGA DE EMBUTIR DE FIBRO - CIMENTO</t>
  </si>
  <si>
    <t>BOIA E CORRENTE PARA CAIXA DE DESCARGA</t>
  </si>
  <si>
    <t>SUPORTE DE FERRO FUNDIDO PARA LAVATORIO</t>
  </si>
  <si>
    <t>TANQUE PRE-MOLDADO DE CONCRETO DE 60X50 CM</t>
  </si>
  <si>
    <t>TANQUE PRE-MOLDADO DE CONCRETO DE 70X60 CM</t>
  </si>
  <si>
    <t>TANQUE PRE-MOLDADO DE CONCRETO DE 80X70 CM</t>
  </si>
  <si>
    <t>FILTRO DE PRESSAO CUNO (AQUALAR)C/ELEM FILTRANTE CARVAO E CEL 360/L/H</t>
  </si>
  <si>
    <t>ELEMENTO FILTRANTE CUNO (AQUALAR)ELEM FILTRANTE CARVAO E CEL/180L/H</t>
  </si>
  <si>
    <t>ELEMENTO FILTRANTE CUNO (AQUALAR) CARVAO E CELULOSE 360 L/H</t>
  </si>
  <si>
    <t>TAMPO DE PIA EM MARMORE BRANCO NACIONAL DE 3 CM</t>
  </si>
  <si>
    <t>TAMPO DE PIA EM GRANILITE</t>
  </si>
  <si>
    <t>TAMPO ACO INOX (304) C/ CUBA SIMPLES - CH.22</t>
  </si>
  <si>
    <t>TAMPO ACO INOX (304) C/ CUBA DUPLA - CH.22</t>
  </si>
  <si>
    <t>CUBA SIMPLES ACO INOX(304) - CHAPA 22 560X330X140MM - SEM PERTENCES</t>
  </si>
  <si>
    <t>CUBA SIMPLES ACO INOX(304) CHAP.22 - 400X340X140MM - SEM PERTENCES</t>
  </si>
  <si>
    <t>CUBA DUPLA ACO INOX(304) CHAPA 22 835X340X140MM - SEM PERTENCES</t>
  </si>
  <si>
    <t>TAMPO LISO EM ACO INOX (304) CHAPA 20</t>
  </si>
  <si>
    <t>VALVULA AMERICANA</t>
  </si>
  <si>
    <t>VALVULA DE METAL AMARELO DE 2'</t>
  </si>
  <si>
    <t>VALVULA DE METAL CROMADO DE 1 1/2"</t>
  </si>
  <si>
    <t>ESPARGIDOR DE FERRO GALVANIZADO P/MICTORIO TIPO COCHO</t>
  </si>
  <si>
    <t>MANGUEIRA PARA HIDRANTE DIAM 1 1/2' L=15,00M</t>
  </si>
  <si>
    <t>MANGUEIRA PARA HIDRANTE DIAM 1 1/2' L=30,00M</t>
  </si>
  <si>
    <t>MT-01/02/03 MICTORIO COLETIVO (PARTE CIVIL)</t>
  </si>
  <si>
    <t>LT-01/02/03 LAVATORIO COLETIVO (PARTE CIVIL)</t>
  </si>
  <si>
    <t>OUTROS SERVICOS DE APARELHOS E METAIS</t>
  </si>
  <si>
    <t>CONSERVACAO - TRATAMENTO DE DESPEJOS SANITARIO</t>
  </si>
  <si>
    <t>CLORADOR TIPO OMS DE FLUXO CONTINUO DE DIAM 1.50X2.00M COMPLETA</t>
  </si>
  <si>
    <t>CAIXA DE DIVISAO PARA FOSSAS DE DIAM = 1,00 M H = 1,00 M</t>
  </si>
  <si>
    <t>OUTROS SERVICOS DE TRATAMENTO DE DESPEJOS SANITARIOS</t>
  </si>
  <si>
    <t>INSTALAÇÕES ELÉTRICAS</t>
  </si>
  <si>
    <t>LIGAÇÕES EM TENSÃO PRIMÁRIA - POSTE/CABINE DE MEDIÇÃO E TRANSFORMAÇÃO</t>
  </si>
  <si>
    <t>TE-01 POSTO DE TRANSFORMACAO DE ENERGIA POSTE C/TRAFO 112,5KVA-ELETROP</t>
  </si>
  <si>
    <t>TE-02 POSTO DE TRANSFORMACAO DE ENERGIA POSTE C/TRAFO 150KVA-ELETROP.</t>
  </si>
  <si>
    <t>TE-03 POSTO DE TRANSFORMACAO DE ENERGIA POSTE C/TRAFO 225KVA-ELETROP.</t>
  </si>
  <si>
    <t>TE-04 POSTO DE TRANSFORMAÇÃO DE ENERGIA POSTE C/TRAFO 300KVA ELETROP.</t>
  </si>
  <si>
    <t>POSTO DE TRANSFORMACAO EM POSTE C/TRAFO 75KVA PADRAO CESP/CPFL</t>
  </si>
  <si>
    <t>TE-05 POSTO DE TRANSFORMACAO DE ENERGIA POSTE C/TRAFO 112,5KVA-CPFL</t>
  </si>
  <si>
    <t>TE-06 POSTO DE TRANSFORMACAO DE ENERGIA POSTE C/TRAFO 150KVA-CPFL</t>
  </si>
  <si>
    <t>TE-07 POSTO DE TRANSFORMACAO DE ENERGIA POSTE C/TRAFO 225KVA-CPFL</t>
  </si>
  <si>
    <t>TE-08 POSTO DE TRANSFORMAÇÃO DE ENERGIA POSTE C/TRAFO 300KVA-CPFL</t>
  </si>
  <si>
    <t>TE-09 POSTO DE TRANSFORMAÇÃO DE ENERGIA POSTE C/TRAFO 112,5KVA ELEKTRO</t>
  </si>
  <si>
    <t>TE-10 POSTO DE TRANSFORMAÇÃO DE ENERGIA POSTE C/TRAFO 150KVA ELEKTRO</t>
  </si>
  <si>
    <t>TE-11 POSTO DE TRANSFORMAÇÃO DE ENERGIA POSTE C/TRAFO 225KVA ELEKTRO</t>
  </si>
  <si>
    <t>SERVICOS DE LIGACOES EM TENSAO PRIMARIA</t>
  </si>
  <si>
    <t>ENTRADA EM BAIXA TENSÃO</t>
  </si>
  <si>
    <t>AT-01 ENTRADA AEREA PARA TELEFONE</t>
  </si>
  <si>
    <t>DPS - DISPOSITIVO PROTECAO CONTRA SURTOS (TELEFONIA)</t>
  </si>
  <si>
    <t>DPS - DISPOSITIVO PROTECAO CONTRA SURTOS (ENERGIA)</t>
  </si>
  <si>
    <t>CONJ 3 CABOS P/ ENTRADA ENERGIA SECCAO 240MM2 C/ ELETRODUTOS</t>
  </si>
  <si>
    <t>CONJ 4 CABOS P/ ENTRADA ENERGIA SECCAO 240MM2 C/ ELETRODUTOS</t>
  </si>
  <si>
    <t>AE-22 ABRIGO ENTRADA DE ENERGIA 38/76KVA CPFL</t>
  </si>
  <si>
    <t xml:space="preserve">AE-19 ABRIGO ENTRADA DE ENERGIA 22KVA AES/BANDEIRANTE/CPFL/ELEKTRO </t>
  </si>
  <si>
    <t>AE-20 ABRIGO ENTRADA DE ENERGIA 38KVA AES/BANDEIRANTE/CPFL/ELEKTRA</t>
  </si>
  <si>
    <t>AE-21 ABRIGO ENTRADA DE ENERGIA 38 A 76 KVA AES/BANDEIRANTE/ELEKTRO</t>
  </si>
  <si>
    <t>CONJ 3 CABOS P/ ENTRADA ENERGIA SECCAO 10MM2 C/ ELETRODUTOS</t>
  </si>
  <si>
    <t>CONJ 3 CABOS P/ ENTRADA ENERGIA SECCAO 16MM2 C/ ELETRODUTOS</t>
  </si>
  <si>
    <t>CONJ 3 CABOS P/ ENTRADA ENERGIA SECCAO 25MM2 C/ ELETRODUTOS</t>
  </si>
  <si>
    <t>CONJ 3 CABOS P/ ENTRADA ENERGIA SECCAO 35MM2 C/ ELETRODUTOS</t>
  </si>
  <si>
    <t>CONJ 3 CABOS P/ ENTRADA ENERGIA SECCAO 50MM2 C/ ELETRODUTOS</t>
  </si>
  <si>
    <t>CONJ 3 CABOS P/ ENTRADA ENERGIA SECCAO 70MM2 C/ ELETRODUTOS</t>
  </si>
  <si>
    <t>CONJ 3 CABOS P/ ENTRADA ENERGIA SECCAO 95MM2 C/ ELETRODUTOS</t>
  </si>
  <si>
    <t>CONJ 3 CABOS P/ ENTRADA ENERGIA SECCAO 120MM2 C/ ELETRODUTOS</t>
  </si>
  <si>
    <t>CONJ 3 CABOS P/ ENTRADA ENERGIA SECCAO 150MM2 C/ ELETRODUTOS</t>
  </si>
  <si>
    <t>CONJ 3 CABOS P/ ENTRADA ENERGIA SECCAO 185MM2 C/ ELETRODUTOS</t>
  </si>
  <si>
    <t>CONJ 4 CABOS P/ ENTRADA ENERGIA SECCAO 10MM2 C/ ELETRUDUTOS</t>
  </si>
  <si>
    <t>CONJ 4 CABOS P/ ENTRADA ENERGIA SECCAO 16MM2 C/ ELETRODUTOS</t>
  </si>
  <si>
    <t>CONJ 4 CABOS P/ ENTRADA ENERGIA SECCAO 25MM2 C/ ELETRODUTOS</t>
  </si>
  <si>
    <t>CONJ 4 CABOS P/ ENTRADA ENERGIA SECCAO 35MM2 C/ ELETRODUTOS</t>
  </si>
  <si>
    <t>CONJ 4 CABOS P/ ENTRADA ENERGIA SECCAO 50MM2 C/ ELETRODUTOS</t>
  </si>
  <si>
    <t>CONJ 4 CABOS P/ ENTRADA ENERGIA SECCAO 70MM2 C/ ELETRODUTOS</t>
  </si>
  <si>
    <t>CONJ 4 CABOS P/ ENTRADA ENERGIA SECCAO 95MM2 C/ ELETRODUTOS</t>
  </si>
  <si>
    <t>CONJ 4 CABOS P/ ENTRADA ENERGIA SECCAO 120MM2 C/ ELETRODUTOS</t>
  </si>
  <si>
    <t>CONJ 4 CABOS P/ ENTRADA ENERGIA SECCAO 150MM2 C/ ELETRODUTOS</t>
  </si>
  <si>
    <t>CONJ 4 CABOS P/ ENTRADA ENERGIA SECCAO 185MM2 C/ ELETRODUTOS</t>
  </si>
  <si>
    <t>CONJ ENTRADA P/ TELEFONE EM ENTRADA DE ENERGIA</t>
  </si>
  <si>
    <t>CHAVE SECCIONADORA NH C/ CARGA 3X125A TAM 00 C/ FUSIVEIS</t>
  </si>
  <si>
    <t>CHAVE SECCIONADORA NH C/ CARGA 3X250A TAM 01 C/ FUSIVEIS</t>
  </si>
  <si>
    <t>CHAVE SECCIONADORA NH C/ CARGA 3X400A TAM 02 C/ FUSIVEIS</t>
  </si>
  <si>
    <t>DISJUNTOR BIPOLAR TERMOMAGNETICO 2X10A A 2X50A</t>
  </si>
  <si>
    <t>DISJUNTOR BIPOLAR TERMOMAGNETICO 2X60A A 2X100A</t>
  </si>
  <si>
    <t>DISJUNTOR TRIPOLAR TERMOMAGNETICO 3X10A A 3X50A</t>
  </si>
  <si>
    <t>DISJUNTOR TRIPOLAR TERMOMAGNETICO 3X60A A 3X100A</t>
  </si>
  <si>
    <t>DISJUNTOR TRIPOLAR TERMOMAGNETICO 125A A 225A</t>
  </si>
  <si>
    <t>DISJUNTOR TRIPOLAR TERMOMAGNETICO 3X125A A 3X225A</t>
  </si>
  <si>
    <t>CHAVE FACA SECA 2X200A BASE MARMORE</t>
  </si>
  <si>
    <t>CHAVE FACA SECA 2X400A BASE MARMORE</t>
  </si>
  <si>
    <t>CHAVE FACA SECA 3X200A BASE MARMORE</t>
  </si>
  <si>
    <t>CHAVE FACA SECA 3X400A BASE MARMORE</t>
  </si>
  <si>
    <t>CHAVE SECCIONADORA NH 3X125A SECA</t>
  </si>
  <si>
    <t>CHAVE SECCIONADORA NH 3X250A SECA</t>
  </si>
  <si>
    <t>CHAVE SECCIONADORA NH 3X400A SECA</t>
  </si>
  <si>
    <t>SERVICOS DE ENTRADA DE BAIXA TENSAO</t>
  </si>
  <si>
    <t>ENTRADA: INTERLIGAÇÃO AO QUADRO GERAL</t>
  </si>
  <si>
    <t>FIO DE 4 MM2 - 750 V DE ISOLACAO</t>
  </si>
  <si>
    <t>FIO DE 6 MM2 - 750 V DE ISOLACAO</t>
  </si>
  <si>
    <t>FIO DE 10 MM2 - 750 V DE ISOLACAO</t>
  </si>
  <si>
    <t>CABO DE 16 MM2 - 750 V DE ISOLACAO</t>
  </si>
  <si>
    <t>CABO DE 25 MM2 - 750 V DE ISOLACAO</t>
  </si>
  <si>
    <t>CABO DE 35 MM2 - 750 V DE ISOLACAO</t>
  </si>
  <si>
    <t>CABO DE 50 MM2 - 750 V DE ISOLACAO</t>
  </si>
  <si>
    <t>CABO DE 70 MM2 - 750 V DE ISOLACAO</t>
  </si>
  <si>
    <t>CABO DE 95 MM2 - 750 V DE ISOLACAO</t>
  </si>
  <si>
    <t>CABO DE 120 MM2 - 750 V DE ISOLACAO</t>
  </si>
  <si>
    <t>CABO DE 150 MM2 - 750 V DE ISOLACAO</t>
  </si>
  <si>
    <t>CABO DE 185 MM2 - 750 V DE ISOLACAO</t>
  </si>
  <si>
    <t>CABO DE 240 MM2 - 750 V DE ISOLACAO</t>
  </si>
  <si>
    <t>CABO DE 300 MM2 - 750 V DE ISOLACAO</t>
  </si>
  <si>
    <t>CABO DE 4 MM2 - 1000V DE ISOLAÇÃO</t>
  </si>
  <si>
    <t>CABO DE 6 MM2 - 1000V DE ISOLAÇÃO</t>
  </si>
  <si>
    <t>CABO DE 10 MM2 - 1000V DE ISOLAÇÃO</t>
  </si>
  <si>
    <t>CABO DE 16 MM2 - 1000V DE ISOLAÇÃO</t>
  </si>
  <si>
    <t>CABO DE 25 MM2 - 1000V DE ISOLAÇÃO</t>
  </si>
  <si>
    <t>CABO DE 35 MM2 - 1000V DE ISOLAÇÃO</t>
  </si>
  <si>
    <t>CABO DE 50 MM2 - 1000V DE ISOLAÇÃO</t>
  </si>
  <si>
    <t>CABO DE 70 MM2 - 1000V DE ISOLAÇÃO</t>
  </si>
  <si>
    <t>CABO DE 95 MM2 - 1000V DE ISOLAÇÃO</t>
  </si>
  <si>
    <t>CABO DE 120 MM2 - 1000V DE ISOLAÇÃO</t>
  </si>
  <si>
    <t>CABO DE 150 MM2 - 1000V DE ISOLAÇÃO</t>
  </si>
  <si>
    <t>CABO DE 185 MM2 - 1000V DE ISOLAÇÃO</t>
  </si>
  <si>
    <t>CABO DE 240 MM2 - 1000V DE ISOLAÇÃO</t>
  </si>
  <si>
    <t>CABO DE 300 MM2 - 1000V DE ISOLAÇÃO</t>
  </si>
  <si>
    <t>ELETRODUTO DE PVC RIGIDO ROSCAVEL DE 25MM - INCL CONEXOES</t>
  </si>
  <si>
    <t>ELETRODUTO DE PVC RIGIDO ROSCAVEL DE 32MM - INCL CONEXOES</t>
  </si>
  <si>
    <t>ELETRODUTO DE PVC RIGIDO ROSCAVEL DE 40MM - INCL CONEXOES</t>
  </si>
  <si>
    <t>ELETRODUTO DE PVC RIGIDO ROSCAVEL DE 50MM - INCL CONEXOES</t>
  </si>
  <si>
    <t>ELETRODUTO DE PVC RIGIDO ROSCAVEL DE 60MM - INCL CONEXOES</t>
  </si>
  <si>
    <t>ELETRODUTO DE PVC RIGIDO ROSCAVEL DE 75MM - INCL CONEXOES</t>
  </si>
  <si>
    <t>ELETRODUTO DE PVC RIGIDO ROSCAVEL DE 85MM - INCL CONEXOES</t>
  </si>
  <si>
    <t>ELETRODUTO DE PVC RIGIDO ROSCAVEL DE 110MM -INCL CONEXOES</t>
  </si>
  <si>
    <t>ELETRODUTO EM POLIETILENO DE 25MM-INCLUSIVE CONEXOES</t>
  </si>
  <si>
    <t>ELETRODUTO EM POLIETILENO DE 32MM-INCLUSIVE CONEXOES</t>
  </si>
  <si>
    <t>SERVICOS DE INTERLIGACAO AO QUADRO GERAL</t>
  </si>
  <si>
    <t>CAIXA EM CHAPA DE AÇO 16 COM PORTA E FECHO</t>
  </si>
  <si>
    <t>QUADRO GERAL : CHAVE SECCIONADORA NH C/ FUSIVEL 3X125A</t>
  </si>
  <si>
    <t>QUADRO GERAL : CHAVE SECCIONADORA NH C/ FUSIVEL 3X250A</t>
  </si>
  <si>
    <t>QUADRO GERAL : CHAVE SECCIONADORA NH C/ FUSIVEL 3X400A</t>
  </si>
  <si>
    <t>QUADRO GERAL-CHAVE GERAL SECA TIPO FACA - 30 A</t>
  </si>
  <si>
    <t>QUADRO GERAL-CHAVE GERAL SECA TIPO FACA - 60 A</t>
  </si>
  <si>
    <t>QUADRO GERAL-CHAVE GERAL SECA TIPO FACA - 100 A</t>
  </si>
  <si>
    <t>QUADRO GERAL-CHAVE GERAL SECA TIPO FACA - 200 A</t>
  </si>
  <si>
    <t>QUADRO GERAL-CHAVE GERAL SECA TIPO FACA - 400 A</t>
  </si>
  <si>
    <t>CHAVE SECCIONADORA NH C/FUSIVEL 3X630A</t>
  </si>
  <si>
    <t>QUADRO GERAL - DISJUNTOR TERMOMAGNETICO 3X10A A 3X50A</t>
  </si>
  <si>
    <t>QUADRO GERAL - DISJUNTOR TERMOMAGNETICO 3X60A A 3X100A</t>
  </si>
  <si>
    <t>QUADRO GERAL - DISJUNTOR TERMO MAGNETICO 3X200A</t>
  </si>
  <si>
    <t>QUADRO GERAL - DISJUNTOR TERMO MAGNETICO 3X400A</t>
  </si>
  <si>
    <t>QUADRO GERAL - DISJUNTOR TERMO MAGNETICO 3X600A</t>
  </si>
  <si>
    <t>QUADRO GERAL - DISJUNTOR TERMO MAGNETICO 3X800A</t>
  </si>
  <si>
    <t>DISJUNTOR TERMOMAGNETICO 3X125A A 3X225A</t>
  </si>
  <si>
    <t>INTERRUPTOR AUTOM. DIFERENCIAL (DISPOSITIVO DR) 40A/30MA</t>
  </si>
  <si>
    <t>INTERRUPTOR AUTOM. DIFERENCIAL (DISPOSITIVO DR) 63A/30MA</t>
  </si>
  <si>
    <t>INTERRUPTOR AUTOM. DIFERENCIAL (DISPOSITIVO DR) 40A/300 mA</t>
  </si>
  <si>
    <t>INTERRUPTOR AUTOM. DIFERENCIAL (DISPOSITIVO DR) 63A/300 mA</t>
  </si>
  <si>
    <t>QUADRO GERAL-BARRAMENTO DE 30 A</t>
  </si>
  <si>
    <t>QUADRO GERAL-BARRAMENTO DE 60 A</t>
  </si>
  <si>
    <t>QUADRO GERAL-BARRAMENTO DE 100 A</t>
  </si>
  <si>
    <t>QUADRO GERAL-BARRAMENTO DE 150 A</t>
  </si>
  <si>
    <t>QUADRO GERAL-BARRAMENTO DE 200 A</t>
  </si>
  <si>
    <t>QUADRO GERAL-BARRAMENTO DE 400 A</t>
  </si>
  <si>
    <t>QUADRO GERAL-BARRAMENTO DE 800 A</t>
  </si>
  <si>
    <t>QUADRO GERAL-BARRAMENTO DE 1000 A</t>
  </si>
  <si>
    <t>QUADRO GERAL - BARRAMENTO DE 600A</t>
  </si>
  <si>
    <t>PLACA DE ACRILICO TRANSPARENTE ESP=5MM PROTECAO A CONTATO ACIDENTAL</t>
  </si>
  <si>
    <t>QUADRO GERAL - ELETRODUTO DE PVC RIGIDO ROSCAVEL DE 32 MM INCL CONEX</t>
  </si>
  <si>
    <t>QUADRO GERAL - CABO DE COBRE NU DE 6 MM2</t>
  </si>
  <si>
    <t>QUADRO GERAL - CABO DE COBRE NU DE 10 MM2</t>
  </si>
  <si>
    <t>QUADRO GERAL - CABO DE COBRE NU DE 16 MM2</t>
  </si>
  <si>
    <t>QUADRO GERAL - CABO DE COBRE NU DE 25 MM2</t>
  </si>
  <si>
    <t>QUADRO GERAL - CABO DE COBRE NU DE 35 MM2</t>
  </si>
  <si>
    <t>QUADRO GERAL - CABO DE COBRE NU DE 50 MM2</t>
  </si>
  <si>
    <t>QUADRO GERAL - CABO DE COBRE NU DE 70 MM2</t>
  </si>
  <si>
    <t>QUADRO GERAL - CABO DE COBRE NU DE 95 MM2</t>
  </si>
  <si>
    <t>QUADRO GERAL - CABO DE COBRE NU DE 120 MM2</t>
  </si>
  <si>
    <t>TERRA COMPLETO</t>
  </si>
  <si>
    <t>DISJUNTOR UNIPOLAR TERMOMAGNETICO 1X35A A 1X50A</t>
  </si>
  <si>
    <t>DISJUNTOR UNIPOLAR TERMOMAGNETICO 1X10A 1X30A</t>
  </si>
  <si>
    <t>DISJUNTOR BIPOLAR TERMOMAG. 2X125A A 2X225A</t>
  </si>
  <si>
    <t>DISJUNTOR UNIPOLAR TERMOMAGNETICO 1X50A A 1X70A</t>
  </si>
  <si>
    <t>DISJUNTOR UNIPOLAR TERMOMAGNETICO 1X90A A 1X100A</t>
  </si>
  <si>
    <t>SERVICOS DE QUADRO GERAL</t>
  </si>
  <si>
    <t>REDE DE BAIXA TENSÃO: DUTO/QUADROS PARCIAIS LUZ/QUADROS TELEFONE</t>
  </si>
  <si>
    <t>ELETROD ACO GALV QUENTE (NBR 5624) 20 MM (3/4") - INCL CONEXOES</t>
  </si>
  <si>
    <t>ELETROD ACO GALV QUENTE (NBR 5624) 25 MM (1") - INCL CONEXOES</t>
  </si>
  <si>
    <t>ELETROD ACO GALV QUENTE (NBR 5624) 32 MM (1 1/4") - INCL CONEXOES</t>
  </si>
  <si>
    <t>ELETROD ACO GALV QUENTE (NBR 5624) 40 MM (1 1/2") - INCL CONEXOES</t>
  </si>
  <si>
    <t>ELETROD ACO GALV QUENTE (NBR 5624) 50 MM (2") - INCL CONEXOES</t>
  </si>
  <si>
    <t>ELETROD ACO GALV. QUENTE (NBR5624) 65MM(2X1/2") INCL CONEXOES</t>
  </si>
  <si>
    <t>ELETROD ACO GALV QUENTE (NBR5624) 80MM(3") INCL CONEXOES</t>
  </si>
  <si>
    <t>QUADRO DISTRIBUICAO, DISJ. GERAL 30A P/ 4 A 8 DISJS.</t>
  </si>
  <si>
    <t>QUADRO DISTRIBUICAO, DISJ. GERAL 50A P/ 10 A 12 DISJS.</t>
  </si>
  <si>
    <t>QUADRO DISTRIBUICAO, DISJ. GERAL 60A P/ 14 A 20 DISJS.</t>
  </si>
  <si>
    <t>QUADRO DISTRIBUICAO, DISJ. GERAL 80A P/ 22 A 26 DISJS.</t>
  </si>
  <si>
    <t>QUADRO DISTRIBUICAO, DISJ. GERAL 100A P/ 28 A 42 DISJS.</t>
  </si>
  <si>
    <t>QUADRO AUTOMATICO CAPACIDADE PARA 42 DISJ C/ BARRAMENTO</t>
  </si>
  <si>
    <t>INTERRUPTOR TIPO AUTOMÁTICO DE BÓIA</t>
  </si>
  <si>
    <t>DISJUNTOR UNIPOLAR TERMOMAGNETICO 1X10A A 1X30A</t>
  </si>
  <si>
    <t>QUADRO COMANDO PARA CONJUNTO MOTOR BOMBA TRIFASICO DE 3/4 A 1 HP</t>
  </si>
  <si>
    <t>QUADRO COMANDO PARA CONJUNTO MOTOR BOMBA TRIFASICO DE 1 1/2 A 2 HP</t>
  </si>
  <si>
    <t>QUADRO COMANDO PARA CONJUNTO MOTOR BOMBA TRIFASICO DE 2 A 3 HP</t>
  </si>
  <si>
    <t>QUADRO COMANDO PARA CONJUNTO MOTOR BOMBA TRIFASICO DE 3 A 4 HP</t>
  </si>
  <si>
    <t>QUADRO COMANDO PARA CONJUNTO MOTOR BOMBA TRIFASICO DE 4 A 5 HP</t>
  </si>
  <si>
    <t>QUADRO COMANDO PARA CONJUNTO MOTOR BOMBA TRIFASICO DE 7,5 HP</t>
  </si>
  <si>
    <t>QUADRO COMANDO PARA CONJUNTO MOTOR BOMBA BIFASICO DE 3/4 A 1 HP</t>
  </si>
  <si>
    <t>QUADRO COMANDO PARA CONJUNTO MOTOR BOMBA BIFASICO DE 1 1/2 A 2 HP</t>
  </si>
  <si>
    <t>QUADRO COMANDO PARA CONJUNTO MOTOR BOMBA BIFASICO DE 2 A 3 HP</t>
  </si>
  <si>
    <t>QUADRO COMANDO PARA BOMBA DE INCENDIO TRIFASICO DE 3/4 A 2 HP</t>
  </si>
  <si>
    <t>QUADRO COMANDO PARA BOMBA DE INCENDIO TRIFASICO DE 2 A 4 HP</t>
  </si>
  <si>
    <t>QUADRO COMANDO PARA BOMBA DE INCENDIO TRIFASICO DE 5 HP</t>
  </si>
  <si>
    <t>QUADRO COMANDO PARA BOMBA DE INCENDIO TRIFASICO DE 7,5 HP</t>
  </si>
  <si>
    <t>QUADRO COMANDO PARA BOMBA DE INCENDIO TRIFASICO DE 10 HP</t>
  </si>
  <si>
    <t>QUADRO COMANDO PARA BOMBA DE INCENDIO BIFASICO DE 3/4 A 1 HP</t>
  </si>
  <si>
    <t>QUADRO COMANDO PARA BOMBA DE INCENDIO BIFASICO DE 1 1/2 A 2 HP</t>
  </si>
  <si>
    <t>INTERRUPTOR AUTOMATICO DIFERENCIAL (DISPOSITIVO DR) 40A/30 mA</t>
  </si>
  <si>
    <t>INTERRUPTOR AUTOMATICO DIFERENCIAL (DISPOSITIVO DR) 63A/30 mA</t>
  </si>
  <si>
    <t>INTERRUPTOR AUTOMATICO DIFERENCIAL (DISPOSITIVO DR) 40A/300 mA</t>
  </si>
  <si>
    <t>INTERRUPTOR AUTOMATICO DIFERENCIAL (DISPOSITIVO DR) 63A/300 mA</t>
  </si>
  <si>
    <t>SERVICOS DE DUTOS/QUADROS PARCIAIS LUZ/QUADROS TELEFOE</t>
  </si>
  <si>
    <t>REDE DE BAIXA TENSÃO: CAIXAS DE PASSAGEM</t>
  </si>
  <si>
    <t>CAIXA DE PASSAGEM ESTAMPADA COM TAMPA PLASTICA DE 4"X2"</t>
  </si>
  <si>
    <t>CAIXA DE PASSAGEM ESTAMPADA COM TAMPA PLASTICA DE 4"X4"</t>
  </si>
  <si>
    <t>CAIXA DE PASSAGEM CHAPA TAMPA PARAFUSADA DE 10X10X8 CM</t>
  </si>
  <si>
    <t>CAIXA DE PASSAGEM CHAPA TAMPA PARAFUSADA DE 15X15X8 CM</t>
  </si>
  <si>
    <t>CAIXA DE PASSAGEM CHAPA TAMPA PARAFUSADA DE 20X20X10 CM</t>
  </si>
  <si>
    <t>CAIXA DE PASSAGEM CHAPA TAMPA PARAFUSADA DE 30X30X12 CM</t>
  </si>
  <si>
    <t>CAIXA DE PASSAGEM CHAPA TAMPA PARAFUSADA DE 40X40X15 CM</t>
  </si>
  <si>
    <t>CAIXA DE PASSAGEM CHAPA TAMPA PARAFUSADA DE 50X50X15 CM</t>
  </si>
  <si>
    <t>CAIXA DE PASSAGEM EM ALVENARIA DE 0,40X0,40X0,40 M</t>
  </si>
  <si>
    <t>CAIXA DE PASSAGEM EM ALVENARIA DE 0,60X0,60X0,60 M</t>
  </si>
  <si>
    <t>CAIXA DE PASSAGEM EM ALVENARIA DE 0,80X0,80X0,80 M</t>
  </si>
  <si>
    <t>CAIXA DE PASSAGEM EM ALVENARIA DE 1,00X1,00X1,00 M</t>
  </si>
  <si>
    <t>CAIXA DE PASSAGEM EM ALVENARIA DE 1,00X1,00X0,50 M</t>
  </si>
  <si>
    <t>CAIXA DE PASSAGEM A PROVA DE UMIDADE EM ALUMINIO 10X10X6CM</t>
  </si>
  <si>
    <t>CAIXA DE PASSAGEM A PROVA DE UMIDADE EM ALUMINIO 15X15X10CM</t>
  </si>
  <si>
    <t>CAIXA DE PASSAGEM A PROVA DE UMIDADE EM ALUMINIO 20X20X10CM</t>
  </si>
  <si>
    <t>CAIXA DE PASSAGEM A PROVA DE UMIDADE EM ALUMINIO 30X30X12CM</t>
  </si>
  <si>
    <t>CAIXA DE PASSAGEM A PROVA DE UMIDADE EM ALUMINIO 40X40X20CM</t>
  </si>
  <si>
    <t>QUADRO EM CHAPA COM PORTA E FECHADURA (TELEBRAS) DE 20X20X12CM</t>
  </si>
  <si>
    <t>QUADRO EM CHAPA COM PORTA E FECHADURA (TELEBRAS) DE 40X40X12CM</t>
  </si>
  <si>
    <t>QUADRO EM CHAPA COM PORTA E FECHADURA (TELEBRAS) DE 60X60X12CM</t>
  </si>
  <si>
    <t>SERVICOS DE CAIXAS DE PASSAGEM</t>
  </si>
  <si>
    <t>REDE DE BAIXA TENSÃO: ENFIAÇÃO</t>
  </si>
  <si>
    <t>FIO DE 2,50 MM2 - 750 V DE ISOLACAO</t>
  </si>
  <si>
    <t>FIO TRANCADO PARA TELEFONE - PAD. TELEBRAS</t>
  </si>
  <si>
    <t>CABO DE 10 MM2 - 750 V DE ISOLACAO</t>
  </si>
  <si>
    <t>CABO DE 2,5 MM2 - 1000V DE ISOLAÇÃO</t>
  </si>
  <si>
    <t>CABO DE 300 MM2 - 1000 V - 2 ISOLACOES</t>
  </si>
  <si>
    <t>FIO BICOLOR POLARIZADO P/ SOM 2X0,75MM2</t>
  </si>
  <si>
    <t>FIO BICOLOR POLARIZADO P/ SOM 2X1,00MM2</t>
  </si>
  <si>
    <t>FIO BICOLOR POLARIZADO P/ SOM 2X1,50MM2</t>
  </si>
  <si>
    <t>FIO BICOLOR POLARIZADO P/ SOM 2X2,50MM2</t>
  </si>
  <si>
    <t>CABO DE CONTROLE 3X1,5MM2 ATE 1KV DE ISOLAÇÃO</t>
  </si>
  <si>
    <t>CABO DE CONTROLE 5X1,5MM2 ATE 1KV DE ISOLAÇÃO</t>
  </si>
  <si>
    <t>CABO DE CONTROLE 7X1,5MM2 ATE 1KV DE ISOLAÇÃO</t>
  </si>
  <si>
    <t>SERVICOS DE ENFIACAO</t>
  </si>
  <si>
    <t>INTERRUPTOR DE 1 TECLA SIMPLES EM CX.4"X2"-ELETROD.AÇO GALV.A QUENTE</t>
  </si>
  <si>
    <t>INTERRUPTOR DE 2 TECLAS SIMPLES EM CX.4"X2"-ELETROD.AÇO GALV.A QUENTE</t>
  </si>
  <si>
    <t>INTERRUPTOR DE 3 TECLAS SIMPLES EM CX.4"X2"-ELETROD.AÇO GALV.A QUENTE</t>
  </si>
  <si>
    <t>INTERRUPTOR DE 1 TECLA BIPOLAR SIMPLES EM CX.4"X2"-ELETROD.DE AÇO GALV.A QUENTE</t>
  </si>
  <si>
    <t>2 INTERRUPTORES DE 1 TECLA BIP.SIMPL.CX.4"X4"-ELETR.AÇO GALV.A QUENTE</t>
  </si>
  <si>
    <t>INTERRUPTOR DE 1 TECLA PARAL.SIMPL.CX.4"X2"-ELETR.AÇO GALV.A QUENTE</t>
  </si>
  <si>
    <t>INTERRUPTOR DE 1 TECLA PARAL.BIP.CX.4"X2"-ELETR.AÇO GALV.A QUENTE</t>
  </si>
  <si>
    <t>INTERRUPTOR DE 1 TECLA SIMPL.E TOMADA 2P+T UNIV.CX.4"X4" ELETR.AÇO GALV.A QUENTE</t>
  </si>
  <si>
    <t>TOMADA 2P+T UNIVERSAL CORR.10A/15A-250V-ELETR. GALV. A QUENTE</t>
  </si>
  <si>
    <t>TOMADA 2P+T PINO CHATO POLARIZ.CORR.15A-250V-ELETR.AÇO GALV.QUENTE</t>
  </si>
  <si>
    <t>TOMADA 3P PINOS CHATOS CORR.20A-250V-ELETR.AÇO GALV.A QUENTE</t>
  </si>
  <si>
    <t>INTERRUPTOR DE 1 TECLA-ELETRODUTO DE POLIETILENO</t>
  </si>
  <si>
    <t>INTERRUPTOR DE 2 TECLAS-ELETRODUTO DE POLIETILENO</t>
  </si>
  <si>
    <t>INTERRUPTOR DE 3 TECLAS-ELETRODUTO DE POLIETILENO</t>
  </si>
  <si>
    <t>2 INTERRUPTORES DE 1 TECLA EM CAIXA 4"X4"-ELETRODUTO DE POLIETILENO</t>
  </si>
  <si>
    <t>3 INTERRUPTORES DE 1 TECLA EM CAIXA 4"X4"-ELETRODUTO DE POLIETILENO</t>
  </si>
  <si>
    <t>INTERRUPTOR DE 1 TECLA BIPOLAR EM CAIXA 4"X2"-ELETRODUTO POLIETILENO</t>
  </si>
  <si>
    <t>2 INTERRUPTORES 1 TECLA BIPOLAR EM CAIXA 4"X4"-ELETRODUTO POLIETILENO</t>
  </si>
  <si>
    <t>3 INTERRUPTORES 1 TECLA BIPOLAR EM CAIXA 4"X4"-ELETRODUTO POLIETILENO</t>
  </si>
  <si>
    <t>INTERRUPTORES EM PARALELO EM CAIXA 4"X2"-ELETRODUTO DE POLIETILENO</t>
  </si>
  <si>
    <t>INTERRUPTORES EM PARALELO BIPOLAR EM CAIXA 4"X2"-ELETR. POLIETILENO</t>
  </si>
  <si>
    <t>INTERRUPTOR DE 1 TECLA E TOMADA EM CAIXA 4"X2"-ELETR. POLIETILENO</t>
  </si>
  <si>
    <t>TOMADA SIMPLES DE EMBUTIR DE 110/220V USO GERAL-ELETR POLIETILENO</t>
  </si>
  <si>
    <t>TOMADA BIFASICA DE 220V APARELHOS FIXOS-ELETRODUTO DE POLIETILENO</t>
  </si>
  <si>
    <t>TOMADA DE PISO-ELETRODUTO DE POLIETILENO</t>
  </si>
  <si>
    <t>PONTO SECO PARA TELEFONE-ELETRODUTO DE POLIETILENO</t>
  </si>
  <si>
    <t>BOTAO PARA CAMPAINHA-ELETRODUTO DE POLIETILENO</t>
  </si>
  <si>
    <t>BOTOEIRA PARA ACIONAMENTO DA BOMBA DE INCENDIO</t>
  </si>
  <si>
    <t>CIGARRA-ELETRODUTO DE POLIETILENO</t>
  </si>
  <si>
    <t>PONTO SECO P/ INSTALACAO DE SOM/TV/ALARME-ELETR.POLIETILENO</t>
  </si>
  <si>
    <t>INTERRUPTOR DE 1 TECLA SIMPLES CAIXA 4"X2"-ELETR PVC RÍGIDO</t>
  </si>
  <si>
    <t>INTERRUPTOR 2 TECLAS SIMPL CAIXA DE 4"X2"-ELETR PVC RÍGIDO</t>
  </si>
  <si>
    <t>INTERRUPTOR 3 TECLAS SIMPL CAIXA 4"X2"-ELETR PVC RÍGIDO</t>
  </si>
  <si>
    <t>2 INTERRUPTORES DE 1 TECLA EM CAIXA 4"X4"-ELETRODUTO DE PVC</t>
  </si>
  <si>
    <t>3 INTERRUPTORES DE 1 TECLA EM CAIXA 4"X4"-ELETRODUTO DE PVC</t>
  </si>
  <si>
    <t>INTERRUPTOR 1 TECLA BIPOL SIMPL CAIXA 4"X2"-ELETR PVC RÍGIDO</t>
  </si>
  <si>
    <t>2 INTERRUPTORES 1 TECLA BIPOL SIMPL CAIXA 4"X4"-ELETR PVC RÍGIDO</t>
  </si>
  <si>
    <t>3 INTERRUPTORES DE 1 TECLA BIPOLAR EM CAIXA 4"X4"-ELETRODUTO DE PVC</t>
  </si>
  <si>
    <t>INTERRUPTOR 1 TECLA PARALELO SIMPL CAIXA 4"X2"-ELETR PVC RÍGIDO</t>
  </si>
  <si>
    <t>INTERRUPTOR 1 TECLA PARALELO BIPOL CAIXA 4"X2"-ELETR PVC RÍGIDO</t>
  </si>
  <si>
    <t>INTERRUPTOR 1 TECLA SIMPLES/TOMADA 2P+T UNIV CAIXA 4"X4"-ELETR PVC RÍG</t>
  </si>
  <si>
    <t>TOMADA SIMPLES DE EMBUTIR DE 110/220V USO GERAL-ELETRODUTO DE PVC</t>
  </si>
  <si>
    <t>TOMADA BIFASICA DE 220V APARELHOS FIXOS-ELETRODUTO DE PVC</t>
  </si>
  <si>
    <t>TOMADA 2P+T UNIVER, CORR 10A/15A-250V-ELETR PVC RÍGIDO</t>
  </si>
  <si>
    <t>TOMADA DE PISO 2P+T PINO CHATO POLARIZ, CORR 15A-250V-ELETR PVC RÍGIDO</t>
  </si>
  <si>
    <t>PONTO SECO PARA TELEFONE-ELETRODUTO DE PVC</t>
  </si>
  <si>
    <t>TOMADA DE PISO PARA TEL/LOGICA - ELETRODUTO DE PVC</t>
  </si>
  <si>
    <t>BOTAO PARA CIGARRA - ELETRODUTO DE PVC</t>
  </si>
  <si>
    <t>CIGARRA PARA CHAMADA DE AULA - ELETRODUTO DE PVC</t>
  </si>
  <si>
    <t>PONTO SECO P/INSTALACAO DE SOM/TV/ALARME/LOGICA - ELETRODUTO PVC</t>
  </si>
  <si>
    <t>BOTAO ACIONAMENTO SIRENE - ELETRODUTO PVC</t>
  </si>
  <si>
    <t>SIRENE PARA ALARME DE EMERGENCIA- ELETRODUTO DE PVC</t>
  </si>
  <si>
    <t>TOMADA 2P+T PINO CHATO POLARIZ.CORR.15A-250V-ELETR.PVC RIGIDO</t>
  </si>
  <si>
    <t>TOMADA 3P PINOS CHATOS CORR.20A-250V-ELETR.PVC RIGIDO</t>
  </si>
  <si>
    <t>SERVICOS DE INTERRUPTORES E TOMADAS</t>
  </si>
  <si>
    <t>LUMINÁRIAS INTERNAS</t>
  </si>
  <si>
    <t>*IL-08 LUMINARIA PARA LAMPADA FLUORESCENTE (1X40W)</t>
  </si>
  <si>
    <t>*IL-09 LUMINARIA PARA LAMPADA FLUORESCENTE (2X40W)</t>
  </si>
  <si>
    <t>*IL-10 LUMINARIA PARA LAMPADA FLUORESCENTE (4X40W)</t>
  </si>
  <si>
    <t>*IL-11 LUMINARIA PARA LAMPADA FLUORESCENTE (2X20W)</t>
  </si>
  <si>
    <t>*IL-12 LUMINARIA PARA LAMPADA FLUORESCENTE (4X20W)</t>
  </si>
  <si>
    <t>*IL-19 LUMINARIA PARA FLUORESCENTE COM PENDENTE (1X40W)</t>
  </si>
  <si>
    <t>*IL-20 LUMINARIA PARA FLUORESCENTE COM PENDENTE (2X40W)</t>
  </si>
  <si>
    <t>*IL-21 LUMINARIA PARA FLUORESCENTE COM PENDENTE (4X40W)</t>
  </si>
  <si>
    <t>*IL-38 LUMINARIA PARA LAMPADA FLUORESCENTE (3 X 40 W)</t>
  </si>
  <si>
    <t>*LUMIN EM CALHA PARA EMBUTIR DIF PLAST LAMP FLUOR 2X40 W</t>
  </si>
  <si>
    <t>*LUMIN EM CALHA PARA EMBUTIR DIF PLAST LAMP FLUOR 4X40 W</t>
  </si>
  <si>
    <t>IL-26 LUMINARIA COM 1 LAMPADA FLUORESCENTE-110W</t>
  </si>
  <si>
    <t>IL-25 LUMINARIAS COM 2 LAMPADAS FLUORESCENTES-110W</t>
  </si>
  <si>
    <t>*FLUORESCENTE EM PERFILADO (2X40W) PROJ. EMERGENCIA</t>
  </si>
  <si>
    <t>IL-13 REFLETOR PARA LAMPADA MISTA 160 W</t>
  </si>
  <si>
    <t>IL-14 REFLETOR COM TELA PARA LAMPADA MISTA 160 W</t>
  </si>
  <si>
    <t>IL-16 GLOBO LEITOSO 20X10CM C/ 1 LAMP. INCAND.100W</t>
  </si>
  <si>
    <t>IL-17 GLOBO LEITOSO 28X15CM C/1 LAMP.INCAND. 200W</t>
  </si>
  <si>
    <t>IL-42 LUMINARIA C/ DIFUSOR P/ LAMPADA FLUOR (2X32W)</t>
  </si>
  <si>
    <t>LAMPADA INCANDESCENTE DE 100 W EM PLAFONIER</t>
  </si>
  <si>
    <t>IL-57 REFLETOR C/ TELA P/ VAPOR MET 150W</t>
  </si>
  <si>
    <t>IL-58 ILUMINACAO P/ QUADRA DE ESP. COB. LAMP. VAPOR METALICO (1X250W)</t>
  </si>
  <si>
    <t>IL-05 ARANDELA BLINDADA</t>
  </si>
  <si>
    <t>IL-28 ILUMINACAO AUTONOMA DE EMERGENCIA</t>
  </si>
  <si>
    <t>IL-44 LUMINARIA PARA LAMPADA FLUORESCENTE (1X32W)</t>
  </si>
  <si>
    <t>IL-45 LUMINARIA PARA LAMPADA FLUORESCENTE (2X32W)</t>
  </si>
  <si>
    <t>IL-46 LUMINARIA PARA LAMPADA FLUORESCENTE (4X32W)</t>
  </si>
  <si>
    <t>IL-47 LUMINARIA ABERTA C/ REFLETOR E PEND P/FLUOR (1X32W)</t>
  </si>
  <si>
    <t>IL-48 LUMINARIA ABERTA C/ REFLETOR E PEND P/FLUOR (2X32W)</t>
  </si>
  <si>
    <t>IL-49 LUMINARIA ABERTA C/ REFLETOR E PEND P/FLUOR (4X32W)</t>
  </si>
  <si>
    <t>SERVICOS DE ILUMINACAO</t>
  </si>
  <si>
    <t>CENTRO DE LUZ EM CAIXA FM-ELETRODUTO DE POLIETILENO</t>
  </si>
  <si>
    <t>CENTRO DE LUZ EM CAIXA FM ELETRODUTO DE PVC</t>
  </si>
  <si>
    <t>CENTRO DE LUZ EM CONDULETE-ELETRODUTO DE PVC</t>
  </si>
  <si>
    <t>CENTRO DE LUZ EM CONDULETE-ELETRODUTO DE POLIETILENO</t>
  </si>
  <si>
    <t>CENTRO DE LUZ EM PERFILADOS-CAIXA FM</t>
  </si>
  <si>
    <t>CENTRO DE LUZ EM PERFILADO-TOMADA DE LIGACAO - ELETR POLIETILENO</t>
  </si>
  <si>
    <t>CENTRO DE LUZ EM PERFILADO-TOMADA DE LIGACAO - ELETRODUTO DE PVC</t>
  </si>
  <si>
    <t>SERVICOS DE CENTROS DE LUZ</t>
  </si>
  <si>
    <t>ILUMINAÇÃO EXTERNA</t>
  </si>
  <si>
    <t>ARANDELA EXTERNA PRATO ESMALTADO PROVA TEMPO C/LAMP DE 60 W</t>
  </si>
  <si>
    <t>ARANDELA EXTERNA PRATO ESMALTADO PROVA TEMPO C/LAMP DE 100 W</t>
  </si>
  <si>
    <t>PLAFONIER TIPO DROPS - 1 LAMP. 60 W</t>
  </si>
  <si>
    <t>PLAFONIER TIPO DROPS - 2 LAMP. 60 W</t>
  </si>
  <si>
    <t>LUMIN DECORATIVA PARA JARDIM COM LAMP INCANDESCENTE DE 300 W</t>
  </si>
  <si>
    <t>LUMIN DECORATIVA PARA JARDIM COM LAMP COM LAMP MISTA DE 250 W</t>
  </si>
  <si>
    <t>LUMIN DECORATIVA PARA JARDIM COM LAMP VAPOR DE MERCURIO DE 250 W</t>
  </si>
  <si>
    <t>IL-37 LUMIN. ABERTA TIPO ECON. C/ LAMP. MISTA 160W C/ BRACO ACO GALV.</t>
  </si>
  <si>
    <t>IL-50 LUMINARIA VAPOR MET 2X250W C/ POSTE CONCR TUB 11M (QE)</t>
  </si>
  <si>
    <t>IL-52 LUMINARIA P/ VAPOR DE SODIO 1X150W EM POSTE TUB 7M</t>
  </si>
  <si>
    <t>IL-06 LUZ DE OBSTACULO COM LAMPADA DE 60W</t>
  </si>
  <si>
    <t>IL-51 LUMINARIA P/ VAPOR MET P/SOM/ELETR (2X250W)</t>
  </si>
  <si>
    <t>IL-30 LUMINARIA EM POSTE H= 2,50 M COM LAMPADA MISTA DE 160W</t>
  </si>
  <si>
    <t>IL-53 LUMINARIA P/ VAPOR DE SODIO 1X150W EM POSTE 6M</t>
  </si>
  <si>
    <t>IL-54 LUMINARIA P/ VAPOR DE SODIO 2X150W EM POSTE 6M</t>
  </si>
  <si>
    <t>IL-55 PROJETOR MEDIO P/ VAPOR DE SODIO 150W</t>
  </si>
  <si>
    <t>IL-56 PROJETOR P/ VAPOR DE SODIO 250W</t>
  </si>
  <si>
    <t>APARELHOS ELÉTRICOS</t>
  </si>
  <si>
    <t>SERVICOS DE APARELHOS ELETRICOS</t>
  </si>
  <si>
    <t>PARA RAIOS</t>
  </si>
  <si>
    <t>PP-02 PARA RAIO FRANKLIN COM HASTE 3MX2"</t>
  </si>
  <si>
    <t>PP-03 PARA-RAIO FRANKLIN COM HASTE 6,00M E DIAM=2"</t>
  </si>
  <si>
    <t>BARRA CHATA ACO GALVANIZADO (3/4"X1/8") - CAPTOR P/ PARA RAIOS</t>
  </si>
  <si>
    <t>BARRA CHATA ALUMUNIO (1/2"X1/4") - CAPTOR P/ PARA RAIOS</t>
  </si>
  <si>
    <t>BARRA CHATA ACO GALVANIZADO (3/4"X1/8") - DESCIDA P/ PARA RAIO</t>
  </si>
  <si>
    <t>BARRA CHATA ALUMINIO (1/2"X1/8") - DESCIDA P/ PARA RAIOS</t>
  </si>
  <si>
    <t>CABO DE COBRE NU DE 35 MM2 - COM SUPORTES DE FIXACAO</t>
  </si>
  <si>
    <t>CABO DE COBRE NU DE 70 MM2 - COM SUPORTES DE FIXACAO</t>
  </si>
  <si>
    <t>CABO DE COBRE NU DE 95 MM2 - COM SUPORTES DE FIXACAO</t>
  </si>
  <si>
    <t>CABO DE COBRE NU DE 50 MM2 - SOB A TERRA</t>
  </si>
  <si>
    <t>TERRA COMPLETO - 3 HASTES</t>
  </si>
  <si>
    <t>TERRA SIMPLES - 1 HASTE</t>
  </si>
  <si>
    <t>TUBO DE PVC 2"X 3M PARA PROTECAO DE CABO DE COBRE NU</t>
  </si>
  <si>
    <t>CONEXAO EXOTERMICA CABO/CABO</t>
  </si>
  <si>
    <t>CONEXAO EXOTERMICA CABO/HASTE</t>
  </si>
  <si>
    <t>CONEXAO EXOTERMICA EM ESTRUTURA METALICA</t>
  </si>
  <si>
    <t>SERVICOS DE PARA-RAIOS</t>
  </si>
  <si>
    <t>DEMOLIÇÕES - ALTA TENSÃO</t>
  </si>
  <si>
    <t>REMOCAO DE OLEO DE DISJUNTOR OU TRANSFORMADOR EM CABINE PRIMARIA</t>
  </si>
  <si>
    <t xml:space="preserve">L </t>
  </si>
  <si>
    <t>REMOCAO DE ISOLADOR TIPO DISCO COMPL, INCL GANCHO DE SUSPENSAO OLHAL</t>
  </si>
  <si>
    <t>REMOCAO DE BUCHA DE PASSAGEM INT/EXT, OU DE CHAPA P/ BUCHA PASS A.T.</t>
  </si>
  <si>
    <t>REMOCAO DE BUCHA DE PASSAGEM PARA NEUTRO EM CABINE PRIMARIA</t>
  </si>
  <si>
    <t>REMOCAO DE CANTONEIRA METALICA</t>
  </si>
  <si>
    <t>REMOCAO DE ISOLADOR TIPO CASTANHA, INCLUSIVE GANCHO DE SUSTENTACAO</t>
  </si>
  <si>
    <t>REMOCAO DE ISOLADOR TIPO PINO PARA A.T., INCLUSIVE PINO</t>
  </si>
  <si>
    <t>REMOCAO DE VERGALHAO DE COBRE</t>
  </si>
  <si>
    <t>REMOCAO DE MUFLA EXTERNA TRIPOLAR</t>
  </si>
  <si>
    <t>REMOCAO DE MUFLA INTERNA TRIPOLAR</t>
  </si>
  <si>
    <t>REMOCAO DE CABO DE A.T. TRIPOLAR</t>
  </si>
  <si>
    <t>REMOCAO CHAVE SECCION TRIP SECA, COMANDO POR VARA/ESTRIBO FRONTAL</t>
  </si>
  <si>
    <t>REMOCAO DE TRANSFORMADOR DE POTENCIAL COMPLETO</t>
  </si>
  <si>
    <t>REMOCAO DE DISJUNTOR DE VOLUME NORMAL OU REDUZIDO</t>
  </si>
  <si>
    <t>REMOCAO DE MANOPLA DE COMANDO DE DISJUNTOR DE A.T.(ENGRENAGEM INTERNA)</t>
  </si>
  <si>
    <t>REMOCAO DE JANELA DE VENTILACAO PADRAO LIGHT</t>
  </si>
  <si>
    <t>REMOCAO RELE DE SOBRE-CORRENTE,INFRATENSAO/BOBINA MINIMA DO DISJ A.T.</t>
  </si>
  <si>
    <t>REMOCAO DE TRANSFORMADOR DE POTENCIA EM CABINE PRIMARIA</t>
  </si>
  <si>
    <t>REMOCAO DE TRANSFORMADOR DE POTENCIA EM POSTE OU ESTALEIRO</t>
  </si>
  <si>
    <t>REMOCAO DE POSTE DE CONCRETO</t>
  </si>
  <si>
    <t>REMOCAO DE PARA-RAIO TIPO CRISTAL VALVE EM POSTE SINGELO OU ESTALEIRO</t>
  </si>
  <si>
    <t>REMOCAO DE PARA-RAIO TIPO CRISTAL-VALVE EM CABINE PRIMARIA</t>
  </si>
  <si>
    <t>REMOCAO DE CRUZETA DE MADEIRA</t>
  </si>
  <si>
    <t>REMOCAO DE MAO FRANCESA</t>
  </si>
  <si>
    <t>REMOCAO DE CHAVE FUSIVEL INDICADORA TIPO MATHEUS</t>
  </si>
  <si>
    <t>REMOCAO DE SUPORTE DE TRANSFORMADOR EM POSTE SINGELO OU ESTALEIRO</t>
  </si>
  <si>
    <t>REMOCAO CINTA FIXACAO DE ELETRODUTO OU SELA P/CRUZETA MAD EM POSTE</t>
  </si>
  <si>
    <t>REMOCAO DE CAIXAS DE MEDICAO OU CAIXAS P/ TRANSF. DE CORRENTE</t>
  </si>
  <si>
    <t>DEMOLICOES DE ALTA TENSAO</t>
  </si>
  <si>
    <t>DEMOLIÇÕES - BAIXA TENSÃO</t>
  </si>
  <si>
    <t>REMOCAO DE POSTE ACO GALV. OU CAIXA ACO P/ ENTRADA ENERGIA EM B.T.</t>
  </si>
  <si>
    <t>REMOCAO DE POSTE DE CONCRETO DE ENTRADA EM B.T.</t>
  </si>
  <si>
    <t>REMOCAO DE ARMACAO TIPO BRAQUET</t>
  </si>
  <si>
    <t>REMOCAO DE CABECOTE TIPO TELESP</t>
  </si>
  <si>
    <t>REMOCAO DE CAIXA DE ENTRADA DE TELEFONE PADRAO TELESP</t>
  </si>
  <si>
    <t>REMOCAO DE TUBULACAO ELETRICA EMBUTIDA ATE 2"</t>
  </si>
  <si>
    <t>REMOCAO DE TUBULACAO ELETRICA EMBUTIDA ACIMA DE 2"</t>
  </si>
  <si>
    <t>REMOCAO DE TUBULACAO ELETRICA APARENTE ATE 2"</t>
  </si>
  <si>
    <t>REMOCAO DE TUBULACAO ELETRICA APARENTE ACIMA 2"</t>
  </si>
  <si>
    <t>REMOCAO DE CAIXA PARA FUSIVEL OU TOMADA INSTALADA EM PERFILADOS</t>
  </si>
  <si>
    <t>REMOCAO DE CAIXAS ESTAMPADAS</t>
  </si>
  <si>
    <t>REMOCAO DE FIO EMBUTIDO ATE 16 MM2</t>
  </si>
  <si>
    <t>REMOCAO DE CABO EMBUTIDO ACIMA DE 16 MM2</t>
  </si>
  <si>
    <t>REMOCAO DE FIO APARENTE ATE 16 MM2</t>
  </si>
  <si>
    <t>REMOCAO DE CABO APARENTE ACIMA DE 16 MM2</t>
  </si>
  <si>
    <t>REMOCAO DE TERMINAIS ,CONECTORES DE PRESSAO OU ROLDANAS PARA CABOS</t>
  </si>
  <si>
    <t>REMOCAO DE TERMINAIS OU CONECTORES DE SOLDA PARA CABOS</t>
  </si>
  <si>
    <t>REMOCAO DE FUNDO OU PORTAS MADEIRA/METAL .P/QUADROS OU CAIXAS PASSAGEM</t>
  </si>
  <si>
    <t>REMOCAO DE FECHADURAS TIPO YALE (Q.DISTRIBUICAO)</t>
  </si>
  <si>
    <t>REMOCAO DE CHAVES BASE MARMORE,NH UNIPOLAR OU DISJUNT.NO-FUSE EM BT</t>
  </si>
  <si>
    <t>REMOCAO DE DISJUNTOR QUICK-LAG OU BASE P/ FUSIVEL DIAZED EM B.T</t>
  </si>
  <si>
    <t>REMOCAO DE BASE OU CHAVE PARA FUSIVEL NH TIPO UNIPOLAR</t>
  </si>
  <si>
    <t>REMOCAO DE CHAVE OU BASE NH TRIPOL. OU CHAVE PACCO ROTATIVA EM B.T</t>
  </si>
  <si>
    <t>REMOCAO DE CHAVE DE ACAO RAPIDA,COMANDO FRONTAL MONTADO EM PAINEL B.T</t>
  </si>
  <si>
    <t>REMOCAO DE BARRAMENTO DE COBRE</t>
  </si>
  <si>
    <t>DEMOLICOES DE BAIXA TENSAO</t>
  </si>
  <si>
    <t>DEMOLIÇÕES - APARELHOS E EQUIPAMENTOS</t>
  </si>
  <si>
    <t>REMOCAO DE INTERRUPTORES TOMADAS BOTOES DE CAMPAINHA E CIGARRAS</t>
  </si>
  <si>
    <t>REMOCAO DE CHAVE AUTOMATICA DA BOIA</t>
  </si>
  <si>
    <t>REMOCAO DE CONTACTOR MAGNETICO P/ QUADRO DE COMANDO DE BOMBA RECALQUE</t>
  </si>
  <si>
    <t>REMOCAO DE MOTOR BOMBA DE RECALQUE</t>
  </si>
  <si>
    <t>REMOCAO AP.ILUM FLUORESC.C/PLAFON E PEND,OU CANOPLA P/ LUM.PENDENTE</t>
  </si>
  <si>
    <t>REMOCAO APARELHO ILUMINACAO,PLAFONS E PENDENTES P/LAMPADAS FLUORESC</t>
  </si>
  <si>
    <t>REMOCAO DE SOQUETES P/ LAMPADAS INCANDES OU DE CORRENTES P/ PENDENTES</t>
  </si>
  <si>
    <t>REMOCAO DE REATORES P/ LAMP.HG EM CX.PASSAG.OU P/ LAMP. FLUORESCENTES</t>
  </si>
  <si>
    <t>REMOCAO DE REATORES PARA LAMPADAS HG EM POSTES</t>
  </si>
  <si>
    <t>REMOCAO DE AP. ILUMIN. EM POSTES OU DE PROJETORES EM FACHADAS</t>
  </si>
  <si>
    <t>REMOCAO DE PROJETORES EM JARDINS OU DE LUZ DE OBSTACULO</t>
  </si>
  <si>
    <t>REMOCAO DE ARANDELA EXTERNA EM BRACO DE FERRO</t>
  </si>
  <si>
    <t>REMOCAO DO APARELHO A PROVA DE TEMPO, GASES E VAPOR</t>
  </si>
  <si>
    <t>REMOCAO DE CRUZETAS DE FERRO PARA FIXACAO DE PROJETORES</t>
  </si>
  <si>
    <t>REMOCAO DE POSTE CURVO, INCLUINDO BASES DE FIXACAO</t>
  </si>
  <si>
    <t>REMOCAO DE POSTE DE FERRO RETO ENGASTADO NO SOLO</t>
  </si>
  <si>
    <t>DEMOLICOES DE APARELHOS E EQUIPAMENTOS</t>
  </si>
  <si>
    <t>DEMOLIÇÕES - PARA RAIOS E ATERRAMENTO</t>
  </si>
  <si>
    <t>REMOCAO DE CAPTOR DE PARA-RAIOS TIPO FRANKLIN OU RADIATIVO</t>
  </si>
  <si>
    <t>REMOCAO DE BASE E HASTE DE PARA-RAIO</t>
  </si>
  <si>
    <t>REMOCAO CABOS E ESTICADORES OU DE BRACADEIRAS P/ 3 ESTAIS EM P.RAIOS</t>
  </si>
  <si>
    <t>REMOCAO DE CABO DE COBRE NU</t>
  </si>
  <si>
    <t>REMOCAO DE CABO COBRE NU PARA ATERRAMENTO</t>
  </si>
  <si>
    <t>REMOCAO DE CONECTOR TIPO SPLIT-BOLDT PARA CABOS DE ATERRAMENTO</t>
  </si>
  <si>
    <t>REMOCAO DE BRACADEIRAS PARA PASSAGEM DE CABOS DE COBRE NU</t>
  </si>
  <si>
    <t>REMOCAO DE TUBO DE PROTECAO DE CABO DE COBRE NU INCL. FIXACOES</t>
  </si>
  <si>
    <t>DEMOLICOES DE PARA-RAIOS E ATERRAMENTO</t>
  </si>
  <si>
    <t>RETIRADAS  - ALTA TENSÃO</t>
  </si>
  <si>
    <t>DE ISOLADOR TIPO DISCO COMPL INCL GANCHO DE SUSPENSAO TIPO OLHAL</t>
  </si>
  <si>
    <t>DE BUCHA DE PASS.INT/EXT, OU DE CHAPA ACO P/ BUCHA PASSAGEM A.T.</t>
  </si>
  <si>
    <t>DE CANTONEIRA METALICA</t>
  </si>
  <si>
    <t>DE ISOLADOR TIPO CASTANHA INCL GANCHO DE SUSTENTACAO</t>
  </si>
  <si>
    <t>DE ISOLADOR TIPO PINO PARA A.T. INCLUSIVE PINO</t>
  </si>
  <si>
    <t>DE VERGALHAO DE COBRE</t>
  </si>
  <si>
    <t>DE TERMINAL OU CONECTOR PARA VERGALHAO DE COBRE</t>
  </si>
  <si>
    <t>DE CHAVE SECCION TRIP SECA, COMANDO POR VARA/ESTRIBO FRONTAL</t>
  </si>
  <si>
    <t>DE TRANSFORMADOR DE POTENCIAL COMPLETO</t>
  </si>
  <si>
    <t>DE DISJUNTOR DE VOLUME NORMAL OU REDUZIDO</t>
  </si>
  <si>
    <t>DE MANOPLA DE COMANDO DO DISJUNTOR DE A.T. (ENGRENAGEM INTERNA)</t>
  </si>
  <si>
    <t>DE TRANSFORMADOR DE POTENCIA EM CABINE PRIMARIA</t>
  </si>
  <si>
    <t>DE TRANSFORMADOR DE POTENCIA EM POSTE OU ESTALEIRO</t>
  </si>
  <si>
    <t>DE POSTE DE CONCRETO</t>
  </si>
  <si>
    <t>DE CHAVE FUSIVEL INDICADORA TIPO MATHEUS</t>
  </si>
  <si>
    <t>RETIRADAS DE ALTA TENSAO</t>
  </si>
  <si>
    <t>RETIRADAS - BAIXA TENSÃO</t>
  </si>
  <si>
    <t>DE POSTE GALVANIZADO DE ENTRADA EM B.T.</t>
  </si>
  <si>
    <t>DE POSTE DE CONCRETO DE ENTRADA EM B.T.</t>
  </si>
  <si>
    <t>DE ARMACAO T BRAQUET, CONDULETES OU DE CX.FUSIV/TOMADAS EM PERFILADO</t>
  </si>
  <si>
    <t>DE CABECOTE TELESP OU DE BASE P/DISJUNTOR QUICK LAG</t>
  </si>
  <si>
    <t>DE TUBULACAO ELETRICA APARENTE ATE 2"</t>
  </si>
  <si>
    <t>DE TUBULACAO ELETRICA APARENTE ACIMA 2"</t>
  </si>
  <si>
    <t>DE PERFILADOS</t>
  </si>
  <si>
    <t>DE GANCHOS DE SUSTENTACAO DE LUMINARIAS EM PERFILADOS</t>
  </si>
  <si>
    <t>DE FIO EMBUTIDO ATE 16 MM2</t>
  </si>
  <si>
    <t>DE CABO EMBUTIDO ACIMA DE 16 MM2</t>
  </si>
  <si>
    <t>DE FIO APARENTE ATE 16 MM2</t>
  </si>
  <si>
    <t>DE CABO APARENTE ACIMA DE 16 MM2</t>
  </si>
  <si>
    <t>DE TERMINAIS/CONECTORES DE PRESSAO P/CABOS OU DE ROLDANAS</t>
  </si>
  <si>
    <t>E DESMONTAGEM Q.DISTRIB, CAIXA PASSAGEM OU Q. CHAMADA</t>
  </si>
  <si>
    <t>RETIRADAS DE BAIXA TENSAO</t>
  </si>
  <si>
    <t>RETIRADA - APARELHOS E EQUIPAMENTOS</t>
  </si>
  <si>
    <t>DE MOTOR DE BOMBA DE RECALQUE</t>
  </si>
  <si>
    <t>DE APARELHO DE ILUMINACAO, PLAFONS E PENDENTES P/LAMPADAS INCANDESC</t>
  </si>
  <si>
    <t>DE APARELHOS DE ILUMINACAO, PLAFONS E PENDENTES P/LAMPADAS FLUORESC</t>
  </si>
  <si>
    <t>DE AP.ILUM.EM POSTE,ARANDELA EXT BRACO ACO OU PROJET EM FECHADA</t>
  </si>
  <si>
    <t>DE PROJETORES EM JARDINS</t>
  </si>
  <si>
    <t>DE APARELHO A PROVA DE TEMPO, GASES E VAPOR</t>
  </si>
  <si>
    <t>DE POSTE CURVO, INCLUINDO BASES DE FIXACAO</t>
  </si>
  <si>
    <t>DE POSTE DE FERRO RETO ENGASTADO NO SOLO</t>
  </si>
  <si>
    <t>DE POSTE DE CONCRETO DE ATE 10 M ACIMA DO SOLO</t>
  </si>
  <si>
    <t>RETIRADAS DE APARELHOS E EQUIPAMENTOS</t>
  </si>
  <si>
    <t>RETIRADAS - PARA RAIOS E ATERRAMENTO</t>
  </si>
  <si>
    <t>DE CAPTOR DE PARA-RAIOS TIPO FRANKLIN</t>
  </si>
  <si>
    <t>DE BASE E HASTE,OU DE BRACADEIRA C/3 ESTAIS EM PARA-RAIOS</t>
  </si>
  <si>
    <t>DE CABOS DE ACO E ESTICADORES DE PARA-RAIOS</t>
  </si>
  <si>
    <t>DE CABO DE COBRE NU</t>
  </si>
  <si>
    <t>DE CABO DE COBRE NU PARA ATERRAMENTO</t>
  </si>
  <si>
    <t>DE CONECTOR TIPO SPLIT-BOLDT PARA CABOS DE ATERRAMENTO</t>
  </si>
  <si>
    <t>DE BRACADEIRAS PARA PASSAGEM DE CABO DE COBRE NU</t>
  </si>
  <si>
    <t>RETIRADAS DE PARA-RAIOS E ATERRAMENTOS</t>
  </si>
  <si>
    <t>RECOLOCAÇÕES - ALTA TENSÃO</t>
  </si>
  <si>
    <t>DE ISOLADOR TIPO DISCO COMPL, INCLUS GANCHO DE SUSPENSAO TIPO OLHAL</t>
  </si>
  <si>
    <t>DE BUCHA PASS.INT/EXT OU DE CH.ACO P/BUCHA PASSAGEM EM A.T</t>
  </si>
  <si>
    <t>DE ISOLADOR CASTANHA OU DE TERMINAL/CONEC. P/BARRAM.COBRE A.T</t>
  </si>
  <si>
    <t>DE CHAVE SECCIONADORA TRIP SECA,COMANDO POR VARA/ESTRIBO FRONTAL</t>
  </si>
  <si>
    <t>DE CH.FUSIV.INDICADORA OU DE TRANSF.DE POTENCIAL COMPL. A.T</t>
  </si>
  <si>
    <t>DE TRANSFORMADOR DE POTENCIA EM POSTE OU CAB.PRIMARIA</t>
  </si>
  <si>
    <t>RECOLOCACOES DE ALTA TENSAO</t>
  </si>
  <si>
    <t>RECOLOCAÇÕES - BAIXA TENSÃO</t>
  </si>
  <si>
    <t>DE POSTE GALVANIZADO DE ENTRADA B.T.</t>
  </si>
  <si>
    <t>DE CABECOTE TELESP,ARMACAO BRAQUET OU CONECTORES PRESSAO P/CABOS</t>
  </si>
  <si>
    <t>DE TUBULACAO ELETRICA APARENTE ACIMA DE 2"</t>
  </si>
  <si>
    <t>DE CONDULETES OU DE CX.FUSIV. OU DE TOMADA INSTAL. EM PERFILADOS</t>
  </si>
  <si>
    <t>DE GANCHOS DE SUSTENTACAO DE LUMINARIAS E PERFILADOS</t>
  </si>
  <si>
    <t>DE ROLDANAS</t>
  </si>
  <si>
    <t>E MONTAGEM DE Q.DISTRIB,CX DE PASSAG MET OU Q.CHAMADA</t>
  </si>
  <si>
    <t>DE BASE DE DISJUNTOR TIPO QUICK-LAG EM CHAPA DE FERRO</t>
  </si>
  <si>
    <t>RECOLOCACOES DE BAIXA TENSAO</t>
  </si>
  <si>
    <t>RECOLOCAÇÕES - APARELHOS E EQUIPAMENTOS</t>
  </si>
  <si>
    <t>DE AP.ILUM.(PLAFON OU PEND.)P/LAMP.INCAND OU DE PROJET EM JARDINS</t>
  </si>
  <si>
    <t>DE APARELHO DE ILUMINACAO,PLAFONS OU PENDENTES P/ LAMP FLUORESCENTES</t>
  </si>
  <si>
    <t>DE APARELHOS DE ILUMINACAO EM POSTE</t>
  </si>
  <si>
    <t>DE PROJ.EM FACHADAS OU AP.ILUMIN.A PROVA DE TEMPO</t>
  </si>
  <si>
    <t>DE ARANDELA EXTERNA EM BRACO DE FERRO</t>
  </si>
  <si>
    <t>DE POSTE CURVO, INCLUINDO BASE DE FIXACAO</t>
  </si>
  <si>
    <t>RECOLOCACOES DE APARELHOS E EQUIPAMENTOS</t>
  </si>
  <si>
    <t>RECOLOCAÇÕES - PARA RAIOS E ATERRAMENTO</t>
  </si>
  <si>
    <t>DE CAPTOR DE PARA-RAIOS TIPO FRANKLIN OU RADIOATIVO</t>
  </si>
  <si>
    <t>DE BASE E HASTE DE PARA-RAIOS</t>
  </si>
  <si>
    <t>DE CABO ACO E ESTICADORES,OU DE CABO COBRE NU P/ATERR. P.RAIOS</t>
  </si>
  <si>
    <t>DE CONECTOR TIPO SPLIT-BOOLT PARA CABOS DE ATERRAMENTO</t>
  </si>
  <si>
    <t>DE BRACADEIRAS PARA 3 ESTAIS OU PARA PASSAGEM DE CABO DE COBRE NU</t>
  </si>
  <si>
    <t>RECOLOCACOES DE PARA-RAIOS E ATERRAMENTO</t>
  </si>
  <si>
    <t>CONSERVACAO - ALTA TENSÃO</t>
  </si>
  <si>
    <t>OLEO P/DISJUNTOR EM TRANSFOMADOR DE ALTA TENSAO EM CABINE</t>
  </si>
  <si>
    <t>OLEO PARA TRANSFORMADOR DE ALTA TENSAO EM POSTE SINGELO OU ESTALEIRO</t>
  </si>
  <si>
    <t>ISOLADOR TIPO DISCO 15 KV 6" (150 MM)</t>
  </si>
  <si>
    <t>CHAPA DE FERRO DE 1,50 X 0,50 M PARA BUCHA DE PASSAGEM</t>
  </si>
  <si>
    <t>BUCHA PARA PASSAGEM INTERNA/EXTERNA COM ISOLACAO PARA 15 KV</t>
  </si>
  <si>
    <t>BUCHA DE PASSAGEM PARA NEUTRO</t>
  </si>
  <si>
    <t>CANTONEIRA DE FERRO 1 1/2" X 1 1/2" X 1/8"</t>
  </si>
  <si>
    <t>JANELA DE VENTILACAO PADRAO LIGHT DE 0,40 X 0,40 X 0,15 M</t>
  </si>
  <si>
    <t>ISOLADOR TIPO CASTANHA INCLUINDO GRAMPO DE SUSTENTACAO</t>
  </si>
  <si>
    <t>ISOLADOR TIPO PINO PARA 15 KV, INCLUSIVE PINO, INSTALADO EM CABINE</t>
  </si>
  <si>
    <t>ISOLADOR TIPO PINO PARA 15 KV, INCLUSIVE PINO, INSTALADO EM POSTE</t>
  </si>
  <si>
    <t>VERGALHAO DE COBRE DE 3/8" (10MM)</t>
  </si>
  <si>
    <t>VERGALHAO DE COBRE DE 1/2" (12,5MM)</t>
  </si>
  <si>
    <t>TERMINAL OU CONECTOR PARA VERGALHAO DE COBRE DE 3/8" (10 MM2)</t>
  </si>
  <si>
    <t>TERMINAL OU CONECTOR PARA VERGALHAO DE COBRE DE 1/2" (12,5 MM2)</t>
  </si>
  <si>
    <t>MUFLA TRIPOLAR EXTERNA PARA CABO ATE 2 AWG/15KV</t>
  </si>
  <si>
    <t>MUFLA TERMINAL UNIPOLAR EXTERNA P/ CABO ISOLAÇÃO XLPE 15KV ATE 35MM2</t>
  </si>
  <si>
    <t>MUFLA TRIPOLAR INTERNA PARA CABO SECO (THV SINTENAX) ATE 2 AWG/15 KV</t>
  </si>
  <si>
    <t>MUFLA TERMINAL UNIPOLAR INTERNA P/ CABO ISOLAÇÃO XLPE 15KV ATE 35MM2</t>
  </si>
  <si>
    <t>CABO SECO TRIPOLAR (THV SINTENAX) 3X25 MM2 / 15KV</t>
  </si>
  <si>
    <t>CABO SECO TRIPOLAR (THV SINTENAX) 3 X 35 MM2 / 15KV</t>
  </si>
  <si>
    <t>CABO SECO UNIPOLAR (THV SINTENAX) 16 MM2/15 KV</t>
  </si>
  <si>
    <t>CABO DE POTENCIA UNIPOLAR ISOLAÇÃO XLPE CLASSE 15KV 25MM2</t>
  </si>
  <si>
    <t>CABO DE POTENCIA UNIPOLAR ISOLAÇÃO XLPE CLASSE 15KV 35MM2</t>
  </si>
  <si>
    <t>CHAVE SECCIONADORA TRIPOLAR SECA PARA 200A/15 KV C/ CMD PROLONGADO</t>
  </si>
  <si>
    <t>CHAVE FUSIVEL INDIC 'MATHEUS' P/100 A/15 KV RUPTURA 1200A POSTE/ESTAL</t>
  </si>
  <si>
    <t>CHAVE FUSIVEL INDIC 'MATHEUS' P/100A/15 KV RUPTURA 1200A EM CABINE</t>
  </si>
  <si>
    <t>CHAVE FUSIVEL INDIC 'MATHEUS' P/ 50/15KV RUPTURA 1200A EM POSTE/ESTAL</t>
  </si>
  <si>
    <t>CHAVE FUSIVEL INDIC 'MATHEUS' P/ 50A/15KV RUPTURA 1200A EM CABINE</t>
  </si>
  <si>
    <t>TRANSFORMADOR DE CORRENTE PARA A.T. 15 KV</t>
  </si>
  <si>
    <t>TRANSFORMADOR DE POTENCIAL 400 W/220V COM FUSIVEL DE A.T. 15 KV</t>
  </si>
  <si>
    <t>DIS VL REDUZ OLEO 15KV/250 PL15B MVA 630 ACION. MANUAL - COMPLETO</t>
  </si>
  <si>
    <t>BOBINA MINIMA DO DISJUNTOR</t>
  </si>
  <si>
    <t>RELE FALTA-DE-FASE TRIFASICO TIPO ST 220/110 V PEXTRON OU SIMILAR</t>
  </si>
  <si>
    <t>RELE DE SOBRE-CORRENTE DO DISJUNTOR</t>
  </si>
  <si>
    <t>MANOPLA DE COMANDO DE DISJUNTOR DE A. T.</t>
  </si>
  <si>
    <t>TAPETE DE BORRACHA DE 100 X 100 X 0,5 CM</t>
  </si>
  <si>
    <t>LUVA DE BORRACHA PARA A.T. 20 KV</t>
  </si>
  <si>
    <t>VARA MANOPLA DE FENOLITE DE 2,70 M P/ CHAVE SECCIONADORA - 15 KV</t>
  </si>
  <si>
    <t>PARA-RAIO TIPO CRISTAL-VALVE PARA 15 KV EM POSTE OU CABINE</t>
  </si>
  <si>
    <t>BRACADEIRA DE ELETRODUTO EM POSTE</t>
  </si>
  <si>
    <t>SELA PARA CRUZETA DE MADEIRA</t>
  </si>
  <si>
    <t>SUPORTE DE TRANSFORMADOR EM POSTE OU ESTALEIRO</t>
  </si>
  <si>
    <t>CRUZETA DE MADEIRA DE 2400 MM</t>
  </si>
  <si>
    <t>MAO FRANCESA DE 700 MM</t>
  </si>
  <si>
    <t>CAIXA PARA TRANSFORMADOR DE CORRENTE PADRAO CESP</t>
  </si>
  <si>
    <t>CAIXA DE MEDICAO PADRAO CESP - 0,70 X 0,60 X 0,25 M</t>
  </si>
  <si>
    <t>CAIXA DE MEDICAO PADRAO LIGHT 1,00 X 1,00 X 0,25 M</t>
  </si>
  <si>
    <t>TRANSF-POT 45 KVA-A.T.13,2(5%)B.T.220/127V(5%)EM POSTE/ESTALEIRO</t>
  </si>
  <si>
    <t>TRANSF-POT 75 KVA-A.T.13,2 KV(5%)B.T.220/127V(5%)EM POSTE/ESTALEIRO</t>
  </si>
  <si>
    <t>TRANSF-POT 112,5 KVA-A.T.13,2 KV(5%)220/127V(5%) EM POSTE /ESTALEIRO</t>
  </si>
  <si>
    <t>TRANSF-POT 112,5 KVA-A.T.13,2 KV(5%)B.T.220/127V(5%) EM CABINE</t>
  </si>
  <si>
    <t>TRANSF-POT 150 KVA-A.T.13,2 KV(5%) B.T. 220/127V(5%) EM CABINE</t>
  </si>
  <si>
    <t>TRANSF-POT 225 KVA-A.T.13,2 KV(5%)B.T. 220/127(5%) EM CABINE</t>
  </si>
  <si>
    <t>TRANSF-POT 300 KVA-A.T.13,2 KV(5%)B.T. 220/127(5%) EM CABINE</t>
  </si>
  <si>
    <t>TRANSF-POT 500 KVA-A.T.13,2 KV(5%)B.T. 220/127V(5%) EM CABINE</t>
  </si>
  <si>
    <t>MUDANCA DE TAP DO TRANSFORMADOR</t>
  </si>
  <si>
    <t>LIMPEZA DE POSTO PRIMARIO E PINTURA DOS BARRAMENTOS</t>
  </si>
  <si>
    <t>CAPACITOR PARA CORRECAO DO FATOR DE POTENCIA 2 KVAR-220V/60HZ</t>
  </si>
  <si>
    <t>CAPACITOR PARA CORRECAO DO FATOR DE POTENCIA 2,5 KVAR-220V/60HZ</t>
  </si>
  <si>
    <t>CAPACITOR PARA CORRECAO DO FATOR DE POTENCIA 3KVAR-220V/60HZ</t>
  </si>
  <si>
    <t>CAPACITOR PARA CORRECAO DO FATOR DE POTENCIA 4KVAR-220V/60HZ</t>
  </si>
  <si>
    <t>CAPACITOR PARA CORRECAO DO FATOR DE POTENCIA 5 KVAR-220/60HZ</t>
  </si>
  <si>
    <t>CAPACITOR PARA CORRECAO DO FATOR DE POTENCIA 6 KVAR-220V/60HZ</t>
  </si>
  <si>
    <t>CAPACITOR PARA CORRECAO DO FATOR DE POTENCIA 7,5 KVAR-220V/60HZ</t>
  </si>
  <si>
    <t>CAPACITOR PARA CORRECAO DO FATOR DE POTENCIA 8KVAR-220/60HZ</t>
  </si>
  <si>
    <t>CAPACITOR PARA CORRECAO DO FATOR DE POTENCIA 10KVAR - 220 V/60HZ</t>
  </si>
  <si>
    <t>CAPACITOR PARA CORRECAO DO FATOR DE POTENCIA 12 KVAR - 220V/60HZ</t>
  </si>
  <si>
    <t>CAPACITOR PARA CORRECAO DO FATOR DE POTENCIA 12,5 KVAR-220V/60HZ</t>
  </si>
  <si>
    <t>CAPACITOR PARA CORRECAO DO FATOR DE POTENCIA 15 KVAR-220V/60HZ</t>
  </si>
  <si>
    <t>CAPACITOR PARA CORRECAO DO FATOR DE POTENCIA 18 KVAR-220V/60HZ</t>
  </si>
  <si>
    <t>CAPACITOR PARA CORRECAO DO FATOR DE POTENCIA 20 KVAR-220V/60HZ</t>
  </si>
  <si>
    <t>CAPACITOR PARA CORRECAO DO FATOR DE POTENCIA 24 KVAR-220V/60HZ</t>
  </si>
  <si>
    <t>CAPACITOR PARA CORRECAO DO FATOR DE POTENCIA 25 KVAR-220V/60HZ</t>
  </si>
  <si>
    <t>CAPACITOR PARA CORRECAO DO FATOR DE POTENCIA 30 KVAR-220V/60HZ</t>
  </si>
  <si>
    <t>CAPACITOR PARA CORRECAO DO FATOR DE POTENCIA 40 KVAR-220V/60HZ</t>
  </si>
  <si>
    <t>CAPACITOR PARA CORRECAO DO FATOR DE POTENCIA 50KVAR-220V/60HZ</t>
  </si>
  <si>
    <t>APARELHO ILUM.EMERGENCIA C/3 PROJETORES P/CABINE PRIM.AUTON.1H A 3H</t>
  </si>
  <si>
    <t>PLACA DE AVISO EM CABINE PRIMARIA</t>
  </si>
  <si>
    <t>OUTROS SERVICOS EM ALTA TENSAO</t>
  </si>
  <si>
    <t>CONSERVACAO - BAIXA TENSÃO</t>
  </si>
  <si>
    <t>POSTE DE ACO GALVANIZADO DE 3 1/2" X 6,00 M</t>
  </si>
  <si>
    <t>POSTE DE CONCRETO PERFIL I DE 6,00 X 300 KG</t>
  </si>
  <si>
    <t>CABECOTE TIPO TELESP</t>
  </si>
  <si>
    <t>BRAQUET COM 2 ISOLADORES PARA B.T.</t>
  </si>
  <si>
    <t>BRAQUET COM 3 ISOLADORES PARA B.T.</t>
  </si>
  <si>
    <t>BRAQUET COM 4 ISOLADORES PARA B.T.</t>
  </si>
  <si>
    <t>CAIXA ESTAMPADA 4" X 2"</t>
  </si>
  <si>
    <t>CAIXA ESTAMPADA 4" X 4"</t>
  </si>
  <si>
    <t>BRACADEIRA PARA FIXACAO DE ELETRODUTO</t>
  </si>
  <si>
    <t>ROLDANA DE PORCELANA COM PARAFUSO DE 30 X 30 MM</t>
  </si>
  <si>
    <t>FIO DE COBRE 2 X 1,50 MM2 PLASTICHUMBO</t>
  </si>
  <si>
    <t>FIO DE COBRE 2 X 2,50 MM2 PLASTICHUMBO</t>
  </si>
  <si>
    <t>TERMINAL OU CONECTOR DE PRESSAO PARA CABO 10MM</t>
  </si>
  <si>
    <t>TERMINAL OU CONECTOR DE PRESSAO PARA CABO 16MM</t>
  </si>
  <si>
    <t>TERMINAL OU CONECTOR DE PRESSAO PARA CABO 25MM</t>
  </si>
  <si>
    <t>TERMINAL OU CONECTOR DE PRESSAO PARA CABO 35MM</t>
  </si>
  <si>
    <t>TERMINAL OU CONECTOR DE PRESSAO PARA CABO 50MM</t>
  </si>
  <si>
    <t>TERMINAL OU CONECTOR DE PRESSAO PARA CABO 70MM</t>
  </si>
  <si>
    <t>TERMINAL OU CONECTOR DE PRESSAO PARA CABO 95MM</t>
  </si>
  <si>
    <t>TERMINAL OU CONECTOR DE PRESSAO PARA CABO 120MM</t>
  </si>
  <si>
    <t>TERMINAL OU CONECTOR DE PRESSAO PARA CABO 150MM</t>
  </si>
  <si>
    <t>TERMINAL OU CONECTOR DE PRESSAO PARA CABO 185MM</t>
  </si>
  <si>
    <t>TERMINAL OU CONECTOR DE PRESSAO PARA CABO 240MM</t>
  </si>
  <si>
    <t>CXA PASSAG OU QUADRO DE DISTR C/PORTA,TRINCO E FECH T YALE PROF 10CM</t>
  </si>
  <si>
    <t>BASE DE MADEIRA EM PINHO DE 1" PARA FUNDO DE QUADROS</t>
  </si>
  <si>
    <t>BASE DE CHAPA DE FERRO N 14 PARA FIXACAO DE DISJUNTOR NO Q.D.</t>
  </si>
  <si>
    <t>FECHADURA TIPO YALE</t>
  </si>
  <si>
    <t>CHAVE COM FUSIVEL TIPO CARTUCHO 3 X 30 A - BASE MARMORE</t>
  </si>
  <si>
    <t>CHAVE COM FUSIVEL TIPO CARTUCHO 3 X 60 A - BASE MARMORE</t>
  </si>
  <si>
    <t>CHAVE COM FUSIVEL TIPO CARTUCHO 3 X 100 A- BASE MARMORE</t>
  </si>
  <si>
    <t>CHAVE COM FUSIVEL TIPO CARTUCHO 3 X 200 A - BASE MARMORE</t>
  </si>
  <si>
    <t>CHAVE FACA SECA 2X30 A BASE MARMORE</t>
  </si>
  <si>
    <t>CHAVE FACA SECA 2 X 60 A - BASE MARMORE</t>
  </si>
  <si>
    <t>CHAVE FACA SECA 2 X 100A - BASE MARMORE</t>
  </si>
  <si>
    <t>CHAVE FACA SECA 3X30 A - BASE MARMORE</t>
  </si>
  <si>
    <t>CHAVE FACA SECA 3X60 A - BASE MARMORE</t>
  </si>
  <si>
    <t>CHAVE FACA SECA 3X100 A - BASE MARMORE</t>
  </si>
  <si>
    <t>CHAVE FACA SECA 3X200 A - BASE MARMORE</t>
  </si>
  <si>
    <t>CHAVE FACA SECA 3X400 A - BASE MARMORE</t>
  </si>
  <si>
    <t>CHAVE FACA SECA 3 X 600 A - BASE MARMORE</t>
  </si>
  <si>
    <t>CHAVE REVERSIVEL 3X30 A - BASE MARMORE</t>
  </si>
  <si>
    <t>CHAVE REVERSIVEL 3 X 60 A - BASE MARMORE</t>
  </si>
  <si>
    <t>BASE DE CHAPA DE FERRO PARA DISJUNTOR QUICK - LAG</t>
  </si>
  <si>
    <t>CHAVE BLINDADA COM FUSIVEIS DE 3 X 30 A - B.T.</t>
  </si>
  <si>
    <t>CHAVE BLINDADA COM FUSIVEIS DE 3 X 60 A - B.T.</t>
  </si>
  <si>
    <t>CHAVE BLINDADA COM FUSIVEIS DE 3X100 A - B.T.</t>
  </si>
  <si>
    <t>CHAVE BLINDADA COM FUSIVEIS DE 3X200 A - B.T.</t>
  </si>
  <si>
    <t>CHAVE SECCIONADORA NH 3X125A COM FUSIVEIS</t>
  </si>
  <si>
    <t>CHAVE SECCIONADORA NH 3X250A COM FUSIVEIS</t>
  </si>
  <si>
    <t>CHAVE SECCIONADORA NH 3X400A COM FUSIVEIS</t>
  </si>
  <si>
    <t>CHAVE SECCIONADORA NH 3X600A COM FUSIVEIS</t>
  </si>
  <si>
    <t>PERFFILADO EM CHAPA DE ACO 38X38MM</t>
  </si>
  <si>
    <t>BASE ABERTA PARA FUSIVEIS TIPO DIAZED DE 20 A A 25 A</t>
  </si>
  <si>
    <t>BASE ABERTA PARA FUSIVEIS TIPO DIAZED DE 35 A A 63 A</t>
  </si>
  <si>
    <t>OUTROS SERVICOS DE BAIXA TENSAO</t>
  </si>
  <si>
    <t>CONSERVAÇÃO - BAIXA TENSÃO</t>
  </si>
  <si>
    <t>CH.SEC.DE ACAO RAP.SOBRE CARGA COMANDO FRONTAL 3X100 A PAINEL BL.B.T</t>
  </si>
  <si>
    <t>CH.SEC.DE ACAO RAP.SOBRE CARGA COMANDO FRONTAL 3X200 A PAINEL BL.B.T</t>
  </si>
  <si>
    <t>CH.SEC.DE ACAO RAP.SOBRE CARGA COMANDO FRONTAL 3X400 A PAINEL BL.B.T</t>
  </si>
  <si>
    <t>CH.SEC.DE ACAO RAP.SOBRE CARGA COMANDO FRONTAL 3X630 A PAINEL BL.B.T</t>
  </si>
  <si>
    <t>FUSIVEL DIAZED TIPO RAPIDO OU RETARDADO DE 2 A 35 A</t>
  </si>
  <si>
    <t>FUSIVEL DIAZED TIPO RAPIDO OU RETARDADO DE 50 A 63 A</t>
  </si>
  <si>
    <t>FUSIVEL NH DE 150/160A</t>
  </si>
  <si>
    <t>FUSIVEL NH DE 300 A 400A</t>
  </si>
  <si>
    <t>FUSIVEL NH DE 425 A 630 A</t>
  </si>
  <si>
    <t>FUSIVEL NH ATE 125A</t>
  </si>
  <si>
    <t>FUSIVEL NH DE 200 A 250A</t>
  </si>
  <si>
    <t>FUSIVEL CARTUCHO DE 30 A</t>
  </si>
  <si>
    <t>FUSIVEL CARTUCHO DE 60A</t>
  </si>
  <si>
    <t>FUSIVEL FACA DE 100 A</t>
  </si>
  <si>
    <t>FUSIVEL FACA DE 200 A</t>
  </si>
  <si>
    <t>BARRA DE COBRE PARA NEUTRO - 30 A</t>
  </si>
  <si>
    <t>BARRA DE COBRE PARA NEUTRO - 60 A</t>
  </si>
  <si>
    <t>BARRA DE COBRE PARA NEUTRO - 100 A</t>
  </si>
  <si>
    <t>BARRA DE COBRE PARA NEUTRO - 200 A</t>
  </si>
  <si>
    <t>BARRA DE COBRE PARA NEUTRO - 400 A</t>
  </si>
  <si>
    <t>BARRA DE COBRE PARA NEUTRO - 600 A</t>
  </si>
  <si>
    <t>CONTAC.MAG.ABERTO C/RELE BIM.P/COR NOM.10A QD.CMD BOMBA RECALQUE</t>
  </si>
  <si>
    <t>CONTAC.MAG.ABERTO C/RELE BIM.P/COR.NOM.DE 11 A 16A QD.CMD BOMBA RECAL</t>
  </si>
  <si>
    <t>CONTAC.MAG.ABERTO C/RELE BIM.P/COR.NOM.DE 17 A 32A QD.CMD BOMBA RECAL</t>
  </si>
  <si>
    <t>BOTOEIRA DE COMANDO LIGA-DESLIGA PARA COMANDO DE BOMBA RECALQUE</t>
  </si>
  <si>
    <t>CONSERVAÇÃO - APARELHOS E EQUIPAMENTOS</t>
  </si>
  <si>
    <t>INTERRUPTOR DE 1 TECLA</t>
  </si>
  <si>
    <t>INTERRUPTOR DE 2 TECLAS</t>
  </si>
  <si>
    <t>INTERRUPTOR DE 3 TECLAS</t>
  </si>
  <si>
    <t>INTERRUPTOR PARALELO</t>
  </si>
  <si>
    <t>TOMADA UNIVERSAL DE 10 A - 2 POLOS</t>
  </si>
  <si>
    <t>TOMADA TRIPOLAR 15A - 125/250V - 2P+TERRA</t>
  </si>
  <si>
    <t>TOMADA DE PISO UNIVERSAL COM TAMPA LATONADA - 2 POLOS</t>
  </si>
  <si>
    <t>TOMADA DE PISO COM TAMPA LATONADA - 3 POLOS E TERRA</t>
  </si>
  <si>
    <t>BOTAO DE CAMPAINHA</t>
  </si>
  <si>
    <t>ESPELHO DE 4'X2'</t>
  </si>
  <si>
    <t>ESPELHO 4'X4'</t>
  </si>
  <si>
    <t>ESPELHO CEGO DE CHAPA DE FERRO 4'X2'</t>
  </si>
  <si>
    <t>ESPELHO CEGO EM CHAPA DE FERRO DE 4" X 4"</t>
  </si>
  <si>
    <t>CIGARRA TIPO FABRICA</t>
  </si>
  <si>
    <t>SIRENE 110/220 V</t>
  </si>
  <si>
    <t>PLAFON DE ALUMINIO DE SOBREPOR - BOCA 10 PARA GLOBO TIPO BRASIL</t>
  </si>
  <si>
    <t>PLAFON DE ALUMINIO DE SOBREPOR - BOCA 15 PARA GLOBO TIPO BRASIL</t>
  </si>
  <si>
    <t>GLOBO TIPO BRASIL - BOCA 10</t>
  </si>
  <si>
    <t>GLOBO TIPO BRASIL - BOCA 15</t>
  </si>
  <si>
    <t>LUMINARIA DE FERRO ESMALTADO TIPO BEDD - 14"</t>
  </si>
  <si>
    <t>LUMINARIA DE FERRO ESMALTADO TIPO BEDD - 16"</t>
  </si>
  <si>
    <t>RECEPTACULO PORCELANA P/LAMP INCAND P/ PLAFONS SOBREPOR-ROSCA E-27</t>
  </si>
  <si>
    <t>RECEPTACULO P/LAMPADA HG OU MHL P/LUMINARIA EXT.OU PROJ-ROSCA E-40</t>
  </si>
  <si>
    <t>SOQUETE P/LAMPADA FLUORESCENTE TIPO ANTI-VIBR. S/PORTA-STAR</t>
  </si>
  <si>
    <t>RECEPTACULO P/ LAMPADA FLUORESCENTE COM PORTA STARTEL</t>
  </si>
  <si>
    <t>PORTA LAMP ROSCA E-27 P/PLAFON PEND,EM BAQUELITE,FIX.P/ROSCA 1/8"</t>
  </si>
  <si>
    <t>PORTA LAMP ROSCA E-27,PORCEL.C/FLANGE FIX.P/PRATO FIX.P/ROSCA 3/8" GAS</t>
  </si>
  <si>
    <t>CORRENTE PARA PENDENTE DE APARELHO PARA ILUMINACAO</t>
  </si>
  <si>
    <t>CALHA TIPO PLAFON. PARA 1 LAMP. FLUORESCENTE 40 W</t>
  </si>
  <si>
    <t>CALHA TIPO PLAFON. PARA 3 LAMPADAS FLUORESCENTES 40 W</t>
  </si>
  <si>
    <t>CALHA TIPO PLAFON PARA 2 LAMPADAS FLUORESCENTES DE 20 W</t>
  </si>
  <si>
    <t>CALHA TIPO PLAFON PARA 4 LAMPADAS FLUORESCENTES DE 20 W</t>
  </si>
  <si>
    <t>CALHA TIPO PLAFON PARA 2 LAMPADAS FLUORESCENTES DE 40 W</t>
  </si>
  <si>
    <t>CALHA TIPO PLAFON PARA 4 LAMPADAS FLUORESCENTES DE 40 W</t>
  </si>
  <si>
    <t>CANOPLA DE FIXACAO PARA PENDENTE DE LUMINARIA FLUORESCENTE</t>
  </si>
  <si>
    <t>STARTER PARA LAMPADA FLUORESCENTE DE 40 W</t>
  </si>
  <si>
    <t>REATOR SIMPLES PARTIDA RAPIDA P/ LAMP FLUOR 110V/20W</t>
  </si>
  <si>
    <t>REATOR SIMPLES PARTIDA RAPIDA P/ LAMP FLUOR 220V/20W</t>
  </si>
  <si>
    <t>REATOR DUPLO P/ LAMP FLUOR PART RAP ALTO FATOR POTENCIA 110V/2X20W</t>
  </si>
  <si>
    <t>REATOR DUPLO P/ LAMP FLUOR PART RAP ALTO FATOR POTENCIA 220V/2X20W</t>
  </si>
  <si>
    <t>REATOR SIMPLES PARTIDA RAPIDA P/ LAMP FLUOR 110V/40W</t>
  </si>
  <si>
    <t>REATOR SIMPLES PARTIDA RAPIDA P/ LAMP FLUOR 220V/40W</t>
  </si>
  <si>
    <t>REATOR DUPLO P/ LAMP FLUOR PART RAP ALTO FATOR POTENCIA 110V/2X40W</t>
  </si>
  <si>
    <t>REATOR DUPLO P/ LAMP FLUOR PART RAP ALTO FATOR POTENCIA 220V/2X40W</t>
  </si>
  <si>
    <t>REATOR PARA LAMPADA HG - 220V/250W</t>
  </si>
  <si>
    <t>REATOR PARA LAMPADA VAPOR DE MERCURIO HG 220V/400W - AFP</t>
  </si>
  <si>
    <t>REATOR P/ LAMP. PART. RAP. ALTO FATOR DE POT. 1/110V-110W</t>
  </si>
  <si>
    <t>REATOR P/ LAMP. FLUOR. RAP. AUTO FATOR POT. 2/110W-220V</t>
  </si>
  <si>
    <t>REATOR SIMPLES P/ LAMP FLUOR CONV F POTENCIA NATURAL - 220V/20W</t>
  </si>
  <si>
    <t>REATOR SIMPLES P/ LAMP FLUOR CONV F POTENCIA NATURAL - 220V/40W</t>
  </si>
  <si>
    <t>OUTROS SERVICOS DE APARELHOS E EQUIPAMENTOS</t>
  </si>
  <si>
    <t>LAMPADA INCANDESCENTE DE 60W</t>
  </si>
  <si>
    <t>LAMPADA INCANDESCENTE DE 100W</t>
  </si>
  <si>
    <t>LAMPADA INCANDESCENTE DE 150W</t>
  </si>
  <si>
    <t>LAMPADA INCANDESCENTE DE 200W</t>
  </si>
  <si>
    <t>LAMPADA FLUORESCENTE DE 15 W</t>
  </si>
  <si>
    <t>LAMPADA FLUORESCENTE DE 20W</t>
  </si>
  <si>
    <t>LAMPADA FLUORESCENTE DE 40W/220V</t>
  </si>
  <si>
    <t>LAMPADA MISTA MHL - 220V/160W</t>
  </si>
  <si>
    <t>LAMPADA MISTA MHL - 220V/250W</t>
  </si>
  <si>
    <t>LAMPADA MISTA MHL - 220V/500W</t>
  </si>
  <si>
    <t>LAMPADA VAPOR DE MERCURIO - 220V/250W</t>
  </si>
  <si>
    <t>LAMPADA VAPOR DE MERCURIO 400W/220V - ALTA PRESSAO</t>
  </si>
  <si>
    <t>LAMPADA FLUORESCENTE DE 110W</t>
  </si>
  <si>
    <t>LUMIN. BLINDADA ARANDELA P/ LAMP. MISTA 160 W</t>
  </si>
  <si>
    <t>LUMIN. BLINDADA PLAFONIER P/ LAMP. MISTA 160W</t>
  </si>
  <si>
    <t>LUMIN. BLINDADA ARANDELA P/ LAMP. INCANDESC. 100 W</t>
  </si>
  <si>
    <t>IL-08 LUMINÁRIA PARA LÂMPADA FLUORESCENTE (1X40W)</t>
  </si>
  <si>
    <t>IL-09 LUMINÁRIA PARA LÂMPADA FLUORESCENTE (2X40W)</t>
  </si>
  <si>
    <t>IL-10 LUMINÁRIA PARA LÂMPADA FLUORESCENTE (4X40W)</t>
  </si>
  <si>
    <t>IL-11 LUMINÁRIA PARA LÂMPADA FLUORESCENTE (2X20W)</t>
  </si>
  <si>
    <t>IL-12 LUMINÁRIA PARA LÂMPADA FLUORESCENTE (4X20W)</t>
  </si>
  <si>
    <t>IL-19 LUMINÁRIA P/ LÂMPADA FLUOR C/PENDENTE (1X40W)</t>
  </si>
  <si>
    <t>IL-20 LUMINÁRIA P/ LÂMPADA FLUOR C/PENDENTE (2X40W)</t>
  </si>
  <si>
    <t>IL-21 LUMINÁRIA P/ LÂMPADA FLUOR C/PENDENTE (4X40W)</t>
  </si>
  <si>
    <t>IL-38 LUMINÁRIA PARA LÂMPADA FLUORESCENTE (3X40W)</t>
  </si>
  <si>
    <t>ARANDELA SIMPLES C/REFLETOR ESMALT E BRACO F G C/BASE DE FIXACAO</t>
  </si>
  <si>
    <t>LUMINÁRIA EM CALHA P/EMBUTIR DIFUSOR PLAST LAMP FLUOR (2X40W)</t>
  </si>
  <si>
    <t>BRACO ACO GALVANIZADO DN 1 1/2" X 2,00 M</t>
  </si>
  <si>
    <t>BRACO ACO GALVANIZADO DE 1" X 1.00M</t>
  </si>
  <si>
    <t>LUMINÁRIA EM CALHA P/EMBUTIR DIFUSOR PLAST LAMP FLUOR (4X40W)</t>
  </si>
  <si>
    <t>LUMIN.(APARELHO) FECH. P/ILUMIN. EXTERNA P/LAMP.V.MERC. OU MISTA 250W</t>
  </si>
  <si>
    <t>FLUORESCENTE EM PERFILADO (2X40W) - PROJ EMERGÊNCIA</t>
  </si>
  <si>
    <t>LUMINARIA ABERTA (APARELHO) TIPO ECON. P/ LAMP. V. MERC./MISTA 250W</t>
  </si>
  <si>
    <t>PROJETOR ANGULAR (APARELHO) P/ ILUMIN. QUADRA P/ LAMP. V. MERC. 400W</t>
  </si>
  <si>
    <t>CRUZETA DE FERRO GALVANIZADO PARA 2 PROJETORES</t>
  </si>
  <si>
    <t>POSTE ACO GALVANIZADO RETO 4" X6.00M P/ILUMIN EXTERNA</t>
  </si>
  <si>
    <t>POSTE DE FERRO GALV.TIPO CURVO,C/JANELAS INSP.R=7 M ACIMA DO SOLO</t>
  </si>
  <si>
    <t>POSTE DE FERRO GALV.TIPO RETO, C/JANELA INSP. R=10M ACIMA DO SOLO</t>
  </si>
  <si>
    <t>POSTE DE CONCRETO TUBULAR OCO DE 7 M DE COMPR C/ JANELA ISNPECAO</t>
  </si>
  <si>
    <t>CONDULETE DE 1"</t>
  </si>
  <si>
    <t>CONDULETE DE 1 1/4"</t>
  </si>
  <si>
    <t>CONDULETE DE 1 1/2"</t>
  </si>
  <si>
    <t>CONDULETE DE 2"</t>
  </si>
  <si>
    <t>CONDULETE DE 3/4"</t>
  </si>
  <si>
    <t>CONDULETE DE 1/2"</t>
  </si>
  <si>
    <t>MOTOR PARA BOMBA DE RECALQUE DE 1/2 HP - 220 V BIFASICO</t>
  </si>
  <si>
    <t>MOTOR PARA BOMBA DE RECALQUE DE 3/4 HP - 220 V BIFASICO</t>
  </si>
  <si>
    <t>MOTOR PARA BOMBA DE RECALQUE DE 1 HP - 220 V BIFASICO</t>
  </si>
  <si>
    <t>MOTOR PARA BOMBA DE RECALQUE DE 2 HP - 220 V TRIFASICO</t>
  </si>
  <si>
    <t>MOTOR PARA BOMBA DE RECALQUE DE 3 HP - 220 V TRIFASICO</t>
  </si>
  <si>
    <t>MOTOR PARA BOMBA DE RECALQUE DE 5 HP - 220 V TRIFASICO</t>
  </si>
  <si>
    <t>CONSERVAÇÃO - PARA RAIOS E ATERRAMENTOS</t>
  </si>
  <si>
    <t>CAPTOR TIPO FRANKLIN, BOUQUET NIQUELADO DE 4 PONTAS-CONECTOR GRANDE</t>
  </si>
  <si>
    <t>CABO DE COBRE NU DE 25 MM2 PARA ATERRAMENTO</t>
  </si>
  <si>
    <t>CABO DE COBRE NU DE 35 MM2 PARA ATERRAMENTO</t>
  </si>
  <si>
    <t>CABO DE COBRE NU DE 25 MM2 PARA PARA-RAIOS</t>
  </si>
  <si>
    <t>CABO DE COBRE NU DE 35 MM2 PARA PARA RAIOS</t>
  </si>
  <si>
    <t>CABO DE COBRE NU DE 95 MM2 PARA PARA-RAIOS</t>
  </si>
  <si>
    <t>SUPORTE SIMPLES COM ROLDANA PARA CABO DE COBRE NU 25 A 35 MM2</t>
  </si>
  <si>
    <t>SUPORTE SIMPLES COM ROLDANA PARA CABO DE COBRE NU 95 A 70 MM2</t>
  </si>
  <si>
    <t>CONECTOR TIPO SPLIT-BOLT PARA CABO DE 25 MM2</t>
  </si>
  <si>
    <t>CONECTOR TIPO SPLIT-BOLT PARA CABO DE 35 MM2</t>
  </si>
  <si>
    <t>CONECTOR TIPO SPLIT-BOLT PARA CABO DE 95 MM2</t>
  </si>
  <si>
    <t>ELETRODUTO DE PVC DE 2" X 3,00 M PARA PROTECAO DE CABO DE COBRE NU</t>
  </si>
  <si>
    <t>OUTROS SERVICOS DE PARA-RAIOS E ATERRAMENTOS</t>
  </si>
  <si>
    <t>FORRO EM LAMINA PVC 100MM E=8A10MM ENTARUGAMENTO DE MADEIRA</t>
  </si>
  <si>
    <t>FORRO EM LAMINA PVC 100MM E=8A10MM SEMI-ENTARUGAMENTO DE MADEIRA</t>
  </si>
  <si>
    <t>FORRO EM LAMINA PVC 100MM E=8A10MM SUSTENTACAO METALICA - COLOCADO</t>
  </si>
  <si>
    <t>FORRO EM LAMINA DE PVC 200MM E=8A12MM ENTARUGAMENTO DE MADEIRA</t>
  </si>
  <si>
    <t>FORRO EM LAMINA DE PVC 200MM E=8A12MM SEMI-ENTARUGAMENTO DE MADEIRA</t>
  </si>
  <si>
    <t>FORRO EM LAMINA DE PVC 200MM E=8A12MM SUSTENTACAO METALICA - COLOCADO</t>
  </si>
  <si>
    <t>FORRO TIPO FIBRAROC COM PERFIL CARTOLA - PROJ.MOD.81</t>
  </si>
  <si>
    <t>FORRO DE TABUA APAR CUMARU/ANGELIM 10X1CM M/F SEMI ENTARUGADO</t>
  </si>
  <si>
    <t>FORRO DE TABUAS APAR CUMARU/ANGELIM 10X1CM M/F ENTARUGADO</t>
  </si>
  <si>
    <t>FORRO DE TABUAS APAR CEDRINHO CERNE M/F C/CUPINICIDA SEMI ENTARUGADO</t>
  </si>
  <si>
    <t>FORRO DE TABUAS APAR CEDRINHO CERNE M/F C/CUPINICIDA ENTARUGADO</t>
  </si>
  <si>
    <t>FORRO DE RIPAS 5X1CM EM XADREZ CEDRINHO CERNE C/ CUPINICIDA</t>
  </si>
  <si>
    <t>FORRO DE RIPAS 5X1CM EM XADREZ ANGELIM</t>
  </si>
  <si>
    <t>FORRO C/CHAPA FIBRA MADEIRA PRENSADA DURA LISA 3MM</t>
  </si>
  <si>
    <t>FORRO C/CHAPA FIBRA MADEIRA PRENSADA ISOLANTE 12MM</t>
  </si>
  <si>
    <t>FORRO C/CHAPA FIBRA MADEIRA PRENSADA ISOLANTE TERMO-ACUSTICAS</t>
  </si>
  <si>
    <t>FORRO DE GESSO ACARTONADO INCL ESTRUTURA</t>
  </si>
  <si>
    <t>FORRO DE PLACA DE GESSO QUADRICULADA</t>
  </si>
  <si>
    <t>FORRO DE PLACA DE GESSO COM FUROS SIMETRICOS</t>
  </si>
  <si>
    <t>FORRO DE PLACA DE GESSO COM FUROS ASSIMETRICOS</t>
  </si>
  <si>
    <t>FORRO DE PLACA DE GESSO C/ISOLACAO TERMO-ACUSTICA-QUADRICULADAS</t>
  </si>
  <si>
    <t>FORRO DE PLACA DE GESSO C/ISOLACAO TERMO-ACUSTICA-FUROS SIMETRICOS</t>
  </si>
  <si>
    <t>FORRO DE PLACA DE GESSO C/ISOLACAO TERMO-ACUSTICA-FUROS ASSIMETRICO</t>
  </si>
  <si>
    <t>ESTRUTURA DE ALUMINIO PARA APLICACAO DE FORRO DE GESSO</t>
  </si>
  <si>
    <t>FORRO DE PLACA DE GESSO REMOVIVEL</t>
  </si>
  <si>
    <t>ISOLACAO TERMOACUSTICA - LA DE VIDRO ESP 1"</t>
  </si>
  <si>
    <t>ISOLACAO TERMOACUSTICA - LA DE VIDRO E=2"</t>
  </si>
  <si>
    <t>ISOLACAO TERMICA - CHAPA DE ISOPOR E=30MM</t>
  </si>
  <si>
    <t>ISOLACAO TERMOACUSTICA - LA DE ROCHA E=2``</t>
  </si>
  <si>
    <t>FORROS</t>
  </si>
  <si>
    <t>DE FORRO DE ESTUQUE OU MADEIRA, INCLUSIVE ENTARUGAMENTO</t>
  </si>
  <si>
    <t>DE FORROS DE MADEIRA, EXCLUSIVE ENTARUGAMENTO</t>
  </si>
  <si>
    <t>DE FORRO EM GESSO</t>
  </si>
  <si>
    <t>DE ENTARUGAMENTO</t>
  </si>
  <si>
    <t>DE FORROS DE MADEIRA PREGADOS (PLACAS OU TABUAS)</t>
  </si>
  <si>
    <t>DE FORROS EM PLACAS APOIADAS</t>
  </si>
  <si>
    <t>RETIRADA DE FORRO DE PVC EM LAMINAS</t>
  </si>
  <si>
    <t>RECOLOCAÇÃO - FORRO</t>
  </si>
  <si>
    <t>DE FORRO DE MADEIRA PREGADO (PLACAS OU TABUAS)</t>
  </si>
  <si>
    <t>DE FORRO EM PLACAS APOIADAS</t>
  </si>
  <si>
    <t>RECOLOCACAO DE FORRO DE PVC EM LAMINAS</t>
  </si>
  <si>
    <t>RECOLOCACOES DE FORROS</t>
  </si>
  <si>
    <t>CONSERVAÇÃO - FORROS</t>
  </si>
  <si>
    <t>FORRO DE RIPAS DE PEROBA APARELHADA DE 5 X 1 CM - EM XADRES</t>
  </si>
  <si>
    <t>FORRO DE RIPAS DE PINHO APARELHADA DE 5 X 1 CM-EM XADRES</t>
  </si>
  <si>
    <t>FORRO EM LAMINA PVC - 100MM - SOMENTE LAMINAS</t>
  </si>
  <si>
    <t>FORRO DE ESTUQUE</t>
  </si>
  <si>
    <t>PLACAS PARA FORROS ISOLANTES BISOTADO DE 12 MM</t>
  </si>
  <si>
    <t>PLACAS DE MADEIRA MINERALIZADA</t>
  </si>
  <si>
    <t>PERFIL DE FERRO SECCAO CARTOLA EM CHAPA N 20 P/SUST DE FORRO</t>
  </si>
  <si>
    <t>TABUAS DE PINHO DE 10 X 1 CM TIPO MACHO-FEMEA PARA FORRO</t>
  </si>
  <si>
    <t>TABUAS DE PEROBA DE 10X1CM TIPO MACHO/FEMEA PARA FORROS</t>
  </si>
  <si>
    <t>TABUAS DE CEDRINHO CERNE MACHO FEMEA 10X1CM TRATADO C/CUPINICIDA</t>
  </si>
  <si>
    <t>REPREGAMENTO DE FORROS DE MADEIRA</t>
  </si>
  <si>
    <t>PERFIL DE FERRO PARA REFORCO DE FORRO, INCLUSIVE SOLDA</t>
  </si>
  <si>
    <t>ENTARUGAMENTO PARA FORROS EM CHAPAS DE FIBRA DE MADEIRA PRENSADA</t>
  </si>
  <si>
    <t>SERVICOS EM FORROS</t>
  </si>
  <si>
    <t>IMPERMEABILIZAÇÕES/JUNAS DE DILATAÇÃO</t>
  </si>
  <si>
    <t>IMPERMEABILIZAÇÕES : SUBSOLOS E BALDRAMES</t>
  </si>
  <si>
    <t>IMPERMEABILIZACAO DE SUB-SOLOS C/ARG CIM-AREIA 1:3 CONTENDO HIDROFUGO</t>
  </si>
  <si>
    <t>IMPERMEABILIZACAO DE SUB-SOLOS C/ARG CIM-AREIA 1:3 HIDR TINTA BETUM</t>
  </si>
  <si>
    <t>IMPERMEAB C/ ARGAM POLIMERICA P/ CORTINAS E POCOS DE ELEV - 4 DEMAOS</t>
  </si>
  <si>
    <t>IMPERMEABILIZAÇÕES :  LAJES, CALHAS, MARQUISES</t>
  </si>
  <si>
    <t>IMPERMEABILIZACAO MULTIMEMBRANAS ASFALTICAS - FELTRO ASFALTO</t>
  </si>
  <si>
    <t>IMPERMEABILIZACAO COM MANTA ELASTOMERICA BUTILICA OU EPDM</t>
  </si>
  <si>
    <t>IMPERMEABILIZACAO COM MANTA ASFALTICA PRE FABRICADA 4MM</t>
  </si>
  <si>
    <t>IMPERMEABILIZACAO COM MANTA ASFALTICA PRE FABRICADA 4MM - ACAB AREIA</t>
  </si>
  <si>
    <t>IMPERM C/ EMULSAO ACRILICA ESTRUT C/ VEU DE POLIESTER-6 DEMAOS / 2 EST</t>
  </si>
  <si>
    <t>IMPERMEABILIZACAO C/ EMULSAO ACRILICA - 6 DEMAOS</t>
  </si>
  <si>
    <t>IMPERMEABILIZACAO EMULSAO ASFALTICA ELASTOMERICA 4 DEMAOS</t>
  </si>
  <si>
    <t>IMPERM EMULSAO ASFALT ELASTOMERICA ESTRUT VEU POLIESTER 6 DEMAOS/2 EST</t>
  </si>
  <si>
    <t>PINTURA C/ TINTA ALUMINIO PARA PROTECAO DA IMPERMEABILIZACAO-3 DEMAOS</t>
  </si>
  <si>
    <t>PINTURA C/ EMULSAO ACRILICA - 3 DEMAOS</t>
  </si>
  <si>
    <t>IMPERMEAB C/ MANTA ASF PRE-FABR 4MM ACAB ALUMIN SEM PROT MECANICA</t>
  </si>
  <si>
    <t>ISOLAMENTO TERMICO COM ESPUMA DE POLIURETANO ESPESSURA DE 3 CM</t>
  </si>
  <si>
    <t>ISOLAMENTO TERMICO COM TIJOLOS CERAMICOS FURADOS ESPESSURA DE 10 CM</t>
  </si>
  <si>
    <t>ISOLAMENTO TERMICO COM CAMADAS DE ARGILA EXPANDIDA</t>
  </si>
  <si>
    <t>FORNEC E COLOCACAO DE ISOPOR P/ TRATAMENTO ACUSTICO ENTRE LAJES</t>
  </si>
  <si>
    <t>PROTECAO TERMO-MECANICA C/LAJOTAS CERAM VERM INCL ARGAM ASSENT</t>
  </si>
  <si>
    <t>PROTECAO TERMO-MECANICA C/LADR HIDRAUL 1 COR INCL ARGAM ASSENT</t>
  </si>
  <si>
    <t>REGULARIZACAO DE SUPERFICIE P/ PREPARO IMPERM 1:3 E=2,5CM</t>
  </si>
  <si>
    <t>ARGAMASSA P/ PROT MECANICA EM SUPERFICIE IMPERM TRACO 1:7 E=3CM</t>
  </si>
  <si>
    <t>IMPERMEABILIZAÇÕES : RESERVATÓRIOS D'ÁGUA</t>
  </si>
  <si>
    <t>COM ARGAMASSA CIM AREIA 1:3 COM HIDROFUGO (APLICACAO INTERNA)</t>
  </si>
  <si>
    <t>COM ARGAMASSA CIM AREIA 1:3 COM HIDROFUGO E TINTA BET (APLIC INTERNA)</t>
  </si>
  <si>
    <t>IMPERMEABILIZACAO ARGAMASA POLIMERICA P/ RESEVATORIO - 4 DEMAOS</t>
  </si>
  <si>
    <t>IMPERMEABILIZACAO POR CRISTALIZACAO - RESERVATORIOS ENTERRADOS</t>
  </si>
  <si>
    <t>COM TINTA BETUMINOSA (APLICACAO EXTERNA)</t>
  </si>
  <si>
    <t>JUNTAS DE DILATAÇÃO</t>
  </si>
  <si>
    <t>JUNTAS DE DILATACAO EM CHAPA DE COBRE N 26</t>
  </si>
  <si>
    <t>JUNTAS DE DILATACAO FUGENBAND ELASTICO PERFIL 0-12</t>
  </si>
  <si>
    <t>JUNTAS DE DILATACAO FUGENBANB ELASTICO PERFIL 0-22</t>
  </si>
  <si>
    <t>JUNTAS DE DILATACAO/MASTIQUE ELASTICO OU POLIURETANO</t>
  </si>
  <si>
    <t>C3</t>
  </si>
  <si>
    <t>MANGUEIRA PLASTICA FLEXIVEL PARA JUNTA DE DILATACAO</t>
  </si>
  <si>
    <t>ISOPOR PARA SUPORTE DE MASTIQUE</t>
  </si>
  <si>
    <t>JUNTA ELASTICA ESTRUTURAL NEOPRENE (REF 2020F) INCLUSIVE LIMPEZA</t>
  </si>
  <si>
    <t>JUNTA ELASTICA ESTRUTURAL NEOPRENE (REF 2027M) INCLUSIVE LIMPEZA</t>
  </si>
  <si>
    <t>PERFIL DE ALUMINIO DE 1"X1"X1/8"</t>
  </si>
  <si>
    <t>SELANTE DE POLIURETANO P/JUNTAS MOVIMENTACAO/DESSOLIDARIZACAO QUADRO</t>
  </si>
  <si>
    <t>SERVICOS EM JUNTAS DE DILATACAO</t>
  </si>
  <si>
    <t>IMPERMEABILIZACOES COM MULTIMEMBRANAS ASFALT - ELEM SINT</t>
  </si>
  <si>
    <t>ARGAMASSA COM IMPERMEABILIZANTE</t>
  </si>
  <si>
    <t>ISOLAMENTO TERMICO COM CONCRETO CELULAR ETC</t>
  </si>
  <si>
    <t>ISOLAMENTO TERMICO DE MANTA DE LA DE VIDRO</t>
  </si>
  <si>
    <t>PROTECAO TERMOMECANICA COM CONCRETO CELULAR</t>
  </si>
  <si>
    <t>JUNTAS DE DILATACAO METALICAS</t>
  </si>
  <si>
    <t>ISOLAMENTO TERMICO COM CONCRETO CELULAR OU TIJOLOS CERAMICOS</t>
  </si>
  <si>
    <t>ISOLAMENTO TERMICO COM DOLOMITA/SEIXOS ROLADOS/ARGILA EXPANDIDA</t>
  </si>
  <si>
    <t>RECOLOCAÇÃO - IMPERMEABILIZAÇÕES/JUNTAS DE DILATAÇÃO</t>
  </si>
  <si>
    <t>ISOLAMENTO TERMICO EM BRITAS, SEIXOS ROLADOS E ARGILA EXPANDIDA</t>
  </si>
  <si>
    <t>RECOLOCACOES DE IMPERMEABILIZACOES/JUNTA DE DILATACAO</t>
  </si>
  <si>
    <t>CONSERVAÇÃO - IMPERMEABILIZAÇÃO/JUNTAS DE DILATAÇÃO</t>
  </si>
  <si>
    <t>SERVICOS DE IMPERMEABILIZACAO/JUNTAS DE DILATACAO</t>
  </si>
  <si>
    <t>CHAPISCO</t>
  </si>
  <si>
    <t>EMBOCO DESEMPENADO</t>
  </si>
  <si>
    <t>REVESTIMENTOS PARA TETOS</t>
  </si>
  <si>
    <t>CHAPISCO ROLADO PARA SUPERFICIES LISAS</t>
  </si>
  <si>
    <t>EMBOCO</t>
  </si>
  <si>
    <t>REBOCO</t>
  </si>
  <si>
    <t>REVESTIMENTO COM GESSO</t>
  </si>
  <si>
    <t>REVESTIMENTO TEXTURIZADO ACRILICO BRANCO</t>
  </si>
  <si>
    <t>REVESTIMENTO TEXTURIZADO ACRILICO BRANCO E PINTURA ACRILICA</t>
  </si>
  <si>
    <t>CERAMICA ESMALTADA 10X10CM - LARANJA,VERMELHO,AMARELO</t>
  </si>
  <si>
    <t>CERAMICA ESMALTADA 10X10CM - AZUL,VERDE,PRETO</t>
  </si>
  <si>
    <t>CERAMICA ESMALTADA 10X10CM - BRANCO,AREIA,BEGE,OCRE,CINZA</t>
  </si>
  <si>
    <t>CERAMICA ESMALTADA 20X20CM</t>
  </si>
  <si>
    <t>REVESTIMENTOS COM AZULEJOS LISOS BRANCOS 15X15CM</t>
  </si>
  <si>
    <t>PERFIL SEXTAVADO EM ALUMINIO PARA AZULEJO</t>
  </si>
  <si>
    <t>PERFIL EM ALUMINIO PARA REBOCO</t>
  </si>
  <si>
    <t>REVESTIMENTO TEXT. ACRIL. PIGMENTADO (CORES PRONTAS) - ACAB RANHURADO</t>
  </si>
  <si>
    <t>REVESTIMENTO TEXTURIZADO ACRILICO PIGMENTADO (CORES PRONTAS)</t>
  </si>
  <si>
    <t>GUARNICAO P/ACABAM JUNTAS DILATACAO- DE CEDRO APARELHADO 5 X 1 CM</t>
  </si>
  <si>
    <t>REVESTIMENTOS P/ PAREDES INTERNAS</t>
  </si>
  <si>
    <t>REVESTIMENTOS DE PAREDES EXTERNAS</t>
  </si>
  <si>
    <t>CHAPISCO FINO PENEIRADO</t>
  </si>
  <si>
    <t>REVESTIMENTO TEXT. ACRIL. PIGMENTADO (CORES PRONTAS)- ACAB RANHURADO</t>
  </si>
  <si>
    <t>REVESTIMENTO TEXTURIZADO ACRILICO PIGMENTADO (CORES PRONTA)</t>
  </si>
  <si>
    <t>REVESTIMENTO COM PASTILHAS NATURAIS 2,5X2,5CM</t>
  </si>
  <si>
    <t>REVESTIMENTO COM PASTILHAS NATURAIS 5,0X5,0CM</t>
  </si>
  <si>
    <t>REVESTIMENTO COM PASTILHAS ESMALTADAS 2,5X 2,5 CM</t>
  </si>
  <si>
    <t>REVESTIMENTO COM PASTILHAS ESMALTADAS 4,0X 4,0 CM</t>
  </si>
  <si>
    <t>REVESTIMENTO COM PASTILHAS ESMALTADAS 5,0X 5,0 CM</t>
  </si>
  <si>
    <t>REVESTIMENTO C/ PLAQUETA LAMINADA</t>
  </si>
  <si>
    <t>CERAMICA ESMALTADA 10X20CM -VERMELHO,LARANJA,AMARELO</t>
  </si>
  <si>
    <t>CERAMICA ESMALTADA 10X20CM - AZUL,VERDE,PRETO</t>
  </si>
  <si>
    <t>CERAMICA ESMALTADA 10X20CM - BRANCO,AREIA,BEGE,OCRE CINZA</t>
  </si>
  <si>
    <t>REVESTIMENTO FULGET - GRANULA 0 E 1 - CINZA</t>
  </si>
  <si>
    <t>REVESTIMENTO FULGET - GRANULA 2 - CINZA</t>
  </si>
  <si>
    <t>REVESTIMENTOS PARA PAREDES EXTERNAS</t>
  </si>
  <si>
    <t>DE REVESTIMENTO EM ARGAMASSA/GESSO EM FORRO E PAREDES</t>
  </si>
  <si>
    <t>DE REVEST DE AZULEJOS, PASTILHAS E LADRILHOS INCL ARG ASSENTAMENTO</t>
  </si>
  <si>
    <t>SOMENTE DE AZULEJO</t>
  </si>
  <si>
    <t>DE MARMORE PEDRAS OU GRANITOS INCL DEMOLICAO ARGAMASSA ASSENTAMENTO</t>
  </si>
  <si>
    <t>RECOLOCAÇÃO - REVESTIMENTOS DE FORRO E PAREDE</t>
  </si>
  <si>
    <t>DE MARMORE, PEDRAS E GRANITOS</t>
  </si>
  <si>
    <t>RECOLOCACOES DE REVESTIMENTOS DE FORRO E PAREDE</t>
  </si>
  <si>
    <t>CONSERVAÇÃO - REVESTIMENTOS TETO E PAREDE</t>
  </si>
  <si>
    <t>CHAPISCO RUSTICO COM PEDRA BRITADA 1</t>
  </si>
  <si>
    <t>REPARO EM TRINCAS E RACHADURAS</t>
  </si>
  <si>
    <t>CANTONEIRA DE FERRO DE 1"X1"X1/8"</t>
  </si>
  <si>
    <t>CANTONEIRA DE ALUMINIO DE 1"X1"X1/8"</t>
  </si>
  <si>
    <t>SERVICOS EM REVESTIMENTOS DE FORRO E PAREDE</t>
  </si>
  <si>
    <t>PISOS INTERNOS/ RODAPES/ PEITORAIS</t>
  </si>
  <si>
    <t>LASTRO DE CONCRETO C/ HIDROFUGO E=5CM</t>
  </si>
  <si>
    <t>ENCHIMENTO DE LAJE COM CARVAO VEGETAL</t>
  </si>
  <si>
    <t>ENCHIMENTO DE REBAIXO DE LAJE COM TIJ CERAMICOS FURADOS</t>
  </si>
  <si>
    <t>ENCHIMENTO DE REBAIXO DE LAJE COM CACOS DE CONCR CELULAR</t>
  </si>
  <si>
    <t>ARGAMASSA DE REGULARIZACAO CIM/AREIA 1:3 ESP=2,50CM</t>
  </si>
  <si>
    <t>ARGAMASSA DE REGULARIZACAO CIM/AREIA 1:3 C/ IMPERM. ESP=2,50CM</t>
  </si>
  <si>
    <t>SERVICOS DE LASTROS E/OU ENCHIMENTOS</t>
  </si>
  <si>
    <t>REVESTIMENTOS DE PISOS</t>
  </si>
  <si>
    <t>CIMENTADO DESEMPENADO E ALISADO C/ CORANTE E=3,5CM INCL ARG REG</t>
  </si>
  <si>
    <t>CIMENTADO DESEMPENADO ALISADO E=3,50CM INCL ARG REG</t>
  </si>
  <si>
    <t>PISO DE CONCRETO LISO-FUNDACAO DIRETA FCK-25 MPA</t>
  </si>
  <si>
    <t>PISO DE CONCRETO CAMURCADO-FUNDACAO DIRETA FCK-25 MPA</t>
  </si>
  <si>
    <t>QE-26 QUADRA DE ESPORTES/DE CONCRETO/LAJE ALVEOLAR</t>
  </si>
  <si>
    <t>QE-27 QUADRA DE ESPORTES/PISO DE CONCRETO/PRE-LAJE TRELICADA</t>
  </si>
  <si>
    <t>QE-28 QUADRA DE ESPORTES/PISO COM PROTECAO ACUSTICA SOBRE LAJE</t>
  </si>
  <si>
    <t>QE-29 ESPACO MULTIESPORTIVO/PISO DE CONCRETO/LAJE ALVEOLAR</t>
  </si>
  <si>
    <t>QE-30 ESPACO MULTIESPORTIVO/PISO DE CONCRETO/PRE-LAJE TRELICADA</t>
  </si>
  <si>
    <t>QE-31 ESPACO MULTIESPORTIVO/PISO COM PROTECAO ACUSTICA SOBRE LAJE</t>
  </si>
  <si>
    <t>LADRILHOS HIDRAULICOS DE 20X20 CM LISOS EM UMA COR</t>
  </si>
  <si>
    <t>LADRILHO HIDRAULICO 25X25 E=2CM - PISO TATIL DE ALERTA</t>
  </si>
  <si>
    <t>LADRILHO HIDRAULICO 25X25 E=2CM - PISO TATIL DIRECIONAL</t>
  </si>
  <si>
    <t>BORRACHA COLADA - PISO TATIL DIRECIONAL</t>
  </si>
  <si>
    <t>BORRACHA ASSENTADA C/ ARGAMASSA - PISO TATIL DIRECIONAL</t>
  </si>
  <si>
    <t>CERAMICA ESMALTADA ANTIDER 30X30/45X45CM PEI-4 COEF ATRITO 0,40A0,50</t>
  </si>
  <si>
    <t>QE-32 QUADRA DE ESPORTES/PISO DE CONCRETO ARMADO/FUNDACAO DIRETA</t>
  </si>
  <si>
    <t>FAIXA ANTIDERRAPANTE A BASE DE RES.E AREIA QUARTZOSA L=4CM</t>
  </si>
  <si>
    <t>QE-33 ESPACO MULTIESPORTIVO/PISO DE CONCRETO ARMADO/FUNDACAO DIRETA</t>
  </si>
  <si>
    <t>GRANILITE CINZA / CIM. COMUM 8MM C/ POLIMENTO</t>
  </si>
  <si>
    <t>GRANILITE PRETO/CIMENTO COMUM E=8MM COM POLIMENTO</t>
  </si>
  <si>
    <t>PISO DE ALTA RESISTENCIA TIPO MEDIO, POLIDO E=8MM PRETO/CIMENTO COMUM</t>
  </si>
  <si>
    <t>PISO DE ALTA RESISTENCIA TIPO MEDIO, POLIDO E=8MM CINZA/CIMENTO COMUM</t>
  </si>
  <si>
    <t>SOALHO DE TABUAS DE IPE DE 10X2CM SOBRE LASTRO/LAJE</t>
  </si>
  <si>
    <t>SOALHO DE TABUAS DE IPE DE 20X2CM SOBRE LASTRO/LAJE</t>
  </si>
  <si>
    <t>QE-34 QUADRA DE ESPORTES/PISO FIBRA POLIPROPILENO CORRUGADO/FUND DIR</t>
  </si>
  <si>
    <t>QE-35 ESPACO MULTIESPORTIVO/PISO FIBRA POLIPROP CORRUGADO/FUND DIR</t>
  </si>
  <si>
    <t>TRATAMENTO SELADOR PARA GRANILITE - BASE AGUA</t>
  </si>
  <si>
    <t>BORRACHA COLADA - PISO TATIL DE ALERTA</t>
  </si>
  <si>
    <t>BORRACHA ASSENTADA C/ ARGAMASSA - PISO TATIL DE ALERTA</t>
  </si>
  <si>
    <t>PISO DE BORRACHA SINT PASTILHADA COR PRETA ESP 7MM FIXAVEL C/AR</t>
  </si>
  <si>
    <t>PISO DE BORRACHA SINT CANELADO COR PRETA ESP 7MM FIXAVEL C/ARG</t>
  </si>
  <si>
    <t>PISO DE COCNCRETO/LAJE ALVEOLAR (TIPO LAJE ZERO)</t>
  </si>
  <si>
    <t>PISO DE CONCRETO/LAJE TRELICADA (TIPO LAJE ZERO)</t>
  </si>
  <si>
    <t>PISO DE CONCRETO SOBRE LAJE IMPERMEABILIZADA OU SOBRE PROTECAO ACUSTIC</t>
  </si>
  <si>
    <t>CHAPAS VINILICAS (COR ESPECIFICAR) ESPESSURA DE 2 MM</t>
  </si>
  <si>
    <t>CHAPAS VINILICAS/TRANSITO PESADO (COR ESPECIFICAR) ESP 2MM</t>
  </si>
  <si>
    <t>SOALHO DE TABUAS DE PEROBA DE 10X2,0CM SOBRE LASTRO/LAJE</t>
  </si>
  <si>
    <t>SOALHO DE TABUAS DE PEROBA DE 20X2,0CM SOBRE LASTRO/LAJE</t>
  </si>
  <si>
    <t>TACO DE IPE/CUMARU 7X21X2CM COLADO</t>
  </si>
  <si>
    <t>TACO DE IPE/CUMARU 10X40X2CM COLADO</t>
  </si>
  <si>
    <t>TACO DE IPE/CUMARU 7X35X2CM COLADO</t>
  </si>
  <si>
    <t>SINTEKO - DUAS DEMAOS INCLUSIVE RASPAGEM - APLICADO</t>
  </si>
  <si>
    <t>RASPAGEM COM CALAFETACAO E APLICACAO DE CERA</t>
  </si>
  <si>
    <t>SERVICOS DE REVESTIMENTO DE PISOS</t>
  </si>
  <si>
    <t>REVESTIMENTOS DE PISOS / PEDRAS NATURAIS</t>
  </si>
  <si>
    <t>PEDRA ARDOSIA 40X40CM E=7A10MM</t>
  </si>
  <si>
    <t>REVESTIMENTOS DE DEGRAUS</t>
  </si>
  <si>
    <t>DEGRAUS EM ARGAMASSA DE CIMENTO E AREIA 1:3 ESPESSURA DE 2 CM</t>
  </si>
  <si>
    <t>DEGRAU DE CONCRETO LISO</t>
  </si>
  <si>
    <t>DEGRAUS DE GRANILITE MOLDADOS NO LOCAL</t>
  </si>
  <si>
    <t>DEGRAUS DE GRANILITE PRE-MOLDADOS</t>
  </si>
  <si>
    <t>DEGRAUS COM MASSA GRANITICA ALTA RESISTENCIA TIPO MEDIO 8 MM</t>
  </si>
  <si>
    <t>DEGRAUS DE CHAPA VINILICA ESPESS 2 MM</t>
  </si>
  <si>
    <t>DEGRAU DE BORRACHA SINTETICA COR PRETA C/TESTEIRA FIXAVEL C/ARG</t>
  </si>
  <si>
    <t>SERVICOS DE REVESTIMENTO DE DEGRAUS</t>
  </si>
  <si>
    <t>REVESTIMENTOS DE RODAPES</t>
  </si>
  <si>
    <t>RODAPES DE ARGAM CIMENTO E AREIA 1:3 COM ALTURA DE 5 CM</t>
  </si>
  <si>
    <t>RODAPES DE ARGAM CIMENTO E AREIA 1:3 COM ALTURA DE 7 CM</t>
  </si>
  <si>
    <t>RODAPE DE CIMENTADO DE 15 CM</t>
  </si>
  <si>
    <t>RODAPES DE ARGAM CIMENTO E AREIA 1:3 COM ALTURA DE 10 CM</t>
  </si>
  <si>
    <t>RODAPE DE ARGAMASSA DE CIM/AREIA 1:3 PARA ESCADA</t>
  </si>
  <si>
    <t>RODAPES DE PEROBA DE 5X1,5CM</t>
  </si>
  <si>
    <t>RODAPES DE PEROBA DE 7X1,5CM</t>
  </si>
  <si>
    <t>RODAPES DE IPE DE 5X1,5CM</t>
  </si>
  <si>
    <t>RODAPES DE IPE/CUMARU DE 7X2CM</t>
  </si>
  <si>
    <t>RODAPES DE LADRILHO HIDRAULICO UMA COR COM 10 CM DE ALTURA</t>
  </si>
  <si>
    <t>RODAPES DE GRANILITE SIMPLES DE 10 CM</t>
  </si>
  <si>
    <t>RODAPE DE GRANILITE SIMPLES DE 7-CM</t>
  </si>
  <si>
    <t>RODAPES DE GRANILITE PARA ESCADA DE 10 CM</t>
  </si>
  <si>
    <t>RODAPE DE GRANILITE PARA ESCADA DE 7-CM</t>
  </si>
  <si>
    <t>RODAPES DE MASSA GRANIT ALTA RESISTENCIA DE 10 CM TIPO MEDIO SIMPLES</t>
  </si>
  <si>
    <t>RODAPE EM PLACAS ALTA RESIST.DE 7CM TIPO MEDIO SIMPLES FORN/APLIC</t>
  </si>
  <si>
    <t>RODAPES MASSA GRANIT ALTA RES 10CM MEDIO P/ESCADA INCL TRIANG</t>
  </si>
  <si>
    <t>RODAPE DE ALTA RESISTENCIA 7-CM TIPO MEDIO PARA ESCADA INCL TRIANGULO</t>
  </si>
  <si>
    <t>RODAPE VINILICO DE 5 CM SIMPLES</t>
  </si>
  <si>
    <t>RODAPE VINILICO DE 7 CM SIMPLES</t>
  </si>
  <si>
    <t>RODAPE VINILICO DE 7,5 CM SIMPLES</t>
  </si>
  <si>
    <t>RODAPE VINILICO DE 5 CM PARA ESCADA</t>
  </si>
  <si>
    <t>RODAPE VINILICO DE 7,5 CM PARA ESCADA</t>
  </si>
  <si>
    <t>RODAPE CERAMICA ANTIDERRAPANTE (TP MONOQUEIMA) DE 8CM</t>
  </si>
  <si>
    <t>RODAPE DE BORRACHA SINT COR PRETA FAIXA 7CM E=7MM FIXAVEL C/ARG</t>
  </si>
  <si>
    <t>RODAPE DE ALUMINIO DE 7X1 CM</t>
  </si>
  <si>
    <t>SERVICOS DE REVESTIMENTO DE RODAPES</t>
  </si>
  <si>
    <t>REVESTIMENTOS DE SOLEIRAS</t>
  </si>
  <si>
    <t>SOLEIRA DE ARGAMASSA CIM/AREIA 1:3 EM RAMPA</t>
  </si>
  <si>
    <t>SOLEIRAS DE 15CM DE TABUAS DE IPE</t>
  </si>
  <si>
    <t>SOLEIRAS DE 25CM DE TABUAS DE IPE</t>
  </si>
  <si>
    <t>SOLEIRAS DE 15CM DE TABUAS DE PEROBA</t>
  </si>
  <si>
    <t>SOLEIRAS DE 25CM DE TABUAS DE PEROBA</t>
  </si>
  <si>
    <t>SO-14 SOLEIRA EM CIMENTADO L=15,5CM DESNIVEL 1,5CM</t>
  </si>
  <si>
    <t>SO-15 SOLEIRA EM CIMENTADO L=22CM DESNIVEL 1,5CM</t>
  </si>
  <si>
    <t>SO-16 SOLEIRA EM GRANILITE L=15,5CM DESNIVEL 1,5CM</t>
  </si>
  <si>
    <t>SO-17 SOLEIRA EM GRANILITE L=22CM DESNIVEL 1,5CM</t>
  </si>
  <si>
    <t>SERVICOS DE REVESTIMENTO DE SOLEIRAS</t>
  </si>
  <si>
    <t>REVESTIMENTOS DE PEITORIS</t>
  </si>
  <si>
    <t>PE-02 PEITORIL</t>
  </si>
  <si>
    <t>SERVICOS DE REVESTIMENTO DE PEITORIS</t>
  </si>
  <si>
    <t>DEMOLICAO PISO DE CONCRETO SIMPLES CAPEADO</t>
  </si>
  <si>
    <t>DEMOLICAO PISO GRANIL LADR HID/CER CACOS INCLUSIVE BASE</t>
  </si>
  <si>
    <t>DEMOLICAO PISO TACOS DE MADEIRA INCLUSIVE ARG ASSENTAMENTO</t>
  </si>
  <si>
    <t>DEMOLICAO PISO SOALHO DE TABUAS INCLUSIVE VIGAMENTOS</t>
  </si>
  <si>
    <t>DE ASSOALHO SOMENTE TABUAS</t>
  </si>
  <si>
    <t>DE PISOS VINILICOS E DE BORRACHA INCL ARG ASSENT E REGULARIZACAO</t>
  </si>
  <si>
    <t>DEMOLICAO REVEST DE DEGRAUS DE ARG/GRAN/CACOS/LADRIL INCL ARG ASSENT</t>
  </si>
  <si>
    <t>DEMOLICAO RODAPES EM GERAL INCLUSIVE ARGAMASSA ASSENTAMENTO</t>
  </si>
  <si>
    <t>DEMOLICAO SOLEIRAS EM GERAL INCLUSIVE ARGAMASSA ASSENTAMENTO</t>
  </si>
  <si>
    <t>DEMOLICAO PEITORIS EM GERAL INCLUSIVE ARGAMASSA ASSENTAMENTO</t>
  </si>
  <si>
    <t>DEMOLICAO GUARDA-CORPOS EM GERAL INCLUSIVE ARGAMASSA ASSENTAMENTO</t>
  </si>
  <si>
    <t>DE PISO VINILICO E BORRACHA</t>
  </si>
  <si>
    <t>DE PISO DE BORRACHA ARGAMASSADO</t>
  </si>
  <si>
    <t>DE PISO DE CERAMICA OU LADRILHOS HIDRAULICOS</t>
  </si>
  <si>
    <t>DE PISO DE TACOS DE MADEIRA</t>
  </si>
  <si>
    <t>DE SOALHO INCLUSIVE VIGAMENTO</t>
  </si>
  <si>
    <t>DE SOALHO SOMENTE TABUAS</t>
  </si>
  <si>
    <t>DE PISO DE PEDRA</t>
  </si>
  <si>
    <t>DE PISO DE GRANITO OU MARMORE</t>
  </si>
  <si>
    <t>DE DEGRAUS E ESPELHOS EM PEDRA</t>
  </si>
  <si>
    <t>DE DEGRAUS E ESP DE GRANITO OU MARMORE</t>
  </si>
  <si>
    <t>DE RODAPES DE CERAM LADR-HIDR GRANITO OU MARMORE</t>
  </si>
  <si>
    <t>DE RODAPES DE MADEIRA INCLUSIVE CORDAO</t>
  </si>
  <si>
    <t>DE SOLEIRAS EM GERAL</t>
  </si>
  <si>
    <t>DE PEITORIS EM GERAL</t>
  </si>
  <si>
    <t>DE GUARDA-CORPOS EM GERAL</t>
  </si>
  <si>
    <t>RECOLOCAÇÃO - PISOS/ RODAPÉS/ PEITORIS</t>
  </si>
  <si>
    <t>REPREGAMENTO DE SOALHO DE PEROBA</t>
  </si>
  <si>
    <t>DE RODAPES E CORDOES DE MADEIRA</t>
  </si>
  <si>
    <t>RECOLOCACOES DE PISOS</t>
  </si>
  <si>
    <t>CONSERVAÇÃO - PISOS / RODAPÉS / PEITORIS</t>
  </si>
  <si>
    <t>LASTRO DE CONCRETO</t>
  </si>
  <si>
    <t>ENDURECEDOR SUPERFICIAL PARA CONCRETO</t>
  </si>
  <si>
    <t>SOALHO DE TABUAS DE PEROBA DE 10X2,0CM SOBRE VIGAMENTO 6X12CM</t>
  </si>
  <si>
    <t>SOALHO DE PEROBA 10X2,0CM (SOMENTE TABUAS)</t>
  </si>
  <si>
    <t>SOALHO DE TABUAS DE IPE 20X2CM (SOMENTE TABUAS)</t>
  </si>
  <si>
    <t>FRESAMENTO DE PISO CIMENTADO</t>
  </si>
  <si>
    <t>PISO VINILICO DE 2MM DE ESPESSURA</t>
  </si>
  <si>
    <t>PISO VINILICO DE 3,2MM DE ESPESSURA</t>
  </si>
  <si>
    <t xml:space="preserve">REPAROS EM GRANILITE </t>
  </si>
  <si>
    <t>ARGAMASSA DE REGULARIZACAO CIMENTO/AREIA 1:3 E=2,50CM</t>
  </si>
  <si>
    <t>COLAGEM COM NATA DE CIMENTO E ADESIVO P/ ARGAMASSA E CHAPISCO</t>
  </si>
  <si>
    <t>SOALHO DE TABUAS DE IPE 10X2CM SOBRE VIGAMENTO 6X16CM</t>
  </si>
  <si>
    <t>SOALHO DE TABUAS DE IPE 20X2CM SOBRE VIGAMENTO 6X16CM</t>
  </si>
  <si>
    <t>REPREGAMENTO DE SOALHO DE MADEIRA</t>
  </si>
  <si>
    <t>SOALHO DE TABUA DE IPE 20X2CM SOBRE VIGAMENTO 6X12CM</t>
  </si>
  <si>
    <t>SOALHO DE TABUAS DE IPE 10X2,0CM SOBRE VIGAMENTO 6X12CM</t>
  </si>
  <si>
    <t>SOALHO DE IPE 10X2,0CM (SOMENTE TABUAS)</t>
  </si>
  <si>
    <t>RODAPE DE GRANILITE EM PLACAS FORN/APLIC</t>
  </si>
  <si>
    <t>RODAPE DE MARMORE DE 15CM</t>
  </si>
  <si>
    <t>CORDAO DE PEROBA</t>
  </si>
  <si>
    <t>RODAPE DE PEROBA DE 7X1,5 CM COM CORDAO</t>
  </si>
  <si>
    <t>DEGRAU DE GRANILITE</t>
  </si>
  <si>
    <t>DEGRAUS DE MARMORE</t>
  </si>
  <si>
    <t>DEGRAU VINILICO COM TESTEIRA DE BORRACHA</t>
  </si>
  <si>
    <t>TESTEIRA DE BORRACHA</t>
  </si>
  <si>
    <t>PISO BORRACHA SINT PASTILHADO PRETO ESPES 4/5MM - COLADO</t>
  </si>
  <si>
    <t>SERVICOS EM PISOS</t>
  </si>
  <si>
    <t>VIDRO LISO COMUM INCOLOR DE 3MM</t>
  </si>
  <si>
    <t>VIDRO LISO COMUM INCOLOR DE 4MM</t>
  </si>
  <si>
    <t>VIDRO LISO COMUM INCOLOR DE 5MM</t>
  </si>
  <si>
    <t>VIDRO LISO COMUM INCOLOR DE 6MM</t>
  </si>
  <si>
    <t>VIDRO LISO FOSCO (DESPOLIDO) ESPESS 3 MM</t>
  </si>
  <si>
    <t>VIDRO IMPRESSO INCOLOR (E=4MM)</t>
  </si>
  <si>
    <t>VIDRO ARAMADO DE 7/8 MM</t>
  </si>
  <si>
    <t>FECHAMENTO EM VIDRO LAMINADO 5+5MM INC ACESS ALUM (CX/ELEVADOR)</t>
  </si>
  <si>
    <t>VITRAL EM POLIESTER REFORC C/FIBER-GLASS 2 FACES MART 3MM</t>
  </si>
  <si>
    <t>VITRAL EM POLIESTER REFORC C/FIBER-GLASS 2 FACES MART 5MM</t>
  </si>
  <si>
    <t>SERVICOS EM VIDROS</t>
  </si>
  <si>
    <t>EP-01 ESPELHO</t>
  </si>
  <si>
    <t>ARMARIO PLAST C/ESPELHO P/BANH (SOBREPOR 31X36X9CM)</t>
  </si>
  <si>
    <t>ESPELHO DE CRISTAL</t>
  </si>
  <si>
    <t>SERVICOS DE ESPELHOS</t>
  </si>
  <si>
    <t>DE VIDRO INCLUSIVE RASPAGEM DE MASSA OU RETIRADA DE BAGUETES</t>
  </si>
  <si>
    <t>RECOLOCAÇÃO</t>
  </si>
  <si>
    <t>DE VIDRO INCLUSIVE EMASSAMENTO OU RECOLOCACAO DE BAGUETES</t>
  </si>
  <si>
    <t>RECOLOCACOES DE VIDRO</t>
  </si>
  <si>
    <t>CONSERVAÇÃO - VIDROS</t>
  </si>
  <si>
    <t>OLEO EM ESTRUTURA METALICA</t>
  </si>
  <si>
    <t>GRAFITE EM ESTRUTURA METALICA</t>
  </si>
  <si>
    <t>PINTURA ALUMINIO EM ESTRUTURA METALICA</t>
  </si>
  <si>
    <t>ESMALTE EM ESTRUTURA METALICA</t>
  </si>
  <si>
    <t>PINTURA PARA ESTRUTURA DE ALUMINIO C/ TINTA ESMALTE AUTOMOTIVA</t>
  </si>
  <si>
    <t>OLEO SEM APAREL E EMASS PREVIOS EM ESTRUT DE MAD APARENTE (GALPOES)</t>
  </si>
  <si>
    <t>ESMALTE S/APAREL EMASS PREVIOS EM ESTRUTURA DE MADEIRA APARENTES</t>
  </si>
  <si>
    <t>VERNIZ SEM APARELHAMENTO E EMAS PREVIOS EM ESTRUT DE MADEIRA APARENTE</t>
  </si>
  <si>
    <t>GALVANIZACAO A FOGO - ESTRUTURAS</t>
  </si>
  <si>
    <t>PRIMER P/ GALVANIZADOS (GALVITE/SIMILAR) - ESTRUTURAS</t>
  </si>
  <si>
    <t>FUNDO ANTI-OXIDANTE EM ESTRUTURAS</t>
  </si>
  <si>
    <t>PINTURAS EM ESTRUTURAS</t>
  </si>
  <si>
    <t>MASSA CORRIDA PVA</t>
  </si>
  <si>
    <t>LATEX</t>
  </si>
  <si>
    <t>LATEX COM MASSA CORRIDA</t>
  </si>
  <si>
    <t>LATEX EM ELEMENTO VAZADO</t>
  </si>
  <si>
    <t>MASSA CORRIDA A OLEO</t>
  </si>
  <si>
    <t>OLEO</t>
  </si>
  <si>
    <t>OLEO COM MASSA CORRIDA</t>
  </si>
  <si>
    <t>ESMALTE</t>
  </si>
  <si>
    <t>MASSA CORRIDA PARA TINTA ACRILICA</t>
  </si>
  <si>
    <t>TINTA ACRILICA</t>
  </si>
  <si>
    <t>TINTA ACRILICA COM MASSA CORRIDA</t>
  </si>
  <si>
    <t>TINTA NITROSINTETICA MULTICOLORIDA (QUANTIL)</t>
  </si>
  <si>
    <t>TINTA NITROSINTETICA MULTICOLORIDA (QUANTIL) COM MASSA CORRIDA</t>
  </si>
  <si>
    <t>TINTA EPOXICA</t>
  </si>
  <si>
    <t>TINTA EPOXICA COM MASSA CORRIDA</t>
  </si>
  <si>
    <t>OLEO EM FORRO DE MADEIRA</t>
  </si>
  <si>
    <t>ESMALTE EM FORRO DE MADEIRA</t>
  </si>
  <si>
    <t>ENVERNIZAMENTO EM FORRO DE MADEIRA</t>
  </si>
  <si>
    <t>FUNDO PREPARADOR PARA REVESTIMENTO COM GESSO</t>
  </si>
  <si>
    <t>PINTURA ACRILICA PARA PISOS</t>
  </si>
  <si>
    <t>PINTURAS EM FORROS/PAREDES INTERNAS</t>
  </si>
  <si>
    <t>MASSA CORRIDA A OLEO EM ESQUADRIAS DE MADEIRA</t>
  </si>
  <si>
    <t>OLEO SEM MASSA CORRIDA EM ESQUADRIAS DE MADEIRA</t>
  </si>
  <si>
    <t>OLEO COM MASSA CORRIDA EM ESQUADRIAS DE MADEIRA</t>
  </si>
  <si>
    <t>OLEO EM MADEIRA SEM APARELHAMENTO E EMASS PREVIOS (PORTOES-CERCAS)</t>
  </si>
  <si>
    <t>ESMALTE SEM MASSA CORRIDA EM ESQUADRIAS DE MADEIRA</t>
  </si>
  <si>
    <t>ESMALTE COM MASSA CORRIDA EM ESQUADRIAS DE MADEIRA</t>
  </si>
  <si>
    <t>ESMALTE EM CERCAS PORTOES E GRADIS</t>
  </si>
  <si>
    <t>VERNIZ PLASTICO BASE POLIURET EM ESQUADRIAS E PECAS MADEIRA EXTERNA</t>
  </si>
  <si>
    <t>ENVERNIZAMENTO EM ESQUADRIAS DE MADEIRA</t>
  </si>
  <si>
    <t>ENCERAMENTO DE ESQUADRIAS DE MADEIRA</t>
  </si>
  <si>
    <t>OLEO EM ESQUADRIAS DE FERRO</t>
  </si>
  <si>
    <t>ESMALTE EM ESQUADRIAS DE FERRO</t>
  </si>
  <si>
    <t>GRAFITE EM ESQUADRIAS DE FERRO</t>
  </si>
  <si>
    <t>PINTURA ALUMINIO EM ESQUADRIAS DE FERRO</t>
  </si>
  <si>
    <t>GALVANIZACAO A FOGO - ESQUADRIAS</t>
  </si>
  <si>
    <t>PRIMER P/ GALVANIZADOS (GALVIT/SIMILAR) - ESQUADRIAS</t>
  </si>
  <si>
    <t>FUNDO ANTI-OXIDANTE EM ESQUADRIAS</t>
  </si>
  <si>
    <t>OLEO EM RODAPES, BAGUETES E MOLDURAS DE MADEIRA</t>
  </si>
  <si>
    <t>ESMALTE EM RODAPES, BAGUETES E MOLDURAS DE MADEIRA</t>
  </si>
  <si>
    <t>ENVERNIZAMENTO DE RODAPES,BAGUETES OU MOLDURAS DE MADEIRA</t>
  </si>
  <si>
    <t>FACE EXTERNA DE CALHAS/CONDUTORES COM TINTA SINTETICA (ESMALTE)</t>
  </si>
  <si>
    <t>FACE INTERNA DE CALHAS COM TINTA BETUMINOSA</t>
  </si>
  <si>
    <t>FACE APARENTE DE RUFOS/RINCOES COM TINTA BETUMINOSA</t>
  </si>
  <si>
    <t>FACE EXTERNA DE CALHAS/CONDUTORES COM TINTA A OLEO</t>
  </si>
  <si>
    <t>SINALIZACAO. LETRAS,NUMEROS E SIMBOLOS</t>
  </si>
  <si>
    <t>SINALIZACAO:PICTOGRAMAS</t>
  </si>
  <si>
    <t>PINTURAS EM ESQUADRIAS</t>
  </si>
  <si>
    <t>CAIACAO</t>
  </si>
  <si>
    <t>MASSA CORRIDA ACRILICA</t>
  </si>
  <si>
    <t>TRATAMENTO DE CONCRETO COM ESTUQUE E LIXAMENTO</t>
  </si>
  <si>
    <t>VERNIZ ACRILICO</t>
  </si>
  <si>
    <t>TINTA MINERAL IMPERMEAVEL SEM NATA SELADORA</t>
  </si>
  <si>
    <t>TINTA MINERAL IMPERMEAVEL C/ NATA SELADORA S/ BLOCO DE CONCRETO</t>
  </si>
  <si>
    <t>HIDROFUGO A BASE DE SILICONE</t>
  </si>
  <si>
    <t>ESMALTE EM SUPERFICIE REBOCADA SEM MASSA CORRIDA</t>
  </si>
  <si>
    <t>LIQUIDO IMUNIZANTE EM MADEIRA APARENTE</t>
  </si>
  <si>
    <t>SINALIZACAO: LOGOTIPO RESERVATORIO SUPERIOR</t>
  </si>
  <si>
    <t>RS-16 VAGA COM SIMBOLO INTERNACIONAL DE ACESSO</t>
  </si>
  <si>
    <t>PINTURA PARA TELHAS DE ALUMINIO COM TINTA ESMALTE AUTOMOTIVA</t>
  </si>
  <si>
    <t>PINTURA DE QUADRAS ESP-LINHAS DEMARCATORIAS (600M2)</t>
  </si>
  <si>
    <t>PINTURA DE LINHAS DEMARCATORIAS DE QUADRA DE ESPORTES</t>
  </si>
  <si>
    <t>PINTURAS EM PAREDES EXTERNAS</t>
  </si>
  <si>
    <t>REMOÇÕES</t>
  </si>
  <si>
    <t>RASPAGEM DE CAIACAO OU TINTA MINERAL IMPERMEAVEL</t>
  </si>
  <si>
    <t>REMOCAO DE OLEO,ESMALTE,LATEX/ACRILICO EM PAREDES COM LIXAMENTO</t>
  </si>
  <si>
    <t>REMOCAO DE OLEO,ESMALTE OU VERNIZ EM ESQ DE MADEIRA C/LIXAMENTO</t>
  </si>
  <si>
    <t>REMOCAO DE OLEO,ESMALTE,ALUMIN OU GRAFITE EM ESQ DE FERRO C/LIXAMENTO</t>
  </si>
  <si>
    <t>REMOCAO OLEO,ESMALTE/VERNIZ EM RODAPES,BAGUETES E MOLD C/LIXAMENTO</t>
  </si>
  <si>
    <t>REMOCAO DE OLEO,ESMALTE,LATEX/ACRILICO EM PAREDES COM PRODUTO QUIMICO</t>
  </si>
  <si>
    <t>REMOCAO DE OLEO ESMALTE OU VERNIZ EM ESQ. DE MADEIRA C/PROD QUIMICO</t>
  </si>
  <si>
    <t>REMOCAO DE OLEO,ESMALTE,ALUMIN OU GRAFITE EM ESQ DE FERRO C/PROD QUIM</t>
  </si>
  <si>
    <t>REMOCAO OLEO,ESMALTE/VERNIZ EM RODAPES,BAGUETES E MOLD C/PROD QUIM</t>
  </si>
  <si>
    <t>REMOCAO DE PINTURA EM ESTRUTURA METALICA COM JATEAMENTO - AREIA</t>
  </si>
  <si>
    <t>REMOCOES</t>
  </si>
  <si>
    <t>CONSERVAÇÃO - PINTURA</t>
  </si>
  <si>
    <t>OLEO DE LINHACA EM MADEIRAMENTO APARENTE DE TELHADO</t>
  </si>
  <si>
    <t>PINTURA EM AZULEJO</t>
  </si>
  <si>
    <t>TINTA EPOXI ANTIPICHACAO (SPEEL FLEX) 2 DEMAOS</t>
  </si>
  <si>
    <t>LATEX EM SUPERFICIE INCLUSIVE PREPARO E RETOQUE DE MASSA</t>
  </si>
  <si>
    <t>ESMALTE EM SUPERFICIE INCLUSIVE PREPARO E RETOQUE DE MASSA</t>
  </si>
  <si>
    <t>OLEO EM SUPERFICIE INCLUSIVE PREPARO E RETOQUE DE MASSA</t>
  </si>
  <si>
    <t>ACRILICA EM SUPERFICIE INCLUSIVE PREPARO E RETOQUE DE MASSA</t>
  </si>
  <si>
    <t>ESMALTE EM ESQUADRIAS DE MADEIRA INCLUSIVE PREPARO E RETOQUES DE MASSA</t>
  </si>
  <si>
    <t>OLEO EM ESQUADRIAS DE MADEIRA INCLUSIVE PREPARO E RETOQUES DE MASSA</t>
  </si>
  <si>
    <t>OLEO EM ESQUADRIAS DE FERRO INCLUSIVE PREPARO E RETOQUES DE ZARCAO</t>
  </si>
  <si>
    <t>ESMALTE EM ESQUADRIAS DE FERRO INCLUSIVE PREPARO E RETOQUES DE ZARCAO</t>
  </si>
  <si>
    <t>OLEO EM RODAPES/BAGUETES/MOLD. MAD. INCL. PREPARO E RETOQUE DE MASSA</t>
  </si>
  <si>
    <t>ALUMINIO EM ESQUADRIAS DE FERRO INCLUSIVE PREPARO E RETOQUE DE ZARCAO</t>
  </si>
  <si>
    <t>REMOVEDOR DE PICHACAO (SPEEL CLEAN) - POS PINTURA ANTIPICHACAO</t>
  </si>
  <si>
    <t>GRAFITE EM ESQUADRIAS DE FERRO INCL. PREPARO E RETOQUE DE ZARCAO</t>
  </si>
  <si>
    <t>VERNIZ ANTIPICHACAO (SPEEL FLEX) 2 DEMAOS</t>
  </si>
  <si>
    <t>VERNIZ EM ESQUADRIAS DE MADEIRA INCL. PREPARO E RETOQUE DE MASSA</t>
  </si>
  <si>
    <t>VERNIZ EM RODAPES/BAGUETES/MOLD. MAD. INCL. PREPARO E RETOQUE DE MASSA</t>
  </si>
  <si>
    <t>PINTURA EM LOUSA INCL. PREPARO E RETOQUE DE MASSA</t>
  </si>
  <si>
    <t>PINTURA DE QUADRAS ESPORTIVAS - LINHAS DEMARCATORIAS</t>
  </si>
  <si>
    <t>OLEO EM FORRO DE MADEIRA INCLUSIVE PREPARO E RETOQUE DE MASSA</t>
  </si>
  <si>
    <t>ESMALTE EM FORRO DE MADEIRA INCLUSIVE PREPARO E RETOQUE DE MASSA</t>
  </si>
  <si>
    <t>ESMALTE EM ESTRUTURA METALICA INCLUSIVE PREPARO E RETOQUE DE ZARCAO</t>
  </si>
  <si>
    <t>OLEO EM ESTRUTURA METALICA INCLUSIVE PREPARO E RETOQUE DE ZARCAO</t>
  </si>
  <si>
    <t>GRAFITE EM ESTRUTURA METALICA INCLUSIVE PREPARO E RETOQUE DE ZARCAO</t>
  </si>
  <si>
    <t>GALVANIZACAO A FRIO - PINTURA P/ ESTRUTURAS - CONSERVACAO</t>
  </si>
  <si>
    <t>GALVANIZACAO A FRIO - PINTURA P/ ESQUADRIAS - CONSERVACAO</t>
  </si>
  <si>
    <t>PRIMER P/ GALVANIZADOS (GALVIT/SIMILAR) - ESTRUTURAS - CONSERVACAO</t>
  </si>
  <si>
    <t>PRIMER P/ GALVANIZADOS (GALVIT/SIMILAR) - ESQUADRIAS - CONSERVACAO</t>
  </si>
  <si>
    <t>FUNDO ANTI-OXIDANTE EM ESTRUTURAS - CONSERVACAO</t>
  </si>
  <si>
    <t>FUNDO ANTI-OXIDANTE EM ESQUADRIAS - CONSERVACAO</t>
  </si>
  <si>
    <t>SERVICOS DE PINTURA</t>
  </si>
  <si>
    <t>FECHO: MUROS / ALAMBRADOS / PORTÕES</t>
  </si>
  <si>
    <t>FD-04 FECHAMENTO DE DIVISAS/PLACAS DE CONCRETO</t>
  </si>
  <si>
    <t>FD-07 FECHAM DIVISA/BL CONCRETO/REV CHAP GROSSO FACE EXT H=185CM/SAPAT</t>
  </si>
  <si>
    <t>FD-08 FECHAM DIVISA/BL CONCRETO/REV CHAP GROSSO FACE EXT H=185CM/BROCA</t>
  </si>
  <si>
    <t>FD-10 FECHAMENTO PARA DEVISAS/MOUROES</t>
  </si>
  <si>
    <t>FD-11 FECHAMENTO DE DIVISAS - MOUROES C/ PLACAS PRE MOLDADAS</t>
  </si>
  <si>
    <t>FD-12 FECHAMENTO DE DIVISAS - MOUROES C/ ARAMES E HIBISCOS</t>
  </si>
  <si>
    <t>FD-13 FECHAMENTO DIV/BL CONCR/SEM REVESTIMENTO (H=185CM/SAPATA)</t>
  </si>
  <si>
    <t>FD-14 FECHAMENTO DE DIVISA/BLOCO DE CONCRETO/ S/REVEST. H=185CM/BROCA</t>
  </si>
  <si>
    <t>FD-15 FECHAMENTO DE DIVISA/BL CONCRETO/REVEST CHAP FINO H=235CM/SAPATA</t>
  </si>
  <si>
    <t>FD-16 FECHAMENTO DIVISA/BL CONCRETO/REVEST CHAPISCO FINO H=235CM/BROCA</t>
  </si>
  <si>
    <t>FD-21 FECHAMENTO DE DIVISA COM GRADIL ELETROFUNDIDO / SAPATA (H=185CM)</t>
  </si>
  <si>
    <t>FD-22 FECHAMENTO DE DIVISA COM GRADIL ELETROFUNDIDO/SAPATA (H=235CM)</t>
  </si>
  <si>
    <t>FE-01 FECHAMENTO PARA SETORIZACAO (ALAMBRADO)</t>
  </si>
  <si>
    <t>FE-02 FECHAMENTO PARA SETORIZACAO (GRADIL ELETROFUNDIDO)</t>
  </si>
  <si>
    <t>FD-23 FECHAMENTO DE DIVISA COM GRADIL ELETROFUNDIDO / BROCA (H=185CM)</t>
  </si>
  <si>
    <t>FD-24 FECHAMENTO DE DIVISA COM GRADIL ELETROFUNDIDO / BROCA (H=235CM)</t>
  </si>
  <si>
    <t>FD-25 FECHAMENTO DIVISA C/ GRADIL ELETROF / SAPATA (199X132.20CM)</t>
  </si>
  <si>
    <t>FD-26 FECHAMENTO DIVISA C/ GRADIL ELETROF / BROCA (199X132.20CM)</t>
  </si>
  <si>
    <t>FD-27 FECHAMENTO DIVISA C/ GRADIL ELETROF / SAPATA (59X211.40CM)</t>
  </si>
  <si>
    <t>FD-28 FECHAMENTO DIVISA C/ GRADIL ELETROF / BROCA (59X211.40CM)</t>
  </si>
  <si>
    <t>PT-50 PORTÃO DE TELA PARA SETORIZAÇÃO</t>
  </si>
  <si>
    <t>PORTÃO EM CHAPA DE AÇO</t>
  </si>
  <si>
    <t>PM-01 PORTAO DE MADEIRA - 3,60 M</t>
  </si>
  <si>
    <t>PM-11 PORTAO DE MADEIRA-1,20 M</t>
  </si>
  <si>
    <t>PM-12 PORTAO DE MADEIRA-1,80 M</t>
  </si>
  <si>
    <t>GRADIL METALGRADE PINT ELETROSTATICA 62X132MM BARRA 25X2MM</t>
  </si>
  <si>
    <t>FD-29 FECHAMENTO DIVISA C/ ELEMENTO VAZADO / SAPATA (239X199CM)</t>
  </si>
  <si>
    <t>FD-30 FECHAMENTO DIVISA C/ ELEMENTO VAZADO / BROCA (239X199CM)</t>
  </si>
  <si>
    <t>FD-31 FECHAMENTO DIVISA C/ ELEMENTO VAZADO / SAPATA (39X199CM)</t>
  </si>
  <si>
    <t>FD-32 FECHAMENTO DIVISA C/ ELEMENTO VAZADO / BROCA (39X199CM)</t>
  </si>
  <si>
    <t>PT-29 PORTAO DE TELA PARA QUADRA</t>
  </si>
  <si>
    <t>VERGA/CINTA EM BLOCO DE CONCRETO CANALETA 14X19X39CM</t>
  </si>
  <si>
    <t>VERGA/CINTA EM BLOCO DE CONCRETO CANALETA 19X19X39CM</t>
  </si>
  <si>
    <t>PT-30 PORTAO GRADIL ELETROFUNDIDO / PILARETE DE CONCRETO (300X185CM)</t>
  </si>
  <si>
    <t>PT-31 PORTAO GRADIL ELETROFUNDIDO / PILARETE DE CONCRETO (300X235CM)</t>
  </si>
  <si>
    <t>PT-32 PORTAO GRADIL ELETROFUNDIDO / PILARETE DE CONCRETO (180X185CM)</t>
  </si>
  <si>
    <t>PT-33 PORTAO GRADIL ELETROFUNDIDO / PILARETE DE CONCRETO (180X235CM)</t>
  </si>
  <si>
    <t>PT-34 PORTAO GRADIL ELETROFUNDIDO / PILARETE METALICO (300X185CM)</t>
  </si>
  <si>
    <t>PT-35 PORTAO GRADIL ELETROFUNDIDO / PILARETE METALICO (300X235CM)</t>
  </si>
  <si>
    <t>PT-36 PORTAO GRADIL ELETROFUNDIDO / PILARETE METALICO (180X185CM)</t>
  </si>
  <si>
    <t>PT-37 PORTAO GRADIL ELETROFUNDIDO / PILARETE METALICO (180X235CM)</t>
  </si>
  <si>
    <t>PT-41 PORTAO EM CHAPA DE ACO (300X235CM)</t>
  </si>
  <si>
    <t>PT-42 PORTAO EM CHAPA DE ACO (180X235CM)</t>
  </si>
  <si>
    <t>SERVICOS PARA FECHAMENTOS</t>
  </si>
  <si>
    <t>PISO DE CONCRETO CAMURCADO - FUNDACAO DIRETA FCK-25 MPA</t>
  </si>
  <si>
    <t>PLACA DE CONCRETO MOLDADA NO LOCAL - 90X90 CM</t>
  </si>
  <si>
    <t>PAVIMENTACAO ARTICULADA SOBRE BASE AREIA GROSSA E=5A6CM</t>
  </si>
  <si>
    <t>PAVIMENTACAO ASFALTICA</t>
  </si>
  <si>
    <t>BORRACHA ASSENTADA C/ ARGAMASSA - PISO TATIL ALERTA</t>
  </si>
  <si>
    <t>PAVIMENTACAO COM PEDRISCO COM ESPESS DE 5 CM</t>
  </si>
  <si>
    <t>PAVIMENTACAO DE PEDRA MOSAICO PORTUGUES 2 COR/SOBRE BASE AREIA GROSSA</t>
  </si>
  <si>
    <t>GUIAS PRE-MOLDADAS TIPO PMSP</t>
  </si>
  <si>
    <t>SARJETAS MOLDADAS NO LOCAL TIPO PMSP</t>
  </si>
  <si>
    <t>GA-01 GUIA LEVE OU SEPARADOR DE PISOS</t>
  </si>
  <si>
    <t>GA-02 GUIA E SARJETA</t>
  </si>
  <si>
    <t>GA-03 GUIA E SARJETA TIPO PMSP</t>
  </si>
  <si>
    <t>DEGRAU DE CONCRETO CAMURCADO</t>
  </si>
  <si>
    <t>PEDRA MIRACEMA</t>
  </si>
  <si>
    <t>PAVIMENTACAO MOSAICO COM BLOCOS DE CONCRETO NATURAL</t>
  </si>
  <si>
    <t>CERAMICA EXTRUDADA 24X11 OU 11X11 OU 18X18CM - DETALHES E REQUADROS</t>
  </si>
  <si>
    <t>SEIXO ROLADO - DETALHES E REQUADROS</t>
  </si>
  <si>
    <t>PASTILHA NATURAL 2,5X2,5CM - DETALHES E REQUADROS</t>
  </si>
  <si>
    <t>PASTILHA NATURAL 5,0X5,0CM - DETALHES E REQUADROS</t>
  </si>
  <si>
    <t>LADRILHO HIDRAULICO 20X20CM LISO 1 COR</t>
  </si>
  <si>
    <t>LASTRO DE CONCRETO - 5CM</t>
  </si>
  <si>
    <t>CIMENTADO DESEMPENADO COM JUNTA SECA E=3,5CM INCL ARG REG</t>
  </si>
  <si>
    <t>CIMENTADO DESEMPENADO ALISADO C/ CORANTE E=3,5CM INCL ARG REG</t>
  </si>
  <si>
    <t>REVESTIMENTOS P/ PISOS EXTERNOS</t>
  </si>
  <si>
    <t>GRAMADOS / PAISAGISMO</t>
  </si>
  <si>
    <t>GRAMA BATATAIS EM PLACAS</t>
  </si>
  <si>
    <t>GRAMA SAO CARLOS EM PLACAS</t>
  </si>
  <si>
    <t>GRAMA PRETA EM MUDAS</t>
  </si>
  <si>
    <t>FORRACAO - ONZE HORAS</t>
  </si>
  <si>
    <t>FORRACAO - SALVIA</t>
  </si>
  <si>
    <t>FORRACAO - MARANTA</t>
  </si>
  <si>
    <t>AP-02 PROTETOR PARA ARVORES</t>
  </si>
  <si>
    <t>ARVORE ORNAMENTAL H=1,50 A 2,00 M - JACARANDA MIMOSO</t>
  </si>
  <si>
    <t>ARVORE ORNAMENTAL H=1,50 A 2,00 M - FEDEGOSO</t>
  </si>
  <si>
    <t>ARVORE ORNAMENTAL H=1,50 A 2,00 M - BRASSAIA</t>
  </si>
  <si>
    <t>ARVORE ORNAMENTAL H=1,50 A 2,00 - MAGNOLIA AMARELA</t>
  </si>
  <si>
    <t>ARVORE ORNAMENTAL H=1.50 A 2.00M - CIPRESTE ITALIANO</t>
  </si>
  <si>
    <t>ARVORE ORNAMENTAL H=1.50 A 2.00M - FLAMBOYANT</t>
  </si>
  <si>
    <t>ARVORE ORNAMENTAL H=1.50 A 2.00M - GREVILHA</t>
  </si>
  <si>
    <t>ARVORE ORNAMENTAL H=1.50 A 2.00M - IPE AMARELO</t>
  </si>
  <si>
    <t>ARVORE ORNAMENTAL H=1.50 A 2.00M - IPE ROXO</t>
  </si>
  <si>
    <t>ARVORE ORNAMENTAL H=1.5 A 2.00M - JATOBA</t>
  </si>
  <si>
    <t>ARVORE ORNAMENTAL H=1.5 A 2.00M - PAINEIRA ROSA</t>
  </si>
  <si>
    <t>ARVORE ORNAMENTAL H=1.50 A 2.00M - PAU BRASIL</t>
  </si>
  <si>
    <t>ARVORE ORNAMENTAL H=1.50 A 2.00M - PAU FERRO</t>
  </si>
  <si>
    <t>ARVORE ORNAMENTAL H=1.50 A 2.00M - PLATANO</t>
  </si>
  <si>
    <t>ARVORE ORNAMENTAL H=1.50 A 2.00M - SIBIPIRUNA</t>
  </si>
  <si>
    <t>ARVORE ORNAMENTAL H=1,50 A 2.00M - TIPUANA</t>
  </si>
  <si>
    <t>ARVORE ORNAMENTAL H=1.50 A 2.00M - ALECRIM DE CAMPINAS</t>
  </si>
  <si>
    <t>ARVORE ORNAMENTAL H=1.50 A 2.00M - CASSIA ALELUIA</t>
  </si>
  <si>
    <t>ARVORE ORNAMENTAL H=1.50 A 2.00M - CHAPEU DE SOL</t>
  </si>
  <si>
    <t>ARVORE ORNAMENTAL H=1.50 A 2.00M - FIGUEIRA PANDURATA</t>
  </si>
  <si>
    <t>ARVORE ORNAMENTAL H=1.50 A 2.00M - PATA DE VACA</t>
  </si>
  <si>
    <t>ARVORE ORNAMENTAL H=1.50 A 2.00M - QUARESMEIRA</t>
  </si>
  <si>
    <t>ARVORE ORNAMENTAL H=1.50 A 2.00M - MANACA DA SERRA</t>
  </si>
  <si>
    <t>ARVORE ORNAMENTAL H=1.50 A 2.00M - RESEDA EXTREMOSA</t>
  </si>
  <si>
    <t>ARVORE ORNAMENTAL H=1.50 A 2.00M - ALAMO</t>
  </si>
  <si>
    <t>ARVORE ORNAMENTAL H=1.50 A 2.00M - CHORAO</t>
  </si>
  <si>
    <t>ARVORE FRUTIFERA H=0.50 A 1.00M - ABACATE</t>
  </si>
  <si>
    <t>ARVORE FRUTIFERA H=0.50 A 1.00M - MANGUEIRA</t>
  </si>
  <si>
    <t>ARVORE FRUTIFERA H=0.50 A 1.00M - JAMBOLAO</t>
  </si>
  <si>
    <t>ARVORE FRUTIFERA H=0.50 A 1.00M - AMOREIRA</t>
  </si>
  <si>
    <t>ARVORE FRUTIFERA H=0.50 A 1.00M - AMEIXA AMARELA (NESPERA)</t>
  </si>
  <si>
    <t>ARVORE FRUTIFERA H=0.50 A 1.00M - BANANEIRA</t>
  </si>
  <si>
    <t>ARVORE FRUTIFERA H=0.50 A 1.00M - ACEROLA (CEREJA DAS ANTILHAS)</t>
  </si>
  <si>
    <t>ARVORE FRUTIFERA H=0.50 A 1.00M - CARAMBOLA</t>
  </si>
  <si>
    <t>ARVORE FRUTIFERA H=0.50 A 1.00M - LIMOEIRO</t>
  </si>
  <si>
    <t>ARVORE FRUTIFERA H=0.50 A 1.00M - PITANGUEIRA</t>
  </si>
  <si>
    <t>ARVORE FRUTIFERA H=0.50 A 1.00M - UVAIA</t>
  </si>
  <si>
    <t>ARVORE FRUTIFERA H=0,50 A 1,00 M - ROMA</t>
  </si>
  <si>
    <t>ARBUSTO H=0,50 A 0,70 M - GREVILHA ANA</t>
  </si>
  <si>
    <t>ARBUSTO H=0,50 A 0,70 M - SHEFLERA</t>
  </si>
  <si>
    <t>ARBUSTO H=0,50 A 0,70 M - CROTON</t>
  </si>
  <si>
    <t>PALMACEAS H=1.50 A 2.00M - ARECA BAMBU</t>
  </si>
  <si>
    <t>PALMACEAS H=1.50 A 2.00M - FALSA LATANIA</t>
  </si>
  <si>
    <t>PALMACEAS H=1.50 A 2.00M - SEAFORTIA</t>
  </si>
  <si>
    <t>PALMACEA H=1,50 A 2,00 M - JERIVA</t>
  </si>
  <si>
    <t>ARBUSTO H=0,50 A 0,70 M - LIGUSTRINHO</t>
  </si>
  <si>
    <t>ARBUSTO H=0.50 A 0.70M - ACALIFA</t>
  </si>
  <si>
    <t>ARBUSTO H=0.50 A 0.70M - AZALEA</t>
  </si>
  <si>
    <t>ARBUSTO H=0.50 A 0.70M - BELA EMILIA</t>
  </si>
  <si>
    <t>ARBUSTO H=0.50 A 0.70M - HIBISCO</t>
  </si>
  <si>
    <t>ARBUSTO H=0.50 A 0.70M - JASMIM MANGA (FRANGIPANI)</t>
  </si>
  <si>
    <t>ARBUSTO H=0.50 A 0.70M - MURTA DE CHEIRO (FALSA MURTA)</t>
  </si>
  <si>
    <t>ARBUSTO H=0.50 A 0.70 M - SUINA</t>
  </si>
  <si>
    <t>ARBUSTO H=0.50 A 0.70 M - MALVAVISCO</t>
  </si>
  <si>
    <t>ARBUSTO H=0.50 A 0.70M - BICO DE PAPAGAIO</t>
  </si>
  <si>
    <t>ARBUSTO H=0.50 A 0.70M - PIRACANTA</t>
  </si>
  <si>
    <t>TREPADEIRA H=0.50 A 0.70 M - COSTELA DE ADAO</t>
  </si>
  <si>
    <t>TREPADEIRA H=0.50 A 0.70 M - GUAIMBE</t>
  </si>
  <si>
    <t>TREPADEIRA H=0.50 A 0.70 M - PRIMAVERA</t>
  </si>
  <si>
    <t>TREPADEIRA H=0,10 A 0,15M - UNHA DE GATO</t>
  </si>
  <si>
    <t>TREPADEIRA H=0.50 A 0.70M-ALAMANDA</t>
  </si>
  <si>
    <t>ARBUSTO H=0,50 A 0,70 M - CALIANDRA</t>
  </si>
  <si>
    <t>FOLHAGEM H=0,50 A 0,70 - HELICONIA</t>
  </si>
  <si>
    <t>TREPADEIRA - JIBOIA</t>
  </si>
  <si>
    <t>BAMBU H=1,00 A 2,00 M - BAMBUZINHO</t>
  </si>
  <si>
    <t>FOLHAGEM-H=0.50 A 0.70M BANANEIRA ZEBRINA</t>
  </si>
  <si>
    <t>FORRACAO - CURCULIGO</t>
  </si>
  <si>
    <t>FORRACAO - HERA INGLESA</t>
  </si>
  <si>
    <t>FORRACAO - LANTANA</t>
  </si>
  <si>
    <t>FORRACAO - LIRIO AMARELO</t>
  </si>
  <si>
    <t>FORRACAO - MARIA SEM VERGONHA</t>
  </si>
  <si>
    <t>FORRACAO - SANCHEZIA (DIGITAL)</t>
  </si>
  <si>
    <t>FORRACAO - PILEA</t>
  </si>
  <si>
    <t>FORRACAO - CLOROFITO</t>
  </si>
  <si>
    <t>FORRACAO - VEDELIA</t>
  </si>
  <si>
    <t>FORRACAO - ZEBRINA PENDULA</t>
  </si>
  <si>
    <t>FORRACAO - AGAPANTO</t>
  </si>
  <si>
    <t>FORRACAO - SETCREASEA</t>
  </si>
  <si>
    <t>FORRACAO - COLEO</t>
  </si>
  <si>
    <t>SERVICOS DE GRAMADOS</t>
  </si>
  <si>
    <t>QUADRA DE ESPORTES</t>
  </si>
  <si>
    <t>QE-02 POSTE PARA REDE DE VOLEIBOL</t>
  </si>
  <si>
    <t>QE-03 TRAVE DE FUTEBOL DE SALAO (FUNDACAO DIRETA)</t>
  </si>
  <si>
    <t>QE-25 TABELA DE BASQUETE</t>
  </si>
  <si>
    <t>QE-11 DEGRAU ARQUIBANCADA</t>
  </si>
  <si>
    <t>QE-12 QUADRA DE ESPORTES/PISO DE CONCRETO ARMADO/FUNDACAO DIRET-600 M2</t>
  </si>
  <si>
    <t>QE-16 ARQUIBANCADA DE CONCRETO (CIMENTADO DESEMPENADO)</t>
  </si>
  <si>
    <t>QE-16 ARQUIBANCADA DE CONCRETO (TIJOLO LAMINADO EM ESPELHO)</t>
  </si>
  <si>
    <t>QE-19 ARQUIBANCADA DE CONCRETO (PLAQUETA DE LAMINADO)</t>
  </si>
  <si>
    <t>QUADRA DE ESPORTES-PISO DE CONCRETO ARMADO-FUND. DIRETA</t>
  </si>
  <si>
    <t>QE-37 TABELA DE BASQUETE (FUNDACAO DIRETA)</t>
  </si>
  <si>
    <t>FQ-01 FECHAMENTO PARA QUADRA DE ESPORTES - FUNDO - BROCA</t>
  </si>
  <si>
    <t>FQ-01 FECHAMENTO PARA QUADRA DE ESPORTES - FUNDO - SAPATA</t>
  </si>
  <si>
    <t>FQ-01 FECHAMENTO PARA QUADRA DE ESPORTES - LATERAIS - BROCA</t>
  </si>
  <si>
    <t>FQ-02 ALAMBRADO SOBRE DIVISA</t>
  </si>
  <si>
    <t>FQ-04 ALAMBRADO COM PERFIL E TELA SOLDADA - GALVANIZADOS</t>
  </si>
  <si>
    <t>FQ-01 FECHAMENTO PARA QUADRA DE ESPORTES - LATERAIS - SAPATA</t>
  </si>
  <si>
    <t>QE-23 ESPACO MULTIESPORTIVO/PISO DE CONCR. ARMADO/FUND. DIRET - 160 M2</t>
  </si>
  <si>
    <t>SERVICOS DE QUADRAS DE ESPORTES</t>
  </si>
  <si>
    <t>DRENAGEM DE ACABAMENTO</t>
  </si>
  <si>
    <t>CA-05 CANALETA P/ AGUAS PLUVIAIS (L=60CM)</t>
  </si>
  <si>
    <t>CA-06 CANALETA P/ AGUAS PLUVIAIS (L=90CM)</t>
  </si>
  <si>
    <t>CA-11 CAIXA DE AREIA COM GRELHA</t>
  </si>
  <si>
    <t>CA-20 CANALETA DE AGUAS PLUVIAIS EM CONCRETO (15CM)</t>
  </si>
  <si>
    <t>CA-21 CANALETA DE AGUAS PLUVIAIS EM CONCRETO (20CM)</t>
  </si>
  <si>
    <t>CA-22 CANALETA DE AGUAS PLUVIAIS EM CONCRETO (30CM)</t>
  </si>
  <si>
    <t>CANALETA DE CONCRETO 1/2 CANA DN 30CM P/ AGUAS PLUVIAIS</t>
  </si>
  <si>
    <t>CANALETA DE CONCRETO 1/2 CANA DN 40CM P/ AGUAS PLUVIAIS</t>
  </si>
  <si>
    <t>CANALETA DE CONCRETO 1/2 CANA DN 50CM P/ AGUAS PLUVIAIS</t>
  </si>
  <si>
    <t>CANALETA DE CONCRETO 1/2 CANA DN 60CM P/ AGUAS PLUVIAIS</t>
  </si>
  <si>
    <t>TC-03 TAMPA DE CONCRETO P/ CANALETA AP (20CM)</t>
  </si>
  <si>
    <t>TC-04 TAMPA DE CONCRETO P/ CANALETA AP (25CM)</t>
  </si>
  <si>
    <t>TC-05 TAMPA DE CONCRETO P/ CANALETA AP (35CM)</t>
  </si>
  <si>
    <t>TC-06 TAMPA EM GRELHA DE FERRO GALVANIZADO P/ CANALETA (20CM)</t>
  </si>
  <si>
    <t>TC-07 TAMPA EM GRELHA DE FERRO GALVANIZADO P/ CANALETA (25CM)</t>
  </si>
  <si>
    <t>TC-08 TAMPA EM GRELHA DE FERRO GALVANIZADO P/ CANALETA (35CM)</t>
  </si>
  <si>
    <t>TC-09 TAMPA DE CONCRETO PRE-MOLDADA PERF. P/ CANALETA L=20CM</t>
  </si>
  <si>
    <t>TC-10 TAMPA DE CONCRETO PRE-MOLDADA PERF. P/ CANALETA L=25CM</t>
  </si>
  <si>
    <t>TC-11 TAMPA DE CONCRETO PRE-MOLDADA PERF. P/ CANALETA L=35CM</t>
  </si>
  <si>
    <t>SERVICOS DE DRENAGENS</t>
  </si>
  <si>
    <t>COMPLEMENTOS EXTERNOS / CANTEIRO DE OBRA / ALAMBRADO</t>
  </si>
  <si>
    <t>BC-22 BANCO DE CONCRETO</t>
  </si>
  <si>
    <t>PG-01 TANQUE DE AREIA/PLAY-GROUND-AREIA</t>
  </si>
  <si>
    <t>PG-02 TANQUE DE AREIA/PLAY-GROUND-CASCALHO</t>
  </si>
  <si>
    <t>PG-02 TANQUE DE AREIA/PLAY-GROUND-MURETA</t>
  </si>
  <si>
    <t>FL-01 FLOREIRA - CONCRETO</t>
  </si>
  <si>
    <t>MB-03 MASTRO PARA BANDEIRAS</t>
  </si>
  <si>
    <t>AL-01 ABRIGO PARA LIXO</t>
  </si>
  <si>
    <t>PI-01 BASE P/PORTICO DE IDENTIFICACAO</t>
  </si>
  <si>
    <t>CANTEIRO DE OBRAS - LARG 2,20M</t>
  </si>
  <si>
    <t>CANTEIRO DE OBRAS - LARG 3.30M</t>
  </si>
  <si>
    <t>TAPUME MOVEL - H=1,10M</t>
  </si>
  <si>
    <t>TAPUME FIXO</t>
  </si>
  <si>
    <t>ANDAIME - FACHADA - ALUGUEL MENSAL</t>
  </si>
  <si>
    <t>ANDAIME - TORRE - ALUGUEL MENSAL</t>
  </si>
  <si>
    <t>TRANSPORTE COM CAMINHAO ATE 6T</t>
  </si>
  <si>
    <t>KM</t>
  </si>
  <si>
    <t>TRANSPORTE COM UTILITARIO ATE 3 T</t>
  </si>
  <si>
    <t>INSTALAÇÃO DE QUADRO BRANCO (QB-01)</t>
  </si>
  <si>
    <t>INSTALACAO DE FAIXAS DE PROTECAO (FP-03/FP-04) POR REGUA</t>
  </si>
  <si>
    <t>INSTALACAO DE FAIXAS DE EXPOSICAO (FP-05) POR REGUA</t>
  </si>
  <si>
    <t>RS-10 REGUA DE SINALIZACAO - PORTA DA PLATAFORMA</t>
  </si>
  <si>
    <t>INSTALACAO DE LOUSA (LG-07)</t>
  </si>
  <si>
    <t>INSTALACAO DE MURAL (MR-02)</t>
  </si>
  <si>
    <t>INSTALACAO DE FOGAO INDUSTRIAL</t>
  </si>
  <si>
    <t>INSTALACAO DE SUPORTE TV/VIDEO</t>
  </si>
  <si>
    <t>INSTALACAO DE PORTICO DE INDENTIFICACAO</t>
  </si>
  <si>
    <t>COLOCACAO DE REGUAS DE SINALIZACAO</t>
  </si>
  <si>
    <t>RS-02 REGUA DE SINALIZACAO DE AMBIENTES</t>
  </si>
  <si>
    <t>RS-05 REGUA DE SINALIZACAO DE SANITARIOS</t>
  </si>
  <si>
    <t>RS-13 REGUA DE SINALIZACAO DE ELEVADOR</t>
  </si>
  <si>
    <t>SERVICOS DE COMPLEMENTOS EXTERNOS</t>
  </si>
  <si>
    <t>AREA EXTERNA : RECREAÇÃO</t>
  </si>
  <si>
    <t>TR-01 TRONCOS ESCADA</t>
  </si>
  <si>
    <t>TR-02 TRONCOS ESCADA INCLINADA</t>
  </si>
  <si>
    <t>TR-03 TRONCOS ESCADA DUPLA</t>
  </si>
  <si>
    <t>TR-04 TRONCOS ESCADA INCLINADA DUPLA</t>
  </si>
  <si>
    <t>TR-05 TRONCOS BARRAS</t>
  </si>
  <si>
    <t>TR-06 TRONCOS BARRA</t>
  </si>
  <si>
    <t>TR-08 TRONCOS BARRAS PARALELAS</t>
  </si>
  <si>
    <t>TR-09 TRONCOS BARRA DE EQUILIBRIO</t>
  </si>
  <si>
    <t>AM-01 AMARELINHA</t>
  </si>
  <si>
    <t>BC-16 BANCO RETO-CONCRETO (PASTILHA)</t>
  </si>
  <si>
    <t>BC-17 BANCO RETO-CONCRETO (CERAMICAS)</t>
  </si>
  <si>
    <t>BC-18 BANCO RETO-CONCRETO (CACOS CERAMICOS)</t>
  </si>
  <si>
    <t>BC-19 BANCO CURVO CONCRETO (PASTILHA)</t>
  </si>
  <si>
    <t>BC-20 BANCO CURVO CONCRETO (CERAMICA)</t>
  </si>
  <si>
    <t>BC-21 BANCO CURVO CONCRETO (CACOS CERAMICOS)</t>
  </si>
  <si>
    <t>CR-01 CARACOL</t>
  </si>
  <si>
    <t>FL-03 FLOREIRA / BANCO CIRCULAR GRANILITE DIAM=160CM</t>
  </si>
  <si>
    <t>FL-04 FLOREIRA / CIRCULAR GRANILITE DIAM=180CM</t>
  </si>
  <si>
    <t>FL-05 FLOREIRA CIRCULAR DIAM=110CM</t>
  </si>
  <si>
    <t>FL-06 FLOREIRA RETANGULAR 150X220CM</t>
  </si>
  <si>
    <t>LG-06 LOUSA EXTERNA</t>
  </si>
  <si>
    <t>MC-01 MESA XADREZ/DAMAS</t>
  </si>
  <si>
    <t>MC-02 MESA CIRCULOS</t>
  </si>
  <si>
    <t>MC-03 MESA ONDAS</t>
  </si>
  <si>
    <t>MC-04 MESA JOGO DA VELHA</t>
  </si>
  <si>
    <t>MC-05 MESA CERAMICA</t>
  </si>
  <si>
    <t>MG-01 MURETA C/ GUARDA CORPO METALICO (BLOCOS DE CONCRETO APARENTE)</t>
  </si>
  <si>
    <t>MG-02 MURETA C/ GUARDA CORPO METALICO (BLOCOS CERAMICOS)</t>
  </si>
  <si>
    <t>RV-01 ROSA DOS VENTOS R=180CM</t>
  </si>
  <si>
    <t>RV-02 ROSA DOS VENTOS R=175CM</t>
  </si>
  <si>
    <t>SD-01 SOBE/DESCE H=30CM</t>
  </si>
  <si>
    <t>SD-02 SOBE/DESCE H=40CM</t>
  </si>
  <si>
    <t>SD-03 SOBE/DESCE H=50CM</t>
  </si>
  <si>
    <t>TB-01 TEATRO DE BONECOS - MURO</t>
  </si>
  <si>
    <t>TB-02 TEATRO DE BONECOS - PISO</t>
  </si>
  <si>
    <t>FOSSA SÉPTICA</t>
  </si>
  <si>
    <t>FS-05 FOSSA SEPTICA ANEIS CONCR. DN=1,4M H=1,5M</t>
  </si>
  <si>
    <t>FA-01 FILTRO ANAEROBICO DN=1,40M H=2,00M</t>
  </si>
  <si>
    <t>FA-02 FILTRO ANAEROBICO DN=2,00M H=2,00M</t>
  </si>
  <si>
    <t>CD-01 CAIXA DE DISTRIBUICAO /2 CAMARAS</t>
  </si>
  <si>
    <t>CD-02 CAIXA DE DISTRIBUICAO /3 CAMARAS</t>
  </si>
  <si>
    <t>CD-03 CAIXA DE DISTRIBUICAO /4 CAMARAS</t>
  </si>
  <si>
    <t>FS-06-01 FOSSA SEPTICA L=3,00M VOL. UTIL = 7,56M3</t>
  </si>
  <si>
    <t>FS-06-02 FOSSA SEPTICA L=3,80M VOL. UTIL = 9,58M3</t>
  </si>
  <si>
    <t>FS-06-03 FOSSA SEPTICA L=5,40M VOL. UTIL = 13,61M3</t>
  </si>
  <si>
    <t>FS-07-01 FOSSA SEPTICA L=4,80M VOL. UTIL = 20,74M3</t>
  </si>
  <si>
    <t>FS-07-02 FOSSA SEPTICA L=5,80M VOL. UTIL = 25,06M3</t>
  </si>
  <si>
    <t>FS-07-03 FOSSA SEPTICA L=6,40M VOL. UTIL = 29,38M3</t>
  </si>
  <si>
    <t>FS-08-01 FOSSA SEPTICA ANEIS CONCRETO DN=2,4M H=2,0M</t>
  </si>
  <si>
    <t>FS-08-02 FOSSA SEPTICA ANEIS CONCRETO DN=2,4M H=2,5M</t>
  </si>
  <si>
    <t>FS-08-03 FOSSA SEPTICA ANEIS CONCRETO DN=2,4M H=3,0M</t>
  </si>
  <si>
    <t>FS-09-01 FOSSA SEPTICA ANEIS CONCRETO DN=3,0M H=2,5M</t>
  </si>
  <si>
    <t>FS-09-02 FOSSA SEPTICA ANEIS CONCRETO DN=3,0M H=3,0M</t>
  </si>
  <si>
    <t>SERVICOS EM TRATAMENTO DE ESGOTO</t>
  </si>
  <si>
    <t>POÇO ABSORVENTE</t>
  </si>
  <si>
    <t>SM-03 SUMIDOURO - TAMPA DE CONCRETO DN=2,40M</t>
  </si>
  <si>
    <t>SM-04 SUMIDOURO - TAMPA DE CONCRETO DN=3,00M</t>
  </si>
  <si>
    <t>SM-03 SUMIDOURO - POCO</t>
  </si>
  <si>
    <t>SM-04 SUMIDOURO - POCO</t>
  </si>
  <si>
    <t>SERVICOS DE POCO ABSORVENTE</t>
  </si>
  <si>
    <t>POÇO DE ÁGUA POTAVEL</t>
  </si>
  <si>
    <t>REVESTIMENTO DE POCOS COM ALVENARIA 1 TIJOLO SEM ARGAMASSA</t>
  </si>
  <si>
    <t>REVESTIMENTO DE POCOS COM ALVENARIA 1 TIJOLO COM ARGAMASSA</t>
  </si>
  <si>
    <t>PA-01/01 POCO DE AGUA POTAVEL - SERVICOS - ATE 5 M DE PROFUNDIDADE</t>
  </si>
  <si>
    <t>PA-01/02 POCO DE AGUA POTAVEL - DE 5 A 10 M DE PROFUNDIDADE</t>
  </si>
  <si>
    <t>PA-01/03 POCO DE AGUA POTAVEL - DE 10 A 15 M DE PROFUNDIDADE</t>
  </si>
  <si>
    <t>PA-01/04 POCO DE AGUA POTAVEL - DE 15 A 20 M DE PROFUNDIDADE</t>
  </si>
  <si>
    <t>PA-01/05 POCO DE AGUA POTAVEL - DE 20 A 25 M DE PROFUNDIDADE</t>
  </si>
  <si>
    <t>POCO SEMI-ARTESIANO PERF. SOLO ATE 60M - VAZAO 5 M3</t>
  </si>
  <si>
    <t>SERVICOS DE POCO DE AGUA POTAVEL</t>
  </si>
  <si>
    <t>LIMPEZA DE APARELHOS SANITARIOS</t>
  </si>
  <si>
    <t>LIMPEZA DE REVESTIMENTOS HIDRAULICOS</t>
  </si>
  <si>
    <t>LIMPEZA DE VIDROS</t>
  </si>
  <si>
    <t>LIMPEZA DE FACHADA POR HIDROJATEAMENTO</t>
  </si>
  <si>
    <t>SERVICOS DE LIMPEZA</t>
  </si>
  <si>
    <t>MUROS DE ARRIMO - SERVIÇOS EM TERRA</t>
  </si>
  <si>
    <t>ESCORAMENTO PONTALETADO</t>
  </si>
  <si>
    <t>ESCORAMENTO DE VALAS CONTINUO ATé 2,00M</t>
  </si>
  <si>
    <t>ESCORAMENTO DE VALAS CONTINUO ATé 4,00M</t>
  </si>
  <si>
    <t>ESCORAMENTO DE VALAS DESCONTINUO ATé 2,00M</t>
  </si>
  <si>
    <t>ESCORAMENTO DE VALAS DESCONTINUO ATé 4,00M</t>
  </si>
  <si>
    <t>SERVICOS EM TERRA - MUROS DE ARRIMO</t>
  </si>
  <si>
    <t>FORNEC INST E PROTENSAO DE TIRANTES P/25T SOLO INCL MOB,TRANSP,INSTAL</t>
  </si>
  <si>
    <t>FORMAS PLANAS PLASTIFICADAS PARA CONCRETO APARENTE</t>
  </si>
  <si>
    <t>ACO CA 50 (A OU B) FYK = 500 M PA</t>
  </si>
  <si>
    <t>ACO CA 60 (A OU B) FYK = 600 M PA</t>
  </si>
  <si>
    <t>TELA ARMADURA (MALHA ACO CA 60 FYK = 600 M PA)</t>
  </si>
  <si>
    <t>CONCRETO DOSADO BOMBEADO E LANCADO FCK=25 MPA</t>
  </si>
  <si>
    <t>SERVICOS EM CONCRETO ARMADO - MUROS DE ARRIMO</t>
  </si>
  <si>
    <t>MUROS DE ARRIMO- OUTROS SERVIÇOS</t>
  </si>
  <si>
    <t>IMPERMEAB COM ARGAM CIM/AREIA 1:3 COM HIDROFOGO</t>
  </si>
  <si>
    <t>IMPERM COM TINTA BETUMINOSA / COM REG. EM ARGAMASSA CIM AREIA 1:3</t>
  </si>
  <si>
    <t>IMPERMEABILIZACAO POR CRISTALIZACAO - MUROS DE ARRIMO</t>
  </si>
  <si>
    <t>MANTA GEOTEXTIL DE 300GR/M2</t>
  </si>
  <si>
    <t>DRENAGEM COM PEDRA BRITADA</t>
  </si>
  <si>
    <t>DRENAGEM COM AREIA GROSSA</t>
  </si>
  <si>
    <t>MURO EM GABIAO COM TELA GALVANIZADA 8/10CM - FIO DIAM 2,7MM</t>
  </si>
  <si>
    <t>OUTROS SERVICOS - MUROS DE ARRIMO</t>
  </si>
  <si>
    <t>SERVIÇOS COMPLEMENTARES - CIVIL</t>
  </si>
  <si>
    <t>SERVICOS - CIVIL</t>
  </si>
  <si>
    <t>PROJETO EXECUTIVO DE ARQUITETURA</t>
  </si>
  <si>
    <t>PROJETO EXECUTIVO DE ESTRUTURA</t>
  </si>
  <si>
    <t>PROJETO EXECUTIVO DE ARQUITETURA - PRANCHA TECNICA (ELEV/PLAT)</t>
  </si>
  <si>
    <t>PROJETO EXECUTIVO DE ESTRUTURA - PRANCHA TECNICA (ELEV/PLAT)</t>
  </si>
  <si>
    <t>LEVANTAMENTO PLANIALTIMETRICO</t>
  </si>
  <si>
    <t>LEVANTAMENTO CADASTRAL</t>
  </si>
  <si>
    <t>SERVIÇOS COMPLEMENTARES - HIDRAULICA</t>
  </si>
  <si>
    <t>SERVICOS - HIDRAULICA</t>
  </si>
  <si>
    <t>PROJETO EXECUTIVO DE HIDRAULICA</t>
  </si>
  <si>
    <t>PROJETO EXECUTIVO DE INCENDIO</t>
  </si>
  <si>
    <t>PROJETO EXECUTIVO DE HIDRAULICA - PRANCHA TECNICA (ELEV/PLAT)</t>
  </si>
  <si>
    <t>SERVIÇOS COMPLEMENTARES - ELÉTRICA</t>
  </si>
  <si>
    <t>SERVICOS - ELETRICA</t>
  </si>
  <si>
    <t>PLATAFORMA 2 PARADAS PORTAS UNILATERAIS</t>
  </si>
  <si>
    <t>ELEVADOR 2 PARADAS MAQ CONJUGADA PORTA UNILARERAL (ACESSIB)</t>
  </si>
  <si>
    <t>ELEVADOR 3 PARADAS MAQ CONJUGADA PORTA UNILATERAL (ACESSIB)</t>
  </si>
  <si>
    <t>ELEVADOR 4 PARADAS MAQUINA CONJUGADA COM PORTAS UNILATERAIS</t>
  </si>
  <si>
    <t>ELEVADOR 5 PARADAS MAQUINA CONJUGADA COM PORTAS BILATERAIS</t>
  </si>
  <si>
    <t>ELEVADOR 5 PARADAS MAQUINA CONJUGADA COM PORTAS UNILATERAIS</t>
  </si>
  <si>
    <t>ELEVADOR 4 PARADAS MAQUINA CONJUGADA COM PORTAS BILATERAIS</t>
  </si>
  <si>
    <t>ELEVADOR 3 PARADAS MAQUINA CONJUGADA COM PORTAS BILATERAIS</t>
  </si>
  <si>
    <t>PROJETO EXECUTIVO DE ELETRICA</t>
  </si>
  <si>
    <t>MANUTENCAO INTEGRAL P/ PLATAFORMA NOVA 2 PARADAS - MENSAL</t>
  </si>
  <si>
    <t>MANUTENCAO INTEGRAL P/ ELEVADOR NOVO 2 PARADAS - MENSAL</t>
  </si>
  <si>
    <t>MANUTENCAO INTEGRAL P/ ELEVADOR NOVO 3 PARADAS - MENSAL</t>
  </si>
  <si>
    <t>MANUTENCAO INTEGRAL P/ ELEVADOR NOVO 4 PARADAS - MENSAL</t>
  </si>
  <si>
    <t>MANUTENCAO INTEGRAL P/ ELEVADOR NOVO 5 PARADAS - MENSAL</t>
  </si>
  <si>
    <t>PROJETO EXECUTIVO DE ELETRICA - PRANCHA TECNICA (ELEV/PLAT)</t>
  </si>
  <si>
    <t>SALAS DE EMERGÊNCIA EM AÇO</t>
  </si>
  <si>
    <t>SERVIÇOS DE RECUPERAÇÃO ESTRUTURAL - SERVIÇOS PRELIMINARES</t>
  </si>
  <si>
    <t>CANTEIRO DE OBRAS - LARG 3,30M</t>
  </si>
  <si>
    <t>TAPUME MOVEL VERTICAL</t>
  </si>
  <si>
    <t>TAPUME MOVEL HORIZONTAL</t>
  </si>
  <si>
    <t>SERVIÇOS DE RECUPERAÇÃO ESTRUTURAL - REFORÇO DE FUNDAÇÕES</t>
  </si>
  <si>
    <t>REFORCO FUNDACOES ESTACAS RAIZ 50T</t>
  </si>
  <si>
    <t>REFORCO FUNDACOES ESTACA RAIZ 20T</t>
  </si>
  <si>
    <t>REFORCO FUNDACOES ESTACA RAIZ 30T</t>
  </si>
  <si>
    <t>ESTACA REACAO PARA 20T CRAVADA ALEM 5,00M DE PROFUNDIDADE</t>
  </si>
  <si>
    <t>ESTACA REACAO P/20T CRAVADA ATE 5,00 M DE PROFUNDIDADE</t>
  </si>
  <si>
    <t>ESTACA REACAO PARA 30T CRAVADA ALEM 5,00M DE PROFUNDIDADE</t>
  </si>
  <si>
    <t>ESTACA REACAO P/30T CRAVADA ATE 5,00M DE PROFUNDIDADE</t>
  </si>
  <si>
    <t>SERVIÇOS DE RECUPERAÇÃO ESTRUTURAL</t>
  </si>
  <si>
    <t>JATO DE AREIA (OXIDO DE ALUMINIO)</t>
  </si>
  <si>
    <t>* SERVIÇOS DE TRATAMENTO PROTETOR DO CONCRETO APARENTE</t>
  </si>
  <si>
    <t>* SERVIÇOS PRELIMINARES</t>
  </si>
  <si>
    <t>PROCEDIMENTOS PARA PREPARO E LIMPEZA DO SUBSTRATO</t>
  </si>
  <si>
    <t>DEFINICAO E DEMARCACAO DA AREA DE REPARO, COM DISCO DE CORTE</t>
  </si>
  <si>
    <t>ESCARIFICACAO MANUAL (CORTE DE CONCRETO) ATE 3CM DE PROFUNDIDADE</t>
  </si>
  <si>
    <t>ESCARIFICACAO COM DISCO DE DESBASTE ATE 0,5CM DE PROFUNDIDADE</t>
  </si>
  <si>
    <t>ESCARIFICACAO MECANICA,CORTE DE CONCRETO ATE 3,0CM PROFUNDIDADE</t>
  </si>
  <si>
    <t>DEMOLICAO C/MARTELETES PNEUMATICOS ATE 5,0CM DE PROFUNDIDADE</t>
  </si>
  <si>
    <t>ESCARIFICACAO MECANICA,CORTE CONCRETO C/REBARBADORES ELETR ATE 5,0CM</t>
  </si>
  <si>
    <t>LIXAMENTO ELETRICO DE ARMADURA C/ESCOVA CIRCULAR</t>
  </si>
  <si>
    <t>ESCOVAMENTO MANUAL</t>
  </si>
  <si>
    <t>PISTOLA DE AGULHA</t>
  </si>
  <si>
    <t>QUEIMA CONTROLADA</t>
  </si>
  <si>
    <t>APLICACAO DE SOLVENTE EM SUBSTRATO IMPREGNADOS</t>
  </si>
  <si>
    <t>FREZAMENTO MECANICO COM MAQUINA DE DESBASTE</t>
  </si>
  <si>
    <t>LIMPEZA DO SUBSTRATO COM APLICACAO DE JATO DE AGUA FRIA</t>
  </si>
  <si>
    <t>LIMPEZA DO SUBSTRATO COM APLICACAO DE JATO DE AGUA QUENTE</t>
  </si>
  <si>
    <t>LIMPEZA DO SUBSTRATO, LAVAGEM COM SOLUCOES ACIDAS, PISOS E PAREDES</t>
  </si>
  <si>
    <t>LIMPEZA DO SUBSTRATO,LAVAGEM COM SOLUCOES ALCALINAS,PISOS E PAREDES</t>
  </si>
  <si>
    <t>LIMPEZA PARA REMOCAO DE OLEOS E GRAXAS IMPREGNADOS SUPERFICIALMENTE</t>
  </si>
  <si>
    <t>LIMPEZA DO SUBSTRATO, COM JATO DE AR COMPRIMIDO</t>
  </si>
  <si>
    <t>LIMPEZA DO SUBSTRATO COM UTILIZACAO DE SOLVENTE VOLATEIS</t>
  </si>
  <si>
    <t>PREPARACAO DO SUBSTRATOS POR SATURACAO COM AGUA</t>
  </si>
  <si>
    <t>PREPARACAO DO SUBSTRATO POR APICOAMENTO MANUAL DA SUPERFICIE</t>
  </si>
  <si>
    <t>REPAROS SUPERCIFIAIS LOCALIZADOS</t>
  </si>
  <si>
    <t>REPAROS SUP LOC,ARGAM CIM C/POLIMEROS (1,0&lt;ESP&lt;&gt;</t>
  </si>
  <si>
    <t>REPAROS SUPERF LOCALIZ, ARGAM POLIMERICA BASE EPOXI (0,5&lt;ESP&lt;1,5CM)&lt; a&gt;</t>
  </si>
  <si>
    <t>REPAROS SUPERF LOCALIZ,ARGAM POLIMERICA BASE POLIESTER (0,5&lt;ESP&lt;1,5CM)&lt; a&gt;</t>
  </si>
  <si>
    <t>REPAROS SUPERFICIAIS EM GRANDES ÁREAS</t>
  </si>
  <si>
    <t>REPAROS SUPERF ARGAM BASE CIMENTO C/POLIMEROS (1,0&lt;ESP&lt;&gt;</t>
  </si>
  <si>
    <t>REPAROS SUPERF COM ARGAMASSA PROJETADA (1,0&lt;ESP&lt;&gt;</t>
  </si>
  <si>
    <t>REPAROS SUPERF ESTUCAM CORRETIVO,C/ARGAM POLIMERICA ESP&lt;5MM-TIPO E</t>
  </si>
  <si>
    <t>REPAROS SUPERF ESTUCAM CORRETIVO,C/ARGAM POLIMERICA ESP&lt;5MM-TIPO M</t>
  </si>
  <si>
    <t>REPAROS SUPERF ESTUCAM CORRETIVO,C/ARGAM POLIMERICA ESP&lt;5MM-TIPO F</t>
  </si>
  <si>
    <t>REPAROS EM JUNTAS DE MOVIMENTAÇÃO</t>
  </si>
  <si>
    <t>REPAROS DE JUNTAS C/ARGAM BASE CIMENTO C/POLIMEROS-TIPO E</t>
  </si>
  <si>
    <t>REPAROS DE JUNTAS C/ARGAM BASE CIMENTO C/POLIMEROS-TIPO M</t>
  </si>
  <si>
    <t>REPAROS DE JUNTAS C/ARGAM BASE CIMENTO C/ POLIMEROS-TIPO F</t>
  </si>
  <si>
    <t>REPAROS EM JUNTAS, C/ARGAM BASE EPOXI P/ESP ATE 1,5CM</t>
  </si>
  <si>
    <t>JUNTAS C/ELASTOMEROS POLISSULFETOS OU BOR SILICONE SEC TRANSV 2X2CM</t>
  </si>
  <si>
    <t>D3</t>
  </si>
  <si>
    <t>REPAROS PROFUNDOS EM ESTRUTURAS</t>
  </si>
  <si>
    <t>REPAROS PROFUNDOS COM GRAUTE BASE CIMENTO (3,0&lt;ESP&lt;5,0CM)&lt; a&gt;</t>
  </si>
  <si>
    <t>REPAROS PROFUNDOS, MICROCONCRETO COM POLIMEROS (5,0&lt;ESP&lt;30,0CM)&lt; a&gt;</t>
  </si>
  <si>
    <t>REPAROS PROF EXEC C/ARGAM SECA DRY PACK ISENTA RETR(3,0&lt;ESP&lt;10,0CM)&lt; a&gt;</t>
  </si>
  <si>
    <t>FORMAS PARA REPAROS PROFUNDOS (ESP&gt;3,0CM)</t>
  </si>
  <si>
    <t>APLICACAO DE MEMBRANA DE CURA QUIMICA EM REPAROS ESTRUTURAIS</t>
  </si>
  <si>
    <t>REPARO DE ARMADURAS CORROIDAS POR AÇÃO DE CLORETOS</t>
  </si>
  <si>
    <t>PROTECAO DE ARMADURAS COM TINTA DE ALTO TEOR DE ZINCO</t>
  </si>
  <si>
    <t>ARGAMASSA OU CONCRETO DE REPARO COM INIBIDORES DE CORROSAO</t>
  </si>
  <si>
    <t>REFORÇOS ESTRUTURAIS PARA RECONSTITUIÇÃO DA ARMADURA</t>
  </si>
  <si>
    <t>EMENDA POR TRASPASSE, PARA RECONSTITUICAO DA SECAO DA ARMADURA</t>
  </si>
  <si>
    <t>EMENDAS POR SOLDA DE TOPO, P/RECONSTITUICAO DA SECAO DA ARMADURA</t>
  </si>
  <si>
    <t>REPAROS ESTRUTURAIS POR INJEÇÃO DE GRAUTE BASE DE EPOXI</t>
  </si>
  <si>
    <t>REPARO ESTRUTURAL POR INJECAO RESINA BASE EPOXI EM FISSURAS 0,3A9,0MM</t>
  </si>
  <si>
    <t>REPARO ESTRUTURAL C/APLICACAO DE GRAUTE BASE EPOXI TRINCAS DE 10A40MM</t>
  </si>
  <si>
    <t>REPARO ESTR VIGAS LAJES PILARES C/APLIC GRAUTE BASE EPOXI VAOS 35A70MM</t>
  </si>
  <si>
    <t>TRATAMENTO DE MICRO FISSURAS POR SILICATACAO OU FLUORSILICATACAO</t>
  </si>
  <si>
    <t>FUROS EM CONCRETO COM D=1" E PROFUNDIDADE 5CM</t>
  </si>
  <si>
    <t>FUROS EM CONCRETO COM D=1" E PROFUNDIDADE 15CM</t>
  </si>
  <si>
    <t>FUROS EM CONCRETO COM D=1" E PROFUNDIDADE 30CM</t>
  </si>
  <si>
    <t>FUROS EM CONCRETO COM D=3/4" E PROFUNDIDADE 5CM</t>
  </si>
  <si>
    <t>FUROS EM CONCRETO COM D=3/4" E PROFUNDIDADE 15CM</t>
  </si>
  <si>
    <t>FUROS EM CONCRETO COM D=3/4" E PROFUNDIDADE 30CM</t>
  </si>
  <si>
    <t>FUROS EM CONCRETO COM D=1/2" E PROFUNDIDADE 5CM</t>
  </si>
  <si>
    <t>FUROS EM CONCRETO COM D=1/2" E PROFUNDIDADE 15CM</t>
  </si>
  <si>
    <t>FUROS EM CONCRETO COM D=1/2" E PROFUNDIDADE 30CM</t>
  </si>
  <si>
    <t>FUROS EM CONCRETO COM D=3/8" E PROFUNDIDADE 5CM</t>
  </si>
  <si>
    <t>FUROS EM CONCRETO COM D=3/8" E PROFUNDIDADE 15CM</t>
  </si>
  <si>
    <t>FUROS EM CONCRETO COM D=3/8" E PROFUNDIDADE 30CM</t>
  </si>
  <si>
    <t>FORNECIMENTO E COLOCAÇÃO DE CHUMBADORES QUÍMICOS</t>
  </si>
  <si>
    <t>FORNECIMENTO E COLOCACAO DE CHUMBADORES QUIMICOS D=3/4"</t>
  </si>
  <si>
    <t>FORNECIMENTO E COLOCACAO DE CHUMBADORES QUIMICOS D=1/2"</t>
  </si>
  <si>
    <t>FORNECIMENTO E COLOCACAO DE CHUMBADORES QUIMICOS D=3/8"</t>
  </si>
  <si>
    <t>FORNECIMENTO E COLOCAÇÃO DE CHUMBADORES EXPANSÍVEIS</t>
  </si>
  <si>
    <t>FORNECIMENTO E COLOCACAO DE CHUMBADORES EXPANSIVEIS D=3/4"</t>
  </si>
  <si>
    <t>FORNECIMENTO E COLOCACAO DE CHUMBADORES EXPANSIVEIS D=1/2"</t>
  </si>
  <si>
    <t>FORNECIMENTO E COLOCACAO DE CHUMBADORES ESPANSIVEIS D=3/8"</t>
  </si>
  <si>
    <t>PINOS WALSIWA PARA FIXACAO DE ARMADURAS</t>
  </si>
  <si>
    <t>ANCORAGEM DE BARRAS DE ESPERA</t>
  </si>
  <si>
    <t>ANCORAGEM DE BARRAS DE ACO, COM RESINA BASE DE POLIESTER</t>
  </si>
  <si>
    <t>ANCORAGEM DE BARRAS DE ACO COM RESINA BASE EPOXI</t>
  </si>
  <si>
    <t>PREPARAÇÃO DE PONTES DE ADERENCIA</t>
  </si>
  <si>
    <t>PREPARACAO DE PONTE DE ADERENCIA COM ADESIVO ACRILICO</t>
  </si>
  <si>
    <t>PREPARACAO DE PONTE DE ADERENCIA COM ADESIVO BASE EPOXI</t>
  </si>
  <si>
    <t>PREPARAÇÃO E CONSERVAÇÃO DE SUPERFICIE DE CONCRETO / AÇO</t>
  </si>
  <si>
    <t>LIXAMENTO MANUAL</t>
  </si>
  <si>
    <t>LIXAMENTO GROSSO OU FINO COM LIXADEIRA ELETRICA</t>
  </si>
  <si>
    <t>APLICACAO MANUAL DE ESTUQUE E PREPARO DE PASTA</t>
  </si>
  <si>
    <t>POLIMENTO DO ESTUQUE, LIXAMENTO MANUAL</t>
  </si>
  <si>
    <t>APLICACAO PINTURA HIDROFUGANTE UMA DEMAO,SILICONE BASE AGUA</t>
  </si>
  <si>
    <t>APLICACAO PINTURA HIDROFUGANTE EM DUAS DEMAOS,SILICONE BASE SOLVENTE</t>
  </si>
  <si>
    <t>APLICACAO PINTURA HIDROFUGANTE DUAS DEMAOS,SILOXANO OLIGOM BASE SOLVEN</t>
  </si>
  <si>
    <t>APLICACAO PINTURA HIDROFUGANTE DUAS DEMAOS,SILOXANO POLIM BASE SOLVENT</t>
  </si>
  <si>
    <t>APLICACAO PINTURA IMPERM DUAS DEMAOS VERNIZ EPOXI BICOMPONENTE</t>
  </si>
  <si>
    <t>APLICACAO PINTURA IMPERM DUAS DEMAOS VERNIZ POLIUR ALIF BICOMPONENTES</t>
  </si>
  <si>
    <t>APLICACAO PINTURA IMPERM DUAS DEMAOS VERNIZ POLIUR ALIF MONOCOMPONENTE</t>
  </si>
  <si>
    <t>APLICACAO PINTURA INPERM DUAS DEMAOS VERNIZ ACRILICO BASE SOLVENTE</t>
  </si>
  <si>
    <t>ALICACAO PINTURA IMPERM PRIMER DUAS DEMAOS VERNIZ ACRILICO BASE AGUA</t>
  </si>
  <si>
    <t>APLICACAO PINTURA IMPERM DUAS DEMAOS,BORRACHA CLORADA BASE SOLVENTE</t>
  </si>
  <si>
    <t>APLICACAO PINTURA IMPERM DUAS DEMAOS SITEMA DUPLO EPOXI POLIURETANO</t>
  </si>
  <si>
    <t>APLICACAO PINTURA IMPERM DUAS DEMAOS SISTEMA DUPLO SILANO SILOXANO</t>
  </si>
  <si>
    <t>PREPARACAO SUPERF C/ JATEAMENTO ABRAS PAD SA 2X1/2" APLIC FUNDO PRIMER</t>
  </si>
  <si>
    <t>PINTURA INTUMESCENTE P/ REVESTIMENTO CONTRA FOGO EM ESTR METALICA</t>
  </si>
  <si>
    <t>ARGAMASSA PROJETADA P/ REVESTIMENTO CONTRA FOGO EM ESTR METALICA</t>
  </si>
  <si>
    <t>SERVIÇOS ESPECIAIS PARA ESTRUTURA PRÉ-MOLDADAS</t>
  </si>
  <si>
    <t>APARELHO DE APOIO DE NEOPRENE FRETADO</t>
  </si>
  <si>
    <t>DEMOLIÇÃO - SERVIÇOS COMPLEMENTARES</t>
  </si>
  <si>
    <t>DE TUBO DE F.G. P/ SUST DE TELA ALAMBR INCL BASE FIXACAO</t>
  </si>
  <si>
    <t>DE TELA DE ARAME GALVANIZADO</t>
  </si>
  <si>
    <t>DEMOLICAO DE PISO DE CONCRETO SIMPLES CAPEADO</t>
  </si>
  <si>
    <t>DEMOLICAO DE PISO DE CONCRETO COM RETRO ESCAVADEIRA</t>
  </si>
  <si>
    <t>CONSERVAÇÃO - SERVIÇOS COMPLEMENTARES</t>
  </si>
  <si>
    <t>FC-05 MURO DE FECHO DE TIJOLOS DE BARRO MACICO S/REVEST-FUND DIRETA</t>
  </si>
  <si>
    <t>FC-05 MURO DE FECHO DE TIJOLOS DE BARRO MACICO S/REVEST-FUND BROCA</t>
  </si>
  <si>
    <t>FERRO TRABALHADO (GRADIL)</t>
  </si>
  <si>
    <t>PINGADEIRA PARA MUROS DE ALVENARIA</t>
  </si>
  <si>
    <t>QUADRA DE ESPORTES - PISO DE CONCRETO NAO ARMADO</t>
  </si>
  <si>
    <t>QUADRA DE ESPORTES - PISO DE CONCRETO ARMADO</t>
  </si>
  <si>
    <t>TELA DE ARAME GALVANIZADO N.12 MALHA 2"</t>
  </si>
  <si>
    <t>TUBO DE F.G. 1 1/4" P/ SUSTENT TELA DE ALAMBRADO EXCL BASE-TRAVAMENTO</t>
  </si>
  <si>
    <t>TUBO DE F.G. 2" P/ SUSTENT TELA DE ALAMBRADO EXCL BASE-MONTANTE</t>
  </si>
  <si>
    <t>PISO DE CONCRETO DESEMPENADO C/ REQUADRO 1.80CM E=6CM</t>
  </si>
  <si>
    <t>TRELICA METALICA PARA TABELA DE BASQUETES</t>
  </si>
  <si>
    <t>TABELA DE MADEIRA PARA BASQUETE</t>
  </si>
  <si>
    <t>CESTO PARA TABELA DE BASQUETE</t>
  </si>
  <si>
    <t>SUMIDOURO - COROAMENTO, INCLUSIVE ESCAVACAO</t>
  </si>
  <si>
    <t>SUMIDOURO - ESCAVACAO</t>
  </si>
  <si>
    <t>SUMIDOURO - BRITA</t>
  </si>
  <si>
    <t>LIMPEZA DE CAIXA D'AGUA ATE 1000 LITROS</t>
  </si>
  <si>
    <t>LIMPEZA DE CAIXAS D'AGUA ATE 10.000 LITROS</t>
  </si>
  <si>
    <t>LIMPEZA DE CAIXAS D'AGUA ACIMA DE 10.000 LITROS</t>
  </si>
  <si>
    <t>LIMPEZA DE CAIXILHOS METALICOS</t>
  </si>
  <si>
    <t>LIMPEZA DE CAIXA DE INSPECAO</t>
  </si>
  <si>
    <t>LIMPEZA DE FOSSA SEPTICA</t>
  </si>
  <si>
    <t>LIMPEZA DE SUMIDOURO POR VIAGEM DE 7 M3</t>
  </si>
  <si>
    <t>VG</t>
  </si>
  <si>
    <t>RETIRADA DE ENTULHO</t>
  </si>
  <si>
    <t>SERVICOS DE SERVICOS COMPLEMENTARES</t>
  </si>
  <si>
    <t>POÇO TUBULAR PROFUNDO : PERFURAÇÃO</t>
  </si>
  <si>
    <t xml:space="preserve">TRANSP ATE 50 KM E INST DO EQUIP DE PERFURACAO </t>
  </si>
  <si>
    <t>TRANSP ADICIONAL POR KM DO SERVICO 168501</t>
  </si>
  <si>
    <t>PERFURACAO EM ALUVIAO DE 18"-450 MM</t>
  </si>
  <si>
    <t>PERFURACAO EM ALUVIAO DE 16"-400 MM</t>
  </si>
  <si>
    <t>PERFURACAO EM ALUVIAO DE 14"-350 MM</t>
  </si>
  <si>
    <t>PERFURACAO EM ALUVIAO DE 12"-300 MM</t>
  </si>
  <si>
    <t>PERFURACAO EM ALUVIAO DE 10"-250 MM</t>
  </si>
  <si>
    <t>PERFURACAO EM ROCHA ALTERADA D= 12'-300 MM</t>
  </si>
  <si>
    <t>PERFURACAO EM ROCHA ALTERADA D= 10'-250 MM</t>
  </si>
  <si>
    <t>PERFURACAO EM ROCHA ALTERADA D= 8'-200 MM</t>
  </si>
  <si>
    <t>PERFURACAO EM ROCHA ALTERADA DN 350MM (14")</t>
  </si>
  <si>
    <t>PERFURACAO EM ROCHA SA D= 10"-250 MM</t>
  </si>
  <si>
    <t>PERFURACAO EM ROCHA SA D= 8"-200 MM</t>
  </si>
  <si>
    <t>PERFURACAO EM ROCHA SA D= 6"-150 MM</t>
  </si>
  <si>
    <t>TUBO DE REVEST DE BOCA DE CHAPA DE ACO D= 16"X3/16"</t>
  </si>
  <si>
    <t>TUBO DE REVEST DE BOCA DE CHAPA DE ACO D= 14"X3/16"</t>
  </si>
  <si>
    <t>TUBO DE REVEST DE BOCA DE CHAPA DE ACO D= 12"X3/16"</t>
  </si>
  <si>
    <t>REVEST INTERNO DIM 2440 PRETO D= 8"-200 MM</t>
  </si>
  <si>
    <t>REVEST INTERNO DIM 2440 PRETO D= 6"-150 MM</t>
  </si>
  <si>
    <t>FILTRO TIPO NOLD GALV D= 8"-200 MM</t>
  </si>
  <si>
    <t>FILTRO TIPO NOLD GALV D= 6"-150 MM</t>
  </si>
  <si>
    <t>PRE-FILTRO DE PEDREGULHO LAVADO E SELECIONADO</t>
  </si>
  <si>
    <t>CIMENTACAO ENTRE PERFURACAO DE MAIOR "D" E O REVEST DE BOCA</t>
  </si>
  <si>
    <t>LIMPEZA E DESENV DO POCO C/ COMPRESSOR DE AR E/OU PISTAO VALV</t>
  </si>
  <si>
    <t xml:space="preserve">H </t>
  </si>
  <si>
    <t>ENSAIO DE VAZAO COM BOMBA SUBMERSA</t>
  </si>
  <si>
    <t>ENSAIO DE VAZAO COM COMPRESSOR DE AR</t>
  </si>
  <si>
    <t>ENSAIO DE VAZAO COM BOMBA DE PISTAO</t>
  </si>
  <si>
    <t xml:space="preserve">TRANSP ATE 50 KM E INST EQUIP DE BOMBEAMENTO </t>
  </si>
  <si>
    <t>TRANSP ADICIONAL POR KM DO SERVICO 168541</t>
  </si>
  <si>
    <t>ANALISE FISICO-QUIMICA DA AGUA</t>
  </si>
  <si>
    <t>ANALISE BACTERIOLOGICA</t>
  </si>
  <si>
    <t>DESINFECCAO</t>
  </si>
  <si>
    <t>LAJE DE PROTECAO DE 2,00X2,00 M</t>
  </si>
  <si>
    <t>ABRIGO DE POCO EM ALVENARIA DE 1,00X1,00X0,60 M C/ TAMPA METALICA</t>
  </si>
  <si>
    <t>DOCUMENTACAO TECNICA FINAL</t>
  </si>
  <si>
    <t>REVEST. INT. TUBO LISO DE PVC GEOMECANICO D=6"</t>
  </si>
  <si>
    <t>REVEST. INT. TUBO LISO DE PVC GEOMECANICO D=8"</t>
  </si>
  <si>
    <t>REVEST. INT. TUBO LISO DE PVC REFORCADO GEOMECANICO D=6"</t>
  </si>
  <si>
    <t>REVEST. INT. TUBO LISO DE PVC REFORCADO GEOMECANICO D=8"</t>
  </si>
  <si>
    <t>FILTRO TIPO STANDARD PVC AB 75MM D=6"</t>
  </si>
  <si>
    <t>FILTRO TIPO STANDARD PVC AB 75MM D=8"</t>
  </si>
  <si>
    <t>FILTRO TIPO STANDARD PVC REFORCADO AB 75MM D=6"</t>
  </si>
  <si>
    <t>FILTRO TIPO STANDARD PVC REFORCADO AB 75MM D=8"</t>
  </si>
  <si>
    <t>CJ MOTOR BOMBA SUBMERSO 1HP EXTR 700 A 2000 L/H A M 120 A 80MCA</t>
  </si>
  <si>
    <t>CJ MOTOR BOMBA SUBMERSO 1,5HP EXTR 1700 A 2600 L/H A M 140 A 80 MCA</t>
  </si>
  <si>
    <t>CJ MOTOR BOMBA SUBMERSO 2HP EXTR 2200 A 4000 L/H A M 160 A 100MCA</t>
  </si>
  <si>
    <t>CJ MOTOR BOMBA SUBMERSO 3HP EXTR 2600 A 4900 L/H A M 160 A 100MCA</t>
  </si>
  <si>
    <t>CJ MOTOR BOMBA SUBMERSO 5HP EXTR 3000 A 5700 L/H A M 180 A 100MCA</t>
  </si>
  <si>
    <t>TUBO DE REVEST. DE BOCA DE CHAPA DE ACO D=10"X1/4"</t>
  </si>
  <si>
    <t>TUBO DE REVEST. DE BOCA DE CHAPA DE ACO D=12"X1/4"</t>
  </si>
  <si>
    <t>TUBO DE REVEST. DE BOCA DE CHAPA DE ACO D=14"X1/4"</t>
  </si>
  <si>
    <t>TUBO DE REVEST. DE BOCA DE CHAPA DE ACO D=16"X1/4"</t>
  </si>
  <si>
    <t>QUADRO DE COMANDO CJ MOTOR BOMBA P/ MOTOR DE 1HP 220V BIFAS</t>
  </si>
  <si>
    <t>QUADRO COMANDO CJ MOTOR BOMBA SUB P/MOTOR 1,5 A 2HP 220V BIFASICO</t>
  </si>
  <si>
    <t>QUADRO DE COMAN CJ MOTOR BOMBA SUB P/ MOTOR DE 3A5HP 220V TRIFASICO</t>
  </si>
  <si>
    <t>CABO DE COBRE ATE 600V - 3X14AWG</t>
  </si>
  <si>
    <t>CABO DE COBRE ATE 600V - 3X12AWG</t>
  </si>
  <si>
    <t>CABO DE COBRE ATE 600V - 3X10AWG</t>
  </si>
  <si>
    <t>CABO DE COBRE ATE 600V - 3X8AWG</t>
  </si>
  <si>
    <t>CABO DE COBRE ATE 600V - 3X6AWG</t>
  </si>
  <si>
    <t>CABO DE COBRE ATE 600V - 3X4AWG</t>
  </si>
  <si>
    <t>ELETRODO DE NIVEL CONTRA TRABALHO A SECO</t>
  </si>
  <si>
    <t>Objeto:</t>
  </si>
  <si>
    <t>EMIP ARACY D'ANGELO</t>
  </si>
  <si>
    <t>MANUTENÇÃO E CONSERVAÇÃO</t>
  </si>
  <si>
    <t>Rua Tiradentes, 1555 - VILA DO TANQUE - SÃO BERNARDO DO CAMPO - SP</t>
  </si>
  <si>
    <t>ATA RP.CLM.100.1 Nº 001/2009</t>
  </si>
  <si>
    <t>PLANILHA ORÇAMENTÁRIA</t>
  </si>
  <si>
    <t>Código</t>
  </si>
  <si>
    <t>Descrição dos Serviços</t>
  </si>
  <si>
    <t>Unid.</t>
  </si>
  <si>
    <t>Quant.</t>
  </si>
  <si>
    <t>Unit.</t>
  </si>
  <si>
    <t>Preço Total</t>
  </si>
  <si>
    <t>REFORMA CIVIL</t>
  </si>
  <si>
    <t>SUBTOTAL</t>
  </si>
  <si>
    <t>P0 = (SUBTOTAL / 23%)</t>
  </si>
  <si>
    <t>TAXA FINAL</t>
  </si>
  <si>
    <t>VALOR TOTAL</t>
  </si>
  <si>
    <t>PRAZO DA OBRA: 30 (trinta) dias</t>
  </si>
  <si>
    <t xml:space="preserve">             PREFEITURA DO MUNICIPIO DE SÃO BERNARDO DO CAMPO</t>
  </si>
  <si>
    <t xml:space="preserve">                 MUSEU DO TRABALHO E DO TRABALHADOR</t>
  </si>
  <si>
    <t xml:space="preserve">                               CRONOGRAMA FISICO FINANCEIRO</t>
  </si>
  <si>
    <t>data base</t>
  </si>
  <si>
    <t>cod PMSP</t>
  </si>
  <si>
    <t>DESCRIÇÃO DOS SERVIÇOS</t>
  </si>
  <si>
    <t>PREÇO TOTAL
ATUAL</t>
  </si>
  <si>
    <t>ORIGEM DO PREÇO</t>
  </si>
  <si>
    <t>CÓDIGO</t>
  </si>
  <si>
    <t>SERVIÇOS PRELIMINARES</t>
  </si>
  <si>
    <t>ADMINISTRAÇÃO</t>
  </si>
  <si>
    <t>Coordenador de Obra - Engenheiro Senior</t>
  </si>
  <si>
    <t>h</t>
  </si>
  <si>
    <t>EDIF</t>
  </si>
  <si>
    <t>1.1.2</t>
  </si>
  <si>
    <t>Engenheiro de Produção</t>
  </si>
  <si>
    <t>INFRA</t>
  </si>
  <si>
    <t>1.1.3</t>
  </si>
  <si>
    <t>Engenheiro de Planejamento</t>
  </si>
  <si>
    <t>1.1.4</t>
  </si>
  <si>
    <t>Técnico de Segurança do trabalho</t>
  </si>
  <si>
    <t>1.1.5</t>
  </si>
  <si>
    <t xml:space="preserve">Técnico de Medição </t>
  </si>
  <si>
    <t>1.1.6</t>
  </si>
  <si>
    <t>Técnico de Qualidade</t>
  </si>
  <si>
    <t>1.1.7</t>
  </si>
  <si>
    <t>Mestre de Obras</t>
  </si>
  <si>
    <t>BDI?</t>
  </si>
  <si>
    <t>TOTAL DO ITEM</t>
  </si>
  <si>
    <t>CANTEIRO DE OBRAS</t>
  </si>
  <si>
    <t>Barracão de obra para alojamento/escritório, piso em pinho 3ª, paredes em compensado 10mm, cobertura em telha amianto 6mm, incluso instalações elétricas e esquadrias</t>
  </si>
  <si>
    <t>sinapi</t>
  </si>
  <si>
    <t>73805/001</t>
  </si>
  <si>
    <t>Barracão para depósito em tábuas de madeira, cobertura em fibrocimento 4 mm, incluso piso argamassa traço 1:6 (cimento e areia)</t>
  </si>
  <si>
    <t>74210/001</t>
  </si>
  <si>
    <t xml:space="preserve">Instal/ligação provisória elétrica baixa tensão p/cant obra - chave 100A carga 3KWH,20cv </t>
  </si>
  <si>
    <t>un</t>
  </si>
  <si>
    <t>73960/001</t>
  </si>
  <si>
    <t>1.2.4</t>
  </si>
  <si>
    <t>Tapume de chapa de madeira compensada (6mm) - aproveitamento 2x - pintura a cal</t>
  </si>
  <si>
    <t>74220/001</t>
  </si>
  <si>
    <t>SERVIÇOS INICIAIS</t>
  </si>
  <si>
    <t>DESENVOLVIMENTO DE PRANCHA TÉCNICA EM FORMATO A0</t>
  </si>
  <si>
    <t>DESENVOLVIMENTO DE PRANCHA TÉCNICA EM FORMATO A1</t>
  </si>
  <si>
    <t>AS BUILT FORMATO A0</t>
  </si>
  <si>
    <t>TAPUME METÁLICO COM TELHA METÁLICA, SEM PINTURA, TRAPEZOIDAL 40 ESP=0,43MM, COLUNAS, BASES E PARAFUSOS</t>
  </si>
  <si>
    <t xml:space="preserve">Ligações provisórias de água </t>
  </si>
  <si>
    <t>cj</t>
  </si>
  <si>
    <t>Ligações provisórias de luz e força</t>
  </si>
  <si>
    <t>SINAPI</t>
  </si>
  <si>
    <t>PARECER TÉCNICO DE FUNDAÇÃO PARA ÁREA CONSTRUÍDA DE 5001 À 10000M2</t>
  </si>
  <si>
    <t>gl</t>
  </si>
  <si>
    <t>ATO (Acompanhamento técnico de arquitetura)</t>
  </si>
  <si>
    <t>Coordenador geral</t>
  </si>
  <si>
    <t>hs</t>
  </si>
  <si>
    <t>2.6.2</t>
  </si>
  <si>
    <t>Profissional senior</t>
  </si>
  <si>
    <t>ATO (Consultoria Estrutural)</t>
  </si>
  <si>
    <t>2.7.2</t>
  </si>
  <si>
    <t>2.8</t>
  </si>
  <si>
    <t>DESPESAS CORRENTES</t>
  </si>
  <si>
    <t>2.8.1</t>
  </si>
  <si>
    <t>SERVIÇO DE PLOTAGEM EM PAPEL SULFITE, TAMANHO A0, COLORIDA</t>
  </si>
  <si>
    <t>2.8.2</t>
  </si>
  <si>
    <t>CONTROLE TECNOLÓGICO DE CONCRETO - MOBILIZAÇÃO PARA MOLDAGEM E/OU COLETA DOS CORPOS DE PROVA DE CONCRETO</t>
  </si>
  <si>
    <t>VIAGEM</t>
  </si>
  <si>
    <t>2.8.3</t>
  </si>
  <si>
    <t>CONTROLE TECNOLÓGICO DE CONCRETO MOLDAGEM DE CORPO DE PROVA</t>
  </si>
  <si>
    <t>PERÍODO</t>
  </si>
  <si>
    <t>2.8.4</t>
  </si>
  <si>
    <t>CONCRETO - ENSAIOS DE RUPTURA A COMPRESSÃO (CORPOS DE PROVA)</t>
  </si>
  <si>
    <t>2.8.5</t>
  </si>
  <si>
    <t>AÇO - ENSAIOS DE TRAÇÃO EM BARRAS</t>
  </si>
  <si>
    <t>2.8.6</t>
  </si>
  <si>
    <t>CONTROLE TECNOLÓGICO DE CONCRETO - ENSAIO DE ESCLEROMETRIA EM 10 PONTOS COM 16 TIROS POR PONTO</t>
  </si>
  <si>
    <t>2.8.7</t>
  </si>
  <si>
    <t>LOCACAO CONVENCIONAL DE OBRA, ATRAVÉS DE GABARITO DE TABUAS CORRIDAS PONTALETEADAS, SEM REAPROVEITAMENTO</t>
  </si>
  <si>
    <t>74077/001</t>
  </si>
  <si>
    <t>2.8.8</t>
  </si>
  <si>
    <t>DESENVOLVIMENTO DE PRANCHA DE DESENHO/ DETALHAMENTO FORMATO A0</t>
  </si>
  <si>
    <t>2.8.9</t>
  </si>
  <si>
    <t>DESENVOLVIMENTO DE PRANCHA DE DESENHO TÉCNICO/ DETALHAMENTO FORMATO A1</t>
  </si>
  <si>
    <t>2.8.10</t>
  </si>
  <si>
    <t>Retirada de entulho durante a obra</t>
  </si>
  <si>
    <t>ms</t>
  </si>
  <si>
    <t xml:space="preserve">TERRAPLENAGEM </t>
  </si>
  <si>
    <t>TERRAPENAGEM</t>
  </si>
  <si>
    <t>LIMPEZA MANUAL GERAL INCLUSIVE REMOÇÃO DE COBERTURA VEGETAL - TRONCO ATÉ 10CM - SEM TRANSPORTE</t>
  </si>
  <si>
    <t>73948/016</t>
  </si>
  <si>
    <t>3.1.2</t>
  </si>
  <si>
    <t>CARGA MANUAL E REMOÇÃO DE ENTULHO, INCLUSIVE TRANSPORTE ATÉ 1 KM</t>
  </si>
  <si>
    <t>3.1.3</t>
  </si>
  <si>
    <t>CORTE E ESPALHAMENTO DENTRO DA OBRA</t>
  </si>
  <si>
    <t>3.1.4</t>
  </si>
  <si>
    <t>TRANSPORTE DE TERRA POR CAMINHÃO BASCULANTE, A PARTIR DE 1KM   (20km)</t>
  </si>
  <si>
    <t>m3xkm</t>
  </si>
  <si>
    <t>Despesas com bota-fora - material inerte</t>
  </si>
  <si>
    <t>Estudo PMSBC</t>
  </si>
  <si>
    <t>FUNDAÇÕES PROFUNDAS</t>
  </si>
  <si>
    <t>ESTACA ESCAVADA HÉLICE CONTÍNUA - DIÂMETRO 35CM</t>
  </si>
  <si>
    <t>ml</t>
  </si>
  <si>
    <t>ESTACA ESCAVADA HÉLICE CONTÍNUA - DIÂMETRO 50CM</t>
  </si>
  <si>
    <t>ESTACA ESCAVADA HÉLICE CONTÍNUA - DIÂMETRO 60CM</t>
  </si>
  <si>
    <t>4.1.7</t>
  </si>
  <si>
    <t>CORTE E REPARO DE CABEÇA DE ESTACA</t>
  </si>
  <si>
    <t>um</t>
  </si>
  <si>
    <t>4.1.8</t>
  </si>
  <si>
    <t>FUNDAÇÕES SUPERFICIAIS</t>
  </si>
  <si>
    <t>Blocos e baldrames prédio</t>
  </si>
  <si>
    <t>ESCAVAÇÃO MANUAL COM PROFUNDIDADE SUPERIOR A 1,50M</t>
  </si>
  <si>
    <t>APILOAMENTO DO FUNDO DE VALAS, PARA SIMPLES REGULARIZAÇÃO</t>
  </si>
  <si>
    <t>LASTRO DE CONCRETO - 150KG CIM/M3</t>
  </si>
  <si>
    <t>FORMA COMUM DE TÁBUAS DE PINUS - NÃO RECUPERÁVEL</t>
  </si>
  <si>
    <t>ARMADURA EM AÇO CA-50</t>
  </si>
  <si>
    <t>kg</t>
  </si>
  <si>
    <t>74254/001</t>
  </si>
  <si>
    <t>CONCRETO FCK=30MPA - USINADO</t>
  </si>
  <si>
    <t>74138/004</t>
  </si>
  <si>
    <t>REATERRO DE VALAS, INCLUSIVE APILOAMENTO</t>
  </si>
  <si>
    <t>73964/004</t>
  </si>
  <si>
    <t xml:space="preserve">SUPERESTRUTURA </t>
  </si>
  <si>
    <t>Estrutura moldada in loco para prédio</t>
  </si>
  <si>
    <t>FORMA APARENTE EM CHAPA PLASTIFICADA - 12MM</t>
  </si>
  <si>
    <t xml:space="preserve">Aço CP - 190 para protensão e serviços de protensão </t>
  </si>
  <si>
    <t>Concreto arquitetônico, com pigmentação para coloração, Fck 30 bombeado - incluindo bombeamento</t>
  </si>
  <si>
    <t>Cotação</t>
  </si>
  <si>
    <t>Enchimento com EPS</t>
  </si>
  <si>
    <t>CIMBRAMENTO PARA ALTURAS ENTRE 3,01M E 7,00M</t>
  </si>
  <si>
    <t>ALVENARIAS E DIVISÓRIAS</t>
  </si>
  <si>
    <t xml:space="preserve">Alvenarias </t>
  </si>
  <si>
    <t>BLOCOS VAZADOS DE CONCRETO ESTRUTURAL - 14CM - 14MPA</t>
  </si>
  <si>
    <t>BLOCOS VAZADOS DE CONCRETO - 09CM</t>
  </si>
  <si>
    <t>73998/001</t>
  </si>
  <si>
    <t>7.1.4</t>
  </si>
  <si>
    <t>TIJOLOS MACIÇOS COMUNS - ESPELHO</t>
  </si>
  <si>
    <t>7.1.5</t>
  </si>
  <si>
    <t>VERGAS, CINTAS E PILARETES DE CONCRETO</t>
  </si>
  <si>
    <t xml:space="preserve">Divisórias </t>
  </si>
  <si>
    <t>Divisória para sanitário - em granito</t>
  </si>
  <si>
    <t>TCPO</t>
  </si>
  <si>
    <t>10640.8.3.1</t>
  </si>
  <si>
    <t>Divisória em vidro para salas</t>
  </si>
  <si>
    <t>Parede em gesso acartonado</t>
  </si>
  <si>
    <t>04.03.030</t>
  </si>
  <si>
    <t>IMPERMEABILIZAÇÃO</t>
  </si>
  <si>
    <t>REGULARIZAÇÃO COM ARGAMASSA DE CIMENTO E AREIA - TRAÇO 1:3, ESPESSURA MÉDIA 30MM</t>
  </si>
  <si>
    <t>73920/002</t>
  </si>
  <si>
    <t>IMPERMEABILIZAÇÃO A BASE DE EMULSÃO ASFÁLTICA ESTRUTURADA COM TECIDO DE POLIÉSTER - 3 CAMADAS DE ESTRUTURANTE</t>
  </si>
  <si>
    <t>ISOLAMENTO TÉRMICO COM POLIESTIRENO EXPANDIDO - ESPESSURA 50MM</t>
  </si>
  <si>
    <t>MANTA GEOTÊXTIL</t>
  </si>
  <si>
    <t>FORNECIMENTO E APLICAÇÃO  DE PEDRA N.2</t>
  </si>
  <si>
    <t>CIMENTO IMPERMEABILIZANTE DE CRISTALIZAÇÃO - ESTRUTUTURA ENTERRADA (paredes do sub-solo)</t>
  </si>
  <si>
    <t>73929/003</t>
  </si>
  <si>
    <t xml:space="preserve">ESQUADRIAS DE MADEIRA </t>
  </si>
  <si>
    <t>PM.18 - PORTA LISA COMUM/ ENCABEÇADA REVESTIDA COM LAMINADO MELAMÍNICO - 92X210CM - INCLUSO DOBRADIÇA EM AÇO LAMINADO, CROMADA - 3 1/2"X3"</t>
  </si>
  <si>
    <t>EM.01 - BATENTE DE MADEIRA (14CM) - PARA PORTA DE 1 FOLHA, SEM BANDEIRA</t>
  </si>
  <si>
    <t>PM.51 - PORTA DE MADEIRA LISA COMUM/ ENCABEÇADA, REVESTIDA COM LAMINADO MELAMÍNICO - 2 FOLHAS 144X210CM</t>
  </si>
  <si>
    <t>EM.02 - BATENTE DE MADEIRA (25CM) - PARA PORTA DE 2 FOLHAS, SEM BANDEIRA</t>
  </si>
  <si>
    <t>FECHADURA DE EMBUTIR COMPLETA, PARA PORTAS INTERNAS, PADRAO DE ACABAMENTO MÉDIO</t>
  </si>
  <si>
    <t>74070/004</t>
  </si>
  <si>
    <t>ESQUADRIAS DE ALUMINIO E FERRO</t>
  </si>
  <si>
    <t>Estrutura e vidros</t>
  </si>
  <si>
    <t>Caixilho tipo estrutural para fachada sul e norte</t>
  </si>
  <si>
    <t>COTAÇÃO</t>
  </si>
  <si>
    <t>10.1.2</t>
  </si>
  <si>
    <t>Automomatização das portas</t>
  </si>
  <si>
    <t>10.1.3</t>
  </si>
  <si>
    <t>Caixilho tipo estrutural para fachada leste oeste</t>
  </si>
  <si>
    <t>10.1.4</t>
  </si>
  <si>
    <t>Caixilho tipo estrutural para fachada leste e oeste</t>
  </si>
  <si>
    <t>10.1.5</t>
  </si>
  <si>
    <t>Caixilho ALUMINIO tipo JA 10 com vidro 14mm - MEDINDO 1,20X1,20m</t>
  </si>
  <si>
    <t>10.1.6</t>
  </si>
  <si>
    <t>Grelha 11,48x2.00 m  - FERRO FUNDIDO TIPO FUMINAS</t>
  </si>
  <si>
    <t>10.1.7</t>
  </si>
  <si>
    <t>DP.05 - CORRIMÃO EM TUBO GALVANIZADO COM GUARDA CORPO</t>
  </si>
  <si>
    <t>10.1.8</t>
  </si>
  <si>
    <t>Guarda corpo em vidro e aço inox</t>
  </si>
  <si>
    <t>10.1.9</t>
  </si>
  <si>
    <t>Grelha em aço inox para cobertura - GRELHA TIPO RALO HEMISFÉRICO RAIO 20cm</t>
  </si>
  <si>
    <t>Esquadria de ferro</t>
  </si>
  <si>
    <t>10.2.1</t>
  </si>
  <si>
    <t>PORTA CORTA-FOGO P90 - 1,05 X 2,10M, COM DOBRADIÇAS E MOLAS SEM FERRAGEM</t>
  </si>
  <si>
    <t>10.2.2</t>
  </si>
  <si>
    <t>Porta metálica tipo PF 02 - ESTRUTUTURA METÁLICA TUBULAR COM CHAPA METALICA DE AMBOS OS LADOS
PINTURA ELETROSTÁTICA RAL 9007</t>
  </si>
  <si>
    <t>10.2.3</t>
  </si>
  <si>
    <t>Porta metálica tipo PF 001 - ESTRUTUTURA METÁLICA TUBULAR COM CHAPA METALICA DE AMBOS OS LADOS
PINTURA ELETROSTÁTICA RAL 9007</t>
  </si>
  <si>
    <t>10.2.4</t>
  </si>
  <si>
    <t>Gradil de ferro galvanizado eletrofundido tipo metalgrade ou similar</t>
  </si>
  <si>
    <t>REVESTIMENTO DE PAREDES</t>
  </si>
  <si>
    <t>CHAPISCO COMUM - ARGAMASSA DE CIMENTO E AREIA 1:3</t>
  </si>
  <si>
    <t>73928/002</t>
  </si>
  <si>
    <t>EMBOÇO INTERNO - ARGAMASSA MISTA DE CIMENTO, CAL E AREIA 1:4/12</t>
  </si>
  <si>
    <t>REBOCO INTERNO - ARGAMASSA PRÉ-FABRICADA</t>
  </si>
  <si>
    <t>74001/001</t>
  </si>
  <si>
    <t>Pastilha tipo Jatobá</t>
  </si>
  <si>
    <t>11.4</t>
  </si>
  <si>
    <t>Chapa de aço - CHAPA DE AÇO DE 4MM AFIXADA EM PERFIL L DE 2" AFIXADOS À ALVENARIA ACAMENTO PINTURA ESMALTE SINTÉTICO</t>
  </si>
  <si>
    <t>FORRO DE GESSO ACARTONADO TIPO FGE (FORNECIMENTO E INSTALAÇÃO)</t>
  </si>
  <si>
    <t>Forro acústico - ESPECIAL EM TECIDO ARTÍSTICO EM TELA COM ABSORVENTE ACÚSTICO TIPO LÃ DE ROCHA OU LÃ DE VIDRO DE 50mm</t>
  </si>
  <si>
    <t>PISOS E RODAPÉS</t>
  </si>
  <si>
    <t>Interno</t>
  </si>
  <si>
    <t>PISO ESTRUTURAL EM CONCRETO ARMADO - 7CM</t>
  </si>
  <si>
    <t>GRANILITE - ESPESSURA 8MM</t>
  </si>
  <si>
    <t>PISO EM GRANITO CINZA MAUA, PLACAS - ESPESSURA 2CM</t>
  </si>
  <si>
    <t>13.1.4</t>
  </si>
  <si>
    <t>PISO EM CERAMICA ESMALTADA 1A PEI-V, PADRAO MEDIO, ASSENTADA COM ARGAMASSA COLANTE</t>
  </si>
  <si>
    <t>73829/001</t>
  </si>
  <si>
    <t>13.1.5</t>
  </si>
  <si>
    <t>DEGRAUS DE GRANILITE</t>
  </si>
  <si>
    <t>13.1.6</t>
  </si>
  <si>
    <t>Degrau em granito</t>
  </si>
  <si>
    <t>09635.8.3.1</t>
  </si>
  <si>
    <t>13.1.7</t>
  </si>
  <si>
    <t>PISO PODOTÁTIL COLORIDO, ALERTA OU DIRECIONAL VIBRO-PRENSADO - 3CM - SELADO</t>
  </si>
  <si>
    <t>Externo</t>
  </si>
  <si>
    <t>PARALELEPÍPEDO SOBRE BASE DE AREIA (IE-23)</t>
  </si>
  <si>
    <t>PASSEIO DE CONCRETO ARMADO, FCK=30MPA, INCLUINDO PREPARO DA CAIXA E LASTRO DE BRITA</t>
  </si>
  <si>
    <t>73892/002</t>
  </si>
  <si>
    <t>GUIA DE CONCRETO RETA OU CURVA, TIPO PMSP</t>
  </si>
  <si>
    <t>74223/001</t>
  </si>
  <si>
    <t>13.2.5</t>
  </si>
  <si>
    <t>SARJETA DE CONCRETO, INCLUSIVE PREPARO DE CAIXA</t>
  </si>
  <si>
    <t>INSTALAÇÕES HIDRÁULICAS</t>
  </si>
  <si>
    <t>INSTALAÇÕES DE ÁGUA FRIA</t>
  </si>
  <si>
    <t>Tubo de PVC rígido, marrom, com ponta e bolsa para juntas soldáveis,  classe 15, pressão de serviço 7,5 kgf/cm2, Ref. TIGRE ou equivalente: - INCLUINDO CONEXÕES</t>
  </si>
  <si>
    <t>14.1.1.1</t>
  </si>
  <si>
    <t xml:space="preserve">Ø75 mm </t>
  </si>
  <si>
    <t>75030/006</t>
  </si>
  <si>
    <t>14.1.1.2</t>
  </si>
  <si>
    <t xml:space="preserve">Ø85 mm </t>
  </si>
  <si>
    <t>75030/007</t>
  </si>
  <si>
    <t>14.1.2.6</t>
  </si>
  <si>
    <t xml:space="preserve">Reservatório Ø 1,85 x h 1,12m </t>
  </si>
  <si>
    <t>pç</t>
  </si>
  <si>
    <t>14.1.2.7</t>
  </si>
  <si>
    <t>Bomba de recalque</t>
  </si>
  <si>
    <t>edif</t>
  </si>
  <si>
    <t>Vazão= 4,00m3/h</t>
  </si>
  <si>
    <t>Hman= 26mca</t>
  </si>
  <si>
    <t>Pot.: 3cv</t>
  </si>
  <si>
    <t>Rotação: 3500rpm</t>
  </si>
  <si>
    <t>Espelho d'água sobre cobertura</t>
  </si>
  <si>
    <t>14.1.2.1</t>
  </si>
  <si>
    <t>Tubo de PVC rígido, marrom, com ponta e bolsa para juntas soldáveis,  classe 15, pressão de serviço 7,5 kgf/cm2, Ref. TIGRE ou equivalente:- INCLUINDO CONEXÕES</t>
  </si>
  <si>
    <t xml:space="preserve">Ø60 mm </t>
  </si>
  <si>
    <t>75030/005</t>
  </si>
  <si>
    <t>Ø75 mm</t>
  </si>
  <si>
    <t>Ø85 mm</t>
  </si>
  <si>
    <t>14.1.2.4</t>
  </si>
  <si>
    <t>Registro de gaveta com canopla cromada, Ref. DECA 1509 ou equivalente:</t>
  </si>
  <si>
    <t>Ø2"</t>
  </si>
  <si>
    <t>74181/001</t>
  </si>
  <si>
    <t>Ø3"</t>
  </si>
  <si>
    <t>74179/001</t>
  </si>
  <si>
    <t>14.1.2.5</t>
  </si>
  <si>
    <t>Filtro de areia para bomba de recirculação</t>
  </si>
  <si>
    <t>Bomba de recirculação</t>
  </si>
  <si>
    <t>Vazão=67m³ /h</t>
  </si>
  <si>
    <t>Hman= 16mca</t>
  </si>
  <si>
    <t>Pot.: 5 cv</t>
  </si>
  <si>
    <t>Reservatório de fibra Ø2,50xh1,65</t>
  </si>
  <si>
    <t>Vol. Consumo = 16000L</t>
  </si>
  <si>
    <t>REDE DE INCÊNDIO</t>
  </si>
  <si>
    <t>Tubo galvanizado, classe media com roscas BSP e luvas plásticas de proteção, Ref. MANNESMANN ou similar:- INCLUINDO CONEXÕES</t>
  </si>
  <si>
    <t>Ø 2 1/2"</t>
  </si>
  <si>
    <t>73976/008</t>
  </si>
  <si>
    <t>14.2.3</t>
  </si>
  <si>
    <t>Extintor</t>
  </si>
  <si>
    <t>14.2.3.1</t>
  </si>
  <si>
    <t>Agua persurizada</t>
  </si>
  <si>
    <t>73775/002</t>
  </si>
  <si>
    <t>14.2.3.2</t>
  </si>
  <si>
    <t>Pó quimico seco 4kg</t>
  </si>
  <si>
    <t>73775/001</t>
  </si>
  <si>
    <t>14.2.4</t>
  </si>
  <si>
    <t>Hidrante</t>
  </si>
  <si>
    <t>14.2.5</t>
  </si>
  <si>
    <t>Bomba de incêndio</t>
  </si>
  <si>
    <t>Vazão= l/s</t>
  </si>
  <si>
    <t>Hman= mca</t>
  </si>
  <si>
    <t>Pot.: 2cv</t>
  </si>
  <si>
    <t>14.3</t>
  </si>
  <si>
    <t>REDE DE GÁS</t>
  </si>
  <si>
    <t>vb</t>
  </si>
  <si>
    <t>14.3.1</t>
  </si>
  <si>
    <t>Tubo de cobre, classe "E", com ponta para solda.Ref. ELUMA ou similar</t>
  </si>
  <si>
    <t xml:space="preserve">Ø28 mm  </t>
  </si>
  <si>
    <t>14.3.2</t>
  </si>
  <si>
    <t>Válvula de esfera, ref Deca ou equivalente</t>
  </si>
  <si>
    <t>Ø 28 mm (1")</t>
  </si>
  <si>
    <t>14.3.3</t>
  </si>
  <si>
    <t>Central de Gás - GLP</t>
  </si>
  <si>
    <t xml:space="preserve">pç </t>
  </si>
  <si>
    <t>10-07-69, 81 e 86</t>
  </si>
  <si>
    <t>Capacidade: 2 cilindros 45Kg</t>
  </si>
  <si>
    <t>14.4</t>
  </si>
  <si>
    <t>REDE DE ÁGUA PLUVIAL</t>
  </si>
  <si>
    <t>14.4.1</t>
  </si>
  <si>
    <t>Tubo de PVC rígido para esgoto predial e ventilação, branco, classe "A", com ponta e bolsa com virola, para junta elástica, Ref. TIGRE EG-1 ou similar: - INCLUINDO CONEXÕES</t>
  </si>
  <si>
    <t>74165/003</t>
  </si>
  <si>
    <t>Ø100 mm</t>
  </si>
  <si>
    <t>74165/004</t>
  </si>
  <si>
    <t>Ø150 mm</t>
  </si>
  <si>
    <t>74168/001</t>
  </si>
  <si>
    <t>Ø200 mm</t>
  </si>
  <si>
    <t>08.11.035</t>
  </si>
  <si>
    <t>Ø300 mm</t>
  </si>
  <si>
    <t>08.11.036</t>
  </si>
  <si>
    <t>14.4.3</t>
  </si>
  <si>
    <t>Boca de leão dim.:0,60 x 0,30m</t>
  </si>
  <si>
    <t>14.4.4</t>
  </si>
  <si>
    <t>Caixa de Inspeção dim.: 0,60 x 0,60m</t>
  </si>
  <si>
    <t>74104/001</t>
  </si>
  <si>
    <t>14.4.6</t>
  </si>
  <si>
    <t>Canaleta 0,30</t>
  </si>
  <si>
    <t>14.4.8</t>
  </si>
  <si>
    <t>Caixa de retardo</t>
  </si>
  <si>
    <t>Dim.: Ø3,00 x h útil 2,27</t>
  </si>
  <si>
    <t>Vol.: 16,00m³</t>
  </si>
  <si>
    <t>14.4.9</t>
  </si>
  <si>
    <t>Bomba de limpeza</t>
  </si>
  <si>
    <t>Vazão= 16.5 m3/h</t>
  </si>
  <si>
    <t>Hman= 6 mca</t>
  </si>
  <si>
    <t>Pot.: 0,75cv</t>
  </si>
  <si>
    <t>14.5</t>
  </si>
  <si>
    <t>REDE DE ESGOTO</t>
  </si>
  <si>
    <t>14.5.1</t>
  </si>
  <si>
    <t>Tubo de PVC rígido para esgoto predial e ventilação, branco, classe "A", com ponta e bolsa com virola, para junta elástica, Ref. TIGRE EG-1 ou similar- INCLUINDO CONEXÕES</t>
  </si>
  <si>
    <t>Ø40 mm</t>
  </si>
  <si>
    <t>74165/001</t>
  </si>
  <si>
    <t>Ø50 mm</t>
  </si>
  <si>
    <t>74165/002</t>
  </si>
  <si>
    <t>14.5.3</t>
  </si>
  <si>
    <t>Caixa de Inspeção 0,80x0,80m</t>
  </si>
  <si>
    <t>14.5.4</t>
  </si>
  <si>
    <t>Caixa de gordura</t>
  </si>
  <si>
    <t>74051/001</t>
  </si>
  <si>
    <t>14.5.5</t>
  </si>
  <si>
    <t>Caixa 0,20 x 0,20m com grelha 0,15 x 0,15m</t>
  </si>
  <si>
    <t>14.5.6</t>
  </si>
  <si>
    <t>Bomba de água servida</t>
  </si>
  <si>
    <t>Vazão= m³/h</t>
  </si>
  <si>
    <t>Pot.: 0,5cv</t>
  </si>
  <si>
    <t>14.5.7</t>
  </si>
  <si>
    <t>Poço de recalque</t>
  </si>
  <si>
    <t>Dim.= Ø1,10x h1,00 útil</t>
  </si>
  <si>
    <t>Vol.= 800 l</t>
  </si>
  <si>
    <t>14.5.8</t>
  </si>
  <si>
    <t>Tubo de PVC rígido, marrom, com ponta e bolsa para juntas soldáveis,  classe 15, pressão de serviço 7,5 kgf/cm2, Ref. TIGRE ou equivalente: INCLUINDO CONEXÕES</t>
  </si>
  <si>
    <t xml:space="preserve">Ø25 mm </t>
  </si>
  <si>
    <t>75051/002</t>
  </si>
  <si>
    <t>14.5.10</t>
  </si>
  <si>
    <t>Caixa sifonada com grelha redonda (EG-54). Ref. TIGRE ou similar</t>
  </si>
  <si>
    <t xml:space="preserve">entrada = 40 mm, saída = 50mm, Ø 150 mm, h = 150 mm </t>
  </si>
  <si>
    <t>LOUÇAS E METAIS SANITÁRIOS</t>
  </si>
  <si>
    <t>BACIA SANITÁRIA SIFONADA, DE LOUÇA BRANCA</t>
  </si>
  <si>
    <t>BACIA SANITÁRIA ALTEADA PARA PORTADORES DE DEFICIÊNCIA FÍSICA</t>
  </si>
  <si>
    <t>LAVATORIO LOUCA BR MEDIO LUXO C/LADRAO MED 55X45 RABICHO CROMADO DE 1/2", C/COLUNA INCL ACESSORIOS DE FIXACAO.FERRAGENS EM METAL CROMADO SIFAO 1680 DE 1"X1.1/4" APARELHO MISTURADOR 1875/C45 C/AREJADOR VALVULA DE ESCOAMENTO 1603, TORNEIRA DE MESA COM ACIONAMENTO MANUAL E FECHAMENTO AUTOMÁTICO E RABICHO EM PVC</t>
  </si>
  <si>
    <t>73947/001</t>
  </si>
  <si>
    <t>15.5</t>
  </si>
  <si>
    <t>MICTORIO SIFONADO DE LOUCA BRANCA COM PERTENCES, COM REGISTRO DE PRESSAO 1/2" COM CANOPLA CROMADA ACABAMENTO SIMPLES E CONJUNTO PARA FIXACAO</t>
  </si>
  <si>
    <t>74234/001</t>
  </si>
  <si>
    <t>15.6</t>
  </si>
  <si>
    <t>PORTA TOALHA DE PAPEL INTER FOLHAS</t>
  </si>
  <si>
    <t>15.7</t>
  </si>
  <si>
    <t>SABONETEIRA PARA SABÃO LÍQUIDO</t>
  </si>
  <si>
    <t>15.8</t>
  </si>
  <si>
    <t>BARRA DE APOIO PARA LAVATÓRIO - EM "U" (BARRAS COM DIÂMETRO ENTRE 3,0 E 4,5CM)</t>
  </si>
  <si>
    <t>15.9</t>
  </si>
  <si>
    <t>PAPELEIRA DE LOUÇA BRANCA - 15X15CM</t>
  </si>
  <si>
    <t>15.10</t>
  </si>
  <si>
    <t>ESPELHO E=3MM COM MOLDURA DE ALUMÍNIO</t>
  </si>
  <si>
    <t>15.11</t>
  </si>
  <si>
    <t>CABIDE DE LOUÇA BRANCA, COM UM OU DOIS GANCHOS</t>
  </si>
  <si>
    <t>ILUMINAÇÃO e TOMADAS</t>
  </si>
  <si>
    <t>Calha para luz indireta com 01 spot acoplado, dimerizável, para 4 lâmpadas fluorescentes tubulares 28W + 01 lâmpada halógena refletora de 75W.</t>
  </si>
  <si>
    <t>Calha para luz indireta com 02 spot acoplado em trilho, para 4 lâmpadas fluorescentes tubulares 28W + 01 lâmpada halógena refletora de 75W.</t>
  </si>
  <si>
    <t>Calha para luz indireta com 02 spot acoplado, dimerizável, para 04 lâmpadas fluorescente tubulares 28W + 02 lâmpadas halógenas refletoras de 75W.</t>
  </si>
  <si>
    <t>Calha para Wallwasher, para 02 lâmpadas fluorescente tubulares de 54W.</t>
  </si>
  <si>
    <t>Luminária circular de embutir no piso, para 01 lâmpada de led de 3W.</t>
  </si>
  <si>
    <t>Poste de h=6,0m, com 04 refletores para lâmpadas vapor metálico de 150W.</t>
  </si>
  <si>
    <t>16.1.7</t>
  </si>
  <si>
    <t>Poste de h=3,5m, com 02 refletores para lâmpadas vapor metálico de 150W.</t>
  </si>
  <si>
    <t>16.1.8</t>
  </si>
  <si>
    <t>Projetor para iluminação de fachada, para 01 lâmpada vapor metálico de 150W.</t>
  </si>
  <si>
    <t>16.1.9</t>
  </si>
  <si>
    <t>Plafoinier de sobrepor com sensor de presença acoplado, para 01 lâmpada incandescente de 100W.</t>
  </si>
  <si>
    <t>16.1.10</t>
  </si>
  <si>
    <t>Luminária circular de embutir para 02 lâmpadas fluorescentes compactas de 18W.</t>
  </si>
  <si>
    <t>16.1.11</t>
  </si>
  <si>
    <t>Arandela de sobrepor, para 02 lâmpadas fluorescentes compactas eletrônicas de 18W.</t>
  </si>
  <si>
    <t>16.1.12</t>
  </si>
  <si>
    <t>Luminária de sobrepor blindada para 02 lâmpadas fluorescentes tubulares de 28W.</t>
  </si>
  <si>
    <t>16.1.13</t>
  </si>
  <si>
    <t>Luminária de embutir com louver para 02 lâmpadas fluorescentes tubulares de 54W.</t>
  </si>
  <si>
    <t>16.1.14</t>
  </si>
  <si>
    <t>Sistema de eletrocalha para salão de exposição com lâmpadas AR-111 de 150W por metro linear.</t>
  </si>
  <si>
    <t>16.1.15</t>
  </si>
  <si>
    <t>Sistema de eletrocalha para iluminação da cobertura com lâmpadas AR-111 de 70W por metro linear.</t>
  </si>
  <si>
    <t>16.1.16</t>
  </si>
  <si>
    <t>Bloco autônomo para aclaramento com 2 lâmpadas fluorescente compactas de 9W.</t>
  </si>
  <si>
    <t>16.1.17</t>
  </si>
  <si>
    <t>Bloco autônomo com indicação de saída com 2 lâmpadas fluorescente compactas de 9W.</t>
  </si>
  <si>
    <t>16.1.18</t>
  </si>
  <si>
    <t>Bloco autônomo para balizamento com 01 lâmpada incandescente de 60W, instalado a 0,40m do piso acabado.</t>
  </si>
  <si>
    <t>16.1.19</t>
  </si>
  <si>
    <t>Interruptor bipolar simples - 20A/250V - instalado em caixa com placa 4"x2".</t>
  </si>
  <si>
    <t>16.1.20</t>
  </si>
  <si>
    <t>Interruptor bipolar paralelo - 20A/250V - instalado em caixa com placa 4"x2".</t>
  </si>
  <si>
    <t>16.1.21</t>
  </si>
  <si>
    <t>Tomada padrão brasileiro 2P+T cilíndricos - 220V - 20A/250V - instalada em caixa com placa 4"x2".</t>
  </si>
  <si>
    <t>16.1.22</t>
  </si>
  <si>
    <t>Tomada padrão brasileiro 2P+T cilíndricos - 220V - 20A/250V - com placa 4"x2" para instalação em caixa de passagem no piso.</t>
  </si>
  <si>
    <t>16.1.23</t>
  </si>
  <si>
    <t xml:space="preserve">Tomada padrão brasileiro 2P+T cilíndricos - 127V - 10A/250V - instalada em caixa com placa 4"x2". </t>
  </si>
  <si>
    <t>16.1.24</t>
  </si>
  <si>
    <t>Ponto de força 2P+T, instalado em caixa de PVC 4x4" na parede, com placa para alimentação dos pontos de ar-condicionado.</t>
  </si>
  <si>
    <t>16.1.25</t>
  </si>
  <si>
    <t>Eletroduto em PVC rígido antichamas fornecido em barras de 3 metros na cor preta , com extremidades roscadas, conforme norma NBR 6150, inclusive conexões. Com diâmetro nominal de:</t>
  </si>
  <si>
    <t>16.1.25.1</t>
  </si>
  <si>
    <t>Ø3/4"</t>
  </si>
  <si>
    <t>16.1.25.2</t>
  </si>
  <si>
    <t>Ø1"</t>
  </si>
  <si>
    <t>74252/001</t>
  </si>
  <si>
    <t>16.1.25.3</t>
  </si>
  <si>
    <t>Ø1.1/4"</t>
  </si>
  <si>
    <t>16.1.25.4</t>
  </si>
  <si>
    <t>16.1.26</t>
  </si>
  <si>
    <t>Conjunto para fixação de Eletroduto constituído por Braçadeira tipo "D", parafuso cabeça redonda Ø1/4" e porca sextavada Ø1/4". Com diâmetro nominal de:</t>
  </si>
  <si>
    <t>16.1.26.1</t>
  </si>
  <si>
    <t>16.1.26.2</t>
  </si>
  <si>
    <t>16.1.26.3</t>
  </si>
  <si>
    <t>16.1.26.4</t>
  </si>
  <si>
    <t>16.1.27</t>
  </si>
  <si>
    <t>Caixa de passagem para eletrodutos em PVC, instalada embutida na parede ou forro. Nas dimensões:</t>
  </si>
  <si>
    <t>16.1.27.1</t>
  </si>
  <si>
    <t>4x2x2"</t>
  </si>
  <si>
    <t>16.1.27.2</t>
  </si>
  <si>
    <t>4x4x2"</t>
  </si>
  <si>
    <t>16.1.28</t>
  </si>
  <si>
    <t>Caixa de passagem para eletrodutos em aluminio fundido, com tampa anti-derrapante, instalada embutida no piso.</t>
  </si>
  <si>
    <t>16.1.29</t>
  </si>
  <si>
    <t>Condutor formado por fios de cobre eletrolítico nú, têmpera mole, encordoamento classe 5, isolação em PVC classe 450/750V, cobertura em PVC flexivel, conforme norma da A.B.N.T. NBR 7288, formação e seção nominal de:</t>
  </si>
  <si>
    <t>16.1.29.1</t>
  </si>
  <si>
    <t># 2,5mm²</t>
  </si>
  <si>
    <t>73860/008</t>
  </si>
  <si>
    <t>16.1.29.2</t>
  </si>
  <si>
    <t># 4,0mm²</t>
  </si>
  <si>
    <t>74116/001</t>
  </si>
  <si>
    <t>16.1.29.3</t>
  </si>
  <si>
    <t># 6,0mm²</t>
  </si>
  <si>
    <t>74173/001</t>
  </si>
  <si>
    <t>16.1.29.4</t>
  </si>
  <si>
    <t># 10,0mm²</t>
  </si>
  <si>
    <t>74172/001</t>
  </si>
  <si>
    <t>16.1.29.5</t>
  </si>
  <si>
    <t># 16,0mm²</t>
  </si>
  <si>
    <t>73860/012</t>
  </si>
  <si>
    <t>16.1.30</t>
  </si>
  <si>
    <t>Condutor formado por fios de cobre eletrolítico nú, têmpera mole, encordoamento classe 5, isolação em EPR classe 0,6 / 1kV (90°) na cor branca/verde/azul, cobertura em PVC na cor preta, conforme norma da A.B.N.T. NBR 7288, formação e seção nominal de:</t>
  </si>
  <si>
    <t>16.1.30.1</t>
  </si>
  <si>
    <t># 6mm²</t>
  </si>
  <si>
    <t>16.1.30.2</t>
  </si>
  <si>
    <t># 10mm²</t>
  </si>
  <si>
    <t>16.1.30.3</t>
  </si>
  <si>
    <t># 16mm²</t>
  </si>
  <si>
    <t>16.1.30.4</t>
  </si>
  <si>
    <t># 25mm²</t>
  </si>
  <si>
    <t>73860/013</t>
  </si>
  <si>
    <t>16.1.30.5</t>
  </si>
  <si>
    <t># 35mm²</t>
  </si>
  <si>
    <t>73860/022</t>
  </si>
  <si>
    <t>16.1.30.6</t>
  </si>
  <si>
    <t># 50mm²</t>
  </si>
  <si>
    <t>73860/014</t>
  </si>
  <si>
    <t>16.1.30.7</t>
  </si>
  <si>
    <t># 70mm²</t>
  </si>
  <si>
    <t>73860/015</t>
  </si>
  <si>
    <t>16.1.30.8</t>
  </si>
  <si>
    <t>#120mm²</t>
  </si>
  <si>
    <t>73860/017</t>
  </si>
  <si>
    <t>16.1.31</t>
  </si>
  <si>
    <t>Duto de Polietileno de alta densidade (PEAD) em forma espiral corrugada, diâmetro nominal de :</t>
  </si>
  <si>
    <t>16.1.31.1</t>
  </si>
  <si>
    <t>16.1.31.2</t>
  </si>
  <si>
    <t>16.1.31.3</t>
  </si>
  <si>
    <t>16.1.31.4</t>
  </si>
  <si>
    <t>Ø4"</t>
  </si>
  <si>
    <t>16.1.32</t>
  </si>
  <si>
    <t>Quadro elétrico de Distribuição de embutir, fabricado em materiais termo-plástico auto-extinguível (ABS), grau de proteção IP40 e portas reversíveis, com 30% de  espaço reserva, equipados com barramento padrão DIN e disjuntores padrão IEC 947- Conforme diagramas em projeto. PRECISAMOS DO PROJETO OU DIAGRAMA UNIFILAR</t>
  </si>
  <si>
    <t>16.1.33</t>
  </si>
  <si>
    <t>Quadro de distribuição geral , grau de proteção IP 40, autoportante, de aço carbono, conforme diagrama unifilar, para 30 disjuntores e 30% espaço reserva - PRECISAMOS DO PROJETO OU DIAGRAMA UNIFILAR</t>
  </si>
  <si>
    <t>CFTV e Segurança e Alarme de Incêncio</t>
  </si>
  <si>
    <t>Câmera interna para circuito de CFTV, com alta resolução de imagem,  orientável.</t>
  </si>
  <si>
    <t>Detector de fumaça com base para instalação, analógico e endereçável, tipo iônico instalado em caixa esmaltada, embutido no forro.</t>
  </si>
  <si>
    <t>Acionador manual endereçável do tipo "Quebre o Vidro", com LED dupla função endereçável e chave para teste;</t>
  </si>
  <si>
    <t>Central de CFTV com características físicas e técnicas a serem especificadas pelo cliente e fabricante.</t>
  </si>
  <si>
    <t>Cabo blindado para alimentação em série de detectores de fumaça em laço, formado por 7 elementos de cobre eletrolítico, conforme NM 280, classe 2. Isolação primária em PVC classe 0,3kV (70°), blindagem eletrostática, cobertura em PVC flexível ST1 70° na cor vermelha conforme NBR 6251, 2x#0,75mm².</t>
  </si>
  <si>
    <t xml:space="preserve">Eletroduto em ferro galvanizado fornecido em barras de 3 metros, com extremidades roscadas, conforme norma NBR 6150. Pintado na cor vermelha. Com as seguintes dimensões: </t>
  </si>
  <si>
    <t>16.2.6.1</t>
  </si>
  <si>
    <t>Telefonia e Lógica</t>
  </si>
  <si>
    <t xml:space="preserve">Tomada para telefone composta por 01 ponto para RJ 11, instalada em placa 4"x2". </t>
  </si>
  <si>
    <t xml:space="preserve">Tomada para lógica composta por 01 ponto para RJ 45, instalada em placa 4"x2". </t>
  </si>
  <si>
    <t xml:space="preserve">Tomada para telefone composta por 01 ponto para RJ 11, com placa 4"x2" para instalação em caixa de piso. </t>
  </si>
  <si>
    <t>Tomada para lógica composta por 01 ponto para RJ 45, com placa 4"x2" para instalação em caixa de piso.</t>
  </si>
  <si>
    <t>16.3.5</t>
  </si>
  <si>
    <t>Caixas para Telefone Padrão Telebrás em chapa metálica e fundo de madeira - CIE / DG Dim.: 600x600x120mm.</t>
  </si>
  <si>
    <t>74052/001</t>
  </si>
  <si>
    <t>16.3.6</t>
  </si>
  <si>
    <t>Rack aberto, composto de estrutura interna em aço, com suporte e gaiola para montagem padrão 19". Conforme projeto.</t>
  </si>
  <si>
    <t>16.3.7</t>
  </si>
  <si>
    <t xml:space="preserve">Eletroduto em ferro galvanizado fornecido em barras de 3 metros, com extremidades roscadas, conforme norma NBR 6150 (Tubulação Seca) Com as seguintes dimensões: </t>
  </si>
  <si>
    <t>16.3.7.1</t>
  </si>
  <si>
    <t>br</t>
  </si>
  <si>
    <t>16.3.8</t>
  </si>
  <si>
    <t>Entrada aérea de telefone padrão telefônica</t>
  </si>
  <si>
    <t>Concesionária</t>
  </si>
  <si>
    <t>SPDA E ATERRAMENTO</t>
  </si>
  <si>
    <t>Cabo de cobre nu #50mm²</t>
  </si>
  <si>
    <t>Cabo de cobre nu #35mm²</t>
  </si>
  <si>
    <t>Caixa de inspeção de Ø 300x300mm com corpo em PVC e tampa de ferro fundido com inscrição "Aterramento", inclusive escavação, compactação de fundo de vala e reaterro compactado.</t>
  </si>
  <si>
    <t>Fornecimento e instalação de haste de aterramento do tipo Copperweld,  com alta camada 254 microns, de diâmetro 5/8"x 3000mm</t>
  </si>
  <si>
    <t>Molde para conexão exotérmica cabo a barra</t>
  </si>
  <si>
    <t>Grampo para aterramento</t>
  </si>
  <si>
    <t>Barra chata de alumínio 7/8"x1/8"x3.00m, fixada na alvenaria e na telha por meio de suporte guia conforme detalhes;</t>
  </si>
  <si>
    <t>Molde para conexão exotérmica cabo a cabo</t>
  </si>
  <si>
    <t xml:space="preserve">Posto Primário de Medição e Transformação </t>
  </si>
  <si>
    <t xml:space="preserve">Chave seccionadora tripolar 400A/15kV abertura sem carga sem fusível, com punho de acionamento, exceto a seccionadora do cubículo da medição  </t>
  </si>
  <si>
    <t>Terminal termocontrátil para cabo de 25mm² /15kV uso interno</t>
  </si>
  <si>
    <t>kit</t>
  </si>
  <si>
    <t>Terminal termocontrátil para cabo de 25mm² /15kV uso externo</t>
  </si>
  <si>
    <t>Pára-raio de invólucro polimérico a óxidos metálicos, sem centelhador, com desligador automático, 12kV/10kA</t>
  </si>
  <si>
    <t>Suporte em cantoneira galvanizada a fogo para pára-raio</t>
  </si>
  <si>
    <t xml:space="preserve">Transformador trifásico de 225,0kVA , 13.8kV/220-127V a seco, NBI 95kV, 60Hz. </t>
  </si>
  <si>
    <t>Veneziana tipo chicana com tela pelo lado de fora dim. Mín.1000x500mm em arame 18BWG e malha de 13mm</t>
  </si>
  <si>
    <t>Janela para iluminação e ventilação com proteção externa em arame 18BWG e malha de 13mm, 1000x1000mm conforme detalhe de construção no projeto - VOCE TEM O PROJETO?</t>
  </si>
  <si>
    <t>Tela de proteção em arame de aço 12BWG  e malha 20mm com dispositivo para lacre da Eletropaulo (Conforme indicação no desenho fl 12)</t>
  </si>
  <si>
    <t>Placa de advertência "perigo alta tensão" com simbolos adequados</t>
  </si>
  <si>
    <t>Extintor de incêndio-gás carbonico 6Kg c/ cobertura de proteção</t>
  </si>
  <si>
    <t>Interruptor bipolar, 1 tecla 10A/220V montado em condulete , uso interno</t>
  </si>
  <si>
    <t xml:space="preserve">Conjunto de link para interligação terra-neutro </t>
  </si>
  <si>
    <t>16.5.14</t>
  </si>
  <si>
    <t>Porta metálica com duas folhas, abrindo para fora  e para fora, dim. 2100x700mm por folha com trico tipo ferrolho com cadeado</t>
  </si>
  <si>
    <t>16.5.15</t>
  </si>
  <si>
    <t>Porta metálica uma folha, abrindo para fora dim. 2100x900mm  com trico tipo ferrolho com cadeado</t>
  </si>
  <si>
    <t>16.5.16</t>
  </si>
  <si>
    <t>Bloco autonômo para illuminação de emergência  com duas lâmpadas fluorescentes compactas de 9 W.</t>
  </si>
  <si>
    <t>16.5.17</t>
  </si>
  <si>
    <t xml:space="preserve">Caixa  do tipo "T" para os TCs e disjuntor geral de BT </t>
  </si>
  <si>
    <t>16.5.18</t>
  </si>
  <si>
    <t>Interruptor bipolar, 1 tecla 10A/220V montado em condulete , a prova de tempo.</t>
  </si>
  <si>
    <t>16.5.19</t>
  </si>
  <si>
    <t>Tomada 2P+T e universal-220V</t>
  </si>
  <si>
    <t>16.5.20</t>
  </si>
  <si>
    <t>Condulete tipo E Ø3/4"</t>
  </si>
  <si>
    <t>16.5.21</t>
  </si>
  <si>
    <t>Caixa de inspeção de aterramento com haste alta camada de cobre Ø5/8"x3m - tomada terra completa</t>
  </si>
  <si>
    <t>16.5.22</t>
  </si>
  <si>
    <t>Conexão exotérmica para cabo #50mm²/#25-35mm²</t>
  </si>
  <si>
    <t>16.5.23</t>
  </si>
  <si>
    <t>Conexão exotérmica para cabo #50mm²/#50mm²</t>
  </si>
  <si>
    <t>16.5.24</t>
  </si>
  <si>
    <t>Cabo de cobre nú 50mm²</t>
  </si>
  <si>
    <t>16.5.25</t>
  </si>
  <si>
    <t>Cabo de cobre nú 35mm²</t>
  </si>
  <si>
    <t>16.5.26</t>
  </si>
  <si>
    <t>Terminal de compressão para cabo de aterramento #25/35mm²</t>
  </si>
  <si>
    <t>16.5.27</t>
  </si>
  <si>
    <t>Tapete de borracha</t>
  </si>
  <si>
    <t>16.5.28</t>
  </si>
  <si>
    <t>Barramento primário de cobre eletrolítico-15kV-Ø1/4"</t>
  </si>
  <si>
    <t>16.5.29</t>
  </si>
  <si>
    <t>Suporte em cantoneira p/ cabos de BT</t>
  </si>
  <si>
    <t>16.5.30</t>
  </si>
  <si>
    <t xml:space="preserve">Caixa para medidores tipo "A3" conforme padrão da Eletropaulo </t>
  </si>
  <si>
    <t>16.5.31</t>
  </si>
  <si>
    <t>Luminária com 2 lâmpadas fluorescentes de 28W-220V com reator AFP e  THD &lt;10%, completa.</t>
  </si>
  <si>
    <t>16.5.32</t>
  </si>
  <si>
    <t>Luminária com 2 lâmpadas fluorescentes de 28W-220V com reator AFP e  THD &lt;10%,com módulo MAA (Emergência) para  uma lâmpada de 28W e bateria selada, completa.</t>
  </si>
  <si>
    <t>16.5.33</t>
  </si>
  <si>
    <t>Luminária  tipo arandela para  uma lâmpada de 150W-220V</t>
  </si>
  <si>
    <t>16.5.34</t>
  </si>
  <si>
    <t>Luminária  tipo arandela para  uma lâmpada fluor. compacta de 23W-220V</t>
  </si>
  <si>
    <t>16.5.35</t>
  </si>
  <si>
    <t xml:space="preserve">Condulete tipo E Ø3/4" </t>
  </si>
  <si>
    <t>16.5.36</t>
  </si>
  <si>
    <t>Condulete tipo T Ø3/4"</t>
  </si>
  <si>
    <t>16.5.37</t>
  </si>
  <si>
    <t>Condulete tipo LL Ø3/4"</t>
  </si>
  <si>
    <t>16.5.38</t>
  </si>
  <si>
    <t>Condulete tipo LR Ø3/4"</t>
  </si>
  <si>
    <t>16.5.39</t>
  </si>
  <si>
    <t>Cabo flexível de isolação em  PVC 750V #2,5 mm²</t>
  </si>
  <si>
    <t>rl</t>
  </si>
  <si>
    <t>16.5.40</t>
  </si>
  <si>
    <t>Eletroduto de galvanizado Ø3/4" barra de 3m</t>
  </si>
  <si>
    <t>16.5.41</t>
  </si>
  <si>
    <t>Perfilado liso galvanizado 38x38X6000mm</t>
  </si>
  <si>
    <t>16.5.42</t>
  </si>
  <si>
    <t>Conjunto para fixação de perfilado( caixa p/ perfilado, vergalhão, buchas , arruelas, etc.)</t>
  </si>
  <si>
    <t>16.5.44</t>
  </si>
  <si>
    <t>Eletroduto de aço carbono galv.  a fogo tipo pesado Ø4" em barras de 3m: INCLUSO CONEXÕES</t>
  </si>
  <si>
    <t>16.5.46</t>
  </si>
  <si>
    <t>Eletroduto de PEAD de Ø4"</t>
  </si>
  <si>
    <t>16.5.47</t>
  </si>
  <si>
    <t xml:space="preserve">Bucha de passagem 15kV-400A </t>
  </si>
  <si>
    <t>16.5.48</t>
  </si>
  <si>
    <t xml:space="preserve">Quadro de Equalização de Potencial de Terra "BEP" </t>
  </si>
  <si>
    <t>16.5.49</t>
  </si>
  <si>
    <t xml:space="preserve">Trilho de fixação do transformador 1.1/2"x 4"x 1/4" </t>
  </si>
  <si>
    <t>16.5.50</t>
  </si>
  <si>
    <t xml:space="preserve">Base de Fusíveis Tipolares do tipo "HH" 15kV-400A </t>
  </si>
  <si>
    <t>16.5.51</t>
  </si>
  <si>
    <t xml:space="preserve">Fusiveis do tipo HH - 12,5A-63kA - </t>
  </si>
  <si>
    <t>16.5.52</t>
  </si>
  <si>
    <t xml:space="preserve">Condutor de cobre isolação EPR 90º - 15kV, singelo, bitóla 25mm2, cor preta  </t>
  </si>
  <si>
    <t>16.5.53</t>
  </si>
  <si>
    <t xml:space="preserve">Condutor de cobre isolação EPR 90º - 1kV, singelo, bitóla 70mm2, cor verde </t>
  </si>
  <si>
    <t>16.5.54</t>
  </si>
  <si>
    <t xml:space="preserve">Condutor de cobre isolação EPR 90º - 1kV, singelo, bitóla 240mm2, cor azul  </t>
  </si>
  <si>
    <t>16.5.55</t>
  </si>
  <si>
    <t xml:space="preserve">Condutor de cobre isolação EPR 90º - 1kV, singelo, bitóla 240mm2, cor preta  </t>
  </si>
  <si>
    <t>16.5.56</t>
  </si>
  <si>
    <t>Quadro de distribuição de BT, em 2 colunas, conforme esquema unifilar - PRECISAMOS DO ESQUEMA UNIFILAR</t>
  </si>
  <si>
    <t xml:space="preserve">Materiais do poste de interligação </t>
  </si>
  <si>
    <t>Cruzeta de aço galvanizado a fogo, padrão Eletropaulo para fixação das terminações de MT em poste de ligação</t>
  </si>
  <si>
    <t xml:space="preserve">Braços de fixação da cruzeta de aço, conforme padrão Eletropaulo  </t>
  </si>
  <si>
    <t>Braçadeiras galvanizadas do tipo "B", com porcas e arruelas (fix. dos braços)</t>
  </si>
  <si>
    <t xml:space="preserve">Fitas perfuradas galvanizadas, de fixação do eletroduto no poste, com porcas e arruelas </t>
  </si>
  <si>
    <t>Verba para apoio civil</t>
  </si>
  <si>
    <t>incluso nos serviços</t>
  </si>
  <si>
    <t>Sistema de som do auditório</t>
  </si>
  <si>
    <t>Sist. de tradução simultânea 208 receptores/fones de ouvido</t>
  </si>
  <si>
    <t>Tela de projeção automáica de 20m²</t>
  </si>
  <si>
    <t>17.1</t>
  </si>
  <si>
    <t>TINTA ACRÍLICA - CONCRETO OU REBOCO COM MASSA CORRIDA</t>
  </si>
  <si>
    <t>17.2</t>
  </si>
  <si>
    <t>PINTURA ACRÍLICA - SEM MASSA CORRIDA / ALVENARIA</t>
  </si>
  <si>
    <t>73966/002</t>
  </si>
  <si>
    <t>17.3</t>
  </si>
  <si>
    <t>PROTEÇÃO HIDRÓFUGA À BASE DE SILICONE / CONCRETO APARENTE  INTERNO</t>
  </si>
  <si>
    <t>17.4</t>
  </si>
  <si>
    <t>Proteção para superfícies externas de concreto tipo Radicon</t>
  </si>
  <si>
    <t>INSTALAÇÕES DIVERSAS</t>
  </si>
  <si>
    <t>18.1</t>
  </si>
  <si>
    <t>Elevadores</t>
  </si>
  <si>
    <t>18.2</t>
  </si>
  <si>
    <t>Ar condicionado</t>
  </si>
  <si>
    <t>18.3</t>
  </si>
  <si>
    <t>Poltronas para auditório linha Show da Giroflex ou similar</t>
  </si>
  <si>
    <t>18.4</t>
  </si>
  <si>
    <t>Comunicação visual e sinalização</t>
  </si>
  <si>
    <t>PAISAGISMO</t>
  </si>
  <si>
    <t>19.1</t>
  </si>
  <si>
    <t>Jardim completo - TIPO DE PLANTAS E QUANTIDADES AO MENOS EM ÁREA QUADRADA</t>
  </si>
  <si>
    <t>19.2</t>
  </si>
  <si>
    <t>Piso 04 - camada de 5cm de seixo miúdo sobre piso PTA (camada de 11cm de 50% de terra e 50% areia sobre camada de 8cm de brita) - A=1124,10m2</t>
  </si>
  <si>
    <t>19.3</t>
  </si>
  <si>
    <t>Piso 05 - Brita rosa camada 8cm sobre terra compactada</t>
  </si>
  <si>
    <t>19.4</t>
  </si>
  <si>
    <t>ORLA DE SEPARAÇÃO EM CONCRETO NC.26</t>
  </si>
  <si>
    <t>19.5</t>
  </si>
  <si>
    <t>Protetor tipo parque para árvores</t>
  </si>
  <si>
    <t xml:space="preserve">unid. </t>
  </si>
  <si>
    <t>19.6</t>
  </si>
  <si>
    <t xml:space="preserve">Banco com estrutura em chapa de aço corten e=6mm, L=60cm e sarrafos de madeira cumaru D=10x2x60cm. O assento é composto por peças de madeira cumaru paralelas e longitudinais D=8x5cm e espassamento 5mm. </t>
  </si>
  <si>
    <t>19.7</t>
  </si>
  <si>
    <t>BATE PNEU EM TUBO DE AÇO GALVANIZADO D=3" C=2,50M</t>
  </si>
  <si>
    <t>DESMOBILIZAÇÃO E LIMPEZA</t>
  </si>
  <si>
    <t>20.1</t>
  </si>
  <si>
    <t>LIMPEZA GERAL DA OBRA</t>
  </si>
  <si>
    <t>S U B - T O T A L</t>
  </si>
  <si>
    <t>BDI 28,8%</t>
  </si>
  <si>
    <t xml:space="preserve">T O T A L    G E R A L     D A     O B R A   </t>
  </si>
  <si>
    <t>PLANILHA 05/04/11</t>
  </si>
  <si>
    <t>MUSEU DO TRABALHADOR - PLANILHA DA MEDIÇÃO 16</t>
  </si>
  <si>
    <t>QUANT.TOTAL  PLANILHA MED.16</t>
  </si>
  <si>
    <t>QUANT. AVALIADA</t>
  </si>
  <si>
    <t>P UNIT. MED.16</t>
  </si>
  <si>
    <t>P UNIT TPU</t>
  </si>
  <si>
    <t>PREÇO TOTAL MED 16</t>
  </si>
  <si>
    <t>PREÇO TOTAL PREÇOS ATUAIS</t>
  </si>
  <si>
    <t>ANÁLISE DOS PREÇOS E QUANTIDADES - CURVA A</t>
  </si>
  <si>
    <t>CPU</t>
  </si>
  <si>
    <t>CPU-001</t>
  </si>
  <si>
    <t>13.1.1.1</t>
  </si>
  <si>
    <t>CPU-002</t>
  </si>
  <si>
    <t>CPU-003</t>
  </si>
  <si>
    <t>10.1.3 E 10.1.4</t>
  </si>
  <si>
    <t>CPU-004</t>
  </si>
  <si>
    <t>13.1.1.2</t>
  </si>
  <si>
    <t>CPU-005</t>
  </si>
  <si>
    <t>13.2.11</t>
  </si>
  <si>
    <t>CPU-006</t>
  </si>
  <si>
    <t>13.2.7</t>
  </si>
  <si>
    <t>CPU-007</t>
  </si>
  <si>
    <t>CPU-009</t>
  </si>
  <si>
    <t>11.6</t>
  </si>
  <si>
    <t>CPU-008</t>
  </si>
  <si>
    <t>SECRETARIA DE OBRAS E PLANEJAMENTO ESTRATÉGICO - SOPE 3</t>
  </si>
  <si>
    <t>LOCAL: SÃO BERNARDO DO CAMPO - SP</t>
  </si>
  <si>
    <t>Data Orçamento</t>
  </si>
  <si>
    <t>HOSPITAL ANCHIETA</t>
  </si>
  <si>
    <t>P UNIT</t>
  </si>
  <si>
    <t>02.08.020</t>
  </si>
  <si>
    <t>EQUIPAMENTOS</t>
  </si>
  <si>
    <t xml:space="preserve">LOCACAO DE ELEVADOR DE CREMALHEIRA CABINE SIMPLES FECHADA 1,5 X 2,5 X 2,35 M (UMA POR TORRE), CAPACIDADE DE CARGA *1200* KG (15 PESSOAS), TORRE DE 24 M (16 MODULOS), 16 PARADAS, FREIO DE SEGURANCA, LIMITADOR DE CARGA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</si>
  <si>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</t>
  </si>
  <si>
    <t>SIURB</t>
  </si>
  <si>
    <t>MINIESCAVADEIRA</t>
  </si>
  <si>
    <t>1.2.5</t>
  </si>
  <si>
    <t>02.05.212</t>
  </si>
  <si>
    <t>1.2.6</t>
  </si>
  <si>
    <t>02.05.080</t>
  </si>
  <si>
    <t>1.2.7</t>
  </si>
  <si>
    <t>02.05.202</t>
  </si>
  <si>
    <t>1.2.8</t>
  </si>
  <si>
    <t>1.2.9</t>
  </si>
  <si>
    <t>1.2.10</t>
  </si>
  <si>
    <t>55.10.030</t>
  </si>
  <si>
    <t>1.3.1</t>
  </si>
  <si>
    <t>ADMINISTRAÇÃO DIURNA</t>
  </si>
  <si>
    <t>1.3.1.1</t>
  </si>
  <si>
    <t>1.3.1.2</t>
  </si>
  <si>
    <t>1.3.1.3</t>
  </si>
  <si>
    <t>ENCARREGADO GERAL DE OBRAS COM ENCARGOS COMPLEMENTARES - CIVIL</t>
  </si>
  <si>
    <t>1.3.1.4</t>
  </si>
  <si>
    <t>ENCARREGADO GERAL DE OBRAS COM ENCARGOS COMPLEMENTARES - INSTALAÇÕES</t>
  </si>
  <si>
    <t>1.3.1.5</t>
  </si>
  <si>
    <t>1.3.1.6</t>
  </si>
  <si>
    <t>1.3.1.7</t>
  </si>
  <si>
    <t>AUXILIAR TÉCNICO DE ENGENHARIA COM ENCARGOS COMPLEMENTARES - CIVIL</t>
  </si>
  <si>
    <t>1.3.1.8</t>
  </si>
  <si>
    <t>AUXILIAR TÉCNICO DE ENGENHARIA COM ENCARGOS COMPLEMENTARES - INSTALAÇÕES</t>
  </si>
  <si>
    <t>1.3.1.9</t>
  </si>
  <si>
    <t>1.3.1.10</t>
  </si>
  <si>
    <t>1.3.1.11</t>
  </si>
  <si>
    <t>1.3.1.12</t>
  </si>
  <si>
    <t>1.3.1.13</t>
  </si>
  <si>
    <t>SINAPI-I</t>
  </si>
  <si>
    <t xml:space="preserve">VIGIA DIURNO (MENSALISTA)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</si>
  <si>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MES</t>
  </si>
  <si>
    <t>1.3.2</t>
  </si>
  <si>
    <t>ADMINISTRAÇÃO NOTURNA</t>
  </si>
  <si>
    <t>1.3.2.1</t>
  </si>
  <si>
    <t>1.3.2.2</t>
  </si>
  <si>
    <t>1.3.2.3</t>
  </si>
  <si>
    <t>1.3.2.4</t>
  </si>
  <si>
    <t>1.3.2.5</t>
  </si>
  <si>
    <t>1.3.2.6</t>
  </si>
  <si>
    <t>1.3.3</t>
  </si>
  <si>
    <t>ADMINISTRAÇÃO EQUIPE DE QUALIDADE</t>
  </si>
  <si>
    <t>1.3.3.1</t>
  </si>
  <si>
    <t>1.3.3.4</t>
  </si>
  <si>
    <t>1.3.3.5</t>
  </si>
  <si>
    <t>AS BUILT</t>
  </si>
  <si>
    <t>1.4.1</t>
  </si>
  <si>
    <t>1.4.2</t>
  </si>
  <si>
    <t>SERVIÇOS INICIAIS/DEMOLIÇÕES</t>
  </si>
  <si>
    <t>2.1.6</t>
  </si>
  <si>
    <t>2.1.7</t>
  </si>
  <si>
    <t>2.1.8</t>
  </si>
  <si>
    <t>2.1.9</t>
  </si>
  <si>
    <t>2.1.10</t>
  </si>
  <si>
    <t>2.1.11</t>
  </si>
  <si>
    <t>2.1.12</t>
  </si>
  <si>
    <t>2.1.13</t>
  </si>
  <si>
    <t>04.08.020</t>
  </si>
  <si>
    <t>2.1.14</t>
  </si>
  <si>
    <t>04.08.040</t>
  </si>
  <si>
    <t>2.1.15</t>
  </si>
  <si>
    <t>04.08.060</t>
  </si>
  <si>
    <t>2.1.16</t>
  </si>
  <si>
    <t>2.1.17</t>
  </si>
  <si>
    <t>05.07.040</t>
  </si>
  <si>
    <t>2.1.18</t>
  </si>
  <si>
    <t>05.07.070</t>
  </si>
  <si>
    <t>2.1.19</t>
  </si>
  <si>
    <t>05.04.060</t>
  </si>
  <si>
    <t>RETIRADA DE INSTALAÇÕES ELÉTRICAS</t>
  </si>
  <si>
    <t>2.2.7</t>
  </si>
  <si>
    <t>2.2.8</t>
  </si>
  <si>
    <t>2.2.9</t>
  </si>
  <si>
    <t>2.2.10</t>
  </si>
  <si>
    <t>RETIRADA DE INSTALAÇÕES HIDRAULICAS</t>
  </si>
  <si>
    <t>2.3.2</t>
  </si>
  <si>
    <t>2.3.3</t>
  </si>
  <si>
    <t>2.3.4</t>
  </si>
  <si>
    <t>2.3.5</t>
  </si>
  <si>
    <t>2.3.6</t>
  </si>
  <si>
    <t>2.3.7</t>
  </si>
  <si>
    <t>RETIRADA DE INSTALAÇÕES MECÂNICAS</t>
  </si>
  <si>
    <t>2.4.3</t>
  </si>
  <si>
    <t>09.64.099</t>
  </si>
  <si>
    <t>ENSAIOS</t>
  </si>
  <si>
    <t>2.5.3</t>
  </si>
  <si>
    <t>2.5.4</t>
  </si>
  <si>
    <t>2.5.5</t>
  </si>
  <si>
    <t>FUNDAÇÕES</t>
  </si>
  <si>
    <t>ABERTURA DE VALAS E RECOMPOSIÇÃO</t>
  </si>
  <si>
    <t>12.07.010</t>
  </si>
  <si>
    <t>3.2.6</t>
  </si>
  <si>
    <t>12.07.110</t>
  </si>
  <si>
    <t>3.2.7</t>
  </si>
  <si>
    <t>3.2.8</t>
  </si>
  <si>
    <t>74106/1</t>
  </si>
  <si>
    <t>3.2.9</t>
  </si>
  <si>
    <t>3.2.10</t>
  </si>
  <si>
    <t>73990/1</t>
  </si>
  <si>
    <t>4.3</t>
  </si>
  <si>
    <t>4.4</t>
  </si>
  <si>
    <t>4.5</t>
  </si>
  <si>
    <t>4.6</t>
  </si>
  <si>
    <t>4.7</t>
  </si>
  <si>
    <t>4.8</t>
  </si>
  <si>
    <t>5.3</t>
  </si>
  <si>
    <t>5.4</t>
  </si>
  <si>
    <t>5.5</t>
  </si>
  <si>
    <t>5.6</t>
  </si>
  <si>
    <t>5.7</t>
  </si>
  <si>
    <t>5.8</t>
  </si>
  <si>
    <t>32.06.030</t>
  </si>
  <si>
    <t>5.9</t>
  </si>
  <si>
    <t>14.30.843</t>
  </si>
  <si>
    <t>5.10</t>
  </si>
  <si>
    <t>14.30.070</t>
  </si>
  <si>
    <t>5.11</t>
  </si>
  <si>
    <t>04.02.014</t>
  </si>
  <si>
    <t>ELEMENTO VAZADO DE CONCRETO TIPO QUADRICULADO 16 FUROS C/ALETAS INCLINADAS 39X39X10CM</t>
  </si>
  <si>
    <t>5.12</t>
  </si>
  <si>
    <t>DIVISÓRIA RETRÁTIL ARTICULADA EM PAINEL LAMINADO MELAMÍNICO</t>
  </si>
  <si>
    <t>5.13</t>
  </si>
  <si>
    <t>73908/1</t>
  </si>
  <si>
    <t>5.14</t>
  </si>
  <si>
    <t>5.15</t>
  </si>
  <si>
    <t>5.16</t>
  </si>
  <si>
    <t>5.17</t>
  </si>
  <si>
    <t>5.18</t>
  </si>
  <si>
    <t>5.19</t>
  </si>
  <si>
    <t>5.20</t>
  </si>
  <si>
    <t>6.4</t>
  </si>
  <si>
    <t>17.01.060</t>
  </si>
  <si>
    <t>6.5</t>
  </si>
  <si>
    <t>6.6</t>
  </si>
  <si>
    <t>6.7</t>
  </si>
  <si>
    <t>6.8</t>
  </si>
  <si>
    <t>18.07.160</t>
  </si>
  <si>
    <t>6.9</t>
  </si>
  <si>
    <t>18.07.250</t>
  </si>
  <si>
    <t>6.10</t>
  </si>
  <si>
    <t>21.02.281</t>
  </si>
  <si>
    <t>6.11</t>
  </si>
  <si>
    <t>21.10.081</t>
  </si>
  <si>
    <t>6.12</t>
  </si>
  <si>
    <t>6.13</t>
  </si>
  <si>
    <t>19.01.040</t>
  </si>
  <si>
    <t>7.5</t>
  </si>
  <si>
    <t>7.6</t>
  </si>
  <si>
    <t>7.7</t>
  </si>
  <si>
    <t>15.03.131</t>
  </si>
  <si>
    <t>27.02.041</t>
  </si>
  <si>
    <t>74064/1</t>
  </si>
  <si>
    <t>22.02.100</t>
  </si>
  <si>
    <t>22.03.140</t>
  </si>
  <si>
    <t>22.20.090</t>
  </si>
  <si>
    <t>10.4</t>
  </si>
  <si>
    <t>22.03.160</t>
  </si>
  <si>
    <t>10.5</t>
  </si>
  <si>
    <t>ESQUADRIAS DE MADEIRA</t>
  </si>
  <si>
    <t>23.04.600</t>
  </si>
  <si>
    <t>23.04.610</t>
  </si>
  <si>
    <t>23.04.620</t>
  </si>
  <si>
    <t>23.04.130</t>
  </si>
  <si>
    <t>11.5</t>
  </si>
  <si>
    <t>23.04.580</t>
  </si>
  <si>
    <t>23.04.140</t>
  </si>
  <si>
    <t>11.7</t>
  </si>
  <si>
    <t>30.04.060</t>
  </si>
  <si>
    <t>11.8</t>
  </si>
  <si>
    <t>24.20.120</t>
  </si>
  <si>
    <t>11.9</t>
  </si>
  <si>
    <t>23.20.120</t>
  </si>
  <si>
    <t>11.10</t>
  </si>
  <si>
    <t>23.20.140</t>
  </si>
  <si>
    <t>11.11</t>
  </si>
  <si>
    <t>23.08.060</t>
  </si>
  <si>
    <t>11.12</t>
  </si>
  <si>
    <t>23.08.100</t>
  </si>
  <si>
    <t>ESQUADRIAS DE ALUMINIO</t>
  </si>
  <si>
    <t>25.01.020</t>
  </si>
  <si>
    <t>25.01.361</t>
  </si>
  <si>
    <t>25.01.100</t>
  </si>
  <si>
    <t>12.4</t>
  </si>
  <si>
    <t>24.03.200</t>
  </si>
  <si>
    <t>12.5</t>
  </si>
  <si>
    <t>25.02.211</t>
  </si>
  <si>
    <t>12.6</t>
  </si>
  <si>
    <t>25.02.310</t>
  </si>
  <si>
    <t>12.7</t>
  </si>
  <si>
    <t>24.02.080</t>
  </si>
  <si>
    <t>12.8</t>
  </si>
  <si>
    <t>24.02.100</t>
  </si>
  <si>
    <t>SERRALHERIA E ELEMENTOS ESPECIAIS</t>
  </si>
  <si>
    <t>24.08.040</t>
  </si>
  <si>
    <t>27.04.040</t>
  </si>
  <si>
    <t>PORTA COM PROTEÇÃO RADIOLÓGICA 1,62 X 2,10 M</t>
  </si>
  <si>
    <t>VISOR VIDRO PLUMBIFERO 0,40 X 0,50 M</t>
  </si>
  <si>
    <t>14.6</t>
  </si>
  <si>
    <t>04.09.020</t>
  </si>
  <si>
    <t>14.7</t>
  </si>
  <si>
    <t>22.06.240</t>
  </si>
  <si>
    <t>14.8</t>
  </si>
  <si>
    <t>21.03.151</t>
  </si>
  <si>
    <t>GRANITO</t>
  </si>
  <si>
    <t>COMPLEMENTOS DE ESQUADRIAS</t>
  </si>
  <si>
    <t>28.01.020</t>
  </si>
  <si>
    <t>28.01.030</t>
  </si>
  <si>
    <t>28.01.070</t>
  </si>
  <si>
    <t>28.01.210</t>
  </si>
  <si>
    <t>28.20.650</t>
  </si>
  <si>
    <t>BARRAS DE APOIO - ACESSIBILIDADE</t>
  </si>
  <si>
    <t>30.01.020</t>
  </si>
  <si>
    <t>30.01.030</t>
  </si>
  <si>
    <t>30.01.050</t>
  </si>
  <si>
    <t>30.01.130</t>
  </si>
  <si>
    <t>17.5</t>
  </si>
  <si>
    <t>30.08.030</t>
  </si>
  <si>
    <t>18.5</t>
  </si>
  <si>
    <t>73794/1</t>
  </si>
  <si>
    <t>18.6</t>
  </si>
  <si>
    <t>73924/3</t>
  </si>
  <si>
    <t>INTALAÇÕES ELÉTRICAS</t>
  </si>
  <si>
    <t xml:space="preserve">QUADRO DISTRIBUIÇÃO </t>
  </si>
  <si>
    <t>19.1.1</t>
  </si>
  <si>
    <t>37.03.220</t>
  </si>
  <si>
    <t>19.1.2</t>
  </si>
  <si>
    <t>37.03.250</t>
  </si>
  <si>
    <t>19.1.3</t>
  </si>
  <si>
    <t>37.10.010</t>
  </si>
  <si>
    <t>19.1.4</t>
  </si>
  <si>
    <t>37.13.600</t>
  </si>
  <si>
    <t>19.1.5</t>
  </si>
  <si>
    <t>37.13.630</t>
  </si>
  <si>
    <t>19.1.6</t>
  </si>
  <si>
    <t>37.13.650</t>
  </si>
  <si>
    <t>19.1.7</t>
  </si>
  <si>
    <t>37.13.720</t>
  </si>
  <si>
    <t>19.1.8</t>
  </si>
  <si>
    <t>37.13.730</t>
  </si>
  <si>
    <t>19.1.9</t>
  </si>
  <si>
    <t>37.17.110</t>
  </si>
  <si>
    <t>19.1.10</t>
  </si>
  <si>
    <t>37.24.040</t>
  </si>
  <si>
    <t>ELETRODUTO PVC RÍGIDO</t>
  </si>
  <si>
    <t>19.2.1</t>
  </si>
  <si>
    <t>19.2.2</t>
  </si>
  <si>
    <t>19.2.3</t>
  </si>
  <si>
    <t>19.2.4</t>
  </si>
  <si>
    <t>19.2.5</t>
  </si>
  <si>
    <t>ELETRODUTO GALVANIZADO</t>
  </si>
  <si>
    <t>19.3.1</t>
  </si>
  <si>
    <t>19.3.2</t>
  </si>
  <si>
    <t>38.04.060</t>
  </si>
  <si>
    <t>19.3.3</t>
  </si>
  <si>
    <t>19.3.4</t>
  </si>
  <si>
    <t>CANALETA PERFILADO E ACESSÓRIOS</t>
  </si>
  <si>
    <t>19.4.1</t>
  </si>
  <si>
    <t>38.07.050</t>
  </si>
  <si>
    <t>19.4.2</t>
  </si>
  <si>
    <t>38.07.130</t>
  </si>
  <si>
    <t>19.4.3</t>
  </si>
  <si>
    <t>38.07.210</t>
  </si>
  <si>
    <t>19.4.4</t>
  </si>
  <si>
    <t>38.07.220</t>
  </si>
  <si>
    <t>19.4.5</t>
  </si>
  <si>
    <t>38.07.230</t>
  </si>
  <si>
    <t>19.4.6</t>
  </si>
  <si>
    <t>38.07.216</t>
  </si>
  <si>
    <t>19.4.7</t>
  </si>
  <si>
    <t>19.4.8</t>
  </si>
  <si>
    <t>19.4.9</t>
  </si>
  <si>
    <t>ELETRODUTO EM PVC FLEXIVEL</t>
  </si>
  <si>
    <t>19.5.1</t>
  </si>
  <si>
    <t>38.15.020</t>
  </si>
  <si>
    <t>19.5.2</t>
  </si>
  <si>
    <t>38.19.030</t>
  </si>
  <si>
    <t>19.5.3</t>
  </si>
  <si>
    <t>38.19.040</t>
  </si>
  <si>
    <t>ELETROCALHA E ACESSÓRIOS</t>
  </si>
  <si>
    <t>19.6.1</t>
  </si>
  <si>
    <t>38.21.920</t>
  </si>
  <si>
    <t>19.6.2</t>
  </si>
  <si>
    <t>38.22.140</t>
  </si>
  <si>
    <t>19.6.3</t>
  </si>
  <si>
    <t>38.22.620</t>
  </si>
  <si>
    <t>19.6.4</t>
  </si>
  <si>
    <t>38.22.650</t>
  </si>
  <si>
    <t>19.6.5</t>
  </si>
  <si>
    <t>38.23.050</t>
  </si>
  <si>
    <t>CABO DE COBRE</t>
  </si>
  <si>
    <t>19.7.1</t>
  </si>
  <si>
    <t>19.7.2</t>
  </si>
  <si>
    <t>19.7.3</t>
  </si>
  <si>
    <t>19.7.4</t>
  </si>
  <si>
    <t>19.7.5</t>
  </si>
  <si>
    <t>19.7.6</t>
  </si>
  <si>
    <t>19.7.7</t>
  </si>
  <si>
    <t>19.7.8</t>
  </si>
  <si>
    <t>19.7.9</t>
  </si>
  <si>
    <t>19.7.10</t>
  </si>
  <si>
    <t>19.7.11</t>
  </si>
  <si>
    <t>19.7.12</t>
  </si>
  <si>
    <t>19.7.13</t>
  </si>
  <si>
    <t>19.7.14</t>
  </si>
  <si>
    <t>19.7.15</t>
  </si>
  <si>
    <t>19.7.16</t>
  </si>
  <si>
    <t>19.7.17</t>
  </si>
  <si>
    <t>19.7.18</t>
  </si>
  <si>
    <t>19.7.19</t>
  </si>
  <si>
    <t>19.7.20</t>
  </si>
  <si>
    <t>19.8</t>
  </si>
  <si>
    <t>CAIXA DE PASSAGEM / CONDULETES</t>
  </si>
  <si>
    <t>19.8.1</t>
  </si>
  <si>
    <t>19.8.2</t>
  </si>
  <si>
    <t>19.8.3</t>
  </si>
  <si>
    <t>19.8.4</t>
  </si>
  <si>
    <t>19.8.5</t>
  </si>
  <si>
    <t>19.8.6</t>
  </si>
  <si>
    <t>19.8.7</t>
  </si>
  <si>
    <t>19.8.8</t>
  </si>
  <si>
    <t>19.8.9</t>
  </si>
  <si>
    <t>19.8.10</t>
  </si>
  <si>
    <t>19.8.11</t>
  </si>
  <si>
    <t>19.9</t>
  </si>
  <si>
    <t>TOMADAS / INTERRUPTORES</t>
  </si>
  <si>
    <t>19.9.1</t>
  </si>
  <si>
    <t>40.04.450</t>
  </si>
  <si>
    <t>19.9.2</t>
  </si>
  <si>
    <t>40.04.460</t>
  </si>
  <si>
    <t>19.9.3</t>
  </si>
  <si>
    <t>40.20.240</t>
  </si>
  <si>
    <t>19.9.4</t>
  </si>
  <si>
    <t>40.04.090</t>
  </si>
  <si>
    <t>19.9.5</t>
  </si>
  <si>
    <t>40.04.096</t>
  </si>
  <si>
    <t>19.9.6</t>
  </si>
  <si>
    <t>69.03.340</t>
  </si>
  <si>
    <t>19.9.7</t>
  </si>
  <si>
    <t>40.05.020</t>
  </si>
  <si>
    <t>19.9.8</t>
  </si>
  <si>
    <t>40.05.040</t>
  </si>
  <si>
    <t>19.9.9</t>
  </si>
  <si>
    <t>40.05.080</t>
  </si>
  <si>
    <t>19.9.10</t>
  </si>
  <si>
    <t>50.05.230</t>
  </si>
  <si>
    <t>19.10</t>
  </si>
  <si>
    <t>TELEFONIA</t>
  </si>
  <si>
    <t>19.10.1</t>
  </si>
  <si>
    <t>37.01.160</t>
  </si>
  <si>
    <t>19.10.2</t>
  </si>
  <si>
    <t>37.01.220</t>
  </si>
  <si>
    <t>19.10.3</t>
  </si>
  <si>
    <t>66.08.110</t>
  </si>
  <si>
    <t>19.10.4</t>
  </si>
  <si>
    <t>39.11.020</t>
  </si>
  <si>
    <t>19.10.5</t>
  </si>
  <si>
    <t>39.11.040</t>
  </si>
  <si>
    <t>19.10.6</t>
  </si>
  <si>
    <t>39.18.126</t>
  </si>
  <si>
    <t>19.11</t>
  </si>
  <si>
    <t>CABOS TRANSMISSÃO DE DADOS</t>
  </si>
  <si>
    <t>19.11.1</t>
  </si>
  <si>
    <t>39.18.120</t>
  </si>
  <si>
    <t>19.11.2</t>
  </si>
  <si>
    <t>66.20.170</t>
  </si>
  <si>
    <t>19.12</t>
  </si>
  <si>
    <t>CABO PARA SONORIZAÇÃO</t>
  </si>
  <si>
    <t>19.12.1</t>
  </si>
  <si>
    <t>39.30.010</t>
  </si>
  <si>
    <t>19.13</t>
  </si>
  <si>
    <t>CABO PARA ENFERMARIA</t>
  </si>
  <si>
    <t>19.13.1</t>
  </si>
  <si>
    <t>19.14</t>
  </si>
  <si>
    <t>CABO PARA CONTROLE DE ACESSO/SENHAS E TV</t>
  </si>
  <si>
    <t>19.14.1</t>
  </si>
  <si>
    <t>19.14.2</t>
  </si>
  <si>
    <t>39.12.510</t>
  </si>
  <si>
    <t>19.14.3</t>
  </si>
  <si>
    <t>39.18.114</t>
  </si>
  <si>
    <t>19.15</t>
  </si>
  <si>
    <t>CABO PARA REDE DE INCENDIO</t>
  </si>
  <si>
    <t>19.15.1</t>
  </si>
  <si>
    <t>19.16</t>
  </si>
  <si>
    <t>19.16.1</t>
  </si>
  <si>
    <t>IT MÉDICO-DSI/DST-SISTEMA COMPLETO PARA ATENDIMENTO AS UTI. (16 UN)</t>
  </si>
  <si>
    <t>19.16.2</t>
  </si>
  <si>
    <t>30.06.061</t>
  </si>
  <si>
    <t>19.16.3</t>
  </si>
  <si>
    <t>69.06.040</t>
  </si>
  <si>
    <t>19.17</t>
  </si>
  <si>
    <t>ILUMINAÇÃO</t>
  </si>
  <si>
    <t>19.17.1</t>
  </si>
  <si>
    <t>41.04.100</t>
  </si>
  <si>
    <t>19.17.2</t>
  </si>
  <si>
    <t>41.07.070</t>
  </si>
  <si>
    <t>19.17.3</t>
  </si>
  <si>
    <t>41.07.410</t>
  </si>
  <si>
    <t>19.17.4</t>
  </si>
  <si>
    <t>41.07.450</t>
  </si>
  <si>
    <t>19.17.5</t>
  </si>
  <si>
    <t>41.09.750</t>
  </si>
  <si>
    <t>19.17.6</t>
  </si>
  <si>
    <t>41.14.020</t>
  </si>
  <si>
    <t>19.17.7</t>
  </si>
  <si>
    <t>41.14.530</t>
  </si>
  <si>
    <t>19.18</t>
  </si>
  <si>
    <t>TRANSFORMADORES / GERADORES</t>
  </si>
  <si>
    <t>19.18.1</t>
  </si>
  <si>
    <t>19.18.2</t>
  </si>
  <si>
    <t>19.18.3</t>
  </si>
  <si>
    <t>19.19</t>
  </si>
  <si>
    <t>19.19.1</t>
  </si>
  <si>
    <t>19.19.2</t>
  </si>
  <si>
    <t>19.19.3</t>
  </si>
  <si>
    <t>19.19.4</t>
  </si>
  <si>
    <t>19.19.5</t>
  </si>
  <si>
    <t>19.19.6</t>
  </si>
  <si>
    <t>19.19.7</t>
  </si>
  <si>
    <t>19.19.8</t>
  </si>
  <si>
    <t>42.20.170</t>
  </si>
  <si>
    <t>19.19.9</t>
  </si>
  <si>
    <t>ÁGUA FRIA</t>
  </si>
  <si>
    <t>20.1.1</t>
  </si>
  <si>
    <t>20.1.2</t>
  </si>
  <si>
    <t>20.1.3</t>
  </si>
  <si>
    <t>20.1.4</t>
  </si>
  <si>
    <t>20.1.5</t>
  </si>
  <si>
    <t>20.2</t>
  </si>
  <si>
    <t>REDE DE ESGOTO / PLUVIAIS</t>
  </si>
  <si>
    <t>20.2.1</t>
  </si>
  <si>
    <t>20.2.2</t>
  </si>
  <si>
    <t>20.2.3</t>
  </si>
  <si>
    <t>20.2.4</t>
  </si>
  <si>
    <t>20.2.5</t>
  </si>
  <si>
    <t>46.03.050</t>
  </si>
  <si>
    <t>20.2.6</t>
  </si>
  <si>
    <t>46.03.060</t>
  </si>
  <si>
    <t>20.2.7</t>
  </si>
  <si>
    <t>46.05.020</t>
  </si>
  <si>
    <t>20.2.8</t>
  </si>
  <si>
    <t>46.05.040</t>
  </si>
  <si>
    <t>20.2.9</t>
  </si>
  <si>
    <t>46.05.050</t>
  </si>
  <si>
    <t>20.2.10</t>
  </si>
  <si>
    <t>46.10.250</t>
  </si>
  <si>
    <t>20.3</t>
  </si>
  <si>
    <t>CAIXA, RALO, GRELHA E ACESSÓRIOS</t>
  </si>
  <si>
    <t>20.3.1</t>
  </si>
  <si>
    <t>49.01.030</t>
  </si>
  <si>
    <t>20.3.2</t>
  </si>
  <si>
    <t>49.04.010</t>
  </si>
  <si>
    <t>20.3.3</t>
  </si>
  <si>
    <t>49.05.040</t>
  </si>
  <si>
    <t>20.3.4</t>
  </si>
  <si>
    <t>49.06.010</t>
  </si>
  <si>
    <t>20.3.5</t>
  </si>
  <si>
    <t>49.06.020</t>
  </si>
  <si>
    <t>20.3.6</t>
  </si>
  <si>
    <t>49.06.140</t>
  </si>
  <si>
    <t>20.3.7</t>
  </si>
  <si>
    <t>49.03.020</t>
  </si>
  <si>
    <t>20.3.8</t>
  </si>
  <si>
    <t>49.12.100</t>
  </si>
  <si>
    <t>21.1</t>
  </si>
  <si>
    <t>21.2</t>
  </si>
  <si>
    <t>21.3</t>
  </si>
  <si>
    <t>47.05.140</t>
  </si>
  <si>
    <t>21.4</t>
  </si>
  <si>
    <t>50.01.130</t>
  </si>
  <si>
    <t>21.5</t>
  </si>
  <si>
    <t>50.01.090</t>
  </si>
  <si>
    <t>21.6</t>
  </si>
  <si>
    <t>50.01.110</t>
  </si>
  <si>
    <t>21.7</t>
  </si>
  <si>
    <t>50.01.170</t>
  </si>
  <si>
    <t>21.8</t>
  </si>
  <si>
    <t>50.01.190</t>
  </si>
  <si>
    <t>21.9</t>
  </si>
  <si>
    <t>50.05.170</t>
  </si>
  <si>
    <t>21.10</t>
  </si>
  <si>
    <t>50.05.210</t>
  </si>
  <si>
    <t>21.11</t>
  </si>
  <si>
    <t>21.12</t>
  </si>
  <si>
    <t>50.05.260</t>
  </si>
  <si>
    <t>21.13</t>
  </si>
  <si>
    <t>21.14</t>
  </si>
  <si>
    <t>50.05.440</t>
  </si>
  <si>
    <t>21.15</t>
  </si>
  <si>
    <t>50.05.450</t>
  </si>
  <si>
    <t>21.16</t>
  </si>
  <si>
    <t>50.10.030</t>
  </si>
  <si>
    <t>21.17</t>
  </si>
  <si>
    <t>50.10.058</t>
  </si>
  <si>
    <t>21.18</t>
  </si>
  <si>
    <t>50.10.090</t>
  </si>
  <si>
    <t>21.19</t>
  </si>
  <si>
    <t>50.10.100</t>
  </si>
  <si>
    <t>21.20</t>
  </si>
  <si>
    <t>50.10.140</t>
  </si>
  <si>
    <t xml:space="preserve">REDE DE GÁS MEDICINAIS </t>
  </si>
  <si>
    <t>22.1</t>
  </si>
  <si>
    <t>TUBULAÇÕES</t>
  </si>
  <si>
    <t>22.1.1</t>
  </si>
  <si>
    <t>46.10.010</t>
  </si>
  <si>
    <t>22.1.2</t>
  </si>
  <si>
    <t>46.10.020</t>
  </si>
  <si>
    <t>22.1.3</t>
  </si>
  <si>
    <t>46.10.030</t>
  </si>
  <si>
    <t>22.1.4</t>
  </si>
  <si>
    <t>47.01.170</t>
  </si>
  <si>
    <t>22.1.5</t>
  </si>
  <si>
    <t>47.01.180</t>
  </si>
  <si>
    <t>22.1.6</t>
  </si>
  <si>
    <t>47.01.190</t>
  </si>
  <si>
    <t>22.1.7</t>
  </si>
  <si>
    <t>22.1.8</t>
  </si>
  <si>
    <t>TESTES ESPECIAIS COM NITROGENIO E LIMPEZA FINAL</t>
  </si>
  <si>
    <t>22.1.9</t>
  </si>
  <si>
    <t>LIMPEZA QUIMICA COMPLETA, INCLUINDO  DESENGRAXANTE E ESTERILIZACAO DAS TUBULACOES</t>
  </si>
  <si>
    <t>22.2</t>
  </si>
  <si>
    <t>EQUIPAMENTOS E SERVIÇOS</t>
  </si>
  <si>
    <t>22.2.1</t>
  </si>
  <si>
    <t>CAIXA DE SECCIONAMENTO SIMPLES</t>
  </si>
  <si>
    <t>22.2.2</t>
  </si>
  <si>
    <t>CAIXA DE SETORIZACAO COM PONTOS DE TESTES, MANOMETROS E TAMPA ACRILICA ESPECIAL</t>
  </si>
  <si>
    <t>22.2.3</t>
  </si>
  <si>
    <t>TERMINAL ESPECIAL PARA CAIXA DE PAINEIS DE CABECEIRA,  COLUNAS RETRATEIS E FIXAS</t>
  </si>
  <si>
    <t>22.2.4</t>
  </si>
  <si>
    <t>POSTO APARENTE COMPLETO C/VALVULA DE IMPACTO ,CANOPLA E ETIQUETA DE IDENTIFICACAO</t>
  </si>
  <si>
    <t>22.2.5</t>
  </si>
  <si>
    <t>POSTO EMBUTIDO COMPLETO C/ VALVULA DE IMPACTO ,CANOPLA E ETIQUETA DE IDENTIFICACAO</t>
  </si>
  <si>
    <t>22.2.6</t>
  </si>
  <si>
    <t>PAINEL DE MONITORAMENTO E ALARME SONORO E VISUAL  E ETIQUETA DE IDENTIFICACAO</t>
  </si>
  <si>
    <t>22.3</t>
  </si>
  <si>
    <t>REGISTRO DE ESFERA MONOBLOCO PASS PLENA CONF. ESPECIFICAÇÕES TÉCNICAS MONTADA</t>
  </si>
  <si>
    <t>22.3.1</t>
  </si>
  <si>
    <t>VÁLVULA DE ESFERA EM AÇO CARBONO FUNDIDO, PASSAGEM PLENA, CLASSE 150 LIBRAS PARA VAPOR E CLASSE 600 LIBRAS PARA ÁGUA, ÓLEO E GÁS, DN= 1/2´</t>
  </si>
  <si>
    <t>22.3.2</t>
  </si>
  <si>
    <t>VÁLVULA DE ESFERA EM AÇO CARBONO FUNDIDO, PASSAGEM PLENA, CLASSE 150 LIBRAS PARA VAPOR E CLASSE 600 LIBRAS PARA ÁGUA, ÓLEO E GÁS, DN= 3/4´</t>
  </si>
  <si>
    <t>22.3.3</t>
  </si>
  <si>
    <t>VÁLVULA DE ESFERA EM AÇO CARBONO FUNDIDO, PASSAGEM PLENA, CLASSE 150 LIBRAS PARA VAPOR E CLASSE 600 LIBRAS PARA ÁGUA, ÓLEO E GÁS, DN= 1´</t>
  </si>
  <si>
    <t>22.3.4</t>
  </si>
  <si>
    <t>REGISTRO DE ESFERA MONOBLOCO PASS PLENA DIAMETRO, 11/4"</t>
  </si>
  <si>
    <t>22.3.5</t>
  </si>
  <si>
    <t>VÁLVULA DE ESFERA EM AÇO CARBONO FUNDIDO, PASSAGEM REDUZIDA, CLASSE 150 LIBRAS PARA VAPOR E CLASSE 600 LIBRAS PARA ÁGUA, ÓLEO E GÁS, DN= 1 1/2´</t>
  </si>
  <si>
    <t>22.4</t>
  </si>
  <si>
    <t>EQUIPAMENTOS - PAINEIS DE CABECEIRA</t>
  </si>
  <si>
    <t>22.4.1</t>
  </si>
  <si>
    <t>RÉGUAS C/ GASES ELETRICA, SINAIS AVISO, LOGICA OU RES. COMPLETOS MODELO  " QUALITY " TIPO R1 - ATÉ 8 MODULOS</t>
  </si>
  <si>
    <t>22.4.2</t>
  </si>
  <si>
    <t>RÉGUAS C/ GASES ELETRICA, SINAIS AVISO, LOGICA OU RES. COMPLETOS MODELO  " QUALITY " TIPO R3 - ATÉ 12 MODULOS</t>
  </si>
  <si>
    <t>22.4.3</t>
  </si>
  <si>
    <t>RÉGUAS C/ GASES ELETRICA, SINAIS AVISO, LOGICA OU RES. COMPLETOS MODELO  " QUALITY " TIPO R4 - ATÉ 15 MODULOS</t>
  </si>
  <si>
    <t>22.4.4</t>
  </si>
  <si>
    <t>RÉGUAS C/ GASES ELETRICA, SINAIS AVISO, LOGICA OU RES. COMPLETOS MODELO  " QUALITY " TIPO R5 - ATÉ 25 MODULOS</t>
  </si>
  <si>
    <t>22.5</t>
  </si>
  <si>
    <t>EQUIPAMENTOS - CENTRAIS COMPLETA</t>
  </si>
  <si>
    <t>CENTRAL DE AR MEDICINAL COMPLETA, CONFORME ESPECIFICACOES</t>
  </si>
  <si>
    <t>CENTRAL DE VACUO CLINICO, COMPLETA, CONFORME ESPECIFICACOES</t>
  </si>
  <si>
    <t>22.6</t>
  </si>
  <si>
    <t>CENTRAIS DE CILINDROS, COM SISTEMA SEMI-AUTOMATICO DE FUNCIONAMENTO, COMPLETAS</t>
  </si>
  <si>
    <t xml:space="preserve">MODELO 1+1 </t>
  </si>
  <si>
    <t>MODELO 3+3</t>
  </si>
  <si>
    <t>22.7</t>
  </si>
  <si>
    <t>COMPOSICAO DE MAO DE OBRA</t>
  </si>
  <si>
    <t>MONTAGEM REDES DE DISTRIBUICAO</t>
  </si>
  <si>
    <t>22.8</t>
  </si>
  <si>
    <t>ASSISTENCIA TECNICA - ACABAMENTOS / TESTES FINAIS</t>
  </si>
  <si>
    <t>MONTAGEM DE CENTRAIS DE CILINDROS</t>
  </si>
  <si>
    <t>MONTAGEM DE CENTRAL DE AR MEDICINAL</t>
  </si>
  <si>
    <t xml:space="preserve">MONTAGEM DE CENTRAL DE VACUO </t>
  </si>
  <si>
    <t>MONTAGEM DE PAINEIS DE CABECEIRA</t>
  </si>
  <si>
    <t xml:space="preserve">TESTES DE ESTANQUEIDADE DE REDES PARA LIBERAÇÃO DE PAREDES E LAUDOS </t>
  </si>
  <si>
    <t>LOUÇAS E METAIS</t>
  </si>
  <si>
    <t>23.1</t>
  </si>
  <si>
    <t>23.2</t>
  </si>
  <si>
    <t>23.3</t>
  </si>
  <si>
    <t>23.4</t>
  </si>
  <si>
    <t>44.01.850</t>
  </si>
  <si>
    <t>23.5</t>
  </si>
  <si>
    <t>44.02.060</t>
  </si>
  <si>
    <t>23.6</t>
  </si>
  <si>
    <t>44.02.200</t>
  </si>
  <si>
    <t>23.7</t>
  </si>
  <si>
    <t>44.06.330</t>
  </si>
  <si>
    <t>23.8</t>
  </si>
  <si>
    <t>44.06.360</t>
  </si>
  <si>
    <t>23.9</t>
  </si>
  <si>
    <t>44.01.310</t>
  </si>
  <si>
    <t>23.10</t>
  </si>
  <si>
    <t>44.03.040</t>
  </si>
  <si>
    <t>23.11</t>
  </si>
  <si>
    <t>44.03.050</t>
  </si>
  <si>
    <t>23.12</t>
  </si>
  <si>
    <t>44.03.130</t>
  </si>
  <si>
    <t>23.13</t>
  </si>
  <si>
    <t>44.03.180</t>
  </si>
  <si>
    <t>23.14</t>
  </si>
  <si>
    <t>44.03.310</t>
  </si>
  <si>
    <t>23.15</t>
  </si>
  <si>
    <t>44.03.300</t>
  </si>
  <si>
    <t>23.16</t>
  </si>
  <si>
    <t>44.03.390</t>
  </si>
  <si>
    <t>23.17</t>
  </si>
  <si>
    <t>44.03.360</t>
  </si>
  <si>
    <t>23.18</t>
  </si>
  <si>
    <t>44.20.220</t>
  </si>
  <si>
    <t>23.19</t>
  </si>
  <si>
    <t>44.20.200</t>
  </si>
  <si>
    <t>23.20</t>
  </si>
  <si>
    <t>44.20.620</t>
  </si>
  <si>
    <t>23.21</t>
  </si>
  <si>
    <t>44.20.640</t>
  </si>
  <si>
    <t>23.22</t>
  </si>
  <si>
    <t>44.20.650</t>
  </si>
  <si>
    <t>23.23</t>
  </si>
  <si>
    <t>44.20.100</t>
  </si>
  <si>
    <t>23.24</t>
  </si>
  <si>
    <t>44.20.230</t>
  </si>
  <si>
    <t>23.25</t>
  </si>
  <si>
    <t>47.02.020</t>
  </si>
  <si>
    <t>23.26</t>
  </si>
  <si>
    <t>47.02.030</t>
  </si>
  <si>
    <t>23.27</t>
  </si>
  <si>
    <t>47.02.040</t>
  </si>
  <si>
    <t>23.28</t>
  </si>
  <si>
    <t>47.02.050</t>
  </si>
  <si>
    <t>23.29</t>
  </si>
  <si>
    <t>47.02.110</t>
  </si>
  <si>
    <t>23.30</t>
  </si>
  <si>
    <t>47.02.200</t>
  </si>
  <si>
    <t>23.31</t>
  </si>
  <si>
    <t>43.02.080</t>
  </si>
  <si>
    <t>23.32</t>
  </si>
  <si>
    <t>44.03.670</t>
  </si>
  <si>
    <t>23.33</t>
  </si>
  <si>
    <t>47.04.080</t>
  </si>
  <si>
    <t>23.34</t>
  </si>
  <si>
    <t>47.04.050</t>
  </si>
  <si>
    <t>23.35</t>
  </si>
  <si>
    <t>44.20.280</t>
  </si>
  <si>
    <t>23.36</t>
  </si>
  <si>
    <t>44.20.300</t>
  </si>
  <si>
    <t>23.37</t>
  </si>
  <si>
    <t>43.02.160</t>
  </si>
  <si>
    <t>23.38</t>
  </si>
  <si>
    <t>ESPURGADEIRA COM TAMPA AÇO INOX</t>
  </si>
  <si>
    <t>24.1</t>
  </si>
  <si>
    <t>CONFORTO MECANICO</t>
  </si>
  <si>
    <t>30.14.020</t>
  </si>
  <si>
    <t>30.14.040</t>
  </si>
  <si>
    <t>61.01.680</t>
  </si>
  <si>
    <t>24.2</t>
  </si>
  <si>
    <t>SISTEMA DE REFRIGERAÇÃO</t>
  </si>
  <si>
    <t>65.02.100</t>
  </si>
  <si>
    <t>24.3</t>
  </si>
  <si>
    <t>SISTEMA DE AR CONDICIONADO</t>
  </si>
  <si>
    <t>TÉRREO</t>
  </si>
  <si>
    <t>SPLITÃO 20 TR (RTC200P+RVT200P)</t>
  </si>
  <si>
    <t>SPLITÃO 25 TR (RTC250P+RVT250P)</t>
  </si>
  <si>
    <t>SPLITÃO 10 TR (RTC100P+RVT100P)</t>
  </si>
  <si>
    <t>24.4</t>
  </si>
  <si>
    <t>1° PAVIMENTO</t>
  </si>
  <si>
    <t>SPLIT DUTADO 3,0 (RPI 3,0 + RAP 3,0)</t>
  </si>
  <si>
    <t>SPLIT DUTADO 2,0 (RPI 2,0 + RAP 2,0)</t>
  </si>
  <si>
    <t>24.5</t>
  </si>
  <si>
    <t>ÁREA  DO SEMI INTENSIVO</t>
  </si>
  <si>
    <t>SPLIT DUTADO 2,0 TR (RPI 2,0 + RAP 2,0)</t>
  </si>
  <si>
    <t>24.6</t>
  </si>
  <si>
    <t>ÁREA  INTERNAÇÃO</t>
  </si>
  <si>
    <t>24.7</t>
  </si>
  <si>
    <t>ÁREA  CME</t>
  </si>
  <si>
    <t>SPLIT HI WALL 2,0 TR (42FVCA22CS + 38FVCA22CS</t>
  </si>
  <si>
    <t>SPLIT DUTADO 4,0 TR (RPI 4,0 + RAP 4,0)</t>
  </si>
  <si>
    <t>24.8</t>
  </si>
  <si>
    <t>2º PAVIMENTO</t>
  </si>
  <si>
    <t>24.9</t>
  </si>
  <si>
    <t>VENTILADORES</t>
  </si>
  <si>
    <t>VENTILADOR DE INSUFLAMENTO E EXAUSTORES</t>
  </si>
  <si>
    <t>24.10</t>
  </si>
  <si>
    <t>DIFUSÃO DE AR</t>
  </si>
  <si>
    <t>ELEMENTOS DE DIFUSÃO DE AR  E VENTILAÇÃO MECÂNICA</t>
  </si>
  <si>
    <t>24.11</t>
  </si>
  <si>
    <t>REDE FRIGORIGENA</t>
  </si>
  <si>
    <t>REDE FRIGORIGENA SPLITÃO E MINI SPLIT</t>
  </si>
  <si>
    <t>24.12</t>
  </si>
  <si>
    <t>REDE DE DUTO</t>
  </si>
  <si>
    <t>REDE DUTO EQUIPAMENTOS DE AR CONDICIONADO E VENTILAÇÃO MECÂNICA</t>
  </si>
  <si>
    <t>24.13</t>
  </si>
  <si>
    <t>ELÉTRICA</t>
  </si>
  <si>
    <t>REDE ELÉTRICA EQUIPAMENTOS DE AR CONDICIONADO E VENTILAÇÃO MECÂNICA</t>
  </si>
  <si>
    <t>24.14</t>
  </si>
  <si>
    <t>QUADRO ELÉTRICO</t>
  </si>
  <si>
    <t>QUADRO ELÉTRICO PROTEÇÃO DOS EQUIPAMENTO DE AR + VENTILAÇÃO MECÂNICA</t>
  </si>
  <si>
    <t>24.15</t>
  </si>
  <si>
    <t>AMORTECEDOR DE BORRACHA</t>
  </si>
  <si>
    <t>SINALIZAÇÃO E COMUNICAÇÃO VISUAL</t>
  </si>
  <si>
    <t>30.06.080</t>
  </si>
  <si>
    <t>30.06.010</t>
  </si>
  <si>
    <t>30.04.030</t>
  </si>
  <si>
    <t>97.02.190</t>
  </si>
  <si>
    <t>LIMPEZA E ARREMATE</t>
  </si>
  <si>
    <t>TOTAL C/ BDI</t>
  </si>
  <si>
    <t>CEITEC</t>
  </si>
  <si>
    <t>CPOS 177</t>
  </si>
  <si>
    <t>SINAPI JANEIRO 2020</t>
  </si>
  <si>
    <t>EDIF JUL 19</t>
  </si>
  <si>
    <t>FDE ABRIL 19</t>
  </si>
  <si>
    <t>CDHU NOV 19</t>
  </si>
  <si>
    <t>REVISÃO 2</t>
  </si>
  <si>
    <t>BOM PRATO II</t>
  </si>
  <si>
    <t>97051</t>
  </si>
  <si>
    <t>02.02.120</t>
  </si>
  <si>
    <t>02.02.130</t>
  </si>
  <si>
    <t>02.02.140</t>
  </si>
  <si>
    <t>1.1.8</t>
  </si>
  <si>
    <t>02.02.150</t>
  </si>
  <si>
    <t>1.1.9</t>
  </si>
  <si>
    <t>93243</t>
  </si>
  <si>
    <t>1.1.10</t>
  </si>
  <si>
    <t>41598</t>
  </si>
  <si>
    <t>90686</t>
  </si>
  <si>
    <t>97063</t>
  </si>
  <si>
    <t>97062</t>
  </si>
  <si>
    <t>5928</t>
  </si>
  <si>
    <t>EQUIPE TÉCNICA</t>
  </si>
  <si>
    <t>93567</t>
  </si>
  <si>
    <t>93572</t>
  </si>
  <si>
    <t>93563</t>
  </si>
  <si>
    <t>1.3.4</t>
  </si>
  <si>
    <t>93566</t>
  </si>
  <si>
    <t>1.3.5</t>
  </si>
  <si>
    <t>100321</t>
  </si>
  <si>
    <t>1.3.6</t>
  </si>
  <si>
    <t>100289</t>
  </si>
  <si>
    <t>1.3.7</t>
  </si>
  <si>
    <t>88326</t>
  </si>
  <si>
    <t>1.3.8</t>
  </si>
  <si>
    <t>1.3.9</t>
  </si>
  <si>
    <t>01.17.031</t>
  </si>
  <si>
    <t>01.17.041</t>
  </si>
  <si>
    <t>01.17.061</t>
  </si>
  <si>
    <t>01.17.071</t>
  </si>
  <si>
    <t>01.17.081</t>
  </si>
  <si>
    <t>01.17.111</t>
  </si>
  <si>
    <t>01.17.121</t>
  </si>
  <si>
    <t>05.10.025</t>
  </si>
  <si>
    <t>03.01.240</t>
  </si>
  <si>
    <t>2.9</t>
  </si>
  <si>
    <t>2.10</t>
  </si>
  <si>
    <t>07.12.010</t>
  </si>
  <si>
    <t>2.11</t>
  </si>
  <si>
    <t xml:space="preserve">SINAPI - I </t>
  </si>
  <si>
    <t>ARGILA OU BARRO PARA ATERRO/REATERRO (COM TRANSPORTE ATE 10 KM)</t>
  </si>
  <si>
    <t>2.12</t>
  </si>
  <si>
    <t>2.13</t>
  </si>
  <si>
    <t>02.10.020</t>
  </si>
  <si>
    <t>12.12.010</t>
  </si>
  <si>
    <t>07.02.020</t>
  </si>
  <si>
    <t>3.5</t>
  </si>
  <si>
    <t>95601</t>
  </si>
  <si>
    <t>3.6</t>
  </si>
  <si>
    <t>3.7</t>
  </si>
  <si>
    <t>3.8</t>
  </si>
  <si>
    <t>3.9</t>
  </si>
  <si>
    <t>3.10</t>
  </si>
  <si>
    <t>3.11</t>
  </si>
  <si>
    <t>3.12</t>
  </si>
  <si>
    <t>92874</t>
  </si>
  <si>
    <t>3.13</t>
  </si>
  <si>
    <t>96527</t>
  </si>
  <si>
    <t>3.14</t>
  </si>
  <si>
    <t>3.15</t>
  </si>
  <si>
    <t>3.16</t>
  </si>
  <si>
    <t>3.17</t>
  </si>
  <si>
    <t>3.18</t>
  </si>
  <si>
    <t>3.19</t>
  </si>
  <si>
    <t>3.20</t>
  </si>
  <si>
    <t>3.21</t>
  </si>
  <si>
    <t>SUPERESTRUTURA</t>
  </si>
  <si>
    <t>15.05.520</t>
  </si>
  <si>
    <t>03.03.038</t>
  </si>
  <si>
    <t>93202</t>
  </si>
  <si>
    <t>32.08.010</t>
  </si>
  <si>
    <t>32.07.090</t>
  </si>
  <si>
    <t>DIVISÓRIAS</t>
  </si>
  <si>
    <t>14.30.010</t>
  </si>
  <si>
    <t>PAINÉIS ESPECIAIS</t>
  </si>
  <si>
    <t>5.3.1</t>
  </si>
  <si>
    <t xml:space="preserve">ESQUADRIAS </t>
  </si>
  <si>
    <t>25.02.050</t>
  </si>
  <si>
    <t>Porta veneziana de abrir em alumínio, linha comercial (ENTRADA SANITÁRIOS PCD)</t>
  </si>
  <si>
    <t>Porta veneziana de abrir em alumínio, linha comercial (ENTRADA SANITÁRIOS)</t>
  </si>
  <si>
    <t xml:space="preserve">Porta veneziana de abrir em alumínio, linha comercial (BOX SANITÁRIOS ) </t>
  </si>
  <si>
    <t>25.02.010</t>
  </si>
  <si>
    <t>25.02.040</t>
  </si>
  <si>
    <t>PORTA DE ENTRADA DE CORRER EM ALUMÍNIO, ( Nutricionista )</t>
  </si>
  <si>
    <t>24.03.930</t>
  </si>
  <si>
    <t>6.1.12</t>
  </si>
  <si>
    <t>24.02.054</t>
  </si>
  <si>
    <t>6.1.13</t>
  </si>
  <si>
    <t>28.20.850</t>
  </si>
  <si>
    <t>6.1.14</t>
  </si>
  <si>
    <t>28.01.160</t>
  </si>
  <si>
    <t>6.1.15</t>
  </si>
  <si>
    <t>6.1.16</t>
  </si>
  <si>
    <t>CAIXILHOS</t>
  </si>
  <si>
    <t>25.01.110</t>
  </si>
  <si>
    <t>25.01.371</t>
  </si>
  <si>
    <t>25.20.020</t>
  </si>
  <si>
    <t>BRISE METÁLICO</t>
  </si>
  <si>
    <t>22.06.300</t>
  </si>
  <si>
    <t>BRISE METÁLICO EM CHAPA MICROPERFURADA DE ALUMÍNIO PRÉ-PINTADA</t>
  </si>
  <si>
    <t>SERRALHERIAS</t>
  </si>
  <si>
    <t>6.4.1</t>
  </si>
  <si>
    <t>99839</t>
  </si>
  <si>
    <t>6.4.2</t>
  </si>
  <si>
    <t>24.02.480</t>
  </si>
  <si>
    <t>6.5.1</t>
  </si>
  <si>
    <t>26.02.020</t>
  </si>
  <si>
    <t>VIDRO TEMPERADO INCOLOR DE 6 MM ( CAIXILHOS FIXOS SALAS )</t>
  </si>
  <si>
    <t>6.5.2</t>
  </si>
  <si>
    <t>26.02.060</t>
  </si>
  <si>
    <t>VIDRO TEMPERADO INCOLOR DE 10 MM (VISOR PORTAS DUPLAS )</t>
  </si>
  <si>
    <t>6.5.3</t>
  </si>
  <si>
    <t>VIDRO TEMPERADO INCOLOR DE 6 MM (PORTAS COM VISORES )</t>
  </si>
  <si>
    <t>6.5.4</t>
  </si>
  <si>
    <t>REVESTIMENTOS DE PAREDES</t>
  </si>
  <si>
    <t>33.01.350</t>
  </si>
  <si>
    <t>33.07.130</t>
  </si>
  <si>
    <t>16.13.070</t>
  </si>
  <si>
    <t>16.33.052</t>
  </si>
  <si>
    <t xml:space="preserve">PISOS </t>
  </si>
  <si>
    <t>11.18.060</t>
  </si>
  <si>
    <t>17.01.040</t>
  </si>
  <si>
    <t>10.6</t>
  </si>
  <si>
    <t>18.07.170</t>
  </si>
  <si>
    <t>10.7</t>
  </si>
  <si>
    <t>18.06.142</t>
  </si>
  <si>
    <t>10.8</t>
  </si>
  <si>
    <t>10.9</t>
  </si>
  <si>
    <t>94991</t>
  </si>
  <si>
    <t>10.10</t>
  </si>
  <si>
    <t>PINTURAS E ACABAMENTOS</t>
  </si>
  <si>
    <t>88485</t>
  </si>
  <si>
    <t>79462</t>
  </si>
  <si>
    <t>79460</t>
  </si>
  <si>
    <t>88497</t>
  </si>
  <si>
    <t>88487</t>
  </si>
  <si>
    <t>88484</t>
  </si>
  <si>
    <t>88496</t>
  </si>
  <si>
    <t>88488</t>
  </si>
  <si>
    <t>73924/1</t>
  </si>
  <si>
    <t>ÁGUA FRIA E ÁGUA QUENTE</t>
  </si>
  <si>
    <t>12.1.3</t>
  </si>
  <si>
    <t>12.1.4</t>
  </si>
  <si>
    <t>89957</t>
  </si>
  <si>
    <t>12.1.5</t>
  </si>
  <si>
    <t>89959</t>
  </si>
  <si>
    <t>12.1.6</t>
  </si>
  <si>
    <t>12.1.7</t>
  </si>
  <si>
    <t>74166/1</t>
  </si>
  <si>
    <t>12.1.8</t>
  </si>
  <si>
    <t>12.1.9</t>
  </si>
  <si>
    <t>12.1.10</t>
  </si>
  <si>
    <t>83647</t>
  </si>
  <si>
    <t>12.1.11</t>
  </si>
  <si>
    <t>12.1.12</t>
  </si>
  <si>
    <t>ESGOTO</t>
  </si>
  <si>
    <t>46.01.020</t>
  </si>
  <si>
    <t>46.01.040</t>
  </si>
  <si>
    <t>49.06.550</t>
  </si>
  <si>
    <t>49.06.560</t>
  </si>
  <si>
    <t>46.13.006</t>
  </si>
  <si>
    <t>46.13.010</t>
  </si>
  <si>
    <t>12.2.7</t>
  </si>
  <si>
    <t>46.13.020</t>
  </si>
  <si>
    <t>ÁGUAS PLUVIAIS</t>
  </si>
  <si>
    <t>46.04.070</t>
  </si>
  <si>
    <t>12.3.3</t>
  </si>
  <si>
    <t>12.3.4</t>
  </si>
  <si>
    <t>12.3.5</t>
  </si>
  <si>
    <t>09.06.027</t>
  </si>
  <si>
    <t>G.L.P</t>
  </si>
  <si>
    <t>12.4.1</t>
  </si>
  <si>
    <t>43.03.130</t>
  </si>
  <si>
    <t>12.4.2</t>
  </si>
  <si>
    <t>46.10.050</t>
  </si>
  <si>
    <t>12.4.3</t>
  </si>
  <si>
    <t>INCÊNDIO</t>
  </si>
  <si>
    <t>12.5.1</t>
  </si>
  <si>
    <t>46.07.070</t>
  </si>
  <si>
    <t>12.5.2</t>
  </si>
  <si>
    <t>50.01.340</t>
  </si>
  <si>
    <t>12.5.3</t>
  </si>
  <si>
    <t>47.05.280</t>
  </si>
  <si>
    <t>12.5.4</t>
  </si>
  <si>
    <t>50.01.220</t>
  </si>
  <si>
    <t>12.5.5</t>
  </si>
  <si>
    <t>50.01.320</t>
  </si>
  <si>
    <t>12.5.6</t>
  </si>
  <si>
    <t>50.10.060</t>
  </si>
  <si>
    <t>12.5.7</t>
  </si>
  <si>
    <t>WC PCD</t>
  </si>
  <si>
    <t>44.03.720</t>
  </si>
  <si>
    <t>BARRA DE APOIO RETA, EM ACO INOX POLIDO, COMPRIMENTO 80CM</t>
  </si>
  <si>
    <t>BARRA DE APOIO RETA, EM ACO INOX POLIDO, COMPRIMENTO 70CM</t>
  </si>
  <si>
    <t>BARRA DE APOIO RETA, EM ACO INOX POLIDO, COMPRIMENTO 60CM / 40 CM</t>
  </si>
  <si>
    <t>74125/2</t>
  </si>
  <si>
    <t>13.1.8</t>
  </si>
  <si>
    <t>13.1.9</t>
  </si>
  <si>
    <t>13.1.10</t>
  </si>
  <si>
    <t>13.1.11</t>
  </si>
  <si>
    <t>30.06.064</t>
  </si>
  <si>
    <t>WC PÚBLICO E FUNCIONÁRIOS</t>
  </si>
  <si>
    <t>44.01.270</t>
  </si>
  <si>
    <t>13.2.6</t>
  </si>
  <si>
    <t>13.2.8</t>
  </si>
  <si>
    <t>13.2.9</t>
  </si>
  <si>
    <t>13.2.10</t>
  </si>
  <si>
    <t>13.2.12</t>
  </si>
  <si>
    <t>13.2.13</t>
  </si>
  <si>
    <t>13.2.14</t>
  </si>
  <si>
    <t>13.2.15</t>
  </si>
  <si>
    <t>13.2.16</t>
  </si>
  <si>
    <t>13.2.17</t>
  </si>
  <si>
    <t>13.2.18</t>
  </si>
  <si>
    <t>HIGIENIZAÇÃO ENTRADA</t>
  </si>
  <si>
    <t>13.3.2</t>
  </si>
  <si>
    <t>13.3.3</t>
  </si>
  <si>
    <t>13.3.4</t>
  </si>
  <si>
    <t>13.3.5</t>
  </si>
  <si>
    <t>13.3.6</t>
  </si>
  <si>
    <t>13.3.7</t>
  </si>
  <si>
    <t>13.3.8</t>
  </si>
  <si>
    <t>13.3.9</t>
  </si>
  <si>
    <t>13.3.10</t>
  </si>
  <si>
    <t>COZINHA</t>
  </si>
  <si>
    <t>86941</t>
  </si>
  <si>
    <t>13.4.4</t>
  </si>
  <si>
    <t>13.4.5</t>
  </si>
  <si>
    <t>13.4.6</t>
  </si>
  <si>
    <t>44.20.310</t>
  </si>
  <si>
    <t>MDL</t>
  </si>
  <si>
    <t>44.03.590</t>
  </si>
  <si>
    <t>13.5.3</t>
  </si>
  <si>
    <t>13.5.4</t>
  </si>
  <si>
    <t>INFRAESTRUTURA</t>
  </si>
  <si>
    <t>14.1.3</t>
  </si>
  <si>
    <t>14.1.4</t>
  </si>
  <si>
    <t>14.1.5</t>
  </si>
  <si>
    <t>14.1.6</t>
  </si>
  <si>
    <t>14.1.7</t>
  </si>
  <si>
    <t>14.1.8</t>
  </si>
  <si>
    <t>14.1.9</t>
  </si>
  <si>
    <t>14.1.10</t>
  </si>
  <si>
    <t>14.1.11</t>
  </si>
  <si>
    <t>40.02.080</t>
  </si>
  <si>
    <t>14.1.12</t>
  </si>
  <si>
    <t>37.04.280</t>
  </si>
  <si>
    <t>14.1.13</t>
  </si>
  <si>
    <t>37.02.020</t>
  </si>
  <si>
    <t>14.1.14</t>
  </si>
  <si>
    <t>14.1.15</t>
  </si>
  <si>
    <t>14.1.16</t>
  </si>
  <si>
    <t>14.1.17</t>
  </si>
  <si>
    <t>14.1.18</t>
  </si>
  <si>
    <t>14.1.19</t>
  </si>
  <si>
    <t>14.1.20</t>
  </si>
  <si>
    <t>14.1.21</t>
  </si>
  <si>
    <t>14.1.22</t>
  </si>
  <si>
    <t>14.1.23</t>
  </si>
  <si>
    <t>14.1.24</t>
  </si>
  <si>
    <t>09.04.037</t>
  </si>
  <si>
    <t>14.1.25</t>
  </si>
  <si>
    <t>09.04.007</t>
  </si>
  <si>
    <t>14.1.26</t>
  </si>
  <si>
    <t>09.04.008</t>
  </si>
  <si>
    <t>14.1.27</t>
  </si>
  <si>
    <t>14.1.28</t>
  </si>
  <si>
    <t>09.04.050</t>
  </si>
  <si>
    <t>14.1.29</t>
  </si>
  <si>
    <t>09.04.090</t>
  </si>
  <si>
    <t>14.1.30</t>
  </si>
  <si>
    <t>14.1.31</t>
  </si>
  <si>
    <t>14.1.32</t>
  </si>
  <si>
    <t>09.05.075</t>
  </si>
  <si>
    <t>14.1.33</t>
  </si>
  <si>
    <t>14.1.34</t>
  </si>
  <si>
    <t>37.24.032</t>
  </si>
  <si>
    <t>14.1.35</t>
  </si>
  <si>
    <t>14.1.36</t>
  </si>
  <si>
    <t>09.03.099</t>
  </si>
  <si>
    <t>14.1.37</t>
  </si>
  <si>
    <t>14.1.38</t>
  </si>
  <si>
    <t>ATERRAMENTO</t>
  </si>
  <si>
    <t>14.2.2</t>
  </si>
  <si>
    <t>42.05.250</t>
  </si>
  <si>
    <t>42.05.190</t>
  </si>
  <si>
    <t>14.2.6</t>
  </si>
  <si>
    <t>42.05.510</t>
  </si>
  <si>
    <t>14.2.7</t>
  </si>
  <si>
    <t>42.01.086</t>
  </si>
  <si>
    <t>14.2.8</t>
  </si>
  <si>
    <t>42.05.120</t>
  </si>
  <si>
    <t>14.2.9</t>
  </si>
  <si>
    <t>42.05.300</t>
  </si>
  <si>
    <t>14.2.10</t>
  </si>
  <si>
    <t>42.05.380</t>
  </si>
  <si>
    <t>TOMADAS, INTERRUPTORES, ACESSÓRIOS</t>
  </si>
  <si>
    <t>40.04.340</t>
  </si>
  <si>
    <t>93144</t>
  </si>
  <si>
    <t>14.3.4</t>
  </si>
  <si>
    <t>14.3.5</t>
  </si>
  <si>
    <t>14.3.6</t>
  </si>
  <si>
    <t>14.3.7</t>
  </si>
  <si>
    <t>43.05.030</t>
  </si>
  <si>
    <t>41.20.080</t>
  </si>
  <si>
    <t>14.4.2</t>
  </si>
  <si>
    <t>41.31.040</t>
  </si>
  <si>
    <t>41.31.080</t>
  </si>
  <si>
    <t>14.4.5</t>
  </si>
  <si>
    <t>14.5.2</t>
  </si>
  <si>
    <t>39.12.520</t>
  </si>
  <si>
    <t>14.5.9</t>
  </si>
  <si>
    <t>54.01.010</t>
  </si>
  <si>
    <t>11.18.040</t>
  </si>
  <si>
    <t>94999</t>
  </si>
  <si>
    <t>98510</t>
  </si>
  <si>
    <t>98504</t>
  </si>
  <si>
    <t>ABRIGOS</t>
  </si>
  <si>
    <t>INSTALAÇÕES MECÂNICAS</t>
  </si>
  <si>
    <t>AR CONDICIONADO SPLIT INVERTER, HI-WALL (PAREDE), 12000 BTU/H, CICLO FRIO, 60HZ, CLASSIFICACAO A (SELO PROCEL), GAS HFC, CONTROLE S/FIO</t>
  </si>
  <si>
    <t>OBTENÇÃO DE AVCB</t>
  </si>
  <si>
    <t>CDHU</t>
  </si>
  <si>
    <t>003486</t>
  </si>
  <si>
    <t>CORPO DE BOMBEIROS-APROVACAO DE PROJETO TECNICO NO CORPO DE BOMBEIROS</t>
  </si>
  <si>
    <t>VB</t>
  </si>
  <si>
    <t>003485</t>
  </si>
  <si>
    <t>CORPO DE BOMBEIROS-ELABORACAO DE PROJETO TECNICO PARA APROVACAO (QUANT.DE PRANCHA A1)</t>
  </si>
  <si>
    <t>003488</t>
  </si>
  <si>
    <t>CORPO DE BOMBEIROS-OBTENCAO DO AVCB</t>
  </si>
  <si>
    <t>003487</t>
  </si>
  <si>
    <t>CORPO DE BOMBEIROS-TREINAMENTO PARA FORMACAO DE BRIGADA DE INCENDIO (ATE 20 PESSOAS)</t>
  </si>
  <si>
    <t>SERVIÇOS FINAIS</t>
  </si>
  <si>
    <t>30.06.110</t>
  </si>
  <si>
    <t>TOTAL S/ BDI</t>
  </si>
  <si>
    <t>BDI 25 %</t>
  </si>
  <si>
    <t>PROP:</t>
  </si>
  <si>
    <t>PREFEITURA MUNICIPAL DE PORTO FERREIRA - SP</t>
  </si>
  <si>
    <t>Tipo de Obra (conforme Acórdão 2622/2013 - TCU):</t>
  </si>
  <si>
    <t xml:space="preserve"> - Construção de Edifícios (também para Reformas)</t>
  </si>
  <si>
    <t>ATENDE AOS</t>
  </si>
  <si>
    <t>LIMITES RECOMENDADOS</t>
  </si>
  <si>
    <t>ITENS</t>
  </si>
  <si>
    <t>SIGLAS</t>
  </si>
  <si>
    <t>VALORES</t>
  </si>
  <si>
    <t>LIMITES?</t>
  </si>
  <si>
    <t>INFERIOR</t>
  </si>
  <si>
    <t>SUPERIOR</t>
  </si>
  <si>
    <t>TAXA DE RATEIO DA ADMINISTRAÇÃO CENTRAL</t>
  </si>
  <si>
    <t>AC</t>
  </si>
  <si>
    <t>TAXA DE SEGURO E GARANTIA DO EMPREENDIMENTO</t>
  </si>
  <si>
    <t>S+G</t>
  </si>
  <si>
    <t>TAXA DE RISCO</t>
  </si>
  <si>
    <t>R</t>
  </si>
  <si>
    <t>TAXA DE DESPESAS FINANCEIRAS</t>
  </si>
  <si>
    <t>DF</t>
  </si>
  <si>
    <t>TAXA DE LUCRO</t>
  </si>
  <si>
    <t>L</t>
  </si>
  <si>
    <t>TAXA DE TRIBUTOS</t>
  </si>
  <si>
    <t>PIS (geralmente 0,65%)</t>
  </si>
  <si>
    <t>I</t>
  </si>
  <si>
    <t>Variável</t>
  </si>
  <si>
    <t>COFINS (geralmente 3,00%)</t>
  </si>
  <si>
    <t>ISS (legislação municipal)</t>
  </si>
  <si>
    <t>CPRB (INSS)</t>
  </si>
  <si>
    <t>BDI conforme Acórdão 2622/2013 - TCU</t>
  </si>
  <si>
    <t>BDI RESULTANTE</t>
  </si>
  <si>
    <r>
      <rPr>
        <sz val="10"/>
        <rFont val="Calibri"/>
        <family val="2"/>
        <charset val="1"/>
      </rPr>
      <t xml:space="preserve">Declaro que, conforme legislação tributária municipal, a </t>
    </r>
    <r>
      <rPr>
        <b/>
        <sz val="10"/>
        <rFont val="Calibri"/>
        <family val="2"/>
        <charset val="1"/>
      </rPr>
      <t>base de cálculo</t>
    </r>
    <r>
      <rPr>
        <sz val="10"/>
        <rFont val="Calibri"/>
        <family val="2"/>
        <charset val="1"/>
      </rPr>
      <t xml:space="preserve"> do ISS corresponde a</t>
    </r>
  </si>
  <si>
    <r>
      <rPr>
        <sz val="10"/>
        <rFont val="Calibri"/>
        <family val="2"/>
        <charset val="1"/>
      </rPr>
      <t xml:space="preserve">do valor deste tipo de obra e, sobre esta base, incide ISS com </t>
    </r>
    <r>
      <rPr>
        <b/>
        <sz val="10"/>
        <rFont val="Calibri"/>
        <family val="2"/>
        <charset val="1"/>
      </rPr>
      <t>alíquota</t>
    </r>
    <r>
      <rPr>
        <sz val="10"/>
        <rFont val="Calibri"/>
        <family val="2"/>
        <charset val="1"/>
      </rPr>
      <t xml:space="preserve"> de</t>
    </r>
  </si>
  <si>
    <t xml:space="preserve">           Chefe de Divisão de Obras e Projetos</t>
  </si>
  <si>
    <t xml:space="preserve">                Executivo Municipal</t>
  </si>
  <si>
    <t xml:space="preserve">           CREA/SP 5063816119 </t>
  </si>
  <si>
    <r>
      <rPr>
        <b/>
        <sz val="12"/>
        <rFont val="Arial"/>
        <family val="2"/>
        <charset val="1"/>
      </rPr>
      <t>TABELA</t>
    </r>
    <r>
      <rPr>
        <sz val="12"/>
        <rFont val="Times New Roman"/>
        <family val="1"/>
        <charset val="1"/>
      </rPr>
      <t xml:space="preserve"> </t>
    </r>
    <r>
      <rPr>
        <b/>
        <sz val="12"/>
        <rFont val="Arial"/>
        <family val="2"/>
        <charset val="1"/>
      </rPr>
      <t>DE</t>
    </r>
    <r>
      <rPr>
        <sz val="12"/>
        <rFont val="Times New Roman"/>
        <family val="1"/>
        <charset val="1"/>
      </rPr>
      <t xml:space="preserve"> </t>
    </r>
    <r>
      <rPr>
        <b/>
        <sz val="12"/>
        <rFont val="Arial"/>
        <family val="2"/>
        <charset val="1"/>
      </rPr>
      <t xml:space="preserve">PREÇOS FDE
</t>
    </r>
    <r>
      <rPr>
        <b/>
        <sz val="10"/>
        <rFont val="Arial"/>
        <family val="2"/>
        <charset val="1"/>
      </rPr>
      <t>Data</t>
    </r>
    <r>
      <rPr>
        <sz val="10"/>
        <rFont val="Times New Roman"/>
        <family val="1"/>
        <charset val="1"/>
      </rPr>
      <t xml:space="preserve"> </t>
    </r>
    <r>
      <rPr>
        <b/>
        <sz val="10"/>
        <rFont val="Arial"/>
        <family val="2"/>
        <charset val="1"/>
      </rPr>
      <t>Base</t>
    </r>
    <r>
      <rPr>
        <sz val="10"/>
        <rFont val="Times New Roman"/>
        <family val="1"/>
        <charset val="1"/>
      </rPr>
      <t xml:space="preserve"> </t>
    </r>
    <r>
      <rPr>
        <b/>
        <sz val="10"/>
        <rFont val="Arial"/>
        <family val="2"/>
        <charset val="1"/>
      </rPr>
      <t>10/2023</t>
    </r>
    <r>
      <rPr>
        <sz val="10"/>
        <rFont val="Times New Roman"/>
        <family val="1"/>
        <charset val="1"/>
      </rPr>
      <t xml:space="preserve">                                                                                                          </t>
    </r>
    <r>
      <rPr>
        <b/>
        <sz val="10"/>
        <rFont val="Arial"/>
        <family val="2"/>
        <charset val="1"/>
      </rPr>
      <t>LS</t>
    </r>
    <r>
      <rPr>
        <sz val="10"/>
        <rFont val="Times New Roman"/>
        <family val="1"/>
        <charset val="1"/>
      </rPr>
      <t xml:space="preserve"> </t>
    </r>
    <r>
      <rPr>
        <b/>
        <sz val="10"/>
        <rFont val="Arial"/>
        <family val="2"/>
        <charset val="1"/>
      </rPr>
      <t>71,27</t>
    </r>
    <r>
      <rPr>
        <sz val="10"/>
        <rFont val="Times New Roman"/>
        <family val="1"/>
        <charset val="1"/>
      </rPr>
      <t xml:space="preserve">              </t>
    </r>
    <r>
      <rPr>
        <b/>
        <sz val="10"/>
        <rFont val="Arial"/>
        <family val="2"/>
        <charset val="1"/>
      </rPr>
      <t>BDI</t>
    </r>
    <r>
      <rPr>
        <sz val="10"/>
        <rFont val="Times New Roman"/>
        <family val="1"/>
        <charset val="1"/>
      </rPr>
      <t xml:space="preserve"> </t>
    </r>
    <r>
      <rPr>
        <b/>
        <sz val="10"/>
        <rFont val="Arial"/>
        <family val="2"/>
        <charset val="1"/>
      </rPr>
      <t>19,5</t>
    </r>
  </si>
  <si>
    <t>C/ BDI</t>
  </si>
  <si>
    <t>S/ BDI</t>
  </si>
  <si>
    <t>RETIRANDO A VEGETACAO, TRONCOS ATE 5CM DE DIAMETRO E RASPAGEM.</t>
  </si>
  <si>
    <t>01.01.010</t>
  </si>
  <si>
    <t>CORTE, RECORTE E REMOCAO DE ARVORES INCL RAIZES DIAM&gt;5&lt;15CM</t>
  </si>
  <si>
    <t>01.01.021</t>
  </si>
  <si>
    <t>CORTE, RECORTE E REMOÇÃO DE ÁRVORES INCL.RAIZES  15CM&lt;DIAM&lt;30CM</t>
  </si>
  <si>
    <t>01.01.022</t>
  </si>
  <si>
    <t>CORTE, RECORTE E REMOÇÃO DE ÁRVORES INCL.RAIZES  30CM&lt;DIAM&lt;45CM</t>
  </si>
  <si>
    <t>01.01.023</t>
  </si>
  <si>
    <t>CORTE, RECORTE E REMOÇÃO DE ÁRVORES INCL.RAIZES  45CM&lt;DIAM&lt;60CM</t>
  </si>
  <si>
    <t>01.01.024</t>
  </si>
  <si>
    <t>CORTE, RECORTE E REMOÇÃO DE ÁRVORES INCL.RAIZES  60CM&lt;DIAM&lt;100CM</t>
  </si>
  <si>
    <t>01.01.025</t>
  </si>
  <si>
    <t>CORTE, RECORTE E REMOÇÃO DE ÁRVORES INCL.RAIZES  DIAM &gt;100CM</t>
  </si>
  <si>
    <t>01.01.030</t>
  </si>
  <si>
    <t>CORTE RASO , RECORTE E REMOÇÃO DE ÁRVORES 5CM&lt;DIAM&lt;15CM</t>
  </si>
  <si>
    <t>01.01.031</t>
  </si>
  <si>
    <t>CORTE RASO, RECORTE E REMOÇÃO DE ÁRVORES 15CM&lt;DIAM&lt;30CM</t>
  </si>
  <si>
    <t>01.01.032</t>
  </si>
  <si>
    <t>CORTE RASO, RECORTE E REMOÇÃO DE ÁRVORES 30CM&lt;DIAM&lt;45CM</t>
  </si>
  <si>
    <t>01.01.033</t>
  </si>
  <si>
    <t>CORTE RASO, RECORTE E REMOÇÃO DE ÁRVORES  45CM&lt;DIAM&lt;60CM</t>
  </si>
  <si>
    <t>01.01.034</t>
  </si>
  <si>
    <t>CORTE RASO, RECORTE E REMOÇÃO DE ÁRVORES  60CM&lt;DIAM&lt;100CM</t>
  </si>
  <si>
    <t>01.01.035</t>
  </si>
  <si>
    <t>CORTE RASO, RECORTE E REMOÇÃO DE ÁRVORES 100CM&lt;DIAM&lt;150CM</t>
  </si>
  <si>
    <t>01.01.036</t>
  </si>
  <si>
    <t>CORTE RASO, RECORTE E REMOÇÃO DE ÁRVORES  150CM&lt;DIAM&lt;250CM</t>
  </si>
  <si>
    <t>01.01.037</t>
  </si>
  <si>
    <t>CORTE RASO, RECORTE E REMOÇÃO DE ÁRVORES  250CM&lt;DIAM&lt;350CM</t>
  </si>
  <si>
    <t>01.01.040</t>
  </si>
  <si>
    <t>REMOÇAO DE RAIZES (DESTOCA) REMANESCENTE DE TRONCO DE ARVORE 60CM&lt;DIAM&lt;100CM.</t>
  </si>
  <si>
    <t>01.01.041</t>
  </si>
  <si>
    <t>REMOÇAO DE RAIZES (DESTOCA) REMANESCENTE DE TRONCO DE ARVORE 100CM&lt;DIAM&lt;150CM.</t>
  </si>
  <si>
    <t>01.01.043</t>
  </si>
  <si>
    <t>REMOÇAO DE RAIZES (DESTOCA) REMANESCENTE DE TRONCO DE ARVORE 150CM&lt;DIAM&lt;250CM</t>
  </si>
  <si>
    <t>01.01.044</t>
  </si>
  <si>
    <t>REMOÇAO DE RAIZES (DESTOCA) REMANESCENTE DE TRONCO DE ARVORE 250CM&lt;DIAM&lt;350CM</t>
  </si>
  <si>
    <t>01.01.099</t>
  </si>
  <si>
    <t>LIMPEZAS DO TERRENO</t>
  </si>
  <si>
    <t>01.02.001</t>
  </si>
  <si>
    <t>CORTE E ATERRO DENTRO DA OBRA COM TRANSPORTE INTERNO</t>
  </si>
  <si>
    <t>01.02.002</t>
  </si>
  <si>
    <t>CORTE COM RETIRADA POR CAMINHAO NOS PRIMEIROS 100 M</t>
  </si>
  <si>
    <t>01.02.003</t>
  </si>
  <si>
    <t>ATERRO COM TRANSPORTE POR CAMINHAO NOS PRIMEIROS 100 M</t>
  </si>
  <si>
    <t>01.02.004</t>
  </si>
  <si>
    <t>TRANSPORTE POR CAMINHAO                                                 M3X</t>
  </si>
  <si>
    <t>01.02.099</t>
  </si>
  <si>
    <t>MOVIMENTOS DE TERRA MANUAL</t>
  </si>
  <si>
    <t>01.03.004</t>
  </si>
  <si>
    <t>01.03.099</t>
  </si>
  <si>
    <t>MOVIMENTOS DE TERRA MECANIZADOS</t>
  </si>
  <si>
    <t>01.04.006</t>
  </si>
  <si>
    <t>01.04.010</t>
  </si>
  <si>
    <t>ESCORAMENTO DE VALAS CONTINUO ATE 2,00M</t>
  </si>
  <si>
    <t>01.04.015</t>
  </si>
  <si>
    <t>ESCORAMENTO DE VALAS DESCONTINUO ATE 2,00M</t>
  </si>
  <si>
    <t>01.04.099</t>
  </si>
  <si>
    <t>ESCORAMENTOS DE TERRA</t>
  </si>
  <si>
    <t>01.05.001</t>
  </si>
  <si>
    <t>01.05.002</t>
  </si>
  <si>
    <t>01.05.099</t>
  </si>
  <si>
    <t>ESCAVACOES MANUAIS EM TERRA</t>
  </si>
  <si>
    <t>01.06.001</t>
  </si>
  <si>
    <t>01.06.005</t>
  </si>
  <si>
    <t>01.06.099</t>
  </si>
  <si>
    <t>01.07.002</t>
  </si>
  <si>
    <t>01.07.010</t>
  </si>
  <si>
    <t>01.07.099</t>
  </si>
  <si>
    <t>01.08.014</t>
  </si>
  <si>
    <t>TUBO PVC OCRE JUNTA ELÁSTICA DN 100 INCLUSIVE CONEXÕES - ENTERRADO</t>
  </si>
  <si>
    <t>01.08.015</t>
  </si>
  <si>
    <t>TUBO PVC OCRE JUNTA ELÁSTICA DN 150 INCLUSIVE CONEXÕES - ENTERRADO</t>
  </si>
  <si>
    <t>01.08.032</t>
  </si>
  <si>
    <t>01.08.033</t>
  </si>
  <si>
    <t>01.08.034</t>
  </si>
  <si>
    <t>MANTA GEOTÊXTIL NÃO TECIDO AGULHADO 100% POLIESTER, RT 10</t>
  </si>
  <si>
    <t>01.08.035</t>
  </si>
  <si>
    <t>MANTA GEOTÊXTIL NÃO TECIDO AGULHADO 100% POLIESTER, RT 21</t>
  </si>
  <si>
    <t>01.08.036</t>
  </si>
  <si>
    <t>MANTA GEOTÊXTIL NÃO TECIDO AGULHADO 100% POLIESTER, RT 31</t>
  </si>
  <si>
    <t>01.08.040</t>
  </si>
  <si>
    <t>01.08.041</t>
  </si>
  <si>
    <t>01.08.044</t>
  </si>
  <si>
    <t>01.08.045</t>
  </si>
  <si>
    <t>01.08.050</t>
  </si>
  <si>
    <t>01.08.051</t>
  </si>
  <si>
    <t>01.08.052</t>
  </si>
  <si>
    <t>01.08.053</t>
  </si>
  <si>
    <t>TUBO CONCRETO SIMPLES (PS-1) COM PONTA E BOLSA  Ø 30CM  NBR 8890/2007</t>
  </si>
  <si>
    <t>01.08.054</t>
  </si>
  <si>
    <t>TUBO CONCRETO SIMPLES (PS-1) COM PONTA E BOLSA  Ø 40CM  NBR 8890/2007</t>
  </si>
  <si>
    <t>01.08.055</t>
  </si>
  <si>
    <t>TUBO CONCRETO SIMPLES (PS-1) COM PONTA E BOLSA  Ø 50CM  NBR 8890/2007</t>
  </si>
  <si>
    <t>01.08.056</t>
  </si>
  <si>
    <t>TUBO CONCRETO SIMPLES (PS-1) COM PONTA E BOLSA  Ø 60CM  NBR 8890/2007</t>
  </si>
  <si>
    <t>01.08.057</t>
  </si>
  <si>
    <t>TUBO CONCRETO ARMADO (PA-1) COM PONTA E BOLSA  Ø 80CM  NBR 8890/2007</t>
  </si>
  <si>
    <t>01.08.058</t>
  </si>
  <si>
    <t>TUBO CONCRETO ARMADO (PA-1) COM PONTA E BOLSA  Ø 100CM  NBR 8890/2007</t>
  </si>
  <si>
    <t>01.08.059</t>
  </si>
  <si>
    <t>TUBO CONCRETO ARMADO (PA-1) COM PONTA E BOLSA  Ø 120CM  NBR 8890/2007</t>
  </si>
  <si>
    <t>01.08.060</t>
  </si>
  <si>
    <t>01.08.061</t>
  </si>
  <si>
    <t>01.08.062</t>
  </si>
  <si>
    <t>01.08.063</t>
  </si>
  <si>
    <t>01.08.064</t>
  </si>
  <si>
    <t>01.08.065</t>
  </si>
  <si>
    <t>01.08.099</t>
  </si>
  <si>
    <t>01.10.001</t>
  </si>
  <si>
    <t>GABARITO DE MADEIRA ESQUADRADO E NIVELADO PARA LOCAÇÃO DE OBRA</t>
  </si>
  <si>
    <t>01.50.099</t>
  </si>
  <si>
    <t>01.60.099</t>
  </si>
  <si>
    <t>01.70.099</t>
  </si>
  <si>
    <t>01.80.099</t>
  </si>
  <si>
    <t>SERVICOS PRELIMINARES - CONSERVACAO</t>
  </si>
  <si>
    <t>02.01.002</t>
  </si>
  <si>
    <t>02.01.005</t>
  </si>
  <si>
    <t>02.01.006</t>
  </si>
  <si>
    <t>02.01.027</t>
  </si>
  <si>
    <t>02.01.099</t>
  </si>
  <si>
    <t>02.02.004</t>
  </si>
  <si>
    <t>TUBULÕES  ESCAVAÇÃO MANUAL - DIÂMETRO MÍNIMO DE 100CM</t>
  </si>
  <si>
    <t>02.02.005</t>
  </si>
  <si>
    <t>TUBULÕES  ENCAMISAMENTO COM ANEL DE CONCRETO PREMOLDADO DIÂMETRO EXTERNO Ø 100CM  H=50CM  E=3,50 CM</t>
  </si>
  <si>
    <t>02.02.018</t>
  </si>
  <si>
    <t>TUBULÕES CONCRETO DOSADO FCK=20MPa PARA BASE E FUSTE</t>
  </si>
  <si>
    <t>02.02.019</t>
  </si>
  <si>
    <t>PREENCHIMENTO COROA CIRCULAR ENCAMISAMENTO FUSTE TUBULAO ARGAMASSA CIMENTO AREIA TRAÇO 1:8</t>
  </si>
  <si>
    <t>02.02.022</t>
  </si>
  <si>
    <t>02.02.027</t>
  </si>
  <si>
    <t>02.02.035</t>
  </si>
  <si>
    <t>ESTACAS TIPO STRAUSS DIAM 25CM</t>
  </si>
  <si>
    <t>02.02.036</t>
  </si>
  <si>
    <t>ESTACAS TIPO STRAUSS DIAM 32CM</t>
  </si>
  <si>
    <t>02.02.037</t>
  </si>
  <si>
    <t>ESTACAS TIPO STRAUSS DIAM 38CM</t>
  </si>
  <si>
    <t>02.02.038</t>
  </si>
  <si>
    <t>ESTACAS TIPO STRAUSS DIAM 45CM</t>
  </si>
  <si>
    <t>ESTACA TIPO HELICE DN 25CM</t>
  </si>
  <si>
    <t>ESTACA TIPO HELICE DN 30CM</t>
  </si>
  <si>
    <t>ESTACA TIPO HELICE DN 35CM</t>
  </si>
  <si>
    <t>02.02.073</t>
  </si>
  <si>
    <t>ESTACA TIPO HELICE DN 40CM</t>
  </si>
  <si>
    <t>02.02.074</t>
  </si>
  <si>
    <t>ESTACA TIPO HELICE DN 50CM</t>
  </si>
  <si>
    <t>02.02.075</t>
  </si>
  <si>
    <t>ESTACA TIPO HELICE DN 60CM</t>
  </si>
  <si>
    <t>02.02.076</t>
  </si>
  <si>
    <t>ESTACA TIPO HELICE DN 70CM</t>
  </si>
  <si>
    <t>02.02.077</t>
  </si>
  <si>
    <t>ESTACA TIPO HELICE DN 80CM</t>
  </si>
  <si>
    <t>02.02.078</t>
  </si>
  <si>
    <t>ESTACA TIPO HELICE DN 90CM</t>
  </si>
  <si>
    <t>TRANSPORTE E ATERRO INTERNO DE MATERIAL ESCAVADO DE FUNDAÇÃO-ESTACA-TUBULÃO</t>
  </si>
  <si>
    <t>02.02.089</t>
  </si>
  <si>
    <t>TAXA DE MOBILIZACÃO DE EQUIPAMENTO PARA ESTACA TIPO HELICE SEGMENTADA</t>
  </si>
  <si>
    <t>02.02.091</t>
  </si>
  <si>
    <t>TAXA DE MOBILIZAÇÃO DE EQUIPAMENTO - ESTACA ESCAVADA</t>
  </si>
  <si>
    <t>02.02.093</t>
  </si>
  <si>
    <t>TAXA DE MOBILIZAÇÃO DE EQUIPAMENTO - ESTACA RAIZ</t>
  </si>
  <si>
    <t>02.02.094</t>
  </si>
  <si>
    <t>02.02.095</t>
  </si>
  <si>
    <t>02.02.097</t>
  </si>
  <si>
    <t>TAXA DE MOBILIZACAO DE EQUIPAMENTO - ESTACAS PRE-MOLDADAS</t>
  </si>
  <si>
    <t>02.02.098</t>
  </si>
  <si>
    <t>TAXA DE MOBILIZACAO DE EQUIPAMENTOS - ESTACAS STRAUSS</t>
  </si>
  <si>
    <t>02.02.099</t>
  </si>
  <si>
    <t>02.02.100</t>
  </si>
  <si>
    <t>ESTACA ESCAVADA MECANICAMENTE DIAM 25CM</t>
  </si>
  <si>
    <t>02.02.101</t>
  </si>
  <si>
    <t>ESTACA ESCAVADA MECANICAMENTE DIAM 30CM</t>
  </si>
  <si>
    <t>02.02.102</t>
  </si>
  <si>
    <t>ESTACA ESCAVADA MECANICAMENTE DIAM 35CM</t>
  </si>
  <si>
    <t>02.02.103</t>
  </si>
  <si>
    <t>ESTACA ESCAVADA MECANICAMENTE DIAM 40CM</t>
  </si>
  <si>
    <t>02.02.104</t>
  </si>
  <si>
    <t>ESTACA ESCAVADA MECANICAMENTE DIAM 50CM</t>
  </si>
  <si>
    <t>02.02.105</t>
  </si>
  <si>
    <t>ESTACA ESCAVADA MECANICAMENTE DIAM 60CM</t>
  </si>
  <si>
    <t>02.02.106</t>
  </si>
  <si>
    <t>ESTACA ESCAVADA MECANICAMENTE DIAM 70CM</t>
  </si>
  <si>
    <t>02.02.107</t>
  </si>
  <si>
    <t>ESTACA PRE-MOLDADA CONCRETO SECÃO ATE 289 CM2  CRAVADA</t>
  </si>
  <si>
    <t>02.02.108</t>
  </si>
  <si>
    <t>ESTACA PRE-MOLDADA CONCRETO SECÃO DE 290 A 429 CM2  CRAVADA</t>
  </si>
  <si>
    <t>02.02.109</t>
  </si>
  <si>
    <t>ESTACA PRE-MOLDADA CONCRETO SECÃO DE 430 A 569 CM2  CRAVADA</t>
  </si>
  <si>
    <t>02.02.110</t>
  </si>
  <si>
    <t>ESTACA PRE-MOLDADA CONCRETO SECÃO DE 570 A 714 CM2  CRAVADA</t>
  </si>
  <si>
    <t>02.02.111</t>
  </si>
  <si>
    <t>ESTACA PRE-MOLDADA CONCRETO SECÃO DE 715 A 999 CM2  CRAVADA</t>
  </si>
  <si>
    <t>02.02.113</t>
  </si>
  <si>
    <t>ESTACA RAIZ DN 150MM PERFURAÇAO EM SOLO</t>
  </si>
  <si>
    <t>02.02.114</t>
  </si>
  <si>
    <t>ESTACA RAIZ DN 160MM PERFURAÇAO EM SOLO</t>
  </si>
  <si>
    <t>02.02.115</t>
  </si>
  <si>
    <t>ESTACA RAIZ DN 200MM PERFURAÇAO EM SOLO</t>
  </si>
  <si>
    <t>02.02.116</t>
  </si>
  <si>
    <t>ESTACA RAIZ DN 250MM PERFURAÇAO EM SOLO</t>
  </si>
  <si>
    <t>02.02.117</t>
  </si>
  <si>
    <t>ESTACA RAIZ DN 310MM PERFURAÇAO EM SOLO</t>
  </si>
  <si>
    <t>02.02.118</t>
  </si>
  <si>
    <t>ESTACA RAIZ DN 400MM PERFURAÇAO EM SOLO</t>
  </si>
  <si>
    <t>02.03.099</t>
  </si>
  <si>
    <t>02.04.005</t>
  </si>
  <si>
    <t>02.04.099</t>
  </si>
  <si>
    <t>02.05.014</t>
  </si>
  <si>
    <t>CONCRETO DOSADO E LANÇADO FCK=20MPA</t>
  </si>
  <si>
    <t>02.05.019</t>
  </si>
  <si>
    <t>02.05.024</t>
  </si>
  <si>
    <t>CONCRETO DOSADO,BOMBEADO E LANÇADO FCK=20MPA</t>
  </si>
  <si>
    <t>02.05.028</t>
  </si>
  <si>
    <t>02.05.029</t>
  </si>
  <si>
    <t>CONCRETO GROUT, PREPARADO NO LOCAL, LANÇADO E ADENSADO</t>
  </si>
  <si>
    <t>02.05.098</t>
  </si>
  <si>
    <t>02.05.099</t>
  </si>
  <si>
    <t>02.06.002</t>
  </si>
  <si>
    <t>ALVENARIA EMBASAMENTO TIJOLO BARRO MACIÇO E = 1/2 TIJOLO</t>
  </si>
  <si>
    <t>ALVENARIA EMBASAMENTO TIJOLO BARRO MACIÇO E = 1 TIJOLO</t>
  </si>
  <si>
    <t>02.06.020</t>
  </si>
  <si>
    <t>ALVENARIA EMBASAMENTO BLOCO CONCRETO ESTRUTURAL 14X19X39CM CLASSE A</t>
  </si>
  <si>
    <t>02.06.021</t>
  </si>
  <si>
    <t>ALVENARIA EMBASAMENTO BLOCO CONCRETO ESTRUTURAL 19X19X39CM CLASSE A</t>
  </si>
  <si>
    <t>02.06.099</t>
  </si>
  <si>
    <t>02.07.002</t>
  </si>
  <si>
    <t>IMPERM RESP ALV EMBAS C/ CIM-AREIA 1-3 HIDROFUGO/TINTA BETUMINOSA</t>
  </si>
  <si>
    <t>02.07.003</t>
  </si>
  <si>
    <t>02.07.099</t>
  </si>
  <si>
    <t>02.50.001</t>
  </si>
  <si>
    <t>DEMOLIÇÃO DE CONCRETO SIMPLES (MANUAL)</t>
  </si>
  <si>
    <t>02.50.002</t>
  </si>
  <si>
    <t>DEMOLIÇÃO DE LASTRO DE CONCRETO SIMPLES (MANUAL)</t>
  </si>
  <si>
    <t>02.50.003</t>
  </si>
  <si>
    <t>DEMOLIÇÃO DE ALVENARIA DE FUNDACÃO (MANUAL)</t>
  </si>
  <si>
    <t>02.50.099</t>
  </si>
  <si>
    <t>02.60.099</t>
  </si>
  <si>
    <t>02.70.099</t>
  </si>
  <si>
    <t>02.80.099</t>
  </si>
  <si>
    <t>SERVICOS INFRA ESTRUTURA - CONSERVACAO</t>
  </si>
  <si>
    <t>03.01.001</t>
  </si>
  <si>
    <t>03.01.003</t>
  </si>
  <si>
    <t>03.01.005</t>
  </si>
  <si>
    <t>03.01.021</t>
  </si>
  <si>
    <t>FORMA TUBO DE PAPELAO DIAMETRO DE 20CM COM GRAVATA E ESCORA DUAS DIREÇOES</t>
  </si>
  <si>
    <t>03.01.022</t>
  </si>
  <si>
    <t>FORMA TUBO DE PAPELAO DIAMETRO DE 25CM COM GRAVATA E ESCORA DUAS DIREÇOES</t>
  </si>
  <si>
    <t>03.01.023</t>
  </si>
  <si>
    <t>FORMA TUBO DE PAPELAO DIAMETRO DE 30CM COM GRAVATA E ESCORA DUAS DIREÇOES</t>
  </si>
  <si>
    <t>03.01.024</t>
  </si>
  <si>
    <t>FORMA TUBO DE PAPELAO DIAMETRO DE 35CM COM GRAVATA E ESCORA DUAS DIREÇOES</t>
  </si>
  <si>
    <t>03.01.026</t>
  </si>
  <si>
    <t>FORMA TUBO DE PAPELAO DIAMETRO DE 40CM COM GRAVATA E ESCORA DUAS DIREÇOES</t>
  </si>
  <si>
    <t>03.01.027</t>
  </si>
  <si>
    <t>FORMA TUBO DE PAPELAO DIAMETRO DE 45CM COM GRAVATA E ESCORA DUAS DIREÇOES</t>
  </si>
  <si>
    <t>03.01.028</t>
  </si>
  <si>
    <t>FORMA TUBO DE PAPELAO DIAMETRO DE 50CM COM GRAVATA E ESCORA DUAS DIREÇOES</t>
  </si>
  <si>
    <t>03.01.029</t>
  </si>
  <si>
    <t>FORMA TUBO DE PAPELAO DIAMETRO DE 55CM COM GRAVATA E ESCORA DUAS DIREÇOES</t>
  </si>
  <si>
    <t>03.01.031</t>
  </si>
  <si>
    <t>FORMA TUBO DE PAPELAO DIAMETRO DE 60CM COM GRAVATA E ESCORA DUAS DIREÇOES</t>
  </si>
  <si>
    <t>03.01.032</t>
  </si>
  <si>
    <t>FORMA TUBO DE PAPELAO DIAMETRO DE 70CM COM GRAVATA E ESCORA DUAS DIREÇOES</t>
  </si>
  <si>
    <t>03.01.099</t>
  </si>
  <si>
    <t>03.02.003</t>
  </si>
  <si>
    <t>INSERTS EM CANTONEIRAS OU CHAPA AÇO A-36 P/SOLIDARIZAÇÃO DE VIGAS E PILARES</t>
  </si>
  <si>
    <t>CONJUNTO DE LUVAS E PINO ROSCAVEL DN 12,5MM P/SOLIDARIZAÇÃO DE VIGA FORNEC. E INST.</t>
  </si>
  <si>
    <t>03.02.021</t>
  </si>
  <si>
    <t>CONJUNTO DE LUVAS E PINO ROSCAVEL DN 16MM P/SOLIDARIZAÇÃO DE VIGA FORNEC. E INST.</t>
  </si>
  <si>
    <t>CONJUNTO DE LUVAS E PINO ROSCAVEL DN 20MM P/SOLIDARIZAÇÃO DE VIGA FORNEC. E INST.</t>
  </si>
  <si>
    <t>03.02.023</t>
  </si>
  <si>
    <t>CONJUNTO DE LUVAS E PINO ROSCAVEL DN 25MM P/SOLIDARIZAÇÃO DE VIGA FORNEC. E INST.</t>
  </si>
  <si>
    <t>03.02.024</t>
  </si>
  <si>
    <t>CONJUNTO DE LUVAS E PINO ROSCAVEL DN 32MM P/SOLIDARIZAÇÃO DE VIGA FORNEC. E INST.</t>
  </si>
  <si>
    <t>03.02.099</t>
  </si>
  <si>
    <t>03.03.003</t>
  </si>
  <si>
    <t>03.03.005</t>
  </si>
  <si>
    <t>03.03.006</t>
  </si>
  <si>
    <t>03.03.007</t>
  </si>
  <si>
    <t>03.03.008</t>
  </si>
  <si>
    <t>03.03.009</t>
  </si>
  <si>
    <t>03.03.010</t>
  </si>
  <si>
    <t>03.03.012</t>
  </si>
  <si>
    <t>03.03.014</t>
  </si>
  <si>
    <t>03.03.015</t>
  </si>
  <si>
    <t>03.03.016</t>
  </si>
  <si>
    <t>03.03.017</t>
  </si>
  <si>
    <t>03.03.018</t>
  </si>
  <si>
    <t>03.03.019</t>
  </si>
  <si>
    <t>03.03.020</t>
  </si>
  <si>
    <t>03.03.022</t>
  </si>
  <si>
    <t>03.03.024</t>
  </si>
  <si>
    <t>03.03.027</t>
  </si>
  <si>
    <t>03.03.028</t>
  </si>
  <si>
    <t>03.03.029</t>
  </si>
  <si>
    <t>03.03.030</t>
  </si>
  <si>
    <t>03.03.031</t>
  </si>
  <si>
    <t>03.03.032</t>
  </si>
  <si>
    <t>03.03.039</t>
  </si>
  <si>
    <t>03.03.048</t>
  </si>
  <si>
    <t>03.03.049</t>
  </si>
  <si>
    <t>03.03.050</t>
  </si>
  <si>
    <t>03.03.054</t>
  </si>
  <si>
    <t>03.03.055</t>
  </si>
  <si>
    <t>03.03.056</t>
  </si>
  <si>
    <t>03.03.058</t>
  </si>
  <si>
    <t>03.03.059</t>
  </si>
  <si>
    <t>03.03.063</t>
  </si>
  <si>
    <t>03.03.067</t>
  </si>
  <si>
    <t>03.03.080</t>
  </si>
  <si>
    <t>REFORÇO PARA LAJE PRÉ-FABRICADA</t>
  </si>
  <si>
    <t>03.03.082</t>
  </si>
  <si>
    <t>03.03.083</t>
  </si>
  <si>
    <t>03.03.084</t>
  </si>
  <si>
    <t>03.03.085</t>
  </si>
  <si>
    <t>03.03.086</t>
  </si>
  <si>
    <t>03.03.087</t>
  </si>
  <si>
    <t>03.03.088</t>
  </si>
  <si>
    <t>03.03.089</t>
  </si>
  <si>
    <t>FORNEC. E MONTAGEM DE VIGA PROTENDIDA PRÉ-MOLDADA DE CONCRETO</t>
  </si>
  <si>
    <t>03.03.099</t>
  </si>
  <si>
    <t>03.03.101</t>
  </si>
  <si>
    <t>LAJE PRE-FABRICADA VIGOTA TRELICADA UNIDIRECIONAL LT12-300KGF/M2</t>
  </si>
  <si>
    <t>03.03.110</t>
  </si>
  <si>
    <t>ESCORAMENTO METÁLICO PARA VIGAS ALTURA ATÉ 3,20M ESPAÇAMENTO MENOR OU IGUAL 60CM</t>
  </si>
  <si>
    <t>03.03.111</t>
  </si>
  <si>
    <t>ESCORAMENTO METÁLICO PARA LAJES ALTURA ATÉ 3,20M MALHA MENOR OU IGUAL 1,50X1,50</t>
  </si>
  <si>
    <t>FORNECIMENTO E MONTAGEM DE ESTRUTURA METALICA COM AÇO NAO PATINAVE (ASTM A36/A570)</t>
  </si>
  <si>
    <t>03.04.016</t>
  </si>
  <si>
    <t>FORNECIMENTO E MONTAGEM DE ESTRUTURA METALICA COM AÇO RESISTENTE A CORROSAO (ASTM A709/A588)</t>
  </si>
  <si>
    <t>03.04.030</t>
  </si>
  <si>
    <t>03.04.099</t>
  </si>
  <si>
    <t>03.05.010</t>
  </si>
  <si>
    <t>03.05.011</t>
  </si>
  <si>
    <t>03.05.012</t>
  </si>
  <si>
    <t>03.05.099</t>
  </si>
  <si>
    <t>03.50.001</t>
  </si>
  <si>
    <t>DEMOLIÇÃO DE CONCRETO INCLUINDO REVESTIMENTOS (MANUAL)</t>
  </si>
  <si>
    <t>03.50.005</t>
  </si>
  <si>
    <t>DEMOLIÇÃO DE LAJES MISTAS OU PRÉ-MOLDADAS INCLUINDO REVESTIMENTOS (MANUAL)</t>
  </si>
  <si>
    <t>03.50.099</t>
  </si>
  <si>
    <t>03.60.099</t>
  </si>
  <si>
    <t>03.70.099</t>
  </si>
  <si>
    <t>03.80.099</t>
  </si>
  <si>
    <t>SERVICOS SUPER ESTRUTURA - CONSERVACAO</t>
  </si>
  <si>
    <t>04.01.001</t>
  </si>
  <si>
    <t>04.01.002</t>
  </si>
  <si>
    <t>04.01.003</t>
  </si>
  <si>
    <t>04.01.012</t>
  </si>
  <si>
    <t>04.01.013</t>
  </si>
  <si>
    <t>REVESTIMENTO COM TIJOLO DE BARRO A VISTA E=1/2 TIJOLO/DISP ALTERNADA</t>
  </si>
  <si>
    <t>04.01.014</t>
  </si>
  <si>
    <t>04.01.015</t>
  </si>
  <si>
    <t>04.01.017</t>
  </si>
  <si>
    <t>04.01.018</t>
  </si>
  <si>
    <t>04.01.019</t>
  </si>
  <si>
    <t>04.01.020</t>
  </si>
  <si>
    <t>04.01.030</t>
  </si>
  <si>
    <t>ALVENARIA DE BLOCOS DE CONCRETO E=9CM CLASSE C</t>
  </si>
  <si>
    <t>ALVENARIA DE BLOCO DE CONCRETO 14X19X39 CM CLASSE C</t>
  </si>
  <si>
    <t>ALVENARIA DE BLOCO DE CONCRETO 19X19X39 CM CLASSE C</t>
  </si>
  <si>
    <t>04.01.042</t>
  </si>
  <si>
    <t>04.01.043</t>
  </si>
  <si>
    <t>04.01.047</t>
  </si>
  <si>
    <t>ALVENARIA AUTO-PORTANTE: BLOCO CONCRETO ESTRUTURAL DE 19X19X19CM CLASSE B</t>
  </si>
  <si>
    <t>04.01.050</t>
  </si>
  <si>
    <t>ALVENARIA AUTO-PORTANTE: BLOCO CONCRETO ESTRUTURAL DE 14X19X39CM CLASSE B</t>
  </si>
  <si>
    <t>04.01.051</t>
  </si>
  <si>
    <t>ALVENARIA AUTO-PORTANTE: BLOCO CONCRETO ESTRUTURAL DE 19X19X39CM CLASSE B</t>
  </si>
  <si>
    <t>04.01.058</t>
  </si>
  <si>
    <t>04.01.059</t>
  </si>
  <si>
    <t>04.01.063</t>
  </si>
  <si>
    <t>ALVENARIA DE CONCRETO CELULAR - BLOCOS E=7,5CM</t>
  </si>
  <si>
    <t>ALVENARIA DE CONCRETO CELULAR - BLOCOS E=10CM</t>
  </si>
  <si>
    <t>04.01.065</t>
  </si>
  <si>
    <t>ALVENARIA DE CONCRETO CELULAR BLOCOS E=15CM</t>
  </si>
  <si>
    <t>04.01.066</t>
  </si>
  <si>
    <t>FORMA PILAR QUADRA DE ESPORTES  BLOCO DE CONCRETO 39x19x39CM 3 Mpa</t>
  </si>
  <si>
    <t>04.01.070</t>
  </si>
  <si>
    <t>04.01.071</t>
  </si>
  <si>
    <t>04.01.072</t>
  </si>
  <si>
    <t>04.01.073</t>
  </si>
  <si>
    <t>04.01.099</t>
  </si>
  <si>
    <t>04.02.011</t>
  </si>
  <si>
    <t>ELEMENTO VAZADO DE CONCRETO TIPO QUADRICULADO 25 FUROS  39X39X8CM NEOREX 19C</t>
  </si>
  <si>
    <t>04.02.015</t>
  </si>
  <si>
    <t>ELEMENTO VAZADO DE CONCRETO TIPO CAIXILHO 40X40X20CM</t>
  </si>
  <si>
    <t>04.02.018</t>
  </si>
  <si>
    <t>ELEMENTO VAZADO DE BLOCO DE CONCRETO 19X19X39CM CLASSE C</t>
  </si>
  <si>
    <t>04.02.020</t>
  </si>
  <si>
    <t>04.02.062</t>
  </si>
  <si>
    <t>04.02.099</t>
  </si>
  <si>
    <t>04.03.005</t>
  </si>
  <si>
    <t>DV-06 DIVISORIA DE GRANILITE SANITARIO INFANTIL H=1,20M</t>
  </si>
  <si>
    <t>DV-04 DIVISÓRIA DE GRANILITE - ANTEPARO</t>
  </si>
  <si>
    <t>04.03.009</t>
  </si>
  <si>
    <t>DV-07 DIVISÓRIA DE GRANILITE</t>
  </si>
  <si>
    <t>04.03.010</t>
  </si>
  <si>
    <t>DIVISORIA DV-03 CR  SANITARIO / VESTIARIO FUNCIONARIOS USO EXCLUSIVO PADRÃO CRECHE</t>
  </si>
  <si>
    <t>04.03.020</t>
  </si>
  <si>
    <t>04.03.022</t>
  </si>
  <si>
    <t>04.03.025</t>
  </si>
  <si>
    <t>04.03.026</t>
  </si>
  <si>
    <t>DV-05 DIVISORIA PARA SALA DE INFORMÁTICA</t>
  </si>
  <si>
    <t>04.03.028</t>
  </si>
  <si>
    <t>DIVISORIA DE  PLACA DE GESSO ACARTONADO STANDARD 15MM ESPESSURA 100/70  COM LÃ MINERAL. FORNECIDA E INSTALADA</t>
  </si>
  <si>
    <t>04.03.029</t>
  </si>
  <si>
    <t>DIVISORIA DE  PLACA DE GESSO ACARTONADO STANDARD 15MM ESPESSURA 120/90  COM LÃ MINERAL. FORNECIDA E INSTALADA</t>
  </si>
  <si>
    <t>04.03.099</t>
  </si>
  <si>
    <t>04.50.001</t>
  </si>
  <si>
    <t>DEMOLIÇÃO DE ALVENARIAS EM GERAL E ELEMENTOS VAZADOS,INCL REVESTIMENTOS</t>
  </si>
  <si>
    <t>04.50.010</t>
  </si>
  <si>
    <t>DEMOLIÇÃO DE DIVISÓRIAS DE MADEIRA INCLUINDO ENTARUGAMENTO</t>
  </si>
  <si>
    <t>04.50.011</t>
  </si>
  <si>
    <t>DEMOLIÇÃO DE DIVISÓRIAS EM PLACAS PARA SANITÁRIOS</t>
  </si>
  <si>
    <t>04.50.012</t>
  </si>
  <si>
    <t>DEMOLIÇÃO DE PLACAS DE FIBRO CIMENTO</t>
  </si>
  <si>
    <t>04.50.099</t>
  </si>
  <si>
    <t>04.60.010</t>
  </si>
  <si>
    <t>RETIRADA DE DIVISÓRIAS EM CHAPAS DE MADEIRA, INCLUSIVE ENTARUGAMENTO</t>
  </si>
  <si>
    <t>04.60.011</t>
  </si>
  <si>
    <t>RETIRADA DE DIVISÓRIAS EM CHAPA DE MADEIRA,EXCLUSIVE ENTARUGAMENTO</t>
  </si>
  <si>
    <t>04.60.012</t>
  </si>
  <si>
    <t>RETIRADA DE PAINÉIS DIVISÓRIAS COM MONTANTES METÁLICAS</t>
  </si>
  <si>
    <t>04.60.099</t>
  </si>
  <si>
    <t>04.70.010</t>
  </si>
  <si>
    <t>RECOLOCAÇÃO DE DIVISÓRIAS EM CHAPAS DE MADEIRA INCLUSIVE ENTARUGAMENTO</t>
  </si>
  <si>
    <t>04.70.011</t>
  </si>
  <si>
    <t>RECOLOCAÇÃO DE DIVISÓRIAS EM CHAPAS DE MADEIRA EXCLUSIVE ENTARUGAMENTO</t>
  </si>
  <si>
    <t>04.70.012</t>
  </si>
  <si>
    <t>RECOLOCAÇÃO DE PAINÉIS DIVISÓRIOS COM MONTANTES METÁLICAS</t>
  </si>
  <si>
    <t>04.70.099</t>
  </si>
  <si>
    <t>04.80.002</t>
  </si>
  <si>
    <t>ELEMENTO VAZADO REF NEO REX 16 19X19X10CM</t>
  </si>
  <si>
    <t>04.80.003</t>
  </si>
  <si>
    <t>ELEMENTO VAZADO REF NEO REX 16DC 19X19X19CM</t>
  </si>
  <si>
    <t>04.80.004</t>
  </si>
  <si>
    <t>ELEMENTO VAZADO REF NEO REX 90 39X39X7CM</t>
  </si>
  <si>
    <t>04.80.011</t>
  </si>
  <si>
    <t>DIVISORIA CHAPA COMPENSADO E=4MM G1-C8  AMBAS FACES INCL ENTARUGAMENTO</t>
  </si>
  <si>
    <t>04.80.017</t>
  </si>
  <si>
    <t>04.80.099</t>
  </si>
  <si>
    <t>SERVICOS DE ALVENARIA E OUTROS ELEMENTOS DIVISORIOS - CONSERVACAO</t>
  </si>
  <si>
    <t>05.01.004</t>
  </si>
  <si>
    <t>05.01.005</t>
  </si>
  <si>
    <t>05.01.009</t>
  </si>
  <si>
    <t>05.01.010</t>
  </si>
  <si>
    <t>05.01.011</t>
  </si>
  <si>
    <t>05.01.013</t>
  </si>
  <si>
    <t>05.01.014</t>
  </si>
  <si>
    <t>05.01.024</t>
  </si>
  <si>
    <t>05.01.025</t>
  </si>
  <si>
    <t>05.01.026</t>
  </si>
  <si>
    <t>PM-74 PORTA SARRAFEADO MACIÇO P/BOXES L=62CM-COMPLETA</t>
  </si>
  <si>
    <t>05.01.032</t>
  </si>
  <si>
    <t>PM-84 PORTA SARRAFEADO MACIÇO P/BOXES L=82CM-COMPLETA</t>
  </si>
  <si>
    <t>05.01.036</t>
  </si>
  <si>
    <t>05.01.037</t>
  </si>
  <si>
    <t>05.01.044</t>
  </si>
  <si>
    <t>05.01.046</t>
  </si>
  <si>
    <t>05.01.047</t>
  </si>
  <si>
    <t>05.01.050</t>
  </si>
  <si>
    <t>PM-81 PORTA SARRAFEADO MACIÇO P/BOXE ACESSIVEL-COMPLETA</t>
  </si>
  <si>
    <t>PM-75 PORTA SARRAFEADA MACICA SANIT. ACESSIVEL BAT. MET.</t>
  </si>
  <si>
    <t>05.01.069</t>
  </si>
  <si>
    <t>PM-82 PORTA DE CORRER ACESSIVEL SARRAF.MACIÇA P/PINTURA(L=111CM)</t>
  </si>
  <si>
    <t>PM-83 PORTA DE CORRER ACESSIVEL SARRAFEADA MACIÇA G1-C1 P/PINTURA L=101CM</t>
  </si>
  <si>
    <t>05.01.090</t>
  </si>
  <si>
    <t>PM-58 PORTA DE MADEIRA SARRAFEADA P/ PINT. C/ BAND. BAT. MET. L=72CM INCLUSIVE REFORÇO DE FECHADURA</t>
  </si>
  <si>
    <t>05.01.091</t>
  </si>
  <si>
    <t>PM-59 PORTA DE MADEIRA SARRAFEADA P/ PINT. C/ BAND. BAT. MET. L=82CM INCLUSIVE REFORÇO DE FECHADURA</t>
  </si>
  <si>
    <t>05.01.092</t>
  </si>
  <si>
    <t>PM-60 PORTA DE MADEIRA SARRAFEADA P/ PINT. C/ BAND. BAT. MET. L=92CM INCLUSIVE REFORÇO DE FECHADURA</t>
  </si>
  <si>
    <t>05.01.094</t>
  </si>
  <si>
    <t>PM-62 PORTA DE MADEIRA SARRAFEADA P/ PINT. C/ BAND. BAT. MAD. L=72CM INCLUSIVE REFORÇO DE FECHADURA</t>
  </si>
  <si>
    <t>05.01.095</t>
  </si>
  <si>
    <t>PM-63 PORTA DE MADEIRA SARRAFEADA P/ PINT. C/ BAND. BAT. MAD. L=82CM INCLUSIVE REFORÇO DE FECHADURA</t>
  </si>
  <si>
    <t>05.01.096</t>
  </si>
  <si>
    <t>PM-64 PORTA DE MADEIRA SARRAFEADA P/ PINT. C/ BAND. BAT. MAD. L=92CM INCLUSIVE REFORÇO DE FECHADURA</t>
  </si>
  <si>
    <t>05.01.098</t>
  </si>
  <si>
    <t>05.01.099</t>
  </si>
  <si>
    <t>05.01.100</t>
  </si>
  <si>
    <t>05.01.101</t>
  </si>
  <si>
    <t>PM-08 PORTA DE MADEIRA SARRAFEADA P/ PINT. BAT. MADEIRA L=124CM INCLUSIVE REFORÇO FECHADURA</t>
  </si>
  <si>
    <t>05.01.102</t>
  </si>
  <si>
    <t>05.01.103</t>
  </si>
  <si>
    <t>05.01.104</t>
  </si>
  <si>
    <t>05.01.105</t>
  </si>
  <si>
    <t>PM-73 PORTA DE MADEIRA SARRAFEADA P/ PINT. BAT. MET. L=124CM INCLUSIVE REFORÇO FECHADURA</t>
  </si>
  <si>
    <t>05.01.106</t>
  </si>
  <si>
    <t>PM-61 PORTA DE MADEIRA SARRAFEADA P/ PINT. C/ BAND. BAT. MET. L=124CM INCLUSIVE REFORÇO DE FECHADURA</t>
  </si>
  <si>
    <t>05.01.107</t>
  </si>
  <si>
    <t>PM-65 PORTA DE MADEIRA SARRAFEADA P/ PINT. C/ BAND. BAT. MAD. L=124CM INCLUSIVE REFORÇO DE FECHADURA</t>
  </si>
  <si>
    <t>05.01.108</t>
  </si>
  <si>
    <t>PM-76 PORTA SARRAFEADA MACICA SANIT. ACESSIVEL BAT. MAD.</t>
  </si>
  <si>
    <t>05.01.109</t>
  </si>
  <si>
    <t>PM-79 PORTA SARRAFEADA MACICA PARA HALL DO ELEVADOR BAT. MET</t>
  </si>
  <si>
    <t>05.01.110</t>
  </si>
  <si>
    <t>PM-80 PORTA SARRAFEADA MACICA  PARA HALL DO ELEVADOR BAT. MAD.</t>
  </si>
  <si>
    <t>05.01.111</t>
  </si>
  <si>
    <t>PM-85 PORTA DE CORRER ACESSIVEL SARRAFEADA MACIÇA G1-C1 P/PINTURA L=121CM</t>
  </si>
  <si>
    <t>05.02.099</t>
  </si>
  <si>
    <t>05.03.099</t>
  </si>
  <si>
    <t>05.04.099</t>
  </si>
  <si>
    <t>05.05.037</t>
  </si>
  <si>
    <t>BS-08 BANCADA PARA FRALDÁRIO</t>
  </si>
  <si>
    <t>BS-05 BANCADA PARA COZINHA - GRANITO POLIDO 20MM</t>
  </si>
  <si>
    <t>05.05.049</t>
  </si>
  <si>
    <t>BE-04 BANCADA LAVATORIO/EDUCAÇAO INFANTIL</t>
  </si>
  <si>
    <t>05.05.050</t>
  </si>
  <si>
    <t>BE-05 BANCADA EDUCAÇÃO INFANTIL</t>
  </si>
  <si>
    <t>BE-08 BANCADA ALUNOS / QUIMICA E BIOLOGIA (150CM)</t>
  </si>
  <si>
    <t>BE-09 BANCADA ALUNOS / QUIMICA E BIOLOGIA (195CM)</t>
  </si>
  <si>
    <t>BE-10 BANCADA ALUNOS / MATEMATICA E FISICA (280CM)</t>
  </si>
  <si>
    <t>05.05.057</t>
  </si>
  <si>
    <t>BE-11 BANCADA ALUNOS / QUIMICA E BIOLOGIA (120CM)</t>
  </si>
  <si>
    <t>05.05.058</t>
  </si>
  <si>
    <t>BE-12 BANCADA ALUNOS / QUIMICA E BIOLOGIA (165CM)</t>
  </si>
  <si>
    <t>05.05.059</t>
  </si>
  <si>
    <t>BE-13 BANCADA ALUNOS / MATEMATICA E FISICA (225CM)</t>
  </si>
  <si>
    <t>BE-14 BANCADA APOIO PARA CAPELA</t>
  </si>
  <si>
    <t>BE-15 BANCADA LABORATORIO COM PRATELEIRA</t>
  </si>
  <si>
    <t>BE-16 BANCADA LABORATORIO 2 CUBAS 50X40X25CM (L=180CM)</t>
  </si>
  <si>
    <t>05.05.063</t>
  </si>
  <si>
    <t>BE-17 BANCADA LABORATORIO 1 CUBA 50X40X25CM (L=120CM)</t>
  </si>
  <si>
    <t>BE-18 BANCADA LABORATORIO 1 CUBA 60X50X30CM (L=180CM)</t>
  </si>
  <si>
    <t>BE-19 BANCADA LABORATORIO SIMPLES</t>
  </si>
  <si>
    <t>GS-03 GUICHE DE SECRETARIA/JANELA DE 2 FOLHAS</t>
  </si>
  <si>
    <t>05.05.079</t>
  </si>
  <si>
    <t>05.05.085</t>
  </si>
  <si>
    <t>BA-13 BALCAO ATENDIMENTO - GRANITO</t>
  </si>
  <si>
    <t>05.05.087</t>
  </si>
  <si>
    <t>GS-04 GUICHE DE SECRETARIA/JANELA DE CORRER</t>
  </si>
  <si>
    <t>05.05.096</t>
  </si>
  <si>
    <t>CC-06 CUBA INOX 460X300X170MM - MISTURADOR DE PAREDE</t>
  </si>
  <si>
    <t>05.05.099</t>
  </si>
  <si>
    <t>CC-01 CUBA INOX (60X50X30CM) INCLUSIVE VÁLVULA AMERICANA-GRANITO</t>
  </si>
  <si>
    <t>CC-03 CUBA INOX (50X40X25CM) TORNEIRA DE PAREDE INCL.VÁLVULA AMERICANA-GRANITO</t>
  </si>
  <si>
    <t>CC-04 CUBA DUPLA INOX (102X40X25CM) INCLUSIVE VÁLVULA AMERICANA-GRANITO</t>
  </si>
  <si>
    <t>05.05.105</t>
  </si>
  <si>
    <t>CC-05 CUBA INOX (50X40X25CM) TORNEIRA DE MESA INCL.VÁLVULA AMERICANA-GRANITO</t>
  </si>
  <si>
    <t>05.05.106</t>
  </si>
  <si>
    <t>CC-07 CUBA INOX (60X50X30CM) TORNEIRA DE PAREDE COM MISTURADOR INCLUSIVE VÁLVULA AMERICANA-GRANITO</t>
  </si>
  <si>
    <t>05.05.108</t>
  </si>
  <si>
    <t>PRATELEIRA DE GRANILITE POLIDO ESPESSURA 40MM COR CINZA APLICADA NA BIBLIOTECA           USO EXCLUSIVO PADRAO CRECHE</t>
  </si>
  <si>
    <t>05.06.061</t>
  </si>
  <si>
    <t>05.06.099</t>
  </si>
  <si>
    <t>05.50.015</t>
  </si>
  <si>
    <t>DEMOLIÇÃO DE QUADRO NEGRO TIPO GREEMBOARD INCLUINDO ENTARUGAMENTO</t>
  </si>
  <si>
    <t>05.50.099</t>
  </si>
  <si>
    <t>05.60.001</t>
  </si>
  <si>
    <t>RETIRADA DE FOLHAS DE PORTAS OU JANELAS</t>
  </si>
  <si>
    <t>05.60.005</t>
  </si>
  <si>
    <t>RETIRADA DE BATENTES DE ESQUADRIAS DE MADEIRA</t>
  </si>
  <si>
    <t>05.60.010</t>
  </si>
  <si>
    <t>RETIRADA DE GUARNIÇÃO OU MOLDURAS</t>
  </si>
  <si>
    <t>05.60.017</t>
  </si>
  <si>
    <t>RETIRADA DE PORTA GIZ, INCLUSIVE SUPORTES</t>
  </si>
  <si>
    <t>05.60.050</t>
  </si>
  <si>
    <t>RETIRADA DE FECHADURAS DE EMBUTIR</t>
  </si>
  <si>
    <t>05.60.055</t>
  </si>
  <si>
    <t>RETIRADA DE CREMONA FECHO DE ALAVANCA DE EMBUTIR,TARJETAS E FECHAD SOBREPOR</t>
  </si>
  <si>
    <t>05.60.060</t>
  </si>
  <si>
    <t>RETIRADA DE DOBRADIÇAS</t>
  </si>
  <si>
    <t>05.60.099</t>
  </si>
  <si>
    <t>05.70.001</t>
  </si>
  <si>
    <t>RECOLOCAÇÃO DE FOLHAS DE PORTA OU JANELA</t>
  </si>
  <si>
    <t>05.70.005</t>
  </si>
  <si>
    <t>RECOLOCAÇÃO DE BATENTES DE ESQUADRIAS DE MADEIRA</t>
  </si>
  <si>
    <t>05.70.010</t>
  </si>
  <si>
    <t>RECOLOCAÇÃO DE GUARNIÇÃO OU MOLDURAS</t>
  </si>
  <si>
    <t>05.70.013</t>
  </si>
  <si>
    <t>RECOLOCAÇÃO DE PORTA-GIZ, INCLUINDO SUPORTES</t>
  </si>
  <si>
    <t>05.70.015</t>
  </si>
  <si>
    <t>RECOLOCAÇÃO DE FECHADURAS DE EMBUTIR</t>
  </si>
  <si>
    <t>05.70.016</t>
  </si>
  <si>
    <t>RECOLOCAÇÃO DE CREMONA,FECHOS DE ALAVANCA EMBUTIR,TARJETAS E FECHADURAS SOBREPOR</t>
  </si>
  <si>
    <t>05.70.017</t>
  </si>
  <si>
    <t>RECOLOCAÇÃO DE DOBRADICAS</t>
  </si>
  <si>
    <t>05.70.099</t>
  </si>
  <si>
    <t>05.80.001</t>
  </si>
  <si>
    <t>PORTA MADEIRA COMPENS LISA P/ PINTURA</t>
  </si>
  <si>
    <t>05.80.002</t>
  </si>
  <si>
    <t>PORTA MADEIRA COMPENS LISA COM VISOR</t>
  </si>
  <si>
    <t>05.80.003</t>
  </si>
  <si>
    <t>PORTA MADEIRA ALMOFADADA</t>
  </si>
  <si>
    <t>05.80.004</t>
  </si>
  <si>
    <t>PORTA MADEIRA MACHO-FEMEA</t>
  </si>
  <si>
    <t>05.80.005</t>
  </si>
  <si>
    <t>05.80.006</t>
  </si>
  <si>
    <t>05.80.015</t>
  </si>
  <si>
    <t>BANDEIRA P/ PORTA MADEIRA COMPENS LISA P/ PINTURA</t>
  </si>
  <si>
    <t>05.80.020</t>
  </si>
  <si>
    <t>05.80.021</t>
  </si>
  <si>
    <t>05.80.022</t>
  </si>
  <si>
    <t>05.80.023</t>
  </si>
  <si>
    <t>05.80.030</t>
  </si>
  <si>
    <t>BATENTE METALICO - PERFIL CHAPA 14 (1,9MM) ZINCADA</t>
  </si>
  <si>
    <t>05.80.035</t>
  </si>
  <si>
    <t>05.80.036</t>
  </si>
  <si>
    <t>05.80.037</t>
  </si>
  <si>
    <t>05.80.038</t>
  </si>
  <si>
    <t>05.80.039</t>
  </si>
  <si>
    <t>05.80.040</t>
  </si>
  <si>
    <t>05.80.041</t>
  </si>
  <si>
    <t>05.80.042</t>
  </si>
  <si>
    <t>LOUSA QUADRICULADA L=4.61M MOD. LG-01</t>
  </si>
  <si>
    <t>05.80.043</t>
  </si>
  <si>
    <t>05.80.044</t>
  </si>
  <si>
    <t>LOUSA QUADRICULADA L=2.55M MOD. LG-02</t>
  </si>
  <si>
    <t>05.80.050</t>
  </si>
  <si>
    <t>LOUSA EM ARGAMASSA L=461M MOD LG-03</t>
  </si>
  <si>
    <t>05.80.051</t>
  </si>
  <si>
    <t>05.80.070</t>
  </si>
  <si>
    <t>05.80.071</t>
  </si>
  <si>
    <t>05.80.072</t>
  </si>
  <si>
    <t>05.80.073</t>
  </si>
  <si>
    <t>05.80.080</t>
  </si>
  <si>
    <t>05.80.081</t>
  </si>
  <si>
    <t>05.80.082</t>
  </si>
  <si>
    <t>05.80.083</t>
  </si>
  <si>
    <t>05.80.085</t>
  </si>
  <si>
    <t>FECHADURA TETRA COMPLETA ESPELHO REDONDO CROMADO</t>
  </si>
  <si>
    <t>05.80.086</t>
  </si>
  <si>
    <t>05.80.087</t>
  </si>
  <si>
    <t>05.80.091</t>
  </si>
  <si>
    <t>FECHO TIPO UNHA DE EMBUTIR DE 10 CM</t>
  </si>
  <si>
    <t>05.80.094</t>
  </si>
  <si>
    <t>05.80.095</t>
  </si>
  <si>
    <t>05.80.096</t>
  </si>
  <si>
    <t>FECHO UNHA DE EMBUTIR AÇO CROMADO 20CM X 3/4"</t>
  </si>
  <si>
    <t>05.80.099</t>
  </si>
  <si>
    <t>SERVICOS DE ELEMENTOS DE MADEIRA/COMPONENTES - CONSERVACAO</t>
  </si>
  <si>
    <t>05.81.001</t>
  </si>
  <si>
    <t>PORTA MADEIRA COMPENS LISA P/ VERNIZ 72X210CM</t>
  </si>
  <si>
    <t>05.81.002</t>
  </si>
  <si>
    <t>PORTA MADEIRA COMPENS LISA P/ VERNIZ 82X210CM</t>
  </si>
  <si>
    <t>05.81.003</t>
  </si>
  <si>
    <t>PORTA MADEIRA COMPENS LISA P/ VERNIZ 92X210CM</t>
  </si>
  <si>
    <t>05.81.005</t>
  </si>
  <si>
    <t>PORTA MADEIRA COMPENS LISA P/ PINTURA 72X210CM</t>
  </si>
  <si>
    <t>05.81.006</t>
  </si>
  <si>
    <t>PORTA MADEIRA COMPENS LISA P/ PINTURA 82X210CM</t>
  </si>
  <si>
    <t>05.81.007</t>
  </si>
  <si>
    <t>PORTA COMPENS LISA MADEIRA P/ PINTURA 92X210CM</t>
  </si>
  <si>
    <t>05.81.025</t>
  </si>
  <si>
    <t>PORTA MADEIRA MACHO-FEMEA 72X210CM</t>
  </si>
  <si>
    <t>05.81.026</t>
  </si>
  <si>
    <t>PORTA MADEIRA MACHO-FEMEA 82X210CM</t>
  </si>
  <si>
    <t>05.81.027</t>
  </si>
  <si>
    <t>PORTA MADEIRA MACHO-FEMEA 92X210CM</t>
  </si>
  <si>
    <t>05.81.033</t>
  </si>
  <si>
    <t>05.81.047</t>
  </si>
  <si>
    <t>05.81.048</t>
  </si>
  <si>
    <t>05.81.056</t>
  </si>
  <si>
    <t>05.81.062</t>
  </si>
  <si>
    <t>CONJUNTO FERRAGEM PORTAS INTERNAS E EXTERNAS 1 FOLHA - COM DOBRADIÇA DE FERRO POLIDO</t>
  </si>
  <si>
    <t>05.81.065</t>
  </si>
  <si>
    <t>05.81.070</t>
  </si>
  <si>
    <t>05.81.071</t>
  </si>
  <si>
    <t>05.81.072</t>
  </si>
  <si>
    <t>05.81.073</t>
  </si>
  <si>
    <t>05.81.076</t>
  </si>
  <si>
    <t>05.81.080</t>
  </si>
  <si>
    <t>05.81.081</t>
  </si>
  <si>
    <t>05.81.082</t>
  </si>
  <si>
    <t>05.81.099</t>
  </si>
  <si>
    <t>05.82.010</t>
  </si>
  <si>
    <t>05.82.099</t>
  </si>
  <si>
    <t>06.01.013</t>
  </si>
  <si>
    <t>06.01.014</t>
  </si>
  <si>
    <t>06.01.015</t>
  </si>
  <si>
    <t>06.01.016</t>
  </si>
  <si>
    <t>06.01.019</t>
  </si>
  <si>
    <t>06.01.020</t>
  </si>
  <si>
    <t>06.01.024</t>
  </si>
  <si>
    <t>06.01.026</t>
  </si>
  <si>
    <t>06.01.027</t>
  </si>
  <si>
    <t>06.01.028</t>
  </si>
  <si>
    <t>06.01.029</t>
  </si>
  <si>
    <t>CX-06 CAIXILHO FIXO PERFIL LAMINADO 2MM   USO EXCLUSIVO PADRAO CRECHE</t>
  </si>
  <si>
    <t>06.01.037</t>
  </si>
  <si>
    <t>EF-24 ADAPTADO ESQUADRIA DE FERRO 1,00X1,00</t>
  </si>
  <si>
    <t>06.01.041</t>
  </si>
  <si>
    <t>06.01.042</t>
  </si>
  <si>
    <t>06.01.043</t>
  </si>
  <si>
    <t>06.01.044</t>
  </si>
  <si>
    <t>EF-28 ESQUADRIA DE FERRO 90X180CM</t>
  </si>
  <si>
    <t>06.01.047</t>
  </si>
  <si>
    <t>EF-29 ESQUADRIA DE FERRO 90X210CM</t>
  </si>
  <si>
    <t>06.01.048</t>
  </si>
  <si>
    <t>EF-30 ESQUADRIA DE FERRO PARA DUTO EXAUSTOR DE CAPELA</t>
  </si>
  <si>
    <t>06.01.049</t>
  </si>
  <si>
    <t>06.01.050</t>
  </si>
  <si>
    <t>EF-31  ESQUADRIA DE FERRO VENTILAÇÃO CRUZADA (90X65CM)</t>
  </si>
  <si>
    <t>06.01.051</t>
  </si>
  <si>
    <t>EF-32  ESQUADRIA DE FERRO VENTILAÇÃO CRUZADA (90X75CM)</t>
  </si>
  <si>
    <t>06.01.062</t>
  </si>
  <si>
    <t>06.01.063</t>
  </si>
  <si>
    <t>06.01.064</t>
  </si>
  <si>
    <t>06.01.065</t>
  </si>
  <si>
    <t>06.01.066</t>
  </si>
  <si>
    <t>06.01.067</t>
  </si>
  <si>
    <t>06.01.072</t>
  </si>
  <si>
    <t>06.01.075</t>
  </si>
  <si>
    <t>06.01.080</t>
  </si>
  <si>
    <t>06.01.081</t>
  </si>
  <si>
    <t>06.01.082</t>
  </si>
  <si>
    <t>06.01.083</t>
  </si>
  <si>
    <t>06.01.084</t>
  </si>
  <si>
    <t>06.01.085</t>
  </si>
  <si>
    <t>06.01.086</t>
  </si>
  <si>
    <t>06.01.087</t>
  </si>
  <si>
    <t>06.01.099</t>
  </si>
  <si>
    <t>06.02.001</t>
  </si>
  <si>
    <t>PC-01 PORTA CORTA-FOGO P90 L=90CM COMPLETA</t>
  </si>
  <si>
    <t>06.02.017</t>
  </si>
  <si>
    <t>PF-19 PORTA DE FERRO P/ RESERVATORIO - GALVANIZADA</t>
  </si>
  <si>
    <t>06.02.020</t>
  </si>
  <si>
    <t>PORTA DE FERRO (TIPO PF-11)</t>
  </si>
  <si>
    <t>06.02.026</t>
  </si>
  <si>
    <t>06.02.028</t>
  </si>
  <si>
    <t>06.02.029</t>
  </si>
  <si>
    <t>PF-20 PORTA DE FERRO COM BANDEIRA CHAPA PERFURADA  L=180CM</t>
  </si>
  <si>
    <t>06.02.045</t>
  </si>
  <si>
    <t>PF-26 PORTA DE FERRO C/BANDEIRA PARA HALL ELEVADOR L=90CM</t>
  </si>
  <si>
    <t>06.02.047</t>
  </si>
  <si>
    <t>06.02.048</t>
  </si>
  <si>
    <t>PF-32 PORTA EM CHAPA DE AÇO 82X210CM C/VENTILAÇÃO</t>
  </si>
  <si>
    <t>06.02.054</t>
  </si>
  <si>
    <t>PF-33 PORTA EM CHAPA DE ACO 180X215CM</t>
  </si>
  <si>
    <t>06.02.056</t>
  </si>
  <si>
    <t>PORTA EM CHAPA DE FERRO GALVANIZADO TIPO PF-15</t>
  </si>
  <si>
    <t>06.02.060</t>
  </si>
  <si>
    <t>06.02.062</t>
  </si>
  <si>
    <t>06.02.063</t>
  </si>
  <si>
    <t>06.02.064</t>
  </si>
  <si>
    <t>06.02.065</t>
  </si>
  <si>
    <t>06.02.066</t>
  </si>
  <si>
    <t>06.02.067</t>
  </si>
  <si>
    <t>06.02.073</t>
  </si>
  <si>
    <t>06.02.074</t>
  </si>
  <si>
    <t>06.02.075</t>
  </si>
  <si>
    <t>06.02.088</t>
  </si>
  <si>
    <t>06.02.089</t>
  </si>
  <si>
    <t>ME-02 MONTANTE ESTRUTURAL VERTICAL P/ESQUADRIAS EM VÃO DE 7,20M</t>
  </si>
  <si>
    <t>06.02.095</t>
  </si>
  <si>
    <t>ME-03 MONTANTE ESTRUTURAL HORIZONTAL P/ESQUADRIAS</t>
  </si>
  <si>
    <t>06.02.098</t>
  </si>
  <si>
    <t>MONTANTE DA PORTA  PF-A  TUBO AÇO GALVANIZADO 100X100 MM ESPESSURA 3MM.   USO EXCLUSIVO PADRAO CRECHE</t>
  </si>
  <si>
    <t>06.02.099</t>
  </si>
  <si>
    <t>06.02.103</t>
  </si>
  <si>
    <t>PF-A PORTA 2 FOLHAS 193X210CM ADAPTADA MODELO PF-11 USO EXCLUSIVO PADRÃO CRECHE.</t>
  </si>
  <si>
    <t>06.02.104</t>
  </si>
  <si>
    <t>"PF-B  PORTA 2 FOLHAS 300X215 CM INCLUSIVE VIDRO LAMINADO 6MM COM MONTANTES ME-02 E ME-03   USO EXCLUSIVO PADRAO CRECHE"</t>
  </si>
  <si>
    <t>06.02.108</t>
  </si>
  <si>
    <t>PF-D   PORTA DE CORRER  QUATRO FOLHAS ADAPTADA MODELO PF-11  USO EXCLUSIVO PADRAO CRECHE</t>
  </si>
  <si>
    <t>06.02.109</t>
  </si>
  <si>
    <t>PF-C   PORTA CAIXILHO  93X215 CM ADAPTADA MODELO PF-27  USO EXCLUSIVO PADRAO CRECHE</t>
  </si>
  <si>
    <t>06.03.003</t>
  </si>
  <si>
    <t>06.03.016</t>
  </si>
  <si>
    <t>BP-01 BARRA ANTIPANICO SIMPLES</t>
  </si>
  <si>
    <t>BP-02 BARRA ANTIPANICO DUPLA</t>
  </si>
  <si>
    <t>TP-03 TELA DE PROTEÇÃO ARAME GALVANIZADO ONDULADO  - REQUADRO DE FERRO</t>
  </si>
  <si>
    <t>06.03.032</t>
  </si>
  <si>
    <t>GR-01 GRADE DE PROTECAO FERRO CHATO 1" X 1/4" MALHA 15CM X15CM</t>
  </si>
  <si>
    <t>06.03.035</t>
  </si>
  <si>
    <t>GR-02 GRADE DE PROTECAO / GUICHE (122X105 CM) FERRO CHATO 1/2" X 1/8"</t>
  </si>
  <si>
    <t>06.03.036</t>
  </si>
  <si>
    <t>06.03.037</t>
  </si>
  <si>
    <t>06.03.039</t>
  </si>
  <si>
    <t>TELA DE PROTEÇÃO CONTRA NIDIFICACAO DE PASSAROS</t>
  </si>
  <si>
    <t>06.03.040</t>
  </si>
  <si>
    <t>TELA ARAME GALVANIZADO MOSQUITEIRA CONTRA INSETOS</t>
  </si>
  <si>
    <t>06.03.060</t>
  </si>
  <si>
    <t>BARRA DE APOIO P/DEFICIENTES EM INOX ESCOVADO</t>
  </si>
  <si>
    <t>06.03.061</t>
  </si>
  <si>
    <t>CO-27 CORRIMÃO DUPLO AÇO INOX FORNECIDO E INSTALADO</t>
  </si>
  <si>
    <t>06.03.062</t>
  </si>
  <si>
    <t>CO-28 CORRIMÃO DUPLO COM MONTANTE VERTICAL AÇO INOX FORNECIDO E INSTALADO</t>
  </si>
  <si>
    <t>06.03.063</t>
  </si>
  <si>
    <t>CO-29 CORRIMÃO DUPLO INTERMEDIÁRIO AÇO INOX FORNECIDO E INSTALADO</t>
  </si>
  <si>
    <t>06.03.064</t>
  </si>
  <si>
    <t>CO-30 GUARDA-CORPO TUBULAR AÇO INOX FORNECIDO E INSTALADO</t>
  </si>
  <si>
    <t>06.03.066</t>
  </si>
  <si>
    <t>BANCO COM ASSENTO DE CONCRETO ARMADO LISO DESEMPENADO COM PINTURA VERNIZ ACRÍLICO  ARMAÇAO ENGASTADA NA LAJE DE PISO E PILARETE BLOCO CONCRETO REVESTIDO</t>
  </si>
  <si>
    <t>06.03.067</t>
  </si>
  <si>
    <t>FQ-05 ALAMBRADO PARA QUADRA COBERTA TÉRREA (BROCA)</t>
  </si>
  <si>
    <t>06.03.068</t>
  </si>
  <si>
    <t>FQ-06 ALAMBRADO PARA QUADRA COBERTA TERREA (SAPATA)</t>
  </si>
  <si>
    <t>06.03.069</t>
  </si>
  <si>
    <t>06.03.073</t>
  </si>
  <si>
    <t>06.03.074</t>
  </si>
  <si>
    <t>06.03.075</t>
  </si>
  <si>
    <t>06.03.076</t>
  </si>
  <si>
    <t>06.03.077</t>
  </si>
  <si>
    <t>06.03.078</t>
  </si>
  <si>
    <t>06.03.079</t>
  </si>
  <si>
    <t>06.03.080</t>
  </si>
  <si>
    <t>06.03.081</t>
  </si>
  <si>
    <t>QE-40 TABELA DE BASQUETE (PRE-LAJE TRELIÇADA)</t>
  </si>
  <si>
    <t>06.03.082</t>
  </si>
  <si>
    <t>CO-31 CORRIMÃO SIMPLES AÇO INOX FORNECIDO E INSTALADO</t>
  </si>
  <si>
    <t>06.03.083</t>
  </si>
  <si>
    <t>CO-32 CORRIMÃO SIMPLES C/ MONTANTE VERTICAL AÇO INOX  FORNECIDO E INSTALADO</t>
  </si>
  <si>
    <t>06.03.084</t>
  </si>
  <si>
    <t>CO-33 CORRIMÃO SIMPLES INTERMEDIÁRIO AÇO INOX FORNECIDO E INSTALADO</t>
  </si>
  <si>
    <t>06.03.085</t>
  </si>
  <si>
    <t>EM-07 ESCADA MARINHEIRO GALVANIZADA ACESSO POÇO DO ELEVADOR</t>
  </si>
  <si>
    <t>06.03.086</t>
  </si>
  <si>
    <t>BR-11 BARRA DE APOIO COM FIXAÇAO LATERAL LAVATORIO COLETIVO</t>
  </si>
  <si>
    <t>06.03.087</t>
  </si>
  <si>
    <t>BR-12  BARRA DE APOIO COM FIXAÇAO LATERAL MICTORIO INDIVIDUAL</t>
  </si>
  <si>
    <t>06.03.090</t>
  </si>
  <si>
    <t>06.03.091</t>
  </si>
  <si>
    <t>06.03.099</t>
  </si>
  <si>
    <t>CO-34 CORRIMÃO DUPLO AÇO GALVANIZADO COM PINTURA ESMALTE.</t>
  </si>
  <si>
    <t>06.03.101</t>
  </si>
  <si>
    <t>CO-35 CORRIMÃO DUPLO COM MONTANTE VERTICAL AÇO GALVANIZADO COM PINTURA ESMALTE</t>
  </si>
  <si>
    <t>06.03.102</t>
  </si>
  <si>
    <t>CO-36 CORRIMÃO DUPLO INTERMEDIÁRIO AÇO GALVANIZADO COM PINTURA ESMALTE</t>
  </si>
  <si>
    <t>06.03.103</t>
  </si>
  <si>
    <t>CO-37 CORRIMÃO SIMPLES AÇO GALVANIZADO COM PINTURA ESMALTE</t>
  </si>
  <si>
    <t>06.03.104</t>
  </si>
  <si>
    <t>CO-38 CORRIMÃO SIMPLES COM MONTANTE VERTICAL AÇO GALVANIZADO COM PINTURA ESMALTE</t>
  </si>
  <si>
    <t>06.03.105</t>
  </si>
  <si>
    <t>CO-39 CORRIMÃO SIMPLES INTERMEDIÁRIO AÇO GALVANIZADO COM PINTURA ESMALTE</t>
  </si>
  <si>
    <t>CO-40 GUARDA-CORPO TUBULAR H=15CM SOBRE ALVENARIA AÇO GALVANIZADO COM PINTURA ESMALTE</t>
  </si>
  <si>
    <t>06.03.107</t>
  </si>
  <si>
    <t>CO-41 GUARDA-CORPO COM CHAPA PERFURADA H=110CM  AÇO GALVANIZADO COM PINTURA ESMALTE</t>
  </si>
  <si>
    <t>06.03.108</t>
  </si>
  <si>
    <t>CO-42 GUARDA-CORPO COM CHAPA PERFURADA H=130CM AÇO GALVANIZADO COM PINTURA ESMALTE</t>
  </si>
  <si>
    <t>06.03.109</t>
  </si>
  <si>
    <t>CO-43 GUARDA-CORPO COM GRADIL DE FECHAMENTO H=110CM  AÇO GALVANIZADO COM PINTURA ESMALTE</t>
  </si>
  <si>
    <t>06.03.110</t>
  </si>
  <si>
    <t>CO-44 GUARDA-CORPO COM GRADIL DE FECHAMENTO H=130CM  AÇO GALVANIZADO COM PINTURA ESMALTE</t>
  </si>
  <si>
    <t>06.03.111</t>
  </si>
  <si>
    <t>CO-45 GUARDA-CORPO TUBULAR COM GRADIL DE FECHAMENTO H=110CM  AÇO GALVANIZADO COM PINTURA ESMALTE</t>
  </si>
  <si>
    <t>06.03.112</t>
  </si>
  <si>
    <t>CO-46 GUARDA-CORPO TUBULAR COM GRADIL DE FECHAMENTO H=130CM  AÇO GALVANIZADO COM PINTURA ESMALTE</t>
  </si>
  <si>
    <t>06.03.113</t>
  </si>
  <si>
    <t>CO-47 GUARDA-CORPO TUBULAR H=20CM SOBRE ALVENARIA AÇO GALVANIZADO COM PINTURA ESMALTE</t>
  </si>
  <si>
    <t>06.03.115</t>
  </si>
  <si>
    <t>QE-38 TABELA DE BASQUETE INCLUSIVE GALVANIZAÇÃO A FOGO E PINTURA ESMALTE  FUNDACAO BROCA Ø 25CM</t>
  </si>
  <si>
    <t>06.50.030</t>
  </si>
  <si>
    <t>DEMOLIÇÃO DE DEGRAUS DE ESCADA DE MARINHEIRO EM GRAMPOS</t>
  </si>
  <si>
    <t>06.50.099</t>
  </si>
  <si>
    <t>06.60.001</t>
  </si>
  <si>
    <t>RETIRADA DE ESQUADRIAS METÁLICAS</t>
  </si>
  <si>
    <t>06.60.002</t>
  </si>
  <si>
    <t>06.60.005</t>
  </si>
  <si>
    <t>RETIRADA DE BATENTES</t>
  </si>
  <si>
    <t>06.60.050</t>
  </si>
  <si>
    <t>RETIRADA DE BRAÇO DE ALAVANCA</t>
  </si>
  <si>
    <t>06.60.051</t>
  </si>
  <si>
    <t>RETIRADA DE ALAVANCA</t>
  </si>
  <si>
    <t>06.60.052</t>
  </si>
  <si>
    <t>RETIRADA DE PUXADOR DE ENGATE PARA CAIXILHO DE CORRER</t>
  </si>
  <si>
    <t>06.60.060</t>
  </si>
  <si>
    <t>RETIRADA DE ESCADA DE MARINHEIRO COM GUARDA-CORPO</t>
  </si>
  <si>
    <t>06.60.099</t>
  </si>
  <si>
    <t>06.70.001</t>
  </si>
  <si>
    <t>RECOLOCAÇÃO DE ESQUADRIAS METÁLICAS</t>
  </si>
  <si>
    <t>06.70.005</t>
  </si>
  <si>
    <t>RECOLOCAÇÃO DE BATENTES</t>
  </si>
  <si>
    <t>06.70.020</t>
  </si>
  <si>
    <t>06.70.050</t>
  </si>
  <si>
    <t>RECOLOCAÇÃO DE BRAÇO DE ALAVANCA</t>
  </si>
  <si>
    <t>06.70.051</t>
  </si>
  <si>
    <t>RECOLOCAÇÃO DE ALAVANCA</t>
  </si>
  <si>
    <t>06.70.052</t>
  </si>
  <si>
    <t>RECOLOCAÇÃO DE PUXADOR DE ENGATE PARA CAIXILHO DE CORRER</t>
  </si>
  <si>
    <t>06.70.060</t>
  </si>
  <si>
    <t>RECOLOCAÇÃO DE ESCADA MARINHEIRO COM GUARDA CORPO</t>
  </si>
  <si>
    <t>06.70.099</t>
  </si>
  <si>
    <t>06.80.001</t>
  </si>
  <si>
    <t>06.80.003</t>
  </si>
  <si>
    <t>06.80.005</t>
  </si>
  <si>
    <t>06.80.008</t>
  </si>
  <si>
    <t>06.80.009</t>
  </si>
  <si>
    <t>06.80.020</t>
  </si>
  <si>
    <t>06.80.023</t>
  </si>
  <si>
    <t>06.80.025</t>
  </si>
  <si>
    <t>06.80.029</t>
  </si>
  <si>
    <t>TELA DE PROTEÇAO P/CAIXILHO C/REQ. DE PERFIL DE FERRO E TELA ARAME GALV.</t>
  </si>
  <si>
    <t>06.80.033</t>
  </si>
  <si>
    <t>06.80.043</t>
  </si>
  <si>
    <t>06.80.044</t>
  </si>
  <si>
    <t>06.80.045</t>
  </si>
  <si>
    <t>06.80.046</t>
  </si>
  <si>
    <t>06.80.049</t>
  </si>
  <si>
    <t>06.80.050</t>
  </si>
  <si>
    <t>06.80.082</t>
  </si>
  <si>
    <t>06.80.084</t>
  </si>
  <si>
    <t>06.80.086</t>
  </si>
  <si>
    <t>06.80.088</t>
  </si>
  <si>
    <t>06.80.094</t>
  </si>
  <si>
    <t>06.80.096</t>
  </si>
  <si>
    <t>06.80.099</t>
  </si>
  <si>
    <t>SERVICOS EM ELEMENTOS METALICOS/COMPONENTES - CONSERVACAO</t>
  </si>
  <si>
    <t>07.01.001</t>
  </si>
  <si>
    <t>07.01.002</t>
  </si>
  <si>
    <t>07.01.003</t>
  </si>
  <si>
    <t>07.01.004</t>
  </si>
  <si>
    <t>07.01.010</t>
  </si>
  <si>
    <t>07.01.011</t>
  </si>
  <si>
    <t>07.01.012</t>
  </si>
  <si>
    <t>07.01.013</t>
  </si>
  <si>
    <t>07.01.025</t>
  </si>
  <si>
    <t>07.01.026</t>
  </si>
  <si>
    <t>07.01.027</t>
  </si>
  <si>
    <t>07.01.040</t>
  </si>
  <si>
    <t>ESTRUTURA DE COBERTURA EM TERÇA 6X12CM PARA TELHA ONDULADA CRFS SOBRE BASE E PILARETE CONCRETO  USO EXCLUSIVO PADRAO CRECHE</t>
  </si>
  <si>
    <t>07.01.098</t>
  </si>
  <si>
    <t>07.01.099</t>
  </si>
  <si>
    <t>07.02.016</t>
  </si>
  <si>
    <t>07.02.099</t>
  </si>
  <si>
    <t>07.03.064</t>
  </si>
  <si>
    <t>07.03.066</t>
  </si>
  <si>
    <t>07.03.067</t>
  </si>
  <si>
    <t>07.03.099</t>
  </si>
  <si>
    <t>07.03.105</t>
  </si>
  <si>
    <t>TELHA CERAMICA TIPO FRANCESA</t>
  </si>
  <si>
    <t>07.03.106</t>
  </si>
  <si>
    <t>TELHA CERAMICA TIPO PAULISTA</t>
  </si>
  <si>
    <t>07.03.107</t>
  </si>
  <si>
    <t>TELHA CERAMICA TIPO PLAN</t>
  </si>
  <si>
    <t>07.03.110</t>
  </si>
  <si>
    <t>TELHA CERAMICA TIPO ROMANA</t>
  </si>
  <si>
    <t>07.03.112</t>
  </si>
  <si>
    <t>TELHA CERAMICA TIPO COLONIAL</t>
  </si>
  <si>
    <t>07.03.120</t>
  </si>
  <si>
    <t>TELHA TECNOLOGIA CRFS ONDULADA  E=6MM</t>
  </si>
  <si>
    <t>07.03.121</t>
  </si>
  <si>
    <t>07.03.122</t>
  </si>
  <si>
    <t>TELHA TECNOLOGIA CRFS MAXIPLAC  H=125MM E=6MM</t>
  </si>
  <si>
    <t>07.03.123</t>
  </si>
  <si>
    <t>TELHA TECNOLOGIA CRFS MAXIPLAC  H=125MM E=8MM</t>
  </si>
  <si>
    <t>07.03.129</t>
  </si>
  <si>
    <t>TELHA  GALVALUME / ACO GALV PINT 1 FACE PO OU COIL-COATING ONDULADA CRFS E=0,65MM</t>
  </si>
  <si>
    <t>07.03.130</t>
  </si>
  <si>
    <t>TELHA GALVALUME / ACO GALV PINT 1 FACE PO/COIL-COATING TRAPEZ H=40MM E=0,65MM</t>
  </si>
  <si>
    <t>07.03.131</t>
  </si>
  <si>
    <t>TELHA GALVALUME / ACO GALV PINT 1 FACE PO/COIL-COATING TRAPEZ H=100MM E=0,65MM</t>
  </si>
  <si>
    <t>07.03.132</t>
  </si>
  <si>
    <t>TELHA GALVALUME / ACO GALV ACAB. NATURAL ONDULADA CRFS  E=0,65MM</t>
  </si>
  <si>
    <t>TELHA GALVALUME / ACO GALV ACABAMENTO.NATURAL TRAPEZ H=40MM
.E=0,65MM</t>
  </si>
  <si>
    <t>07.03.134</t>
  </si>
  <si>
    <t>TELHA GALVALUME / ACO GALV ACABAMENTO.NATURAL TRAPEZ H=100MM
.E=0,65MM</t>
  </si>
  <si>
    <t>07.03.135</t>
  </si>
  <si>
    <t>TELHA GALVALUME / ACO GALV SANDUICHE  E=30MM (PUR) / (PIR)  TRAPEZ H=40MM NAS DUAS FACES  E= 0,50MM COM PINT FACES APARENTES.</t>
  </si>
  <si>
    <t>07.03.136</t>
  </si>
  <si>
    <t>TELHA GALVALUME / ACO GALV SANDUICHE  E=50MM (PUR) / (PIR)  TRAPEZ H=40MM NAS DUAS FACES  E= 0,50MM COM PINT FACES APARENTES.</t>
  </si>
  <si>
    <t>07.03.137</t>
  </si>
  <si>
    <t>TELHA GALVALUME / ACO GALV SANDUICHE  E=30MM (PUR) / (PIR) SUPERIOR TRAPEZ H=40MM / INFERIOR PLANO  E= 0,50MM  COM PINT FACES APARENTES</t>
  </si>
  <si>
    <t>TELHA GALVALUME / ACO GALV SANDUICHE  E=50MM (PUR) / (PIR) SUPERIOR TRAPEZ H=40MM / INFERIOR PLANO  E= 0,50MM  COM PINT FACES APARENTES</t>
  </si>
  <si>
    <t>07.03.140</t>
  </si>
  <si>
    <t>TELHA GALVALUME / ACO GALV PINT 1 FACE PO/COIL-COATING TRAPEZ H=40MM E=0,80MM</t>
  </si>
  <si>
    <t>07.04.001</t>
  </si>
  <si>
    <t>CUMEEIRA E ESPIGAO EMBOCADOS PARA TELHA CERAMICA</t>
  </si>
  <si>
    <t>07.04.034</t>
  </si>
  <si>
    <t>07.04.035</t>
  </si>
  <si>
    <t>CUMEEIRA DE ACO PINT PO OU COIL-COATING LISA OU LISA DENTADA  E=0.5MM</t>
  </si>
  <si>
    <t>CUMEEIRA ACO GALV PINT PO/COIL-COATING PERFIL TRAPEZ H=100MM  E=0,65MM</t>
  </si>
  <si>
    <t>07.04.040</t>
  </si>
  <si>
    <t>07.04.041</t>
  </si>
  <si>
    <t>07.04.044</t>
  </si>
  <si>
    <t>07.04.061</t>
  </si>
  <si>
    <t>07.04.099</t>
  </si>
  <si>
    <t>07.04.100</t>
  </si>
  <si>
    <t>07.04.101</t>
  </si>
  <si>
    <t>07.04.102</t>
  </si>
  <si>
    <t>07.04.112</t>
  </si>
  <si>
    <t>07.04.113</t>
  </si>
  <si>
    <t>07.04.114</t>
  </si>
  <si>
    <t>07.04.120</t>
  </si>
  <si>
    <t>07.04.121</t>
  </si>
  <si>
    <t>07.04.122</t>
  </si>
  <si>
    <t>07.04.123</t>
  </si>
  <si>
    <t>07.04.124</t>
  </si>
  <si>
    <t>07.04.126</t>
  </si>
  <si>
    <t>07.04.127</t>
  </si>
  <si>
    <t>07.04.129</t>
  </si>
  <si>
    <t>07.04.130</t>
  </si>
  <si>
    <t>07.04.131</t>
  </si>
  <si>
    <t>07.04.132</t>
  </si>
  <si>
    <t>07.04.133</t>
  </si>
  <si>
    <t>07.04.134</t>
  </si>
  <si>
    <t>FECHAMENTO TELHA PERF GALVALUME / ACO GALV
TRAPEZ H=40MM E=0,65MM PINT PO 2 FACES  Ø FURO ATE 3,17MM AREA PERFURADA ATÉ 40%</t>
  </si>
  <si>
    <t>FECHAMENTO TELHA PERF GALVALUME / ACO GALV TRAPEZ H=35MM E=0,65MM PINT PO 2 FACES  Ø FURO ATE 3,17MM AREA PERFURADA ATÉ 40%</t>
  </si>
  <si>
    <t>07.05.010</t>
  </si>
  <si>
    <t>07.05.023</t>
  </si>
  <si>
    <t>FECHAMENTO TELHA GALVALUME / AÇO GALV TRAP H=40MM E=0,80MM PINT PO 2 FACES USO EXCLUSIVO FUNDO Q. ESPORTES</t>
  </si>
  <si>
    <t>07.05.025</t>
  </si>
  <si>
    <t>FECHAMENTO TELHA PERF GALVALUME / AÇO GALV  TRAP H=40MM  E=0,80MM PINT PO 2 FACES  Ø FURO ATE 3,17MM AREA PERFURADA ATE 40%  USO EXCLUSIVO LATERAL Q. ESPORTES</t>
  </si>
  <si>
    <t>07.05.080</t>
  </si>
  <si>
    <t>07.05.099</t>
  </si>
  <si>
    <t>07.50.001</t>
  </si>
  <si>
    <t>07.60.001</t>
  </si>
  <si>
    <t>RETIRADA DE ESTRUT DE MADEIRA EM TESOURA,PONTAL OU MISTA P/TELHA BARRO SOBRE LAJE</t>
  </si>
  <si>
    <t>07.60.002</t>
  </si>
  <si>
    <t>RETIRADA DE ESTRUT DE MADEIRA EM TESOURA PARA TELHAS DE BARRO SOBRE VAO LIVRE</t>
  </si>
  <si>
    <t>07.60.005</t>
  </si>
  <si>
    <t>RETIRADA DE ESTRUT DE MADEIRA EM TESOURA,PONTAL OU MISTA P/TELHA FIBRO-CIM SOBRE LAJE</t>
  </si>
  <si>
    <t>07.60.006</t>
  </si>
  <si>
    <t>RETIRADA DE ESTRUT DE MADEIRA EM TESOURA,PARA TELHA DE FIBRO-CIM SOBR VAO LIVRE</t>
  </si>
  <si>
    <t>07.60.010</t>
  </si>
  <si>
    <t>RETIRADA DE VIGAMENTO DE APOIO P/TELHAS DE BARRO/FIBRO-CIM/AL/PLAST/PLANA PRE-FAB</t>
  </si>
  <si>
    <t>07.60.015</t>
  </si>
  <si>
    <t>RETIRADA DE CAIBROS</t>
  </si>
  <si>
    <t>07.60.016</t>
  </si>
  <si>
    <t>RETIRADA DE RIPAS</t>
  </si>
  <si>
    <t>07.60.020</t>
  </si>
  <si>
    <t>RETIRADA DE FERRAGENS PARA ESTRUTURA DE MADEIRA</t>
  </si>
  <si>
    <t>07.60.050</t>
  </si>
  <si>
    <t>RETIRADA DE TELHAS DE BARRO</t>
  </si>
  <si>
    <t>07.60.051</t>
  </si>
  <si>
    <t>RETIRADA DE TELHAS DE BARRO - S/REAPROV</t>
  </si>
  <si>
    <t>07.60.055</t>
  </si>
  <si>
    <t>RETIRADA DE CUMEEIRAS E ESPIGÕES DE BARRO</t>
  </si>
  <si>
    <t>07.60.056</t>
  </si>
  <si>
    <t>RETIRADA DE CUMEEIRAS E ESPIGOES DE BARRO - S/REAPROV</t>
  </si>
  <si>
    <t>07.60.060</t>
  </si>
  <si>
    <t>RETIRADA DE TELHAS OND DE FIBRO-CIM/PLAST OU ALUM/PLANA PRE FAB</t>
  </si>
  <si>
    <t>07.60.061</t>
  </si>
  <si>
    <t>RETIRADA DE TELHAS OND DE FIBRO-CIM/PLAST OU ALUM/PLANA PRE FAB - S/REAPROV</t>
  </si>
  <si>
    <t>07.60.065</t>
  </si>
  <si>
    <t>RETIRADA DE CUMEEIRAS, ESPIGÕES E RUFOS DE FIBRO-CIMENTO</t>
  </si>
  <si>
    <t>07.60.066</t>
  </si>
  <si>
    <t>RETIRADA DE CUMEEIRAS, ESPIGOES E RUFOS DE FIBRO-CIMENTO - S/REAPROV</t>
  </si>
  <si>
    <t>07.60.099</t>
  </si>
  <si>
    <t>07.70.001</t>
  </si>
  <si>
    <t>RECOLOCAÇÃO DE RIPAS</t>
  </si>
  <si>
    <t>07.70.002</t>
  </si>
  <si>
    <t>RECOLOCAÇÃO DE CAIBROS</t>
  </si>
  <si>
    <t>07.70.003</t>
  </si>
  <si>
    <t>RECOLOCAÇÃO DE VIGAS</t>
  </si>
  <si>
    <t>07.70.010</t>
  </si>
  <si>
    <t>RECOLOCAÇÃO DE FERRAGEM PARA ESTRUTURA DE MADEIRA</t>
  </si>
  <si>
    <t>07.70.050</t>
  </si>
  <si>
    <t>RECOLOCAÇÃO DE TELHAS DE BARRO TIPO FRANCESA / ROMANA</t>
  </si>
  <si>
    <t>07.70.052</t>
  </si>
  <si>
    <t>RECOLOCAÇÃO DE TELHA DE BARRO TIPO PLAN</t>
  </si>
  <si>
    <t>07.70.055</t>
  </si>
  <si>
    <t>RECOLOCAÇÃO DE TELHA DE FIBROCIMENTO, PLÁSTICO OU ALUMÍNIO</t>
  </si>
  <si>
    <t>07.70.080</t>
  </si>
  <si>
    <t>RECOLOCAÇÃO DE CUMEEIRAS E ESPIGÕES DE BARRO</t>
  </si>
  <si>
    <t>07.70.081</t>
  </si>
  <si>
    <t>RECOLOCAÇÃO DE CUMEEIRAS, ESPIGÕES E RUFOS DE CRFS</t>
  </si>
  <si>
    <t>07.70.099</t>
  </si>
  <si>
    <t>07.80.001</t>
  </si>
  <si>
    <t>RIPAS DE 5 X 1,5 CM G1-C6</t>
  </si>
  <si>
    <t>07.80.002</t>
  </si>
  <si>
    <t>CAIBRO DE 5 X 6 CM G1-C6</t>
  </si>
  <si>
    <t>07.80.003</t>
  </si>
  <si>
    <t>TABUA DE 12 X 3 CM G1-C6</t>
  </si>
  <si>
    <t>07.80.004</t>
  </si>
  <si>
    <t>VIGA DE MADEIRA 6 X 12 CM G1-C6</t>
  </si>
  <si>
    <t>07.80.005</t>
  </si>
  <si>
    <t>VIGA DE MADEIRA 6 X 16 CM G1-C6</t>
  </si>
  <si>
    <t>07.80.008</t>
  </si>
  <si>
    <t>SARRAFO APARELHADO 10X2,5CM G1-C2</t>
  </si>
  <si>
    <t>07.80.009</t>
  </si>
  <si>
    <t>PECAS ESPECIAIS DE MADEIRA SERRADA G1-C6</t>
  </si>
  <si>
    <t>07.80.019</t>
  </si>
  <si>
    <t>PARAFUSO PARA FIXACAO DE TELHA ONDULADA CRFS</t>
  </si>
  <si>
    <t>07.80.020</t>
  </si>
  <si>
    <t>PARAFUSO OU GANCHO P/ FIXACAO TELHA CRFS MODULADA</t>
  </si>
  <si>
    <t>07.80.022</t>
  </si>
  <si>
    <t>CHAPUZ METÁLICO FERRO 2" X 1/4" ENCONTRO CUMEEIRA/PENDURAL INCLUSIVE PARAFUSOS</t>
  </si>
  <si>
    <t>07.80.023</t>
  </si>
  <si>
    <t>ESTRIBO/GRAMPO FERRO REDONDO 1/2" INCLUSO CHAPA E PORCAS</t>
  </si>
  <si>
    <t>07.80.024</t>
  </si>
  <si>
    <t>CHAPUZ METALICO 2X40CM FERRO 2" X 1/4" INCLUSIVE PARAFUSOS</t>
  </si>
  <si>
    <t>07.80.025</t>
  </si>
  <si>
    <t>TELHA DE CONCRETO COR VERMELHA</t>
  </si>
  <si>
    <t>07.80.026</t>
  </si>
  <si>
    <t>TELHA DE CONCRETO COR CINZA</t>
  </si>
  <si>
    <t>07.80.027</t>
  </si>
  <si>
    <t>TELHA GALVALUME / ACO GALV AUTOPORTANTE DOIS APOIOS VÃO MÁXIMO ATÉ 11METROS E=0,80MM H=260MM ACABAMENTO NATURAL</t>
  </si>
  <si>
    <t>07.80.028</t>
  </si>
  <si>
    <t>TELHA GALVALUME / ACO GALV AUTOPORTANTE DOIS APOIOS VÃO MÁXIMO ATÉ 11 METROS E=0,80MM H=260MM ACABAMENTO NATURAL SANDUICHE DE LÃ DE ROCHA E=50 MM ENVELOPADA</t>
  </si>
  <si>
    <t>07.80.029</t>
  </si>
  <si>
    <t>TELHA GALVALUME / ACO GALV AUTOPORTANTE DOIS APOIOS VÃO MÁXIMO ATÉ 11 METROS E=0,80MM H=260MM FACE INFERIOR PINTADA SANDUICHE DE LÃ DE ROCHA E=50 MM ENVELOPADA</t>
  </si>
  <si>
    <t>07.80.030</t>
  </si>
  <si>
    <t>TELHAS CERAMICA TIPO FRANCESA</t>
  </si>
  <si>
    <t>07.80.032</t>
  </si>
  <si>
    <t>CUMEEIRA E ESPIGAO EMBOCADOS PARA TELHAS CERAMICA</t>
  </si>
  <si>
    <t>07.80.033</t>
  </si>
  <si>
    <t>FECHAMENTO DE OITAO EM TABUA DE 10 X 1CM MACHO-FEMEA P/FORRO G1-C4</t>
  </si>
  <si>
    <t>07.80.035</t>
  </si>
  <si>
    <t>LIMPEZA DE TELHADO INCLUSIVE REMOÇÃO DO MATERIAL RECOLHIDO</t>
  </si>
  <si>
    <t>07.80.036</t>
  </si>
  <si>
    <t>TELHA TECNOLOGIA CRFS MODULADA E=8MM</t>
  </si>
  <si>
    <t>07.80.037</t>
  </si>
  <si>
    <t>07.80.039</t>
  </si>
  <si>
    <t>07.80.040</t>
  </si>
  <si>
    <t>07.80.041</t>
  </si>
  <si>
    <t>07.80.042</t>
  </si>
  <si>
    <t>07.80.043</t>
  </si>
  <si>
    <t>07.80.044</t>
  </si>
  <si>
    <t>07.80.045</t>
  </si>
  <si>
    <t>07.80.048</t>
  </si>
  <si>
    <t>07.80.050</t>
  </si>
  <si>
    <t>07.80.051</t>
  </si>
  <si>
    <t>07.80.052</t>
  </si>
  <si>
    <t>CUMEEIRA NORMAL PARA TELHA TECNOLOGIA CRFS MODULADA</t>
  </si>
  <si>
    <t>07.80.053</t>
  </si>
  <si>
    <t>CUMEEIRA ARTICULADA PARA TELHA TECNOLOGIA CRFS MODULADA</t>
  </si>
  <si>
    <t>07.80.054</t>
  </si>
  <si>
    <t>RUFO PARA TELHA TECNOLOGIA CRFS MODULADA</t>
  </si>
  <si>
    <t>07.80.055</t>
  </si>
  <si>
    <t>07.80.056</t>
  </si>
  <si>
    <t>CUMEEIRA NORMAL PARA TELHA TECNOLOGIA CRFS TRAPEZOIDAL 90CM</t>
  </si>
  <si>
    <t>07.80.057</t>
  </si>
  <si>
    <t>07.80.058</t>
  </si>
  <si>
    <t>07.80.059</t>
  </si>
  <si>
    <t>TELHA DE VIDRO TIPO FRANCESA PARA ILUMINAÇÃO</t>
  </si>
  <si>
    <t>07.80.062</t>
  </si>
  <si>
    <t>TELHA DE POLIESTER PERFIL DA CANALETE 90 CM E=1,20MM</t>
  </si>
  <si>
    <t>07.80.064</t>
  </si>
  <si>
    <t>TELHA DE POLIESTER PERFIL DA MAXIPLAC E=1,20MM</t>
  </si>
  <si>
    <t>07.80.065</t>
  </si>
  <si>
    <t>TELHA DE POLIESTER PERFIL DA ONDULADA ALUMINIO E=1,20MM</t>
  </si>
  <si>
    <t>07.80.066</t>
  </si>
  <si>
    <t>TELHA DE POLIESTER PERFIL DA TRAPEZOIDAL ALUMINIO E=1,20MM</t>
  </si>
  <si>
    <t>07.80.087</t>
  </si>
  <si>
    <t>PARAFUSO PARA FIXACAO TELHA CRFS TRAPEZOIDAL C/ 44CM</t>
  </si>
  <si>
    <t>07.80.088</t>
  </si>
  <si>
    <t>PARAFUSO PARA FIXACAO TELHA CRFS TRAPEZOIDAL C/ 90CM</t>
  </si>
  <si>
    <t>07.80.089</t>
  </si>
  <si>
    <t>PARAFUSO P/ FIXACAO TELHA CRFS TRAPEZOIDAL C/ 49CM</t>
  </si>
  <si>
    <t>07.80.090</t>
  </si>
  <si>
    <t>AMARRACAO DE TELHA CERAMICA COM ARAME DE COBRE</t>
  </si>
  <si>
    <t>07.80.091</t>
  </si>
  <si>
    <t>EMBOCAMENTO DE BEIRAL EM TELHA CERAMICA</t>
  </si>
  <si>
    <t>07.80.099</t>
  </si>
  <si>
    <t>SERVICOS DE COBERTURA - CONSERVACAO</t>
  </si>
  <si>
    <t>08.01.001</t>
  </si>
  <si>
    <t>08.01.005</t>
  </si>
  <si>
    <t>08.01.099</t>
  </si>
  <si>
    <t>08.02.001</t>
  </si>
  <si>
    <t>08.02.002</t>
  </si>
  <si>
    <t>08.02.004</t>
  </si>
  <si>
    <t>08.02.005</t>
  </si>
  <si>
    <t>08.02.017</t>
  </si>
  <si>
    <t>08.02.040</t>
  </si>
  <si>
    <t>08.02.042</t>
  </si>
  <si>
    <t>08.02.043</t>
  </si>
  <si>
    <t>08.02.050</t>
  </si>
  <si>
    <t>08.02.060</t>
  </si>
  <si>
    <t>08.02.061</t>
  </si>
  <si>
    <t>08.02.062</t>
  </si>
  <si>
    <t>08.02.063</t>
  </si>
  <si>
    <t>08.02.064</t>
  </si>
  <si>
    <t>08.02.099</t>
  </si>
  <si>
    <t>08.03.001</t>
  </si>
  <si>
    <t>08.03.004</t>
  </si>
  <si>
    <t>08.03.005</t>
  </si>
  <si>
    <t>08.03.006</t>
  </si>
  <si>
    <t>08.03.007</t>
  </si>
  <si>
    <t>08.03.008</t>
  </si>
  <si>
    <t>08.03.009</t>
  </si>
  <si>
    <t>08.03.010</t>
  </si>
  <si>
    <t>08.03.012</t>
  </si>
  <si>
    <t>08.03.015</t>
  </si>
  <si>
    <t>TUBO PVC RÍGIDO JUNTA SOLDÁVEL DE 20 INCL CONEXÕES</t>
  </si>
  <si>
    <t>TUBO PVC RÍGIDO JUNTA SOLDÁVEL DE 25 INCL CONEXÕES</t>
  </si>
  <si>
    <t>TUBO PVC RÍGIDO JUNTA SOLDÁVEL DE 32 INCL CONEXÕES</t>
  </si>
  <si>
    <t>TUBO PVC RÍGIDO JUNTA SOLDÁVEL DE 40 INCL CONEXÕES</t>
  </si>
  <si>
    <t>TUBO PVC RÍGIDO JUNTA SOLDÁVEL DE 50 INCL CONEXÕES</t>
  </si>
  <si>
    <t>TUBO PVC RÍGIDO JUNTA SOLDÁVEL DE 60 INCL CONEXÕES</t>
  </si>
  <si>
    <t>TUBO PVC RÍGIDO JUNTA SOLDÁVEL DE 75 INCL CONEXÕES</t>
  </si>
  <si>
    <t>TUBO PVC RÍGIDO JUNTA SOLDÁVEL DE 85 INCL CONEXÕES</t>
  </si>
  <si>
    <t>08.03.023</t>
  </si>
  <si>
    <t>TUBO PVC RÍGIDO JUNTA SOLDÁVEL DE 110 INCL CONEXÕES</t>
  </si>
  <si>
    <t>08.04.001</t>
  </si>
  <si>
    <t>08.04.002</t>
  </si>
  <si>
    <t>08.04.003</t>
  </si>
  <si>
    <t>08.04.004</t>
  </si>
  <si>
    <t>08.04.007</t>
  </si>
  <si>
    <t>08.04.008</t>
  </si>
  <si>
    <t>08.04.009</t>
  </si>
  <si>
    <t>08.04.015</t>
  </si>
  <si>
    <t>08.04.016</t>
  </si>
  <si>
    <t>08.04.021</t>
  </si>
  <si>
    <t>08.04.024</t>
  </si>
  <si>
    <t>08.04.025</t>
  </si>
  <si>
    <t>08.04.031</t>
  </si>
  <si>
    <t>08.04.043</t>
  </si>
  <si>
    <t>08.04.048</t>
  </si>
  <si>
    <t>08.04.051</t>
  </si>
  <si>
    <t>08.04.052</t>
  </si>
  <si>
    <t>08.04.053</t>
  </si>
  <si>
    <t>VALVULA DE DESCARGA C/ACIONAMENTO DUPLO FLUXO REGISTRO E ACABAM. DN 32MM 1 1/4"</t>
  </si>
  <si>
    <t>VALVULA DE DESCARGA C/ACIONAMENTO DUPLO FLUXO REGISTRO E ACABAM. DN 40MM 1 1/2"</t>
  </si>
  <si>
    <t>08.04.060</t>
  </si>
  <si>
    <t>08.05.005</t>
  </si>
  <si>
    <t>TUBO DE COBRE NBR13206 CLASSE "E" DN 15MM (1/2") AGUA QUENTE INCL CONEXOES</t>
  </si>
  <si>
    <t>08.05.006</t>
  </si>
  <si>
    <t>TUBO DE COBRE NBR13206 CLASSE "E" DN 22MM (3/4") AGUA QUENTE INCL CONEXOES</t>
  </si>
  <si>
    <t>08.05.007</t>
  </si>
  <si>
    <t>TUBO DE COBRE NBR13206 CLASSE "E" DN 28MM (1") AGUA QUENTE INCL CONEXOES</t>
  </si>
  <si>
    <t>08.05.008</t>
  </si>
  <si>
    <t>TUBO DE COBRE NBR13206 CLASSE "E" DN 35MM (1 1/4") AGUA QUENTE INCL CONEXOES</t>
  </si>
  <si>
    <t>08.05.009</t>
  </si>
  <si>
    <t>TUBO DE COBRE NBR13206 CLASSE "E" DN 15 MM (1/2") AGUA QUENTE INCL CONEXOES COM ISOLAÇAO TERMICA POLIETIL EXPANDIDO</t>
  </si>
  <si>
    <t>08.05.010</t>
  </si>
  <si>
    <t>TUBO DE COBRE NBR13206 CLASSE "E" DN 22 MM (3/4") AGUA QUENTE INCL CONEXOES COM ISOLAÇAO TERMICA POLIETIL EXPANDIDO</t>
  </si>
  <si>
    <t>08.05.011</t>
  </si>
  <si>
    <t>TUBO DE COBRE NBR13206 CLASSE "E" DN 28 MM (1") AGUA QUENTE INCL CONEXOES COM ISOLAÇAO TERMICA POLIETIL EXPANDIDO</t>
  </si>
  <si>
    <t>08.05.012</t>
  </si>
  <si>
    <t>TUBO DE COBRE NBR13206 CLASSE "E" DN 35 MM (1 1/4") AGUA QUENTE INCL CONEXOES COM ISOLAÇAO TERMICA POLIETIL EXPANDIDO</t>
  </si>
  <si>
    <t>08.05.013</t>
  </si>
  <si>
    <t>PROTEÇAO EM ALUMINIO CORRUGADO E= 0,15MM PARA TUBO DE COBRE  DN 15MM AGUA QUENTE INCL AMARRAÇAO</t>
  </si>
  <si>
    <t>08.05.014</t>
  </si>
  <si>
    <t>PROTEÇAO EM  ALUMINIO CORRUGADO E= 0,15MM PARA TUBO DE COBRE  DN 22MM AGUA QUENTE INCL AMARRAÇAO</t>
  </si>
  <si>
    <t>08.05.015</t>
  </si>
  <si>
    <t>PROTEÇAO EM  ALUMINIO CORRUGADO E=0,15MM PARA TUBO DE COBRE  DN 28MM AGUA QUENTE INCL AMARRAÇAO</t>
  </si>
  <si>
    <t>08.05.016</t>
  </si>
  <si>
    <t>PROTEÇAO EM ALUMINIO CORRUGADO E= 0,15MM PARA TUBO DE COBRE  DN 35MM AGUA QUENTE INCL AMARRAÇAO</t>
  </si>
  <si>
    <t>08.05.099</t>
  </si>
  <si>
    <t>SERVIÇOS EM REDE DE ÁGUA QUENTE</t>
  </si>
  <si>
    <t>08.06.001</t>
  </si>
  <si>
    <t>SISTEMA DE AQUECIMENTO SOLAR BOILER 1000 LITROS AÇO INOX ALTA PRESSAO COM 10 PLACAS COLETORAS 175x100x6,5 CM FORNECIDO E
INSTALADO USO EXCLUSIVO PADRÃO CRECHE</t>
  </si>
  <si>
    <t>08.06.004</t>
  </si>
  <si>
    <t>SISTEMA DE AQUECIMENTO SOLAR BOILER 1.500 LITROS AÇO INOX ALTA PRESSAO COM 18 PLACAS COLETORAS 185x85 CM FORNECIDO E INSTALADO  USO EXCLUSIVO PADRÃO PEROBAL</t>
  </si>
  <si>
    <t>08.07.004</t>
  </si>
  <si>
    <t>08.07.005</t>
  </si>
  <si>
    <t>08.07.099</t>
  </si>
  <si>
    <t>08.08.004</t>
  </si>
  <si>
    <t>08.08.010</t>
  </si>
  <si>
    <t>08.08.015</t>
  </si>
  <si>
    <t>08.08.016</t>
  </si>
  <si>
    <t>08.08.017</t>
  </si>
  <si>
    <t>08.08.021</t>
  </si>
  <si>
    <t>AH-04 ABRIGO PARA HIDRANTE COM MANGUEIRA 1 1/2"  E ESGUICHO REGULAVEL</t>
  </si>
  <si>
    <t>08.08.030</t>
  </si>
  <si>
    <t>08.08.031</t>
  </si>
  <si>
    <t>08.08.035</t>
  </si>
  <si>
    <t>08.08.036</t>
  </si>
  <si>
    <t>08.08.037</t>
  </si>
  <si>
    <t>08.08.042</t>
  </si>
  <si>
    <t>08.08.043</t>
  </si>
  <si>
    <t>08.08.044</t>
  </si>
  <si>
    <t>08.08.048</t>
  </si>
  <si>
    <t>EXTINTOR PORTATIL DE PO QUIMICO BC CAPACIDADE 6 KG</t>
  </si>
  <si>
    <t>08.08.051</t>
  </si>
  <si>
    <t>EXTINTOR PORTATIL DE PO QUIMICO ABC CAPACIDADE 6 KG</t>
  </si>
  <si>
    <t>08.08.060</t>
  </si>
  <si>
    <t>08.08.069</t>
  </si>
  <si>
    <t>08.08.070</t>
  </si>
  <si>
    <t>08.08.071</t>
  </si>
  <si>
    <t>08.08.072</t>
  </si>
  <si>
    <t>08.08.073</t>
  </si>
  <si>
    <t>08.08.074</t>
  </si>
  <si>
    <t>08.08.075</t>
  </si>
  <si>
    <t>08.08.076</t>
  </si>
  <si>
    <t>08.08.078</t>
  </si>
  <si>
    <t>08.08.079</t>
  </si>
  <si>
    <t>08.08.090</t>
  </si>
  <si>
    <t>TREINAMENTO BÁSICO PARA BRIGADA DE INCÊNDIO INCLUSO EQUIPAMENTOS (POR PARTICIPANTE)</t>
  </si>
  <si>
    <t>08.08.099</t>
  </si>
  <si>
    <t>TUBO DE FERRO FUNDIDO DN 50MM (2") - INCLUSIVE CONEXOES -  DESC</t>
  </si>
  <si>
    <t>TUBO DE FERRO FUNDIDO DN 75MM (3") - INCLUSIVE CONEXOES -  DESC</t>
  </si>
  <si>
    <t>TUBO DE FERRO FUNDIDO DN 100MM (4") - INCLUSIVE CONEXOES -  DESC</t>
  </si>
  <si>
    <t>TUBO PVC NORMAL "SN" JUNTA SOLDÁVEL/ELÁSTICA DN 40 INCL CONEXÕES</t>
  </si>
  <si>
    <t>TUBO PVC NORMAL "SN" JUNTA ELÁSTICA DN 50 INCL CONEXÕES</t>
  </si>
  <si>
    <t>TUBO PVC NORMAL "SN" JUNTA ELÁSTICA DN 75 INCL CONEXÕES</t>
  </si>
  <si>
    <t>TUBO PVC NORMAL "SN" JUNTA ELÁSTICA DN 100 INCL CONEXÕES</t>
  </si>
  <si>
    <t>TUBO PVC NORMAL "SN" JUNTA ELÁSTICA DN 150 INCL CONEXÕES</t>
  </si>
  <si>
    <t>08.09.030</t>
  </si>
  <si>
    <t>08.09.060</t>
  </si>
  <si>
    <t>TUBO PVC REFORÇADO "SR" JUNTA ELÁSTICA DN 40 INCL CONEXÕES</t>
  </si>
  <si>
    <t>08.09.061</t>
  </si>
  <si>
    <t>TUBO PVC REFORÇADO "SR" JUNTA ELÁSTICA DN 50 INCL CONEXÕES</t>
  </si>
  <si>
    <t>08.09.062</t>
  </si>
  <si>
    <t>TUBO PVC REFORÇADO "SR" JUNTA ELÁSTICA DN 75 INCL CONEXÕES</t>
  </si>
  <si>
    <t>08.09.063</t>
  </si>
  <si>
    <t>TUBO PVC REFORÇADO "SR" JUNTA ELÁSTICA DN 100 INCL CONEXÕES</t>
  </si>
  <si>
    <t>08.09.064</t>
  </si>
  <si>
    <t>TUBO PVC REFORÇADO "SR" JUNTA ELÁSTICA DN 150 INCL CONEXÕES</t>
  </si>
  <si>
    <t>08.10.004</t>
  </si>
  <si>
    <t>08.10.006</t>
  </si>
  <si>
    <t>08.10.007</t>
  </si>
  <si>
    <t>CAIXA SIFONADA DE PVC DN 150X150X50MM COM GRELHA DE PVC CROMADO</t>
  </si>
  <si>
    <t>08.10.008</t>
  </si>
  <si>
    <t>CAIXA SIFONADA DE PVC DN 100X150X50MM COM GRELHA DE AÇO INOX COM FECHO ROTATIVO.</t>
  </si>
  <si>
    <t>08.10.009</t>
  </si>
  <si>
    <t>CAIXA SIFONADA DE PVC DN 150X150X50MM COM GRELHA DE AÇO INOX COM FECHO ROTATIVO.</t>
  </si>
  <si>
    <t>08.10.010</t>
  </si>
  <si>
    <t>08.10.011</t>
  </si>
  <si>
    <t>CAIXA SIFONADA DE PVC DN 150X185X75MM C/GRELHA PVC CROMADO</t>
  </si>
  <si>
    <t>08.10.045</t>
  </si>
  <si>
    <t>08.10.049</t>
  </si>
  <si>
    <t>08.10.050</t>
  </si>
  <si>
    <t>08.10.056</t>
  </si>
  <si>
    <t>08.10.057</t>
  </si>
  <si>
    <t>08.10.058</t>
  </si>
  <si>
    <t>08.11.002</t>
  </si>
  <si>
    <t>08.11.003</t>
  </si>
  <si>
    <t>08.11.015</t>
  </si>
  <si>
    <t>DESCIDA DE AGUA PLUVIAL H=300CM C/TUBO DE FºFº DN 100MM PONTA-BOLSA INCL.FIX.NA PAREDE</t>
  </si>
  <si>
    <t>08.11.016</t>
  </si>
  <si>
    <t>DESCIDA DE AGUA PLUVIAL H=300CM C/TUBO DE FºFº DN 150MM PONTA-BOLSA INCL.FIX.NA PAREDE</t>
  </si>
  <si>
    <t>08.11.024</t>
  </si>
  <si>
    <t>08.11.025</t>
  </si>
  <si>
    <t>08.11.026</t>
  </si>
  <si>
    <t>08.11.027</t>
  </si>
  <si>
    <t>08.11.050</t>
  </si>
  <si>
    <t>TUBO DE PVC REFORÇADO "SR" JUNTA ELÁSTICA DN 40 INCL CONEXÕES</t>
  </si>
  <si>
    <t>TUBO DE PVC REFORÇADO "SR" JUNTA ELÁSTICA DN 50 INCL CONEXÕES</t>
  </si>
  <si>
    <t>08.11.052</t>
  </si>
  <si>
    <t>TUBO DE PVC REFORÇADO "SR" JUNTA ELÁSTICA DN 75 INCL CONEXÕES</t>
  </si>
  <si>
    <t>TUBO DE PVC REFORÇADO "SR" JUNTA ELÁSTICA DN 100 INCL CONEXÕES</t>
  </si>
  <si>
    <t>08.11.054</t>
  </si>
  <si>
    <t>TUBO DE PVC REFORÇADO "SR" JUNTA ELÁSTICA DN 150 INCL CONEXÕES</t>
  </si>
  <si>
    <t>08.11.099</t>
  </si>
  <si>
    <t>08.12.001</t>
  </si>
  <si>
    <t>08.12.002</t>
  </si>
  <si>
    <t>08.12.003</t>
  </si>
  <si>
    <t>08.12.004</t>
  </si>
  <si>
    <t>08.12.007</t>
  </si>
  <si>
    <t>08.12.008</t>
  </si>
  <si>
    <t>08.12.015</t>
  </si>
  <si>
    <t>08.12.016</t>
  </si>
  <si>
    <t>08.12.017</t>
  </si>
  <si>
    <t>08.12.020</t>
  </si>
  <si>
    <t>CALHA OU AGUA FURTADA EM CHAPA GALV N 26  E=0,50 MM DESENVOLVIMENTO CONSULTAR DETALHE NO PE-ARQ</t>
  </si>
  <si>
    <t>08.12.021</t>
  </si>
  <si>
    <t>08.12.022</t>
  </si>
  <si>
    <t>08.12.023</t>
  </si>
  <si>
    <t>08.12.025</t>
  </si>
  <si>
    <t>CALHA OU AGUA FURTADA EM CHAPA GALV N 24  E=0,65 MM DESENVOLVIMENTO CONSULTAR DETALHE NO PE-ARQ</t>
  </si>
  <si>
    <t>08.12.031</t>
  </si>
  <si>
    <t>08.12.038</t>
  </si>
  <si>
    <t>08.12.039</t>
  </si>
  <si>
    <t>08.12.040</t>
  </si>
  <si>
    <t>08.12.041</t>
  </si>
  <si>
    <t>08.12.042</t>
  </si>
  <si>
    <t>08.12.065</t>
  </si>
  <si>
    <t>08.12.067</t>
  </si>
  <si>
    <t>GRELHA HEMISFERICA DE FERRO FUNDIDO DN 150MM (6")</t>
  </si>
  <si>
    <t>08.12.068</t>
  </si>
  <si>
    <t>RUFO EM CHAPA GALV  N 26  E=0,50 MM  DESENVOLVIMENTO CONSULTAR DETALHE NO PE-ARQ</t>
  </si>
  <si>
    <t>08.12.080</t>
  </si>
  <si>
    <t>RUFO EM CHAPA GALV  N 24  E=0,65MM DESENVOLVIMENTO CONSULTAR DETALHE NO PE-ARQ</t>
  </si>
  <si>
    <t>08.12.087</t>
  </si>
  <si>
    <t>08.13.001</t>
  </si>
  <si>
    <t>08.13.002</t>
  </si>
  <si>
    <t>08.13.003</t>
  </si>
  <si>
    <t>08.13.004</t>
  </si>
  <si>
    <t>08.13.005</t>
  </si>
  <si>
    <t>08.13.006</t>
  </si>
  <si>
    <t>08.13.007</t>
  </si>
  <si>
    <t>08.13.008</t>
  </si>
  <si>
    <t>08.13.011</t>
  </si>
  <si>
    <t>08.13.016</t>
  </si>
  <si>
    <t>08.13.099</t>
  </si>
  <si>
    <t>08.14.002</t>
  </si>
  <si>
    <t>08.14.007</t>
  </si>
  <si>
    <t>08.14.009</t>
  </si>
  <si>
    <t>08.14.017</t>
  </si>
  <si>
    <t>08.14.019</t>
  </si>
  <si>
    <t>08.14.020</t>
  </si>
  <si>
    <t>08.14.021</t>
  </si>
  <si>
    <t>08.14.022</t>
  </si>
  <si>
    <t>08.14.026</t>
  </si>
  <si>
    <t>08.14.027</t>
  </si>
  <si>
    <t>08.14.029</t>
  </si>
  <si>
    <t>08.14.030</t>
  </si>
  <si>
    <t>08.14.032</t>
  </si>
  <si>
    <t>08.14.035</t>
  </si>
  <si>
    <t>08.14.036</t>
  </si>
  <si>
    <t>08.14.038</t>
  </si>
  <si>
    <t>08.14.039</t>
  </si>
  <si>
    <t>08.14.040</t>
  </si>
  <si>
    <t>08.14.045</t>
  </si>
  <si>
    <t>08.14.049</t>
  </si>
  <si>
    <t>08.14.062</t>
  </si>
  <si>
    <t>08.14.063</t>
  </si>
  <si>
    <t>08.14.064</t>
  </si>
  <si>
    <t>08.14.071</t>
  </si>
  <si>
    <t>08.14.072</t>
  </si>
  <si>
    <t>08.14.075</t>
  </si>
  <si>
    <t>08.14.078</t>
  </si>
  <si>
    <t>08.14.101</t>
  </si>
  <si>
    <t>CAIXA DÁGUA CÔNICA POLIETILENO CAPACIDADE DE 500L INCLUSIVE TAMPA</t>
  </si>
  <si>
    <t>08.14.103</t>
  </si>
  <si>
    <t>CAIXA DÁGUA CÔNICA POLIETILENO CAPACIDADE DE 1000L INCLUSIVE TAMPA</t>
  </si>
  <si>
    <t>08.15.002</t>
  </si>
  <si>
    <t>BN-01 BANHO BERCÁRIO</t>
  </si>
  <si>
    <t>08.15.003</t>
  </si>
  <si>
    <t>BN-02 BANHO INFANTIL</t>
  </si>
  <si>
    <t>LT-04 LAVATORIO /BEBEDOURO COLETIVO COM TORNEIRA ANTIVANDALISMO</t>
  </si>
  <si>
    <t>08.15.017</t>
  </si>
  <si>
    <t>BB-02 BEBEDOURO ACESSÍVEL ÁGUA REFRIGERADA PRESSÃO MÍNIMA 8MCA - FORNECIDO E INSTALADO</t>
  </si>
  <si>
    <t>LT-06 LAVATÓRIO COLETIVO COM TORNEIRA ANTIVANDALISMO</t>
  </si>
  <si>
    <t>LT-07 LAVATÓRIO COLETIVO COM TORNEIRA DE MESA- SANIT.ADMINISTRAÇÃO</t>
  </si>
  <si>
    <t>08.15.099</t>
  </si>
  <si>
    <t>08.16.003</t>
  </si>
  <si>
    <t>BACIA SANITÁRIA INFANTIL</t>
  </si>
  <si>
    <t>08.16.004</t>
  </si>
  <si>
    <t>08.16.025</t>
  </si>
  <si>
    <t>08.16.046</t>
  </si>
  <si>
    <t>08.16.050</t>
  </si>
  <si>
    <t>08.16.053</t>
  </si>
  <si>
    <t>BR-07 CHUVEIRO ACESSIVEL</t>
  </si>
  <si>
    <t>08.16.054</t>
  </si>
  <si>
    <t>BR-08 BACIA PARA SANITARIO ACESSIVEL</t>
  </si>
  <si>
    <t>08.16.055</t>
  </si>
  <si>
    <t>BR-09 LAVATORIO ACESSIVEL</t>
  </si>
  <si>
    <t>08.16.056</t>
  </si>
  <si>
    <t>BR-10 LAVATORIO (CANTO) ACESSIVEL</t>
  </si>
  <si>
    <t>08.16.073</t>
  </si>
  <si>
    <t>BC-23 BANCO DE GRANITO 2CM COM BORDA ARREDONDADA PARA VESTIÁRIO</t>
  </si>
  <si>
    <t>BR-02 LAVATORIO  PARA SANITARIO ACESSIVEL</t>
  </si>
  <si>
    <t>BR-03  CONJUNTO LAVATORIO E BACIA ACESSIVEIS</t>
  </si>
  <si>
    <t>BR-06 CHUVEIRO ACESSIVEL</t>
  </si>
  <si>
    <t>08.16.099</t>
  </si>
  <si>
    <t>08.17.013</t>
  </si>
  <si>
    <t>08.17.030</t>
  </si>
  <si>
    <t>08.17.038</t>
  </si>
  <si>
    <t>08.17.041</t>
  </si>
  <si>
    <t>08.17.043</t>
  </si>
  <si>
    <t>08.17.049</t>
  </si>
  <si>
    <t>PURIFICADOR/BEBEDOURO DE AGUA REFRIGERADA</t>
  </si>
  <si>
    <t>08.17.050</t>
  </si>
  <si>
    <t>08.17.051</t>
  </si>
  <si>
    <t>08.17.055</t>
  </si>
  <si>
    <t>08.17.056</t>
  </si>
  <si>
    <t>08.17.077</t>
  </si>
  <si>
    <t>08.17.078</t>
  </si>
  <si>
    <t>08.17.079</t>
  </si>
  <si>
    <t>TORNEIRA DE PAREDE ANTIVANDALISMO - 85MM</t>
  </si>
  <si>
    <t>08.17.084</t>
  </si>
  <si>
    <t>TORNEIRA ELETRICA - ELETROD PVC Ø 25MM FLEXIVEL NBR 15465</t>
  </si>
  <si>
    <t>08.17.085</t>
  </si>
  <si>
    <t>08.17.086</t>
  </si>
  <si>
    <t>08.17.087</t>
  </si>
  <si>
    <t>TORNEIRA DE PAREDE ANTIVANDALISMO -140mm</t>
  </si>
  <si>
    <t>08.17.088</t>
  </si>
  <si>
    <t>08.17.089</t>
  </si>
  <si>
    <t>08.17.099</t>
  </si>
  <si>
    <t>08.50.001</t>
  </si>
  <si>
    <t>DEMOLIÇÃO DE TUBULACÕES EM GERAL INCLUINDO CONEXÕES, CAIXAS E RALOS</t>
  </si>
  <si>
    <t>08.50.020</t>
  </si>
  <si>
    <t>DEMOLIÇÃO DE CALHAS E RUFOS EM CHAPAS METALICAS</t>
  </si>
  <si>
    <t>08.50.021</t>
  </si>
  <si>
    <t>DEMOLIÇÃO DE CONDUTORES APARENTES</t>
  </si>
  <si>
    <t>08.50.099</t>
  </si>
  <si>
    <t>08.60.005</t>
  </si>
  <si>
    <t>RETIRADA DE REGISTROS E VÁLVULAS DE DESCARGA</t>
  </si>
  <si>
    <t>08.60.006</t>
  </si>
  <si>
    <t>RETIRADA DE VÁLVULAS DE RETENCAO</t>
  </si>
  <si>
    <t>08.60.007</t>
  </si>
  <si>
    <t>RETIRADA DE TORNEIRAS</t>
  </si>
  <si>
    <t>08.60.010</t>
  </si>
  <si>
    <t>RETIRADA DE SIFÕES</t>
  </si>
  <si>
    <t>08.60.011</t>
  </si>
  <si>
    <t>RETIRADA DE APARELHOS SANITÁRIOS INCLUINDO ACESSÓRIOS</t>
  </si>
  <si>
    <t>08.60.013</t>
  </si>
  <si>
    <t>RETIRADA DE RESERVATÓRIOS DE FIBRO CIMENTO ATE 1000 LITROS</t>
  </si>
  <si>
    <t>08.60.014</t>
  </si>
  <si>
    <t>RETIRADA DE CONJUNTO DE MOTOR-BOMBA</t>
  </si>
  <si>
    <t>08.60.015</t>
  </si>
  <si>
    <t>RETIRADA DE HIDRANTE DE PAREDE COMPLETO</t>
  </si>
  <si>
    <t>08.60.099</t>
  </si>
  <si>
    <t>08.70.005</t>
  </si>
  <si>
    <t>RECOLOCAÇÃO DE REGISTRO E VÁLVULAS DE DESCARGA</t>
  </si>
  <si>
    <t>08.70.006</t>
  </si>
  <si>
    <t>RECOLOCAÇÃO DE VÁLVULA DE RETENÇÃO</t>
  </si>
  <si>
    <t>08.70.007</t>
  </si>
  <si>
    <t>RECOLOCAÇÃO DE TORNEIRAS</t>
  </si>
  <si>
    <t>08.70.010</t>
  </si>
  <si>
    <t>RECOLOCAÇÃO DE SIFÕES</t>
  </si>
  <si>
    <t>08.70.013</t>
  </si>
  <si>
    <t>RECOLOCAÇÃO DE RESERVATÓRIO DE FIBRO-CIMENTO ATE 1000 L</t>
  </si>
  <si>
    <t>08.70.014</t>
  </si>
  <si>
    <t>RECOLOCAÇÃO DE CONJUNTO MOTOR BOMBA</t>
  </si>
  <si>
    <t>08.70.015</t>
  </si>
  <si>
    <t>RECOLOCAÇÃO DE HIDRANTE DE PAREDE COMPLETO</t>
  </si>
  <si>
    <t>08.70.016</t>
  </si>
  <si>
    <t>RECOLOCAÇÃO DE APARELHOS SANITARIOS INCLUINDO ACESSORIOS</t>
  </si>
  <si>
    <t>08.70.099</t>
  </si>
  <si>
    <t>08.80.007</t>
  </si>
  <si>
    <t>CAVALETE DE 3/4" (TUBO E CONEXÕES DE AÇO GALVANIZADO)</t>
  </si>
  <si>
    <t>08.80.008</t>
  </si>
  <si>
    <t>CAVALETE DE 1" (TUBO E CONEXÕES DE AÇO GALVANIZADO)</t>
  </si>
  <si>
    <t>08.80.009</t>
  </si>
  <si>
    <t>CAVALETE DE 1 1/2" (TUBO E CONEXÕES DE AÇO GALVANIZADO)</t>
  </si>
  <si>
    <t>08.80.010</t>
  </si>
  <si>
    <t>08.80.011</t>
  </si>
  <si>
    <t>08.80.012</t>
  </si>
  <si>
    <t>08.80.015</t>
  </si>
  <si>
    <t>08.80.018</t>
  </si>
  <si>
    <t>08.80.019</t>
  </si>
  <si>
    <t>08.80.020</t>
  </si>
  <si>
    <t>08.80.021</t>
  </si>
  <si>
    <t>08.80.022</t>
  </si>
  <si>
    <t>TUBO DE LIGAÇÃO COM CANOPLA PARA VASO SANITÁRIO (METAL CROMADO)</t>
  </si>
  <si>
    <t>08.80.031</t>
  </si>
  <si>
    <t>08.80.032</t>
  </si>
  <si>
    <t>08.80.040</t>
  </si>
  <si>
    <t>LAUDO COM TESTE DE ESTANQUEIDADE EM INSTAL.DE  REDES DE DISTRIB.DE GÁS COMBUST.NBR 15526/07</t>
  </si>
  <si>
    <t>08.80.090</t>
  </si>
  <si>
    <t>ABRIGO PARA HIDRANTE CAIXA 0,60X0,90X0,17M COM CESTO MEIA LUA P/MANGUEIRA</t>
  </si>
  <si>
    <t>08.80.091</t>
  </si>
  <si>
    <t>08.80.092</t>
  </si>
  <si>
    <t>08.80.093</t>
  </si>
  <si>
    <t>08.80.095</t>
  </si>
  <si>
    <t>08.80.099</t>
  </si>
  <si>
    <t>OUTROS SERVICOS DE REDE DE GAS E AGUA FRIA - CONSERVACAO</t>
  </si>
  <si>
    <t>08.82.012</t>
  </si>
  <si>
    <t>08.82.023</t>
  </si>
  <si>
    <t>08.82.024</t>
  </si>
  <si>
    <t>08.82.030</t>
  </si>
  <si>
    <t>08.82.031</t>
  </si>
  <si>
    <t>08.82.040</t>
  </si>
  <si>
    <t>08.82.041</t>
  </si>
  <si>
    <t>08.82.046</t>
  </si>
  <si>
    <t>08.82.050</t>
  </si>
  <si>
    <t>08.82.055</t>
  </si>
  <si>
    <t>08.82.056</t>
  </si>
  <si>
    <t>08.82.060</t>
  </si>
  <si>
    <t>LIMPEZA DE CANALETAS DE ÁGUAS PLUVIAIS</t>
  </si>
  <si>
    <t>08.82.061</t>
  </si>
  <si>
    <t>08.82.062</t>
  </si>
  <si>
    <t>08.82.099</t>
  </si>
  <si>
    <t>08.84.005</t>
  </si>
  <si>
    <t>ASSENTO PLASTICO C/ TAMPA PARA BACIA SANITARIA</t>
  </si>
  <si>
    <t>08.84.012</t>
  </si>
  <si>
    <t>08.84.020</t>
  </si>
  <si>
    <t>08.84.030</t>
  </si>
  <si>
    <t>08.84.031</t>
  </si>
  <si>
    <t>08.84.032</t>
  </si>
  <si>
    <t>08.84.033</t>
  </si>
  <si>
    <t>TORNEIRA PRES 1/2 C/ALAVANCA TIPO MESA CROMADO</t>
  </si>
  <si>
    <t>08.84.034</t>
  </si>
  <si>
    <t>TORNEIRA MEC/CER 1/4 VOLTA TIPO PARED CROMADO 1/2</t>
  </si>
  <si>
    <t>08.84.035</t>
  </si>
  <si>
    <t>TORNEIRA MEC/CER 1/4 VOLTA TIPO MESA CROMADO 1/2</t>
  </si>
  <si>
    <t>08.84.036</t>
  </si>
  <si>
    <t>MISTURADOR P/PIA 1/4 VOLTA TIPO PARED CROMADO 1/2"</t>
  </si>
  <si>
    <t>08.84.038</t>
  </si>
  <si>
    <t>FILTRO DE PRESSAO CUNO (AQUALAR) C/ELEM. FILTRANTE CARVAO E CEL 360/L/H</t>
  </si>
  <si>
    <t>08.84.042</t>
  </si>
  <si>
    <t>08.84.043</t>
  </si>
  <si>
    <t>08.84.047</t>
  </si>
  <si>
    <t>08.84.048</t>
  </si>
  <si>
    <t>08.84.049</t>
  </si>
  <si>
    <t>08.84.050</t>
  </si>
  <si>
    <t>08.84.054</t>
  </si>
  <si>
    <t>08.84.055</t>
  </si>
  <si>
    <t>08.84.058</t>
  </si>
  <si>
    <t>08.84.060</t>
  </si>
  <si>
    <t>08.84.073</t>
  </si>
  <si>
    <t>08.84.076</t>
  </si>
  <si>
    <t>08.84.090</t>
  </si>
  <si>
    <t>08.84.091</t>
  </si>
  <si>
    <t>08.84.099</t>
  </si>
  <si>
    <t>08.86.099</t>
  </si>
  <si>
    <t>09.01.001</t>
  </si>
  <si>
    <t>TE-01 ENTRADA PRIMÁRIA SIMPLIF. POSTE UNICO - EDP - 112,5 KVA - 15KV- 220/127 V</t>
  </si>
  <si>
    <t>09.01.002</t>
  </si>
  <si>
    <t>TE-02 ENTRADA PRIMÁRIA SIMPLIF. POSTE UNICO - EDP - 150 KVA - 15KV- 220/127 V</t>
  </si>
  <si>
    <t>09.01.003</t>
  </si>
  <si>
    <t>TE-03 ENTRADA PRIMÁRIA SIMPLIF. POSTE UNICO - EDP - 225 KVA - 15KV- 220/127 V</t>
  </si>
  <si>
    <t>09.01.004</t>
  </si>
  <si>
    <t>TE-04 ENTRADA PRIMÁRIA SIMPLIF. POSTE UNICO - EDP - 300 KVA - 15KV- 220/127 V</t>
  </si>
  <si>
    <t>09.01.005</t>
  </si>
  <si>
    <t>TE-05 ENTRADA PRIMÁRIA SIMPLIF.  POSTE UNICO - CPFL - 112,5 KVA - 15KV- 220/127 V</t>
  </si>
  <si>
    <t>09.01.006</t>
  </si>
  <si>
    <t>TE-06 ENTRADA PRIMÁRIA SIMPLIF.  POSTE UNICO - CPFL - 150,0 KVA - 15KV- 220/127 V</t>
  </si>
  <si>
    <t>09.01.007</t>
  </si>
  <si>
    <t>TE-07 ENTRADA PRIMÁRIA SIMPLIF. POSTE UNICO - CPFL - 225 KVA - 15KV- 220/127 V</t>
  </si>
  <si>
    <t>09.01.008</t>
  </si>
  <si>
    <t>TE-08 ENTRADA PRIMÁRIA SIMPLIF. POSTE UNICO - CPFL - 300 KVA - 15KV- 220/127 V</t>
  </si>
  <si>
    <t>09.01.009</t>
  </si>
  <si>
    <t>TE-09 ENTRADA PRIMÁRIA SIMPLIF. POSTE UNICO - NEOENERGIA - 112,5 KVA 15KV- 220/127 V</t>
  </si>
  <si>
    <t>09.01.010</t>
  </si>
  <si>
    <t>TE-10 ENTRADA PRIMÁRIA SIMPLIF. POSTE UNICO - NEOENERGIA - 150 KVA 15KV- 220/127 V</t>
  </si>
  <si>
    <t>TE-11 ENTRADA PRIMÁRIA SIMPLIF. POSTE UNICO - NEOENERGIA - 225 KVA 15KV- 220/127 V</t>
  </si>
  <si>
    <t>09.01.012</t>
  </si>
  <si>
    <t>TE-12 ENTRADA PRIMÁRIA SIMPLIF. POSTE UNICO - NEOENERGIA - 300 KVA 15KV- 220/127 V</t>
  </si>
  <si>
    <t>09.01.014</t>
  </si>
  <si>
    <t>TRANSFORMADOR TRIFASICO A SECO 112,5KVA  13800V 220/127V ENCAPSULADO USO ABRIGADO</t>
  </si>
  <si>
    <t>09.01.015</t>
  </si>
  <si>
    <t>TRANSFORMADOR TRIFASICO A SECO 150KVA  13800V 220/127V ENCAPSULADO USO ABRIGADO</t>
  </si>
  <si>
    <t>09.01.016</t>
  </si>
  <si>
    <t>TRANSFORMADOR TRIFASICO A SECO 225KVA  13800V 220/127V ENCAPSULADO USO ABRIGADO</t>
  </si>
  <si>
    <t>09.01.017</t>
  </si>
  <si>
    <t>TRANSFORMADOR TRIFASICO A SECO 300KVA  13800V 220/127V ENCAPSULADO USO ABRIGADO</t>
  </si>
  <si>
    <t>09.01.022</t>
  </si>
  <si>
    <t>CABINE  PRIMÁRIA BLINDADA SIMPLIFICADA CLASSE 17,5kV, COM MEDICAO EM MEDIA TENSAO ATE 300KVA PADRAO ENEL USO AO TEMPO COM PINTURA EPOXI ELETROSTÁTICA.</t>
  </si>
  <si>
    <t>09.01.026</t>
  </si>
  <si>
    <t>TE-13  SUBESTAÇAO ENTRADA DE ENERGIA ATE 300KVA BLINDADA 15kV  INCLUSO TRANSFORMADOR A SECO 112,50KVA  PADRAO ENEL  SP  USO AO TEMPO COM PINTURA EPOXI ELETROSTÁTICA.</t>
  </si>
  <si>
    <t>09.01.027</t>
  </si>
  <si>
    <t>TE-14  SUBESTAÇAO ENTRADA DE ENERGIA ATE 300KVA BLINDADA 15kV   INCLUSO TRANSFORMADOR A SECO 150 KVA  PADRAO ENEL  SP  USO AO TEMPO COM PINTURA EPOXI ELETROSTÁTICA.</t>
  </si>
  <si>
    <t>09.01.028</t>
  </si>
  <si>
    <t>TE-15  SUBESTAÇAO ENTRADA DE ENERGIA ATE 300KVA BLINDADA 15kV   INCLUSO TRANSFORMADOR A SECO 225 KVA  PADRAO ENEL  SP  USO AO TEMPO COM PINTURA EPOXI ELETROSTÁTICA.</t>
  </si>
  <si>
    <t>09.01.029</t>
  </si>
  <si>
    <t>TE-16  SUBESTAÇAO ENTRADA DE ENERGIA ATE 300KVA BLINDADA 15kV  INCLUSO TRANSFORMADOR A SECO 300 KVA  PADRAO ENEL  SP  USO AO TEMPO COM PINTURA EPOXI ELETROSTÁTICA.</t>
  </si>
  <si>
    <t>09.01.099</t>
  </si>
  <si>
    <t>09.02.020</t>
  </si>
  <si>
    <t>AE-23 ABRIGO E ENTRADA DE ENERGIA PADRÃO MULTI 200 CPFL  CATEGORIA C-4</t>
  </si>
  <si>
    <t>09.02.021</t>
  </si>
  <si>
    <t>AE-24 ABRIGO E ENTRADA DE ENERGIA PADRÃO MULTI 200 CPFL  CATEGORIA C-5</t>
  </si>
  <si>
    <t>09.02.022</t>
  </si>
  <si>
    <t>AE-25 ABRIGO E ENTRADA DE ENERGIA PADRÃO MULTI 200 CPFL  CATEGORIA C-6</t>
  </si>
  <si>
    <t>09.02.042</t>
  </si>
  <si>
    <t>09.02.047</t>
  </si>
  <si>
    <t>DISJUNTOR TRIPOLAR TERMOMAGNETICO 3X300A</t>
  </si>
  <si>
    <t>09.02.048</t>
  </si>
  <si>
    <t>09.02.049</t>
  </si>
  <si>
    <t>09.02.052</t>
  </si>
  <si>
    <t>AE-24 ABRIGO E ENTRADA DE ENERGIA (CAIXA M, T e E) COM LEITURA VOLTADA PARA CALÇADA  AES ELETROPAULO</t>
  </si>
  <si>
    <t>09.02.053</t>
  </si>
  <si>
    <t>AE-23 ABRIGO E ENTRADA DE ENERGIA (CAIXA M, T  e IV) COM LEITURA VOLTADA PARA CALÇADA - CPFL, EDP BANDEIRANTE E ELEKTRO</t>
  </si>
  <si>
    <t>09.02.059</t>
  </si>
  <si>
    <t>AE-19 ABRIGO E ENTRADA DE ENERGIA (CAIXA II, IV OU E): AES ELETROP/BANDEIRANTE/CPFL/ELEKTRO</t>
  </si>
  <si>
    <t>09.02.060</t>
  </si>
  <si>
    <t>AE-20 ABRIGO E ENTRADA DE ENERGIA (CAIXAS III OU V):BANDEIRANTE/CPFL/ELEKTRO</t>
  </si>
  <si>
    <t>AE-21 ABRIGO E ENTRADA DE ENERGIA (CAIXA M OU H): AES ELETROP/BANDEIRANTE/ELEKTRO/CPFL</t>
  </si>
  <si>
    <t>09.02.062</t>
  </si>
  <si>
    <t>09.02.063</t>
  </si>
  <si>
    <t>09.02.064</t>
  </si>
  <si>
    <t>09.02.065</t>
  </si>
  <si>
    <t>09.02.066</t>
  </si>
  <si>
    <t>09.02.067</t>
  </si>
  <si>
    <t>09.02.068</t>
  </si>
  <si>
    <t>09.02.069</t>
  </si>
  <si>
    <t>09.02.070</t>
  </si>
  <si>
    <t>09.02.071</t>
  </si>
  <si>
    <t>09.02.072</t>
  </si>
  <si>
    <t>09.02.073</t>
  </si>
  <si>
    <t>09.02.074</t>
  </si>
  <si>
    <t>09.02.075</t>
  </si>
  <si>
    <t>09.02.076</t>
  </si>
  <si>
    <t>09.02.077</t>
  </si>
  <si>
    <t>09.02.079</t>
  </si>
  <si>
    <t>09.02.080</t>
  </si>
  <si>
    <t>09.02.081</t>
  </si>
  <si>
    <t>09.02.086</t>
  </si>
  <si>
    <t>09.02.087</t>
  </si>
  <si>
    <t>09.02.089</t>
  </si>
  <si>
    <t>09.02.099</t>
  </si>
  <si>
    <t>09.02.101</t>
  </si>
  <si>
    <t>CONJ. ENTRADA P/INTRAGOV (FIBRA ÓTICA) EM ENTRADA DE ENERGIA</t>
  </si>
  <si>
    <t>CONJUNTO PARA ENTRADA DE TELEFONE  NA ENTRADA DE ENERGIA</t>
  </si>
  <si>
    <t>09.02.103</t>
  </si>
  <si>
    <t>CONJUNTO PARA ENTRADA DE TEVE A CABO  NA ENTRADA DE ENERGIA</t>
  </si>
  <si>
    <t>09.02.105</t>
  </si>
  <si>
    <t>DISJUNTOR BIPOLAR TERMOMAGNETICO 2X225A</t>
  </si>
  <si>
    <t>09.02.108</t>
  </si>
  <si>
    <t>DISJUNTOR BIPOLAR TERMOMAGNETICO 2X350A</t>
  </si>
  <si>
    <t>09.02.110</t>
  </si>
  <si>
    <t>DISJUNTOR TRIPOLAR TERMOMAGNETICO 3X400A</t>
  </si>
  <si>
    <t>09.03.004</t>
  </si>
  <si>
    <t>09.03.005</t>
  </si>
  <si>
    <t>09.03.006</t>
  </si>
  <si>
    <t>09.03.008</t>
  </si>
  <si>
    <t>09.03.010</t>
  </si>
  <si>
    <t>09.03.011</t>
  </si>
  <si>
    <t>09.03.012</t>
  </si>
  <si>
    <t>09.03.013</t>
  </si>
  <si>
    <t>09.03.014</t>
  </si>
  <si>
    <t>CABO DE 10 MM2 - 750V DE ISOLAÇÃO</t>
  </si>
  <si>
    <t>09.03.017</t>
  </si>
  <si>
    <t>09.03.018</t>
  </si>
  <si>
    <t>09.03.019</t>
  </si>
  <si>
    <t>09.03.020</t>
  </si>
  <si>
    <t>09.03.021</t>
  </si>
  <si>
    <t>09.03.022</t>
  </si>
  <si>
    <t>09.03.023</t>
  </si>
  <si>
    <t>09.03.024</t>
  </si>
  <si>
    <t>09.03.025</t>
  </si>
  <si>
    <t>09.03.026</t>
  </si>
  <si>
    <t>09.03.027</t>
  </si>
  <si>
    <t>09.03.028</t>
  </si>
  <si>
    <t>09.03.029</t>
  </si>
  <si>
    <t>09.03.030</t>
  </si>
  <si>
    <t>09.03.050</t>
  </si>
  <si>
    <t>09.03.051</t>
  </si>
  <si>
    <t>09.03.053</t>
  </si>
  <si>
    <t>09.03.058</t>
  </si>
  <si>
    <t>09.03.059</t>
  </si>
  <si>
    <t>09.03.090</t>
  </si>
  <si>
    <t>09.04.022</t>
  </si>
  <si>
    <t>09.04.023</t>
  </si>
  <si>
    <t>09.04.024</t>
  </si>
  <si>
    <t>09.04.025</t>
  </si>
  <si>
    <t>QUADRO GERAL - DISJUNTOR TERMO MAGNETICO 3X125A A 3X225A</t>
  </si>
  <si>
    <t>09.04.028</t>
  </si>
  <si>
    <t>QUADRO GERAL-DISJUNTOR TERMOMAGNETICO 3X300A</t>
  </si>
  <si>
    <t>09.04.036</t>
  </si>
  <si>
    <t>09.04.038</t>
  </si>
  <si>
    <t>09.04.039</t>
  </si>
  <si>
    <t>09.04.040</t>
  </si>
  <si>
    <t>09.04.043</t>
  </si>
  <si>
    <t>09.04.045</t>
  </si>
  <si>
    <t>09.04.046</t>
  </si>
  <si>
    <t>09.04.047</t>
  </si>
  <si>
    <t>09.04.049</t>
  </si>
  <si>
    <t>09.04.072</t>
  </si>
  <si>
    <t>09.04.075</t>
  </si>
  <si>
    <t>09.04.076</t>
  </si>
  <si>
    <t>09.04.077</t>
  </si>
  <si>
    <t>09.04.078</t>
  </si>
  <si>
    <t>09.04.079</t>
  </si>
  <si>
    <t>09.04.080</t>
  </si>
  <si>
    <t>09.04.081</t>
  </si>
  <si>
    <t>09.04.082</t>
  </si>
  <si>
    <t>09.04.083</t>
  </si>
  <si>
    <t>09.04.085</t>
  </si>
  <si>
    <t>TERRA COMPLETO 1 HASTE Ø 19MM COM CAIXA DE INSPEÇÃO</t>
  </si>
  <si>
    <t>09.04.089</t>
  </si>
  <si>
    <t>09.04.092</t>
  </si>
  <si>
    <t>09.04.094</t>
  </si>
  <si>
    <t>09.04.095</t>
  </si>
  <si>
    <t>09.04.096</t>
  </si>
  <si>
    <t>09.04.099</t>
  </si>
  <si>
    <t>09.05.007</t>
  </si>
  <si>
    <t>09.05.008</t>
  </si>
  <si>
    <t>09.05.010</t>
  </si>
  <si>
    <t>ELETRODUTO GALV. ELETROLITICA / PRE ZINCADO  Ø 3/4 (20MM) INCLUSIVE CONEXOES USO INTERNO  APARENTE</t>
  </si>
  <si>
    <t>09.05.017</t>
  </si>
  <si>
    <t>09.05.018</t>
  </si>
  <si>
    <t>09.05.019</t>
  </si>
  <si>
    <t>09.05.020</t>
  </si>
  <si>
    <t>09.05.021</t>
  </si>
  <si>
    <t>ELETROCALHA LISA CHAPA 24 (0,65MM) PRE ZINCADA 50X50MM INCL. ACESSORIOS E TAMPA DE ENCAIXE .</t>
  </si>
  <si>
    <t>09.05.022</t>
  </si>
  <si>
    <t>ELETROCALHA LISA CHAPA 24 (0,65MM) PRE ZINCADA 100X50MM INCL. ACESSORIOS E TAMPA DE ENCAIXE .</t>
  </si>
  <si>
    <t>09.05.023</t>
  </si>
  <si>
    <t>ELETROCALHA LISA CHAPA 24 (0,65MM) PRE ZINCADA 150X50MM INCL. ACESSORIOS E TAMPA DE ENCAIXE .</t>
  </si>
  <si>
    <t>09.05.024</t>
  </si>
  <si>
    <t>ELETROCALHA LISA CHAPA 24 (0,65MM) PRE ZINCADA 200X50MM INCL. ACESSORIOS E TAMPA DE ENCAIXE</t>
  </si>
  <si>
    <t>09.05.036</t>
  </si>
  <si>
    <t>09.05.037</t>
  </si>
  <si>
    <t>09.05.051</t>
  </si>
  <si>
    <t>09.05.054</t>
  </si>
  <si>
    <t>09.05.062</t>
  </si>
  <si>
    <t>BARRAMENTO DE 30A P/QUADROS DE DISTRIBUIÇÃO</t>
  </si>
  <si>
    <t>09.05.063</t>
  </si>
  <si>
    <t>BARRAMENTO DE 60A P/QUADROS DE DISTRIBUIÇÃO</t>
  </si>
  <si>
    <t>09.05.064</t>
  </si>
  <si>
    <t>BARRAMENTO DE 100A P/QUADROS DE DISTRIBUIÇÃO</t>
  </si>
  <si>
    <t>09.05.071</t>
  </si>
  <si>
    <t>DISJUNTOR BIPOLAR TERMOMAGNETICO  2X60A A 2X100A</t>
  </si>
  <si>
    <t>09.05.076</t>
  </si>
  <si>
    <t>09.05.078</t>
  </si>
  <si>
    <t>09.05.079</t>
  </si>
  <si>
    <t>09.05.080</t>
  </si>
  <si>
    <t>09.05.081</t>
  </si>
  <si>
    <t>09.05.082</t>
  </si>
  <si>
    <t>09.05.083</t>
  </si>
  <si>
    <t>09.05.084</t>
  </si>
  <si>
    <t>09.05.085</t>
  </si>
  <si>
    <t>09.05.086</t>
  </si>
  <si>
    <t>09.05.088</t>
  </si>
  <si>
    <t>09.05.089</t>
  </si>
  <si>
    <t>09.05.090</t>
  </si>
  <si>
    <t>09.05.091</t>
  </si>
  <si>
    <t>09.05.094</t>
  </si>
  <si>
    <t>09.05.095</t>
  </si>
  <si>
    <t>CENTRAL DE SISTEMA DE ALARME ATÉ 12 ENDEREÇOS</t>
  </si>
  <si>
    <t>09.05.097</t>
  </si>
  <si>
    <t>CENTRAL DE SISTEMA DE ALARME DE 13 A 24 ENDEREÇOS</t>
  </si>
  <si>
    <t>09.05.099</t>
  </si>
  <si>
    <t>SERVICOS DE DUTOS/QUADROS PARCIAIS LUZ/ALARMES DE INCÊNDIO</t>
  </si>
  <si>
    <t>09.06.001</t>
  </si>
  <si>
    <t>09.06.005</t>
  </si>
  <si>
    <t>09.06.007</t>
  </si>
  <si>
    <t>09.06.012</t>
  </si>
  <si>
    <t>09.06.019</t>
  </si>
  <si>
    <t>09.06.026</t>
  </si>
  <si>
    <t>09.06.028</t>
  </si>
  <si>
    <t>09.06.029</t>
  </si>
  <si>
    <t>CAIXA DE PASSAGEM EM ALVENARIA DE 1,00X1,00X0,60 M</t>
  </si>
  <si>
    <t>09.06.035</t>
  </si>
  <si>
    <t>09.06.037</t>
  </si>
  <si>
    <t>09.06.038</t>
  </si>
  <si>
    <t>09.06.039</t>
  </si>
  <si>
    <t>09.06.045</t>
  </si>
  <si>
    <t>09.06.049</t>
  </si>
  <si>
    <t>09.06.099</t>
  </si>
  <si>
    <t>FIO DE 1,50 MM2 - 750 V DE ISOLACAO</t>
  </si>
  <si>
    <t>09.07.005</t>
  </si>
  <si>
    <t>09.07.009</t>
  </si>
  <si>
    <t>09.07.014</t>
  </si>
  <si>
    <t>09.07.015</t>
  </si>
  <si>
    <t>09.07.016</t>
  </si>
  <si>
    <t>09.07.017</t>
  </si>
  <si>
    <t>09.07.018</t>
  </si>
  <si>
    <t>09.07.019</t>
  </si>
  <si>
    <t>09.07.020</t>
  </si>
  <si>
    <t>09.07.021</t>
  </si>
  <si>
    <t>09.07.022</t>
  </si>
  <si>
    <t>09.07.023</t>
  </si>
  <si>
    <t>CABO DE 1,5MM2 - 750V DE ISOLAÇÃO</t>
  </si>
  <si>
    <t>09.07.024</t>
  </si>
  <si>
    <t>CABO DE 2,5MM2 - 750V DE ISOLAÇÃO</t>
  </si>
  <si>
    <t>09.07.025</t>
  </si>
  <si>
    <t>CABO DE 4MM2 - 750V DE ISOLAÇÃO</t>
  </si>
  <si>
    <t>09.07.026</t>
  </si>
  <si>
    <t>CABO DE 6MM2 - 750V DE ISOLAÇÃO</t>
  </si>
  <si>
    <t>09.07.099</t>
  </si>
  <si>
    <t>09.08.002</t>
  </si>
  <si>
    <t>09.08.003</t>
  </si>
  <si>
    <t>09.08.004</t>
  </si>
  <si>
    <t>09.08.005</t>
  </si>
  <si>
    <t>09.08.006</t>
  </si>
  <si>
    <t>09.08.007</t>
  </si>
  <si>
    <t>09.08.008</t>
  </si>
  <si>
    <t>09.08.009</t>
  </si>
  <si>
    <t>09.08.010</t>
  </si>
  <si>
    <t>VARIADOR DE LUMINOSIDADE ROTATIVO (DIMER) LÂMPADA LED DIMERIZÁVEL CAIXA 4X2.</t>
  </si>
  <si>
    <t>09.08.013</t>
  </si>
  <si>
    <t>TOMADA 2P+T PADRAO NBR 14136, CORRENTE 10A-250V-ELETR. AÇO GALV. A QUENTE</t>
  </si>
  <si>
    <t>09.08.016</t>
  </si>
  <si>
    <t>TOMADA 2P+T PADRAO NBR 14136,  CORRENTE 20A-250V-ELETR.AÇO GALV.A QUENTE</t>
  </si>
  <si>
    <t>09.08.029</t>
  </si>
  <si>
    <t>INTERRUPTOR DE 1 TECLA - ELETROD PVC Ø 25MM FLEXIVEL NBR 15465</t>
  </si>
  <si>
    <t>09.08.030</t>
  </si>
  <si>
    <t>INTERRUPTOR DE 2 TECLAS - ELETROD PVC Ø 25MM FLEXIVEL NBR 15465</t>
  </si>
  <si>
    <t>09.08.032</t>
  </si>
  <si>
    <t>INTERRUPTOR DE 3 TECLAS - ELETROD PVC Ø 25MM FLEXIVEL NBR 15465</t>
  </si>
  <si>
    <t>09.08.033</t>
  </si>
  <si>
    <t>2 INTERRUPTORES DE 1 TECLA EM CAIXA 4X4 - ELETROD PVC Ø 25MM FLEXIVEL NB
15465</t>
  </si>
  <si>
    <t>09.08.034</t>
  </si>
  <si>
    <t>3 INTERRUPTORES DE 1 TECLA EM CAIXA 4X4 - ELETROD PVC Ø 25MM FLEXIVEL NB
15465</t>
  </si>
  <si>
    <t>09.08.036</t>
  </si>
  <si>
    <t>INTERRUPTOR DE 1 TECLA BIPOLAR EM CAIXA 4X2 - ELETROD PVC Ø 25MM FLEXIVE NBR 15465</t>
  </si>
  <si>
    <t>09.08.038</t>
  </si>
  <si>
    <t>2 INTERRUPTORES 1 TECLA BIPOLAR EM CAIXA 4X4 - ELETROD PVC Ø 25MM FLEXIVEL NBR 15465</t>
  </si>
  <si>
    <t>09.08.039</t>
  </si>
  <si>
    <t>3 INTERRUPTORES 1 TECLA BIPOLAR EM CAIXA 4X4 - ELETROD PVC Ø 25MM FLEXIVEL NBR 15465</t>
  </si>
  <si>
    <t>09.08.041</t>
  </si>
  <si>
    <t>INTERRUPTOR EM PARALELO EM CAIXA 4X2 - ELETROD PVC Ø 25MM FLEXIVEL NBR 15465</t>
  </si>
  <si>
    <t>09.08.043</t>
  </si>
  <si>
    <t>INTERRUPTOR EM PARALELO BIPOLAR EM CAIXA 4X2 - ELETROD PVC Ø 25MM FLEXIVEL NBR 15465</t>
  </si>
  <si>
    <t>09.08.045</t>
  </si>
  <si>
    <t>INTERRUPTOR DE 1 TECLA E TOMADA 2P+T EM CAIXA 4X2 - ELETROD PVC Ø 25MM FLEXIVEL NBR 15465</t>
  </si>
  <si>
    <t>09.08.046</t>
  </si>
  <si>
    <t>TOMADA 2P+T PADRAO NBR 14136 CORRENTE 10A-250V - ELETROD PVC Ø 25MM FLEXIVEL NBR 15465</t>
  </si>
  <si>
    <t>09.08.049</t>
  </si>
  <si>
    <t>TOMADA 2P+T PADRAO NBR 14136 CORRENTE 20A-250V - ELETROD PVC Ø 25MM FLEXIVEL NBR 15465</t>
  </si>
  <si>
    <t>09.08.050</t>
  </si>
  <si>
    <t>TOMADA DE PISO 2P+T PADRAO NBR 14136 CORRENTE 10A-250V - ELETROD PVC Ø 25MM FLEXIVEL NBR 15465</t>
  </si>
  <si>
    <t>09.08.052</t>
  </si>
  <si>
    <t>PONTO SECO PARA TELEFONE - ELETROD PVC Ø 25MM FLEXIVEL NBR 15465</t>
  </si>
  <si>
    <t>09.08.054</t>
  </si>
  <si>
    <t>BOTAO PARA CAMPAINHA - ELETROD PVC Ø 25MM FLEXIVEL NBR 15465</t>
  </si>
  <si>
    <t>09.08.056</t>
  </si>
  <si>
    <t>CIGARRA - ELETROD PVC Ø 25MM FLEXIVEL NBR 15465</t>
  </si>
  <si>
    <t>09.08.057</t>
  </si>
  <si>
    <t>PONTO SECO P/ INSTALACAO DE SOM/TV/ALARME - ELETROD PVC Ø 25MM FLEXIVEL NBR 15465</t>
  </si>
  <si>
    <t>09.08.058</t>
  </si>
  <si>
    <t>09.08.060</t>
  </si>
  <si>
    <t>INTERRUPTOR 2 TECLAS SIMPLES CAIXA DE 4"X2"-ELETR PVC RIGIDO</t>
  </si>
  <si>
    <t>09.08.062</t>
  </si>
  <si>
    <t>INTERRUPTOR 3 TECLAS SIMPLES CAIXA 4"X2"-ELETR PVC RIGIDO</t>
  </si>
  <si>
    <t>09.08.063</t>
  </si>
  <si>
    <t>09.08.065</t>
  </si>
  <si>
    <t>09.08.066</t>
  </si>
  <si>
    <t>TOMADA INDUSTRIAL DE PAREDE 2P+T 32A 220/240V ESTANQUE IP65-ELETR PVC Ø 25MM  FLEXIVEL NBR 15465</t>
  </si>
  <si>
    <t>INTERRUPTOR 1 TECLA BIPOLAR SIMPLES CAIXA 4"X2"- ELETR PVC RIGIDO</t>
  </si>
  <si>
    <t>2 INTERRUPTORES 1 TECLA BIPOLAR SIMPLES CAIXA 4"X4"-ELETR PVC RIGIDO</t>
  </si>
  <si>
    <t>09.08.071</t>
  </si>
  <si>
    <t>INTERRUPTOR 1 TECLA PARALELO SIMPLES CAIXA 4"X2"- ELETR PVC RIGIDO</t>
  </si>
  <si>
    <t>09.08.073</t>
  </si>
  <si>
    <t>INTERRUPTOR 1 TECLA PARALELO BIPOLAR CAIXA 4"X2"- ELETR PVC RIGIDO</t>
  </si>
  <si>
    <t>INTERRUPTOR 1 TECLA SIMPLES/TOMADA 2P+T PADRÃO NBR 14136 CORRENTE 10A ELETROD.PVC RIGIDO</t>
  </si>
  <si>
    <t>09.08.076</t>
  </si>
  <si>
    <t>TOMADA INDUSTRIAL DE PAREDE 2P+T 32 AMPERES 220/240V ESTANQUE IP65 ELETROD.PVC RÍGIDO</t>
  </si>
  <si>
    <t>TOMADA 2P+T PADRAO NBR 14136 CORRENTE 10A-250V-ELETR. PVC RÍGIDO</t>
  </si>
  <si>
    <t>09.08.080</t>
  </si>
  <si>
    <t>TOMADA DE PISO 2P+T PADRAO NBR 14136 CORRENTE 10A-250V-ELETR PVC RÍGIDO</t>
  </si>
  <si>
    <t>09.08.082</t>
  </si>
  <si>
    <t>ACIONADOR DO ALARME DE INCENDIO</t>
  </si>
  <si>
    <t>09.08.089</t>
  </si>
  <si>
    <t>TOMADA 2P+T PADRAO NBR 14136, CORRENTE 20A-250V-ELETR.PVC RIGIDO</t>
  </si>
  <si>
    <t>09.08.090</t>
  </si>
  <si>
    <t>DETECTOR DE FUMAÇA OPTICO CONVENCIONAL-ELETROD.AÇO GALV.A QUENTE</t>
  </si>
  <si>
    <t>09.08.092</t>
  </si>
  <si>
    <t>PONTO SECO P/INSTALACAO DE SOM / TV /ALARME / LOGICA EM CONDULETE ALUMINIO 4X2 ELETRODUTO GALV.ELETROLITICA / PRE ZINCADO  Ø 3/4 (20MM) USO INTERNO APARENTE</t>
  </si>
  <si>
    <t>09.08.096</t>
  </si>
  <si>
    <t>TOMADA INDUSTRIAL DE PAREDE 2P+T 32A 220/240V ESTANQUE IP65 ELETR AÇO GALV.A QUENTE</t>
  </si>
  <si>
    <t>09.08.099</t>
  </si>
  <si>
    <t>IL-102 PROJETOR ANGULAR LÂMPADA LED &lt;=200 W C/DIFUSOR DE POLICARBONATO QUADRA DE ESPORTE COBERTA</t>
  </si>
  <si>
    <t>IL-103  ARANDELA PARA CIRCULAÇÕES COM LÂMPADA BULBO LED &lt;=13W.</t>
  </si>
  <si>
    <t>IL-104  ARANDELA ALUMÍNIO INCLINADA 45º BLINDADA LÂMPADA BULBO LED &lt;= 13W</t>
  </si>
  <si>
    <t>09.09.024</t>
  </si>
  <si>
    <t>IL-96 LUMINÁRIA LED QUADRADA DE SOBREPOR DIMERIZÁVEL COM DIFUSOR TRANSLÚCIDO &lt;= 40W</t>
  </si>
  <si>
    <t>09.09.025</t>
  </si>
  <si>
    <t>IL-13 REFLETOR PARA LAMPADA DE VAPOR METÁLICO 70W</t>
  </si>
  <si>
    <t>09.09.026</t>
  </si>
  <si>
    <t>IL-14 REFLETOR COM GRADE PARA LAMPADA DE VAPOR METÁLICO 70 W</t>
  </si>
  <si>
    <t>09.09.030</t>
  </si>
  <si>
    <t>LUMINÁRIA SOBREPOR  LED TUBULAR VIDRO 1X18W TEMPERATURA DE COR 4000ºK</t>
  </si>
  <si>
    <t>IL-42 LUMINARIA C/ DIFUSOR TRANSPARENTE P/ LAMPADA FLUOR (2X32W)</t>
  </si>
  <si>
    <t>IL-57 REFLETOR C/ GRADE P/ VAPOR MET 150W</t>
  </si>
  <si>
    <t>IL-90 LUMINÁRIA LED DE SOBREPOR C/DIFUSOR TRANSLÚCIDO &lt;= 39W</t>
  </si>
  <si>
    <t>IL-94 LUMINÁRIA LED QUADRADA DE SOBREPOR C/DIFUSOR TRANSLÚCIDO &lt;= 40W</t>
  </si>
  <si>
    <t>09.09.040</t>
  </si>
  <si>
    <t>IL-89 LUMINÁRIA LED DE EMBUTIR COM DIFUSOR TRANSLÚCIDO  &lt;= 24W</t>
  </si>
  <si>
    <t>IL-88 LUMINÁRIA LED DE SOBREPOR C/DIFUSOR TRANSLÚCIDO &lt;=24W</t>
  </si>
  <si>
    <t>09.09.043</t>
  </si>
  <si>
    <t>IL-91 LUMINÁRIA LED DE EMBUTIR COM DIFUSOR TRANSLÚCIDO &lt;= 39W</t>
  </si>
  <si>
    <t>09.09.045</t>
  </si>
  <si>
    <t>LUMINARIA DE LED TUBULAR DRIVER INTEGRADO C=594MM H=72MM  PARA FIXAÇAO NO PERFILADO COM DIFUSOR ACRILICO TRANSPARENTE - USO EXCLUSIV SALA DE INOVAÇÃO</t>
  </si>
  <si>
    <t>IL-59 ILUMINAÇÃO P/PASSAGEM COBERTA E CIRCULAÇÕES</t>
  </si>
  <si>
    <t>09.09.047</t>
  </si>
  <si>
    <t>IL-93LUMINÁRIA LED PENDENTE COM DIFUSOR TRANSLÚCIDO &lt;= 39W</t>
  </si>
  <si>
    <t>IL-95 LUMINÁRIA LED QUADRADA DE EMBUTIR COM DIFUSOR TRANSLÚCIDO &lt;= 40W</t>
  </si>
  <si>
    <t>09.09.049</t>
  </si>
  <si>
    <t>IL-97 LUMINÁRIA LED  QUADRADA DIMERIZÁVEL DE EMBUTIR COM DIFUSOR TRANSLÚCIDO &lt;= 40W</t>
  </si>
  <si>
    <t>09.09.054</t>
  </si>
  <si>
    <t>09.09.055</t>
  </si>
  <si>
    <t>09.09.057</t>
  </si>
  <si>
    <t>LUMINÁRIA SOBREPOR  LED TUBULAR VIDRO 2X18W TEMPERATURA DE COR 4000ºK</t>
  </si>
  <si>
    <t>09.09.058</t>
  </si>
  <si>
    <t>IL-86 LUMINÁRIA LED HERMÉTICA DE SOBREPOR C/DIFUSOR TRANSLÚCIDO &lt;= 36W</t>
  </si>
  <si>
    <t>09.09.059</t>
  </si>
  <si>
    <t>IL-87 LUMINÁRIA LED HERMÉTICA DE SOBREPOR C/DIFUSOR TRANSLÚCIDO &lt;= 50W</t>
  </si>
  <si>
    <t>IL-60 LUMINARIA DE SOBREPOR C/REFLETOR E ALETAS P/LAMP.FLUORESCENTE (2X32W)</t>
  </si>
  <si>
    <t>IL-61 LUMINARIA DE EMBUTIR C/ REFLETOR E ALETAS P/ LAMP. FLUORESCENTE (2x32W)</t>
  </si>
  <si>
    <t>09.09.062</t>
  </si>
  <si>
    <t>IL-62 LUMINARIA DE SOBREPOR C/REFLETOR E ALETAS P/LAMP.FLUORESCENTE (4X16W)</t>
  </si>
  <si>
    <t>09.09.063</t>
  </si>
  <si>
    <t>IL-63 LUMINARIA DE EMBUTIR C/ REFLETOR E ALETAS P/ LAMP. FLUORESCENTE (4x16W)</t>
  </si>
  <si>
    <t>09.09.064</t>
  </si>
  <si>
    <t>IL-66 LUMINÁRIA DE EMBUTIR C/REFLETOR SEM ALETAS  (1X32W)</t>
  </si>
  <si>
    <t>IL-67 LUMINÁRIA DE EMBUTIR C/REFLETOR SEM ALETAS (2X32W)</t>
  </si>
  <si>
    <t>09.09.067</t>
  </si>
  <si>
    <t>IL-98 LUMINÁRIA LED SUSPENSA &lt;=  68W Ø 190MM</t>
  </si>
  <si>
    <t>09.09.068</t>
  </si>
  <si>
    <t>IL-68 LUMINARIA C/DIFUSOR TRANSLUCIDO P/LAMPADAS FLUOR. (2X16W)</t>
  </si>
  <si>
    <t>09.09.069</t>
  </si>
  <si>
    <t>IL-69 LUMINARIA C/DIFUSOR TRANSLUCIDO P/LAMPADAS FLUOR. (2X32W)</t>
  </si>
  <si>
    <t>09.09.070</t>
  </si>
  <si>
    <t>IL-70 LUMIN.EMBUTIR C/DIFUSOR TRANSLUCIDO P/LAMP.FLUOR. 2X16W</t>
  </si>
  <si>
    <t>09.09.071</t>
  </si>
  <si>
    <t>IL-71 LUMIN.EMBUTIR C/DIFUSOR TRANSLUCIDO P/LAMP.FLUOR. 2X32W</t>
  </si>
  <si>
    <t>09.09.072</t>
  </si>
  <si>
    <t>IL-72 LUMINARIA PRISMATICA TRANSP.P/LAMPADA A VAPOR METALICO (250W)</t>
  </si>
  <si>
    <t>09.09.073</t>
  </si>
  <si>
    <t>IL-73 LUMINARIA ABERTA C/REFLETOR P/LAMPADAS FLUOR. (1X28W)</t>
  </si>
  <si>
    <t>IL-74 LUMINARIA ABERTA C/REFLETOR P/LAMPADAS FLUOR. (2X28W)</t>
  </si>
  <si>
    <t>09.09.075</t>
  </si>
  <si>
    <t>IL-75 LUMINARIA DE SOBREPOR C/REFLETOR E ALETAS P/LAMPADAS FLUOR. (2X28W)</t>
  </si>
  <si>
    <t>09.09.076</t>
  </si>
  <si>
    <t>IL-99 LUMINÁRIA LED SUSPENSA &lt;= 150W  Ø 270 MM INSTALAÇÃO ACIMA DE 5M</t>
  </si>
  <si>
    <t>09.09.077</t>
  </si>
  <si>
    <t>IL-77 LUMINÁRIA DE SOBREPOR C/DIFUSOR TRANSP. P/LAMPADAS FLUOR. (2X28W)</t>
  </si>
  <si>
    <t>09.09.078</t>
  </si>
  <si>
    <t>IL-78 LUMINÁRIA DE EMBUTIR C/REFLETOR E ALETAS P/LAMPADAS FLUOR. (2X28W)</t>
  </si>
  <si>
    <t>09.09.079</t>
  </si>
  <si>
    <t>IL-79 LUMINÁRIA DE EMBUTIR C/REFLETOR SEM ALETAS P/LAMPADAS FLUOR. (1X28W)</t>
  </si>
  <si>
    <t>09.09.080</t>
  </si>
  <si>
    <t>IL-80 LUMINÁRIA DE EMBUTIR C/REFLETOR SEM ALETAS P/LAMPADAS FLUOR. (2X28W)</t>
  </si>
  <si>
    <t>09.09.081</t>
  </si>
  <si>
    <t>IL-81 LUMINÁRIA ABERTA C/REFLETOR E PENDENTE P/LAMPADAS FLUOR. (1X28W)</t>
  </si>
  <si>
    <t>09.09.082</t>
  </si>
  <si>
    <t>IL-82 LUMINÁRIA ABERTA C/REFLETOR E PENDENTE P/LAMPADAS FLUOR. (2X28W)</t>
  </si>
  <si>
    <t>IL-83 ILUMINAÇÃO AUTONOMA DE EMERGÊNCIA - LED</t>
  </si>
  <si>
    <t>09.09.084</t>
  </si>
  <si>
    <t>IL-99 LUMINÁRIA LED SUSPENSA &lt;= 150W  Ø 450 MM INSTALAÇÃO ACIMA DE 5M</t>
  </si>
  <si>
    <t>09.09.085</t>
  </si>
  <si>
    <t>IL-92 LUMINÁRIA LED PENDENTE COM DIFUSOR TRANSLÚCIDO &lt;= 24W</t>
  </si>
  <si>
    <t>IL-98 LUMINÁRIA LED SUSPENSA &lt;= 68W  Ø 385 MM .
.</t>
  </si>
  <si>
    <t>09.09.099</t>
  </si>
  <si>
    <t>09.10.002</t>
  </si>
  <si>
    <t>CENTRO DE LUZ EM CAIXA FM - ELETROD PVC Ø 25MM FLEXIVEL NBR 15465</t>
  </si>
  <si>
    <t>09.10.013</t>
  </si>
  <si>
    <t>CENTRO DE LUZ EM CONDULETE - ELETROD PVC Ø 25MM FLEXIVEL NBR 15465</t>
  </si>
  <si>
    <t>09.10.021</t>
  </si>
  <si>
    <t>09.10.023</t>
  </si>
  <si>
    <t>CENTRO DE LUZ EM PERFILADO-TOMADA DE LIGACAO - ELETROD PVC Ø 25MM FLEXIVEL NBR 15465</t>
  </si>
  <si>
    <t>09.10.024</t>
  </si>
  <si>
    <t>09.10.026</t>
  </si>
  <si>
    <t>CENTRO DE LUZ EM CONDULETE ALUMINIO 4X2 ELETRODUTO GALV.ELETROLITICA / PRE ZINCADO  Ø 3/4 (20MM) USO INTERNO APARENTE</t>
  </si>
  <si>
    <t>09.10.030</t>
  </si>
  <si>
    <t>SENSOR DE PRESENÇA INTERNO</t>
  </si>
  <si>
    <t>09.10.099</t>
  </si>
  <si>
    <t>09.11.003</t>
  </si>
  <si>
    <t>IL-105 SINALIZADOR DE OBSTÁCULOS TOPO DE EDIFÍCIO / RESERVATÓRIO  COM LÂMPADA BULBO LED &lt;= 11W.</t>
  </si>
  <si>
    <t>09.11.004</t>
  </si>
  <si>
    <t>IL-106 LUMINÁRIA LED &lt;= 60 W APLICADA EM JARDINS E CIRCULAÇÕES POSTE METÁLICO H=3 M</t>
  </si>
  <si>
    <t>09.11.007</t>
  </si>
  <si>
    <t>IL-107 LUMINÁRIA LED &lt;=50 W APLICADA EM JARDINS E CIRCULAÇÕES  POSTE METÁLICO H=4 M</t>
  </si>
  <si>
    <t>09.11.008</t>
  </si>
  <si>
    <t>IL-108 LUMINÁRIA LED &lt;= 70W  BRAÇO COM SAPATA INCLINAÇÃO 5º  AÇO GALVANIZADO Ø 60,30MM</t>
  </si>
  <si>
    <t>09.11.009</t>
  </si>
  <si>
    <t>IL-109 LUMINÁRIA LED &lt;=200 W  EM POSTE CIRCULAR  DE CONCRETO  H=11,00 M QUADRA ESPORTE DESCOBERTA</t>
  </si>
  <si>
    <t>09.11.015</t>
  </si>
  <si>
    <t>IL-111 LUMINÁRIA LED &lt;= 70 W  EM POSTE CIRCULAR DE CONCRETO H=7,00 M ÁREAS EXTERNAS</t>
  </si>
  <si>
    <t>09.11.016</t>
  </si>
  <si>
    <t>IL-112 LUMINÁRIA LED &lt;= 70 W APLICADA ÁREAS EXTERNAS  POSTE METÁLICO H=6 M</t>
  </si>
  <si>
    <t>IL-113  LUMINÁRIA LED &lt;=70 W (2X)   APLICADA ÁREAS EXTERNAS  EM POSTE METÁLICO H=6 M</t>
  </si>
  <si>
    <t>09.11.026</t>
  </si>
  <si>
    <t>09.11.028</t>
  </si>
  <si>
    <t>IL-06 LUZ DE OBSTACULO COM LAMPADA</t>
  </si>
  <si>
    <t>09.11.040</t>
  </si>
  <si>
    <t>IL-100 PROJETOR LED &lt;= 50W C/DIFUSOR DE VIDRO TEMPERADO</t>
  </si>
  <si>
    <t>09.11.041</t>
  </si>
  <si>
    <t>IL-101 PROJETOR LED &lt;=100W  L240 x H175 MM C/DIFUSOR DE VIDRO TEMPERADO.</t>
  </si>
  <si>
    <t>IL-101 PROJETOR LED &lt;=100W  L235 x H260 MM C/DIFUSOR DE VIDRO TEMPERADO.</t>
  </si>
  <si>
    <t>09.11.060</t>
  </si>
  <si>
    <t>IL-30 LUMINARIA EM POSTE H= 2,50 M C/ LAMPADA VAPOR SÓDIO 70W</t>
  </si>
  <si>
    <t>09.11.070</t>
  </si>
  <si>
    <t>09.11.099</t>
  </si>
  <si>
    <t>09.12.010</t>
  </si>
  <si>
    <t>EXAUSTOR DN 150MM  VAZAO 280 M3HORA COM VENEZIANA AUTOFECHANTE INCLUSIVE DUTO EXAUSTAO USO EXCLUSIVO PADRAO
CRECHE</t>
  </si>
  <si>
    <t>09.12.099</t>
  </si>
  <si>
    <t>PP-02 PARA RAIOS FRANKLIN COM MASTRO AÇO GALVANIZADO 02" X 3,00M</t>
  </si>
  <si>
    <t>09.13.011</t>
  </si>
  <si>
    <t>PP-03 PARA RAIOS FRANKLIN COM MASTRO AÇO GALVANIZADO  02" X 6,00M</t>
  </si>
  <si>
    <t>09.13.015</t>
  </si>
  <si>
    <t>09.13.018</t>
  </si>
  <si>
    <t>CORDOALHA DE AÇO GALV. A QUENTE 80MM2 (7/16") SOB A TERRA</t>
  </si>
  <si>
    <t>TERRA SIMPLES - 1 HASTE COM CAIXA DE INSPEÇÃO E TAMPA DE CONCRETO</t>
  </si>
  <si>
    <t>09.13.028</t>
  </si>
  <si>
    <t>TERRA SIMPLES 1 HASTE COPERWELD DN 19MM X 3M SEM CAIXA DE INSPEÇAO</t>
  </si>
  <si>
    <t>09.13.030</t>
  </si>
  <si>
    <t>CAIXA SUSPENSA MEDIÇÃO ATERRRAMENTO 4"X2" POLIPROPILENO Ø2''</t>
  </si>
  <si>
    <t>09.13.035</t>
  </si>
  <si>
    <t>RELATORIO DE INSPEÇAO E MEDIÇAO COM LAUDO TECNICO DO SISTEMA DE PROTEÇAO CONTRA DESCARGAS ATMOSFERICAS CONFORME NBR 5419</t>
  </si>
  <si>
    <t>TUBO DE PVC Ø 2'' X 3,00M PARA PROTEÇAO  DESCIDA DE CORDOALHA</t>
  </si>
  <si>
    <t>CORDOALHA DE AÇO GALV. A QUENTE 50 MM2 (3/8") C/SUPORTE.DE FIXAÇÃO.</t>
  </si>
  <si>
    <t>09.13.099</t>
  </si>
  <si>
    <t>09.50.001</t>
  </si>
  <si>
    <t>09.50.003</t>
  </si>
  <si>
    <t>09.50.004</t>
  </si>
  <si>
    <t>09.50.005</t>
  </si>
  <si>
    <t>09.50.007</t>
  </si>
  <si>
    <t>09.50.008</t>
  </si>
  <si>
    <t>09.50.009</t>
  </si>
  <si>
    <t>09.50.011</t>
  </si>
  <si>
    <t>09.50.013</t>
  </si>
  <si>
    <t>09.50.014</t>
  </si>
  <si>
    <t>09.50.016</t>
  </si>
  <si>
    <t>09.50.018</t>
  </si>
  <si>
    <t>09.50.020</t>
  </si>
  <si>
    <t>09.50.022</t>
  </si>
  <si>
    <t>09.50.023</t>
  </si>
  <si>
    <t>09.50.024</t>
  </si>
  <si>
    <t>REMOCAO DE JANELA DE VENTILACAO PADRAO ELETROPAULO</t>
  </si>
  <si>
    <t>09.50.025</t>
  </si>
  <si>
    <t>09.50.026</t>
  </si>
  <si>
    <t>09.50.027</t>
  </si>
  <si>
    <t>09.50.029</t>
  </si>
  <si>
    <t>REMOÇÃO DE POSTE DE CONCRETO</t>
  </si>
  <si>
    <t>09.50.030</t>
  </si>
  <si>
    <t>09.50.031</t>
  </si>
  <si>
    <t>09.50.032</t>
  </si>
  <si>
    <t>09.50.033</t>
  </si>
  <si>
    <t>09.50.034</t>
  </si>
  <si>
    <t>09.50.036</t>
  </si>
  <si>
    <t>09.50.037</t>
  </si>
  <si>
    <t>09.50.039</t>
  </si>
  <si>
    <t>09.50.099</t>
  </si>
  <si>
    <t>09.52.001</t>
  </si>
  <si>
    <t>09.52.002</t>
  </si>
  <si>
    <t>09.52.003</t>
  </si>
  <si>
    <t>09.52.004</t>
  </si>
  <si>
    <t>REMOCAO DE CABECOTE TIPO TELEFONICA</t>
  </si>
  <si>
    <t>09.52.005</t>
  </si>
  <si>
    <t>REMOCAO DE CAIXA DE ENTRADA DE TELEFONE PADRAO TELEFONICA</t>
  </si>
  <si>
    <t>09.52.007</t>
  </si>
  <si>
    <t>09.52.008</t>
  </si>
  <si>
    <t>09.52.009</t>
  </si>
  <si>
    <t>09.52.010</t>
  </si>
  <si>
    <t>09.52.015</t>
  </si>
  <si>
    <t>09.52.016</t>
  </si>
  <si>
    <t>09.52.017</t>
  </si>
  <si>
    <t>09.52.018</t>
  </si>
  <si>
    <t>09.52.019</t>
  </si>
  <si>
    <t>09.52.020</t>
  </si>
  <si>
    <t>09.52.021</t>
  </si>
  <si>
    <t>09.52.022</t>
  </si>
  <si>
    <t>09.52.026</t>
  </si>
  <si>
    <t>09.52.028</t>
  </si>
  <si>
    <t>09.52.029</t>
  </si>
  <si>
    <t>09.52.030</t>
  </si>
  <si>
    <t>REMOCAO DE DISJUNTOR  QUICK-LAG OU BASE P/ FUSIVEL DIAZED EM B.T</t>
  </si>
  <si>
    <t>09.52.034</t>
  </si>
  <si>
    <t>09.52.035</t>
  </si>
  <si>
    <t>09.52.037</t>
  </si>
  <si>
    <t>09.52.039</t>
  </si>
  <si>
    <t>09.52.099</t>
  </si>
  <si>
    <t>09.54.001</t>
  </si>
  <si>
    <t>09.54.002</t>
  </si>
  <si>
    <t>09.54.003</t>
  </si>
  <si>
    <t>09.54.004</t>
  </si>
  <si>
    <t>09.54.005</t>
  </si>
  <si>
    <t>09.54.006</t>
  </si>
  <si>
    <t>09.54.007</t>
  </si>
  <si>
    <t>09.54.013</t>
  </si>
  <si>
    <t>09.54.014</t>
  </si>
  <si>
    <t>09.54.016</t>
  </si>
  <si>
    <t>09.54.017</t>
  </si>
  <si>
    <t>09.54.018</t>
  </si>
  <si>
    <t>09.54.019</t>
  </si>
  <si>
    <t>09.54.020</t>
  </si>
  <si>
    <t>09.54.021</t>
  </si>
  <si>
    <t>09.54.099</t>
  </si>
  <si>
    <t>09.56.001</t>
  </si>
  <si>
    <t>09.56.003</t>
  </si>
  <si>
    <t>09.56.004</t>
  </si>
  <si>
    <t>09.56.005</t>
  </si>
  <si>
    <t>09.56.006</t>
  </si>
  <si>
    <t>09.56.007</t>
  </si>
  <si>
    <t>09.56.009</t>
  </si>
  <si>
    <t>09.56.012</t>
  </si>
  <si>
    <t>09.56.099</t>
  </si>
  <si>
    <t>09.60.003</t>
  </si>
  <si>
    <t>RETIRADA DE ISOLADOR TIPO DISCO COMPL INCL GANCHO DE SUSPENSAO TIPO OLHAL</t>
  </si>
  <si>
    <t>09.60.004</t>
  </si>
  <si>
    <t>RETIRADA DE BUCHA DE PASS.INT/EXT, OU DE CHAPA ACO P/ BUCHA PASSAGEM A.T.</t>
  </si>
  <si>
    <t>09.60.007</t>
  </si>
  <si>
    <t>RETIRADA DE CANTONEIRA METÁLICA</t>
  </si>
  <si>
    <t>09.60.008</t>
  </si>
  <si>
    <t>RETIRADA DE ISOLADOR TIPO CASTANHA INCL GANCHO DE SUSTENTAÇÃO</t>
  </si>
  <si>
    <t>09.60.009</t>
  </si>
  <si>
    <t>RETIRADA DE ISOLADOR TIPO PINO PARA A.T. INCLUSIVE PINO</t>
  </si>
  <si>
    <t>09.60.011</t>
  </si>
  <si>
    <t>RETIRADA DE VERGALHÃO DE COBRE</t>
  </si>
  <si>
    <t>09.60.012</t>
  </si>
  <si>
    <t>RETIRADA DE TERMINAL OU CONECTOR PARA VERGALHAO DE COBRE</t>
  </si>
  <si>
    <t>09.60.018</t>
  </si>
  <si>
    <t>RETIRADA DE CHAVE SECCION TRIP SECA, COMANDO POR VARA/ESTRIBO FRONTAL</t>
  </si>
  <si>
    <t>09.60.020</t>
  </si>
  <si>
    <t>RETIRADA DE TRANSFORMADOR DE POTENCIAL COMPLETO</t>
  </si>
  <si>
    <t>09.60.022</t>
  </si>
  <si>
    <t>RETIRADA DE DISJUNTOR DE VOLUME NORMAL OU REDUZIDO</t>
  </si>
  <si>
    <t>09.60.023</t>
  </si>
  <si>
    <t>RETIRADA DE MANOPLA DE COMANDO DO DISJUNTOR DE A.T. (ENGRENAGEM INTERNA)</t>
  </si>
  <si>
    <t>09.60.026</t>
  </si>
  <si>
    <t>RETIRADA DE TRANSFORMADOR DE POTENCIA EM CABINE PRIMARIA</t>
  </si>
  <si>
    <t>09.60.027</t>
  </si>
  <si>
    <t>RETIRADA DE TRANSFORMADOR DE POTENCIA EM POSTE OU ESTALEIRO</t>
  </si>
  <si>
    <t>09.60.029</t>
  </si>
  <si>
    <t>RETIRADA DE POSTE DE CONCRETO</t>
  </si>
  <si>
    <t>09.60.034</t>
  </si>
  <si>
    <t>RETIRADA DE CHAVE FUSIVEL INDICADORA TIPO MATHEUS</t>
  </si>
  <si>
    <t>09.60.099</t>
  </si>
  <si>
    <t>09.62.001</t>
  </si>
  <si>
    <t>RETIRADA DE POSTE GALVANIZADO DE ENTRADA EM B.T.</t>
  </si>
  <si>
    <t>09.62.002</t>
  </si>
  <si>
    <t>RETIRADA DE POSTE DE CONCRETO DE ENTRADA EM B.T.</t>
  </si>
  <si>
    <t>09.62.003</t>
  </si>
  <si>
    <t>RETIRADA DE ARMACAO T BRAQUET, CONDULETES OU DE CX.FUSIV/TOMADAS EM PERFILADO</t>
  </si>
  <si>
    <t>09.62.004</t>
  </si>
  <si>
    <t>RETIRADA DE CABECOTE PADRAO TELEFONICA OU DE BASE P/DISJUNTOR QUICK LAG</t>
  </si>
  <si>
    <t>09.62.009</t>
  </si>
  <si>
    <t>RETIRADA DE TUBULACAO ELETRICA APARENTE ATE 2"</t>
  </si>
  <si>
    <t>09.62.010</t>
  </si>
  <si>
    <t>RETIRADA DE TUBULACAO ELETRICA APARENTE ACIMA 2"</t>
  </si>
  <si>
    <t>09.62.012</t>
  </si>
  <si>
    <t>RETIRADA DE PERFILADOS</t>
  </si>
  <si>
    <t>09.62.014</t>
  </si>
  <si>
    <t>RETIRADA DE GANCHOS DE SUSTENTACAO DE LUMINARIAS EM PERFILADOS</t>
  </si>
  <si>
    <t>09.62.017</t>
  </si>
  <si>
    <t>RETIRADA DE FIO EMBUTIDO ATE 16 MM2</t>
  </si>
  <si>
    <t>09.62.018</t>
  </si>
  <si>
    <t>RETIRADA DE CABO EMBUTIDO ACIMA DE 16 MM2</t>
  </si>
  <si>
    <t>09.62.019</t>
  </si>
  <si>
    <t>RETIRADA DE FIO APARENTE ATE 16 MM2</t>
  </si>
  <si>
    <t>09.62.020</t>
  </si>
  <si>
    <t>RETIRADA DE CABO APARENTE ACIMA DE 16 MM2</t>
  </si>
  <si>
    <t>09.62.021</t>
  </si>
  <si>
    <t>RETIRADA DE TERMINAIS/CONECTORES DE PRESSAO P/CABOS OU DE ROLDANAS</t>
  </si>
  <si>
    <t>09.62.024</t>
  </si>
  <si>
    <t>RETIRADA E DESMONTAGEM QD.DISTRIB, CAIXA PASSAGEM OU QD. CHAMADA</t>
  </si>
  <si>
    <t>09.62.099</t>
  </si>
  <si>
    <t>09.64.004</t>
  </si>
  <si>
    <t>RETIRADA DE MOTOR DE BOMBA DE RECALQUE</t>
  </si>
  <si>
    <t>09.64.005</t>
  </si>
  <si>
    <t>RETIRADA DE APARELHO DE ILUMINACAO, PLAFONS E PENDENTES P/LAMPADAS INCANDESC</t>
  </si>
  <si>
    <t>09.64.006</t>
  </si>
  <si>
    <t>RETIRADA DE APARELHOS DE ILUMINACAO, PLAFONS E PENDENTES P/LAMPADAS FLUORESC</t>
  </si>
  <si>
    <t>09.64.014</t>
  </si>
  <si>
    <t>RETIRADA DE AP.ILUM.EM POSTE,ARANDELA EXT BRACO ACO OU PROJET EM FACHADA</t>
  </si>
  <si>
    <t>09.64.016</t>
  </si>
  <si>
    <t>RETIRADA DE PROJETORES EM JARDINS</t>
  </si>
  <si>
    <t>09.64.018</t>
  </si>
  <si>
    <t>RETIRADA DE APARELHO A PROVA DE TEMPO, GASES E VAPOR</t>
  </si>
  <si>
    <t>09.64.020</t>
  </si>
  <si>
    <t>RETIRADA DE POSTE CURVO, INCLUINDO BASES DE FIXACAO</t>
  </si>
  <si>
    <t>09.64.023</t>
  </si>
  <si>
    <t>RETIRADA DE POSTE DE FERRO RETO ENGASTADO NO SOLO</t>
  </si>
  <si>
    <t>09.64.024</t>
  </si>
  <si>
    <t>RETIRADA DE POSTE DE CONCRETO DE ATE 10M ACIMA DO SOLO</t>
  </si>
  <si>
    <t>09.66.001</t>
  </si>
  <si>
    <t>RETIRADA DE CAPTOR DE PARA-RAIOS TIPO FRANKLIN</t>
  </si>
  <si>
    <t>09.66.003</t>
  </si>
  <si>
    <t>RETIRADA DE BASE E HASTE,OU DE BRAÇADEIRA C/3 ESTAIS EM PARA-RAIOS</t>
  </si>
  <si>
    <t>09.66.004</t>
  </si>
  <si>
    <t>RETIRADA DE CABOS DE AÇO E ESTICADORES DE PARA-RAIOS</t>
  </si>
  <si>
    <t>09.66.005</t>
  </si>
  <si>
    <t>RETIRADA DE CABO DE COBRE NU</t>
  </si>
  <si>
    <t>09.66.006</t>
  </si>
  <si>
    <t>RETIRADA DE CABO DE COBRE NU PARA ATERRAMENTO</t>
  </si>
  <si>
    <t>09.66.007</t>
  </si>
  <si>
    <t>RETIRADA DE CONECTOR TIPO SPLIT-BOLT PARA CABOS DE ATERRAMENTO</t>
  </si>
  <si>
    <t>09.66.009</t>
  </si>
  <si>
    <t>RETIRADA DE BRAÇADEIRAS PARA PASSAGEM DE CABO DE COBRE NU</t>
  </si>
  <si>
    <t>09.66.099</t>
  </si>
  <si>
    <t>09.70.003</t>
  </si>
  <si>
    <t>RECOLOCAÇÃO DE ISOLADOR TIPO DISCO COMPL, INCLUS GANCHO DE SUSPENSAO TIPO OLHAL</t>
  </si>
  <si>
    <t>09.70.004</t>
  </si>
  <si>
    <t>RECOLOCAÇÃO DE BUCHA PASS.INT/EXT OU DE CH.ACO P/BUCHA PASSAGEM EM A.T</t>
  </si>
  <si>
    <t>09.70.007</t>
  </si>
  <si>
    <t>RECOLOCAÇÃO DE CANTONEIRA METALICA</t>
  </si>
  <si>
    <t>09.70.008</t>
  </si>
  <si>
    <t>RECOLOCAÇÃO DE ISOLADOR CASTANHA OU DE TERMINAL/CONEC. P/BARRAM.COBRE A.T</t>
  </si>
  <si>
    <t>09.70.009</t>
  </si>
  <si>
    <t>RECOLOCAÇÃO DE ISOLADOR TIPO PINO PARA A.T. INCLUSIVE PINO</t>
  </si>
  <si>
    <t>09.70.011</t>
  </si>
  <si>
    <t>RECOLOCAÇÃO DE VERGALHÃO DE COBRE</t>
  </si>
  <si>
    <t>09.70.018</t>
  </si>
  <si>
    <t>RECOLOCAÇÃO DE CHAVE SECCIONADORA TRIP SECA,COMANDO POR VARA/ESTRIBO FRONTAL</t>
  </si>
  <si>
    <t>09.70.020</t>
  </si>
  <si>
    <t>RECOLOCAÇÃO DE CH.FUSIV.INDICADORA OU DE TRANSF.DE POTENCIAL COMPL. A.T</t>
  </si>
  <si>
    <t>09.70.022</t>
  </si>
  <si>
    <t>RECOLOCAÇÃO DE DISJUNTOR DE VOLUME NORMAL OU REDUZIDO</t>
  </si>
  <si>
    <t>09.70.023</t>
  </si>
  <si>
    <t>RECOLOCAÇÃO DE MANOPLA DE COMANDO DO DISJUNTOR DE A.T. (ENGRENAGEM INTERNA)</t>
  </si>
  <si>
    <t>09.70.026</t>
  </si>
  <si>
    <t>RECOLOCAÇÃO DE TRANSFORMADOR DE POTENCIA EM POSTE OU CAB.PRIMARIA</t>
  </si>
  <si>
    <t>09.70.029</t>
  </si>
  <si>
    <t>RECOLOCAÇÃO DE POSTE DE CONCRETO</t>
  </si>
  <si>
    <t>09.70.099</t>
  </si>
  <si>
    <t>09.72.003</t>
  </si>
  <si>
    <t>RECOLOCAÇÃO DE CABECOTE TELEFONICA, ARMACAO BRAQUET OU CONECTORES PRESSAO P/CABOS</t>
  </si>
  <si>
    <t>09.72.004</t>
  </si>
  <si>
    <t>RECOLOCAÇÃO DE POSTE GALVANIZADO DE ENTRADA B.T.</t>
  </si>
  <si>
    <t>09.72.005</t>
  </si>
  <si>
    <t>RECOLOCAÇÃO DE POSTE DE CONCRETO DE ENTRADA EM B.T.</t>
  </si>
  <si>
    <t>09.72.009</t>
  </si>
  <si>
    <t>RECOLOCAÇÃO DE TUBULACAO ELETRICA APARENTE ATE 2"</t>
  </si>
  <si>
    <t>09.72.010</t>
  </si>
  <si>
    <t>RECOLOCAÇÃO DE TUBULACAO ELETRICA APARENTE ACIMA DE 2"</t>
  </si>
  <si>
    <t>09.72.011</t>
  </si>
  <si>
    <t>RECOLOCAÇÃO DE CONDULETES OU DE CX.FUSIV. OU DE TOMADA INSTAL. EM PERFILADOS</t>
  </si>
  <si>
    <t>09.72.012</t>
  </si>
  <si>
    <t>RECOLOCAÇÃO DE PERFILADOS</t>
  </si>
  <si>
    <t>09.72.014</t>
  </si>
  <si>
    <t>RECOLOCAÇÃO DE GANCHOS DE SUSTENTACAO DE LUMINARIAS E PERFILADOS</t>
  </si>
  <si>
    <t>09.72.017</t>
  </si>
  <si>
    <t>RECOLOCAÇÃO DE FIO EMBUTIDO ATE 16 MM2</t>
  </si>
  <si>
    <t>09.72.018</t>
  </si>
  <si>
    <t>RECOLOCAÇÃO DE CABO EMBUTIDO ACIMA DE 16 MM2</t>
  </si>
  <si>
    <t>09.72.019</t>
  </si>
  <si>
    <t>RECOLOCAÇÃO DE FIO APARENTE ATE 16 MM2</t>
  </si>
  <si>
    <t>09.72.020</t>
  </si>
  <si>
    <t>RECOLOCAÇÃO DE CABO APARENTE ACIMA DE 16 MM2</t>
  </si>
  <si>
    <t>09.72.023</t>
  </si>
  <si>
    <t>RECOLOCAÇÃO DE ROLDANAS</t>
  </si>
  <si>
    <t>09.72.024</t>
  </si>
  <si>
    <t>RECOLOCAÇÃO E MONTAGEM DE QD.DISTRIB,CX DE PASSAG MET OU QD.CHAMADA</t>
  </si>
  <si>
    <t>09.72.031</t>
  </si>
  <si>
    <t>RECOLOCAÇÃO DE BASE DE DISJUNTOR TIPO QUICK-LAG EM CHAPA DE FERRO</t>
  </si>
  <si>
    <t>09.72.099</t>
  </si>
  <si>
    <t>09.74.004</t>
  </si>
  <si>
    <t>RECOLOCAÇÃO DE MOTOR DE BOMBA DE RECALQUE</t>
  </si>
  <si>
    <t>09.74.005</t>
  </si>
  <si>
    <t>RECOLOCAÇÃO DE AP.ILUM.(PLAFON OU PEND.)P/LAMP.INCAND OU DE PROJET EM JARDINS</t>
  </si>
  <si>
    <t>09.74.006</t>
  </si>
  <si>
    <t>RECOLOCAÇÃO DE APARELHO DE ILUMINACAO,PLAFONS OU PENDENTES P/ LAMP FLUORESCENTES</t>
  </si>
  <si>
    <t>09.74.015</t>
  </si>
  <si>
    <t>RECOLOCAÇÃO DE PROJ.EM FACHADAS OU AP.ILUMIN.A PROVA DE TEMPO</t>
  </si>
  <si>
    <t>09.74.017</t>
  </si>
  <si>
    <t>RECOLOCAÇÃO DE ARANDELA EXTERNA EM BRACO DE FERRO</t>
  </si>
  <si>
    <t>09.74.018</t>
  </si>
  <si>
    <t>RECOLOCAÇÃO DE APARELHOS DE ILUMINAÇÃO EM POSTE</t>
  </si>
  <si>
    <t>09.74.019</t>
  </si>
  <si>
    <t>RECOLOCAÇÃO DE POSTE CURVO, INCLUINDO BASE DE FIXACAO</t>
  </si>
  <si>
    <t>09.74.023</t>
  </si>
  <si>
    <t>RECOLOCAÇÃO DE POSTE DE FERRO RETO ENGASTADO NO SOLO</t>
  </si>
  <si>
    <t>09.74.024</t>
  </si>
  <si>
    <t>RECOLOCAÇÃO DE POSTE DE CONCRETO DE ATE 10M ACIMA DO SOLO</t>
  </si>
  <si>
    <t>09.74.099</t>
  </si>
  <si>
    <t>09.76.001</t>
  </si>
  <si>
    <t>RECOLOCAÇÃO DE CAPTOR DE PARA-RAIOS TIPO FRANKLIN OU RADIOATIVO</t>
  </si>
  <si>
    <t>09.76.003</t>
  </si>
  <si>
    <t>RECOLOCAÇÃO DE BASE E HASTE DE PARA-RAIOS</t>
  </si>
  <si>
    <t>09.76.004</t>
  </si>
  <si>
    <t>RECOLOCAÇÃO DE CABO ACO E ESTICADORES,OU DE CABO COBRE NU P/ATERR. P.RAIOS</t>
  </si>
  <si>
    <t>09.76.005</t>
  </si>
  <si>
    <t>RECOLOCAÇÃO DE CABO DE COBRE NU</t>
  </si>
  <si>
    <t>09.76.007</t>
  </si>
  <si>
    <t>RECOLOCAÇÃO DE CONECTOR TIPO SPLIT-BOLT PARA CABOS DE ATERRAMENTO</t>
  </si>
  <si>
    <t>09.76.009</t>
  </si>
  <si>
    <t>RECOLOCAÇÃO DE BRACADEIRAS PARA 3 ESTAIS OU PARA PASSAGEM DE CABO DE COBRE NU</t>
  </si>
  <si>
    <t>09.76.099</t>
  </si>
  <si>
    <t>09.80.001</t>
  </si>
  <si>
    <t>09.80.002</t>
  </si>
  <si>
    <t>09.80.003</t>
  </si>
  <si>
    <t>09.80.004</t>
  </si>
  <si>
    <t>09.80.005</t>
  </si>
  <si>
    <t>09.80.006</t>
  </si>
  <si>
    <t>09.80.007</t>
  </si>
  <si>
    <t>09.80.008</t>
  </si>
  <si>
    <t>JANELA DE VENTILACAO PADRAO ELETROPAULO DE 0,40 X 0,40 X 0,15 M</t>
  </si>
  <si>
    <t>09.80.010</t>
  </si>
  <si>
    <t>09.80.011</t>
  </si>
  <si>
    <t>09.80.012</t>
  </si>
  <si>
    <t>09.80.013</t>
  </si>
  <si>
    <t>09.80.014</t>
  </si>
  <si>
    <t>09.80.015</t>
  </si>
  <si>
    <t>09.80.017</t>
  </si>
  <si>
    <t>09.80.019</t>
  </si>
  <si>
    <t>09.80.021</t>
  </si>
  <si>
    <t>09.80.022</t>
  </si>
  <si>
    <t>09.80.023</t>
  </si>
  <si>
    <t>09.80.024</t>
  </si>
  <si>
    <t>09.80.025</t>
  </si>
  <si>
    <t>09.80.026</t>
  </si>
  <si>
    <t>09.80.029</t>
  </si>
  <si>
    <t>09.80.030</t>
  </si>
  <si>
    <t>09.80.033</t>
  </si>
  <si>
    <t>TRANSFORMADOR DE CORRENTE PARA M.T. 15 KV</t>
  </si>
  <si>
    <t>09.80.034</t>
  </si>
  <si>
    <t>TRANSFORMADOR DE POTENCIAL 400 W/220V COM FUSIVEL DE M.T. 15 KV</t>
  </si>
  <si>
    <t>09.80.036</t>
  </si>
  <si>
    <t>DISJUNTOR VOL REDUZIDO OLEO 15KV/250 PL15B MVA 630 ACION. MANUAL - COMPLETO</t>
  </si>
  <si>
    <t>09.80.038</t>
  </si>
  <si>
    <t>09.80.039</t>
  </si>
  <si>
    <t>09.80.040</t>
  </si>
  <si>
    <t>RELE PRIMARIO DE SOBRECORRENTE P/DISJ. DE MEDIA TENSAO</t>
  </si>
  <si>
    <t>09.80.041</t>
  </si>
  <si>
    <t>09.80.042</t>
  </si>
  <si>
    <t>09.80.043</t>
  </si>
  <si>
    <t>09.80.044</t>
  </si>
  <si>
    <t>09.80.048</t>
  </si>
  <si>
    <t>09.80.049</t>
  </si>
  <si>
    <t>SUPORTE DE TRANSFORMADOR EM POSTE  OU ESTALEIRO</t>
  </si>
  <si>
    <t>09.80.050</t>
  </si>
  <si>
    <t>09.80.051</t>
  </si>
  <si>
    <t>09.80.052</t>
  </si>
  <si>
    <t>CAIXA PARA TRANSFORMADOR DE CORRENTE PADRAO ELEKTRO</t>
  </si>
  <si>
    <t>09.80.053</t>
  </si>
  <si>
    <t>CAIXA DE MEDICAO PADRAO ELEKTRO - 0,70 X 0,60 X 0,25 M</t>
  </si>
  <si>
    <t>09.80.055</t>
  </si>
  <si>
    <t>TRANSF-POT 45 KVA-M.T.13,2(5%)B.T.220/127V(5%)EM POSTE/ESTALEIRO</t>
  </si>
  <si>
    <t>09.80.057</t>
  </si>
  <si>
    <t>TRANSF-POT 75 KVA-M.T.13,2 KV(5%)B.T.220/127V(5%)EM POSTE/ESTALEIRO</t>
  </si>
  <si>
    <t>09.80.058</t>
  </si>
  <si>
    <t>TRANSF-POT 112,5 KVA-M.T.13,2 KV(5%)220/127V(5%) EM POSTE /ESTALEIRO</t>
  </si>
  <si>
    <t>09.80.059</t>
  </si>
  <si>
    <t>TRANSF-POT 112,5 KVA-M.T.13,2 KV(5%)B.T.220/127V(5%) EM CABINE</t>
  </si>
  <si>
    <t>09.80.060</t>
  </si>
  <si>
    <t>TRANSF-POT 150 KVA-M.T.13,2 KV(5%) B.T. 220/127V(5%) EM CABINE</t>
  </si>
  <si>
    <t>09.80.061</t>
  </si>
  <si>
    <t>TRANSF-POT 225 KVA-M.T.13,2 KV(5%)B.T. 220/127(5%) EM CABINE</t>
  </si>
  <si>
    <t>09.80.062</t>
  </si>
  <si>
    <t>TRANSF-POT 300 KVA-M.T.13,2 KV(5%)B.T. 220/127(5%) EM CABINE</t>
  </si>
  <si>
    <t>09.80.063</t>
  </si>
  <si>
    <t>TRANSF-POT 500 KVA-M.T.13,2 KV(5%)B.T. 220/127V(5%) EM CABINE</t>
  </si>
  <si>
    <t>09.80.064</t>
  </si>
  <si>
    <t>09.80.065</t>
  </si>
  <si>
    <t>09.80.090</t>
  </si>
  <si>
    <t>09.80.099</t>
  </si>
  <si>
    <t>OUTROS SERVICOS EM ALTA TENSAO - CONSERVACAO</t>
  </si>
  <si>
    <t>09.82.001</t>
  </si>
  <si>
    <t>09.82.004</t>
  </si>
  <si>
    <t>CABECOTE TIPO TELEFONICA</t>
  </si>
  <si>
    <t>09.82.005</t>
  </si>
  <si>
    <t>09.82.006</t>
  </si>
  <si>
    <t>09.82.007</t>
  </si>
  <si>
    <t>09.82.009</t>
  </si>
  <si>
    <t>09.82.010</t>
  </si>
  <si>
    <t>09.82.011</t>
  </si>
  <si>
    <t>09.82.025</t>
  </si>
  <si>
    <t>09.82.026</t>
  </si>
  <si>
    <t>09.82.027</t>
  </si>
  <si>
    <t>09.82.028</t>
  </si>
  <si>
    <t>09.82.029</t>
  </si>
  <si>
    <t>09.82.030</t>
  </si>
  <si>
    <t>09.82.031</t>
  </si>
  <si>
    <t>09.82.032</t>
  </si>
  <si>
    <t>09.82.033</t>
  </si>
  <si>
    <t>09.82.034</t>
  </si>
  <si>
    <t>09.82.035</t>
  </si>
  <si>
    <t>09.82.042</t>
  </si>
  <si>
    <t>09.82.046</t>
  </si>
  <si>
    <t>09.82.084</t>
  </si>
  <si>
    <t>09.82.085</t>
  </si>
  <si>
    <t>09.82.086</t>
  </si>
  <si>
    <t>09.82.087</t>
  </si>
  <si>
    <t>09.82.095</t>
  </si>
  <si>
    <t>PERFILADO EM CHAPA DE ACO 38X38MM</t>
  </si>
  <si>
    <t>09.82.099</t>
  </si>
  <si>
    <t>09.83.001</t>
  </si>
  <si>
    <t>09.83.002</t>
  </si>
  <si>
    <t>CH.SECCION. AÇAO RAPIDA SOBRECARGA COMANDO FRONTAL 3X250A PAINEL BL.BT</t>
  </si>
  <si>
    <t>09.83.004</t>
  </si>
  <si>
    <t>09.83.033</t>
  </si>
  <si>
    <t>09.83.034</t>
  </si>
  <si>
    <t>09.83.035</t>
  </si>
  <si>
    <t>09.83.036</t>
  </si>
  <si>
    <t>09.83.037</t>
  </si>
  <si>
    <t>09.83.038</t>
  </si>
  <si>
    <t>09.83.050</t>
  </si>
  <si>
    <t>BOTOEIRA LIGA-DESLIGA PARA COMANDO DA BOMBA DE RECALQUE</t>
  </si>
  <si>
    <t>09.83.052</t>
  </si>
  <si>
    <t>DISJUNTOR BIPOLAR TERMOMAGNETICO 2X60A a 2X100A</t>
  </si>
  <si>
    <t>09.83.063</t>
  </si>
  <si>
    <t>DISJUNTOR TRIPOLAR TERMOMAGNETICO 3X200A</t>
  </si>
  <si>
    <t>09.83.065</t>
  </si>
  <si>
    <t>DISJUNTOR TRIPOLAR TERMOMAGNETICO 3X10A a 3X50A</t>
  </si>
  <si>
    <t>09.83.066</t>
  </si>
  <si>
    <t>DISJUNTOR TRIPOLAR TERMOMAGNETICO 3X60A a 3X100A</t>
  </si>
  <si>
    <t>09.83.067</t>
  </si>
  <si>
    <t>09.83.069</t>
  </si>
  <si>
    <t>DISJUNTOR TRIPOLAR TERMOMAGNETICO 3X600A</t>
  </si>
  <si>
    <t>09.83.070</t>
  </si>
  <si>
    <t>RELE BIMETALICO DE SOBRECORRENTE FAIXA AJUSTAVEL DE 6,3A - 10A PARA QD.COMANDO BOMBA RECALQUE</t>
  </si>
  <si>
    <t>09.83.071</t>
  </si>
  <si>
    <t>RELE BIMETALICO DE SOBRECORRENTE FAIXA AJUSTAVEL DE 8,0A - 12,5A PARA QD.COMANDO BOMBA RECALQUE</t>
  </si>
  <si>
    <t>09.83.072</t>
  </si>
  <si>
    <t>RELE BIMETALICO DE SOBRECORRENTE FAIXA AJUSTAVEL DE 10A - 16A PARA QD.COMANDO BOMBA RECALQUE</t>
  </si>
  <si>
    <t>09.83.073</t>
  </si>
  <si>
    <t>RELE BIMETALICO DE SOBRECORRENTE FAIXA AJUSTAVEL DE 16A - 25A PARA QD.COMANDO BOMBA RECALQUE</t>
  </si>
  <si>
    <t>09.83.077</t>
  </si>
  <si>
    <t>CONTACTOR TRIPOLAR ATE 9A PARA QD.COMANDO BOMBA RECALQUE</t>
  </si>
  <si>
    <t>09.83.078</t>
  </si>
  <si>
    <t>CONTACTOR TRIPOLAR ATE 12A PARA QD.COMANDO BOMBA RECALQUE</t>
  </si>
  <si>
    <t>09.83.079</t>
  </si>
  <si>
    <t>CONTACTOR TRIPOLAR ATE 16A PARA QD.COMANDO BOMBA RECALQUE</t>
  </si>
  <si>
    <t>09.83.080</t>
  </si>
  <si>
    <t>CONTACTOR TRIPOLAR ATE 25A PARA QD.COMANDO BOMBA RECALQUE</t>
  </si>
  <si>
    <t>09.83.099</t>
  </si>
  <si>
    <t>09.84.001</t>
  </si>
  <si>
    <t>09.84.002</t>
  </si>
  <si>
    <t>09.84.003</t>
  </si>
  <si>
    <t>09.84.004</t>
  </si>
  <si>
    <t>09.84.009</t>
  </si>
  <si>
    <t>TOMADA 2P+T PADRAO NBR 14136 CORRENTE 10A-250V</t>
  </si>
  <si>
    <t>09.84.010</t>
  </si>
  <si>
    <t>TOMADA 2P+T PADRAO NBR 14136 CORRENTE 20A-250V</t>
  </si>
  <si>
    <t>09.84.017</t>
  </si>
  <si>
    <t>09.84.020</t>
  </si>
  <si>
    <t>09.84.021</t>
  </si>
  <si>
    <t>09.84.030</t>
  </si>
  <si>
    <t>09.84.035</t>
  </si>
  <si>
    <t>09.84.037</t>
  </si>
  <si>
    <t>CALHA DA LUMINARIA P/LAMPADA FLUOR. 2X32W C/DIFUSOR E SOQUETE (IL-42)</t>
  </si>
  <si>
    <t>09.84.038</t>
  </si>
  <si>
    <t>CALHA DA LUMINARIA P/LAMPADA FLUOR. 1X32W C/REFLETOR ALUM. E SOQUETE (IL-44)</t>
  </si>
  <si>
    <t>09.84.039</t>
  </si>
  <si>
    <t>CALHA DA LUMINARIA P/LAMPADA FLUOR. 2X32W C/REFLETOR ALUM. E SOQUETE (IL-45)</t>
  </si>
  <si>
    <t>09.84.040</t>
  </si>
  <si>
    <t>CALHA DA LUMINÁRIA P/LÂMPADA FLUOR. 2X16W C/DIFUSOR E SOQUETES (IL-68)</t>
  </si>
  <si>
    <t>09.84.041</t>
  </si>
  <si>
    <t>CALHA DA LUMINÁRIA P/LÂMPADA FLUOR.4X16W COM REFLETOR, ALETAS E SOQUETES (IL-62)</t>
  </si>
  <si>
    <t>09.84.042</t>
  </si>
  <si>
    <t>ADEQUAÇÃO DE LUMINARIA FLUORESCENTE 1X32W PARA LED  TUBULAR POLICARBONATO 18W TEMPERATURA DE COR 4000ºK</t>
  </si>
  <si>
    <t>09.84.045</t>
  </si>
  <si>
    <t>REATOR ELETRONICO P/LAMPADA FLUORESC.AFP 1X32W BIVOLT COM PROTEÇÃO</t>
  </si>
  <si>
    <t>09.84.046</t>
  </si>
  <si>
    <t>REATOR ELETRONICO P/LAMPADA FLUORESC.AFP 2X32W BIVOLT COM PROTEÇÃO</t>
  </si>
  <si>
    <t>09.84.049</t>
  </si>
  <si>
    <t>ADEQUAÇÃO DE LUMINARIA FLUORESCENTE 2X32W PARA LED TUBULAR POLICARBONATO 18W  TEMPERATURA DE COR 4000ºK</t>
  </si>
  <si>
    <t>09.84.050</t>
  </si>
  <si>
    <t>RECEPTACULO PORCELANA  P/LAMP FLUORESC. COMPACTA ROSCA E-27</t>
  </si>
  <si>
    <t>09.84.051</t>
  </si>
  <si>
    <t>09.84.052</t>
  </si>
  <si>
    <t>09.84.055</t>
  </si>
  <si>
    <t>09.84.060</t>
  </si>
  <si>
    <t>09.84.061</t>
  </si>
  <si>
    <t>ADEQUAÇÃO DE LUMINARIA FLUORESCENTE 1X32W PARA LED TUBULAR VIDRO 18W TEMPERATURA DE COR 4000ºK</t>
  </si>
  <si>
    <t>09.84.062</t>
  </si>
  <si>
    <t>ADEQUAÇÃO DE LUMINARIA FLUORESCENTE 2X32W PARA LED TUBULAR VIDRO 18W  TEMPERATURA DE COR 4000ºK</t>
  </si>
  <si>
    <t>09.84.070</t>
  </si>
  <si>
    <t>09.84.071</t>
  </si>
  <si>
    <t>REATOR ELETRONICO PT RAP P/FLUOR. AFP 1X28W BIVOLT C/PROTEÇÃO</t>
  </si>
  <si>
    <t>09.84.072</t>
  </si>
  <si>
    <t>REATOR ELETRONICO PT RAP P/FLUOR. AFP 2X28W BIVOLT C/PROTEÇÃO</t>
  </si>
  <si>
    <t>09.84.074</t>
  </si>
  <si>
    <t>REATOR SIMPLES P/VAPOR SODIO AFP 70W 220V CAP/IGN</t>
  </si>
  <si>
    <t>09.84.075</t>
  </si>
  <si>
    <t>REATOR SIMPLES P/VAPOR SODIO AFP 150W 220V CAP/IGN</t>
  </si>
  <si>
    <t>09.84.076</t>
  </si>
  <si>
    <t>REATOR SIMPLES P/VAPOR SODIO AFP 250W 220V CAP/IGN</t>
  </si>
  <si>
    <t>09.84.077</t>
  </si>
  <si>
    <t>REATOR SIMPLES P/VAPOR METAL. AFP 70W 220V CAP/IGN</t>
  </si>
  <si>
    <t>09.84.078</t>
  </si>
  <si>
    <t>REATOR SIMPLES P/VAPOR METAL. AFP 150W 220V CAP/IGN</t>
  </si>
  <si>
    <t>09.84.079</t>
  </si>
  <si>
    <t>REATOR SIMPLES P/VAPOR METAL. AFP 250W 220V CAP/IGN</t>
  </si>
  <si>
    <t>09.84.080</t>
  </si>
  <si>
    <t>REATOR ELETRONICO P/LAMPADA FLUORESCENTE 2X16W BIVOLT C/PROTEÇÃO</t>
  </si>
  <si>
    <t>09.84.092</t>
  </si>
  <si>
    <t>09.84.099</t>
  </si>
  <si>
    <t>09.84.100</t>
  </si>
  <si>
    <t>CALHA P/LUMIN.SOBREPOR C/REFLETOR ALUM.P/LAMP.FLUOR. 1X28W (IL-73 E IL-81)</t>
  </si>
  <si>
    <t>09.84.101</t>
  </si>
  <si>
    <t>CALHA P/LUMIN.SOBREPOR C/REFLETOR ALUM.P/LAMP.FLUOR. 2X28W (IL-74 E IL-82)</t>
  </si>
  <si>
    <t>09.84.102</t>
  </si>
  <si>
    <t>CALHA P/LUMIN.SOBREPOR C/REFLETOR E ALETAS P/LAMP.FLUOR. 2X28W (IL-75)</t>
  </si>
  <si>
    <t>09.84.103</t>
  </si>
  <si>
    <t>CALHA P/LUMIN.SOBREPOR C/DIFUSOR TRANSP.P/LAMP.FLUOR. 2X28W (IL-77)</t>
  </si>
  <si>
    <t>09.84.104</t>
  </si>
  <si>
    <t>CALHA P/LUMIN.DE EMBUTIR C/REFLETOR E ALETAS P/LAMP.FLUOR. 2X28W (IL-78)</t>
  </si>
  <si>
    <t>09.84.105</t>
  </si>
  <si>
    <t>CALHA P/LUMIN.DE EMBUTIR C/REFLETOR S/ALETAS P/LAMP.FLUOR. 1X28W (IL-79)</t>
  </si>
  <si>
    <t>09.84.106</t>
  </si>
  <si>
    <t>CALHA P/LUMIN.DE EMBUTIR C/REFLETOR S/ALETAS P/LAMP.FLUOR. 2X28W (IL-80)</t>
  </si>
  <si>
    <t>09.84.107</t>
  </si>
  <si>
    <t>ADEQUAÇÃO DE LUMINARIA FLUORESCENTE 4X16W PARA LED TUBULAR VIDRO 10W  TEMPERATURA DE COR 4000ºK</t>
  </si>
  <si>
    <t>09.84.108</t>
  </si>
  <si>
    <t>ADEQUAÇÃO DE LUMINARIA FLUORESCENTE 2X16W PARA LED TUBULAR VIDRO 10W TEMPERATURA DE COR 4000ºK</t>
  </si>
  <si>
    <t>09.84.109</t>
  </si>
  <si>
    <t>ADEQUAÇÃO DE LUMINARIA FLUORESCENTE 4X16W PARA LED TUBULAR POLICARBONATO 10W  TEMPERATURA DE COR 4000ºK</t>
  </si>
  <si>
    <t>09.84.110</t>
  </si>
  <si>
    <t>ADEQUAÇÃO DE LUMINARIA FLUORESCENTE 2X16W PARA LED TUBULAR POLICARBONATO 10W TEMPERATURA DE COR 4000ºK</t>
  </si>
  <si>
    <t>09.85.005</t>
  </si>
  <si>
    <t>LAMPADA FLUORESCENTE DE 32W</t>
  </si>
  <si>
    <t>09.85.006</t>
  </si>
  <si>
    <t>LAMPADA FLUORESCENTE COMPACTA 23W</t>
  </si>
  <si>
    <t>09.85.010</t>
  </si>
  <si>
    <t>LAMPADA VAPOR DE SODIO 70W</t>
  </si>
  <si>
    <t>09.85.011</t>
  </si>
  <si>
    <t>LAMPADA VAPOR DE SODIO 150W</t>
  </si>
  <si>
    <t>09.85.012</t>
  </si>
  <si>
    <t>LAMPADA VAPOR DE SODIO 250W</t>
  </si>
  <si>
    <t>09.85.016</t>
  </si>
  <si>
    <t>LAMPADA FLUORESCENTE DE 16W</t>
  </si>
  <si>
    <t>09.85.017</t>
  </si>
  <si>
    <t>LAMPADA VAPOR METÁLICO 70W</t>
  </si>
  <si>
    <t>09.85.018</t>
  </si>
  <si>
    <t>LAMPADA VAPOR METALICO 150W</t>
  </si>
  <si>
    <t>09.85.019</t>
  </si>
  <si>
    <t>LAMPADA VAPOR METALICO 250W</t>
  </si>
  <si>
    <t>09.85.023</t>
  </si>
  <si>
    <t>09.85.024</t>
  </si>
  <si>
    <t>09.85.025</t>
  </si>
  <si>
    <t>LUMIN. BLINDADA ARANDELA P/ LAMP. FLUOR.COMPACTA  23 W</t>
  </si>
  <si>
    <t>09.85.037</t>
  </si>
  <si>
    <t>09.85.039</t>
  </si>
  <si>
    <t>09.85.043</t>
  </si>
  <si>
    <t>09.85.045</t>
  </si>
  <si>
    <t>09.85.047</t>
  </si>
  <si>
    <t>09.85.048</t>
  </si>
  <si>
    <t>POSTE DE AÇO GALV.TIPO CURVO,C/JANELAS INSP H=7 M ACIMA DO SOLO</t>
  </si>
  <si>
    <t>09.85.050</t>
  </si>
  <si>
    <t>POSTE DE AÇO GALV.TIPO RETO, C/JANELA INSP. H=10M ACIMA DO SOLO</t>
  </si>
  <si>
    <t>09.85.053</t>
  </si>
  <si>
    <t>09.85.060</t>
  </si>
  <si>
    <t>09.85.061</t>
  </si>
  <si>
    <t>09.85.062</t>
  </si>
  <si>
    <t>09.85.063</t>
  </si>
  <si>
    <t>09.85.064</t>
  </si>
  <si>
    <t>09.85.065</t>
  </si>
  <si>
    <t>09.85.066</t>
  </si>
  <si>
    <t>LAMPADA BULBO LED  &lt;= 13W ROSCA E 27  BIVOLT. TEMPERATURA COR 3000ºK.</t>
  </si>
  <si>
    <t>09.85.080</t>
  </si>
  <si>
    <t>09.85.081</t>
  </si>
  <si>
    <t>09.85.082</t>
  </si>
  <si>
    <t>09.85.083</t>
  </si>
  <si>
    <t>09.85.084</t>
  </si>
  <si>
    <t>09.85.085</t>
  </si>
  <si>
    <t>09.85.086</t>
  </si>
  <si>
    <t>LAMPADA LED TUBULAR VIDRO DE 10W C/TEMPERATURA DE COR 4000° K</t>
  </si>
  <si>
    <t>09.85.087</t>
  </si>
  <si>
    <t>LAMPADA LED TUBULAR POLICARBONATO DE 10W C/TEMPERATURA DE COR 4000° K</t>
  </si>
  <si>
    <t>09.85.088</t>
  </si>
  <si>
    <t>LAMPADA LED TUBULAR VIDRO DE 18W C/TEMPERATURA DE COR 4000° K</t>
  </si>
  <si>
    <t>09.85.089</t>
  </si>
  <si>
    <t>LAMPADA LED TUBULAR POLICARBONATO DE 18W C/TEMPERATURA DE COR 4000° K</t>
  </si>
  <si>
    <t>09.85.099</t>
  </si>
  <si>
    <t>09.85.102</t>
  </si>
  <si>
    <t>LAMPADA FLUORESCENTE DE 28W C/BASE G5 TEMPER.COR DE 4000° K</t>
  </si>
  <si>
    <t>09.86.001</t>
  </si>
  <si>
    <t>09.86.020</t>
  </si>
  <si>
    <t>09.86.021</t>
  </si>
  <si>
    <t>SUPORTE SIMPLES COM ROLDANA PARA CABO DE COBRE NU 70 A 95 MM2</t>
  </si>
  <si>
    <t>09.86.025</t>
  </si>
  <si>
    <t>09.86.026</t>
  </si>
  <si>
    <t>09.86.027</t>
  </si>
  <si>
    <t>09.86.035</t>
  </si>
  <si>
    <t>09.86.099</t>
  </si>
  <si>
    <t>10.01.020</t>
  </si>
  <si>
    <t>FORRO DE TABUA APAR. 10X1CM MACHO-FEMEA G1-C4  SEMI ENTARUGADO</t>
  </si>
  <si>
    <t>10.01.021</t>
  </si>
  <si>
    <t>FORRO DE TABUA APAR. 10X1CM MACHO-FEMEA G1-C4 ENTARUGADO</t>
  </si>
  <si>
    <t>10.01.022</t>
  </si>
  <si>
    <t>FORRO ACUSTICO COR BRANCA TIPO NUVEM PLACA 60X60CM H=50MM INCLUSIVE ELEMENTOS DE FIXAÇÃO FORNEC. E INSTAL - USO EXCLUSIVO SALA DE INOVAÇÃO</t>
  </si>
  <si>
    <t>10.01.023</t>
  </si>
  <si>
    <t>FORRO ACUSTICO COR BRANCA TIPO NUVEM PLACA 120X60CM H=50MM INCLUSIVE ELEMENTOS DE FIXAÇÃO FORNEC. E INSTAL - USO EXCLUSIVO SALA DE INOVAÇÃO</t>
  </si>
  <si>
    <t>10.01.049</t>
  </si>
  <si>
    <t>10.01.058</t>
  </si>
  <si>
    <t>10.01.059</t>
  </si>
  <si>
    <t>10.01.060</t>
  </si>
  <si>
    <t>10.01.061</t>
  </si>
  <si>
    <t>10.01.071</t>
  </si>
  <si>
    <t>FORRO PLACA MINERAL NRC 0,55 GERGIAN INCL.PERFIS FORNEC/INST.</t>
  </si>
  <si>
    <t>10.01.074</t>
  </si>
  <si>
    <t>FORRO PLACA MINERAL NRC 0,65 SAHARA INCL.PERFIS FORNEC/INST.</t>
  </si>
  <si>
    <t>10.01.075</t>
  </si>
  <si>
    <t>FORRO PLACA MINERAL NRC 0,70 CONSTELATION INCL.PERFIS FORNEC/INST.</t>
  </si>
  <si>
    <t>FORRO PLACA MINERAL NRC 0,70 MP COMPLETE INCL.PERFIS FORNEC/INST.</t>
  </si>
  <si>
    <t>10.01.077</t>
  </si>
  <si>
    <t>FORRO PLACA MINERAL NRC 0,85 THERMOFON INCL.PERFIS FORNEC/INST.</t>
  </si>
  <si>
    <t>10.01.078</t>
  </si>
  <si>
    <t>FORRO EM PLACA MINERAL NRC 0,75 TÔNICA INC. PERFIS FORNEC/INSTALADO</t>
  </si>
  <si>
    <t>10.01.082</t>
  </si>
  <si>
    <t>FORRO EM LÂMINA DE PVC 200MM E = 7 OU 8MM</t>
  </si>
  <si>
    <t>10.01.083</t>
  </si>
  <si>
    <t>ESTRUTURA METÁLICA TUBULAR 20X20 GALV. E=0,95MM MALHA 1,20X0,40M P/SUSTENTAÇÃO DE FORRO PVC</t>
  </si>
  <si>
    <t>10.01.099</t>
  </si>
  <si>
    <t>10.50.001</t>
  </si>
  <si>
    <t>DEMOLIÇÃO DE FORRO DE ESTUQUE OU MADEIRA, INCLUSIVE ENTARUGAMENTO</t>
  </si>
  <si>
    <t>10.50.003</t>
  </si>
  <si>
    <t>DEMOLIÇÃO DE FORRO EM GESSO</t>
  </si>
  <si>
    <t>10.50.004</t>
  </si>
  <si>
    <t>DEMOLIÇÃO DE ENTARUGAMENTO</t>
  </si>
  <si>
    <t>10.50.005</t>
  </si>
  <si>
    <t>DEMOLIÇÃO DE FORROS DE MADEIRA, EXCLUSIVE ENTARUGAMENTO.</t>
  </si>
  <si>
    <t>10.50.099</t>
  </si>
  <si>
    <t>10.60.001</t>
  </si>
  <si>
    <t>RETIRADA DE FORROS DE MADEIRA PREGADOS (PLACAS OU TABUAS)</t>
  </si>
  <si>
    <t>10.60.002</t>
  </si>
  <si>
    <t>RETIRADA DE FORROS EM PLACAS APOIADAS</t>
  </si>
  <si>
    <t>10.60.005</t>
  </si>
  <si>
    <t>10.60.099</t>
  </si>
  <si>
    <t>10.70.001</t>
  </si>
  <si>
    <t>RECOLOCAÇÃO DE FORRO DE MADEIRA PREGADO (PLACAS OU TABUAS)</t>
  </si>
  <si>
    <t>10.70.002</t>
  </si>
  <si>
    <t>RECOLOCAÇÃO DE FORRO EM PLACAS APOIADAS</t>
  </si>
  <si>
    <t>10.70.005</t>
  </si>
  <si>
    <t>10.70.099</t>
  </si>
  <si>
    <t>10.80.012</t>
  </si>
  <si>
    <t>10.80.033</t>
  </si>
  <si>
    <t>10.80.034</t>
  </si>
  <si>
    <t>TABUA DE 10 X 1 CM TIPO MACHO-FEMEA G1-C4 PARA FORRO</t>
  </si>
  <si>
    <t>10.80.038</t>
  </si>
  <si>
    <t>10.80.040</t>
  </si>
  <si>
    <t>ESTRUTURA DE ENTARUGAMENTO PARA FORRO DE MADEIRA</t>
  </si>
  <si>
    <t>10.80.099</t>
  </si>
  <si>
    <t>SERVICOS EM FORROS - CONSERVACAO</t>
  </si>
  <si>
    <t>11.01.001</t>
  </si>
  <si>
    <t>11.01.002</t>
  </si>
  <si>
    <t>IMPERMEABILIZACAO DE SUB-SOLOS C/ARG CIM-AREIA 1:3 HIDR TINTA BETUMINOSA</t>
  </si>
  <si>
    <t>11.01.003</t>
  </si>
  <si>
    <t>11.01.010</t>
  </si>
  <si>
    <t>IMPERMEAB C/ ARGAM POLIMERICA SEMIFLEXIVEL P/ CORTINAS E POCOS DE ELEV COM APLICAÇAO 4 DEMAOS</t>
  </si>
  <si>
    <t>11.01.099</t>
  </si>
  <si>
    <t>11.02.022</t>
  </si>
  <si>
    <t>11.02.023</t>
  </si>
  <si>
    <t>11.02.024</t>
  </si>
  <si>
    <t>11.02.025</t>
  </si>
  <si>
    <t>11.02.027</t>
  </si>
  <si>
    <t>11.02.035</t>
  </si>
  <si>
    <t>11.02.040</t>
  </si>
  <si>
    <t>IMPERMEABIL.EMULSAO ASFALTICA ELASTOMERICA MONOCOMPONENTE. APLICAÇAO 4 DEMÃOS INCLUS.TELA ESTRUTURANTE</t>
  </si>
  <si>
    <t>11.02.050</t>
  </si>
  <si>
    <t>11.02.054</t>
  </si>
  <si>
    <t>11.02.055</t>
  </si>
  <si>
    <t>11.02.062</t>
  </si>
  <si>
    <t>ARGAMASSA PARA PROTEÇAO MECANICA SOBRE SUPERFICIE IMPERMEABILIZADA TRAÇO 1:4  ESPESSURA 3CM</t>
  </si>
  <si>
    <t>11.02.099</t>
  </si>
  <si>
    <t>11.03.001</t>
  </si>
  <si>
    <t>11.03.002</t>
  </si>
  <si>
    <t>11.03.004</t>
  </si>
  <si>
    <t>11.03.006</t>
  </si>
  <si>
    <t>IMPERMEABILIZAÇAO RESERV.ELEV COM ARGAMASSA POLIMERICA APLICAÇAO 2 DEMÃOS SEMIFLEXIVEL + 4 DEMÃOS FLEXIVEL INCLUS.TELA ESTRUTURANTE</t>
  </si>
  <si>
    <t>IMPERMEABIL RESERV.ENTERRADO COM ARGAMASSA POLIMERICA SEMIFLEXIVEL COM APLICAÇÃO 4 DEMÃOS</t>
  </si>
  <si>
    <t>11.03.099</t>
  </si>
  <si>
    <t>11.04.002</t>
  </si>
  <si>
    <t>11.04.003</t>
  </si>
  <si>
    <t>11.04.010</t>
  </si>
  <si>
    <t>11.04.012</t>
  </si>
  <si>
    <t>11.04.021</t>
  </si>
  <si>
    <t>11.04.022</t>
  </si>
  <si>
    <t>11.04.030</t>
  </si>
  <si>
    <t>CANTONEIRA DE ABAS IGUAIS 1"x1/8" ALUMINIO</t>
  </si>
  <si>
    <t>11.04.041</t>
  </si>
  <si>
    <t>11.04.099</t>
  </si>
  <si>
    <t>11.50.001</t>
  </si>
  <si>
    <t>DEMOLIÇÃO DE IMPERMEABILIZACOES COM MULTIMEMBRANAS ASFALT - ELEM SINT</t>
  </si>
  <si>
    <t>11.50.002</t>
  </si>
  <si>
    <t>DEMOLIÇÃO DE ARGAMASSA COM IMPERMEABILIZANTE</t>
  </si>
  <si>
    <t>11.50.003</t>
  </si>
  <si>
    <t>DEMOLIÇÃO DE ISOLAMENTO TÉRMICO COM CONCRETO CELULAR</t>
  </si>
  <si>
    <t>11.50.004</t>
  </si>
  <si>
    <t>DEMOLIÇÃO DE ISOLAMENTO TÉRMICO DE MANTA DE LA DE VIDRO</t>
  </si>
  <si>
    <t>11.50.005</t>
  </si>
  <si>
    <t>DEMOLIÇÃO PROTECAO TERMOMECANICA COM CONCRETO CELULAR</t>
  </si>
  <si>
    <t>11.50.050</t>
  </si>
  <si>
    <t>DEMOLIÇÃO DE JUNTAS DE DILATACAO METALICAS</t>
  </si>
  <si>
    <t>11.50.099</t>
  </si>
  <si>
    <t>11.60.001</t>
  </si>
  <si>
    <t>RETIRADA DE ISOLAMENTO TÉRMICO COM CONCRETO CELULAR OU TIJOLOS CERÂMICOS</t>
  </si>
  <si>
    <t>11.60.002</t>
  </si>
  <si>
    <t>RETIRADA DE ISOLAMENTO TERMICO COM DOLOMITA/SEIXOS ROLADOS/ARGILA EXPANDIDA</t>
  </si>
  <si>
    <t>11.60.099</t>
  </si>
  <si>
    <t>11.70.015</t>
  </si>
  <si>
    <t>RECOLOCAÇÃO DE ISOLAMENTO TÉRMICO EM BRITA E SEIXO ROLADO.</t>
  </si>
  <si>
    <t>11.70.099</t>
  </si>
  <si>
    <t>11.80.099</t>
  </si>
  <si>
    <t>SERVICOS DE IMPERMEABILIZACAO/JUNTAS DE DILATACAO - CONSERVACAO</t>
  </si>
  <si>
    <t>12.01.099</t>
  </si>
  <si>
    <t>12.02.003</t>
  </si>
  <si>
    <t>12.02.007</t>
  </si>
  <si>
    <t>12.02.010</t>
  </si>
  <si>
    <t>12.02.011</t>
  </si>
  <si>
    <t>12.02.012</t>
  </si>
  <si>
    <t>12.02.013</t>
  </si>
  <si>
    <t>12.02.014</t>
  </si>
  <si>
    <t>12.02.029</t>
  </si>
  <si>
    <t>REVESTIMENTO COM AZULEJOS  RETIFICADOS LISOS BRANCO BRILHANTE</t>
  </si>
  <si>
    <t>12.02.044</t>
  </si>
  <si>
    <t>PERFIL CANTONEIRA EM ALUMINIO PARA REBOCO</t>
  </si>
  <si>
    <t>12.02.050</t>
  </si>
  <si>
    <t>12.02.051</t>
  </si>
  <si>
    <t>12.02.072</t>
  </si>
  <si>
    <t>GUARNIÇÃO APARELHADA 5 X 1 CM G1-C4 P/ACABAM JUNTAS DILATACAO</t>
  </si>
  <si>
    <t>12.02.099</t>
  </si>
  <si>
    <t>12.04.005</t>
  </si>
  <si>
    <t>12.04.007</t>
  </si>
  <si>
    <t>12.04.008</t>
  </si>
  <si>
    <t>12.04.013</t>
  </si>
  <si>
    <t>12.04.014</t>
  </si>
  <si>
    <t>12.04.018</t>
  </si>
  <si>
    <t>12.04.019</t>
  </si>
  <si>
    <t>12.04.020</t>
  </si>
  <si>
    <t>12.04.021</t>
  </si>
  <si>
    <t>12.04.022</t>
  </si>
  <si>
    <t>12.04.023</t>
  </si>
  <si>
    <t>12.04.024</t>
  </si>
  <si>
    <t>12.04.040</t>
  </si>
  <si>
    <t>12.04.048</t>
  </si>
  <si>
    <t>12.04.049</t>
  </si>
  <si>
    <t>12.04.050</t>
  </si>
  <si>
    <t>12.04.099</t>
  </si>
  <si>
    <t>12.50.001</t>
  </si>
  <si>
    <t>DEMOLIÇÃO DE REVESTIMENTO EM ARGAMASSA/GESSO EM FORRO E PAREDES</t>
  </si>
  <si>
    <t>12.50.002</t>
  </si>
  <si>
    <t>DEMOLIÇÃO DE REVEST DE AZULEJOS, PASTILHAS E LADRILHOS INCL ARG ASSENTAMENTO</t>
  </si>
  <si>
    <t>12.50.003</t>
  </si>
  <si>
    <t>DEMOLIÇÃO SOMENTE DE AZULEJO</t>
  </si>
  <si>
    <t>12.50.099</t>
  </si>
  <si>
    <t>12.60.001</t>
  </si>
  <si>
    <t>RETIRADA DE MÁRMORE PEDRAS OU GRANITOS INCL DEMOLICÃO ARGAMASSA ASSENTAMENTO</t>
  </si>
  <si>
    <t>12.60.099</t>
  </si>
  <si>
    <t>12.70.001</t>
  </si>
  <si>
    <t>RECOLOCAÇÃO DE MÁRMORE, PEDRAS E GRANITOS</t>
  </si>
  <si>
    <t>12.70.099</t>
  </si>
  <si>
    <t>12.80.003</t>
  </si>
  <si>
    <t>CHAPISCO RUSTICO COM PEDRISCO</t>
  </si>
  <si>
    <t>12.80.030</t>
  </si>
  <si>
    <t>12.80.050</t>
  </si>
  <si>
    <t>12.80.051</t>
  </si>
  <si>
    <t>12.80.099</t>
  </si>
  <si>
    <t>SERVICOS EM REVESTIMENTOS DE FORRO E PAREDE - CONSERVACAO</t>
  </si>
  <si>
    <t>13.01.010</t>
  </si>
  <si>
    <t>ENCHIMENTO DE REBAIXO DE LAJE COM TIJOLOS CERAMICOS FURADOS</t>
  </si>
  <si>
    <t>13.01.011</t>
  </si>
  <si>
    <t>ENCHIMENTO DE REBAIXO DE LAJE COM CACOS DE CONCRETO CELULAR</t>
  </si>
  <si>
    <t>13.01.018</t>
  </si>
  <si>
    <t>13.01.099</t>
  </si>
  <si>
    <t>13.02.004</t>
  </si>
  <si>
    <t>13.02.006</t>
  </si>
  <si>
    <t>PISO DE CONCRETO Fck 25MPa DESEMPENAMENTO MECÂNICO E=8CM</t>
  </si>
  <si>
    <t>13.02.007</t>
  </si>
  <si>
    <t>13.02.009</t>
  </si>
  <si>
    <t>13.02.010</t>
  </si>
  <si>
    <t>13.02.011</t>
  </si>
  <si>
    <t>13.02.012</t>
  </si>
  <si>
    <t>13.02.013</t>
  </si>
  <si>
    <t>13.02.014</t>
  </si>
  <si>
    <t>13.02.015</t>
  </si>
  <si>
    <t>13.02.017</t>
  </si>
  <si>
    <t>13.02.019</t>
  </si>
  <si>
    <t>13.02.020</t>
  </si>
  <si>
    <t>13.02.024</t>
  </si>
  <si>
    <t>13.02.031</t>
  </si>
  <si>
    <t>13.02.032</t>
  </si>
  <si>
    <t>FAIXA ANTIDERRAPANTE A BASE DE RESINA EPÓXICA E AREIA QUARTZOSA L=4CM</t>
  </si>
  <si>
    <t>13.02.033</t>
  </si>
  <si>
    <t>13.02.034</t>
  </si>
  <si>
    <t>GRANILITE CINZA / CIMENTO COMUM 8MM C/ POLIMENTO</t>
  </si>
  <si>
    <t>13.02.038</t>
  </si>
  <si>
    <t>13.02.040</t>
  </si>
  <si>
    <t>13.02.041</t>
  </si>
  <si>
    <t>13.02.042</t>
  </si>
  <si>
    <t>13.02.047</t>
  </si>
  <si>
    <t>SOALHO DE TABUAS DE 10X2CM MACHO-FEMEA G1-C6 SOBRE LASTRO/LAJE</t>
  </si>
  <si>
    <t>13.02.048</t>
  </si>
  <si>
    <t>SOALHO DE TABUAS DE 20X2CM MACHO-FEMEA G1-C6 SOBRE LASTRO/LAJE</t>
  </si>
  <si>
    <t>13.02.049</t>
  </si>
  <si>
    <t>13.02.050</t>
  </si>
  <si>
    <t>13.02.052</t>
  </si>
  <si>
    <t>13.02.053</t>
  </si>
  <si>
    <t>13.02.055</t>
  </si>
  <si>
    <t>BORRACHA ASSENTADA C/ ARGAMASSA  - PISO TATIL DE ALERTA</t>
  </si>
  <si>
    <t>13.02.058</t>
  </si>
  <si>
    <t>SINALIZAÇÃO VISUAL DE DEGRAUS-PINTURA ESMALTE EPOXI</t>
  </si>
  <si>
    <t>SINALIZAÇÃO VISUAL DE DEGRAUS FITA ADESIVA COR AMARELA 25x200MM (2 FAIXAS)</t>
  </si>
  <si>
    <t>13.02.061</t>
  </si>
  <si>
    <t>PISO DE BORRACHA SINT PASTILHADA COR PRETA ESP 7MM FIXAVEL C/ARGAMASSA</t>
  </si>
  <si>
    <t>13.02.064</t>
  </si>
  <si>
    <t>PORCELANATO TECNICO</t>
  </si>
  <si>
    <t>13.02.066</t>
  </si>
  <si>
    <t>PISO DE CONCRETO/LAJE ALVEOLAR (TIPO LAJE ZERO)</t>
  </si>
  <si>
    <t>13.02.067</t>
  </si>
  <si>
    <t>13.02.068</t>
  </si>
  <si>
    <t>PISO DE CONCRETO SOBRE LAJE IMPERMEABILIZADA OU SOBRE PROTECAO ACUSTICA</t>
  </si>
  <si>
    <t>PORCELANATO ESMALTADO</t>
  </si>
  <si>
    <t>13.02.075</t>
  </si>
  <si>
    <t>13.02.076</t>
  </si>
  <si>
    <t>PORCELANATO TÉCNICO 25X25 CM ESPESSURA 10 A 15MM - PISO TATIL DE ALERTA</t>
  </si>
  <si>
    <t>13.02.077</t>
  </si>
  <si>
    <t>13.02.078</t>
  </si>
  <si>
    <t>PISO VINIILICO EM MANTA LARG.DE 2,00M  H=2MM INCLUSO RODAPÉ CURVO 10CM FORNEC E INSTAL.- USO EXCLUSIVO SALA DE INOVAÇÃO</t>
  </si>
  <si>
    <t>13.02.080</t>
  </si>
  <si>
    <t>PISO VINIÍLICO EM MANTA COM TRATAMENTO SUPERFÍCIE COM PUR  LARG.DE 2,00M E=2MM  INCLUSO RODAPÉ CURVO H= 5CM  FORNEC E INSTALADO.</t>
  </si>
  <si>
    <t>13.02.085</t>
  </si>
  <si>
    <t>PORCELANATO TÉCNICO 25X25 CM ESPESSURA 10 A 15MM - PISO TATIL DIRECIONA</t>
  </si>
  <si>
    <t>13.02.087</t>
  </si>
  <si>
    <t>TACO MADEIRA G1-C6 APLICADO COM COLA</t>
  </si>
  <si>
    <t>13.02.092</t>
  </si>
  <si>
    <t>13.02.093</t>
  </si>
  <si>
    <t>13.02.099</t>
  </si>
  <si>
    <t>13.02.100</t>
  </si>
  <si>
    <t>CERAMICA ESMALT.ANTIDER. ABSORÇÃO DE AGUA 3% A 8% PEI 4/5 COEF.ATRITO MINIMO 0,4 USO EXCLUSIVO PADRAO CRECHE</t>
  </si>
  <si>
    <t>13.02.102</t>
  </si>
  <si>
    <t>FAIXA ( FITA ADESIVA ) SEGURANÇA ANTIDERRAPANTE  L=50MM COR PRETA</t>
  </si>
  <si>
    <t>13.03.042</t>
  </si>
  <si>
    <t>13.03.099</t>
  </si>
  <si>
    <t>13.04.004</t>
  </si>
  <si>
    <t>13.04.026</t>
  </si>
  <si>
    <t>13.04.027</t>
  </si>
  <si>
    <t>13.04.040</t>
  </si>
  <si>
    <t>13.04.050</t>
  </si>
  <si>
    <t>13.04.099</t>
  </si>
  <si>
    <t>13.05.001</t>
  </si>
  <si>
    <t>13.05.003</t>
  </si>
  <si>
    <t>13.05.004</t>
  </si>
  <si>
    <t>RODAPÉ DE ARGAMASSA CIMENTO E AREIA 1:3 ESPESSURA 1,5CM X ALTURA DE 7CM</t>
  </si>
  <si>
    <t>13.05.009</t>
  </si>
  <si>
    <t>RODAPE DE MADEIRA DE 7X1,5CM G1-C4</t>
  </si>
  <si>
    <t>13.05.014</t>
  </si>
  <si>
    <t>13.05.020</t>
  </si>
  <si>
    <t>RODAPE PORCELANATO ESMALTADO 7CM</t>
  </si>
  <si>
    <t>13.05.023</t>
  </si>
  <si>
    <t>RODAPE  PORCELANATO TECNICO 7CM</t>
  </si>
  <si>
    <t>13.05.024</t>
  </si>
  <si>
    <t>13.05.025</t>
  </si>
  <si>
    <t>13.05.026</t>
  </si>
  <si>
    <t>RODAPÉ DE GRANILITE SIMPLES ALTURA 7CM</t>
  </si>
  <si>
    <t>13.05.028</t>
  </si>
  <si>
    <t>13.05.030</t>
  </si>
  <si>
    <t>13.05.031</t>
  </si>
  <si>
    <t>13.05.068</t>
  </si>
  <si>
    <t>13.05.069</t>
  </si>
  <si>
    <t>13.05.074</t>
  </si>
  <si>
    <t>13.05.075</t>
  </si>
  <si>
    <t>13.05.099</t>
  </si>
  <si>
    <t>13.05.100</t>
  </si>
  <si>
    <t>RODAPE CERAMICA ANTIDERRAPANTE ALTURA 7CM (MONOQUEIMA) USO EXCLUSIVO PADRAO CRECHE</t>
  </si>
  <si>
    <t>13.06.005</t>
  </si>
  <si>
    <t>13.06.074</t>
  </si>
  <si>
    <t>SO-14 SOLEIRA RAMPADA DESNIVEL ATE 2CM (CIMENTADO / ALVENARIA 15,5CM)</t>
  </si>
  <si>
    <t>SO-15 SOLEIRA RAMPADA DESNIVEL ATE 2CM (CIMENTADO / ALVENARIA 22CM)</t>
  </si>
  <si>
    <t>13.06.076</t>
  </si>
  <si>
    <t>SO-16 SOLEIRA RAMPADA DESNIVEL ATE 2CM (GRANILITE / ALVENARIA 15,5CM)</t>
  </si>
  <si>
    <t>13.06.077</t>
  </si>
  <si>
    <t>SO-17 SOLEIRA RAMPADA DESNIVEL ATE 2CM (GRANILITE / ALVENARIA 22CM)</t>
  </si>
  <si>
    <t>13.06.082</t>
  </si>
  <si>
    <t>SO-22 SOLEIRA DE GRANITO EM NIVEL 1 PEÇA (L= 14 A 17CM)</t>
  </si>
  <si>
    <t>SO-23 SOLEIRA DE GRANITO EM NIVEL 1 PEÇA (L=19 A 22CM)</t>
  </si>
  <si>
    <t>13.06.084</t>
  </si>
  <si>
    <t>SO-24 - SOLEIRA DE GRANITO RAMPADA DESNIVEL ATE 2CM 2 PEÇAS (L=14 A 17CM)</t>
  </si>
  <si>
    <t>13.06.085</t>
  </si>
  <si>
    <t>SO-25 SOLEIRA DE GRANITO RAMPADA DESNIVEL ATE 2CM 2 PEÇAS (L=19 A 22CM)</t>
  </si>
  <si>
    <t>13.06.086</t>
  </si>
  <si>
    <t>SO-26 SOLEIRA DE GRANITO RAMPADA DESNIVEL ATE 2CM 3 PEÇAS (L=14 A 17CM)</t>
  </si>
  <si>
    <t>13.06.087</t>
  </si>
  <si>
    <t>SO-27 SOLEIRA DE GRANITO RAMPADA DESNIVEL ATE 2CM 3 PEÇAS (L=19 A 22CM)</t>
  </si>
  <si>
    <t>13.06.099</t>
  </si>
  <si>
    <t>13.07.099</t>
  </si>
  <si>
    <t>13.50.001</t>
  </si>
  <si>
    <t>13.50.002</t>
  </si>
  <si>
    <t>DEMOLIÇAO PISO GRANILITE, LADRILHO HIDRAULICO, CERAMICO, CACOS, INCLUSIV BASE</t>
  </si>
  <si>
    <t>13.50.003</t>
  </si>
  <si>
    <t>13.50.004</t>
  </si>
  <si>
    <t>13.50.006</t>
  </si>
  <si>
    <t>DEMOLIÇÃO DE SOALHO SOMENTE TÁBUAS</t>
  </si>
  <si>
    <t>13.50.010</t>
  </si>
  <si>
    <t>DEMOLIÇÃO DE PISOS VINÍLICOS E DE BORRACHA INCL ARG ASSENT E REGULARIZACÃO</t>
  </si>
  <si>
    <t>13.50.015</t>
  </si>
  <si>
    <t>DEMOLIÇAO REVEST DE DEGRAUS DE ARG/GRANILITE/CACOS/LADRILHOS, INCL ARG ASSENT.</t>
  </si>
  <si>
    <t>13.50.016</t>
  </si>
  <si>
    <t>13.50.017</t>
  </si>
  <si>
    <t>13.50.018</t>
  </si>
  <si>
    <t>13.50.019</t>
  </si>
  <si>
    <t>13.50.099</t>
  </si>
  <si>
    <t>13.60.001</t>
  </si>
  <si>
    <t>RETIRADA DE PISO VINILICO E BORRACHA</t>
  </si>
  <si>
    <t>13.60.002</t>
  </si>
  <si>
    <t>RETIRADA DE PISO DE BORRACHA ARGAMASSADO</t>
  </si>
  <si>
    <t>13.60.003</t>
  </si>
  <si>
    <t>RETIRADA DE PISO DE CERÂMICA OU LADRILHOS HIDRÁULICOS</t>
  </si>
  <si>
    <t>13.60.004</t>
  </si>
  <si>
    <t>RETIRADA DE PISO DE TACOS DE MADEIRA</t>
  </si>
  <si>
    <t>13.60.005</t>
  </si>
  <si>
    <t>RETIRADA DE SOALHO INCLUSIVE VIGAMENTO</t>
  </si>
  <si>
    <t>13.60.006</t>
  </si>
  <si>
    <t>RETIRADA DE SOALHO SOMENTE TÁBUAS</t>
  </si>
  <si>
    <t>13.60.007</t>
  </si>
  <si>
    <t>RETIRADA DE PISO DE PEDRA</t>
  </si>
  <si>
    <t>13.60.008</t>
  </si>
  <si>
    <t>RETIRADA DE PISO DE GRANITO OU MÁRMORE</t>
  </si>
  <si>
    <t>13.60.009</t>
  </si>
  <si>
    <t>RETIRADA DE DEGRAUS E ESPELHOS EM PEDRA</t>
  </si>
  <si>
    <t>13.60.010</t>
  </si>
  <si>
    <t>RETIRADA DE DEGRAUS E ESP DE GRANITO OU MÁRMORE</t>
  </si>
  <si>
    <t>13.60.011</t>
  </si>
  <si>
    <t>RETIRADA DE RODAPÉS DE CERAM LADR-HIDR GRANITO OU MÁRMORE</t>
  </si>
  <si>
    <t>13.60.012</t>
  </si>
  <si>
    <t>RETIRADA DE RODAPES DE MADEIRA INCLUSIVE CORDÃO</t>
  </si>
  <si>
    <t>13.60.013</t>
  </si>
  <si>
    <t>RETIRADA DE SOLEIRAS EM GERAL</t>
  </si>
  <si>
    <t>13.60.014</t>
  </si>
  <si>
    <t>RETIRADA DE PEITORIS EM GERAL</t>
  </si>
  <si>
    <t>13.60.015</t>
  </si>
  <si>
    <t>RETIRADA DE GUARDA-CORPOS EM GERAL</t>
  </si>
  <si>
    <t>13.60.099</t>
  </si>
  <si>
    <t>13.70.001</t>
  </si>
  <si>
    <t>RECOLOCAÇÃO DE PISO VINÍLICO E BORRACHA</t>
  </si>
  <si>
    <t>13.70.002</t>
  </si>
  <si>
    <t>RECOLOCAÇÃO DE PISO DE BORRACHA ARGAMASSADO</t>
  </si>
  <si>
    <t>13.70.005</t>
  </si>
  <si>
    <t>RECOLOCAÇÃO E REPREGAMENTO DE SOALHO</t>
  </si>
  <si>
    <t>13.70.050</t>
  </si>
  <si>
    <t>RECOLOCAÇÃO DE RODAPÉS E CORDÕES DE MADEIRA</t>
  </si>
  <si>
    <t>13.70.099</t>
  </si>
  <si>
    <t>13.80.002</t>
  </si>
  <si>
    <t>13.80.003</t>
  </si>
  <si>
    <t>LASTRO DE BRITA GRADUADA COMPACTAÇÃO MECÂNICA E=8CM</t>
  </si>
  <si>
    <t>13.80.005</t>
  </si>
  <si>
    <t>13.80.006</t>
  </si>
  <si>
    <t>13.80.007</t>
  </si>
  <si>
    <t>PISO DE CONCRETO FCK=25MPA E=5CM</t>
  </si>
  <si>
    <t>13.80.012</t>
  </si>
  <si>
    <t>SOALHO DE TABUA 20X2CM  MACHO-FEMEA G1-C6   (SOMENTE TABUAS)</t>
  </si>
  <si>
    <t>13.80.013</t>
  </si>
  <si>
    <t>ISOLAMENTO COM LONA PRETA</t>
  </si>
  <si>
    <t>13.80.014</t>
  </si>
  <si>
    <t>13.80.015</t>
  </si>
  <si>
    <t>13.80.016</t>
  </si>
  <si>
    <t>13.80.018</t>
  </si>
  <si>
    <t>REPARO COMPLETO EM GRANILITE-RASPAGEM/ESTUCAMENTO/POLIMENTO</t>
  </si>
  <si>
    <t>13.80.021</t>
  </si>
  <si>
    <t>13.80.022</t>
  </si>
  <si>
    <t>13.80.023</t>
  </si>
  <si>
    <t>SOALHO DE TABUA 10X2,0CM  MACHO-FEMEA G1-C6  SOBRE VIGAMENTO 6X16CM</t>
  </si>
  <si>
    <t>13.80.024</t>
  </si>
  <si>
    <t>SOALHO DE TABUA 20X2CM MACHO-FEMEA G1-C6    SOBRE VIGAMENTO 6X16CM</t>
  </si>
  <si>
    <t>13.80.025</t>
  </si>
  <si>
    <t>13.80.026</t>
  </si>
  <si>
    <t>SOALHO DE TABUA 20X2CM MACHO-FEMEA G1-C6    SOBRE VIGAMENTO 6X12CM</t>
  </si>
  <si>
    <t>13.80.027</t>
  </si>
  <si>
    <t>SOALHO DE TABUA 10X2,0CM  MACHO-FEMEA G1-C6  SOBRE VIGAMENTO 6X12CM</t>
  </si>
  <si>
    <t>13.80.028</t>
  </si>
  <si>
    <t>SOALHO DE TABUA 10X2,0CM  MACHO-FEMEA GI-C6  (SOMENTE TABUAS)</t>
  </si>
  <si>
    <t>13.80.032</t>
  </si>
  <si>
    <t>TELA Q-92 PARA PISO DE CONCRETO</t>
  </si>
  <si>
    <t>13.80.033</t>
  </si>
  <si>
    <t>TELA Q-138 E ESPAÇADOR TRELIÇADO P/PISO DE CONCRETO</t>
  </si>
  <si>
    <t>13.80.034</t>
  </si>
  <si>
    <t>PISO DE CONCRETO FCK=25MPA E=8CM DESEMPENAMENTO MECÂNICO</t>
  </si>
  <si>
    <t>13.80.035</t>
  </si>
  <si>
    <t>PISO DE CONCRETO COM FIBRA FCK=25MPA E=8CM DESEMPENAMENTO MECÂNICO</t>
  </si>
  <si>
    <t>13.80.050</t>
  </si>
  <si>
    <t>13.80.051</t>
  </si>
  <si>
    <t>13.80.055</t>
  </si>
  <si>
    <t>CORDAO MEIA CANA 1,5x1,5CM G1-C4</t>
  </si>
  <si>
    <t>13.80.056</t>
  </si>
  <si>
    <t>RODAPE DE MADEIRA DE 7X1,5CM G1-C4 COM CORDAO</t>
  </si>
  <si>
    <t>13.80.057</t>
  </si>
  <si>
    <t>REPARO RODAPÉ EM GRANILITE RASPAGEM/ESTUCAMENTO/POLIMENTO</t>
  </si>
  <si>
    <t>13.80.060</t>
  </si>
  <si>
    <t>13.80.061</t>
  </si>
  <si>
    <t>13.80.062</t>
  </si>
  <si>
    <t>13.80.065</t>
  </si>
  <si>
    <t>13.80.066</t>
  </si>
  <si>
    <t>13.80.075</t>
  </si>
  <si>
    <t>ENCHIMENTO DE PISO COM ARGILA EXPANDIDA</t>
  </si>
  <si>
    <t>13.80.099</t>
  </si>
  <si>
    <t>SERVICOS EM PISOS - CONSERVACAO</t>
  </si>
  <si>
    <t>14.01.004</t>
  </si>
  <si>
    <t>14.01.006</t>
  </si>
  <si>
    <t>14.01.008</t>
  </si>
  <si>
    <t>14.01.032</t>
  </si>
  <si>
    <t>14.01.040</t>
  </si>
  <si>
    <t>14.01.060</t>
  </si>
  <si>
    <t>14.01.062</t>
  </si>
  <si>
    <t>VIDRO LISO INCOLOR LAMINADO 6MM (3+3MM) COM FILME PVB INCLUSIVE GUARNIÇAO NEOPRENE   USO EXCLUSIVO PADRAO CRECHE</t>
  </si>
  <si>
    <t>14.01.063</t>
  </si>
  <si>
    <t>VIDRO  LISO INCOLOR 6MM  INCLUSIVE GUARNIÇAO NEOPRENE USO EXCLUSIVO PADRAO CRECHE</t>
  </si>
  <si>
    <t>14.01.099</t>
  </si>
  <si>
    <t>14.02.099</t>
  </si>
  <si>
    <t>14.60.001</t>
  </si>
  <si>
    <t>RETIRADA DE VIDRO INCLUSIVE RASPAGEM DE MASSA OU RETIRADA DE BAGUETES</t>
  </si>
  <si>
    <t>14.60.099</t>
  </si>
  <si>
    <t>14.70.001</t>
  </si>
  <si>
    <t>RECOLOCAÇÃO DE VIDRO INCLUSIVE EMASSAMENTO OU RECOLOCACAO DE BAGUETES</t>
  </si>
  <si>
    <t>14.70.099</t>
  </si>
  <si>
    <t>14.80.001</t>
  </si>
  <si>
    <t>ESPELHO DE CRISTAL 6MM LAPIDADO INCLUSIVE FIXAÇÃO COM COLA ADESIVA.</t>
  </si>
  <si>
    <t>14.80.099</t>
  </si>
  <si>
    <t>SERVICOS EM VIDROS  - CONSERVACAO</t>
  </si>
  <si>
    <t>15.01.001</t>
  </si>
  <si>
    <t>15.01.002</t>
  </si>
  <si>
    <t>15.01.003</t>
  </si>
  <si>
    <t>15.01.005</t>
  </si>
  <si>
    <t>15.01.006</t>
  </si>
  <si>
    <t>ESMALTE A BASE DE ÁGUA EM ESTRUTURA METÁLICA</t>
  </si>
  <si>
    <t>15.01.010</t>
  </si>
  <si>
    <t>15.01.012</t>
  </si>
  <si>
    <t>15.01.013</t>
  </si>
  <si>
    <t>ESMALTE A BASE DE ÁGUA SEM APARELHAMENTO E EMASSAMENTO PRÉVIOS EM ESTRUTURA DE MADEIRA</t>
  </si>
  <si>
    <t>15.01.014</t>
  </si>
  <si>
    <t>APLICAÇAO DE IMUNIZANTE CUPINICIDA EM MADEIRA.</t>
  </si>
  <si>
    <t>15.01.015</t>
  </si>
  <si>
    <t>15.01.029</t>
  </si>
  <si>
    <t>SERVIÇO GALVANIZACAO A FOGO - ESTRUTURAS</t>
  </si>
  <si>
    <t>15.01.032</t>
  </si>
  <si>
    <t>15.01.035</t>
  </si>
  <si>
    <t>15.01.099</t>
  </si>
  <si>
    <t>15.02.003</t>
  </si>
  <si>
    <t>MASSA NIVELADORA PARA INTERIOR</t>
  </si>
  <si>
    <t>TINTA LATEX ECONOMICA</t>
  </si>
  <si>
    <t>15.02.006</t>
  </si>
  <si>
    <t>LATEX COM MASSA NIVELADORA PARA INTERIOR</t>
  </si>
  <si>
    <t>15.02.010</t>
  </si>
  <si>
    <t>TINTA LATEX ECONOMICA EM ELEMENTO VAZADO</t>
  </si>
  <si>
    <t>15.02.014</t>
  </si>
  <si>
    <t>OLEO COM MASSA NIVELADORA</t>
  </si>
  <si>
    <t>15.02.015</t>
  </si>
  <si>
    <t>15.02.018</t>
  </si>
  <si>
    <t>ESMALTE A BASE DE AGUA</t>
  </si>
  <si>
    <t>15.02.020</t>
  </si>
  <si>
    <t>MASSA NIVELADORA PARA INTERIOR (AREAS MOLHADAS)</t>
  </si>
  <si>
    <t>15.02.025</t>
  </si>
  <si>
    <t>TINTA LATEX STANDARD</t>
  </si>
  <si>
    <t>15.02.026</t>
  </si>
  <si>
    <t>TINTA LATEX STANDARD COM MASSA NIVELADORA</t>
  </si>
  <si>
    <t>15.02.040</t>
  </si>
  <si>
    <t>VERNIZ RETARDANTE DE CHAMA APLICADO EM SUPERFICIE DE MADEIRA ACABAMENTO TRANSPARENTE COM DUAS DEMÃOS</t>
  </si>
  <si>
    <t>15.02.041</t>
  </si>
  <si>
    <t>VERNIZ SELANTE RESISTENTE À ABRASÃO APLICADO SOBRE VERNIZ RETARDANTE EM SUPERFICIE DE MADEIRA ACABAMENTO TRANSPARENTE COM DUAS DEMÃOS</t>
  </si>
  <si>
    <t>15.02.050</t>
  </si>
  <si>
    <t>15.02.052</t>
  </si>
  <si>
    <t>15.02.053</t>
  </si>
  <si>
    <t>ESMALTE A BASE DE AGUA EM FORRO DE MADEIRA</t>
  </si>
  <si>
    <t>15.02.055</t>
  </si>
  <si>
    <t>15.02.061</t>
  </si>
  <si>
    <t>TINTA LATEX STANDARD EM SUPERFICIE DE GESSO</t>
  </si>
  <si>
    <t>15.02.062</t>
  </si>
  <si>
    <t>TINTA LATEX ECONOMICA EM SUPERFICIE DE GESSO</t>
  </si>
  <si>
    <t>15.02.080</t>
  </si>
  <si>
    <t>TINTA LATEX PARA PISO</t>
  </si>
  <si>
    <t>15.02.099</t>
  </si>
  <si>
    <t>15.03.002</t>
  </si>
  <si>
    <t>MASSA NIVELADORA A BASE DE AGUA EM ESQUADRIAS DE MADEIRA</t>
  </si>
  <si>
    <t>15.03.003</t>
  </si>
  <si>
    <t>ÓLEO SEM MASSA NIVELADORA EM ESQUADRIAS DE MADEIRA</t>
  </si>
  <si>
    <t>15.03.005</t>
  </si>
  <si>
    <t>15.03.006</t>
  </si>
  <si>
    <t>ESMALTE SEM MASSA NIVELADORA EM ESQUADRIAS DE MADEIRA</t>
  </si>
  <si>
    <t>15.03.008</t>
  </si>
  <si>
    <t>OLEO COM MASSA NIVELADORA EM ESQUADRIAS DE MADEIRA</t>
  </si>
  <si>
    <t>15.03.009</t>
  </si>
  <si>
    <t>15.03.010</t>
  </si>
  <si>
    <t>ESMALTE COM MASSA NIVELADORA EM ESQUADRIAS DE MADEIRA</t>
  </si>
  <si>
    <t>15.03.012</t>
  </si>
  <si>
    <t>15.03.020</t>
  </si>
  <si>
    <t>15.03.022</t>
  </si>
  <si>
    <t>15.03.024</t>
  </si>
  <si>
    <t>15.03.025</t>
  </si>
  <si>
    <t>ESMALTE A BASE DE AGUA SEM MASSA NIVELADORA EM ESQUADRIAS DE MADEIRA</t>
  </si>
  <si>
    <t>15.03.026</t>
  </si>
  <si>
    <t>ESMALTE A BASE DE AGUA COM MASSA NIVELADORA EM ESQUADRIAS DE MADEIRA</t>
  </si>
  <si>
    <t>15.03.027</t>
  </si>
  <si>
    <t>ESMALTE A BASE DE AGUA EM CERCAS, PORTÕES E GRADIS</t>
  </si>
  <si>
    <t>15.03.028</t>
  </si>
  <si>
    <t>ESMALTE A BASE DE AGUA EM ESQUADRIAS DE FERRO</t>
  </si>
  <si>
    <t>15.03.029</t>
  </si>
  <si>
    <t>SERVIÇO GALVANIZACAO A FOGO -  ESQUADRIAS.</t>
  </si>
  <si>
    <t>15.03.032</t>
  </si>
  <si>
    <t>15.03.035</t>
  </si>
  <si>
    <t>15.03.040</t>
  </si>
  <si>
    <t>15.03.041</t>
  </si>
  <si>
    <t>15.03.042</t>
  </si>
  <si>
    <t>ESMALTE A BASE DE AGUA EM RODAPES BAGUETES E MOLDURAS DE MADEIRA</t>
  </si>
  <si>
    <t>15.03.050</t>
  </si>
  <si>
    <t>15.03.061</t>
  </si>
  <si>
    <t>15.03.062</t>
  </si>
  <si>
    <t>15.03.063</t>
  </si>
  <si>
    <t>15.03.064</t>
  </si>
  <si>
    <t>FACE EXTERNA DE CALHAS/CONDUTORES COM ESMALTE A BASE DE AGUA</t>
  </si>
  <si>
    <t>15.03.068</t>
  </si>
  <si>
    <t>PINTURA DUAS DEMÃOS ESMALTE FACE APARENTE DE TUBULAÇÃO Ø 3/4"</t>
  </si>
  <si>
    <t>15.03.069</t>
  </si>
  <si>
    <t>PINTURA DUAS DEMÃOS ESMALTE FACE APARENTE DE TUBULAÇÃO Ø1"</t>
  </si>
  <si>
    <t>15.03.072</t>
  </si>
  <si>
    <t>PINTURA DUAS DEMÃOS ESMALTE FACE APARENTE DE TUBULAÇÃO Ø1 1/4"</t>
  </si>
  <si>
    <t>15.03.073</t>
  </si>
  <si>
    <t>PINTURA DUAS DEMÃOS ESMALTE FACE APARENTE DE TUBULAÇÃO Ø1 1/2"</t>
  </si>
  <si>
    <t>15.03.074</t>
  </si>
  <si>
    <t>PINTURA DUAS DEMÃOS ESMALTE FACE APARENTE DE TUBULAÇÃO Ø 2"</t>
  </si>
  <si>
    <t>15.03.075</t>
  </si>
  <si>
    <t>PINTURA DUAS DEMÃOS ESMALTE FACE APARENTE DE TUBULAÇÃO Ø 2 1/2"</t>
  </si>
  <si>
    <t>15.03.076</t>
  </si>
  <si>
    <t>PINTURA DUAS DEMÃOS ESMALTE FACE APARENTE DE TUBULAÇÃO Ø 3"</t>
  </si>
  <si>
    <t>15.03.077</t>
  </si>
  <si>
    <t>PINTURA DUAS DEMÃOS ESMALTE FACE APARENTE DE TUBULAÇÃO Ø 4"</t>
  </si>
  <si>
    <t>15.03.078</t>
  </si>
  <si>
    <t>PINTURA DUAS DEMÃOS ESMALTE FACE APARENTE DE TUBULAÇÃO Ø 6</t>
  </si>
  <si>
    <t>15.03.079</t>
  </si>
  <si>
    <t>PINTURA DUAS DEMÃOS ESMALTE FACE APARENTE DE TUBULAÇÃO PVC  Ø 2"</t>
  </si>
  <si>
    <t>15.03.080</t>
  </si>
  <si>
    <t>PINTURA DUAS DEMÃOS ESMALTE FACE APARENTE DE TUBULAÇÃO PVC Ø  3"</t>
  </si>
  <si>
    <t>15.03.081</t>
  </si>
  <si>
    <t>PINTURA DUAS DEMÃOS ESMALTE FACE APARENTE DE TUBULAÇÃO PVC Ø 4"</t>
  </si>
  <si>
    <t>15.03.082</t>
  </si>
  <si>
    <t>PINTURA DUAS DEMÃOS ESMALTE FACE APARENTE DE TUBULAÇÃO PVC Ø 6"</t>
  </si>
  <si>
    <t>15.03.099</t>
  </si>
  <si>
    <t>15.04.001</t>
  </si>
  <si>
    <t>15.04.005</t>
  </si>
  <si>
    <t>TINTA LÁTEX ECONÔMICA</t>
  </si>
  <si>
    <t>15.04.007</t>
  </si>
  <si>
    <t>MASSA NIVELADORA PARA EXTERIOR</t>
  </si>
  <si>
    <t>15.04.008</t>
  </si>
  <si>
    <t>15.04.009</t>
  </si>
  <si>
    <t>15.04.011</t>
  </si>
  <si>
    <t>15.04.012</t>
  </si>
  <si>
    <t>15.04.013</t>
  </si>
  <si>
    <t>15.04.015</t>
  </si>
  <si>
    <t>ESMALTE EM SUPERFICIE REBOCADA SEM MASSA NIVELADORA</t>
  </si>
  <si>
    <t>15.04.020</t>
  </si>
  <si>
    <t>15.04.030</t>
  </si>
  <si>
    <t>VERNIZ ACRILICO BASE SOLVENTE COM 1 DEMAO PRIMER +2 DEMAOS VERNIZ ACRILICO BASE SOLVENTE</t>
  </si>
  <si>
    <t>15.04.031</t>
  </si>
  <si>
    <t>VERNIZ ACRILICO BASE AGUA APLICAÇAO 3 DEMAOS</t>
  </si>
  <si>
    <t>15.04.040</t>
  </si>
  <si>
    <t>15.04.041</t>
  </si>
  <si>
    <t>15.04.073</t>
  </si>
  <si>
    <t>15.04.078</t>
  </si>
  <si>
    <t>SINALIZAÇÃO VISUAL DE DEGRAUS-PINTURA ACRÍLICA P/PISOS</t>
  </si>
  <si>
    <t>15.04.080</t>
  </si>
  <si>
    <t>PINTURA  DE QUADRAS ESP-LINHAS DEMARCATORIAS (600M2)</t>
  </si>
  <si>
    <t>15.04.081</t>
  </si>
  <si>
    <t>15.04.082</t>
  </si>
  <si>
    <t>15.04.099</t>
  </si>
  <si>
    <t>15.50.001</t>
  </si>
  <si>
    <t>15.50.002</t>
  </si>
  <si>
    <t>15.50.003</t>
  </si>
  <si>
    <t>15.50.004</t>
  </si>
  <si>
    <t>REMOCAO DE OLEO,ESMALTE,ALUMIN OU GRAFITE EM ESQ DE FERRO C/LIXAMENT</t>
  </si>
  <si>
    <t>15.50.010</t>
  </si>
  <si>
    <t>REMOÇAO DE OLEO,ESMALTE,VERNIZ EM RODAPES,BAGUETES E MOLD C/LIXAMENTO</t>
  </si>
  <si>
    <t>15.50.011</t>
  </si>
  <si>
    <t>15.50.012</t>
  </si>
  <si>
    <t>15.50.013</t>
  </si>
  <si>
    <t>REMOCAO DE OLEO,ESMALTE,ALUMIN OU GRAFITE EM ESQ DE FERRO C/PROD QUI</t>
  </si>
  <si>
    <t>15.50.014</t>
  </si>
  <si>
    <t>REMOÇAO DE OLEO,ESMALTE,VERNIZ EM RODAPES,BAGUETES E MOLD C/PROD.QUIMICO</t>
  </si>
  <si>
    <t>15.50.030</t>
  </si>
  <si>
    <t>REMOCAO DE PINTURA EM ESTRUTURA METALICA COM LIXAMENTO</t>
  </si>
  <si>
    <t>15.50.099</t>
  </si>
  <si>
    <t>15.80.010</t>
  </si>
  <si>
    <t>15.80.011</t>
  </si>
  <si>
    <t>15.80.013</t>
  </si>
  <si>
    <t>15.80.018</t>
  </si>
  <si>
    <t>TINTA LATEX STANDARD INCLUSIVE PREPARO E RETOQUE DE MASSA NIVELADORA</t>
  </si>
  <si>
    <t>15.80.021</t>
  </si>
  <si>
    <t>15.80.023</t>
  </si>
  <si>
    <t>15.80.024</t>
  </si>
  <si>
    <t>ALUMINIO EM ESQUADRIAS DE FERRO INCLUSIVE PREPARO E RETOQUE DE ZARCA</t>
  </si>
  <si>
    <t>15.80.025</t>
  </si>
  <si>
    <t>REMOVEDOR DE PICHAÇÃO - POS PINTURA ANTIPICHAÇÃO</t>
  </si>
  <si>
    <t>15.80.026</t>
  </si>
  <si>
    <t>15.80.029</t>
  </si>
  <si>
    <t>VERNIZ ANTIPICHAÇÃO 2 DEMAOS</t>
  </si>
  <si>
    <t>15.80.031</t>
  </si>
  <si>
    <t>VERNIZ EM ESQUADRIAS DE MADEIRA INCL PREPARO E RETOQUE DE MASSA</t>
  </si>
  <si>
    <t>15.80.032</t>
  </si>
  <si>
    <t>15.80.036</t>
  </si>
  <si>
    <t>ESMALTE EM SUPERFICIE DE MADEIRA INCLUSIVE PREPARO E RETOQUE DE MASSA</t>
  </si>
  <si>
    <t>15.80.040</t>
  </si>
  <si>
    <t>15.80.042</t>
  </si>
  <si>
    <t>15.80.043</t>
  </si>
  <si>
    <t>TINTA LATEX ECONOMICA INCLUSIVE PREPARO E RETOQUE DE MASSA NIVELADOR</t>
  </si>
  <si>
    <t>15.80.044</t>
  </si>
  <si>
    <t>15.80.045</t>
  </si>
  <si>
    <t>15.80.046</t>
  </si>
  <si>
    <t>15.80.047</t>
  </si>
  <si>
    <t>15.80.048</t>
  </si>
  <si>
    <t>15.80.050</t>
  </si>
  <si>
    <t>15.80.060</t>
  </si>
  <si>
    <t>15.80.061</t>
  </si>
  <si>
    <t>15.80.062</t>
  </si>
  <si>
    <t>15.80.070</t>
  </si>
  <si>
    <t>15.80.071</t>
  </si>
  <si>
    <t>15.80.072</t>
  </si>
  <si>
    <t>15.80.073</t>
  </si>
  <si>
    <t>15.80.075</t>
  </si>
  <si>
    <t>15.80.076</t>
  </si>
  <si>
    <t>15.80.080</t>
  </si>
  <si>
    <t>SERVIÇO GALVANIZACAO A FOGO - ESTRUTURAS / ESQUADRIAS.</t>
  </si>
  <si>
    <t>15.80.099</t>
  </si>
  <si>
    <t>SERVICOS DE PINTURA - CONSERVACAO</t>
  </si>
  <si>
    <t>16.01.008</t>
  </si>
  <si>
    <t>16.01.009</t>
  </si>
  <si>
    <t>16.01.010</t>
  </si>
  <si>
    <t>16.01.011</t>
  </si>
  <si>
    <t>16.01.012</t>
  </si>
  <si>
    <t>16.01.013</t>
  </si>
  <si>
    <t>16.01.014</t>
  </si>
  <si>
    <t>16.01.015</t>
  </si>
  <si>
    <t>16.01.021</t>
  </si>
  <si>
    <t>16.01.022</t>
  </si>
  <si>
    <t>16.01.028</t>
  </si>
  <si>
    <t>16.01.030</t>
  </si>
  <si>
    <t>16.01.031</t>
  </si>
  <si>
    <t>16.01.032</t>
  </si>
  <si>
    <t>16.01.033</t>
  </si>
  <si>
    <t>16.01.045</t>
  </si>
  <si>
    <t>16.01.046</t>
  </si>
  <si>
    <t>16.01.058</t>
  </si>
  <si>
    <t>GRADIL ELETROFUNDIDO GALV. COM PINTURA ELETROSTATICA 62X132MM BARRA 25X2MM</t>
  </si>
  <si>
    <t>16.01.060</t>
  </si>
  <si>
    <t>16.01.061</t>
  </si>
  <si>
    <t>16.01.062</t>
  </si>
  <si>
    <t>16.01.063</t>
  </si>
  <si>
    <t>16.01.064</t>
  </si>
  <si>
    <t>16.01.065</t>
  </si>
  <si>
    <t>16.01.066</t>
  </si>
  <si>
    <t>16.01.067</t>
  </si>
  <si>
    <t>FD-33 FECHAMENTO DE DIVISA/BL.CONCRETO/REVEST. CHAPISCO GROSSO H=235CM/SAPATA</t>
  </si>
  <si>
    <t>16.01.068</t>
  </si>
  <si>
    <t>FD-34 FECHAMENTO DE DIVISA/BL. CONCRETO/REVEST. CHAPISCO GROSSO H=235CM/BROCA</t>
  </si>
  <si>
    <t>16.01.080</t>
  </si>
  <si>
    <t>16.01.081</t>
  </si>
  <si>
    <t>16.01.082</t>
  </si>
  <si>
    <t>16.01.083</t>
  </si>
  <si>
    <t>16.01.089</t>
  </si>
  <si>
    <t>16.01.090</t>
  </si>
  <si>
    <t>FE-01  FECHAMENTO PARA SETORIZAÇAO 120&lt;H&lt;200 CM  (ALAMBRADO)</t>
  </si>
  <si>
    <t>FE-02  FECHAMENTO PARA SETORIZAÇAO (GRADIL ELETROFUNDIDO)</t>
  </si>
  <si>
    <t>PT-50 PORTAO DE TELA PARA SETORIZAÇAO 120&lt;H&lt;200 CM</t>
  </si>
  <si>
    <t>16.01.093</t>
  </si>
  <si>
    <t>16.01.095</t>
  </si>
  <si>
    <t>16.01.098</t>
  </si>
  <si>
    <t>16.01.099</t>
  </si>
  <si>
    <t>16.02.004</t>
  </si>
  <si>
    <t>PAVIMENTAÇÃO DE CONCRETO P/PISO PERMEAVEL DRENANTE (DIAGONAL)</t>
  </si>
  <si>
    <t>16.02.008</t>
  </si>
  <si>
    <t>16.02.009</t>
  </si>
  <si>
    <t>16.02.010</t>
  </si>
  <si>
    <t>PAVIMENTAÇÃO DE CONCRETO P/PISO PERMEAVEL DRENANTE (SEXTAVADO)</t>
  </si>
  <si>
    <t>16.02.014</t>
  </si>
  <si>
    <t>PAVIMENTAÇAO DE CONCRETO PARA PISO PERMEAVEL DRENANTE (GRAMA)</t>
  </si>
  <si>
    <t>16.02.015</t>
  </si>
  <si>
    <t>16.02.020</t>
  </si>
  <si>
    <t>16.02.023</t>
  </si>
  <si>
    <t>16.02.025</t>
  </si>
  <si>
    <t>16.02.026</t>
  </si>
  <si>
    <t>16.02.028</t>
  </si>
  <si>
    <t>16.02.029</t>
  </si>
  <si>
    <t>16.02.031</t>
  </si>
  <si>
    <t>16.02.033</t>
  </si>
  <si>
    <t>16.02.039</t>
  </si>
  <si>
    <t>PAVIMENTAÇÃO DE CONCRETO P/PISO PERMEAVEL DRENANTE (QUADRICULADO)</t>
  </si>
  <si>
    <t>16.02.040</t>
  </si>
  <si>
    <t>PAVIMENTACAO ARTICULADA BLOCO CONCRETO INTERTRAVADO  E=6CM  35 Mpa COR NATURAL SOBRE BASE AREIA GROSSA</t>
  </si>
  <si>
    <t>16.02.041</t>
  </si>
  <si>
    <t>PAVIMENTACAO ARTICULADA BLOCO CONCRETO INTERTRAVADO  E=6CM  35 Mpa COLORIDO SOBRE BASE AREIA GROSSA</t>
  </si>
  <si>
    <t>16.02.050</t>
  </si>
  <si>
    <t>16.02.051</t>
  </si>
  <si>
    <t>16.02.056</t>
  </si>
  <si>
    <t>16.02.061</t>
  </si>
  <si>
    <t>16.02.062</t>
  </si>
  <si>
    <t>16.02.063</t>
  </si>
  <si>
    <t>PAVIMENTACAO ARTICULADA BLOCO CONCRETO INTERTRAVADO  E=8CM  50 Mpa COR NATURAL SOBRE BASE AREIA GROSSA</t>
  </si>
  <si>
    <t>PISO DE CONCRETO ARMADO Fck 25MPa DESEMPENAMENTO MECÂNICO  E=10CM</t>
  </si>
  <si>
    <t>16.02.067</t>
  </si>
  <si>
    <t>DEGRAU DE CONCRETO ARMADO Fck 25MPa DESEMPENADO E=6CM  INCLUSIVE LASTRO DE BRITA</t>
  </si>
  <si>
    <t>16.02.069</t>
  </si>
  <si>
    <t>16.02.070</t>
  </si>
  <si>
    <t>16.02.080</t>
  </si>
  <si>
    <t>16.02.090</t>
  </si>
  <si>
    <t>16.02.091</t>
  </si>
  <si>
    <t>16.02.099</t>
  </si>
  <si>
    <t>16.02.100</t>
  </si>
  <si>
    <t>LASTRO DE BRITA E=5CM COM AGREGADO RECICLADO DA CONSTRUÇÃO CIVIL</t>
  </si>
  <si>
    <t>16.02.101</t>
  </si>
  <si>
    <t>LASTRO DE CONCRETO TRAÇO 1:4:8   E=5CM  COM AGREGADO RECICLADO DA CONSTRUÇAO CIVIL.</t>
  </si>
  <si>
    <t>16.02.105</t>
  </si>
  <si>
    <t>CIMENTADO DESEMPENADO COM JUNTA SECA E = 5 CM COM AGREGADO RECICLADO DA CONSTRUÇAO CIVIL</t>
  </si>
  <si>
    <t>16.02.106</t>
  </si>
  <si>
    <t>CIMENTADO DESEMPENADO E ALISADO COM CORANTE  E = 5 CM COM AGREGADO RECICLADO DA CONSTRUÇAO CIVIL</t>
  </si>
  <si>
    <t>16.03.001</t>
  </si>
  <si>
    <t>CORTE DE MATO E GRAMA - ROÇAGEM MECANIZADA</t>
  </si>
  <si>
    <t>16.03.002</t>
  </si>
  <si>
    <t>GRAMA ESMERALDA EM PLACAS</t>
  </si>
  <si>
    <t>16.03.010</t>
  </si>
  <si>
    <t>16.03.012</t>
  </si>
  <si>
    <t>16.03.031</t>
  </si>
  <si>
    <t>16.03.063</t>
  </si>
  <si>
    <t>PALMEIRA JERIVÁ H=1,50 A 2,00 M</t>
  </si>
  <si>
    <t>16.03.066</t>
  </si>
  <si>
    <t>ARBUSTO H=0.50 A 0.70M - AZALÉIA</t>
  </si>
  <si>
    <t>16.03.067</t>
  </si>
  <si>
    <t>16.03.075</t>
  </si>
  <si>
    <t>ARBUSTO COSTELA- DE -ADAO  H=0.50 A 0.70 M</t>
  </si>
  <si>
    <t>16.03.076</t>
  </si>
  <si>
    <t>ARBUSTO  GUAIMBÊ   H=0.50 A 0.70 M</t>
  </si>
  <si>
    <t>16.03.077</t>
  </si>
  <si>
    <t>ARBUSTO PRIMAVERA   H=0.50 A 0.70 M</t>
  </si>
  <si>
    <t>16.03.080</t>
  </si>
  <si>
    <t>16.03.083</t>
  </si>
  <si>
    <t>16.03.085</t>
  </si>
  <si>
    <t>16.03.087</t>
  </si>
  <si>
    <t>16.03.088</t>
  </si>
  <si>
    <t>16.03.090</t>
  </si>
  <si>
    <t>ARBUSTO SANQUÉSIA   H=0.50 A 0.70 M</t>
  </si>
  <si>
    <t>16.03.091</t>
  </si>
  <si>
    <t>FORRACAO - PILEIA</t>
  </si>
  <si>
    <t>16.03.092</t>
  </si>
  <si>
    <t>16.03.093</t>
  </si>
  <si>
    <t>16.03.096</t>
  </si>
  <si>
    <t>16.03.099</t>
  </si>
  <si>
    <t>SERVIÇOS DE PAISAGISMO</t>
  </si>
  <si>
    <t>16.03.100</t>
  </si>
  <si>
    <t>ARBUSTO ALECRIM H=0,50M A 0,70M</t>
  </si>
  <si>
    <t>16.03.101</t>
  </si>
  <si>
    <t>FORRAÇÃO AZULZINHA</t>
  </si>
  <si>
    <t>16.03.102</t>
  </si>
  <si>
    <t>FORRAÇÃO BARLÉRIA</t>
  </si>
  <si>
    <t>16.03.103</t>
  </si>
  <si>
    <t>FORRAÇÃO BULBINE</t>
  </si>
  <si>
    <t>16.03.104</t>
  </si>
  <si>
    <t>ARBUSTO DICORISANDRA H=0,50 A 0,70M</t>
  </si>
  <si>
    <t>16.03.105</t>
  </si>
  <si>
    <t>FORRAÇÃO DINHEIRO-EM-PENCA</t>
  </si>
  <si>
    <t>16.03.106</t>
  </si>
  <si>
    <t>FORRAÇÃO GOTA DE ORVALHO</t>
  </si>
  <si>
    <t>16.03.107</t>
  </si>
  <si>
    <t>FORRAÇÃO GRAMA-AMENDOIM</t>
  </si>
  <si>
    <t>16.03.108</t>
  </si>
  <si>
    <t>FORRAÇÃO JIBÓIA-VERDE</t>
  </si>
  <si>
    <t>16.03.109</t>
  </si>
  <si>
    <t>FORRAÇÃO LAMBARI-ROXO</t>
  </si>
  <si>
    <t>16.03.110</t>
  </si>
  <si>
    <t>ARBUSTO MANJERICÃO H=0,50 A 0,70M</t>
  </si>
  <si>
    <t>16.03.111</t>
  </si>
  <si>
    <t>FORRAÇÃO OFIOPOGO</t>
  </si>
  <si>
    <t>16.03.112</t>
  </si>
  <si>
    <t>FORRAÇÃO PAPIRINHO</t>
  </si>
  <si>
    <t>16.03.113</t>
  </si>
  <si>
    <t>FORRAÇÃO SINGÔNIO</t>
  </si>
  <si>
    <t>16.03.114</t>
  </si>
  <si>
    <t>FORRAÇÃO TRAPOERABA</t>
  </si>
  <si>
    <t>16.03.150</t>
  </si>
  <si>
    <t>ÁRVORE ORNAMENTAL AROEIRA-DO-SERTÃO H=2,00M</t>
  </si>
  <si>
    <t>16.03.151</t>
  </si>
  <si>
    <t>ÁRVORE ORNAMENTAL CANELA-PRETA H=2,00M</t>
  </si>
  <si>
    <t>16.03.152</t>
  </si>
  <si>
    <t>ÁRVORE ORNAMENTAL CANELA-SASSAFRÁS H=2,00M</t>
  </si>
  <si>
    <t>16.03.153</t>
  </si>
  <si>
    <t>ÁRVORE ORNAMENTAL CASTANHA-DO-PARÁ H=2,00M</t>
  </si>
  <si>
    <t>16.03.154</t>
  </si>
  <si>
    <t>ÁRVORE ORNAMENTAL IMBUIA H=2,00M</t>
  </si>
  <si>
    <t>16.03.155</t>
  </si>
  <si>
    <t>ÁRVORE ORNAMENTAL JABORANDI H=2,00M</t>
  </si>
  <si>
    <t>16.03.156</t>
  </si>
  <si>
    <t>ÁRVORE ORNAMENTAL PEROBA ROSA H=2,00M</t>
  </si>
  <si>
    <t>16.03.157</t>
  </si>
  <si>
    <t>ÁRVORE ORNAMENTAL PINHEIRO-DO-PARANÁ H=2,00M</t>
  </si>
  <si>
    <t>16.03.170</t>
  </si>
  <si>
    <t>ÁRVORE  PEITO DE POMBA H=0,50 A 1,00M. (NATIVA PIONEIRA-SP)</t>
  </si>
  <si>
    <t>16.03.171</t>
  </si>
  <si>
    <t>ÁRVORE  TÁPIA  H=0,50M A 1,00M. (NATIVA PIONEIRA-SP)</t>
  </si>
  <si>
    <t>16.03.172</t>
  </si>
  <si>
    <t>ÁRVORE CAPIXINGUI  H=0,50M A 1,00M (NATIVA PIONEIRA-SP)</t>
  </si>
  <si>
    <t>16.03.173</t>
  </si>
  <si>
    <t>ÁRVORE INGÁ  H=0,50M A 1,00M (NATIVA PIONEIRA-SP)</t>
  </si>
  <si>
    <t>16.03.174</t>
  </si>
  <si>
    <t>ÁRVORE FUMO BRAVO  H=0,50M A 1,00M (NATIVA PIONEIRA-SP)</t>
  </si>
  <si>
    <t>16.03.175</t>
  </si>
  <si>
    <t>ÁRVORE MUTAMBO  H=0,50M A 1,00M (NATIVA PIONEIRA-SP)</t>
  </si>
  <si>
    <t>16.03.176</t>
  </si>
  <si>
    <t>ÁRVORE AÇOITA CAVALO  H=0,50M A 1,00M (NATIVA PIONEIRA-SP)</t>
  </si>
  <si>
    <t>16.03.177</t>
  </si>
  <si>
    <t>ÁRVORE PAU POLVORA  H=0,50M A 1,00M (NATIVA PIONEIRA-SP)</t>
  </si>
  <si>
    <t>16.03.190</t>
  </si>
  <si>
    <t>ÁRVORE PEITO DE POMBA H=2,00M (NATIVA PIONEIRA-SP)</t>
  </si>
  <si>
    <t>16.03.191</t>
  </si>
  <si>
    <t>ÁRVORE TÁPIA H=2,00M (NATIVA PIONEIRA-SP)</t>
  </si>
  <si>
    <t>16.03.192</t>
  </si>
  <si>
    <t>ÁRVORE CAPIXINGUI H=2,00M (NATIVA PIONEIRA-SP)</t>
  </si>
  <si>
    <t>16.03.193</t>
  </si>
  <si>
    <t>ÁRVORE INGÁ  H=2,00M (NATIVA PIONEIRA-SP)</t>
  </si>
  <si>
    <t>16.03.194</t>
  </si>
  <si>
    <t>ÁRVORE FUMO BRAVO H=2,00M (NATIVA PIONEIRA-SP)</t>
  </si>
  <si>
    <t>16.03.195</t>
  </si>
  <si>
    <t>ÁRVORE MUTAMBO H=2,00M (NATIVA PIONEIRA-SP)</t>
  </si>
  <si>
    <t>16.03.196</t>
  </si>
  <si>
    <t>ÁRVORE AÇOITA CAVALO  H=2,00M (NATIVA PIONEIRA-SP)</t>
  </si>
  <si>
    <t>16.03.197</t>
  </si>
  <si>
    <t>ÁRVORE PAU POLVORA H=2,00M (NATIVA PIONEIRA-SP)</t>
  </si>
  <si>
    <t>16.03.200</t>
  </si>
  <si>
    <t>ÁRVORE ORNAMENTAL ALDRAGO H=2,00M</t>
  </si>
  <si>
    <t>16.03.201</t>
  </si>
  <si>
    <t>ÁRVORE ORNAMENTAL PAU-CIGARRA H=2,00M</t>
  </si>
  <si>
    <t>16.03.202</t>
  </si>
  <si>
    <t>ÁRVORE ORNAMENTAL ARAÇÁ H=2,00M</t>
  </si>
  <si>
    <t>16.03.203</t>
  </si>
  <si>
    <t>ÁRVORE ORNAMENTAL AROEIRA-SALSA H=2,00M</t>
  </si>
  <si>
    <t>16.03.204</t>
  </si>
  <si>
    <t>ÁRVORE ORNAMENTAL BICO-DE-PATO H=2,00M</t>
  </si>
  <si>
    <t>16.03.205</t>
  </si>
  <si>
    <t>ÁRVORE ORNAMENTAL CHUVA DE OURO H=2,00M</t>
  </si>
  <si>
    <t>16.03.206</t>
  </si>
  <si>
    <t>ÁRVORE ORNAMENTAL CANELEIRA H=2,00M</t>
  </si>
  <si>
    <t>16.03.207</t>
  </si>
  <si>
    <t>ÁRVORE ORNAMENTAL CAPUTUNA-PRETA (CHUPA FERRO) H=2,00M</t>
  </si>
  <si>
    <t>16.03.208</t>
  </si>
  <si>
    <t>ÁRVORE ORNAMENTAL CAROBA H=2,00M</t>
  </si>
  <si>
    <t>16.03.209</t>
  </si>
  <si>
    <t>ÁRVORE ORNAMENTAL CAROBA-BRANCA H=2,00M</t>
  </si>
  <si>
    <t>16.03.210</t>
  </si>
  <si>
    <t>ÁRVORE ORNAMENTAL CAROBÃO H=2,00M</t>
  </si>
  <si>
    <t>16.03.211</t>
  </si>
  <si>
    <t>ÁRVORE ORNAMENTAL CARVALHO-BRASILEIRO (CARVALHO DO BRASIL) H=2,00M</t>
  </si>
  <si>
    <t>16.03.212</t>
  </si>
  <si>
    <t>ÁRVORE ORNAMENTAL CÁSSIA-GRANDE H=2,00M</t>
  </si>
  <si>
    <t>16.03.213</t>
  </si>
  <si>
    <t>ÁRVORE ORNAMENTAL CEDRO-ROSA (CEDRO) H=2,00M</t>
  </si>
  <si>
    <t>16.03.214</t>
  </si>
  <si>
    <t>ÁRVORE ORNAMENTAL CHÁ-DE-BUGRE (CAPITÃO DO CAMPO) H=2,00M</t>
  </si>
  <si>
    <t>16.03.215</t>
  </si>
  <si>
    <t>ÁRVORE ORNAMENTAL DEDALEIRO H=2,00M</t>
  </si>
  <si>
    <t>16.03.216</t>
  </si>
  <si>
    <t>ÁRVORE ORNAMENTAL DIADEMA H=2,00M</t>
  </si>
  <si>
    <t>16.03.217</t>
  </si>
  <si>
    <t>ÁRVORE ORNAMENTAL EMBAÚBA H=2,00M</t>
  </si>
  <si>
    <t>16.03.218</t>
  </si>
  <si>
    <t>ÁRVORE ORNAMENTAL EMBIRUÇU H=2,00M</t>
  </si>
  <si>
    <t>16.03.219</t>
  </si>
  <si>
    <t>ÁRVORE ORNAMENTAL FEIJOA H=2,00M</t>
  </si>
  <si>
    <t>16.03.220</t>
  </si>
  <si>
    <t>ÁRVORE ORNAMENTAL GUANANDI H=2,00M</t>
  </si>
  <si>
    <t>16.03.221</t>
  </si>
  <si>
    <t>ÁRVORE ORNAMENTAL IPÊ-AMARELO-DA-SERRA H=2,00M</t>
  </si>
  <si>
    <t>16.03.222</t>
  </si>
  <si>
    <t>ÁRVORE ORNAMENTAL IPÊ-BRANCO H=2,00M</t>
  </si>
  <si>
    <t>16.03.223</t>
  </si>
  <si>
    <t>ÁRVORE ORNAMENTAL IPÊ-ROXO DE 7 FOLHAS H=2,00M</t>
  </si>
  <si>
    <t>16.03.224</t>
  </si>
  <si>
    <t>ÁRVORE ORNAMENTAL JACARANDÁ-PAULISTA H=2,00M</t>
  </si>
  <si>
    <t>16.03.225</t>
  </si>
  <si>
    <t>ÁRVORE ORNAMENTAL JEQUITIBÁ-BRANCO H=2,00M</t>
  </si>
  <si>
    <t>16.03.226</t>
  </si>
  <si>
    <t>ÁRVORE ORNAMENTAL JEQUITIBÁ-ROSA H=2,00M</t>
  </si>
  <si>
    <t>16.03.227</t>
  </si>
  <si>
    <t>ÁRVORE ORNAMENTAL MIRINDIBA (MIRINDIBA ROSA) H=2,00M</t>
  </si>
  <si>
    <t>16.03.228</t>
  </si>
  <si>
    <t>ÁRVORE ORNAMENTAL MULUNGU-DO-LITORAL (SUINÃ) H=2,00M</t>
  </si>
  <si>
    <t>16.03.229</t>
  </si>
  <si>
    <t>ÁRVORE ORNAMENTAL MULUNGU H=2,00M</t>
  </si>
  <si>
    <t>16.03.230</t>
  </si>
  <si>
    <t>ÁRVORE ORNAMENTAL PATA-DE-VACA-BRANCA (PATA-DE-VACA) H=2,00M</t>
  </si>
  <si>
    <t>16.03.231</t>
  </si>
  <si>
    <t>ÁRVORE ORNAMENTAL TARUMÃ H=2,00M</t>
  </si>
  <si>
    <t>16.03.232</t>
  </si>
  <si>
    <t>ÁRVORE ORNAMENTAL URUCUM H=2,00M</t>
  </si>
  <si>
    <t>16.03.300</t>
  </si>
  <si>
    <t>ARBUSTO ALPÍNIA H=0,50 A 0,70M</t>
  </si>
  <si>
    <t>16.03.301</t>
  </si>
  <si>
    <t>ARBUSTO AVE-DO-PARAÍSO H=0,50 A 0,70M</t>
  </si>
  <si>
    <t>16.03.302</t>
  </si>
  <si>
    <t>ARBUSTO CLÚSIA H=0,50 A 0,70M</t>
  </si>
  <si>
    <t>16.03.303</t>
  </si>
  <si>
    <t>FORRAÇÃO FALSO-ÍRIS</t>
  </si>
  <si>
    <t>16.03.304</t>
  </si>
  <si>
    <t>ARBUSTO FILODENDRO H=0,50 A 0,70M</t>
  </si>
  <si>
    <t>16.03.305</t>
  </si>
  <si>
    <t>FORRAÇÃO FLOR-LEOPARDO</t>
  </si>
  <si>
    <t>16.03.306</t>
  </si>
  <si>
    <t>ARBUSTO GARDÊNIA H=0,50 A 0,70M</t>
  </si>
  <si>
    <t>16.03.307</t>
  </si>
  <si>
    <t>ARBUSTO GUAIMBÊ-DA-FOLHA-ONDULADA H=0,50 A 0,70M</t>
  </si>
  <si>
    <t>16.03.308</t>
  </si>
  <si>
    <t>ARBUSTO GUAIMBÊ-DE-BREJO H=0,50 A 0,70M</t>
  </si>
  <si>
    <t>16.03.309</t>
  </si>
  <si>
    <t>FORRAÇÃO HELICÔNIA-PAPAGAIO</t>
  </si>
  <si>
    <t>16.03.310</t>
  </si>
  <si>
    <t>ARBUSTO IMBÊ H=0,50 A 0,70M</t>
  </si>
  <si>
    <t>16.03.311</t>
  </si>
  <si>
    <t>ARBUSTO JASMIM-AMARELO H=0,50 A 0,70M</t>
  </si>
  <si>
    <t>16.03.312</t>
  </si>
  <si>
    <t>ARBUSTO LANTERNA-CHINESA H=0,50 A 0,70M</t>
  </si>
  <si>
    <t>16.03.313</t>
  </si>
  <si>
    <t>ARBUSTO MANACÁ-DE-CHEIRO H=0,50 A 0,70M</t>
  </si>
  <si>
    <t>16.03.314</t>
  </si>
  <si>
    <t>ARBUSTO MARIA-PRETA H=0,50 A 0,70M</t>
  </si>
  <si>
    <t>16.03.315</t>
  </si>
  <si>
    <t>FORRAÇÃO MORÉIA-AMARELA</t>
  </si>
  <si>
    <t>16.03.316</t>
  </si>
  <si>
    <t>ARBUSTO MUSSAENDA H=0,50 A 0,70M</t>
  </si>
  <si>
    <t>16.03.317</t>
  </si>
  <si>
    <t>ARBUSTO MUSSAENDA-FRONDOSA H=0,50 A 0,70M</t>
  </si>
  <si>
    <t>16.03.318</t>
  </si>
  <si>
    <t>ARBUSTO PLEOMELE H=0,50 A 0,70M</t>
  </si>
  <si>
    <t>16.03.319</t>
  </si>
  <si>
    <t>ARBUSTO QUARESMEIRINHA H=0,50 A 0,70M</t>
  </si>
  <si>
    <t>16.03.320</t>
  </si>
  <si>
    <t>ARBUSTO RESEDÁ H=0,50 A 0,70M</t>
  </si>
  <si>
    <t>16.03.321</t>
  </si>
  <si>
    <t>ARBUSTO SOMBRINHA-CHINESA H=0,50 A 0,70M</t>
  </si>
  <si>
    <t>16.03.322</t>
  </si>
  <si>
    <t>ARBUSTO TUMBÉRGIA H=0,50 A 0,70M</t>
  </si>
  <si>
    <t>16.03.350</t>
  </si>
  <si>
    <t>FRUTÍFERA ANGELIM-DOCE H=2,00M</t>
  </si>
  <si>
    <t>16.03.351</t>
  </si>
  <si>
    <t>FRUTÍFERA CEREJINHA (CEREJEIRA DO MATO)  H=2,00M</t>
  </si>
  <si>
    <t>16.03.352</t>
  </si>
  <si>
    <t>FRUTÍFERA GENIPAPO (JENIPAPO) H=2,00M</t>
  </si>
  <si>
    <t>16.03.353</t>
  </si>
  <si>
    <t>FRUTÍFERA GOIABEIRA H=2,00M</t>
  </si>
  <si>
    <t>16.03.354</t>
  </si>
  <si>
    <t>FRUTÍFERA GRUMIXAMA H=2,00M</t>
  </si>
  <si>
    <t>16.03.355</t>
  </si>
  <si>
    <t>FRUTÍFERA GABIROBA  H=2,00M</t>
  </si>
  <si>
    <t>16.03.356</t>
  </si>
  <si>
    <t>FRUTÍFERA JABUTICABEIRA H=2,00M</t>
  </si>
  <si>
    <t>16.03.400</t>
  </si>
  <si>
    <t>PALMEIRA AÇAÍ H=1,50 A 2,00M</t>
  </si>
  <si>
    <t>16.03.401</t>
  </si>
  <si>
    <t>PALMEIRA GUARIROBA H=1,50 A 2,00M</t>
  </si>
  <si>
    <t>16.03.402</t>
  </si>
  <si>
    <t>PALMEIRA INDAIÁ H=1,50 A 2,00M</t>
  </si>
  <si>
    <t>16.03.403</t>
  </si>
  <si>
    <t>PALMEIRA PALMITO-JUÇARA (PALMITO) H=1,50 A 2,00M</t>
  </si>
  <si>
    <t>16.03.404</t>
  </si>
  <si>
    <t>PALMEIRA PUPUNHA H=1,50 A 2,00M</t>
  </si>
  <si>
    <t>16.03.430</t>
  </si>
  <si>
    <t>CIPÓ DE SÃO JOÃO H=0,50 A 0,70M</t>
  </si>
  <si>
    <t>16.03.431</t>
  </si>
  <si>
    <t>CUSPIDÁRIA H=0,50 A 0,70M</t>
  </si>
  <si>
    <t>16.03.432</t>
  </si>
  <si>
    <t>IPOMÉIA H=0,50 A 0,70M</t>
  </si>
  <si>
    <t>16.03.450</t>
  </si>
  <si>
    <t>TRANSPLANTE INTERNO DE ÁRVORE COM 2CM&lt;DAP&lt;3CM</t>
  </si>
  <si>
    <t>16.03.451</t>
  </si>
  <si>
    <t>TRANSPLANTE INTERNO DE ÁRVORE COM 3CM&lt;DAP&lt;5CM</t>
  </si>
  <si>
    <t>16.03.452</t>
  </si>
  <si>
    <t>TRANSPLANTE INTERNO DE ÁRVORE COM 5CM&lt;DAP&lt;7CM</t>
  </si>
  <si>
    <t>16.03.453</t>
  </si>
  <si>
    <t>TRANSPLANTE INTERNO DE ÁRVORE COM 7CM&lt;DAP&lt;15CM</t>
  </si>
  <si>
    <t>16.03.454</t>
  </si>
  <si>
    <t>TRANSPLANTE  INTERNO DE ÁRVORE COM 15CM&lt;DAP&lt;30CM</t>
  </si>
  <si>
    <t>16.03.455</t>
  </si>
  <si>
    <t>TRANSPLANTE  INTERNO DE ÁRVORE COM 30CM&lt;DAP&lt;45CM</t>
  </si>
  <si>
    <t>16.03.456</t>
  </si>
  <si>
    <t>TRANSPLANTE  INTERNO DE ÁRVORE COM 45CM&lt;DAP&lt;60CM</t>
  </si>
  <si>
    <t>16.03.464</t>
  </si>
  <si>
    <t>PODA DE CONSERVAÇAO / ADEQUAÇAO PARA ARVORES COM  ALTURA ATE 10M TOPO DA COPA.</t>
  </si>
  <si>
    <t>16.03.465</t>
  </si>
  <si>
    <t>PODA DE CONSERVAÇAO / ADEQUAÇAO PARA ARVORES TOPO DA COPA COM ALTURA SUPERIOR A 10M</t>
  </si>
  <si>
    <t>16.03.466</t>
  </si>
  <si>
    <t>TRANSPLANTE INTERNO DE ÁRVORE COM 15CM&lt;DAP&lt;30CM APLICAVEL EXCLUSIVAMENTE PELA GOE/DOEV  UMA UNIDADE-DIA.</t>
  </si>
  <si>
    <t>16.03.467</t>
  </si>
  <si>
    <t>TRANSPLANTE INTERNO DE ÁRVORE COM 30CM&lt;DAP&lt;45CM APLICAVEL EXCLUSIVAMENTE PELA GOE/DOEV UMA UNIDADE-DIA.</t>
  </si>
  <si>
    <t>16.03.468</t>
  </si>
  <si>
    <t>TRANSPLANTE INTERNO DE ÁRVORE COM 45CM&lt;DAP&lt;60CM APLICAVEL EXCLUSIVAMENTE PELA GOE/DOEV UMA UNIDADE-DIA.</t>
  </si>
  <si>
    <t>16.03.469</t>
  </si>
  <si>
    <t>TRANSPLANTE INTERNO DE ÁRVORE COM 60CM&lt;DAP&lt;100CM APLICAVEL EXCLUSIVAMENTE PELA GOE/DOEV UMA UNIDADE-DIA.</t>
  </si>
  <si>
    <t>16.03.470</t>
  </si>
  <si>
    <t>FRUTÍFERA JAMBOLÃO H=0,50 A 1,00M</t>
  </si>
  <si>
    <t>16.03.471</t>
  </si>
  <si>
    <t>PALMEIRA INDAIÁ H=0,50 A 1,00M</t>
  </si>
  <si>
    <t>16.03.472</t>
  </si>
  <si>
    <t>ÁRVORE ORNAMENTAL ARAÇÁ H=0,50 A 1,00M</t>
  </si>
  <si>
    <t>16.03.482</t>
  </si>
  <si>
    <t>FRUTÍFERA UVAIA - DAP3</t>
  </si>
  <si>
    <t>16.03.483</t>
  </si>
  <si>
    <t>PALMEIRA GUARIROBA - DAP3</t>
  </si>
  <si>
    <t>16.03.484</t>
  </si>
  <si>
    <t>ÁRVORE ORNAMENTAL SUINÃ - DAP3</t>
  </si>
  <si>
    <t>16.03.485</t>
  </si>
  <si>
    <t>FRUTÍFERA PITANGUEIRA - DAP5</t>
  </si>
  <si>
    <t>16.03.486</t>
  </si>
  <si>
    <t>PALMEIRA JERIVÁ - DAP5</t>
  </si>
  <si>
    <t>16.03.487</t>
  </si>
  <si>
    <t>ÁRVORE ORNAMENTAL PAU-CIGARRA - DAP5</t>
  </si>
  <si>
    <t>16.03.488</t>
  </si>
  <si>
    <t>FRUTÍFERA ACEROLA H=2,00M</t>
  </si>
  <si>
    <t>16.03.489</t>
  </si>
  <si>
    <t>FRUTÍFERA AMOREIRA H=2,00M</t>
  </si>
  <si>
    <t>FRUTÍFERA PITANGUEIRA H=2,00M</t>
  </si>
  <si>
    <t>16.03.491</t>
  </si>
  <si>
    <t>FRUTÍFERA UVAIA H=2,00M</t>
  </si>
  <si>
    <t>16.03.492</t>
  </si>
  <si>
    <t>ÁRVORE ORNAMENTAL ALECRIM DE CAMPINAS H=2,00M</t>
  </si>
  <si>
    <t>16.03.493</t>
  </si>
  <si>
    <t>ÁRVORE ORNAMENTAL FEDEGOSO (ALELUIA)  H=2,00M</t>
  </si>
  <si>
    <t>16.03.494</t>
  </si>
  <si>
    <t>ÁRVORE ORNAMENTAL IPÊ-AMARELO H=2,00M</t>
  </si>
  <si>
    <t>16.03.495</t>
  </si>
  <si>
    <t>ÁRVORE ORNAMENTAL IPÊ-ROXO DE BOLA  H=2,00M</t>
  </si>
  <si>
    <t>16.03.496</t>
  </si>
  <si>
    <t>ÁRVORE ORNAMENTAL JATOBÁ H=2,00M</t>
  </si>
  <si>
    <t>16.03.497</t>
  </si>
  <si>
    <t>ÁRVORE ORNAMENTAL MANACÁ-DA-SERRA  H=2,00M</t>
  </si>
  <si>
    <t>ÁRVORE ORNAMENTAL PAU-BRASIL  H=2,00M</t>
  </si>
  <si>
    <t>16.03.500</t>
  </si>
  <si>
    <t>ÁRVORE ORNAMENTAL PAU-FERRO H=2,00M</t>
  </si>
  <si>
    <t>16.03.501</t>
  </si>
  <si>
    <t>ÁRVORE ORNAMENTAL QUARESMEIRA H=2,00M</t>
  </si>
  <si>
    <t>16.03.502</t>
  </si>
  <si>
    <t>ÁRVORE ORNAMENTAL SIBIPIRUNA H=2,00M</t>
  </si>
  <si>
    <t>16.03.503</t>
  </si>
  <si>
    <t>ÁRVORE ORNAMENTAL UNHA-DE-VACA H=2,00M</t>
  </si>
  <si>
    <t>16.03.508</t>
  </si>
  <si>
    <t>FRUTIFERA GOIABEIRA - DAP 7</t>
  </si>
  <si>
    <t>16.03.509</t>
  </si>
  <si>
    <t>PALMEIRA PUPUNHA - DAP 7</t>
  </si>
  <si>
    <t>16.03.510</t>
  </si>
  <si>
    <t>ARVORE ORNAMENTAL URUCUM - DAP 7</t>
  </si>
  <si>
    <t>16.04.001</t>
  </si>
  <si>
    <t>16.04.002</t>
  </si>
  <si>
    <t>16.04.007</t>
  </si>
  <si>
    <t>16.04.016</t>
  </si>
  <si>
    <t>16.04.019</t>
  </si>
  <si>
    <t>16.04.020</t>
  </si>
  <si>
    <t>16.04.025</t>
  </si>
  <si>
    <t>QE-37 TABELA DE BASQUETE INCLUSIVE GALVANIZAÇÃO A FOGO E PINTURA ESMALTE  FUNDACAO BROCA Ø 25 CM</t>
  </si>
  <si>
    <t>16.04.031</t>
  </si>
  <si>
    <t>16.04.034</t>
  </si>
  <si>
    <t>16.04.036</t>
  </si>
  <si>
    <t>16.04.037</t>
  </si>
  <si>
    <t>FQ-04 ALAMBRADO COM PERFIL E TELA SOLDADA-GALVANIZADOS</t>
  </si>
  <si>
    <t>16.04.043</t>
  </si>
  <si>
    <t>16.04.099</t>
  </si>
  <si>
    <t>16.05.005</t>
  </si>
  <si>
    <t>16.05.031</t>
  </si>
  <si>
    <t>16.05.037</t>
  </si>
  <si>
    <t>16.05.038</t>
  </si>
  <si>
    <t>16.05.039</t>
  </si>
  <si>
    <t>16.05.040</t>
  </si>
  <si>
    <t>16.05.041</t>
  </si>
  <si>
    <t>16.05.042</t>
  </si>
  <si>
    <t>16.05.044</t>
  </si>
  <si>
    <t>16.05.046</t>
  </si>
  <si>
    <t>16.05.047</t>
  </si>
  <si>
    <t>16.05.050</t>
  </si>
  <si>
    <t>POÇO DE RETENÇÃO DE ÁGUA PLUVIAL Ø 2,50M COM FUNDO DE BRITA</t>
  </si>
  <si>
    <t>TAMPA PRÉ-MOLDADA Ø 2,50M PARA POÇO DE RETENÇÃO DE A.P. COM TAMPA DE INSPEÇÃO Ø 0,60M</t>
  </si>
  <si>
    <t>16.05.054</t>
  </si>
  <si>
    <t>POÇO DE RETENÇÃO DE ÁGUA PLUVIAL Ø 3,00M COM FUNDO DE BRITA</t>
  </si>
  <si>
    <t>16.05.056</t>
  </si>
  <si>
    <t>TAMPA PRÉ-MOLDADA Ø 3,00M PARA POÇO DE RETENÇÃO DE A.P. COM TAMPA DE INSPEÇÃO Ø 0,60M</t>
  </si>
  <si>
    <t>16.05.057</t>
  </si>
  <si>
    <t>CONCRETO CICLOPICO COM BRITA 4 COM 30% DE RACHAO  FCK 15MPa</t>
  </si>
  <si>
    <t>POÇO DE RETENÇÃO DE ÁGUA PLUVIAL Ø 2,50M COM FUNDO DE CONCRETO</t>
  </si>
  <si>
    <t>16.05.059</t>
  </si>
  <si>
    <t>LASTRO DE PEDRA RACHAO TAMANHO DE 10 A 15 CM.</t>
  </si>
  <si>
    <t>16.05.060</t>
  </si>
  <si>
    <t>POÇO DE RETENÇÃO DE ÁGUA PLUVIAL Ø 3,00M COM FUNDO DE CONCRETO</t>
  </si>
  <si>
    <t>TUBO PVC OCRE JUNTA ELASTICA DN 100 INCLUSIVE CONEXOES  -  ENTERRADO</t>
  </si>
  <si>
    <t>TUBO PVC OCRE JUNTA ELASTICA DN 150 INCLUSIVE CONEXOES  -  ENTERRADO</t>
  </si>
  <si>
    <t>TUBO PVC OCRE JUNTA ELASTICA DN 200 INCLUSIVE CONEXOES  -  ENTERRADO</t>
  </si>
  <si>
    <t>TUBO PVC OCRE JUNTA ELASTICA DN 250 INCLUSIVE CONEXOES  -  ENTERRADO</t>
  </si>
  <si>
    <t>16.05.068</t>
  </si>
  <si>
    <t>TUBO PVC OCRE JUNTA ELASTICA DN 300 INCLUSIVE CONEXOES  -  ENTERRADO</t>
  </si>
  <si>
    <t>16.05.070</t>
  </si>
  <si>
    <t>16.05.071</t>
  </si>
  <si>
    <t>16.05.072</t>
  </si>
  <si>
    <t>16.05.073</t>
  </si>
  <si>
    <t>16.05.074</t>
  </si>
  <si>
    <t>16.05.076</t>
  </si>
  <si>
    <t>16.05.077</t>
  </si>
  <si>
    <t>16.05.078</t>
  </si>
  <si>
    <t>ESCAVAÇÃO  POÇO DE RETENÇÃO DE ÁGUAS PLUVIAIS  ATÉ 3,50 METROS DE PROFUNDIDADE COM RETROESCAVADEIRA COM CACAMBA FRONTRAL-85HP</t>
  </si>
  <si>
    <t>16.05.080</t>
  </si>
  <si>
    <t>BOMBA SUBMERSA POTENCIA 1CV, TRIFASICA VAZAO 7M3/HORA ALTURA MANOMETRICA 10 MCA RESERVATORIO RETENÇÃO AGUA PLUVIAL</t>
  </si>
  <si>
    <t>16.05.081</t>
  </si>
  <si>
    <t>AUTOMÁTICO DE BÓIA, EM POLIPROPILENO, (ELETRICO 16A) CONTATO ISENTO DE MERCÚRIO  RESERVATORIO RETENÇÃO AGUA PLUVIAL</t>
  </si>
  <si>
    <t>16.05.082</t>
  </si>
  <si>
    <t>TUBO ACO GALVANIZ NBR5580-CL MEDIA, DN80MM (3") INCL CONEXOES RESERVATORIO RETENÇÃO  AGUA PLUVIAL</t>
  </si>
  <si>
    <t>16.05.083</t>
  </si>
  <si>
    <t>REGISTRO DE GAVETA BRUTO DN 80MM (3") RESERVATORIO RETENÇÃO AGUA PLUVIAL</t>
  </si>
  <si>
    <t>16.05.084</t>
  </si>
  <si>
    <t>VALVULA DE RETENCAO VERTICAL DN80MM (3")  RESERVATORIO RETENÇÃO AGUA PLUVIAL</t>
  </si>
  <si>
    <t>16.05.085</t>
  </si>
  <si>
    <t>CORRENTE ELO CURTO GALVANIZADO 4MM CARGA TRABALHO 100KG RESERVATORIO RETENÇÃO AGUA PLUVIAL</t>
  </si>
  <si>
    <t>AL-02 ABRIGO PARA RESÍDUOS RECICLÁVEIS</t>
  </si>
  <si>
    <t>16.06.045</t>
  </si>
  <si>
    <t>LOCAÇÃO MENSAL CONTAINER DE 6M C/1 V.SANIT. 1 LAVABO E 1 PONTO P/CHUVEIRO,INCLUSIVE SUPORTE AR COND.</t>
  </si>
  <si>
    <t>16.06.046</t>
  </si>
  <si>
    <t>LOCAÇÃO MENSAL DE CONTAINER 6,00M COM JANELAS DE VENTILAÇÃO.</t>
  </si>
  <si>
    <t>16.06.047</t>
  </si>
  <si>
    <t>LOCAÇÃO MENSAL DE CONTAINER 4,00M COM 2 VASOS SANITARIOS, 1 LAVABO, 1 MICTÓRIO E 4 PONTOS CHUV.</t>
  </si>
  <si>
    <t>16.06.048</t>
  </si>
  <si>
    <t>LOCAÇÃO MENSAL INCLUSIVE FRETE BEBEDOURO ELÉTRICO TEMPERATURA NATURAL OU GELADA.</t>
  </si>
  <si>
    <t>16.06.049</t>
  </si>
  <si>
    <t>LOCAÇÃO MENSAL INCLUSIVE FRETE DE APARELHO DE AR CONDICIONADO ATÉ 10000 BTU.</t>
  </si>
  <si>
    <t>16.06.050</t>
  </si>
  <si>
    <t>16.06.052</t>
  </si>
  <si>
    <t>LOCAÇÃO MENSAL DE ESTRUTURA DE COBERTURA IMPERMEÁVEL (TENDA) INCLUSIVE MONTAGEM E FRETE.</t>
  </si>
  <si>
    <t>16.06.058</t>
  </si>
  <si>
    <t>TAPUME H=225CM APOIADO NO TERRENO E PINTURA LATEX FACE EXTERNA COM LOGOTIPO</t>
  </si>
  <si>
    <t>16.06.059</t>
  </si>
  <si>
    <t>TAPUME H=225CM ENGASTADO NO TERRENO E PINTURA LATEX FACE EXTERNA CO LOGOTIPO</t>
  </si>
  <si>
    <t>16.06.065</t>
  </si>
  <si>
    <t>16.06.066</t>
  </si>
  <si>
    <t>16.06.077</t>
  </si>
  <si>
    <t>MANUTENÇÃO MENSAL DE PLACAS DE OBRA</t>
  </si>
  <si>
    <t>16.06.078</t>
  </si>
  <si>
    <t>FORNECIMENTO E INSTALAÇAO DE PLACA DE IDENTIFICAÇAO DE OBRA   INCLUSO SUPORTE ESTRUTURA DE MADEIRA.</t>
  </si>
  <si>
    <t>16.06.081</t>
  </si>
  <si>
    <t>INSTALAÇÃO CH-01 CHUVEIRO E LAVA OLHOS / FACE</t>
  </si>
  <si>
    <t>INSTALACÃO DE FAIXAS DE PROTECAO (FP-03/FP-04) POR REGUA</t>
  </si>
  <si>
    <t>16.06.088</t>
  </si>
  <si>
    <t>INSTALACÃO DE FAIXAS DE EXPOSICAO (FP-05) POR REGUA</t>
  </si>
  <si>
    <t>INSTALACÃO DE LOUSA (LG-07)</t>
  </si>
  <si>
    <t>INSTALACÃO DE MURAL (MR-02)</t>
  </si>
  <si>
    <t>INSTALACÃO DE FOGAO INDUSTRIAL</t>
  </si>
  <si>
    <t>INSTALACÃO DE SUPORTE TV/VIDEO</t>
  </si>
  <si>
    <t>16.06.099</t>
  </si>
  <si>
    <t>INSTALAÇÃO DE VENTILADOR DE PAREDE VN-02</t>
  </si>
  <si>
    <t>INSTALAÇÃO DO BALCAO TERMICO  BT-02</t>
  </si>
  <si>
    <t>16.06.106</t>
  </si>
  <si>
    <t>TRANSPORTE C/CAMINHAO ATE 6T. DIST.ATE 100KM C/MOTORISTA E 2 AJUDANTES.</t>
  </si>
  <si>
    <t>16.06.107</t>
  </si>
  <si>
    <t>TRANSPORTE C/CAMINHAO ATE 6T. DIST. DE 101KM ATE 300KM C/MOTORISTA E 2 AJUDANTES.</t>
  </si>
  <si>
    <t>16.06.108</t>
  </si>
  <si>
    <t>TRANSPORTE C/CAMINHAO ATE 6T. DIST. DE 301KM ATE 500KM C/MOTORISTA E 2 AJUDANTES.</t>
  </si>
  <si>
    <t>16.06.109</t>
  </si>
  <si>
    <t>TRANSPORTE C/CAMINHAO ATE 6T. DIST. DE 501KM ATE 700KM C/MOTORISTA E 2 AJUDANTES.</t>
  </si>
  <si>
    <t>16.07.011</t>
  </si>
  <si>
    <t>BL-01 BICICLETÁRIO SOBRE LAJE DE CONCRETO ARMADO</t>
  </si>
  <si>
    <t>BL-02 BICICLETÁRIO SOBRE CIMENTADO OU BLOCO INTERTRAVADO</t>
  </si>
  <si>
    <t>16.07.015</t>
  </si>
  <si>
    <t>16.07.022</t>
  </si>
  <si>
    <t>BC-24 BANCO DE CONCRETO PRE-FABRICADO (L=115CM)</t>
  </si>
  <si>
    <t>16.07.023</t>
  </si>
  <si>
    <t>BC-25 BANCO DE CONCRETO PRE-FABRICADO (L=216CM)</t>
  </si>
  <si>
    <t>16.07.024</t>
  </si>
  <si>
    <t>BC-26 BANCO PUFE PRE FABRICADO DE CONCRETO Ø 60CM</t>
  </si>
  <si>
    <t>16.07.025</t>
  </si>
  <si>
    <t>BC-27 BANCO DE CONCRETO PRE-FABRICADO (L=220CM)</t>
  </si>
  <si>
    <t>16.07.031</t>
  </si>
  <si>
    <t>16.07.037</t>
  </si>
  <si>
    <t>FL-07 FLOREIRA PRE FABRICADO DE CONCRETO Ø 60CM</t>
  </si>
  <si>
    <t>16.07.038</t>
  </si>
  <si>
    <t>FL-08 FLOREIRA PRE FABRICADO DE CONCRETO Ø 56,50CM H=42,90CM</t>
  </si>
  <si>
    <t>BANCO COM ASSENTO DE CONCRETO ARMADO LISO DESEMPENADO COM PINTURA VERNIZ ACRÍLICO  FUNDAÇÃO SAPATA ISOLADA E PILARETE BLOCO CONCRETO REVESTIDO</t>
  </si>
  <si>
    <t>16.07.043</t>
  </si>
  <si>
    <t>OC-01 OBSTACULO PRE FABRICADO DE CONCRETO TIPO FRADE Ø30 H=60CM  BASE FIXADA COM ARGAMASSA TRAÇO 1:3 (30X30X10H)</t>
  </si>
  <si>
    <t>16.07.045</t>
  </si>
  <si>
    <t>OC-01 OBSTACULO PRE FABRICADO DE CONCRETO TIPO PRISMA 15X50X10CM BASE FIXADA COM TARUGO Ø 12,5MM E ARGAMASSA COLANTE AClll.</t>
  </si>
  <si>
    <t>16.07.046</t>
  </si>
  <si>
    <t>OC-01 OBSTACULO PRE FABRICADO DE CONCRETO TIPO BOLA Ø35CM H=33CM INCLUSIVE BARRA ROSCADA Ø 20MM</t>
  </si>
  <si>
    <t>16.07.081</t>
  </si>
  <si>
    <t>16.08.024</t>
  </si>
  <si>
    <t>16.08.025</t>
  </si>
  <si>
    <t>TUBO PVC OCRE  JUNTA ELASTICA DN 150 INCLUSIVE CONEXOES  -  ENTERRADO</t>
  </si>
  <si>
    <t>CI-02 CAIXA DE INSPEÇÃO 80X80CM PARA ESGOTO</t>
  </si>
  <si>
    <t>16.08.034</t>
  </si>
  <si>
    <t>16.08.039</t>
  </si>
  <si>
    <t>16.08.050</t>
  </si>
  <si>
    <t>16.08.051</t>
  </si>
  <si>
    <t>16.08.060</t>
  </si>
  <si>
    <t>16.08.061</t>
  </si>
  <si>
    <t>16.08.062</t>
  </si>
  <si>
    <t>16.08.065</t>
  </si>
  <si>
    <t>16.08.066</t>
  </si>
  <si>
    <t>16.08.067</t>
  </si>
  <si>
    <t>16.08.068</t>
  </si>
  <si>
    <t>16.08.069</t>
  </si>
  <si>
    <t>16.08.070</t>
  </si>
  <si>
    <t>16.08.071</t>
  </si>
  <si>
    <t>16.08.072</t>
  </si>
  <si>
    <t>16.08.073</t>
  </si>
  <si>
    <t>16.08.074</t>
  </si>
  <si>
    <t>16.08.075</t>
  </si>
  <si>
    <t>16.08.099</t>
  </si>
  <si>
    <t>16.09.003</t>
  </si>
  <si>
    <t>16.09.004</t>
  </si>
  <si>
    <t>16.09.007</t>
  </si>
  <si>
    <t>16.09.008</t>
  </si>
  <si>
    <t>16.09.099</t>
  </si>
  <si>
    <t>16.10.099</t>
  </si>
  <si>
    <t>16.11.012</t>
  </si>
  <si>
    <t>16.11.013</t>
  </si>
  <si>
    <t>16.11.014</t>
  </si>
  <si>
    <t>16.11.020</t>
  </si>
  <si>
    <t>16.11.025</t>
  </si>
  <si>
    <t>REMOÇÃO DE RESÍDUOS ( PODA / ENTULHO) PARA ÁREA DE TRANSBORDO E TRIAGEM (ATT)</t>
  </si>
  <si>
    <t>16.11.030</t>
  </si>
  <si>
    <t>TRANSPORTE POR CAMINHÃO PARA ÁREA DE TRANSBORDO DE RESÍDUOS DE OBRA</t>
  </si>
  <si>
    <t>16.11.099</t>
  </si>
  <si>
    <t>16.13.002</t>
  </si>
  <si>
    <t>16.13.007</t>
  </si>
  <si>
    <t>16.13.030</t>
  </si>
  <si>
    <t>16.13.035</t>
  </si>
  <si>
    <t>16.13.099</t>
  </si>
  <si>
    <t>16.14.009</t>
  </si>
  <si>
    <t>16.14.013</t>
  </si>
  <si>
    <t>16.14.034</t>
  </si>
  <si>
    <t>16.14.039</t>
  </si>
  <si>
    <t>16.14.044</t>
  </si>
  <si>
    <t>16.14.048</t>
  </si>
  <si>
    <t>16.14.049</t>
  </si>
  <si>
    <t>16.14.099</t>
  </si>
  <si>
    <t>16.15.003</t>
  </si>
  <si>
    <t>VERGA / CINTA EM BLOCO DE CONCRETO CANALETA 14X19X39 CM</t>
  </si>
  <si>
    <t>16.15.004</t>
  </si>
  <si>
    <t>VERGA / CINTA EM BLOCO DE CONCRETO CANALETA 19X19X39 CM</t>
  </si>
  <si>
    <t>16.15.005</t>
  </si>
  <si>
    <t>ALVENARIA AUTO PORTANTE BLOCO DE CONCRETO ESTRUTURAL DE 14X19X39 CM CLASSE A</t>
  </si>
  <si>
    <t>ALVENARIA AUTO PORTANTE BLOCO DE CONCRETO ESTRUTURAL DE 19X19X39 CM CLASSE A</t>
  </si>
  <si>
    <t>16.15.029</t>
  </si>
  <si>
    <t>16.15.030</t>
  </si>
  <si>
    <t>16.15.034</t>
  </si>
  <si>
    <t>16.15.040</t>
  </si>
  <si>
    <t>16.15.041</t>
  </si>
  <si>
    <t>16.15.049</t>
  </si>
  <si>
    <t>16.15.099</t>
  </si>
  <si>
    <t>16.18.015</t>
  </si>
  <si>
    <t>LOCAÇÃO MENSAL SANITÁRIO QUÍMICO COM DUAS HIGIENIZAÇÕES NA SEMANA, INCLUSO COLETA DE EFLUENTES</t>
  </si>
  <si>
    <t>16.18.020</t>
  </si>
  <si>
    <t>SERVIÇO DE HIGIENIZAÇÃO EXTRA PARA SANITÁRIO QUÍMICO, INCLUSO COLETA DE EFLUENTES</t>
  </si>
  <si>
    <t>16.18.021</t>
  </si>
  <si>
    <t>ESPÍCULAS EM POLICARBONATO  PEÇA 33x11,8 CM ARCO DE 100 GRAUS IMPEDIMENTO AO POUSO DE AVES    FIXAÇÃO COM PARAFUSO</t>
  </si>
  <si>
    <t>16.18.022</t>
  </si>
  <si>
    <t>ESPÍCULAS EM POLICARBONATO  PEÇA 33x11,8 CM ARCO DE 100 GRAUS IMPEDIMENTO AO POUSO DE AVES    FIXAÇÃO COM SILICONE</t>
  </si>
  <si>
    <t>16.18.055</t>
  </si>
  <si>
    <t>FORNEC.E MONT.DO CONJ.DE ESTRUT.PRÉ-FABR.DE MADEIRA DESMONTÁVEL.- PROJ.REF.1201040-PD.ÍNDIO</t>
  </si>
  <si>
    <t>SI-01 PLACA DE SINALIZAÇÃO DE AMBIENTE 200X200MM (PORTA)</t>
  </si>
  <si>
    <t>16.18.071</t>
  </si>
  <si>
    <t>SI-02 PLACA DE SINALIZAÇÃO DE AMBIENTE 200X200MM (PAREDE INTERNA)</t>
  </si>
  <si>
    <t>SI-03 PLACA DE SINALIZAÇÃO DE AMBIENTE 200X200MM (PAREDE INTERNA)</t>
  </si>
  <si>
    <t>16.18.073</t>
  </si>
  <si>
    <t>SI-04 PLACA DE SINALIZAÇÃO DE AMBIENTE 700X200MM (PORTA)</t>
  </si>
  <si>
    <t>16.18.074</t>
  </si>
  <si>
    <t>SI-05 PLACA DE SINALIZAÇÃO DE AMBIENTE 700X200MM (PAREDE INTERNA)</t>
  </si>
  <si>
    <t>16.18.075</t>
  </si>
  <si>
    <t>SI-06 PLACA DE SINALIZAÇÃO DE AMBIENTE 700X200MM (PAREDE INTERNA)</t>
  </si>
  <si>
    <t>16.18.076</t>
  </si>
  <si>
    <t>SI-07 PLACA DE SINALIZAÇÃO DE AMBIENTE 500X60MM (PAREDE INTERNA) / BRAILLE</t>
  </si>
  <si>
    <t>16.18.077</t>
  </si>
  <si>
    <t>SI-08 PLACA DE SINALIZAÇÃO DE CORRIMÃO 30X30MM (METÁLICA/BRAILLE)</t>
  </si>
  <si>
    <t>16.18.078</t>
  </si>
  <si>
    <t>SI-09 PLACA DE SINALIZAÇÃO DE AMBIENTE 500X500MM (PAREDE EXTERNA)</t>
  </si>
  <si>
    <t>16.18.079</t>
  </si>
  <si>
    <t>SI-10 PLACA DE SINALIZAÇÃO DE AMBIENTE 500X700MM (PAREDE EXTERNA)</t>
  </si>
  <si>
    <t>SI-11 SINALIZAÇÃO HORIZONTAL PARA VAGA ACESSIVEL</t>
  </si>
  <si>
    <t>SI-12 TOTEM DE IDENTIFICAÇÃO</t>
  </si>
  <si>
    <t>16.18.082</t>
  </si>
  <si>
    <t>SI-13 SINALIZAÇÃO DE AMBIENTE 540X200MM PAREDE EXTERNA/PORTA</t>
  </si>
  <si>
    <t>16.18.083</t>
  </si>
  <si>
    <t>SI-14 SINALIZAÇÃO DE AMBIENTE 300X300MM PAREDE EXTERNA</t>
  </si>
  <si>
    <t>16.18.084</t>
  </si>
  <si>
    <t>SI-15 SINALIZAÇÃO DE AMBIENTE 200X200MM PAREDE EXTERNA</t>
  </si>
  <si>
    <t>16.18.085</t>
  </si>
  <si>
    <t>SI-16 SINALIZAÇÃO DE AMBIENTE 700X200MM PAREDE EXTERNA</t>
  </si>
  <si>
    <t>16.18.086</t>
  </si>
  <si>
    <t>SI-17 SINALIZAÇÃO DE AMBIENTE 200X200MM PAREDE EXTERNA</t>
  </si>
  <si>
    <t>16.18.099</t>
  </si>
  <si>
    <t>16.19.099</t>
  </si>
  <si>
    <t>SERVIÇOS - HIDRÁULICA</t>
  </si>
  <si>
    <t>16.20.022</t>
  </si>
  <si>
    <t>ELEVADOR 2 PARADAS MAQ CONJUGADA PORTA UNILATERAL (ACESSIB)</t>
  </si>
  <si>
    <t>16.20.023</t>
  </si>
  <si>
    <t>16.20.024</t>
  </si>
  <si>
    <t>16.20.025</t>
  </si>
  <si>
    <t>16.20.026</t>
  </si>
  <si>
    <t>16.20.029</t>
  </si>
  <si>
    <t>16.20.033</t>
  </si>
  <si>
    <t>16.20.042</t>
  </si>
  <si>
    <t>16.20.043</t>
  </si>
  <si>
    <t>16.20.044</t>
  </si>
  <si>
    <t>16.20.045</t>
  </si>
  <si>
    <t>16.20.099</t>
  </si>
  <si>
    <t>16.20.103</t>
  </si>
  <si>
    <t>ELETRODUTO GALV.QUENTE D=100 CABINE PRIMARIA NBR 5598 BSP RIR (INCL.CONEX.E FIXAÇOES EM POSTE)</t>
  </si>
  <si>
    <t>16.20.113</t>
  </si>
  <si>
    <t>ELETRODUTO CORRUGADO ESPIRAL ENTERRADO PEAD D=100 CABINE PRIMÁRIA NBR 13897</t>
  </si>
  <si>
    <t>16.30.010</t>
  </si>
  <si>
    <t>16.30.012</t>
  </si>
  <si>
    <t>16.30.013</t>
  </si>
  <si>
    <t>16.30.016</t>
  </si>
  <si>
    <t>16.30.017</t>
  </si>
  <si>
    <t>16.31.018</t>
  </si>
  <si>
    <t>TAXA DE MOBILIZAÇÃO DE EQUIPAMENTO-ESTACA RAIZ</t>
  </si>
  <si>
    <t>16.31.024</t>
  </si>
  <si>
    <t>16.31.025</t>
  </si>
  <si>
    <t>16.31.026</t>
  </si>
  <si>
    <t>16.31.027</t>
  </si>
  <si>
    <t>16.31.030</t>
  </si>
  <si>
    <t>REFORÇO DE FUNDAÇOES ESTACA RAIZ DN 160MM PERFURAÇÃO EM SOLO</t>
  </si>
  <si>
    <t>16.31.031</t>
  </si>
  <si>
    <t>REFORÇO DE FUNDAÇOES ESTACA RAIZ DN 200MM PERFURAÇÃO EM SOLO</t>
  </si>
  <si>
    <t>16.32.034</t>
  </si>
  <si>
    <t>JATEAMENTO ABRASIVO COM ÓXIDO DE ALUMÍNIO</t>
  </si>
  <si>
    <t>16.35.001</t>
  </si>
  <si>
    <t>16.35.002</t>
  </si>
  <si>
    <t>16.35.003</t>
  </si>
  <si>
    <t>16.35.004</t>
  </si>
  <si>
    <t>16.35.005</t>
  </si>
  <si>
    <t>16.35.006</t>
  </si>
  <si>
    <t>ESCARIFICACAO MECANICA,CORTE CONCRETO C/REBARBADORES ELETR ATE 5,0C</t>
  </si>
  <si>
    <t>16.35.007</t>
  </si>
  <si>
    <t>16.35.008</t>
  </si>
  <si>
    <t>16.35.009</t>
  </si>
  <si>
    <t>16.35.011</t>
  </si>
  <si>
    <t>16.35.012</t>
  </si>
  <si>
    <t>16.35.013</t>
  </si>
  <si>
    <t>16.35.014</t>
  </si>
  <si>
    <t>16.35.015</t>
  </si>
  <si>
    <t>16.35.016</t>
  </si>
  <si>
    <t>16.35.017</t>
  </si>
  <si>
    <t>16.35.018</t>
  </si>
  <si>
    <t>16.35.019</t>
  </si>
  <si>
    <t>16.35.020</t>
  </si>
  <si>
    <t>16.35.021</t>
  </si>
  <si>
    <t>16.35.022</t>
  </si>
  <si>
    <t>16.36.001</t>
  </si>
  <si>
    <t>REPAROS SUPERF ARGAM MONOCOMP CIMENTO C/POLÍMEROS (1,0&lt;ESP&lt;3.0CM)</t>
  </si>
  <si>
    <t>16.36.002</t>
  </si>
  <si>
    <t>REPAROS SUPERF ARGAM BICOMP CIMENTO C/POLÍMERO ACRILICO (1,0&lt;ESP&lt;3.0C</t>
  </si>
  <si>
    <t>16.36.003</t>
  </si>
  <si>
    <t>REPAROS SUPERF ARGAM BICOMP CIMENTO C/POLÍMERO ACRILICO E FIBRA SINT (1,0&lt;ESP&lt;3,0CM)</t>
  </si>
  <si>
    <t>16.36.005</t>
  </si>
  <si>
    <t>REPAROS SUPERF LOCALIZ, ARGAM POLIMERICA BASE EPOXI (0,5&lt;ESP&lt;1,5CM)</t>
  </si>
  <si>
    <t>16.36.006</t>
  </si>
  <si>
    <t>REPAROS SUPERF LOCALIZ,ARGAM POLIMERICA BASE POLIESTER (0,5&lt;ESP&lt;1,5CM)</t>
  </si>
  <si>
    <t>16.37.001</t>
  </si>
  <si>
    <t>REPAROS SUPERF ARGAM MONOCOMP CIMENTO C/POLÍMEROS (1,0&lt;ESP&lt;5,0CM)</t>
  </si>
  <si>
    <t>16.37.002</t>
  </si>
  <si>
    <t>REPAROS SUPERF ARGAM BICOMP CIMENTO C/POLÍMERO ACRILICO (1,0&lt;ESP&lt;5,0C</t>
  </si>
  <si>
    <t>16.37.003</t>
  </si>
  <si>
    <t>REPAROS SUPERF ARGAM BICOMP  CIMENTO C/POLÍMERO ACRILICO E FIBRA SINT (1,0&lt;ESP&lt;5,0CM)</t>
  </si>
  <si>
    <t>16.37.005</t>
  </si>
  <si>
    <t>REPAROS SUPERF COM ARGAMASSA MONOCOMP CIMENTO C/POLÍMEROS PROJETADA (1,0&lt;ESP&lt;7,0CM)</t>
  </si>
  <si>
    <t>16.37.006</t>
  </si>
  <si>
    <t>REPAROS SUPERF COM ARGAM BICOMP CIMENTO C/POLÍMERO ACRILICO PROJETADA (1,0&lt;ESP&lt;7,0CM)</t>
  </si>
  <si>
    <t>16.37.007</t>
  </si>
  <si>
    <t>REPAROS SUPERF COM ARGAM BICOMP CIMENTO C/POLÍMERO ACRILICO E FIBRA SINT PROJETADA (1,0&lt;ESP&lt;7,0CM)</t>
  </si>
  <si>
    <t>16.37.009</t>
  </si>
  <si>
    <t>REPAROS SUPERF ESTUCAM CORRETIVO ARGAM MONOCOMP C/POLÍMEROS ESP&lt;5MM</t>
  </si>
  <si>
    <t>16.37.010</t>
  </si>
  <si>
    <t>REPAROS SUPERF ESTUCAM CORRETIVO ARGAM BICOMP CIMENTO C/POLÍMERO ACRILICO ESP&lt;5MM</t>
  </si>
  <si>
    <t>16.37.011</t>
  </si>
  <si>
    <t>REPAROS SUPERF ESTUCAM CORRETIVO ARGAM BICOMP CIMENTO C/POLÍMERO ACRILICO E FIBRA SINT ESP&lt;5MM</t>
  </si>
  <si>
    <t>16.38.001</t>
  </si>
  <si>
    <t>REPAROS DE JUNTAS C/ARGAM MONOCOMP CIMENTO C/POLÍMEROS</t>
  </si>
  <si>
    <t>16.38.002</t>
  </si>
  <si>
    <t>REPAROS DE JUNTAS C/ARGAM BICOMP CIMENTO C/POLÍMERO ACRILICO</t>
  </si>
  <si>
    <t>16.38.003</t>
  </si>
  <si>
    <t>REPAROS DE JUNTAS C/ARGAM BICOMP CIMENTO C/ POLÍMERO ACRILICO E FIBRA SINT</t>
  </si>
  <si>
    <t>16.38.005</t>
  </si>
  <si>
    <t>16.38.006</t>
  </si>
  <si>
    <t>16.39.001</t>
  </si>
  <si>
    <t>REPAROS PROFUNDOS COM GRAUTE BASE CIMENTO (3,0&lt;ESP&lt;5,0CM)</t>
  </si>
  <si>
    <t>16.39.002</t>
  </si>
  <si>
    <t>REPAROS PROFUNDOS, MICROCONCRETO COM POLIMEROS (5,0&lt;ESP&lt;30,0CM)</t>
  </si>
  <si>
    <t>16.39.003</t>
  </si>
  <si>
    <t>REPAROS PROF EXEC C/ARGAM SECA DRY PACK ISENTA RETR(3,0&lt;ESP&lt;10,0CM)</t>
  </si>
  <si>
    <t>16.39.004</t>
  </si>
  <si>
    <t>16.39.005</t>
  </si>
  <si>
    <t>16.40.001</t>
  </si>
  <si>
    <t>16.40.002</t>
  </si>
  <si>
    <t>16.41.001</t>
  </si>
  <si>
    <t>16.41.002</t>
  </si>
  <si>
    <t>16.42.001</t>
  </si>
  <si>
    <t>16.42.002</t>
  </si>
  <si>
    <t>16.42.003</t>
  </si>
  <si>
    <t>16.42.004</t>
  </si>
  <si>
    <t>16.43.001</t>
  </si>
  <si>
    <t>16.43.002</t>
  </si>
  <si>
    <t>16.43.003</t>
  </si>
  <si>
    <t>16.43.004</t>
  </si>
  <si>
    <t>16.43.006</t>
  </si>
  <si>
    <t>16.43.007</t>
  </si>
  <si>
    <t>16.43.008</t>
  </si>
  <si>
    <t>16.43.009</t>
  </si>
  <si>
    <t>16.43.010</t>
  </si>
  <si>
    <t>16.43.011</t>
  </si>
  <si>
    <t>16.43.012</t>
  </si>
  <si>
    <t>16.43.013</t>
  </si>
  <si>
    <t>FURO EM CONCRETO COM D=3/8"</t>
  </si>
  <si>
    <t>16.43.014</t>
  </si>
  <si>
    <t>FURO EM CONCRETO COM D=1/2"</t>
  </si>
  <si>
    <t>16.43.015</t>
  </si>
  <si>
    <t>FURO EM CONCRETO COM D=5/8"</t>
  </si>
  <si>
    <t>16.43.016</t>
  </si>
  <si>
    <t>FURO EM CONCRETO COM D=3/4"</t>
  </si>
  <si>
    <t>16.43.017</t>
  </si>
  <si>
    <t>FURO EM CONCRETO COM D=1"</t>
  </si>
  <si>
    <t>16.43.020</t>
  </si>
  <si>
    <t>TAXA DE MOBILIZAÇÃO EQUIP. FUROS EM CONCRETO</t>
  </si>
  <si>
    <t>16.43.099</t>
  </si>
  <si>
    <t>SERVIÇOS DE FUROS EM CONCRETO</t>
  </si>
  <si>
    <t>16.44.001</t>
  </si>
  <si>
    <t>16.44.002</t>
  </si>
  <si>
    <t>16.44.003</t>
  </si>
  <si>
    <t>16.44.099</t>
  </si>
  <si>
    <t>SERVIÇOS DE FORNECIMENTO E COLOCACAO DE CHUMBADORES QUIMICOS</t>
  </si>
  <si>
    <t>16.45.001</t>
  </si>
  <si>
    <t>16.45.002</t>
  </si>
  <si>
    <t>16.45.003</t>
  </si>
  <si>
    <t>FORNECIMENTO E COLOCACAO DE CHUMBADORES EXPANSIVEIS D=3/8"</t>
  </si>
  <si>
    <t>16.45.010</t>
  </si>
  <si>
    <t>16.46.001</t>
  </si>
  <si>
    <t>16.46.002</t>
  </si>
  <si>
    <t>16.47.001</t>
  </si>
  <si>
    <t>16.47.002</t>
  </si>
  <si>
    <t>16.48.001</t>
  </si>
  <si>
    <t>16.48.002</t>
  </si>
  <si>
    <t>16.48.003</t>
  </si>
  <si>
    <t>16.48.004</t>
  </si>
  <si>
    <t>16.48.005</t>
  </si>
  <si>
    <t>16.48.006</t>
  </si>
  <si>
    <t>16.48.007</t>
  </si>
  <si>
    <t>APLICAÇAO PINTURA HIDROF. DUAS DEMAOS, SILOXANO OLIGOMERICO BASE SOLVENTE</t>
  </si>
  <si>
    <t>16.48.008</t>
  </si>
  <si>
    <t>APLICAÇAO PINTURA HIDROF. DUAS DEMAOS, SILOXANO POLIMERICO BASE SOLVENTE</t>
  </si>
  <si>
    <t>16.48.009</t>
  </si>
  <si>
    <t>16.48.010</t>
  </si>
  <si>
    <t>16.48.011</t>
  </si>
  <si>
    <t>16.48.012</t>
  </si>
  <si>
    <t>APLICACAO PINTURA IMPERM DUAS DEMAOS VERNIZ ACRILICO BASE SOLVENTE</t>
  </si>
  <si>
    <t>16.48.013</t>
  </si>
  <si>
    <t>APLICACAO PINTURA IMPERM PRIMER DUAS DEMAOS VERNIZ ACRILICO BASE AGUA</t>
  </si>
  <si>
    <t>16.48.014</t>
  </si>
  <si>
    <t>16.48.015</t>
  </si>
  <si>
    <t>16.48.016</t>
  </si>
  <si>
    <t>16.48.031</t>
  </si>
  <si>
    <t>16.48.035</t>
  </si>
  <si>
    <t>16.48.040</t>
  </si>
  <si>
    <t>16.50.001</t>
  </si>
  <si>
    <t>DEMOLIÇÃO DE TUBO DE F.G. P/ SUST DE TELA ALAMBR INCL BASE FIXAÇÃO</t>
  </si>
  <si>
    <t>16.50.002</t>
  </si>
  <si>
    <t>DEMOLIÇÃO DE TELA DE ARAME GALVANIZADO</t>
  </si>
  <si>
    <t>16.50.010</t>
  </si>
  <si>
    <t>16.50.015</t>
  </si>
  <si>
    <t>16.50.099</t>
  </si>
  <si>
    <t>16.80.002</t>
  </si>
  <si>
    <t>TELA DE ARAME GALVANIZADO N.10 MALHA 2"</t>
  </si>
  <si>
    <t>16.80.006</t>
  </si>
  <si>
    <t>16.80.007</t>
  </si>
  <si>
    <t>16.80.008</t>
  </si>
  <si>
    <t>16.80.009</t>
  </si>
  <si>
    <t>16.80.010</t>
  </si>
  <si>
    <t>16.80.012</t>
  </si>
  <si>
    <t>16.80.013</t>
  </si>
  <si>
    <t>16.80.014</t>
  </si>
  <si>
    <t>16.80.015</t>
  </si>
  <si>
    <t>16.80.016</t>
  </si>
  <si>
    <t>16.80.017</t>
  </si>
  <si>
    <t>16.80.018</t>
  </si>
  <si>
    <t>16.80.019</t>
  </si>
  <si>
    <t>16.80.022</t>
  </si>
  <si>
    <t>16.80.023</t>
  </si>
  <si>
    <t>16.80.024</t>
  </si>
  <si>
    <t>TABELA DE BASQUETE COM ARO E CESTO</t>
  </si>
  <si>
    <t>16.80.025</t>
  </si>
  <si>
    <t>TUBO DE F.G. 1 1/4" P/ SUSTENT.TELA DE ALAMBRADO EXCL BASE-TRAVAMENTO</t>
  </si>
  <si>
    <t>16.80.026</t>
  </si>
  <si>
    <t>TRELIÇA METÁLICA GALV. A FOGO P/TABELA DE BASQUETE MOD.QE-37 A QE-40</t>
  </si>
  <si>
    <t>16.80.031</t>
  </si>
  <si>
    <t>CONCRETO ESTRUTURAL Fck 20Mpa PREPARADO NO LOCAL, LANÇADO E ADENSADO</t>
  </si>
  <si>
    <t>16.80.070</t>
  </si>
  <si>
    <t>16.80.071</t>
  </si>
  <si>
    <t>16.80.072</t>
  </si>
  <si>
    <t>16.80.084</t>
  </si>
  <si>
    <t>DUTO COLETOR DE ENTULHO - LOCAÇÃO MENSAL</t>
  </si>
  <si>
    <t>16.80.086</t>
  </si>
  <si>
    <t>16.80.087</t>
  </si>
  <si>
    <t>16.80.088</t>
  </si>
  <si>
    <t>16.80.089</t>
  </si>
  <si>
    <t>16.80.090</t>
  </si>
  <si>
    <t>16.80.091</t>
  </si>
  <si>
    <t>16.80.092</t>
  </si>
  <si>
    <t>16.80.093</t>
  </si>
  <si>
    <t>16.80.094</t>
  </si>
  <si>
    <t>16.80.095</t>
  </si>
  <si>
    <t>16.80.097</t>
  </si>
  <si>
    <t>CAÇAMBA DE 4M3 PARA RETIRADA DE ENTULHO</t>
  </si>
  <si>
    <t>16.80.098</t>
  </si>
  <si>
    <t>16.80.099</t>
  </si>
  <si>
    <t>SERVICOS COMPLEMENTARES - CONSERVACAO</t>
  </si>
  <si>
    <t>16.80.100</t>
  </si>
  <si>
    <t>16.80.104</t>
  </si>
  <si>
    <t>16.85.048</t>
  </si>
  <si>
    <t>16.85.049</t>
  </si>
  <si>
    <t>16.85.060</t>
  </si>
  <si>
    <t>16.85.061</t>
  </si>
  <si>
    <t>16.85.062</t>
  </si>
  <si>
    <t>16.85.063</t>
  </si>
  <si>
    <t>16.85.064</t>
  </si>
  <si>
    <t>16.85.080</t>
  </si>
  <si>
    <t>CABO COBRE FLEXÍVEL MULTIPOLAR PP 3x16 mm2 0,6/1KV</t>
  </si>
  <si>
    <t>16.85.081</t>
  </si>
  <si>
    <t>CABO COBRE FLEXÍVEL MULTIPOLAR PP 3x10 mm2 0,6/1KV</t>
  </si>
  <si>
    <t>16.85.082</t>
  </si>
  <si>
    <t>CABO COBRE FLEXÍVEL MULTIPOLAR PP 3x6 mm2 0,6/1KV</t>
  </si>
  <si>
    <t>16.85.083</t>
  </si>
  <si>
    <t>CABO COBRE FLEXÍVEL MULTIPOLAR PP 3x4 mm2 0,6/1KV</t>
  </si>
  <si>
    <t>16.85.084</t>
  </si>
  <si>
    <t>CABO COBRE FLEXÍVEL MULTIPOLAR PP 3x2,5 mm2 0,6/1KV</t>
  </si>
  <si>
    <t>16.85.085</t>
  </si>
  <si>
    <t>CABO COBRE FLEXÍVEL MULTIPOLAR PP 3x1,5 mm2 0,6/1KV</t>
  </si>
  <si>
    <t>16.85.099</t>
  </si>
  <si>
    <t>SERVIÇOS POÇO TUBULAR PROFUNDO - CONSERVACAO</t>
  </si>
  <si>
    <t>QUANT. TOTAL</t>
  </si>
  <si>
    <t>ALTURA</t>
  </si>
  <si>
    <t>LARGURA</t>
  </si>
  <si>
    <t>COMPRIMENTO</t>
  </si>
  <si>
    <t>ÁREA</t>
  </si>
  <si>
    <t>REPETIÇÕES</t>
  </si>
  <si>
    <t>OBS.</t>
  </si>
  <si>
    <t>Executado</t>
  </si>
  <si>
    <t>BL01</t>
  </si>
  <si>
    <t>BL02</t>
  </si>
  <si>
    <t>VB01</t>
  </si>
  <si>
    <t>VB02</t>
  </si>
  <si>
    <t>*considerado o espaço de 50cm além da peça para trabalho e travamento das formas</t>
  </si>
  <si>
    <t>Volume escavado item 2.1.1</t>
  </si>
  <si>
    <t>Volume concretado item 2.5.1</t>
  </si>
  <si>
    <t>PRÉDIO PRINCIPAL</t>
  </si>
  <si>
    <t>CÁLICE EXTERNO</t>
  </si>
  <si>
    <t>CÁLICE INTERNO</t>
  </si>
  <si>
    <t>BL03</t>
  </si>
  <si>
    <t>BL04</t>
  </si>
  <si>
    <t>BL05</t>
  </si>
  <si>
    <t>BL06</t>
  </si>
  <si>
    <t>BL07</t>
  </si>
  <si>
    <t>VB03</t>
  </si>
  <si>
    <t>VB10</t>
  </si>
  <si>
    <t>VB42</t>
  </si>
  <si>
    <t>VB19</t>
  </si>
  <si>
    <t>VB22</t>
  </si>
  <si>
    <t>VB23</t>
  </si>
  <si>
    <t>VB46</t>
  </si>
  <si>
    <t>VB25</t>
  </si>
  <si>
    <t>VB30</t>
  </si>
  <si>
    <t>VB34</t>
  </si>
  <si>
    <t>VB38</t>
  </si>
  <si>
    <t>VB18</t>
  </si>
  <si>
    <t>VB20</t>
  </si>
  <si>
    <t>VB27</t>
  </si>
  <si>
    <t>VB43</t>
  </si>
  <si>
    <t>VB21</t>
  </si>
  <si>
    <t>VB04</t>
  </si>
  <si>
    <t>VB45</t>
  </si>
  <si>
    <t>VB24</t>
  </si>
  <si>
    <t>VB07</t>
  </si>
  <si>
    <t>VB05</t>
  </si>
  <si>
    <t>VB26</t>
  </si>
  <si>
    <t>VB28</t>
  </si>
  <si>
    <t>VB09</t>
  </si>
  <si>
    <t>VB48</t>
  </si>
  <si>
    <t>VB36</t>
  </si>
  <si>
    <t>VB12</t>
  </si>
  <si>
    <t>VB14</t>
  </si>
  <si>
    <t>VB35</t>
  </si>
  <si>
    <t>VB47</t>
  </si>
  <si>
    <t>VB13</t>
  </si>
  <si>
    <t>VB31</t>
  </si>
  <si>
    <t>VB32</t>
  </si>
  <si>
    <t>VB15</t>
  </si>
  <si>
    <t>VB16</t>
  </si>
  <si>
    <t>VB17</t>
  </si>
  <si>
    <t>VB41</t>
  </si>
  <si>
    <t>VB29</t>
  </si>
  <si>
    <t>VB33</t>
  </si>
  <si>
    <t>VB37</t>
  </si>
  <si>
    <t>VB39</t>
  </si>
  <si>
    <t>VB40</t>
  </si>
  <si>
    <t>CONSOLIDAÇÃO GABARITO LAJE ALVEOLAR</t>
  </si>
  <si>
    <t>QUADRA</t>
  </si>
  <si>
    <t xml:space="preserve">CÁLICE </t>
  </si>
  <si>
    <t>DESCONTO INTERNO CÁLICE</t>
  </si>
  <si>
    <t>CÁLICE</t>
  </si>
  <si>
    <t>PILARES 30X60</t>
  </si>
  <si>
    <t>PILARES 30X45</t>
  </si>
  <si>
    <t>PILARES 30X30</t>
  </si>
  <si>
    <t>PILAR D=30</t>
  </si>
  <si>
    <t>*observado que as peças da quadra não estavam computadas anteriormente</t>
  </si>
  <si>
    <t>* computado o total de metragem linear pela diferença de cota em projeto 99,70 - 100,00 = 30 cm</t>
  </si>
  <si>
    <t>* total do item 2.6.1 multiplicado pelo barrado</t>
  </si>
  <si>
    <t>* conforme Projeto de Esturutra 05/56 - Consolidação da Escada</t>
  </si>
  <si>
    <t>* conforme Projeto de Esturutra 14/56 (Vigas Calhas)</t>
  </si>
  <si>
    <t>Incluso Pré Moldado</t>
  </si>
  <si>
    <t>* conforme Projeto de Esturutra 15/56 (Vigas Calhas)</t>
  </si>
  <si>
    <t>* conforme Projeto de Esturutra 16/56</t>
  </si>
  <si>
    <t>* conforme Projeto de Esturutra 17/56</t>
  </si>
  <si>
    <t>* conforme Projeto de Esturutra 18/56</t>
  </si>
  <si>
    <t>* conforme Projeto de Esturutra 19/56</t>
  </si>
  <si>
    <t>* conforme Projeto de Esturutra 20/56</t>
  </si>
  <si>
    <t>* conforme Projeto de Esturutra 21/56</t>
  </si>
  <si>
    <t>* conforme Projeto de Esturutra 22/56</t>
  </si>
  <si>
    <t>* conforme Projeto de Esturutra 23/56</t>
  </si>
  <si>
    <t>* conforme Projeto de Esturutra 24/56</t>
  </si>
  <si>
    <t>* conforme Projeto de Esturutra 25/56</t>
  </si>
  <si>
    <t>* conforme Projeto de Esturutra 26/56</t>
  </si>
  <si>
    <t>* conforme Projeto de Esturutra 27/56</t>
  </si>
  <si>
    <t>* conforme Projeto de Esturutra 28/56</t>
  </si>
  <si>
    <t>* conforme Projeto de Esturutra 29/56</t>
  </si>
  <si>
    <t>* conforme Projeto de Esturutra 30/56</t>
  </si>
  <si>
    <t>* conforme Projeto de Esturutra 31/56</t>
  </si>
  <si>
    <t>* conforme Projeto de Esturutra 32/56</t>
  </si>
  <si>
    <t>* conforme Projeto de Esturutra 33/56</t>
  </si>
  <si>
    <t>* conforme Projeto de Esturutra 34/56</t>
  </si>
  <si>
    <t>* conforme Projeto de Esturutra 35/56</t>
  </si>
  <si>
    <t>* conforme Projeto de Esturutra 36/56</t>
  </si>
  <si>
    <t>* conforme Projeto de Esturutra 37/56</t>
  </si>
  <si>
    <t>* conforme Projeto de Esturutra 38/56</t>
  </si>
  <si>
    <t>* conforme Projeto de Esturutra 39/56</t>
  </si>
  <si>
    <t>* conforme Projeto de Esturutra 39/56 (LAJE)</t>
  </si>
  <si>
    <t>* conforme Projeto de Esturutra 40/56 (LAJE)</t>
  </si>
  <si>
    <t>* conforme Projeto de Esturutra 41/56 (LAJE)</t>
  </si>
  <si>
    <t>* conforme Projeto de Esturutra 47/56</t>
  </si>
  <si>
    <t>* conforme Projeto de Esturutra 48/56</t>
  </si>
  <si>
    <t>* conforme Projeto de Esturutra 49/56</t>
  </si>
  <si>
    <t>* conforme Projeto de Esturutra 50/56</t>
  </si>
  <si>
    <t>* conforme Projeto de Esturutra 51/56</t>
  </si>
  <si>
    <t>* conforme Projeto de Esturutra 52/56</t>
  </si>
  <si>
    <t>* conforme Projeto de Esturutra 53/56</t>
  </si>
  <si>
    <t xml:space="preserve">* conforme Projeto de Esturutra 40/56 e 41/56 </t>
  </si>
  <si>
    <t xml:space="preserve">* conforme Projeto de Esturutra 14/56 e 53/56 </t>
  </si>
  <si>
    <t xml:space="preserve">* conforme Projeto de Esturutra 14/56 a 52/56 </t>
  </si>
  <si>
    <t>*conforme projeto altura média com capeamento 23 cm, considerado média de  8 cm</t>
  </si>
  <si>
    <t xml:space="preserve">* conforme Projeto de Esturutra 06/56. </t>
  </si>
  <si>
    <t xml:space="preserve">* conforme Projeto de Esturutra 07/56. </t>
  </si>
  <si>
    <t>* conforme Projeto de Esturutra 18/56 (Vigas Protendidas)</t>
  </si>
  <si>
    <t>* conforme Projeto de Esturutra 19/56 (Vigas Protendidas)</t>
  </si>
  <si>
    <t>* conforme Projeto de Esturutra 20/56 (Vigas Protendidas)</t>
  </si>
  <si>
    <t>* conforme Projeto de Esturutra 21/56 (Vigas Protendidas)</t>
  </si>
  <si>
    <t>* conforme Projeto de Esturutra 38/56 (Vigas Protendidas)</t>
  </si>
  <si>
    <t xml:space="preserve">* conforme Projeto de Esturutra 21/56 </t>
  </si>
  <si>
    <t>* conforme Projeto de Esturutra 47/56 (QUADRA)</t>
  </si>
  <si>
    <t>* conforme Projeto de Esturutra 48/56 (QUADRA)</t>
  </si>
  <si>
    <t>* conforme Projeto de Esturutra 49/56 (QUADRA)</t>
  </si>
  <si>
    <t>* conforme Projeto de Esturutra 50/56 (QUADRA)</t>
  </si>
  <si>
    <t>* conforme Projeto de Esturutra 51/56 (QUADRA)</t>
  </si>
  <si>
    <t>* conforme Projeto de Esturutra 52/56 (QUADRA)</t>
  </si>
  <si>
    <t xml:space="preserve">* conforme Projeto de Esturutra 54 a 55/56. </t>
  </si>
  <si>
    <t>* conforme Projeto de Arquitetura 01 Implantação - Muretas Rampas e Escadas</t>
  </si>
  <si>
    <t>Cota 103,23</t>
  </si>
  <si>
    <t>* conforme Projeto de Arquitetura 21.  Eixo Q1 e Q3</t>
  </si>
  <si>
    <t>* conforme Projeto de Arquitetura 21.  Eixo QA e QE</t>
  </si>
  <si>
    <t>* conforme Projeto de Arquitetura 04.  Eixo A+1,80/1 a 8</t>
  </si>
  <si>
    <t>* conforme Projeto de Arquitetura 04.  Eixo A+8,80/1 a 7</t>
  </si>
  <si>
    <t>* conforme Projeto de Arquitetura 04.  Eixo A+1,80/7 a 8</t>
  </si>
  <si>
    <t>* conforme Projeto de Arquitetura 04.  Eixo A+1,80/8 a 9</t>
  </si>
  <si>
    <t>* conforme Projeto de Arquitetura 04.  Eixo A+8,80/8 a 9</t>
  </si>
  <si>
    <t>* conforme Projeto de Arquitetura 04.  Eixo A a B/1</t>
  </si>
  <si>
    <t>* conforme Projeto de Arquitetura 04.  Eixo A a B/2</t>
  </si>
  <si>
    <t>* conforme Projeto de Arquitetura 04.  Eixo A a B/3</t>
  </si>
  <si>
    <t>* conforme Projeto de Arquitetura 04.  Eixo A a B/4</t>
  </si>
  <si>
    <t>* conforme Projeto de Arquitetura 04.  Eixo A a B/5</t>
  </si>
  <si>
    <t>* conforme Projeto de Arquitetura 04.  Eixo A a B/6</t>
  </si>
  <si>
    <t>* conforme Projeto de Arquitetura 04.  Eixo A a B/7</t>
  </si>
  <si>
    <t>* conforme Projeto de Arquitetura 04.  Eixo A a B/8'</t>
  </si>
  <si>
    <t>* conforme Projeto de Arquitetura 04.  Eixo A a B/9</t>
  </si>
  <si>
    <t>* conforme Projeto de Arquitetura 04.  Eixo A a B/10</t>
  </si>
  <si>
    <t>* conforme Projeto de Arquitetura 04.  Eixo B/9 a 10</t>
  </si>
  <si>
    <t>* conforme Projeto de Arquitetura 04.  Eixo B a C/1</t>
  </si>
  <si>
    <t>* conforme Projeto de Arquitetura 04.  Eixo B a C/2</t>
  </si>
  <si>
    <t>* conforme Projeto de Arquitetura 04.  Eixo B a C/3</t>
  </si>
  <si>
    <t>* conforme Projeto de Arquitetura 04.  Eixo B/1 a 3</t>
  </si>
  <si>
    <t>* conforme Projeto de Arquitetura 04.  Eixo C/1 a 3</t>
  </si>
  <si>
    <t>* conforme Projeto de Arquitetura 04.  Eixo B/7 a 8</t>
  </si>
  <si>
    <t>* conforme Projeto de Arquitetura 04.  Eixo C/7 a 8</t>
  </si>
  <si>
    <t>* conforme Projeto de Arquitetura 04.  Eixo B a C/7</t>
  </si>
  <si>
    <t>* conforme Projeto de Arquitetura 04.  Eixo B a C/8</t>
  </si>
  <si>
    <t>* conforme Projeto de Arquitetura 04.  Eixo B a C/8'</t>
  </si>
  <si>
    <t>* conforme Projeto de Arquitetura 04.  Eixo B a C/9</t>
  </si>
  <si>
    <t>* conforme Projeto de Arquitetura 04.  Eixo B /8' a 9</t>
  </si>
  <si>
    <t>* conforme Projeto de Arquitetura 04.  Eixo C /8' a 9</t>
  </si>
  <si>
    <t>* conforme Projeto de Arquitetura 04.  Eixo B a C /10</t>
  </si>
  <si>
    <t>* conforme Projeto de Arquitetura 04.  Eixo C /9 a 10</t>
  </si>
  <si>
    <t>* conforme Projeto de Arquitetura 04.  Eixo C /8 a 9 (Fundos Escada)</t>
  </si>
  <si>
    <t>Cota 100,00</t>
  </si>
  <si>
    <t>Vestiário Masculino</t>
  </si>
  <si>
    <t>Vestiário Feminino</t>
  </si>
  <si>
    <t>Cantina</t>
  </si>
  <si>
    <t>Vestiário Família</t>
  </si>
  <si>
    <t>Sanitário Feminino</t>
  </si>
  <si>
    <t>Sanitário Masculino</t>
  </si>
  <si>
    <t>WC PCD Masculino</t>
  </si>
  <si>
    <t>WC PCD Feminino</t>
  </si>
  <si>
    <t>Refeitório</t>
  </si>
  <si>
    <t>Caixilhos</t>
  </si>
  <si>
    <t>Cozinha</t>
  </si>
  <si>
    <t>Despensa</t>
  </si>
  <si>
    <t>Utensílios</t>
  </si>
  <si>
    <t>Sanitário Funcionários</t>
  </si>
  <si>
    <t>Grêmio</t>
  </si>
  <si>
    <t>Copa</t>
  </si>
  <si>
    <t>DME Fis.</t>
  </si>
  <si>
    <t>DML</t>
  </si>
  <si>
    <t>Sala Dos Professores</t>
  </si>
  <si>
    <t>Sanitário Administrativo</t>
  </si>
  <si>
    <t>Coordenação</t>
  </si>
  <si>
    <t>Sala de Recursos</t>
  </si>
  <si>
    <t>Passarela</t>
  </si>
  <si>
    <t>Fechamento Corredor Circulação</t>
  </si>
  <si>
    <t xml:space="preserve">*conforme detalhamento cintas de amarração </t>
  </si>
  <si>
    <t>* conforme Projeto de Arquitetura 04.  Reservatório</t>
  </si>
  <si>
    <t xml:space="preserve">* conforme Projeto de Arquitetura 04.  </t>
  </si>
  <si>
    <t xml:space="preserve">*conforme detalhamento Arquitetura Folhas 14 e 15 </t>
  </si>
  <si>
    <t xml:space="preserve">*conforme detalhamento Arquitetura Folhas 03 e 04 (Salas de Aula e Áreas Administrativas) </t>
  </si>
  <si>
    <t>*conforme detalhamento Arquitetura Folhas 14 e 15  (Sanitários/Portas de Divisórias)</t>
  </si>
  <si>
    <t>DEPOSITO PEDAGÓGICO</t>
  </si>
  <si>
    <t>SALA ALMOXARIFADO</t>
  </si>
  <si>
    <t>SALA DIRETOR</t>
  </si>
  <si>
    <t>CANTINA</t>
  </si>
  <si>
    <t>SALA DE AULA 01</t>
  </si>
  <si>
    <t>SALA DE AULA 02</t>
  </si>
  <si>
    <t>SALA DE AULA 03</t>
  </si>
  <si>
    <t>SALA DE AULA 04</t>
  </si>
  <si>
    <t>SALA DE AULA 05</t>
  </si>
  <si>
    <t>SALA DE AULA 06</t>
  </si>
  <si>
    <t>SALA DE AULA 07</t>
  </si>
  <si>
    <t>SALA DE AULA 08</t>
  </si>
  <si>
    <t>DEPOSITO</t>
  </si>
  <si>
    <t>SALA DE PREPARO</t>
  </si>
  <si>
    <t>SALA MULT USO</t>
  </si>
  <si>
    <t>SALA DOS PROFESSORES</t>
  </si>
  <si>
    <t>SALA DE RECURSOS</t>
  </si>
  <si>
    <t>VESTIÁRIOS</t>
  </si>
  <si>
    <t>W.C PNE</t>
  </si>
  <si>
    <t>SANITÁRIOS FUNCIONÁRIOS</t>
  </si>
  <si>
    <t xml:space="preserve">DML </t>
  </si>
  <si>
    <t>VESTIÁRIO FAMILIAR</t>
  </si>
  <si>
    <t xml:space="preserve">CORREDOR </t>
  </si>
  <si>
    <t>SALA DE INFORMÁTICA</t>
  </si>
  <si>
    <t>LABORATÓRIO</t>
  </si>
  <si>
    <t>REFEITÓRIO</t>
  </si>
  <si>
    <t>GREMIO</t>
  </si>
  <si>
    <t>HALL DA ESCADA</t>
  </si>
  <si>
    <t>SALA DE LEITURA</t>
  </si>
  <si>
    <t xml:space="preserve">*conforme detalhamento Arquitetura Folhas 4 e 5 </t>
  </si>
  <si>
    <t>* Projeto não contempla elevador</t>
  </si>
  <si>
    <t>CIRCULAÇÃO SECRETARIA/DIRETORIA</t>
  </si>
  <si>
    <t>VESTIÁRIO FEMININO</t>
  </si>
  <si>
    <t>VESTIÁRIO MASCULINO</t>
  </si>
  <si>
    <t>SANITÁRIO FUNC.</t>
  </si>
  <si>
    <t>DME</t>
  </si>
  <si>
    <t>PREPARO</t>
  </si>
  <si>
    <t>INFORMÁTICA</t>
  </si>
  <si>
    <t>SALA MULTI USO</t>
  </si>
  <si>
    <t>* Conforme Projeto de Hidráulica FL 09/10</t>
  </si>
  <si>
    <t>GRÊMIO</t>
  </si>
  <si>
    <t>UTENSÍLIOS</t>
  </si>
  <si>
    <t>* Denominação no projeto está divergente da planilha Prancha Arquitetura FL 04</t>
  </si>
  <si>
    <t>CORREDOR SALAS DE AULAS</t>
  </si>
  <si>
    <t>CORREDOR TÉRREO</t>
  </si>
  <si>
    <t>EXTERNO SALA DE RECURSOS</t>
  </si>
  <si>
    <t>* conforme Projeto de Esturutra 54/56 (QUADRA)</t>
  </si>
  <si>
    <t>* conforme Projeto de Esturutra 55/56 (QUADRA)</t>
  </si>
  <si>
    <t>O projeto mencionado folha 206 é referente ao detalhamento de armação da laje, não foi possível avaliar o peso do prédio principal, ficou mantido a planilha enviada pelo FDE</t>
  </si>
  <si>
    <t>???</t>
  </si>
  <si>
    <t>Executado Parcialmente</t>
  </si>
  <si>
    <t>* Conforme Projeto Hidráulica Folha 01/10 (Implantação)</t>
  </si>
  <si>
    <t xml:space="preserve">*conforme detalhamento Incêndio Folhas 01 a 04 </t>
  </si>
  <si>
    <t>* conforme detalhamento Elétrica Folha 07/07, foi observado que a tipologia do padrão de entrada não atendem as necessidades para implantação do sistema de ar condicionado e demais equipamentos da unidade escolar.</t>
  </si>
  <si>
    <t>* conforme detalhamento Elétrica Folha 01 a 07/07</t>
  </si>
  <si>
    <t>* conforme detalhamento Elétrica Folha 01 a 07/07, foi observado que o cabeamento de 2,5 mm² era insuficiente o volume apurado anteriormente.</t>
  </si>
  <si>
    <t>* conforme detalhamento Incêndio Folha 01 a 05/05.</t>
  </si>
  <si>
    <t>*Sugestão substituição das luminárias fluorescente para led</t>
  </si>
  <si>
    <t>SALAS DE AULAS</t>
  </si>
  <si>
    <t>LAB QUIMICA</t>
  </si>
  <si>
    <t>* Não foram encontradas as áreas referente aos 965,20 m2 inicialmente previstos</t>
  </si>
  <si>
    <t>* complemento da laje moldada "in loco" consolidação das escadas.</t>
  </si>
  <si>
    <t>Salas de Aulas</t>
  </si>
  <si>
    <t>Sala de Informática</t>
  </si>
  <si>
    <t>Sala de Leitura</t>
  </si>
  <si>
    <t>Sala de Preparo</t>
  </si>
  <si>
    <t>Depósito Pedagógico</t>
  </si>
  <si>
    <t>Sala dos Professores</t>
  </si>
  <si>
    <t>Secretria / Coordenação</t>
  </si>
  <si>
    <t>* Não foi encontrado o total previsto inicialmente de 1272,50 m²</t>
  </si>
  <si>
    <t>*conforme projeto de Implantação Arquitetura Fl 01/22.</t>
  </si>
  <si>
    <t>*conforme projeto de Implantação Hidraulica Fl 01 a 10/ 10</t>
  </si>
  <si>
    <t>sugestão substituir canteiro de obras em madeira, para container</t>
  </si>
  <si>
    <t>*conforme  Implantação Hidráulica Fl 01/10</t>
  </si>
  <si>
    <t>*conforme tabela de quadro de áreas Implantação Arquitetura Fl 01/56</t>
  </si>
  <si>
    <t>Já Executado</t>
  </si>
  <si>
    <t>*conforme detalhamento Arquitetura  Folhas 01/56</t>
  </si>
  <si>
    <t>*conforme detalhamentoEstrutura  Folhas 14 a 56/56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</si>
</sst>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164" formatCode="&quot;CR$&quot;#,##0_);&quot;(CR$&quot;#,##0\)"/>
    <numFmt numFmtId="165" formatCode="_([$€-2]* #,##0.00_);_([$€-2]* \(#,##0.00\);_([$€-2]* \-??_)"/>
    <numFmt numFmtId="166" formatCode="_(* #,##0.00_);_(* \(#,##0.00\);_(* \-??_);_(@_)"/>
    <numFmt numFmtId="167" formatCode="_(&quot;R$ &quot;* #,##0.00_);_(&quot;R$ &quot;* \(#,##0.00\);_(&quot;R$ &quot;* \-??_);_(@_)"/>
    <numFmt numFmtId="168" formatCode="[$BRL]\ #,##0.00"/>
    <numFmt numFmtId="169" formatCode="_(\$* #,##0.00_);_(\$* \(#,##0.00\);_(\$* \-??_);_(@_)"/>
    <numFmt numFmtId="170" formatCode="_ * #,##0.00_ ;_ * \-#,##0.00_ ;_ * \-??_ ;_ @_ "/>
    <numFmt numFmtId="171" formatCode="_-* #,##0.00_-;\-* #,##0.00_-;_-* \-??_-;_-@_-"/>
    <numFmt numFmtId="172" formatCode="00\.00\.00"/>
    <numFmt numFmtId="173" formatCode="_(&quot;R$&quot;* #,##0.00_);_(&quot;R$&quot;* \(#,##0.00\);_(&quot;R$&quot;* \-??_);_(@_)"/>
    <numFmt numFmtId="174" formatCode="#,##0.0000"/>
    <numFmt numFmtId="175" formatCode="0.0000"/>
    <numFmt numFmtId="176" formatCode="_-&quot;R$ &quot;* #,##0.00_-;&quot;-R$ &quot;* #,##0.00_-;_-&quot;R$ &quot;* \-??_-;_-@_-"/>
    <numFmt numFmtId="177" formatCode="0.0"/>
    <numFmt numFmtId="178" formatCode="00\-00\-00"/>
    <numFmt numFmtId="179" formatCode="dd/mm/yy"/>
    <numFmt numFmtId="180" formatCode="General_)"/>
    <numFmt numFmtId="181" formatCode="[$R$-416]\ #,##0.00;[Red]\-[$R$-416]\ #,##0.00"/>
    <numFmt numFmtId="182" formatCode="d/m/yyyy"/>
    <numFmt numFmtId="183" formatCode="#,##0.00_ ;\(#,##0.00\)"/>
    <numFmt numFmtId="184" formatCode="#,##0.00;\(#,##0.00\)"/>
    <numFmt numFmtId="185" formatCode="0\ª"/>
    <numFmt numFmtId="186" formatCode="dd/mm/yy;@"/>
    <numFmt numFmtId="187" formatCode="#,##0.00_);[Red]\(#,##0.00\)"/>
    <numFmt numFmtId="188" formatCode="00"/>
    <numFmt numFmtId="189" formatCode="&quot;R$   &quot;#,##0.00"/>
    <numFmt numFmtId="190" formatCode="000"/>
    <numFmt numFmtId="191" formatCode="mmm/yyyy;@"/>
    <numFmt numFmtId="192" formatCode="_(* #,##0.0000_);_(* \(#,##0.0000\);_(* \-??_);_(@_)"/>
    <numFmt numFmtId="193" formatCode="[$-416]mmm\-yy;@"/>
    <numFmt numFmtId="194" formatCode="0.000%"/>
    <numFmt numFmtId="195" formatCode="0.0000%"/>
    <numFmt numFmtId="196" formatCode="mm\-dd\-yy;@"/>
  </numFmts>
  <fonts count="94">
    <font>
      <sz val="10"/>
      <name val="Arial"/>
      <family val="2"/>
      <charset val="1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sz val="11"/>
      <color rgb="FF800080"/>
      <name val="Calibri"/>
      <family val="2"/>
      <charset val="1"/>
    </font>
    <font>
      <b/>
      <sz val="11"/>
      <color rgb="FFFF9900"/>
      <name val="Calibri"/>
      <family val="2"/>
      <charset val="1"/>
    </font>
    <font>
      <b/>
      <sz val="11"/>
      <color rgb="FFFFFFFF"/>
      <name val="Calibri"/>
      <family val="2"/>
      <charset val="1"/>
    </font>
    <font>
      <i/>
      <sz val="11"/>
      <color rgb="FF808080"/>
      <name val="Calibri"/>
      <family val="2"/>
      <charset val="1"/>
    </font>
    <font>
      <sz val="11"/>
      <color rgb="FF008000"/>
      <name val="Calibri"/>
      <family val="2"/>
      <charset val="1"/>
    </font>
    <font>
      <b/>
      <sz val="15"/>
      <color rgb="FF003366"/>
      <name val="Calibri"/>
      <family val="2"/>
      <charset val="1"/>
    </font>
    <font>
      <b/>
      <sz val="13"/>
      <color rgb="FF003366"/>
      <name val="Calibri"/>
      <family val="2"/>
      <charset val="1"/>
    </font>
    <font>
      <b/>
      <sz val="11"/>
      <color rgb="FF003366"/>
      <name val="Calibri"/>
      <family val="2"/>
      <charset val="1"/>
    </font>
    <font>
      <sz val="11"/>
      <color rgb="FF333399"/>
      <name val="Calibri"/>
      <family val="2"/>
      <charset val="1"/>
    </font>
    <font>
      <sz val="11"/>
      <color rgb="FFFF9900"/>
      <name val="Calibri"/>
      <family val="2"/>
      <charset val="1"/>
    </font>
    <font>
      <sz val="11"/>
      <color rgb="FF993300"/>
      <name val="Calibri"/>
      <family val="2"/>
      <charset val="1"/>
    </font>
    <font>
      <sz val="11"/>
      <color theme="1"/>
      <name val="Calibri"/>
      <family val="2"/>
      <charset val="1"/>
    </font>
    <font>
      <sz val="10"/>
      <color rgb="FF000000"/>
      <name val="Times New Roman"/>
      <family val="1"/>
      <charset val="1"/>
    </font>
    <font>
      <sz val="10"/>
      <color rgb="FF000000"/>
      <name val="Arial"/>
      <family val="2"/>
      <charset val="1"/>
    </font>
    <font>
      <b/>
      <sz val="11"/>
      <color rgb="FF333333"/>
      <name val="Calibri"/>
      <family val="2"/>
      <charset val="1"/>
    </font>
    <font>
      <b/>
      <sz val="18"/>
      <color rgb="FF003366"/>
      <name val="Cambria"/>
      <family val="2"/>
      <charset val="1"/>
    </font>
    <font>
      <sz val="11"/>
      <color rgb="FFFF0000"/>
      <name val="Calibri"/>
      <family val="2"/>
      <charset val="1"/>
    </font>
    <font>
      <sz val="9"/>
      <name val="Arial"/>
      <family val="2"/>
      <charset val="1"/>
    </font>
    <font>
      <b/>
      <sz val="15"/>
      <color rgb="FF0066CC"/>
      <name val="Calibri Light"/>
      <family val="2"/>
      <charset val="1"/>
    </font>
    <font>
      <b/>
      <sz val="13"/>
      <color rgb="FF0066CC"/>
      <name val="Calibri Light"/>
      <family val="2"/>
      <charset val="1"/>
    </font>
    <font>
      <b/>
      <sz val="12"/>
      <color rgb="FF0066CC"/>
      <name val="Calibri Light"/>
      <family val="2"/>
      <charset val="1"/>
    </font>
    <font>
      <b/>
      <sz val="9"/>
      <name val="Arial"/>
      <family val="2"/>
      <charset val="1"/>
    </font>
    <font>
      <sz val="6"/>
      <color theme="1"/>
      <name val="Arial"/>
      <family val="2"/>
      <charset val="1"/>
    </font>
    <font>
      <b/>
      <sz val="12"/>
      <name val="Arial"/>
      <family val="2"/>
      <charset val="1"/>
    </font>
    <font>
      <sz val="11"/>
      <name val="Arial"/>
      <family val="2"/>
      <charset val="1"/>
    </font>
    <font>
      <b/>
      <sz val="10"/>
      <name val="Arial"/>
      <family val="2"/>
      <charset val="1"/>
    </font>
    <font>
      <b/>
      <sz val="9"/>
      <color theme="0"/>
      <name val="Arial"/>
      <family val="2"/>
      <charset val="1"/>
    </font>
    <font>
      <sz val="9"/>
      <color theme="0"/>
      <name val="Arial"/>
      <family val="2"/>
      <charset val="1"/>
    </font>
    <font>
      <sz val="9"/>
      <color rgb="FF000000"/>
      <name val="Arial"/>
      <family val="2"/>
      <charset val="1"/>
    </font>
    <font>
      <b/>
      <sz val="10"/>
      <color theme="0"/>
      <name val="Arial"/>
      <family val="2"/>
      <charset val="1"/>
    </font>
    <font>
      <sz val="9"/>
      <color rgb="FFFF0000"/>
      <name val="Arial"/>
      <family val="2"/>
      <charset val="1"/>
    </font>
    <font>
      <sz val="10"/>
      <color rgb="FFFF0000"/>
      <name val="Arial"/>
      <family val="2"/>
      <charset val="1"/>
    </font>
    <font>
      <sz val="12"/>
      <name val="Arial"/>
      <family val="2"/>
      <charset val="1"/>
    </font>
    <font>
      <b/>
      <sz val="18"/>
      <color theme="4" tint="-0.249977111117893"/>
      <name val="Calibri Light"/>
      <family val="2"/>
      <charset val="1"/>
    </font>
    <font>
      <sz val="8"/>
      <name val="Calibri Light"/>
      <family val="2"/>
      <charset val="1"/>
    </font>
    <font>
      <b/>
      <sz val="8"/>
      <name val="Calibri Light"/>
      <family val="2"/>
      <charset val="1"/>
    </font>
    <font>
      <b/>
      <sz val="14"/>
      <name val="Arial"/>
      <family val="2"/>
      <charset val="1"/>
    </font>
    <font>
      <sz val="10"/>
      <color rgb="FF3366FF"/>
      <name val="Arial"/>
      <family val="2"/>
      <charset val="1"/>
    </font>
    <font>
      <b/>
      <sz val="10"/>
      <color rgb="FFFFFF00"/>
      <name val="Arial"/>
      <family val="2"/>
      <charset val="1"/>
    </font>
    <font>
      <b/>
      <sz val="10"/>
      <color rgb="FFFF0000"/>
      <name val="Arial"/>
      <family val="2"/>
      <charset val="1"/>
    </font>
    <font>
      <b/>
      <sz val="11"/>
      <name val="Arial"/>
      <family val="2"/>
      <charset val="1"/>
    </font>
    <font>
      <b/>
      <sz val="12"/>
      <color rgb="FFFFFF00"/>
      <name val="Arial"/>
      <family val="2"/>
      <charset val="1"/>
    </font>
    <font>
      <b/>
      <sz val="12"/>
      <color rgb="FFFF0000"/>
      <name val="Arial"/>
      <family val="2"/>
      <charset val="1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sz val="10"/>
      <color rgb="FFFF00FF"/>
      <name val="Arial"/>
      <family val="2"/>
      <charset val="1"/>
    </font>
    <font>
      <b/>
      <sz val="8"/>
      <color rgb="FFFF0000"/>
      <name val="Arial"/>
      <family val="2"/>
      <charset val="1"/>
    </font>
    <font>
      <sz val="10"/>
      <color rgb="FF0000FF"/>
      <name val="Arial"/>
      <family val="2"/>
      <charset val="1"/>
    </font>
    <font>
      <b/>
      <sz val="8"/>
      <color rgb="FF0000FF"/>
      <name val="Arial"/>
      <family val="2"/>
      <charset val="1"/>
    </font>
    <font>
      <b/>
      <sz val="10"/>
      <color rgb="FF0000FF"/>
      <name val="Arial"/>
      <family val="2"/>
      <charset val="1"/>
    </font>
    <font>
      <b/>
      <i/>
      <sz val="10"/>
      <name val="Arial"/>
      <family val="2"/>
      <charset val="1"/>
    </font>
    <font>
      <b/>
      <sz val="10"/>
      <color rgb="FF000000"/>
      <name val="Calibri"/>
      <family val="2"/>
      <charset val="1"/>
    </font>
    <font>
      <b/>
      <sz val="10"/>
      <name val="Calibri"/>
      <family val="2"/>
      <charset val="1"/>
    </font>
    <font>
      <sz val="10"/>
      <name val="Calibri"/>
      <family val="2"/>
      <charset val="1"/>
    </font>
    <font>
      <sz val="6"/>
      <name val="Arial"/>
      <family val="2"/>
      <charset val="1"/>
    </font>
    <font>
      <b/>
      <sz val="12"/>
      <name val="Swis721 Md BT"/>
      <charset val="1"/>
    </font>
    <font>
      <b/>
      <sz val="12"/>
      <color rgb="FF000000"/>
      <name val="Swis721 Md BT"/>
      <charset val="1"/>
    </font>
    <font>
      <sz val="7"/>
      <name val="Arial"/>
      <family val="2"/>
      <charset val="1"/>
    </font>
    <font>
      <sz val="7"/>
      <color rgb="FF000000"/>
      <name val="Swis721 Md BT"/>
      <family val="2"/>
      <charset val="1"/>
    </font>
    <font>
      <sz val="7"/>
      <color rgb="FF000000"/>
      <name val="Arial"/>
      <family val="2"/>
      <charset val="1"/>
    </font>
    <font>
      <sz val="4"/>
      <name val="Arial"/>
      <family val="2"/>
      <charset val="1"/>
    </font>
    <font>
      <sz val="9"/>
      <color rgb="FF0000FF"/>
      <name val="Arial"/>
      <family val="2"/>
      <charset val="1"/>
    </font>
    <font>
      <b/>
      <sz val="9"/>
      <color rgb="FF000000"/>
      <name val="Arial"/>
      <family val="2"/>
      <charset val="1"/>
    </font>
    <font>
      <u/>
      <sz val="10"/>
      <color rgb="FF0000FF"/>
      <name val="Arial"/>
      <family val="2"/>
      <charset val="1"/>
    </font>
    <font>
      <sz val="9"/>
      <color rgb="FFFF00FF"/>
      <name val="Arial"/>
      <family val="2"/>
      <charset val="1"/>
    </font>
    <font>
      <sz val="10"/>
      <name val="Arial"/>
      <family val="2"/>
    </font>
    <font>
      <b/>
      <sz val="10"/>
      <name val="Times New Roman"/>
      <family val="1"/>
      <charset val="1"/>
    </font>
    <font>
      <sz val="11"/>
      <name val="Times New Roman"/>
      <family val="1"/>
      <charset val="1"/>
    </font>
    <font>
      <sz val="10"/>
      <color rgb="FFFF0000"/>
      <name val="Times New Roman"/>
      <family val="1"/>
      <charset val="1"/>
    </font>
    <font>
      <sz val="11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u/>
      <sz val="10"/>
      <color rgb="FF000000"/>
      <name val="Arial"/>
      <family val="2"/>
      <charset val="1"/>
    </font>
    <font>
      <sz val="10"/>
      <color theme="1"/>
      <name val="Arial"/>
      <family val="2"/>
      <charset val="1"/>
    </font>
    <font>
      <sz val="10"/>
      <name val="Courier New"/>
      <family val="3"/>
      <charset val="1"/>
    </font>
    <font>
      <vertAlign val="superscript"/>
      <sz val="10"/>
      <name val="Calibri"/>
      <family val="2"/>
      <charset val="1"/>
    </font>
    <font>
      <sz val="9"/>
      <color theme="1"/>
      <name val="Arial"/>
      <family val="2"/>
      <charset val="1"/>
    </font>
    <font>
      <b/>
      <i/>
      <u/>
      <sz val="9"/>
      <name val="Arial"/>
      <family val="2"/>
      <charset val="1"/>
    </font>
    <font>
      <sz val="10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i/>
      <sz val="10"/>
      <color rgb="FF000000"/>
      <name val="Calibri"/>
      <family val="2"/>
      <charset val="1"/>
    </font>
    <font>
      <sz val="8"/>
      <color rgb="FFFF0000"/>
      <name val="Calibri"/>
      <family val="2"/>
      <charset val="1"/>
    </font>
    <font>
      <sz val="8"/>
      <name val="Calibri"/>
      <family val="2"/>
      <charset val="1"/>
    </font>
    <font>
      <sz val="10"/>
      <color rgb="FFFF0000"/>
      <name val="Calibri"/>
      <family val="2"/>
      <charset val="1"/>
    </font>
    <font>
      <sz val="11"/>
      <name val="Calibri"/>
      <family val="2"/>
      <charset val="1"/>
    </font>
    <font>
      <sz val="12"/>
      <name val="Times New Roman"/>
      <family val="1"/>
      <charset val="1"/>
    </font>
    <font>
      <sz val="10"/>
      <name val="Times New Roman"/>
      <family val="1"/>
      <charset val="1"/>
    </font>
    <font>
      <i/>
      <u/>
      <sz val="9"/>
      <name val="Arial"/>
      <family val="2"/>
      <charset val="1"/>
    </font>
    <font>
      <sz val="9"/>
      <color rgb="FFC9211E"/>
      <name val="Arial"/>
      <family val="2"/>
      <charset val="1"/>
    </font>
    <font>
      <b/>
      <sz val="9"/>
      <color rgb="FFC9211E"/>
      <name val="Arial"/>
      <family val="2"/>
      <charset val="1"/>
    </font>
    <font>
      <sz val="10"/>
      <name val="Arial"/>
      <family val="2"/>
      <charset val="1"/>
    </font>
  </fonts>
  <fills count="37">
    <fill>
      <patternFill patternType="none"/>
    </fill>
    <fill>
      <patternFill patternType="gray125"/>
    </fill>
    <fill>
      <patternFill patternType="solid">
        <fgColor rgb="FFCCCCFF"/>
        <bgColor rgb="FFB4C7E7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FF99CC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FFC7CE"/>
      </patternFill>
    </fill>
    <fill>
      <patternFill patternType="solid">
        <fgColor rgb="FF99CCFF"/>
        <bgColor rgb="FFB4C7E7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C000"/>
      </patternFill>
    </fill>
    <fill>
      <patternFill patternType="solid">
        <fgColor rgb="FF0066CC"/>
        <bgColor rgb="FF3366FF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9966"/>
      </patternFill>
    </fill>
    <fill>
      <patternFill patternType="solid">
        <fgColor rgb="FFFF9900"/>
        <bgColor rgb="FFFFC000"/>
      </patternFill>
    </fill>
    <fill>
      <patternFill patternType="solid">
        <fgColor rgb="FF333399"/>
        <bgColor rgb="FF2F5597"/>
      </patternFill>
    </fill>
    <fill>
      <patternFill patternType="solid">
        <fgColor rgb="FFFF0000"/>
        <bgColor rgb="FFC9211E"/>
      </patternFill>
    </fill>
    <fill>
      <patternFill patternType="solid">
        <fgColor rgb="FF339966"/>
        <bgColor rgb="FF808080"/>
      </patternFill>
    </fill>
    <fill>
      <patternFill patternType="solid">
        <fgColor rgb="FFFF6600"/>
        <bgColor rgb="FFFF9900"/>
      </patternFill>
    </fill>
    <fill>
      <patternFill patternType="solid">
        <fgColor rgb="FFC0C0C0"/>
        <bgColor rgb="FFBFBFBF"/>
      </patternFill>
    </fill>
    <fill>
      <patternFill patternType="solid">
        <fgColor rgb="FF969696"/>
        <bgColor rgb="FF808080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theme="0" tint="-4.9989318521683403E-2"/>
        <bgColor rgb="FFE2F0D9"/>
      </patternFill>
    </fill>
    <fill>
      <patternFill patternType="solid">
        <fgColor theme="4" tint="-0.249977111117893"/>
        <bgColor rgb="FF333399"/>
      </patternFill>
    </fill>
    <fill>
      <patternFill patternType="solid">
        <fgColor theme="4" tint="0.39979247413556324"/>
        <bgColor rgb="FF969696"/>
      </patternFill>
    </fill>
    <fill>
      <patternFill patternType="solid">
        <fgColor theme="9" tint="0.79979857783745845"/>
        <bgColor rgb="FFF2F2F2"/>
      </patternFill>
    </fill>
    <fill>
      <patternFill patternType="solid">
        <fgColor rgb="FFFFFF00"/>
        <bgColor rgb="FFFFCC00"/>
      </patternFill>
    </fill>
    <fill>
      <patternFill patternType="solid">
        <fgColor rgb="FFFFC000"/>
        <bgColor rgb="FFFFCC00"/>
      </patternFill>
    </fill>
    <fill>
      <patternFill patternType="solid">
        <fgColor theme="4" tint="0.59978026673177287"/>
        <bgColor rgb="FFC0C0C0"/>
      </patternFill>
    </fill>
    <fill>
      <patternFill patternType="solid">
        <fgColor theme="7" tint="0.59978026673177287"/>
        <bgColor rgb="FFFFFF99"/>
      </patternFill>
    </fill>
    <fill>
      <patternFill patternType="solid">
        <fgColor theme="4" tint="0.79979857783745845"/>
        <bgColor rgb="FFD9D9D9"/>
      </patternFill>
    </fill>
    <fill>
      <patternFill patternType="solid">
        <fgColor theme="2" tint="-9.9978637043366805E-2"/>
        <bgColor rgb="FFD9D9D9"/>
      </patternFill>
    </fill>
    <fill>
      <patternFill patternType="solid">
        <fgColor theme="0" tint="-0.14999847407452621"/>
        <bgColor rgb="FFD0CECE"/>
      </patternFill>
    </fill>
    <fill>
      <patternFill patternType="solid">
        <fgColor theme="0" tint="-0.249977111117893"/>
        <bgColor rgb="FFC0C0C0"/>
      </patternFill>
    </fill>
  </fills>
  <borders count="13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ck">
        <color rgb="FFFFFF00"/>
      </left>
      <right style="thick">
        <color rgb="FFFFFF00"/>
      </right>
      <top style="thick">
        <color rgb="FFFFFF00"/>
      </top>
      <bottom/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rgb="FFFFFF00"/>
      </left>
      <right style="thick">
        <color rgb="FFFFFF00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rgb="FF99CC00"/>
      </left>
      <right style="thick">
        <color rgb="FF99CC00"/>
      </right>
      <top style="thick">
        <color rgb="FF99CC00"/>
      </top>
      <bottom style="thick">
        <color rgb="FF99CC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/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</borders>
  <cellStyleXfs count="122">
    <xf numFmtId="0" fontId="0" fillId="0" borderId="0"/>
    <xf numFmtId="166" fontId="93" fillId="0" borderId="0" applyBorder="0" applyProtection="0"/>
    <xf numFmtId="173" fontId="93" fillId="0" borderId="0" applyBorder="0" applyProtection="0"/>
    <xf numFmtId="9" fontId="93" fillId="0" borderId="0" applyBorder="0" applyProtection="0"/>
    <xf numFmtId="0" fontId="66" fillId="0" borderId="0" applyBorder="0" applyProtection="0"/>
    <xf numFmtId="0" fontId="1" fillId="2" borderId="0" applyBorder="0" applyProtection="0"/>
    <xf numFmtId="0" fontId="1" fillId="3" borderId="0" applyBorder="0" applyProtection="0"/>
    <xf numFmtId="0" fontId="1" fillId="4" borderId="0" applyBorder="0" applyProtection="0"/>
    <xf numFmtId="0" fontId="1" fillId="5" borderId="0" applyBorder="0" applyProtection="0"/>
    <xf numFmtId="0" fontId="1" fillId="6" borderId="0" applyBorder="0" applyProtection="0"/>
    <xf numFmtId="0" fontId="1" fillId="7" borderId="0" applyBorder="0" applyProtection="0"/>
    <xf numFmtId="0" fontId="1" fillId="8" borderId="0" applyBorder="0" applyProtection="0"/>
    <xf numFmtId="0" fontId="1" fillId="9" borderId="0" applyBorder="0" applyProtection="0"/>
    <xf numFmtId="0" fontId="1" fillId="10" borderId="0" applyBorder="0" applyProtection="0"/>
    <xf numFmtId="0" fontId="1" fillId="5" borderId="0" applyBorder="0" applyProtection="0"/>
    <xf numFmtId="0" fontId="1" fillId="8" borderId="0" applyBorder="0" applyProtection="0"/>
    <xf numFmtId="0" fontId="1" fillId="11" borderId="0" applyBorder="0" applyProtection="0"/>
    <xf numFmtId="0" fontId="2" fillId="12" borderId="0" applyBorder="0" applyProtection="0"/>
    <xf numFmtId="0" fontId="2" fillId="9" borderId="0" applyBorder="0" applyProtection="0"/>
    <xf numFmtId="0" fontId="2" fillId="10" borderId="0" applyBorder="0" applyProtection="0"/>
    <xf numFmtId="0" fontId="2" fillId="13" borderId="0" applyBorder="0" applyProtection="0"/>
    <xf numFmtId="0" fontId="2" fillId="14" borderId="0" applyBorder="0" applyProtection="0"/>
    <xf numFmtId="0" fontId="2" fillId="15" borderId="0" applyBorder="0" applyProtection="0"/>
    <xf numFmtId="0" fontId="2" fillId="16" borderId="0" applyBorder="0" applyProtection="0"/>
    <xf numFmtId="0" fontId="2" fillId="17" borderId="0" applyBorder="0" applyProtection="0"/>
    <xf numFmtId="0" fontId="2" fillId="18" borderId="0" applyBorder="0" applyProtection="0"/>
    <xf numFmtId="0" fontId="2" fillId="13" borderId="0" applyBorder="0" applyProtection="0"/>
    <xf numFmtId="0" fontId="2" fillId="14" borderId="0" applyBorder="0" applyProtection="0"/>
    <xf numFmtId="0" fontId="2" fillId="19" borderId="0" applyBorder="0" applyProtection="0"/>
    <xf numFmtId="0" fontId="3" fillId="3" borderId="0" applyBorder="0" applyProtection="0"/>
    <xf numFmtId="0" fontId="4" fillId="20" borderId="1" applyProtection="0"/>
    <xf numFmtId="0" fontId="4" fillId="20" borderId="1" applyProtection="0"/>
    <xf numFmtId="0" fontId="4" fillId="20" borderId="1" applyProtection="0"/>
    <xf numFmtId="0" fontId="5" fillId="21" borderId="2" applyProtection="0"/>
    <xf numFmtId="164" fontId="93" fillId="0" borderId="0" applyBorder="0" applyProtection="0"/>
    <xf numFmtId="165" fontId="93" fillId="0" borderId="0" applyBorder="0" applyProtection="0"/>
    <xf numFmtId="0" fontId="6" fillId="0" borderId="0" applyBorder="0" applyProtection="0"/>
    <xf numFmtId="0" fontId="7" fillId="4" borderId="0" applyBorder="0" applyProtection="0"/>
    <xf numFmtId="0" fontId="8" fillId="0" borderId="3" applyProtection="0"/>
    <xf numFmtId="0" fontId="9" fillId="0" borderId="4" applyProtection="0"/>
    <xf numFmtId="0" fontId="10" fillId="0" borderId="5" applyProtection="0"/>
    <xf numFmtId="0" fontId="10" fillId="0" borderId="0" applyBorder="0" applyProtection="0"/>
    <xf numFmtId="0" fontId="11" fillId="7" borderId="1" applyProtection="0"/>
    <xf numFmtId="0" fontId="11" fillId="7" borderId="1" applyProtection="0"/>
    <xf numFmtId="0" fontId="11" fillId="7" borderId="1" applyProtection="0"/>
    <xf numFmtId="0" fontId="12" fillId="0" borderId="6" applyProtection="0"/>
    <xf numFmtId="166" fontId="93" fillId="0" borderId="0" applyBorder="0" applyProtection="0"/>
    <xf numFmtId="167" fontId="93" fillId="0" borderId="0" applyBorder="0" applyProtection="0"/>
    <xf numFmtId="167" fontId="93" fillId="0" borderId="0" applyBorder="0" applyProtection="0"/>
    <xf numFmtId="0" fontId="13" fillId="22" borderId="0" applyBorder="0" applyProtection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15" fillId="0" borderId="0"/>
    <xf numFmtId="0" fontId="93" fillId="0" borderId="0"/>
    <xf numFmtId="0" fontId="93" fillId="0" borderId="0"/>
    <xf numFmtId="0" fontId="16" fillId="0" borderId="0"/>
    <xf numFmtId="0" fontId="16" fillId="0" borderId="0"/>
    <xf numFmtId="0" fontId="1" fillId="0" borderId="0"/>
    <xf numFmtId="0" fontId="93" fillId="0" borderId="0"/>
    <xf numFmtId="0" fontId="15" fillId="0" borderId="0"/>
    <xf numFmtId="168" fontId="93" fillId="0" borderId="0"/>
    <xf numFmtId="0" fontId="1" fillId="0" borderId="0"/>
    <xf numFmtId="0" fontId="93" fillId="0" borderId="0"/>
    <xf numFmtId="0" fontId="93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93" fillId="0" borderId="0"/>
    <xf numFmtId="0" fontId="16" fillId="0" borderId="0"/>
    <xf numFmtId="0" fontId="16" fillId="0" borderId="0"/>
    <xf numFmtId="0" fontId="16" fillId="0" borderId="0"/>
    <xf numFmtId="0" fontId="93" fillId="0" borderId="0"/>
    <xf numFmtId="0" fontId="16" fillId="0" borderId="0"/>
    <xf numFmtId="0" fontId="93" fillId="0" borderId="0"/>
    <xf numFmtId="0" fontId="16" fillId="0" borderId="0">
      <alignment vertical="top"/>
    </xf>
    <xf numFmtId="0" fontId="93" fillId="23" borderId="7" applyProtection="0"/>
    <xf numFmtId="0" fontId="93" fillId="23" borderId="7" applyProtection="0"/>
    <xf numFmtId="0" fontId="93" fillId="23" borderId="7" applyProtection="0"/>
    <xf numFmtId="0" fontId="17" fillId="20" borderId="8" applyProtection="0"/>
    <xf numFmtId="0" fontId="17" fillId="20" borderId="8" applyProtection="0"/>
    <xf numFmtId="0" fontId="17" fillId="20" borderId="8" applyProtection="0"/>
    <xf numFmtId="9" fontId="93" fillId="0" borderId="0" applyBorder="0" applyProtection="0"/>
    <xf numFmtId="9" fontId="93" fillId="0" borderId="0" applyBorder="0" applyProtection="0"/>
    <xf numFmtId="9" fontId="93" fillId="0" borderId="0" applyBorder="0" applyProtection="0"/>
    <xf numFmtId="9" fontId="93" fillId="0" borderId="0" applyBorder="0" applyProtection="0"/>
    <xf numFmtId="166" fontId="93" fillId="0" borderId="0" applyBorder="0" applyProtection="0"/>
    <xf numFmtId="166" fontId="93" fillId="0" borderId="0" applyBorder="0" applyProtection="0"/>
    <xf numFmtId="166" fontId="93" fillId="0" borderId="0" applyBorder="0" applyProtection="0"/>
    <xf numFmtId="169" fontId="93" fillId="0" borderId="0" applyBorder="0" applyProtection="0"/>
    <xf numFmtId="169" fontId="93" fillId="0" borderId="0" applyBorder="0" applyProtection="0"/>
    <xf numFmtId="169" fontId="93" fillId="0" borderId="0" applyBorder="0" applyProtection="0"/>
    <xf numFmtId="169" fontId="93" fillId="0" borderId="0" applyBorder="0" applyProtection="0"/>
    <xf numFmtId="170" fontId="93" fillId="0" borderId="0" applyBorder="0" applyProtection="0"/>
    <xf numFmtId="171" fontId="93" fillId="0" borderId="0" applyBorder="0" applyProtection="0"/>
    <xf numFmtId="0" fontId="18" fillId="0" borderId="0" applyBorder="0" applyProtection="0"/>
    <xf numFmtId="166" fontId="93" fillId="0" borderId="0" applyBorder="0" applyProtection="0"/>
    <xf numFmtId="171" fontId="93" fillId="0" borderId="0" applyBorder="0" applyProtection="0"/>
    <xf numFmtId="171" fontId="93" fillId="0" borderId="0" applyBorder="0" applyProtection="0"/>
    <xf numFmtId="171" fontId="93" fillId="0" borderId="0" applyBorder="0" applyProtection="0"/>
    <xf numFmtId="171" fontId="93" fillId="0" borderId="0" applyBorder="0" applyProtection="0"/>
    <xf numFmtId="171" fontId="93" fillId="0" borderId="0" applyBorder="0" applyProtection="0"/>
    <xf numFmtId="171" fontId="93" fillId="0" borderId="0" applyBorder="0" applyProtection="0"/>
    <xf numFmtId="171" fontId="93" fillId="0" borderId="0" applyBorder="0" applyProtection="0"/>
    <xf numFmtId="171" fontId="93" fillId="0" borderId="0" applyBorder="0" applyProtection="0"/>
    <xf numFmtId="171" fontId="93" fillId="0" borderId="0" applyBorder="0" applyProtection="0"/>
    <xf numFmtId="171" fontId="93" fillId="0" borderId="0" applyBorder="0" applyProtection="0"/>
    <xf numFmtId="171" fontId="93" fillId="0" borderId="0" applyBorder="0" applyProtection="0"/>
    <xf numFmtId="171" fontId="93" fillId="0" borderId="0" applyBorder="0" applyProtection="0"/>
    <xf numFmtId="0" fontId="19" fillId="0" borderId="0" applyBorder="0" applyProtection="0"/>
  </cellStyleXfs>
  <cellXfs count="1427">
    <xf numFmtId="0" fontId="0" fillId="0" borderId="0" xfId="0"/>
    <xf numFmtId="173" fontId="24" fillId="28" borderId="9" xfId="2" applyFont="1" applyFill="1" applyBorder="1" applyAlignment="1" applyProtection="1">
      <alignment horizontal="right" vertical="center"/>
    </xf>
    <xf numFmtId="174" fontId="24" fillId="0" borderId="9" xfId="0" applyNumberFormat="1" applyFont="1" applyBorder="1" applyAlignment="1">
      <alignment horizontal="left" vertical="center" wrapText="1"/>
    </xf>
    <xf numFmtId="174" fontId="20" fillId="23" borderId="10" xfId="0" applyNumberFormat="1" applyFont="1" applyFill="1" applyBorder="1" applyAlignment="1">
      <alignment horizontal="left" vertical="center" wrapText="1"/>
    </xf>
    <xf numFmtId="174" fontId="20" fillId="23" borderId="17" xfId="0" applyNumberFormat="1" applyFont="1" applyFill="1" applyBorder="1" applyAlignment="1">
      <alignment horizontal="left" vertical="center"/>
    </xf>
    <xf numFmtId="4" fontId="21" fillId="0" borderId="10" xfId="0" applyNumberFormat="1" applyFont="1" applyBorder="1" applyAlignment="1">
      <alignment horizontal="center" vertical="center" wrapText="1"/>
    </xf>
    <xf numFmtId="172" fontId="20" fillId="24" borderId="0" xfId="0" applyNumberFormat="1" applyFont="1" applyFill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10" fontId="24" fillId="0" borderId="9" xfId="0" applyNumberFormat="1" applyFont="1" applyBorder="1" applyAlignment="1">
      <alignment horizontal="left" vertical="center" wrapText="1"/>
    </xf>
    <xf numFmtId="174" fontId="20" fillId="23" borderId="9" xfId="0" applyNumberFormat="1" applyFont="1" applyFill="1" applyBorder="1" applyAlignment="1">
      <alignment horizontal="left" vertical="center" wrapText="1"/>
    </xf>
    <xf numFmtId="174" fontId="24" fillId="0" borderId="9" xfId="0" applyNumberFormat="1" applyFont="1" applyBorder="1" applyAlignment="1">
      <alignment horizontal="right" vertical="center" wrapText="1"/>
    </xf>
    <xf numFmtId="174" fontId="20" fillId="0" borderId="9" xfId="0" applyNumberFormat="1" applyFont="1" applyBorder="1" applyAlignment="1">
      <alignment horizontal="left" vertical="center"/>
    </xf>
    <xf numFmtId="174" fontId="20" fillId="23" borderId="9" xfId="0" applyNumberFormat="1" applyFont="1" applyFill="1" applyBorder="1" applyAlignment="1">
      <alignment horizontal="left" vertical="center"/>
    </xf>
    <xf numFmtId="174" fontId="24" fillId="0" borderId="9" xfId="0" applyNumberFormat="1" applyFont="1" applyBorder="1" applyAlignment="1">
      <alignment horizontal="right" vertical="center"/>
    </xf>
    <xf numFmtId="4" fontId="21" fillId="0" borderId="9" xfId="0" applyNumberFormat="1" applyFont="1" applyBorder="1" applyAlignment="1">
      <alignment horizontal="center" vertical="center" wrapText="1"/>
    </xf>
    <xf numFmtId="0" fontId="20" fillId="24" borderId="0" xfId="0" applyFont="1" applyFill="1"/>
    <xf numFmtId="172" fontId="20" fillId="24" borderId="0" xfId="0" applyNumberFormat="1" applyFont="1" applyFill="1" applyAlignment="1">
      <alignment vertical="center"/>
    </xf>
    <xf numFmtId="172" fontId="20" fillId="24" borderId="0" xfId="0" applyNumberFormat="1" applyFont="1" applyFill="1" applyAlignment="1">
      <alignment horizontal="center" vertical="center"/>
    </xf>
    <xf numFmtId="0" fontId="20" fillId="24" borderId="0" xfId="0" applyFont="1" applyFill="1" applyAlignment="1">
      <alignment vertical="center"/>
    </xf>
    <xf numFmtId="0" fontId="20" fillId="24" borderId="0" xfId="0" applyFont="1" applyFill="1" applyAlignment="1">
      <alignment horizontal="center" vertical="center"/>
    </xf>
    <xf numFmtId="173" fontId="93" fillId="24" borderId="0" xfId="2" applyFill="1" applyBorder="1" applyAlignment="1" applyProtection="1">
      <alignment horizontal="center" vertical="center"/>
    </xf>
    <xf numFmtId="2" fontId="20" fillId="24" borderId="0" xfId="0" applyNumberFormat="1" applyFont="1" applyFill="1" applyAlignment="1">
      <alignment horizontal="center" vertical="center"/>
    </xf>
    <xf numFmtId="0" fontId="20" fillId="24" borderId="0" xfId="0" applyFont="1" applyFill="1" applyAlignment="1">
      <alignment horizontal="center"/>
    </xf>
    <xf numFmtId="0" fontId="25" fillId="0" borderId="0" xfId="0" applyFont="1"/>
    <xf numFmtId="0" fontId="26" fillId="24" borderId="0" xfId="0" applyFont="1" applyFill="1" applyAlignment="1">
      <alignment wrapText="1"/>
    </xf>
    <xf numFmtId="0" fontId="27" fillId="0" borderId="0" xfId="0" applyFont="1" applyAlignment="1">
      <alignment vertical="center"/>
    </xf>
    <xf numFmtId="174" fontId="24" fillId="0" borderId="10" xfId="0" applyNumberFormat="1" applyFont="1" applyBorder="1" applyAlignment="1">
      <alignment horizontal="right" vertical="center" wrapText="1"/>
    </xf>
    <xf numFmtId="174" fontId="24" fillId="0" borderId="11" xfId="0" applyNumberFormat="1" applyFont="1" applyBorder="1" applyAlignment="1">
      <alignment horizontal="right" vertical="center" wrapText="1"/>
    </xf>
    <xf numFmtId="174" fontId="24" fillId="0" borderId="11" xfId="0" applyNumberFormat="1" applyFont="1" applyBorder="1" applyAlignment="1">
      <alignment horizontal="left" vertical="center" wrapText="1"/>
    </xf>
    <xf numFmtId="174" fontId="20" fillId="0" borderId="11" xfId="0" applyNumberFormat="1" applyFont="1" applyBorder="1" applyAlignment="1">
      <alignment horizontal="left" vertical="center"/>
    </xf>
    <xf numFmtId="174" fontId="20" fillId="0" borderId="12" xfId="0" applyNumberFormat="1" applyFont="1" applyBorder="1" applyAlignment="1">
      <alignment horizontal="left" vertical="center"/>
    </xf>
    <xf numFmtId="174" fontId="20" fillId="0" borderId="13" xfId="0" applyNumberFormat="1" applyFont="1" applyBorder="1" applyAlignment="1">
      <alignment horizontal="left" vertical="center"/>
    </xf>
    <xf numFmtId="172" fontId="24" fillId="25" borderId="9" xfId="0" applyNumberFormat="1" applyFont="1" applyFill="1" applyBorder="1" applyAlignment="1">
      <alignment horizontal="center" vertical="center" wrapText="1"/>
    </xf>
    <xf numFmtId="172" fontId="24" fillId="25" borderId="14" xfId="0" applyNumberFormat="1" applyFont="1" applyFill="1" applyBorder="1" applyAlignment="1">
      <alignment horizontal="center" vertical="center" wrapText="1"/>
    </xf>
    <xf numFmtId="172" fontId="24" fillId="25" borderId="11" xfId="0" applyNumberFormat="1" applyFont="1" applyFill="1" applyBorder="1" applyAlignment="1">
      <alignment horizontal="center" vertical="center" wrapText="1"/>
    </xf>
    <xf numFmtId="0" fontId="24" fillId="25" borderId="10" xfId="0" applyFont="1" applyFill="1" applyBorder="1" applyAlignment="1">
      <alignment horizontal="center" vertical="center" wrapText="1"/>
    </xf>
    <xf numFmtId="0" fontId="24" fillId="25" borderId="9" xfId="0" applyFont="1" applyFill="1" applyBorder="1" applyAlignment="1">
      <alignment horizontal="center" vertical="center" wrapText="1"/>
    </xf>
    <xf numFmtId="4" fontId="24" fillId="25" borderId="9" xfId="0" applyNumberFormat="1" applyFont="1" applyFill="1" applyBorder="1" applyAlignment="1">
      <alignment horizontal="center" vertical="center" wrapText="1"/>
    </xf>
    <xf numFmtId="173" fontId="28" fillId="25" borderId="9" xfId="2" applyFont="1" applyFill="1" applyBorder="1" applyAlignment="1" applyProtection="1">
      <alignment horizontal="center" vertical="center" wrapText="1"/>
    </xf>
    <xf numFmtId="4" fontId="24" fillId="25" borderId="10" xfId="0" applyNumberFormat="1" applyFont="1" applyFill="1" applyBorder="1" applyAlignment="1">
      <alignment horizontal="center" vertical="center" wrapText="1"/>
    </xf>
    <xf numFmtId="173" fontId="93" fillId="25" borderId="9" xfId="2" applyFill="1" applyBorder="1" applyAlignment="1" applyProtection="1">
      <alignment horizontal="center" vertical="center" wrapText="1"/>
    </xf>
    <xf numFmtId="175" fontId="24" fillId="25" borderId="0" xfId="0" applyNumberFormat="1" applyFont="1" applyFill="1" applyAlignment="1">
      <alignment horizontal="center" vertical="center" wrapText="1"/>
    </xf>
    <xf numFmtId="0" fontId="24" fillId="24" borderId="0" xfId="0" applyFont="1" applyFill="1" applyAlignment="1">
      <alignment horizontal="center" wrapText="1"/>
    </xf>
    <xf numFmtId="1" fontId="29" fillId="26" borderId="15" xfId="0" applyNumberFormat="1" applyFont="1" applyFill="1" applyBorder="1" applyAlignment="1">
      <alignment horizontal="center" vertical="center"/>
    </xf>
    <xf numFmtId="1" fontId="30" fillId="26" borderId="15" xfId="0" applyNumberFormat="1" applyFont="1" applyFill="1" applyBorder="1" applyAlignment="1">
      <alignment horizontal="center" vertical="center"/>
    </xf>
    <xf numFmtId="0" fontId="29" fillId="26" borderId="15" xfId="0" applyFont="1" applyFill="1" applyBorder="1" applyAlignment="1">
      <alignment horizontal="justify" vertical="center"/>
    </xf>
    <xf numFmtId="0" fontId="30" fillId="26" borderId="15" xfId="0" applyFont="1" applyFill="1" applyBorder="1" applyAlignment="1">
      <alignment horizontal="center" vertical="center"/>
    </xf>
    <xf numFmtId="2" fontId="30" fillId="26" borderId="15" xfId="2" applyNumberFormat="1" applyFont="1" applyFill="1" applyBorder="1" applyAlignment="1" applyProtection="1">
      <alignment horizontal="center" vertical="center"/>
    </xf>
    <xf numFmtId="173" fontId="30" fillId="26" borderId="15" xfId="2" applyFont="1" applyFill="1" applyBorder="1" applyAlignment="1" applyProtection="1">
      <alignment horizontal="center" vertical="center"/>
    </xf>
    <xf numFmtId="0" fontId="30" fillId="26" borderId="15" xfId="0" applyFont="1" applyFill="1" applyBorder="1" applyAlignment="1">
      <alignment horizontal="left" vertical="center"/>
    </xf>
    <xf numFmtId="173" fontId="29" fillId="26" borderId="15" xfId="2" applyFont="1" applyFill="1" applyBorder="1" applyAlignment="1" applyProtection="1">
      <alignment horizontal="right" vertical="center"/>
    </xf>
    <xf numFmtId="2" fontId="20" fillId="24" borderId="0" xfId="2" applyNumberFormat="1" applyFont="1" applyFill="1" applyBorder="1" applyAlignment="1" applyProtection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1" fontId="24" fillId="27" borderId="15" xfId="0" applyNumberFormat="1" applyFont="1" applyFill="1" applyBorder="1" applyAlignment="1">
      <alignment horizontal="center" vertical="center"/>
    </xf>
    <xf numFmtId="1" fontId="20" fillId="27" borderId="15" xfId="0" applyNumberFormat="1" applyFont="1" applyFill="1" applyBorder="1" applyAlignment="1">
      <alignment horizontal="center" vertical="center"/>
    </xf>
    <xf numFmtId="0" fontId="24" fillId="27" borderId="15" xfId="0" applyFont="1" applyFill="1" applyBorder="1" applyAlignment="1">
      <alignment horizontal="justify" vertical="center"/>
    </xf>
    <xf numFmtId="0" fontId="20" fillId="27" borderId="15" xfId="0" applyFont="1" applyFill="1" applyBorder="1" applyAlignment="1">
      <alignment horizontal="center" vertical="center"/>
    </xf>
    <xf numFmtId="2" fontId="20" fillId="27" borderId="15" xfId="2" applyNumberFormat="1" applyFont="1" applyFill="1" applyBorder="1" applyAlignment="1" applyProtection="1">
      <alignment horizontal="center" vertical="center"/>
    </xf>
    <xf numFmtId="173" fontId="20" fillId="27" borderId="15" xfId="2" applyFont="1" applyFill="1" applyBorder="1" applyAlignment="1" applyProtection="1">
      <alignment horizontal="center" vertical="center"/>
    </xf>
    <xf numFmtId="0" fontId="20" fillId="27" borderId="15" xfId="0" applyFont="1" applyFill="1" applyBorder="1" applyAlignment="1">
      <alignment horizontal="left" vertical="center"/>
    </xf>
    <xf numFmtId="173" fontId="20" fillId="27" borderId="15" xfId="2" applyFont="1" applyFill="1" applyBorder="1" applyAlignment="1" applyProtection="1">
      <alignment horizontal="right" vertical="center"/>
    </xf>
    <xf numFmtId="177" fontId="20" fillId="0" borderId="15" xfId="0" applyNumberFormat="1" applyFont="1" applyBorder="1" applyAlignment="1">
      <alignment horizontal="center" vertical="center"/>
    </xf>
    <xf numFmtId="0" fontId="20" fillId="0" borderId="15" xfId="62" applyFont="1" applyBorder="1" applyAlignment="1">
      <alignment horizontal="center" vertical="center" wrapText="1"/>
    </xf>
    <xf numFmtId="178" fontId="31" fillId="0" borderId="15" xfId="85" applyNumberFormat="1" applyFont="1" applyBorder="1" applyAlignment="1">
      <alignment horizontal="center" vertical="center" wrapText="1"/>
    </xf>
    <xf numFmtId="0" fontId="20" fillId="0" borderId="15" xfId="0" applyFont="1" applyBorder="1" applyAlignment="1">
      <alignment horizontal="justify" vertical="center"/>
    </xf>
    <xf numFmtId="0" fontId="20" fillId="0" borderId="15" xfId="0" applyFont="1" applyBorder="1" applyAlignment="1">
      <alignment horizontal="center" vertical="center"/>
    </xf>
    <xf numFmtId="2" fontId="20" fillId="0" borderId="15" xfId="2" applyNumberFormat="1" applyFont="1" applyBorder="1" applyAlignment="1" applyProtection="1">
      <alignment horizontal="center" vertical="center"/>
    </xf>
    <xf numFmtId="173" fontId="20" fillId="0" borderId="15" xfId="2" applyFont="1" applyBorder="1" applyAlignment="1" applyProtection="1">
      <alignment horizontal="center" vertical="center"/>
    </xf>
    <xf numFmtId="10" fontId="20" fillId="0" borderId="15" xfId="3" applyNumberFormat="1" applyFont="1" applyBorder="1" applyAlignment="1" applyProtection="1">
      <alignment horizontal="center" vertical="center"/>
    </xf>
    <xf numFmtId="173" fontId="20" fillId="24" borderId="15" xfId="2" applyFont="1" applyFill="1" applyBorder="1" applyAlignment="1" applyProtection="1">
      <alignment horizontal="right" vertical="center"/>
    </xf>
    <xf numFmtId="0" fontId="20" fillId="0" borderId="15" xfId="0" applyFont="1" applyBorder="1" applyAlignment="1">
      <alignment horizontal="justify" vertical="center" wrapText="1"/>
    </xf>
    <xf numFmtId="173" fontId="93" fillId="24" borderId="15" xfId="2" applyFill="1" applyBorder="1" applyAlignment="1" applyProtection="1">
      <alignment horizontal="right" vertical="center"/>
    </xf>
    <xf numFmtId="0" fontId="20" fillId="0" borderId="10" xfId="0" applyFont="1" applyBorder="1" applyAlignment="1">
      <alignment vertical="center"/>
    </xf>
    <xf numFmtId="0" fontId="20" fillId="0" borderId="11" xfId="0" applyFont="1" applyBorder="1" applyAlignment="1">
      <alignment vertical="center"/>
    </xf>
    <xf numFmtId="0" fontId="20" fillId="0" borderId="16" xfId="0" applyFont="1" applyBorder="1" applyAlignment="1">
      <alignment vertical="center"/>
    </xf>
    <xf numFmtId="173" fontId="24" fillId="28" borderId="10" xfId="2" applyFont="1" applyFill="1" applyBorder="1" applyAlignment="1" applyProtection="1">
      <alignment horizontal="right" vertical="center"/>
    </xf>
    <xf numFmtId="173" fontId="24" fillId="28" borderId="10" xfId="2" applyFont="1" applyFill="1" applyBorder="1" applyAlignment="1" applyProtection="1">
      <alignment vertical="center"/>
    </xf>
    <xf numFmtId="173" fontId="93" fillId="28" borderId="9" xfId="2" applyFill="1" applyBorder="1" applyAlignment="1" applyProtection="1">
      <alignment horizontal="right" vertical="center"/>
    </xf>
    <xf numFmtId="0" fontId="20" fillId="0" borderId="9" xfId="0" applyFont="1" applyBorder="1" applyAlignment="1">
      <alignment horizontal="center" vertical="center"/>
    </xf>
    <xf numFmtId="179" fontId="20" fillId="24" borderId="0" xfId="0" applyNumberFormat="1" applyFont="1" applyFill="1" applyAlignment="1">
      <alignment horizontal="center" vertical="center"/>
    </xf>
    <xf numFmtId="4" fontId="20" fillId="24" borderId="0" xfId="0" applyNumberFormat="1" applyFont="1" applyFill="1" applyAlignment="1">
      <alignment horizontal="center" vertical="center"/>
    </xf>
    <xf numFmtId="173" fontId="32" fillId="26" borderId="15" xfId="2" applyFont="1" applyFill="1" applyBorder="1" applyAlignment="1" applyProtection="1">
      <alignment horizontal="right" vertical="center"/>
    </xf>
    <xf numFmtId="173" fontId="93" fillId="27" borderId="15" xfId="2" applyFill="1" applyBorder="1" applyAlignment="1" applyProtection="1">
      <alignment horizontal="right" vertical="center"/>
    </xf>
    <xf numFmtId="177" fontId="33" fillId="0" borderId="15" xfId="0" applyNumberFormat="1" applyFont="1" applyBorder="1" applyAlignment="1">
      <alignment horizontal="center" vertical="center"/>
    </xf>
    <xf numFmtId="0" fontId="33" fillId="0" borderId="15" xfId="62" applyFont="1" applyBorder="1" applyAlignment="1">
      <alignment horizontal="center" vertical="center" wrapText="1"/>
    </xf>
    <xf numFmtId="178" fontId="33" fillId="0" borderId="15" xfId="85" applyNumberFormat="1" applyFont="1" applyBorder="1" applyAlignment="1">
      <alignment horizontal="center" vertical="center" wrapText="1"/>
    </xf>
    <xf numFmtId="0" fontId="33" fillId="0" borderId="15" xfId="0" applyFont="1" applyBorder="1" applyAlignment="1">
      <alignment horizontal="justify" vertical="center"/>
    </xf>
    <xf numFmtId="0" fontId="33" fillId="0" borderId="15" xfId="0" applyFont="1" applyBorder="1" applyAlignment="1">
      <alignment horizontal="center" vertical="center"/>
    </xf>
    <xf numFmtId="2" fontId="33" fillId="0" borderId="15" xfId="2" applyNumberFormat="1" applyFont="1" applyBorder="1" applyAlignment="1" applyProtection="1">
      <alignment horizontal="center" vertical="center"/>
    </xf>
    <xf numFmtId="173" fontId="33" fillId="0" borderId="15" xfId="2" applyFont="1" applyBorder="1" applyAlignment="1" applyProtection="1">
      <alignment horizontal="center" vertical="center"/>
    </xf>
    <xf numFmtId="10" fontId="34" fillId="0" borderId="15" xfId="3" applyNumberFormat="1" applyFont="1" applyBorder="1" applyAlignment="1" applyProtection="1">
      <alignment horizontal="center" vertical="center"/>
    </xf>
    <xf numFmtId="173" fontId="34" fillId="24" borderId="15" xfId="2" applyFont="1" applyFill="1" applyBorder="1" applyAlignment="1" applyProtection="1">
      <alignment horizontal="right" vertical="center"/>
    </xf>
    <xf numFmtId="10" fontId="93" fillId="0" borderId="15" xfId="3" applyNumberFormat="1" applyBorder="1" applyAlignment="1" applyProtection="1">
      <alignment horizontal="center" vertical="center"/>
    </xf>
    <xf numFmtId="2" fontId="20" fillId="29" borderId="15" xfId="2" applyNumberFormat="1" applyFont="1" applyFill="1" applyBorder="1" applyAlignment="1" applyProtection="1">
      <alignment horizontal="center" vertical="center"/>
    </xf>
    <xf numFmtId="178" fontId="20" fillId="0" borderId="15" xfId="85" applyNumberFormat="1" applyFont="1" applyBorder="1" applyAlignment="1">
      <alignment horizontal="center" vertical="center" wrapText="1"/>
    </xf>
    <xf numFmtId="0" fontId="20" fillId="30" borderId="15" xfId="62" applyFont="1" applyFill="1" applyBorder="1" applyAlignment="1">
      <alignment horizontal="center" vertical="center" wrapText="1"/>
    </xf>
    <xf numFmtId="178" fontId="31" fillId="30" borderId="15" xfId="85" applyNumberFormat="1" applyFont="1" applyFill="1" applyBorder="1" applyAlignment="1">
      <alignment horizontal="center" vertical="center" wrapText="1"/>
    </xf>
    <xf numFmtId="0" fontId="20" fillId="30" borderId="15" xfId="0" applyFont="1" applyFill="1" applyBorder="1" applyAlignment="1">
      <alignment horizontal="justify" vertical="center"/>
    </xf>
    <xf numFmtId="0" fontId="20" fillId="30" borderId="15" xfId="0" applyFont="1" applyFill="1" applyBorder="1" applyAlignment="1">
      <alignment horizontal="center" vertical="center"/>
    </xf>
    <xf numFmtId="2" fontId="20" fillId="30" borderId="15" xfId="2" applyNumberFormat="1" applyFont="1" applyFill="1" applyBorder="1" applyAlignment="1" applyProtection="1">
      <alignment horizontal="center" vertical="center"/>
    </xf>
    <xf numFmtId="173" fontId="93" fillId="0" borderId="15" xfId="2" applyBorder="1" applyAlignment="1" applyProtection="1">
      <alignment horizontal="right" vertical="center"/>
    </xf>
    <xf numFmtId="0" fontId="14" fillId="0" borderId="0" xfId="53"/>
    <xf numFmtId="166" fontId="26" fillId="0" borderId="0" xfId="114" applyNumberFormat="1" applyFont="1" applyBorder="1" applyAlignment="1" applyProtection="1">
      <alignment horizontal="left"/>
    </xf>
    <xf numFmtId="180" fontId="35" fillId="0" borderId="0" xfId="69" applyNumberFormat="1" applyFont="1"/>
    <xf numFmtId="0" fontId="36" fillId="0" borderId="0" xfId="53" applyFont="1" applyAlignment="1">
      <alignment horizontal="center" vertical="center"/>
    </xf>
    <xf numFmtId="0" fontId="37" fillId="0" borderId="9" xfId="53" applyFont="1" applyBorder="1" applyAlignment="1">
      <alignment horizontal="justify" vertical="center" wrapText="1"/>
    </xf>
    <xf numFmtId="0" fontId="38" fillId="0" borderId="0" xfId="53" applyFont="1" applyAlignment="1">
      <alignment horizontal="center" vertical="center" wrapText="1"/>
    </xf>
    <xf numFmtId="49" fontId="39" fillId="0" borderId="0" xfId="114" applyNumberFormat="1" applyFont="1" applyBorder="1" applyAlignment="1" applyProtection="1">
      <alignment horizontal="center" vertical="center"/>
      <protection locked="0"/>
    </xf>
    <xf numFmtId="166" fontId="28" fillId="0" borderId="19" xfId="114" applyNumberFormat="1" applyFont="1" applyBorder="1" applyAlignment="1" applyProtection="1">
      <alignment horizontal="right"/>
    </xf>
    <xf numFmtId="49" fontId="28" fillId="0" borderId="19" xfId="114" applyNumberFormat="1" applyFont="1" applyBorder="1" applyProtection="1"/>
    <xf numFmtId="166" fontId="28" fillId="0" borderId="11" xfId="114" applyNumberFormat="1" applyFont="1" applyBorder="1" applyAlignment="1" applyProtection="1">
      <alignment horizontal="center" vertical="center" wrapText="1"/>
    </xf>
    <xf numFmtId="166" fontId="28" fillId="24" borderId="9" xfId="114" applyNumberFormat="1" applyFont="1" applyFill="1" applyBorder="1" applyAlignment="1" applyProtection="1">
      <alignment horizontal="center"/>
    </xf>
    <xf numFmtId="166" fontId="28" fillId="0" borderId="12" xfId="114" applyNumberFormat="1" applyFont="1" applyBorder="1" applyAlignment="1" applyProtection="1">
      <alignment horizontal="center" vertical="center" wrapText="1"/>
    </xf>
    <xf numFmtId="166" fontId="28" fillId="24" borderId="18" xfId="114" applyNumberFormat="1" applyFont="1" applyFill="1" applyBorder="1" applyAlignment="1" applyProtection="1">
      <alignment horizontal="center"/>
    </xf>
    <xf numFmtId="180" fontId="28" fillId="31" borderId="23" xfId="69" applyNumberFormat="1" applyFont="1" applyFill="1" applyBorder="1" applyAlignment="1">
      <alignment horizontal="center" vertical="center"/>
    </xf>
    <xf numFmtId="180" fontId="28" fillId="31" borderId="24" xfId="69" applyNumberFormat="1" applyFont="1" applyFill="1" applyBorder="1" applyAlignment="1">
      <alignment horizontal="center" vertical="center"/>
    </xf>
    <xf numFmtId="166" fontId="28" fillId="31" borderId="24" xfId="114" applyNumberFormat="1" applyFont="1" applyFill="1" applyBorder="1" applyAlignment="1" applyProtection="1">
      <alignment horizontal="center" vertical="center"/>
    </xf>
    <xf numFmtId="166" fontId="28" fillId="31" borderId="25" xfId="114" applyNumberFormat="1" applyFont="1" applyFill="1" applyBorder="1" applyAlignment="1" applyProtection="1">
      <alignment horizontal="center" vertical="center" wrapText="1"/>
    </xf>
    <xf numFmtId="166" fontId="28" fillId="31" borderId="10" xfId="114" applyNumberFormat="1" applyFont="1" applyFill="1" applyBorder="1" applyAlignment="1" applyProtection="1">
      <alignment horizontal="center" vertical="center" wrapText="1"/>
    </xf>
    <xf numFmtId="166" fontId="28" fillId="31" borderId="16" xfId="114" applyNumberFormat="1" applyFont="1" applyFill="1" applyBorder="1" applyAlignment="1" applyProtection="1">
      <alignment horizontal="center" vertical="center" wrapText="1"/>
    </xf>
    <xf numFmtId="166" fontId="28" fillId="31" borderId="11" xfId="114" applyNumberFormat="1" applyFont="1" applyFill="1" applyBorder="1" applyAlignment="1" applyProtection="1">
      <alignment horizontal="center" vertical="center" wrapText="1"/>
    </xf>
    <xf numFmtId="166" fontId="28" fillId="31" borderId="9" xfId="114" applyNumberFormat="1" applyFont="1" applyFill="1" applyBorder="1" applyAlignment="1" applyProtection="1">
      <alignment horizontal="center"/>
    </xf>
    <xf numFmtId="10" fontId="93" fillId="24" borderId="29" xfId="96" applyNumberFormat="1" applyFill="1" applyBorder="1" applyAlignment="1" applyProtection="1">
      <alignment horizontal="center" vertical="center"/>
    </xf>
    <xf numFmtId="166" fontId="93" fillId="24" borderId="17" xfId="114" applyNumberFormat="1" applyFill="1" applyBorder="1" applyProtection="1"/>
    <xf numFmtId="171" fontId="14" fillId="0" borderId="0" xfId="53" applyNumberFormat="1"/>
    <xf numFmtId="166" fontId="40" fillId="0" borderId="30" xfId="114" applyNumberFormat="1" applyFont="1" applyBorder="1" applyProtection="1"/>
    <xf numFmtId="166" fontId="93" fillId="0" borderId="31" xfId="114" applyNumberFormat="1" applyBorder="1" applyProtection="1"/>
    <xf numFmtId="10" fontId="93" fillId="0" borderId="32" xfId="96" applyNumberFormat="1" applyBorder="1" applyProtection="1"/>
    <xf numFmtId="10" fontId="28" fillId="31" borderId="33" xfId="96" applyNumberFormat="1" applyFont="1" applyFill="1" applyBorder="1" applyProtection="1"/>
    <xf numFmtId="166" fontId="40" fillId="31" borderId="30" xfId="114" applyNumberFormat="1" applyFont="1" applyFill="1" applyBorder="1" applyProtection="1"/>
    <xf numFmtId="166" fontId="93" fillId="31" borderId="31" xfId="114" applyNumberFormat="1" applyFill="1" applyBorder="1" applyProtection="1"/>
    <xf numFmtId="166" fontId="93" fillId="0" borderId="32" xfId="114" applyNumberFormat="1" applyBorder="1" applyProtection="1"/>
    <xf numFmtId="166" fontId="93" fillId="24" borderId="37" xfId="114" applyNumberFormat="1" applyFill="1" applyBorder="1" applyAlignment="1" applyProtection="1">
      <alignment horizontal="center" vertical="center"/>
    </xf>
    <xf numFmtId="180" fontId="28" fillId="0" borderId="38" xfId="69" applyNumberFormat="1" applyFont="1" applyBorder="1" applyAlignment="1">
      <alignment vertical="center"/>
    </xf>
    <xf numFmtId="180" fontId="93" fillId="0" borderId="39" xfId="69" applyNumberFormat="1" applyBorder="1" applyAlignment="1">
      <alignment vertical="center" wrapText="1"/>
    </xf>
    <xf numFmtId="10" fontId="93" fillId="0" borderId="40" xfId="95" applyNumberFormat="1" applyBorder="1" applyAlignment="1" applyProtection="1">
      <alignment vertical="center"/>
    </xf>
    <xf numFmtId="166" fontId="93" fillId="0" borderId="41" xfId="114" applyNumberFormat="1" applyBorder="1" applyAlignment="1" applyProtection="1">
      <alignment vertical="center"/>
    </xf>
    <xf numFmtId="166" fontId="93" fillId="0" borderId="42" xfId="114" applyNumberFormat="1" applyBorder="1" applyProtection="1"/>
    <xf numFmtId="166" fontId="93" fillId="0" borderId="43" xfId="114" applyNumberFormat="1" applyBorder="1" applyProtection="1"/>
    <xf numFmtId="166" fontId="93" fillId="0" borderId="29" xfId="114" applyNumberFormat="1" applyBorder="1" applyProtection="1"/>
    <xf numFmtId="166" fontId="93" fillId="24" borderId="42" xfId="114" applyNumberFormat="1" applyFill="1" applyBorder="1" applyProtection="1"/>
    <xf numFmtId="166" fontId="93" fillId="24" borderId="43" xfId="114" applyNumberFormat="1" applyFill="1" applyBorder="1" applyProtection="1"/>
    <xf numFmtId="166" fontId="93" fillId="24" borderId="29" xfId="114" applyNumberFormat="1" applyFill="1" applyBorder="1" applyProtection="1"/>
    <xf numFmtId="166" fontId="40" fillId="24" borderId="43" xfId="114" applyNumberFormat="1" applyFont="1" applyFill="1" applyBorder="1" applyProtection="1"/>
    <xf numFmtId="166" fontId="40" fillId="24" borderId="29" xfId="114" applyNumberFormat="1" applyFont="1" applyFill="1" applyBorder="1" applyProtection="1"/>
    <xf numFmtId="180" fontId="93" fillId="32" borderId="23" xfId="69" applyNumberFormat="1" applyFill="1" applyBorder="1" applyAlignment="1">
      <alignment horizontal="center" vertical="center"/>
    </xf>
    <xf numFmtId="180" fontId="28" fillId="32" borderId="24" xfId="69" applyNumberFormat="1" applyFont="1" applyFill="1" applyBorder="1" applyAlignment="1">
      <alignment horizontal="center" vertical="center" wrapText="1"/>
    </xf>
    <xf numFmtId="9" fontId="93" fillId="32" borderId="25" xfId="3" applyFill="1" applyBorder="1" applyAlignment="1" applyProtection="1">
      <alignment horizontal="center" vertical="center"/>
    </xf>
    <xf numFmtId="166" fontId="28" fillId="32" borderId="25" xfId="114" applyNumberFormat="1" applyFont="1" applyFill="1" applyBorder="1" applyAlignment="1" applyProtection="1">
      <alignment horizontal="center" vertical="center"/>
    </xf>
    <xf numFmtId="166" fontId="28" fillId="32" borderId="9" xfId="114" applyNumberFormat="1" applyFont="1" applyFill="1" applyBorder="1" applyAlignment="1" applyProtection="1">
      <alignment horizontal="center" vertical="center"/>
    </xf>
    <xf numFmtId="10" fontId="93" fillId="32" borderId="11" xfId="3" applyNumberFormat="1" applyFill="1" applyBorder="1" applyAlignment="1" applyProtection="1">
      <alignment horizontal="center" vertical="center"/>
    </xf>
    <xf numFmtId="9" fontId="28" fillId="32" borderId="25" xfId="96" applyFont="1" applyFill="1" applyBorder="1" applyAlignment="1" applyProtection="1">
      <alignment horizontal="center" vertical="center"/>
    </xf>
    <xf numFmtId="166" fontId="14" fillId="0" borderId="0" xfId="53" applyNumberFormat="1"/>
    <xf numFmtId="182" fontId="14" fillId="0" borderId="0" xfId="53" applyNumberFormat="1"/>
    <xf numFmtId="183" fontId="0" fillId="0" borderId="0" xfId="0" applyNumberFormat="1"/>
    <xf numFmtId="183" fontId="0" fillId="0" borderId="0" xfId="0" applyNumberFormat="1" applyAlignment="1">
      <alignment horizontal="center"/>
    </xf>
    <xf numFmtId="0" fontId="41" fillId="0" borderId="0" xfId="0" applyFont="1"/>
    <xf numFmtId="0" fontId="42" fillId="0" borderId="0" xfId="0" applyFont="1"/>
    <xf numFmtId="183" fontId="28" fillId="0" borderId="45" xfId="0" applyNumberFormat="1" applyFont="1" applyBorder="1" applyAlignment="1">
      <alignment horizontal="left" vertical="center"/>
    </xf>
    <xf numFmtId="166" fontId="0" fillId="0" borderId="46" xfId="0" applyNumberFormat="1" applyBorder="1" applyAlignment="1">
      <alignment vertical="center"/>
    </xf>
    <xf numFmtId="183" fontId="46" fillId="0" borderId="49" xfId="0" applyNumberFormat="1" applyFont="1" applyBorder="1" applyAlignment="1">
      <alignment horizontal="left" vertical="center"/>
    </xf>
    <xf numFmtId="166" fontId="46" fillId="0" borderId="50" xfId="1" applyFont="1" applyBorder="1" applyAlignment="1" applyProtection="1">
      <alignment horizontal="left" vertical="center"/>
    </xf>
    <xf numFmtId="183" fontId="46" fillId="0" borderId="52" xfId="0" applyNumberFormat="1" applyFont="1" applyBorder="1" applyAlignment="1">
      <alignment horizontal="left" vertical="center"/>
    </xf>
    <xf numFmtId="166" fontId="46" fillId="0" borderId="53" xfId="1" applyFont="1" applyBorder="1" applyAlignment="1" applyProtection="1">
      <alignment horizontal="left" vertical="center"/>
    </xf>
    <xf numFmtId="49" fontId="47" fillId="0" borderId="50" xfId="0" applyNumberFormat="1" applyFont="1" applyBorder="1" applyAlignment="1">
      <alignment horizontal="center" vertical="center"/>
    </xf>
    <xf numFmtId="4" fontId="47" fillId="0" borderId="51" xfId="0" applyNumberFormat="1" applyFont="1" applyBorder="1" applyAlignment="1">
      <alignment horizontal="center" vertical="center"/>
    </xf>
    <xf numFmtId="172" fontId="47" fillId="0" borderId="54" xfId="0" applyNumberFormat="1" applyFont="1" applyBorder="1" applyAlignment="1">
      <alignment horizontal="left" vertical="center"/>
    </xf>
    <xf numFmtId="0" fontId="47" fillId="0" borderId="53" xfId="0" applyFont="1" applyBorder="1" applyAlignment="1">
      <alignment horizontal="left" vertical="center"/>
    </xf>
    <xf numFmtId="183" fontId="47" fillId="0" borderId="53" xfId="0" applyNumberFormat="1" applyFont="1" applyBorder="1" applyAlignment="1">
      <alignment horizontal="left" vertical="center"/>
    </xf>
    <xf numFmtId="183" fontId="28" fillId="0" borderId="53" xfId="84" applyNumberFormat="1" applyFont="1" applyBorder="1" applyAlignment="1">
      <alignment vertical="center"/>
    </xf>
    <xf numFmtId="183" fontId="0" fillId="0" borderId="53" xfId="0" applyNumberFormat="1" applyBorder="1"/>
    <xf numFmtId="183" fontId="47" fillId="0" borderId="52" xfId="0" applyNumberFormat="1" applyFont="1" applyBorder="1" applyAlignment="1">
      <alignment horizontal="left" vertical="center"/>
    </xf>
    <xf numFmtId="0" fontId="93" fillId="0" borderId="55" xfId="84" applyBorder="1" applyAlignment="1">
      <alignment vertical="center"/>
    </xf>
    <xf numFmtId="183" fontId="28" fillId="0" borderId="57" xfId="0" applyNumberFormat="1" applyFont="1" applyBorder="1" applyAlignment="1">
      <alignment horizontal="left" vertical="center"/>
    </xf>
    <xf numFmtId="183" fontId="93" fillId="0" borderId="29" xfId="84" applyNumberFormat="1" applyBorder="1" applyAlignment="1">
      <alignment vertical="center"/>
    </xf>
    <xf numFmtId="0" fontId="93" fillId="0" borderId="58" xfId="84" applyBorder="1" applyAlignment="1">
      <alignment vertical="center"/>
    </xf>
    <xf numFmtId="0" fontId="93" fillId="0" borderId="53" xfId="84" applyBorder="1" applyAlignment="1">
      <alignment horizontal="left" vertical="center"/>
    </xf>
    <xf numFmtId="183" fontId="93" fillId="0" borderId="53" xfId="84" applyNumberFormat="1" applyBorder="1" applyAlignment="1">
      <alignment horizontal="left" vertical="center"/>
    </xf>
    <xf numFmtId="183" fontId="93" fillId="0" borderId="55" xfId="84" applyNumberFormat="1" applyBorder="1" applyAlignment="1">
      <alignment horizontal="left" vertical="center"/>
    </xf>
    <xf numFmtId="166" fontId="20" fillId="0" borderId="48" xfId="1" applyFont="1" applyBorder="1" applyAlignment="1" applyProtection="1">
      <alignment horizontal="left" vertical="center"/>
    </xf>
    <xf numFmtId="0" fontId="93" fillId="0" borderId="0" xfId="84" applyAlignment="1">
      <alignment horizontal="left" vertical="center"/>
    </xf>
    <xf numFmtId="183" fontId="93" fillId="0" borderId="0" xfId="84" applyNumberFormat="1" applyAlignment="1">
      <alignment horizontal="left" vertical="center"/>
    </xf>
    <xf numFmtId="183" fontId="93" fillId="0" borderId="61" xfId="84" applyNumberFormat="1" applyBorder="1" applyAlignment="1">
      <alignment horizontal="left" vertical="center"/>
    </xf>
    <xf numFmtId="186" fontId="0" fillId="0" borderId="63" xfId="0" applyNumberFormat="1" applyBorder="1" applyAlignment="1">
      <alignment horizontal="center" vertical="center"/>
    </xf>
    <xf numFmtId="186" fontId="0" fillId="0" borderId="64" xfId="0" applyNumberFormat="1" applyBorder="1" applyAlignment="1">
      <alignment horizontal="center" vertical="center"/>
    </xf>
    <xf numFmtId="172" fontId="47" fillId="0" borderId="65" xfId="0" applyNumberFormat="1" applyFont="1" applyBorder="1" applyAlignment="1">
      <alignment horizontal="center" vertical="center" wrapText="1"/>
    </xf>
    <xf numFmtId="0" fontId="0" fillId="0" borderId="65" xfId="0" applyBorder="1" applyAlignment="1">
      <alignment horizontal="center" vertical="center"/>
    </xf>
    <xf numFmtId="172" fontId="28" fillId="0" borderId="9" xfId="0" applyNumberFormat="1" applyFont="1" applyBorder="1" applyAlignment="1">
      <alignment horizontal="center"/>
    </xf>
    <xf numFmtId="0" fontId="28" fillId="0" borderId="11" xfId="0" applyFont="1" applyBorder="1" applyAlignment="1">
      <alignment horizontal="center"/>
    </xf>
    <xf numFmtId="166" fontId="46" fillId="0" borderId="9" xfId="1" applyFont="1" applyBorder="1" applyAlignment="1" applyProtection="1">
      <alignment horizontal="center" vertical="center"/>
    </xf>
    <xf numFmtId="0" fontId="41" fillId="0" borderId="66" xfId="0" applyFont="1" applyBorder="1"/>
    <xf numFmtId="0" fontId="42" fillId="0" borderId="66" xfId="0" applyFont="1" applyBorder="1"/>
    <xf numFmtId="172" fontId="0" fillId="0" borderId="67" xfId="0" applyNumberFormat="1" applyBorder="1"/>
    <xf numFmtId="0" fontId="0" fillId="0" borderId="67" xfId="0" applyBorder="1" applyAlignment="1">
      <alignment horizontal="center"/>
    </xf>
    <xf numFmtId="166" fontId="93" fillId="0" borderId="67" xfId="1" applyBorder="1" applyAlignment="1" applyProtection="1">
      <alignment vertical="center"/>
    </xf>
    <xf numFmtId="0" fontId="0" fillId="0" borderId="0" xfId="0" applyAlignment="1">
      <alignment horizontal="left"/>
    </xf>
    <xf numFmtId="183" fontId="93" fillId="0" borderId="0" xfId="1" applyNumberFormat="1" applyBorder="1" applyAlignment="1" applyProtection="1">
      <alignment horizontal="left"/>
    </xf>
    <xf numFmtId="183" fontId="93" fillId="0" borderId="0" xfId="1" applyNumberFormat="1" applyBorder="1" applyProtection="1"/>
    <xf numFmtId="183" fontId="93" fillId="0" borderId="0" xfId="1" applyNumberFormat="1" applyBorder="1" applyAlignment="1" applyProtection="1">
      <alignment horizontal="center"/>
    </xf>
    <xf numFmtId="183" fontId="93" fillId="0" borderId="0" xfId="1" applyNumberFormat="1" applyBorder="1" applyAlignment="1" applyProtection="1">
      <alignment horizontal="right"/>
    </xf>
    <xf numFmtId="166" fontId="93" fillId="0" borderId="0" xfId="1" applyBorder="1" applyAlignment="1" applyProtection="1">
      <alignment vertical="center"/>
    </xf>
    <xf numFmtId="183" fontId="93" fillId="0" borderId="19" xfId="1" applyNumberFormat="1" applyBorder="1" applyAlignment="1" applyProtection="1">
      <alignment horizontal="right"/>
    </xf>
    <xf numFmtId="183" fontId="0" fillId="0" borderId="68" xfId="0" applyNumberFormat="1" applyBorder="1" applyAlignment="1">
      <alignment horizontal="center"/>
    </xf>
    <xf numFmtId="4" fontId="93" fillId="0" borderId="10" xfId="1" applyNumberFormat="1" applyBorder="1" applyAlignment="1" applyProtection="1">
      <alignment horizontal="center" vertical="center"/>
    </xf>
    <xf numFmtId="4" fontId="93" fillId="0" borderId="9" xfId="1" applyNumberFormat="1" applyBorder="1" applyAlignment="1" applyProtection="1">
      <alignment horizontal="center" vertical="center"/>
    </xf>
    <xf numFmtId="4" fontId="28" fillId="0" borderId="10" xfId="1" applyNumberFormat="1" applyFont="1" applyBorder="1" applyAlignment="1" applyProtection="1">
      <alignment horizontal="center" vertical="center" shrinkToFit="1"/>
    </xf>
    <xf numFmtId="172" fontId="0" fillId="0" borderId="17" xfId="0" applyNumberFormat="1" applyBorder="1"/>
    <xf numFmtId="183" fontId="28" fillId="0" borderId="0" xfId="1" applyNumberFormat="1" applyFont="1" applyBorder="1" applyAlignment="1" applyProtection="1">
      <alignment horizontal="center"/>
    </xf>
    <xf numFmtId="183" fontId="28" fillId="0" borderId="0" xfId="0" applyNumberFormat="1" applyFont="1" applyAlignment="1">
      <alignment horizontal="center"/>
    </xf>
    <xf numFmtId="183" fontId="28" fillId="0" borderId="0" xfId="1" applyNumberFormat="1" applyFont="1" applyBorder="1" applyAlignment="1" applyProtection="1">
      <alignment horizontal="right"/>
    </xf>
    <xf numFmtId="0" fontId="27" fillId="0" borderId="0" xfId="0" applyFont="1" applyAlignment="1">
      <alignment horizontal="left"/>
    </xf>
    <xf numFmtId="166" fontId="34" fillId="0" borderId="67" xfId="1" applyFont="1" applyBorder="1" applyAlignment="1" applyProtection="1">
      <alignment vertical="center"/>
    </xf>
    <xf numFmtId="0" fontId="28" fillId="0" borderId="0" xfId="0" applyFont="1" applyAlignment="1">
      <alignment horizontal="left"/>
    </xf>
    <xf numFmtId="166" fontId="34" fillId="0" borderId="0" xfId="1" applyFont="1" applyBorder="1" applyAlignment="1" applyProtection="1">
      <alignment vertical="center"/>
    </xf>
    <xf numFmtId="0" fontId="28" fillId="0" borderId="66" xfId="0" applyFont="1" applyBorder="1"/>
    <xf numFmtId="0" fontId="20" fillId="0" borderId="0" xfId="0" applyFont="1" applyAlignment="1">
      <alignment horizontal="left"/>
    </xf>
    <xf numFmtId="0" fontId="0" fillId="0" borderId="48" xfId="0" applyBorder="1" applyAlignment="1">
      <alignment horizontal="left"/>
    </xf>
    <xf numFmtId="183" fontId="0" fillId="0" borderId="64" xfId="0" applyNumberFormat="1" applyBorder="1" applyAlignment="1">
      <alignment horizontal="center"/>
    </xf>
    <xf numFmtId="183" fontId="28" fillId="0" borderId="0" xfId="1" applyNumberFormat="1" applyFont="1" applyBorder="1" applyAlignment="1" applyProtection="1">
      <alignment horizontal="left"/>
    </xf>
    <xf numFmtId="183" fontId="28" fillId="0" borderId="0" xfId="1" applyNumberFormat="1" applyFont="1" applyBorder="1" applyProtection="1"/>
    <xf numFmtId="166" fontId="48" fillId="0" borderId="67" xfId="1" applyFont="1" applyBorder="1" applyAlignment="1" applyProtection="1">
      <alignment vertical="center"/>
    </xf>
    <xf numFmtId="166" fontId="48" fillId="0" borderId="0" xfId="1" applyFont="1" applyBorder="1" applyAlignment="1" applyProtection="1">
      <alignment vertical="center"/>
    </xf>
    <xf numFmtId="183" fontId="28" fillId="0" borderId="19" xfId="1" applyNumberFormat="1" applyFont="1" applyBorder="1" applyAlignment="1" applyProtection="1">
      <alignment horizontal="right"/>
    </xf>
    <xf numFmtId="183" fontId="28" fillId="0" borderId="68" xfId="0" applyNumberFormat="1" applyFont="1" applyBorder="1" applyAlignment="1">
      <alignment horizontal="center"/>
    </xf>
    <xf numFmtId="172" fontId="28" fillId="0" borderId="67" xfId="0" applyNumberFormat="1" applyFont="1" applyBorder="1" applyAlignment="1">
      <alignment horizontal="center"/>
    </xf>
    <xf numFmtId="0" fontId="28" fillId="0" borderId="0" xfId="0" applyFont="1" applyAlignment="1">
      <alignment horizontal="left" shrinkToFit="1"/>
    </xf>
    <xf numFmtId="0" fontId="28" fillId="0" borderId="18" xfId="0" applyFont="1" applyBorder="1" applyAlignment="1">
      <alignment horizontal="center"/>
    </xf>
    <xf numFmtId="166" fontId="49" fillId="0" borderId="0" xfId="1" applyFont="1" applyBorder="1" applyAlignment="1" applyProtection="1">
      <alignment horizontal="center" vertical="center"/>
    </xf>
    <xf numFmtId="166" fontId="49" fillId="0" borderId="67" xfId="1" applyFont="1" applyBorder="1" applyAlignment="1" applyProtection="1">
      <alignment horizontal="center" vertical="center"/>
    </xf>
    <xf numFmtId="166" fontId="50" fillId="0" borderId="0" xfId="1" applyFont="1" applyBorder="1" applyAlignment="1" applyProtection="1">
      <alignment vertical="center"/>
    </xf>
    <xf numFmtId="166" fontId="50" fillId="0" borderId="67" xfId="1" applyFont="1" applyBorder="1" applyAlignment="1" applyProtection="1">
      <alignment vertical="center"/>
    </xf>
    <xf numFmtId="166" fontId="46" fillId="0" borderId="0" xfId="1" applyFont="1" applyBorder="1" applyAlignment="1" applyProtection="1">
      <alignment horizontal="center" vertical="center"/>
    </xf>
    <xf numFmtId="166" fontId="46" fillId="0" borderId="67" xfId="1" applyFont="1" applyBorder="1" applyAlignment="1" applyProtection="1">
      <alignment horizontal="center" vertical="center"/>
    </xf>
    <xf numFmtId="166" fontId="51" fillId="0" borderId="0" xfId="1" applyFont="1" applyBorder="1" applyAlignment="1" applyProtection="1">
      <alignment horizontal="center" vertical="center"/>
    </xf>
    <xf numFmtId="166" fontId="51" fillId="0" borderId="67" xfId="1" applyFont="1" applyBorder="1" applyAlignment="1" applyProtection="1">
      <alignment horizontal="center" vertical="center"/>
    </xf>
    <xf numFmtId="0" fontId="50" fillId="0" borderId="0" xfId="0" applyFont="1"/>
    <xf numFmtId="0" fontId="52" fillId="0" borderId="66" xfId="0" applyFont="1" applyBorder="1"/>
    <xf numFmtId="0" fontId="28" fillId="0" borderId="44" xfId="0" applyFont="1" applyBorder="1" applyAlignment="1">
      <alignment horizontal="left"/>
    </xf>
    <xf numFmtId="0" fontId="28" fillId="0" borderId="12" xfId="0" applyFont="1" applyBorder="1" applyAlignment="1">
      <alignment horizontal="left"/>
    </xf>
    <xf numFmtId="0" fontId="28" fillId="0" borderId="13" xfId="0" applyFont="1" applyBorder="1" applyAlignment="1">
      <alignment horizontal="left"/>
    </xf>
    <xf numFmtId="183" fontId="20" fillId="0" borderId="0" xfId="1" applyNumberFormat="1" applyFont="1" applyBorder="1" applyAlignment="1" applyProtection="1">
      <alignment horizontal="left"/>
    </xf>
    <xf numFmtId="183" fontId="20" fillId="0" borderId="0" xfId="1" applyNumberFormat="1" applyFont="1" applyBorder="1" applyProtection="1"/>
    <xf numFmtId="183" fontId="20" fillId="0" borderId="0" xfId="1" applyNumberFormat="1" applyFont="1" applyBorder="1" applyAlignment="1" applyProtection="1">
      <alignment horizontal="center"/>
    </xf>
    <xf numFmtId="183" fontId="0" fillId="0" borderId="19" xfId="0" applyNumberFormat="1" applyBorder="1" applyAlignment="1">
      <alignment horizontal="center"/>
    </xf>
    <xf numFmtId="183" fontId="20" fillId="0" borderId="0" xfId="1" applyNumberFormat="1" applyFont="1" applyBorder="1" applyAlignment="1" applyProtection="1">
      <alignment horizontal="right"/>
    </xf>
    <xf numFmtId="183" fontId="20" fillId="0" borderId="0" xfId="0" applyNumberFormat="1" applyFont="1" applyAlignment="1">
      <alignment horizontal="center"/>
    </xf>
    <xf numFmtId="183" fontId="20" fillId="0" borderId="19" xfId="1" applyNumberFormat="1" applyFont="1" applyBorder="1" applyAlignment="1" applyProtection="1">
      <alignment horizontal="right"/>
    </xf>
    <xf numFmtId="183" fontId="20" fillId="0" borderId="68" xfId="0" applyNumberFormat="1" applyFont="1" applyBorder="1" applyAlignment="1">
      <alignment horizontal="center"/>
    </xf>
    <xf numFmtId="183" fontId="93" fillId="0" borderId="12" xfId="1" applyNumberFormat="1" applyBorder="1" applyProtection="1"/>
    <xf numFmtId="183" fontId="93" fillId="0" borderId="12" xfId="1" applyNumberFormat="1" applyBorder="1" applyAlignment="1" applyProtection="1">
      <alignment horizontal="right"/>
    </xf>
    <xf numFmtId="183" fontId="0" fillId="0" borderId="13" xfId="0" applyNumberFormat="1" applyBorder="1" applyAlignment="1">
      <alignment horizontal="center"/>
    </xf>
    <xf numFmtId="0" fontId="0" fillId="0" borderId="64" xfId="0" applyBorder="1"/>
    <xf numFmtId="0" fontId="0" fillId="0" borderId="17" xfId="0" applyBorder="1" applyAlignment="1">
      <alignment horizontal="center"/>
    </xf>
    <xf numFmtId="183" fontId="93" fillId="0" borderId="19" xfId="1" applyNumberFormat="1" applyBorder="1" applyAlignment="1" applyProtection="1">
      <alignment horizontal="center"/>
    </xf>
    <xf numFmtId="183" fontId="93" fillId="0" borderId="19" xfId="1" applyNumberFormat="1" applyBorder="1" applyProtection="1"/>
    <xf numFmtId="0" fontId="26" fillId="24" borderId="71" xfId="0" applyFont="1" applyFill="1" applyBorder="1" applyAlignment="1">
      <alignment vertical="center"/>
    </xf>
    <xf numFmtId="172" fontId="0" fillId="24" borderId="72" xfId="0" applyNumberFormat="1" applyFill="1" applyBorder="1" applyAlignment="1">
      <alignment vertical="center"/>
    </xf>
    <xf numFmtId="172" fontId="0" fillId="24" borderId="73" xfId="0" applyNumberFormat="1" applyFill="1" applyBorder="1" applyAlignment="1">
      <alignment vertical="center"/>
    </xf>
    <xf numFmtId="0" fontId="28" fillId="24" borderId="73" xfId="0" applyFont="1" applyFill="1" applyBorder="1" applyAlignment="1">
      <alignment horizontal="left" vertical="center"/>
    </xf>
    <xf numFmtId="0" fontId="28" fillId="24" borderId="73" xfId="0" applyFont="1" applyFill="1" applyBorder="1" applyAlignment="1">
      <alignment horizontal="center" vertical="center"/>
    </xf>
    <xf numFmtId="0" fontId="28" fillId="24" borderId="74" xfId="0" applyFont="1" applyFill="1" applyBorder="1" applyAlignment="1">
      <alignment horizontal="center" vertical="center"/>
    </xf>
    <xf numFmtId="0" fontId="26" fillId="24" borderId="75" xfId="0" applyFont="1" applyFill="1" applyBorder="1" applyAlignment="1">
      <alignment vertical="center"/>
    </xf>
    <xf numFmtId="172" fontId="0" fillId="24" borderId="76" xfId="0" applyNumberFormat="1" applyFill="1" applyBorder="1" applyAlignment="1">
      <alignment vertical="center"/>
    </xf>
    <xf numFmtId="172" fontId="0" fillId="24" borderId="77" xfId="0" applyNumberFormat="1" applyFill="1" applyBorder="1" applyAlignment="1">
      <alignment vertical="center"/>
    </xf>
    <xf numFmtId="0" fontId="28" fillId="24" borderId="77" xfId="0" applyFont="1" applyFill="1" applyBorder="1" applyAlignment="1">
      <alignment horizontal="center" vertical="center"/>
    </xf>
    <xf numFmtId="0" fontId="28" fillId="24" borderId="79" xfId="0" applyFont="1" applyFill="1" applyBorder="1" applyAlignment="1">
      <alignment horizontal="center" vertical="center"/>
    </xf>
    <xf numFmtId="172" fontId="28" fillId="24" borderId="80" xfId="0" applyNumberFormat="1" applyFont="1" applyFill="1" applyBorder="1" applyAlignment="1">
      <alignment horizontal="left" vertical="center"/>
    </xf>
    <xf numFmtId="172" fontId="28" fillId="24" borderId="81" xfId="0" applyNumberFormat="1" applyFont="1" applyFill="1" applyBorder="1" applyAlignment="1">
      <alignment horizontal="left" vertical="center"/>
    </xf>
    <xf numFmtId="172" fontId="28" fillId="24" borderId="81" xfId="0" applyNumberFormat="1" applyFont="1" applyFill="1" applyBorder="1" applyAlignment="1">
      <alignment horizontal="center" vertical="center"/>
    </xf>
    <xf numFmtId="172" fontId="28" fillId="24" borderId="82" xfId="0" applyNumberFormat="1" applyFont="1" applyFill="1" applyBorder="1" applyAlignment="1">
      <alignment horizontal="center" vertical="center"/>
    </xf>
    <xf numFmtId="0" fontId="0" fillId="24" borderId="83" xfId="0" applyFill="1" applyBorder="1" applyAlignment="1">
      <alignment horizontal="center"/>
    </xf>
    <xf numFmtId="0" fontId="0" fillId="24" borderId="78" xfId="0" applyFill="1" applyBorder="1" applyAlignment="1">
      <alignment horizontal="center"/>
    </xf>
    <xf numFmtId="0" fontId="28" fillId="24" borderId="78" xfId="0" applyFont="1" applyFill="1" applyBorder="1" applyAlignment="1">
      <alignment horizontal="left" vertical="center"/>
    </xf>
    <xf numFmtId="0" fontId="0" fillId="24" borderId="78" xfId="0" applyFill="1" applyBorder="1" applyAlignment="1">
      <alignment horizontal="center" vertical="center"/>
    </xf>
    <xf numFmtId="0" fontId="0" fillId="24" borderId="84" xfId="0" applyFill="1" applyBorder="1" applyAlignment="1">
      <alignment horizontal="center" vertical="center"/>
    </xf>
    <xf numFmtId="0" fontId="26" fillId="24" borderId="75" xfId="0" applyFont="1" applyFill="1" applyBorder="1" applyAlignment="1">
      <alignment horizontal="center" vertical="center"/>
    </xf>
    <xf numFmtId="0" fontId="28" fillId="24" borderId="77" xfId="0" applyFont="1" applyFill="1" applyBorder="1" applyAlignment="1">
      <alignment horizontal="center" vertical="center" wrapText="1"/>
    </xf>
    <xf numFmtId="4" fontId="0" fillId="24" borderId="77" xfId="0" applyNumberFormat="1" applyFill="1" applyBorder="1" applyAlignment="1">
      <alignment horizontal="center" vertical="center"/>
    </xf>
    <xf numFmtId="4" fontId="0" fillId="24" borderId="79" xfId="0" applyNumberFormat="1" applyFill="1" applyBorder="1" applyAlignment="1">
      <alignment horizontal="center" vertical="center"/>
    </xf>
    <xf numFmtId="0" fontId="28" fillId="24" borderId="80" xfId="0" applyFont="1" applyFill="1" applyBorder="1" applyAlignment="1">
      <alignment horizontal="center" vertical="center" wrapText="1"/>
    </xf>
    <xf numFmtId="0" fontId="28" fillId="24" borderId="81" xfId="0" applyFont="1" applyFill="1" applyBorder="1" applyAlignment="1">
      <alignment horizontal="center" vertical="center" wrapText="1"/>
    </xf>
    <xf numFmtId="4" fontId="0" fillId="24" borderId="81" xfId="0" applyNumberFormat="1" applyFill="1" applyBorder="1" applyAlignment="1">
      <alignment horizontal="center" vertical="center"/>
    </xf>
    <xf numFmtId="4" fontId="0" fillId="24" borderId="82" xfId="0" applyNumberFormat="1" applyFill="1" applyBorder="1" applyAlignment="1">
      <alignment horizontal="center" vertical="center"/>
    </xf>
    <xf numFmtId="4" fontId="35" fillId="24" borderId="75" xfId="0" applyNumberFormat="1" applyFont="1" applyFill="1" applyBorder="1" applyAlignment="1">
      <alignment horizontal="center" vertical="center"/>
    </xf>
    <xf numFmtId="0" fontId="28" fillId="24" borderId="77" xfId="0" applyFont="1" applyFill="1" applyBorder="1" applyAlignment="1">
      <alignment horizontal="left" vertical="center"/>
    </xf>
    <xf numFmtId="4" fontId="28" fillId="24" borderId="77" xfId="0" applyNumberFormat="1" applyFont="1" applyFill="1" applyBorder="1" applyAlignment="1">
      <alignment horizontal="center" vertical="center" wrapText="1"/>
    </xf>
    <xf numFmtId="4" fontId="28" fillId="24" borderId="79" xfId="0" applyNumberFormat="1" applyFont="1" applyFill="1" applyBorder="1" applyAlignment="1">
      <alignment horizontal="center" vertical="center" wrapText="1"/>
    </xf>
    <xf numFmtId="0" fontId="26" fillId="24" borderId="75" xfId="1" applyNumberFormat="1" applyFont="1" applyFill="1" applyBorder="1" applyAlignment="1" applyProtection="1">
      <alignment horizontal="center" vertical="center"/>
    </xf>
    <xf numFmtId="172" fontId="0" fillId="24" borderId="80" xfId="0" applyNumberFormat="1" applyFill="1" applyBorder="1" applyAlignment="1">
      <alignment vertical="center"/>
    </xf>
    <xf numFmtId="172" fontId="0" fillId="24" borderId="81" xfId="0" applyNumberFormat="1" applyFill="1" applyBorder="1" applyAlignment="1">
      <alignment vertical="center"/>
    </xf>
    <xf numFmtId="0" fontId="0" fillId="24" borderId="81" xfId="0" applyFill="1" applyBorder="1" applyAlignment="1">
      <alignment horizontal="center" vertical="center"/>
    </xf>
    <xf numFmtId="4" fontId="28" fillId="24" borderId="81" xfId="0" applyNumberFormat="1" applyFont="1" applyFill="1" applyBorder="1" applyAlignment="1">
      <alignment horizontal="center" vertical="center" wrapText="1"/>
    </xf>
    <xf numFmtId="4" fontId="28" fillId="24" borderId="82" xfId="0" applyNumberFormat="1" applyFont="1" applyFill="1" applyBorder="1" applyAlignment="1">
      <alignment horizontal="center" vertical="center" wrapText="1"/>
    </xf>
    <xf numFmtId="172" fontId="0" fillId="24" borderId="85" xfId="0" applyNumberFormat="1" applyFill="1" applyBorder="1" applyAlignment="1">
      <alignment vertical="center"/>
    </xf>
    <xf numFmtId="172" fontId="0" fillId="24" borderId="86" xfId="0" applyNumberFormat="1" applyFill="1" applyBorder="1" applyAlignment="1">
      <alignment vertical="center"/>
    </xf>
    <xf numFmtId="0" fontId="28" fillId="0" borderId="86" xfId="0" applyFont="1" applyBorder="1" applyAlignment="1">
      <alignment horizontal="left" vertical="center"/>
    </xf>
    <xf numFmtId="0" fontId="0" fillId="0" borderId="86" xfId="0" applyBorder="1" applyAlignment="1">
      <alignment horizontal="left" vertical="center"/>
    </xf>
    <xf numFmtId="4" fontId="28" fillId="24" borderId="86" xfId="0" applyNumberFormat="1" applyFont="1" applyFill="1" applyBorder="1" applyAlignment="1">
      <alignment horizontal="center" vertical="center" wrapText="1"/>
    </xf>
    <xf numFmtId="4" fontId="28" fillId="24" borderId="87" xfId="0" applyNumberFormat="1" applyFont="1" applyFill="1" applyBorder="1" applyAlignment="1">
      <alignment horizontal="center" vertical="center" wrapText="1"/>
    </xf>
    <xf numFmtId="0" fontId="26" fillId="24" borderId="88" xfId="1" applyNumberFormat="1" applyFont="1" applyFill="1" applyBorder="1" applyAlignment="1" applyProtection="1">
      <alignment horizontal="center" vertical="center"/>
    </xf>
    <xf numFmtId="0" fontId="27" fillId="29" borderId="0" xfId="0" applyFont="1" applyFill="1" applyAlignment="1">
      <alignment vertical="center"/>
    </xf>
    <xf numFmtId="172" fontId="28" fillId="23" borderId="14" xfId="0" applyNumberFormat="1" applyFont="1" applyFill="1" applyBorder="1" applyAlignment="1">
      <alignment horizontal="center" vertical="center" wrapText="1"/>
    </xf>
    <xf numFmtId="172" fontId="28" fillId="23" borderId="11" xfId="0" applyNumberFormat="1" applyFont="1" applyFill="1" applyBorder="1" applyAlignment="1">
      <alignment horizontal="center" vertical="center" wrapText="1"/>
    </xf>
    <xf numFmtId="0" fontId="28" fillId="23" borderId="10" xfId="0" applyFont="1" applyFill="1" applyBorder="1" applyAlignment="1">
      <alignment horizontal="center" vertical="center" wrapText="1"/>
    </xf>
    <xf numFmtId="0" fontId="28" fillId="23" borderId="9" xfId="0" applyFont="1" applyFill="1" applyBorder="1" applyAlignment="1">
      <alignment horizontal="center" vertical="center" wrapText="1"/>
    </xf>
    <xf numFmtId="4" fontId="28" fillId="23" borderId="9" xfId="0" applyNumberFormat="1" applyFont="1" applyFill="1" applyBorder="1" applyAlignment="1">
      <alignment horizontal="center" vertical="center" wrapText="1"/>
    </xf>
    <xf numFmtId="0" fontId="27" fillId="24" borderId="0" xfId="0" applyFont="1" applyFill="1" applyAlignment="1">
      <alignment vertical="center"/>
    </xf>
    <xf numFmtId="172" fontId="28" fillId="23" borderId="16" xfId="0" applyNumberFormat="1" applyFont="1" applyFill="1" applyBorder="1" applyAlignment="1">
      <alignment horizontal="center" vertical="center" wrapText="1"/>
    </xf>
    <xf numFmtId="1" fontId="0" fillId="29" borderId="9" xfId="0" applyNumberFormat="1" applyFill="1" applyBorder="1" applyAlignment="1">
      <alignment horizontal="center" vertical="center"/>
    </xf>
    <xf numFmtId="0" fontId="28" fillId="29" borderId="9" xfId="0" applyFont="1" applyFill="1" applyBorder="1" applyAlignment="1">
      <alignment horizontal="justify" vertical="center"/>
    </xf>
    <xf numFmtId="0" fontId="0" fillId="29" borderId="9" xfId="0" applyFill="1" applyBorder="1" applyAlignment="1">
      <alignment horizontal="center" vertical="center"/>
    </xf>
    <xf numFmtId="173" fontId="93" fillId="29" borderId="9" xfId="2" applyFill="1" applyBorder="1" applyAlignment="1" applyProtection="1">
      <alignment horizontal="right" vertical="center"/>
    </xf>
    <xf numFmtId="0" fontId="0" fillId="29" borderId="9" xfId="0" applyFill="1" applyBorder="1" applyAlignment="1">
      <alignment horizontal="left" vertical="center"/>
    </xf>
    <xf numFmtId="177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justify" vertical="center"/>
    </xf>
    <xf numFmtId="0" fontId="0" fillId="0" borderId="9" xfId="0" applyBorder="1" applyAlignment="1">
      <alignment horizontal="center" vertical="center"/>
    </xf>
    <xf numFmtId="173" fontId="93" fillId="0" borderId="9" xfId="2" applyBorder="1" applyAlignment="1" applyProtection="1">
      <alignment horizontal="right" vertical="center"/>
    </xf>
    <xf numFmtId="4" fontId="0" fillId="0" borderId="9" xfId="0" applyNumberFormat="1" applyBorder="1" applyAlignment="1">
      <alignment horizontal="right" vertical="center"/>
    </xf>
    <xf numFmtId="173" fontId="93" fillId="24" borderId="9" xfId="2" applyFill="1" applyBorder="1" applyAlignment="1" applyProtection="1">
      <alignment horizontal="right" vertical="center"/>
    </xf>
    <xf numFmtId="0" fontId="43" fillId="24" borderId="0" xfId="0" applyFont="1" applyFill="1" applyAlignment="1">
      <alignment vertical="center"/>
    </xf>
    <xf numFmtId="0" fontId="28" fillId="0" borderId="9" xfId="0" applyFont="1" applyBorder="1" applyAlignment="1">
      <alignment horizontal="center" vertical="center"/>
    </xf>
    <xf numFmtId="0" fontId="28" fillId="0" borderId="9" xfId="0" applyFont="1" applyBorder="1" applyAlignment="1">
      <alignment horizontal="justify" vertical="center"/>
    </xf>
    <xf numFmtId="0" fontId="28" fillId="0" borderId="9" xfId="0" applyFont="1" applyBorder="1" applyAlignment="1">
      <alignment horizontal="left" vertical="center"/>
    </xf>
    <xf numFmtId="173" fontId="28" fillId="24" borderId="9" xfId="2" applyFont="1" applyFill="1" applyBorder="1" applyAlignment="1" applyProtection="1">
      <alignment horizontal="right" vertical="center"/>
    </xf>
    <xf numFmtId="0" fontId="0" fillId="0" borderId="9" xfId="0" applyBorder="1" applyAlignment="1">
      <alignment horizontal="justify" vertical="center" wrapText="1"/>
    </xf>
    <xf numFmtId="0" fontId="0" fillId="0" borderId="9" xfId="0" applyBorder="1" applyAlignment="1">
      <alignment horizontal="center"/>
    </xf>
    <xf numFmtId="177" fontId="0" fillId="0" borderId="0" xfId="0" applyNumberFormat="1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/>
    </xf>
    <xf numFmtId="173" fontId="93" fillId="0" borderId="0" xfId="2" applyBorder="1" applyAlignment="1" applyProtection="1">
      <alignment horizontal="right" vertical="center"/>
    </xf>
    <xf numFmtId="4" fontId="0" fillId="0" borderId="0" xfId="0" applyNumberFormat="1" applyAlignment="1">
      <alignment horizontal="right" vertical="center"/>
    </xf>
    <xf numFmtId="173" fontId="93" fillId="24" borderId="0" xfId="2" applyFill="1" applyBorder="1" applyAlignment="1" applyProtection="1">
      <alignment horizontal="right" vertical="center"/>
    </xf>
    <xf numFmtId="177" fontId="0" fillId="29" borderId="9" xfId="0" applyNumberFormat="1" applyFill="1" applyBorder="1" applyAlignment="1">
      <alignment horizontal="center" vertical="center"/>
    </xf>
    <xf numFmtId="0" fontId="53" fillId="29" borderId="9" xfId="0" applyFont="1" applyFill="1" applyBorder="1" applyAlignment="1">
      <alignment horizontal="justify" vertical="center"/>
    </xf>
    <xf numFmtId="0" fontId="43" fillId="29" borderId="0" xfId="0" applyFont="1" applyFill="1" applyAlignment="1">
      <alignment vertical="center"/>
    </xf>
    <xf numFmtId="0" fontId="0" fillId="0" borderId="9" xfId="0" applyBorder="1"/>
    <xf numFmtId="177" fontId="0" fillId="0" borderId="16" xfId="0" applyNumberFormat="1" applyBorder="1" applyAlignment="1">
      <alignment horizontal="center" vertical="center"/>
    </xf>
    <xf numFmtId="4" fontId="0" fillId="0" borderId="10" xfId="0" applyNumberFormat="1" applyBorder="1" applyAlignment="1">
      <alignment horizontal="right" vertical="center"/>
    </xf>
    <xf numFmtId="0" fontId="0" fillId="24" borderId="14" xfId="0" applyFill="1" applyBorder="1" applyAlignment="1" applyProtection="1">
      <alignment horizontal="center" vertical="center" wrapText="1"/>
      <protection hidden="1"/>
    </xf>
    <xf numFmtId="0" fontId="0" fillId="24" borderId="16" xfId="0" applyFill="1" applyBorder="1" applyAlignment="1" applyProtection="1">
      <alignment horizontal="center" vertical="center" wrapText="1"/>
      <protection hidden="1"/>
    </xf>
    <xf numFmtId="0" fontId="28" fillId="24" borderId="9" xfId="0" applyFont="1" applyFill="1" applyBorder="1" applyAlignment="1" applyProtection="1">
      <alignment horizontal="center" vertical="center" wrapText="1"/>
      <protection hidden="1"/>
    </xf>
    <xf numFmtId="173" fontId="28" fillId="24" borderId="9" xfId="2" applyFont="1" applyFill="1" applyBorder="1" applyAlignment="1" applyProtection="1">
      <alignment horizontal="right" vertical="center" wrapText="1"/>
      <protection hidden="1"/>
    </xf>
    <xf numFmtId="2" fontId="28" fillId="24" borderId="10" xfId="0" applyNumberFormat="1" applyFont="1" applyFill="1" applyBorder="1" applyAlignment="1" applyProtection="1">
      <alignment horizontal="right" vertical="center" wrapText="1"/>
      <protection locked="0"/>
    </xf>
    <xf numFmtId="0" fontId="28" fillId="29" borderId="14" xfId="0" applyFont="1" applyFill="1" applyBorder="1" applyAlignment="1">
      <alignment horizontal="center" vertical="center" wrapText="1"/>
    </xf>
    <xf numFmtId="0" fontId="28" fillId="29" borderId="11" xfId="0" applyFont="1" applyFill="1" applyBorder="1" applyAlignment="1">
      <alignment horizontal="center" vertical="center" wrapText="1"/>
    </xf>
    <xf numFmtId="0" fontId="43" fillId="29" borderId="11" xfId="0" applyFont="1" applyFill="1" applyBorder="1" applyAlignment="1" applyProtection="1">
      <alignment horizontal="right" vertical="center"/>
      <protection locked="0"/>
    </xf>
    <xf numFmtId="187" fontId="27" fillId="29" borderId="9" xfId="0" applyNumberFormat="1" applyFont="1" applyFill="1" applyBorder="1" applyAlignment="1">
      <alignment horizontal="center" vertical="center" wrapText="1"/>
    </xf>
    <xf numFmtId="4" fontId="93" fillId="29" borderId="9" xfId="1" applyNumberFormat="1" applyFill="1" applyBorder="1" applyAlignment="1" applyProtection="1">
      <alignment horizontal="right" vertical="center" wrapText="1"/>
    </xf>
    <xf numFmtId="4" fontId="93" fillId="29" borderId="9" xfId="1" applyNumberFormat="1" applyFill="1" applyBorder="1" applyAlignment="1" applyProtection="1">
      <alignment horizontal="right" vertical="center"/>
      <protection locked="0"/>
    </xf>
    <xf numFmtId="173" fontId="28" fillId="29" borderId="9" xfId="2" applyFont="1" applyFill="1" applyBorder="1" applyAlignment="1" applyProtection="1">
      <alignment horizontal="right" vertical="center" wrapText="1"/>
    </xf>
    <xf numFmtId="10" fontId="28" fillId="29" borderId="9" xfId="3" applyNumberFormat="1" applyFont="1" applyFill="1" applyBorder="1" applyAlignment="1" applyProtection="1">
      <alignment horizontal="right" vertical="center"/>
      <protection locked="0"/>
    </xf>
    <xf numFmtId="0" fontId="27" fillId="29" borderId="14" xfId="0" applyFont="1" applyFill="1" applyBorder="1" applyAlignment="1" applyProtection="1">
      <alignment horizontal="center" vertical="center"/>
      <protection locked="0"/>
    </xf>
    <xf numFmtId="0" fontId="27" fillId="29" borderId="11" xfId="0" applyFont="1" applyFill="1" applyBorder="1" applyAlignment="1" applyProtection="1">
      <alignment horizontal="center" vertical="center"/>
      <protection locked="0"/>
    </xf>
    <xf numFmtId="187" fontId="0" fillId="29" borderId="9" xfId="0" applyNumberFormat="1" applyFill="1" applyBorder="1" applyAlignment="1">
      <alignment horizontal="right" vertical="center" wrapText="1"/>
    </xf>
    <xf numFmtId="173" fontId="28" fillId="29" borderId="9" xfId="2" applyFont="1" applyFill="1" applyBorder="1" applyAlignment="1" applyProtection="1">
      <alignment horizontal="right" vertical="center"/>
    </xf>
    <xf numFmtId="0" fontId="20" fillId="0" borderId="0" xfId="62" applyFont="1" applyProtection="1">
      <protection hidden="1"/>
    </xf>
    <xf numFmtId="0" fontId="20" fillId="0" borderId="90" xfId="62" applyFont="1" applyBorder="1" applyProtection="1">
      <protection hidden="1"/>
    </xf>
    <xf numFmtId="0" fontId="20" fillId="0" borderId="91" xfId="62" applyFont="1" applyBorder="1" applyProtection="1">
      <protection hidden="1"/>
    </xf>
    <xf numFmtId="0" fontId="20" fillId="0" borderId="92" xfId="62" applyFont="1" applyBorder="1" applyProtection="1">
      <protection hidden="1"/>
    </xf>
    <xf numFmtId="0" fontId="20" fillId="0" borderId="93" xfId="62" applyFont="1" applyBorder="1" applyProtection="1">
      <protection hidden="1"/>
    </xf>
    <xf numFmtId="0" fontId="20" fillId="0" borderId="94" xfId="62" applyFont="1" applyBorder="1" applyProtection="1">
      <protection hidden="1"/>
    </xf>
    <xf numFmtId="0" fontId="24" fillId="0" borderId="0" xfId="62" applyFont="1" applyProtection="1">
      <protection hidden="1"/>
    </xf>
    <xf numFmtId="0" fontId="20" fillId="0" borderId="48" xfId="62" applyFont="1" applyBorder="1" applyProtection="1">
      <protection hidden="1"/>
    </xf>
    <xf numFmtId="0" fontId="20" fillId="0" borderId="95" xfId="62" applyFont="1" applyBorder="1" applyProtection="1">
      <protection hidden="1"/>
    </xf>
    <xf numFmtId="0" fontId="20" fillId="0" borderId="96" xfId="62" applyFont="1" applyBorder="1" applyProtection="1">
      <protection hidden="1"/>
    </xf>
    <xf numFmtId="0" fontId="20" fillId="0" borderId="19" xfId="62" applyFont="1" applyBorder="1" applyProtection="1">
      <protection hidden="1"/>
    </xf>
    <xf numFmtId="0" fontId="20" fillId="0" borderId="97" xfId="62" applyFont="1" applyBorder="1" applyProtection="1">
      <protection hidden="1"/>
    </xf>
    <xf numFmtId="0" fontId="20" fillId="0" borderId="64" xfId="62" applyFont="1" applyBorder="1" applyProtection="1">
      <protection hidden="1"/>
    </xf>
    <xf numFmtId="182" fontId="24" fillId="0" borderId="19" xfId="62" applyNumberFormat="1" applyFont="1" applyBorder="1" applyAlignment="1" applyProtection="1">
      <alignment horizontal="center"/>
      <protection hidden="1"/>
    </xf>
    <xf numFmtId="182" fontId="20" fillId="0" borderId="19" xfId="62" applyNumberFormat="1" applyFont="1" applyBorder="1" applyAlignment="1" applyProtection="1">
      <alignment horizontal="center"/>
      <protection hidden="1"/>
    </xf>
    <xf numFmtId="182" fontId="24" fillId="0" borderId="68" xfId="62" applyNumberFormat="1" applyFont="1" applyBorder="1" applyAlignment="1" applyProtection="1">
      <alignment horizontal="center"/>
      <protection hidden="1"/>
    </xf>
    <xf numFmtId="182" fontId="20" fillId="0" borderId="0" xfId="62" applyNumberFormat="1" applyFont="1" applyAlignment="1" applyProtection="1">
      <alignment horizontal="center"/>
      <protection hidden="1"/>
    </xf>
    <xf numFmtId="0" fontId="20" fillId="0" borderId="0" xfId="62" applyFont="1" applyAlignment="1" applyProtection="1">
      <alignment horizontal="center"/>
      <protection hidden="1"/>
    </xf>
    <xf numFmtId="182" fontId="24" fillId="0" borderId="19" xfId="62" applyNumberFormat="1" applyFont="1" applyBorder="1" applyAlignment="1" applyProtection="1">
      <alignment horizontal="left"/>
      <protection hidden="1"/>
    </xf>
    <xf numFmtId="0" fontId="20" fillId="0" borderId="68" xfId="62" applyFont="1" applyBorder="1" applyProtection="1">
      <protection hidden="1"/>
    </xf>
    <xf numFmtId="182" fontId="24" fillId="0" borderId="68" xfId="62" applyNumberFormat="1" applyFont="1" applyBorder="1" applyAlignment="1" applyProtection="1">
      <alignment horizontal="left"/>
      <protection hidden="1"/>
    </xf>
    <xf numFmtId="0" fontId="24" fillId="0" borderId="94" xfId="62" applyFont="1" applyBorder="1" applyAlignment="1" applyProtection="1">
      <alignment horizontal="left"/>
      <protection hidden="1"/>
    </xf>
    <xf numFmtId="0" fontId="24" fillId="0" borderId="0" xfId="62" applyFont="1" applyAlignment="1" applyProtection="1">
      <alignment horizontal="left"/>
      <protection hidden="1"/>
    </xf>
    <xf numFmtId="189" fontId="20" fillId="0" borderId="0" xfId="62" applyNumberFormat="1" applyFont="1" applyAlignment="1" applyProtection="1">
      <alignment horizontal="right"/>
      <protection hidden="1"/>
    </xf>
    <xf numFmtId="0" fontId="20" fillId="0" borderId="95" xfId="62" applyFont="1" applyBorder="1" applyAlignment="1" applyProtection="1">
      <alignment horizontal="center"/>
      <protection hidden="1"/>
    </xf>
    <xf numFmtId="0" fontId="20" fillId="0" borderId="0" xfId="0" applyFont="1" applyProtection="1">
      <protection hidden="1"/>
    </xf>
    <xf numFmtId="0" fontId="24" fillId="0" borderId="48" xfId="62" applyFont="1" applyBorder="1" applyAlignment="1" applyProtection="1">
      <alignment horizontal="left"/>
      <protection hidden="1"/>
    </xf>
    <xf numFmtId="0" fontId="24" fillId="23" borderId="9" xfId="62" applyFont="1" applyFill="1" applyBorder="1" applyAlignment="1" applyProtection="1">
      <alignment horizontal="center"/>
      <protection locked="0" hidden="1"/>
    </xf>
    <xf numFmtId="182" fontId="24" fillId="0" borderId="0" xfId="62" applyNumberFormat="1" applyFont="1" applyAlignment="1" applyProtection="1">
      <alignment horizontal="left"/>
      <protection hidden="1"/>
    </xf>
    <xf numFmtId="0" fontId="20" fillId="20" borderId="94" xfId="62" applyFont="1" applyFill="1" applyBorder="1" applyAlignment="1" applyProtection="1">
      <alignment horizontal="center"/>
      <protection hidden="1"/>
    </xf>
    <xf numFmtId="0" fontId="20" fillId="20" borderId="48" xfId="62" applyFont="1" applyFill="1" applyBorder="1" applyAlignment="1" applyProtection="1">
      <alignment horizontal="center"/>
      <protection hidden="1"/>
    </xf>
    <xf numFmtId="0" fontId="20" fillId="20" borderId="0" xfId="62" applyFont="1" applyFill="1" applyAlignment="1" applyProtection="1">
      <alignment horizontal="center"/>
      <protection hidden="1"/>
    </xf>
    <xf numFmtId="0" fontId="20" fillId="20" borderId="95" xfId="62" applyFont="1" applyFill="1" applyBorder="1" applyAlignment="1" applyProtection="1">
      <alignment horizontal="center"/>
      <protection hidden="1"/>
    </xf>
    <xf numFmtId="0" fontId="20" fillId="21" borderId="0" xfId="62" applyFont="1" applyFill="1" applyProtection="1">
      <protection hidden="1"/>
    </xf>
    <xf numFmtId="0" fontId="20" fillId="20" borderId="64" xfId="62" applyFont="1" applyFill="1" applyBorder="1" applyAlignment="1" applyProtection="1">
      <alignment horizontal="center"/>
      <protection hidden="1"/>
    </xf>
    <xf numFmtId="0" fontId="20" fillId="20" borderId="94" xfId="62" applyFont="1" applyFill="1" applyBorder="1" applyAlignment="1" applyProtection="1">
      <alignment horizontal="left"/>
      <protection hidden="1"/>
    </xf>
    <xf numFmtId="0" fontId="20" fillId="20" borderId="0" xfId="62" applyFont="1" applyFill="1" applyAlignment="1" applyProtection="1">
      <alignment horizontal="left"/>
      <protection hidden="1"/>
    </xf>
    <xf numFmtId="0" fontId="20" fillId="20" borderId="48" xfId="62" applyFont="1" applyFill="1" applyBorder="1" applyAlignment="1" applyProtection="1">
      <alignment horizontal="left"/>
      <protection hidden="1"/>
    </xf>
    <xf numFmtId="0" fontId="20" fillId="20" borderId="64" xfId="62" applyFont="1" applyFill="1" applyBorder="1" applyAlignment="1" applyProtection="1">
      <alignment horizontal="left"/>
      <protection hidden="1"/>
    </xf>
    <xf numFmtId="0" fontId="20" fillId="20" borderId="94" xfId="62" applyFont="1" applyFill="1" applyBorder="1" applyProtection="1">
      <protection hidden="1"/>
    </xf>
    <xf numFmtId="0" fontId="20" fillId="20" borderId="0" xfId="62" applyFont="1" applyFill="1" applyProtection="1">
      <protection hidden="1"/>
    </xf>
    <xf numFmtId="4" fontId="20" fillId="23" borderId="10" xfId="3" applyNumberFormat="1" applyFont="1" applyFill="1" applyBorder="1" applyAlignment="1" applyProtection="1">
      <alignment horizontal="center"/>
      <protection locked="0" hidden="1"/>
    </xf>
    <xf numFmtId="4" fontId="20" fillId="23" borderId="11" xfId="3" applyNumberFormat="1" applyFont="1" applyFill="1" applyBorder="1" applyAlignment="1" applyProtection="1">
      <alignment horizontal="center"/>
      <protection locked="0" hidden="1"/>
    </xf>
    <xf numFmtId="4" fontId="20" fillId="23" borderId="16" xfId="3" applyNumberFormat="1" applyFont="1" applyFill="1" applyBorder="1" applyAlignment="1" applyProtection="1">
      <alignment horizontal="center"/>
      <protection locked="0" hidden="1"/>
    </xf>
    <xf numFmtId="4" fontId="20" fillId="0" borderId="10" xfId="3" applyNumberFormat="1" applyFont="1" applyBorder="1" applyAlignment="1" applyProtection="1">
      <alignment horizontal="center"/>
      <protection locked="0" hidden="1"/>
    </xf>
    <xf numFmtId="4" fontId="20" fillId="0" borderId="11" xfId="3" applyNumberFormat="1" applyFont="1" applyBorder="1" applyAlignment="1" applyProtection="1">
      <alignment horizontal="center"/>
      <protection locked="0" hidden="1"/>
    </xf>
    <xf numFmtId="4" fontId="20" fillId="0" borderId="16" xfId="3" applyNumberFormat="1" applyFont="1" applyBorder="1" applyAlignment="1" applyProtection="1">
      <alignment horizontal="center"/>
      <protection locked="0" hidden="1"/>
    </xf>
    <xf numFmtId="10" fontId="20" fillId="0" borderId="10" xfId="3" applyNumberFormat="1" applyFont="1" applyBorder="1" applyAlignment="1" applyProtection="1">
      <alignment horizontal="right"/>
      <protection locked="0" hidden="1"/>
    </xf>
    <xf numFmtId="10" fontId="20" fillId="0" borderId="11" xfId="3" applyNumberFormat="1" applyFont="1" applyBorder="1" applyAlignment="1" applyProtection="1">
      <alignment horizontal="right"/>
      <protection locked="0" hidden="1"/>
    </xf>
    <xf numFmtId="10" fontId="20" fillId="0" borderId="101" xfId="3" applyNumberFormat="1" applyFont="1" applyBorder="1" applyAlignment="1" applyProtection="1">
      <alignment horizontal="right"/>
      <protection locked="0" hidden="1"/>
    </xf>
    <xf numFmtId="0" fontId="28" fillId="23" borderId="102" xfId="62" applyFont="1" applyFill="1" applyBorder="1" applyAlignment="1" applyProtection="1">
      <alignment horizontal="center" wrapText="1"/>
      <protection hidden="1"/>
    </xf>
    <xf numFmtId="0" fontId="28" fillId="23" borderId="103" xfId="62" applyFont="1" applyFill="1" applyBorder="1" applyAlignment="1" applyProtection="1">
      <alignment horizontal="center" wrapText="1"/>
      <protection hidden="1"/>
    </xf>
    <xf numFmtId="0" fontId="28" fillId="23" borderId="103" xfId="62" applyFont="1" applyFill="1" applyBorder="1" applyAlignment="1" applyProtection="1">
      <alignment horizontal="left" wrapText="1"/>
      <protection hidden="1"/>
    </xf>
    <xf numFmtId="2" fontId="55" fillId="23" borderId="103" xfId="62" applyNumberFormat="1" applyFont="1" applyFill="1" applyBorder="1" applyAlignment="1" applyProtection="1">
      <alignment horizontal="right" vertical="center" wrapText="1"/>
      <protection locked="0"/>
    </xf>
    <xf numFmtId="0" fontId="28" fillId="23" borderId="103" xfId="62" applyFont="1" applyFill="1" applyBorder="1" applyAlignment="1" applyProtection="1">
      <alignment horizontal="right" wrapText="1"/>
      <protection hidden="1"/>
    </xf>
    <xf numFmtId="166" fontId="28" fillId="0" borderId="103" xfId="1" applyFont="1" applyBorder="1" applyAlignment="1" applyProtection="1">
      <alignment horizontal="right" wrapText="1"/>
      <protection hidden="1"/>
    </xf>
    <xf numFmtId="4" fontId="20" fillId="23" borderId="103" xfId="62" applyNumberFormat="1" applyFont="1" applyFill="1" applyBorder="1" applyAlignment="1" applyProtection="1">
      <alignment horizontal="right"/>
      <protection locked="0" hidden="1"/>
    </xf>
    <xf numFmtId="166" fontId="20" fillId="0" borderId="103" xfId="62" applyNumberFormat="1" applyFont="1" applyBorder="1" applyAlignment="1" applyProtection="1">
      <alignment horizontal="right"/>
      <protection locked="0" hidden="1"/>
    </xf>
    <xf numFmtId="4" fontId="20" fillId="23" borderId="103" xfId="3" applyNumberFormat="1" applyFont="1" applyFill="1" applyBorder="1" applyAlignment="1" applyProtection="1">
      <alignment horizontal="center"/>
      <protection locked="0" hidden="1"/>
    </xf>
    <xf numFmtId="4" fontId="20" fillId="0" borderId="103" xfId="3" applyNumberFormat="1" applyFont="1" applyBorder="1" applyAlignment="1" applyProtection="1">
      <alignment horizontal="center"/>
      <protection locked="0" hidden="1"/>
    </xf>
    <xf numFmtId="166" fontId="20" fillId="0" borderId="103" xfId="1" applyFont="1" applyBorder="1" applyAlignment="1" applyProtection="1">
      <alignment horizontal="center"/>
      <protection locked="0" hidden="1"/>
    </xf>
    <xf numFmtId="166" fontId="24" fillId="0" borderId="103" xfId="1" applyFont="1" applyBorder="1" applyAlignment="1" applyProtection="1">
      <alignment horizontal="center"/>
      <protection locked="0" hidden="1"/>
    </xf>
    <xf numFmtId="10" fontId="20" fillId="0" borderId="103" xfId="3" applyNumberFormat="1" applyFont="1" applyBorder="1" applyAlignment="1" applyProtection="1">
      <alignment horizontal="right"/>
      <protection locked="0" hidden="1"/>
    </xf>
    <xf numFmtId="10" fontId="20" fillId="0" borderId="104" xfId="3" applyNumberFormat="1" applyFont="1" applyBorder="1" applyAlignment="1" applyProtection="1">
      <alignment horizontal="right"/>
      <protection locked="0" hidden="1"/>
    </xf>
    <xf numFmtId="0" fontId="28" fillId="24" borderId="94" xfId="62" applyFont="1" applyFill="1" applyBorder="1" applyAlignment="1" applyProtection="1">
      <alignment horizontal="left"/>
      <protection hidden="1"/>
    </xf>
    <xf numFmtId="0" fontId="28" fillId="24" borderId="0" xfId="62" applyFont="1" applyFill="1" applyProtection="1">
      <protection hidden="1"/>
    </xf>
    <xf numFmtId="0" fontId="28" fillId="24" borderId="0" xfId="62" applyFont="1" applyFill="1" applyAlignment="1" applyProtection="1">
      <alignment horizontal="right"/>
      <protection hidden="1"/>
    </xf>
    <xf numFmtId="0" fontId="28" fillId="21" borderId="10" xfId="62" applyFont="1" applyFill="1" applyBorder="1" applyAlignment="1" applyProtection="1">
      <alignment horizontal="center"/>
      <protection hidden="1"/>
    </xf>
    <xf numFmtId="0" fontId="28" fillId="21" borderId="11" xfId="62" applyFont="1" applyFill="1" applyBorder="1" applyAlignment="1" applyProtection="1">
      <alignment horizontal="center"/>
      <protection hidden="1"/>
    </xf>
    <xf numFmtId="166" fontId="28" fillId="21" borderId="11" xfId="62" applyNumberFormat="1" applyFont="1" applyFill="1" applyBorder="1" applyProtection="1">
      <protection hidden="1"/>
    </xf>
    <xf numFmtId="0" fontId="28" fillId="21" borderId="11" xfId="62" applyFont="1" applyFill="1" applyBorder="1" applyProtection="1">
      <protection hidden="1"/>
    </xf>
    <xf numFmtId="166" fontId="28" fillId="21" borderId="11" xfId="1" applyFont="1" applyFill="1" applyBorder="1" applyAlignment="1" applyProtection="1">
      <alignment horizontal="center"/>
      <protection hidden="1"/>
    </xf>
    <xf numFmtId="166" fontId="28" fillId="21" borderId="11" xfId="1" applyFont="1" applyFill="1" applyBorder="1" applyProtection="1">
      <protection hidden="1"/>
    </xf>
    <xf numFmtId="10" fontId="28" fillId="21" borderId="11" xfId="3" applyNumberFormat="1" applyFont="1" applyFill="1" applyBorder="1" applyAlignment="1" applyProtection="1">
      <alignment horizontal="center"/>
      <protection hidden="1"/>
    </xf>
    <xf numFmtId="0" fontId="28" fillId="21" borderId="101" xfId="62" applyFont="1" applyFill="1" applyBorder="1" applyProtection="1">
      <protection hidden="1"/>
    </xf>
    <xf numFmtId="0" fontId="24" fillId="24" borderId="0" xfId="62" applyFont="1" applyFill="1" applyAlignment="1" applyProtection="1">
      <alignment horizontal="right"/>
      <protection hidden="1"/>
    </xf>
    <xf numFmtId="0" fontId="24" fillId="24" borderId="0" xfId="62" applyFont="1" applyFill="1" applyAlignment="1" applyProtection="1">
      <alignment horizontal="center"/>
      <protection hidden="1"/>
    </xf>
    <xf numFmtId="166" fontId="24" fillId="24" borderId="0" xfId="1" applyFont="1" applyFill="1" applyBorder="1" applyAlignment="1" applyProtection="1">
      <alignment horizontal="center"/>
      <protection hidden="1"/>
    </xf>
    <xf numFmtId="10" fontId="20" fillId="0" borderId="0" xfId="3" applyNumberFormat="1" applyFont="1" applyBorder="1" applyProtection="1">
      <protection hidden="1"/>
    </xf>
    <xf numFmtId="166" fontId="20" fillId="0" borderId="0" xfId="1" applyFont="1" applyBorder="1" applyProtection="1">
      <protection hidden="1"/>
    </xf>
    <xf numFmtId="0" fontId="20" fillId="0" borderId="0" xfId="62" applyFont="1" applyAlignment="1" applyProtection="1">
      <alignment horizontal="left"/>
      <protection hidden="1"/>
    </xf>
    <xf numFmtId="0" fontId="20" fillId="0" borderId="0" xfId="62" applyFont="1" applyAlignment="1" applyProtection="1">
      <alignment horizontal="left" vertical="top" wrapText="1"/>
      <protection hidden="1"/>
    </xf>
    <xf numFmtId="10" fontId="20" fillId="0" borderId="0" xfId="3" applyNumberFormat="1" applyFont="1" applyBorder="1" applyAlignment="1" applyProtection="1">
      <alignment horizontal="left"/>
      <protection hidden="1"/>
    </xf>
    <xf numFmtId="166" fontId="20" fillId="0" borderId="0" xfId="1" applyFont="1" applyBorder="1" applyAlignment="1" applyProtection="1">
      <alignment horizontal="left"/>
      <protection hidden="1"/>
    </xf>
    <xf numFmtId="0" fontId="20" fillId="0" borderId="64" xfId="62" applyFont="1" applyBorder="1" applyAlignment="1" applyProtection="1">
      <alignment horizontal="left"/>
      <protection hidden="1"/>
    </xf>
    <xf numFmtId="0" fontId="24" fillId="23" borderId="48" xfId="62" applyFont="1" applyFill="1" applyBorder="1" applyAlignment="1" applyProtection="1">
      <alignment horizontal="center"/>
      <protection locked="0" hidden="1"/>
    </xf>
    <xf numFmtId="0" fontId="24" fillId="23" borderId="0" xfId="62" applyFont="1" applyFill="1" applyAlignment="1" applyProtection="1">
      <alignment horizontal="center"/>
      <protection locked="0" hidden="1"/>
    </xf>
    <xf numFmtId="0" fontId="20" fillId="23" borderId="0" xfId="62" applyFont="1" applyFill="1" applyAlignment="1" applyProtection="1">
      <alignment horizontal="left"/>
      <protection hidden="1"/>
    </xf>
    <xf numFmtId="0" fontId="20" fillId="23" borderId="0" xfId="62" applyFont="1" applyFill="1" applyProtection="1">
      <protection hidden="1"/>
    </xf>
    <xf numFmtId="166" fontId="20" fillId="23" borderId="0" xfId="1" applyFont="1" applyFill="1" applyBorder="1" applyProtection="1">
      <protection hidden="1"/>
    </xf>
    <xf numFmtId="0" fontId="24" fillId="23" borderId="64" xfId="62" applyFont="1" applyFill="1" applyBorder="1" applyAlignment="1" applyProtection="1">
      <alignment horizontal="center"/>
      <protection locked="0" hidden="1"/>
    </xf>
    <xf numFmtId="0" fontId="20" fillId="23" borderId="0" xfId="62" applyFont="1" applyFill="1" applyAlignment="1" applyProtection="1">
      <alignment horizontal="left" vertical="top" wrapText="1"/>
      <protection hidden="1"/>
    </xf>
    <xf numFmtId="0" fontId="20" fillId="23" borderId="96" xfId="62" applyFont="1" applyFill="1" applyBorder="1" applyAlignment="1" applyProtection="1">
      <alignment horizontal="left" vertical="center" wrapText="1"/>
      <protection hidden="1"/>
    </xf>
    <xf numFmtId="0" fontId="20" fillId="23" borderId="19" xfId="62" applyFont="1" applyFill="1" applyBorder="1" applyAlignment="1" applyProtection="1">
      <alignment horizontal="left" vertical="center" wrapText="1"/>
      <protection hidden="1"/>
    </xf>
    <xf numFmtId="0" fontId="20" fillId="23" borderId="19" xfId="62" applyFont="1" applyFill="1" applyBorder="1" applyAlignment="1" applyProtection="1">
      <alignment vertical="top" wrapText="1"/>
      <protection hidden="1"/>
    </xf>
    <xf numFmtId="0" fontId="20" fillId="23" borderId="19" xfId="62" applyFont="1" applyFill="1" applyBorder="1" applyAlignment="1" applyProtection="1">
      <alignment horizontal="left" vertical="top"/>
      <protection hidden="1"/>
    </xf>
    <xf numFmtId="0" fontId="20" fillId="23" borderId="19" xfId="62" applyFont="1" applyFill="1" applyBorder="1" applyAlignment="1" applyProtection="1">
      <alignment horizontal="center" vertical="top"/>
      <protection hidden="1"/>
    </xf>
    <xf numFmtId="10" fontId="20" fillId="23" borderId="19" xfId="3" applyNumberFormat="1" applyFont="1" applyFill="1" applyBorder="1" applyProtection="1">
      <protection hidden="1"/>
    </xf>
    <xf numFmtId="0" fontId="20" fillId="23" borderId="19" xfId="62" applyFont="1" applyFill="1" applyBorder="1" applyProtection="1">
      <protection hidden="1"/>
    </xf>
    <xf numFmtId="0" fontId="20" fillId="23" borderId="68" xfId="62" applyFont="1" applyFill="1" applyBorder="1" applyProtection="1">
      <protection hidden="1"/>
    </xf>
    <xf numFmtId="0" fontId="20" fillId="0" borderId="0" xfId="62" applyFont="1" applyAlignment="1" applyProtection="1">
      <alignment horizontal="left" vertical="center" wrapText="1"/>
      <protection hidden="1"/>
    </xf>
    <xf numFmtId="0" fontId="20" fillId="0" borderId="0" xfId="62" applyFont="1" applyAlignment="1" applyProtection="1">
      <alignment vertical="top" wrapText="1"/>
      <protection hidden="1"/>
    </xf>
    <xf numFmtId="0" fontId="24" fillId="24" borderId="0" xfId="62" applyFont="1" applyFill="1" applyAlignment="1" applyProtection="1">
      <alignment horizontal="left"/>
      <protection locked="0" hidden="1"/>
    </xf>
    <xf numFmtId="0" fontId="20" fillId="0" borderId="19" xfId="62" applyFont="1" applyBorder="1" applyAlignment="1" applyProtection="1">
      <alignment horizontal="left" vertical="center" wrapText="1"/>
      <protection hidden="1"/>
    </xf>
    <xf numFmtId="0" fontId="20" fillId="24" borderId="0" xfId="62" applyFont="1" applyFill="1" applyAlignment="1" applyProtection="1">
      <alignment vertical="top" wrapText="1"/>
      <protection hidden="1"/>
    </xf>
    <xf numFmtId="0" fontId="20" fillId="24" borderId="0" xfId="62" applyFont="1" applyFill="1" applyAlignment="1" applyProtection="1">
      <alignment horizontal="left" vertical="top"/>
      <protection hidden="1"/>
    </xf>
    <xf numFmtId="0" fontId="20" fillId="24" borderId="0" xfId="62" applyFont="1" applyFill="1" applyAlignment="1" applyProtection="1">
      <alignment horizontal="right" vertical="top"/>
      <protection hidden="1"/>
    </xf>
    <xf numFmtId="0" fontId="20" fillId="24" borderId="0" xfId="62" applyFont="1" applyFill="1" applyProtection="1">
      <protection hidden="1"/>
    </xf>
    <xf numFmtId="0" fontId="20" fillId="0" borderId="12" xfId="62" applyFont="1" applyBorder="1" applyAlignment="1" applyProtection="1">
      <alignment horizontal="left" vertical="top"/>
      <protection hidden="1"/>
    </xf>
    <xf numFmtId="0" fontId="20" fillId="0" borderId="12" xfId="62" applyFont="1" applyBorder="1" applyAlignment="1" applyProtection="1">
      <alignment horizontal="right" vertical="top"/>
      <protection hidden="1"/>
    </xf>
    <xf numFmtId="0" fontId="20" fillId="0" borderId="12" xfId="62" applyFont="1" applyBorder="1" applyProtection="1">
      <protection hidden="1"/>
    </xf>
    <xf numFmtId="10" fontId="20" fillId="0" borderId="12" xfId="3" applyNumberFormat="1" applyFont="1" applyBorder="1" applyAlignment="1" applyProtection="1">
      <alignment horizontal="left"/>
      <protection hidden="1"/>
    </xf>
    <xf numFmtId="0" fontId="24" fillId="22" borderId="0" xfId="62" applyFont="1" applyFill="1" applyAlignment="1" applyProtection="1">
      <alignment horizontal="left"/>
      <protection locked="0" hidden="1"/>
    </xf>
    <xf numFmtId="0" fontId="57" fillId="0" borderId="0" xfId="62" applyFont="1" applyProtection="1">
      <protection hidden="1"/>
    </xf>
    <xf numFmtId="182" fontId="20" fillId="0" borderId="0" xfId="62" applyNumberFormat="1" applyFont="1" applyProtection="1">
      <protection hidden="1"/>
    </xf>
    <xf numFmtId="2" fontId="20" fillId="0" borderId="0" xfId="62" applyNumberFormat="1" applyFont="1" applyProtection="1">
      <protection hidden="1"/>
    </xf>
    <xf numFmtId="0" fontId="20" fillId="0" borderId="0" xfId="62" applyFont="1" applyAlignment="1">
      <alignment horizontal="left" vertical="top"/>
    </xf>
    <xf numFmtId="0" fontId="20" fillId="0" borderId="48" xfId="62" applyFont="1" applyBorder="1"/>
    <xf numFmtId="0" fontId="20" fillId="0" borderId="0" xfId="62" applyFont="1"/>
    <xf numFmtId="0" fontId="20" fillId="0" borderId="64" xfId="62" applyFont="1" applyBorder="1"/>
    <xf numFmtId="0" fontId="93" fillId="0" borderId="0" xfId="62"/>
    <xf numFmtId="0" fontId="31" fillId="0" borderId="0" xfId="62" applyFont="1" applyAlignment="1">
      <alignment horizontal="left" vertical="top"/>
    </xf>
    <xf numFmtId="0" fontId="58" fillId="0" borderId="0" xfId="62" applyFont="1" applyProtection="1">
      <protection hidden="1"/>
    </xf>
    <xf numFmtId="0" fontId="59" fillId="0" borderId="0" xfId="62" applyFont="1" applyAlignment="1">
      <alignment horizontal="left" vertical="top"/>
    </xf>
    <xf numFmtId="0" fontId="20" fillId="0" borderId="64" xfId="62" applyFont="1" applyBorder="1" applyAlignment="1">
      <alignment horizontal="left" vertical="top"/>
    </xf>
    <xf numFmtId="0" fontId="20" fillId="0" borderId="96" xfId="62" applyFont="1" applyBorder="1"/>
    <xf numFmtId="0" fontId="20" fillId="0" borderId="19" xfId="62" applyFont="1" applyBorder="1"/>
    <xf numFmtId="0" fontId="20" fillId="0" borderId="68" xfId="62" applyFont="1" applyBorder="1"/>
    <xf numFmtId="0" fontId="60" fillId="0" borderId="0" xfId="62" applyFont="1" applyAlignment="1">
      <alignment horizontal="left" vertical="top"/>
    </xf>
    <xf numFmtId="0" fontId="61" fillId="0" borderId="0" xfId="62" applyFont="1" applyAlignment="1">
      <alignment horizontal="left" vertical="top"/>
    </xf>
    <xf numFmtId="0" fontId="62" fillId="0" borderId="0" xfId="62" applyFont="1" applyAlignment="1">
      <alignment horizontal="left" vertical="top"/>
    </xf>
    <xf numFmtId="0" fontId="24" fillId="0" borderId="48" xfId="62" applyFont="1" applyBorder="1" applyAlignment="1">
      <alignment horizontal="left" vertical="top"/>
    </xf>
    <xf numFmtId="0" fontId="20" fillId="0" borderId="48" xfId="62" applyFont="1" applyBorder="1" applyAlignment="1">
      <alignment horizontal="left" vertical="top"/>
    </xf>
    <xf numFmtId="4" fontId="20" fillId="0" borderId="0" xfId="62" applyNumberFormat="1" applyFont="1" applyAlignment="1">
      <alignment horizontal="left" vertical="top"/>
    </xf>
    <xf numFmtId="0" fontId="24" fillId="0" borderId="0" xfId="62" applyFont="1" applyAlignment="1">
      <alignment horizontal="left" vertical="top"/>
    </xf>
    <xf numFmtId="0" fontId="20" fillId="0" borderId="96" xfId="62" applyFont="1" applyBorder="1" applyAlignment="1">
      <alignment horizontal="left" vertical="top"/>
    </xf>
    <xf numFmtId="190" fontId="28" fillId="0" borderId="19" xfId="62" applyNumberFormat="1" applyFont="1" applyBorder="1" applyAlignment="1">
      <alignment horizontal="center" vertical="top"/>
    </xf>
    <xf numFmtId="0" fontId="20" fillId="0" borderId="19" xfId="62" applyFont="1" applyBorder="1" applyAlignment="1">
      <alignment horizontal="left" vertical="top"/>
    </xf>
    <xf numFmtId="0" fontId="63" fillId="0" borderId="0" xfId="62" applyFont="1" applyAlignment="1">
      <alignment horizontal="left" vertical="top"/>
    </xf>
    <xf numFmtId="0" fontId="63" fillId="0" borderId="12" xfId="62" applyFont="1" applyBorder="1" applyAlignment="1">
      <alignment horizontal="left" vertical="top"/>
    </xf>
    <xf numFmtId="0" fontId="20" fillId="0" borderId="12" xfId="62" applyFont="1" applyBorder="1" applyAlignment="1">
      <alignment vertical="top"/>
    </xf>
    <xf numFmtId="0" fontId="20" fillId="0" borderId="0" xfId="62" applyFont="1" applyAlignment="1">
      <alignment vertical="top"/>
    </xf>
    <xf numFmtId="4" fontId="20" fillId="0" borderId="48" xfId="62" applyNumberFormat="1" applyFont="1" applyBorder="1" applyAlignment="1">
      <alignment horizontal="left" vertical="top"/>
    </xf>
    <xf numFmtId="0" fontId="24" fillId="0" borderId="48" xfId="62" applyFont="1" applyBorder="1"/>
    <xf numFmtId="0" fontId="24" fillId="0" borderId="0" xfId="62" applyFont="1"/>
    <xf numFmtId="0" fontId="63" fillId="0" borderId="64" xfId="62" applyFont="1" applyBorder="1" applyAlignment="1">
      <alignment horizontal="left" vertical="top"/>
    </xf>
    <xf numFmtId="0" fontId="24" fillId="0" borderId="48" xfId="62" applyFont="1" applyBorder="1" applyAlignment="1">
      <alignment horizontal="center"/>
    </xf>
    <xf numFmtId="0" fontId="24" fillId="0" borderId="0" xfId="62" applyFont="1" applyAlignment="1">
      <alignment horizontal="center"/>
    </xf>
    <xf numFmtId="0" fontId="24" fillId="0" borderId="64" xfId="62" applyFont="1" applyBorder="1" applyAlignment="1">
      <alignment horizontal="center"/>
    </xf>
    <xf numFmtId="182" fontId="93" fillId="0" borderId="0" xfId="62" applyNumberFormat="1" applyAlignment="1">
      <alignment horizontal="center"/>
    </xf>
    <xf numFmtId="189" fontId="93" fillId="0" borderId="0" xfId="62" applyNumberFormat="1" applyAlignment="1">
      <alignment horizontal="right"/>
    </xf>
    <xf numFmtId="0" fontId="20" fillId="0" borderId="0" xfId="0" applyFont="1"/>
    <xf numFmtId="0" fontId="24" fillId="0" borderId="9" xfId="62" applyFont="1" applyBorder="1" applyAlignment="1" applyProtection="1">
      <alignment horizontal="center"/>
      <protection locked="0"/>
    </xf>
    <xf numFmtId="182" fontId="28" fillId="0" borderId="64" xfId="62" applyNumberFormat="1" applyFont="1" applyBorder="1" applyAlignment="1">
      <alignment horizontal="left"/>
    </xf>
    <xf numFmtId="4" fontId="63" fillId="0" borderId="0" xfId="62" applyNumberFormat="1" applyFont="1" applyAlignment="1">
      <alignment horizontal="left" vertical="top"/>
    </xf>
    <xf numFmtId="0" fontId="93" fillId="21" borderId="0" xfId="62" applyFill="1"/>
    <xf numFmtId="0" fontId="20" fillId="20" borderId="48" xfId="62" applyFont="1" applyFill="1" applyBorder="1" applyAlignment="1">
      <alignment horizontal="left" vertical="top"/>
    </xf>
    <xf numFmtId="0" fontId="63" fillId="20" borderId="0" xfId="62" applyFont="1" applyFill="1" applyAlignment="1">
      <alignment horizontal="left" vertical="top"/>
    </xf>
    <xf numFmtId="0" fontId="93" fillId="20" borderId="48" xfId="62" applyFill="1" applyBorder="1" applyAlignment="1">
      <alignment horizontal="left"/>
    </xf>
    <xf numFmtId="0" fontId="63" fillId="20" borderId="0" xfId="62" applyFont="1" applyFill="1" applyAlignment="1">
      <alignment horizontal="center" vertical="top"/>
    </xf>
    <xf numFmtId="0" fontId="63" fillId="20" borderId="64" xfId="62" applyFont="1" applyFill="1" applyBorder="1" applyAlignment="1">
      <alignment horizontal="center" vertical="top"/>
    </xf>
    <xf numFmtId="0" fontId="20" fillId="20" borderId="0" xfId="62" applyFont="1" applyFill="1" applyAlignment="1">
      <alignment horizontal="center" vertical="top"/>
    </xf>
    <xf numFmtId="0" fontId="20" fillId="20" borderId="48" xfId="62" applyFont="1" applyFill="1" applyBorder="1" applyAlignment="1">
      <alignment horizontal="center" vertical="top"/>
    </xf>
    <xf numFmtId="0" fontId="20" fillId="20" borderId="64" xfId="62" applyFont="1" applyFill="1" applyBorder="1" applyAlignment="1">
      <alignment horizontal="center" vertical="top"/>
    </xf>
    <xf numFmtId="0" fontId="20" fillId="21" borderId="107" xfId="62" applyFont="1" applyFill="1" applyBorder="1" applyAlignment="1">
      <alignment horizontal="left" vertical="top"/>
    </xf>
    <xf numFmtId="0" fontId="47" fillId="21" borderId="29" xfId="62" applyFont="1" applyFill="1" applyBorder="1" applyAlignment="1">
      <alignment horizontal="left" vertical="top"/>
    </xf>
    <xf numFmtId="0" fontId="47" fillId="21" borderId="108" xfId="62" applyFont="1" applyFill="1" applyBorder="1" applyAlignment="1">
      <alignment horizontal="left" vertical="top"/>
    </xf>
    <xf numFmtId="2" fontId="20" fillId="0" borderId="110" xfId="3" applyNumberFormat="1" applyFont="1" applyBorder="1" applyAlignment="1" applyProtection="1">
      <alignment horizontal="center" vertical="top"/>
    </xf>
    <xf numFmtId="2" fontId="20" fillId="0" borderId="50" xfId="3" applyNumberFormat="1" applyFont="1" applyBorder="1" applyAlignment="1" applyProtection="1">
      <alignment horizontal="center" vertical="top"/>
    </xf>
    <xf numFmtId="2" fontId="20" fillId="0" borderId="51" xfId="3" applyNumberFormat="1" applyFont="1" applyBorder="1" applyAlignment="1" applyProtection="1">
      <alignment horizontal="center" vertical="top"/>
    </xf>
    <xf numFmtId="0" fontId="93" fillId="24" borderId="0" xfId="62" applyFill="1"/>
    <xf numFmtId="0" fontId="20" fillId="0" borderId="107" xfId="62" applyFont="1" applyBorder="1" applyAlignment="1" applyProtection="1">
      <alignment horizontal="center" vertical="top"/>
      <protection locked="0"/>
    </xf>
    <xf numFmtId="0" fontId="20" fillId="0" borderId="108" xfId="62" applyFont="1" applyBorder="1" applyAlignment="1" applyProtection="1">
      <alignment horizontal="center" vertical="top"/>
      <protection locked="0"/>
    </xf>
    <xf numFmtId="0" fontId="20" fillId="0" borderId="54" xfId="62" applyFont="1" applyBorder="1" applyAlignment="1" applyProtection="1">
      <alignment horizontal="left" vertical="top"/>
      <protection locked="0"/>
    </xf>
    <xf numFmtId="0" fontId="20" fillId="0" borderId="53" xfId="62" applyFont="1" applyBorder="1" applyAlignment="1" applyProtection="1">
      <alignment horizontal="left" vertical="top"/>
      <protection locked="0"/>
    </xf>
    <xf numFmtId="0" fontId="20" fillId="0" borderId="111" xfId="62" applyFont="1" applyBorder="1" applyAlignment="1" applyProtection="1">
      <alignment horizontal="left" vertical="top"/>
      <protection locked="0"/>
    </xf>
    <xf numFmtId="2" fontId="20" fillId="0" borderId="107" xfId="3" applyNumberFormat="1" applyFont="1" applyBorder="1" applyAlignment="1" applyProtection="1">
      <alignment horizontal="center" vertical="top"/>
    </xf>
    <xf numFmtId="2" fontId="20" fillId="0" borderId="29" xfId="3" applyNumberFormat="1" applyFont="1" applyBorder="1" applyAlignment="1" applyProtection="1">
      <alignment horizontal="center" vertical="top"/>
    </xf>
    <xf numFmtId="2" fontId="20" fillId="0" borderId="108" xfId="3" applyNumberFormat="1" applyFont="1" applyBorder="1" applyAlignment="1" applyProtection="1">
      <alignment horizontal="center" vertical="top"/>
    </xf>
    <xf numFmtId="166" fontId="20" fillId="0" borderId="107" xfId="1" applyFont="1" applyBorder="1" applyAlignment="1" applyProtection="1">
      <alignment horizontal="center"/>
      <protection locked="0"/>
    </xf>
    <xf numFmtId="166" fontId="20" fillId="0" borderId="29" xfId="1" applyFont="1" applyBorder="1" applyAlignment="1" applyProtection="1">
      <alignment horizontal="center"/>
      <protection locked="0"/>
    </xf>
    <xf numFmtId="166" fontId="20" fillId="0" borderId="108" xfId="1" applyFont="1" applyBorder="1" applyAlignment="1" applyProtection="1">
      <alignment horizontal="center"/>
      <protection locked="0"/>
    </xf>
    <xf numFmtId="166" fontId="20" fillId="0" borderId="107" xfId="1" applyFont="1" applyBorder="1" applyAlignment="1" applyProtection="1">
      <alignment horizontal="center"/>
    </xf>
    <xf numFmtId="166" fontId="20" fillId="0" borderId="29" xfId="1" applyFont="1" applyBorder="1" applyAlignment="1" applyProtection="1">
      <alignment horizontal="center"/>
    </xf>
    <xf numFmtId="166" fontId="20" fillId="0" borderId="108" xfId="1" applyFont="1" applyBorder="1" applyAlignment="1" applyProtection="1">
      <alignment horizontal="center"/>
    </xf>
    <xf numFmtId="166" fontId="20" fillId="0" borderId="110" xfId="1" applyFont="1" applyBorder="1" applyAlignment="1" applyProtection="1">
      <alignment horizontal="center"/>
    </xf>
    <xf numFmtId="166" fontId="20" fillId="0" borderId="50" xfId="1" applyFont="1" applyBorder="1" applyAlignment="1" applyProtection="1">
      <alignment horizontal="center"/>
    </xf>
    <xf numFmtId="166" fontId="20" fillId="0" borderId="51" xfId="1" applyFont="1" applyBorder="1" applyAlignment="1" applyProtection="1">
      <alignment horizontal="center"/>
    </xf>
    <xf numFmtId="0" fontId="24" fillId="20" borderId="10" xfId="62" applyFont="1" applyFill="1" applyBorder="1" applyAlignment="1">
      <alignment horizontal="left" vertical="top"/>
    </xf>
    <xf numFmtId="0" fontId="24" fillId="20" borderId="11" xfId="62" applyFont="1" applyFill="1" applyBorder="1" applyAlignment="1">
      <alignment horizontal="left" vertical="top"/>
    </xf>
    <xf numFmtId="0" fontId="20" fillId="24" borderId="107" xfId="62" applyFont="1" applyFill="1" applyBorder="1" applyAlignment="1" applyProtection="1">
      <alignment horizontal="center" vertical="top"/>
      <protection locked="0"/>
    </xf>
    <xf numFmtId="0" fontId="20" fillId="24" borderId="108" xfId="62" applyFont="1" applyFill="1" applyBorder="1" applyAlignment="1" applyProtection="1">
      <alignment horizontal="center" vertical="top"/>
      <protection locked="0"/>
    </xf>
    <xf numFmtId="0" fontId="20" fillId="24" borderId="54" xfId="62" applyFont="1" applyFill="1" applyBorder="1" applyAlignment="1" applyProtection="1">
      <alignment vertical="top"/>
      <protection locked="0"/>
    </xf>
    <xf numFmtId="0" fontId="20" fillId="24" borderId="53" xfId="62" applyFont="1" applyFill="1" applyBorder="1" applyAlignment="1" applyProtection="1">
      <alignment vertical="top"/>
      <protection locked="0"/>
    </xf>
    <xf numFmtId="0" fontId="20" fillId="24" borderId="111" xfId="62" applyFont="1" applyFill="1" applyBorder="1" applyAlignment="1" applyProtection="1">
      <alignment vertical="top"/>
      <protection locked="0"/>
    </xf>
    <xf numFmtId="2" fontId="20" fillId="24" borderId="107" xfId="3" applyNumberFormat="1" applyFont="1" applyFill="1" applyBorder="1" applyAlignment="1" applyProtection="1">
      <alignment horizontal="center" vertical="top"/>
    </xf>
    <xf numFmtId="2" fontId="20" fillId="24" borderId="29" xfId="3" applyNumberFormat="1" applyFont="1" applyFill="1" applyBorder="1" applyAlignment="1" applyProtection="1">
      <alignment horizontal="center" vertical="top"/>
    </xf>
    <xf numFmtId="2" fontId="20" fillId="24" borderId="108" xfId="3" applyNumberFormat="1" applyFont="1" applyFill="1" applyBorder="1" applyAlignment="1" applyProtection="1">
      <alignment horizontal="center" vertical="top"/>
    </xf>
    <xf numFmtId="166" fontId="20" fillId="24" borderId="107" xfId="1" applyFont="1" applyFill="1" applyBorder="1" applyAlignment="1" applyProtection="1">
      <alignment horizontal="center"/>
      <protection locked="0"/>
    </xf>
    <xf numFmtId="166" fontId="20" fillId="24" borderId="29" xfId="1" applyFont="1" applyFill="1" applyBorder="1" applyAlignment="1" applyProtection="1">
      <alignment horizontal="center"/>
      <protection locked="0"/>
    </xf>
    <xf numFmtId="166" fontId="20" fillId="24" borderId="108" xfId="1" applyFont="1" applyFill="1" applyBorder="1" applyAlignment="1" applyProtection="1">
      <alignment horizontal="center"/>
      <protection locked="0"/>
    </xf>
    <xf numFmtId="166" fontId="20" fillId="24" borderId="107" xfId="1" applyFont="1" applyFill="1" applyBorder="1" applyAlignment="1" applyProtection="1">
      <alignment horizontal="center"/>
    </xf>
    <xf numFmtId="166" fontId="20" fillId="24" borderId="29" xfId="1" applyFont="1" applyFill="1" applyBorder="1" applyAlignment="1" applyProtection="1">
      <alignment horizontal="center"/>
    </xf>
    <xf numFmtId="166" fontId="20" fillId="24" borderId="108" xfId="1" applyFont="1" applyFill="1" applyBorder="1" applyAlignment="1" applyProtection="1">
      <alignment horizontal="center"/>
    </xf>
    <xf numFmtId="0" fontId="20" fillId="24" borderId="107" xfId="0" applyFont="1" applyFill="1" applyBorder="1" applyAlignment="1">
      <alignment horizontal="center"/>
    </xf>
    <xf numFmtId="0" fontId="20" fillId="24" borderId="29" xfId="0" applyFont="1" applyFill="1" applyBorder="1" applyAlignment="1">
      <alignment horizontal="center"/>
    </xf>
    <xf numFmtId="0" fontId="20" fillId="24" borderId="108" xfId="0" applyFont="1" applyFill="1" applyBorder="1" applyAlignment="1">
      <alignment horizontal="center"/>
    </xf>
    <xf numFmtId="166" fontId="20" fillId="24" borderId="110" xfId="1" applyFont="1" applyFill="1" applyBorder="1" applyAlignment="1" applyProtection="1">
      <alignment horizontal="center"/>
    </xf>
    <xf numFmtId="166" fontId="20" fillId="24" borderId="50" xfId="1" applyFont="1" applyFill="1" applyBorder="1" applyAlignment="1" applyProtection="1">
      <alignment horizontal="center"/>
    </xf>
    <xf numFmtId="166" fontId="20" fillId="24" borderId="51" xfId="1" applyFont="1" applyFill="1" applyBorder="1" applyAlignment="1" applyProtection="1">
      <alignment horizontal="center"/>
    </xf>
    <xf numFmtId="0" fontId="20" fillId="24" borderId="50" xfId="0" applyFont="1" applyFill="1" applyBorder="1" applyAlignment="1">
      <alignment horizontal="center"/>
    </xf>
    <xf numFmtId="2" fontId="20" fillId="24" borderId="110" xfId="3" applyNumberFormat="1" applyFont="1" applyFill="1" applyBorder="1" applyAlignment="1" applyProtection="1">
      <alignment horizontal="center" vertical="top"/>
    </xf>
    <xf numFmtId="2" fontId="20" fillId="24" borderId="50" xfId="3" applyNumberFormat="1" applyFont="1" applyFill="1" applyBorder="1" applyAlignment="1" applyProtection="1">
      <alignment horizontal="center" vertical="top"/>
    </xf>
    <xf numFmtId="2" fontId="20" fillId="24" borderId="51" xfId="3" applyNumberFormat="1" applyFont="1" applyFill="1" applyBorder="1" applyAlignment="1" applyProtection="1">
      <alignment horizontal="center" vertical="top"/>
    </xf>
    <xf numFmtId="0" fontId="20" fillId="0" borderId="0" xfId="62" applyFont="1" applyAlignment="1">
      <alignment horizontal="center" vertical="top"/>
    </xf>
    <xf numFmtId="0" fontId="20" fillId="0" borderId="12" xfId="62" applyFont="1" applyBorder="1" applyAlignment="1">
      <alignment horizontal="left"/>
    </xf>
    <xf numFmtId="0" fontId="20" fillId="0" borderId="12" xfId="62" applyFont="1" applyBorder="1" applyAlignment="1" applyProtection="1">
      <alignment horizontal="left"/>
      <protection hidden="1"/>
    </xf>
    <xf numFmtId="0" fontId="24" fillId="0" borderId="12" xfId="62" applyFont="1" applyBorder="1" applyAlignment="1">
      <alignment horizontal="left"/>
    </xf>
    <xf numFmtId="0" fontId="24" fillId="0" borderId="12" xfId="62" applyFont="1" applyBorder="1" applyAlignment="1">
      <alignment horizontal="left" vertical="top"/>
    </xf>
    <xf numFmtId="0" fontId="20" fillId="0" borderId="12" xfId="62" applyFont="1" applyBorder="1" applyAlignment="1">
      <alignment horizontal="right" vertical="top"/>
    </xf>
    <xf numFmtId="0" fontId="64" fillId="0" borderId="0" xfId="62" applyFont="1" applyAlignment="1">
      <alignment vertical="top"/>
    </xf>
    <xf numFmtId="0" fontId="65" fillId="0" borderId="0" xfId="62" applyFont="1" applyAlignment="1">
      <alignment horizontal="center"/>
    </xf>
    <xf numFmtId="0" fontId="66" fillId="0" borderId="0" xfId="4" applyBorder="1" applyAlignment="1" applyProtection="1">
      <alignment horizontal="center"/>
    </xf>
    <xf numFmtId="2" fontId="20" fillId="0" borderId="0" xfId="62" applyNumberFormat="1" applyFont="1" applyAlignment="1">
      <alignment horizontal="left" vertical="top"/>
    </xf>
    <xf numFmtId="0" fontId="0" fillId="0" borderId="0" xfId="0" applyAlignment="1">
      <alignment vertical="center" wrapText="1"/>
    </xf>
    <xf numFmtId="0" fontId="0" fillId="0" borderId="9" xfId="0" applyBorder="1" applyAlignment="1">
      <alignment vertical="center"/>
    </xf>
    <xf numFmtId="0" fontId="0" fillId="0" borderId="0" xfId="0" applyAlignment="1">
      <alignment vertical="center"/>
    </xf>
    <xf numFmtId="0" fontId="28" fillId="0" borderId="113" xfId="0" applyFont="1" applyBorder="1" applyAlignment="1">
      <alignment horizontal="center" vertical="center"/>
    </xf>
    <xf numFmtId="0" fontId="28" fillId="0" borderId="113" xfId="0" applyFont="1" applyBorder="1" applyAlignment="1">
      <alignment vertical="center" wrapText="1"/>
    </xf>
    <xf numFmtId="0" fontId="0" fillId="0" borderId="102" xfId="0" applyBorder="1" applyAlignment="1">
      <alignment horizontal="center" vertical="center"/>
    </xf>
    <xf numFmtId="192" fontId="93" fillId="0" borderId="0" xfId="1" applyNumberFormat="1" applyBorder="1" applyAlignment="1" applyProtection="1">
      <alignment vertical="center"/>
    </xf>
    <xf numFmtId="0" fontId="42" fillId="0" borderId="114" xfId="0" applyFont="1" applyBorder="1" applyAlignment="1">
      <alignment horizontal="center" vertical="center"/>
    </xf>
    <xf numFmtId="0" fontId="42" fillId="0" borderId="114" xfId="0" applyFont="1" applyBorder="1" applyAlignment="1">
      <alignment horizontal="center" vertical="center" wrapText="1"/>
    </xf>
    <xf numFmtId="0" fontId="0" fillId="0" borderId="115" xfId="0" applyBorder="1" applyAlignment="1">
      <alignment horizontal="center" vertical="center"/>
    </xf>
    <xf numFmtId="0" fontId="28" fillId="0" borderId="114" xfId="0" applyFont="1" applyBorder="1" applyAlignment="1">
      <alignment horizontal="center" vertical="center"/>
    </xf>
    <xf numFmtId="0" fontId="34" fillId="29" borderId="114" xfId="0" applyFont="1" applyFill="1" applyBorder="1" applyAlignment="1">
      <alignment vertical="center" wrapText="1"/>
    </xf>
    <xf numFmtId="0" fontId="42" fillId="0" borderId="9" xfId="0" applyFont="1" applyBorder="1" applyAlignment="1">
      <alignment vertical="center"/>
    </xf>
    <xf numFmtId="0" fontId="28" fillId="0" borderId="114" xfId="0" applyFont="1" applyBorder="1" applyAlignment="1">
      <alignment horizontal="center" vertical="center" wrapText="1"/>
    </xf>
    <xf numFmtId="0" fontId="28" fillId="0" borderId="115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192" fontId="28" fillId="0" borderId="0" xfId="1" applyNumberFormat="1" applyFont="1" applyBorder="1" applyAlignment="1" applyProtection="1">
      <alignment horizontal="center" vertical="center"/>
    </xf>
    <xf numFmtId="0" fontId="28" fillId="0" borderId="114" xfId="0" applyFont="1" applyBorder="1" applyAlignment="1">
      <alignment vertical="center" wrapText="1"/>
    </xf>
    <xf numFmtId="0" fontId="0" fillId="0" borderId="114" xfId="0" applyBorder="1" applyAlignment="1">
      <alignment horizontal="center" vertical="center"/>
    </xf>
    <xf numFmtId="0" fontId="0" fillId="0" borderId="114" xfId="0" applyBorder="1" applyAlignment="1">
      <alignment vertical="center" wrapText="1"/>
    </xf>
    <xf numFmtId="166" fontId="0" fillId="0" borderId="9" xfId="0" applyNumberFormat="1" applyBorder="1" applyAlignment="1">
      <alignment vertical="center"/>
    </xf>
    <xf numFmtId="0" fontId="16" fillId="0" borderId="114" xfId="87" applyBorder="1" applyAlignment="1">
      <alignment horizontal="center" vertical="top" wrapText="1" readingOrder="1"/>
    </xf>
    <xf numFmtId="0" fontId="16" fillId="0" borderId="114" xfId="87" applyBorder="1" applyAlignment="1">
      <alignment horizontal="left" vertical="top" wrapText="1" readingOrder="1"/>
    </xf>
    <xf numFmtId="0" fontId="16" fillId="0" borderId="115" xfId="87" applyBorder="1" applyAlignment="1">
      <alignment horizontal="center" vertical="top" wrapText="1" readingOrder="1"/>
    </xf>
    <xf numFmtId="0" fontId="16" fillId="0" borderId="114" xfId="87" applyBorder="1" applyAlignment="1">
      <alignment horizontal="center" vertical="top" wrapText="1"/>
    </xf>
    <xf numFmtId="0" fontId="16" fillId="0" borderId="114" xfId="87" applyBorder="1" applyAlignment="1">
      <alignment horizontal="left" vertical="top" wrapText="1"/>
    </xf>
    <xf numFmtId="0" fontId="16" fillId="0" borderId="115" xfId="87" applyBorder="1" applyAlignment="1">
      <alignment horizontal="center" vertical="top"/>
    </xf>
    <xf numFmtId="0" fontId="0" fillId="0" borderId="114" xfId="0" applyBorder="1" applyAlignment="1">
      <alignment horizontal="center" wrapText="1"/>
    </xf>
    <xf numFmtId="0" fontId="16" fillId="0" borderId="114" xfId="0" applyFont="1" applyBorder="1" applyAlignment="1">
      <alignment wrapText="1"/>
    </xf>
    <xf numFmtId="0" fontId="0" fillId="0" borderId="115" xfId="0" applyBorder="1" applyAlignment="1">
      <alignment horizontal="center" wrapText="1"/>
    </xf>
    <xf numFmtId="0" fontId="0" fillId="0" borderId="115" xfId="0" applyBorder="1"/>
    <xf numFmtId="0" fontId="28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15" xfId="0" applyBorder="1" applyAlignment="1">
      <alignment horizontal="center" vertical="center" wrapText="1"/>
    </xf>
    <xf numFmtId="192" fontId="93" fillId="0" borderId="0" xfId="1" applyNumberFormat="1" applyBorder="1" applyAlignment="1" applyProtection="1">
      <alignment horizontal="center" vertical="center" wrapText="1"/>
    </xf>
    <xf numFmtId="192" fontId="93" fillId="0" borderId="0" xfId="1" applyNumberFormat="1" applyBorder="1" applyAlignment="1" applyProtection="1">
      <alignment horizontal="center" vertical="center"/>
    </xf>
    <xf numFmtId="3" fontId="28" fillId="0" borderId="114" xfId="0" applyNumberFormat="1" applyFont="1" applyBorder="1" applyAlignment="1">
      <alignment horizontal="center" vertical="center"/>
    </xf>
    <xf numFmtId="192" fontId="28" fillId="0" borderId="0" xfId="1" applyNumberFormat="1" applyFont="1" applyBorder="1" applyAlignment="1" applyProtection="1">
      <alignment vertical="center"/>
    </xf>
    <xf numFmtId="171" fontId="0" fillId="0" borderId="0" xfId="0" applyNumberFormat="1"/>
    <xf numFmtId="0" fontId="34" fillId="0" borderId="114" xfId="0" applyFont="1" applyBorder="1" applyAlignment="1">
      <alignment horizontal="center" wrapText="1"/>
    </xf>
    <xf numFmtId="0" fontId="34" fillId="0" borderId="114" xfId="0" applyFont="1" applyBorder="1" applyAlignment="1">
      <alignment wrapText="1"/>
    </xf>
    <xf numFmtId="0" fontId="34" fillId="0" borderId="115" xfId="0" applyFont="1" applyBorder="1" applyAlignment="1">
      <alignment horizontal="center" wrapText="1"/>
    </xf>
    <xf numFmtId="166" fontId="34" fillId="0" borderId="9" xfId="0" applyNumberFormat="1" applyFont="1" applyBorder="1" applyAlignment="1">
      <alignment vertical="center"/>
    </xf>
    <xf numFmtId="0" fontId="34" fillId="0" borderId="0" xfId="0" applyFont="1"/>
    <xf numFmtId="0" fontId="0" fillId="24" borderId="114" xfId="0" applyFill="1" applyBorder="1" applyAlignment="1">
      <alignment horizontal="center" wrapText="1"/>
    </xf>
    <xf numFmtId="0" fontId="16" fillId="24" borderId="0" xfId="0" applyFont="1" applyFill="1" applyAlignment="1">
      <alignment wrapText="1"/>
    </xf>
    <xf numFmtId="0" fontId="0" fillId="24" borderId="115" xfId="0" applyFill="1" applyBorder="1" applyAlignment="1">
      <alignment horizontal="center" wrapText="1"/>
    </xf>
    <xf numFmtId="166" fontId="0" fillId="0" borderId="0" xfId="0" applyNumberFormat="1"/>
    <xf numFmtId="0" fontId="0" fillId="0" borderId="116" xfId="0" applyBorder="1" applyAlignment="1">
      <alignment horizontal="center" wrapText="1"/>
    </xf>
    <xf numFmtId="0" fontId="16" fillId="0" borderId="116" xfId="0" applyFont="1" applyBorder="1" applyAlignment="1">
      <alignment wrapText="1"/>
    </xf>
    <xf numFmtId="0" fontId="0" fillId="0" borderId="117" xfId="0" applyBorder="1" applyAlignment="1">
      <alignment horizontal="center" wrapText="1"/>
    </xf>
    <xf numFmtId="172" fontId="20" fillId="0" borderId="0" xfId="0" applyNumberFormat="1" applyFont="1"/>
    <xf numFmtId="0" fontId="20" fillId="0" borderId="0" xfId="0" applyFont="1" applyAlignment="1">
      <alignment horizontal="center"/>
    </xf>
    <xf numFmtId="166" fontId="20" fillId="0" borderId="0" xfId="1" applyFont="1" applyBorder="1" applyProtection="1"/>
    <xf numFmtId="166" fontId="20" fillId="0" borderId="0" xfId="1" applyFont="1" applyBorder="1" applyAlignment="1" applyProtection="1">
      <alignment horizontal="center"/>
    </xf>
    <xf numFmtId="0" fontId="47" fillId="0" borderId="118" xfId="0" applyFont="1" applyBorder="1" applyAlignment="1">
      <alignment vertical="center"/>
    </xf>
    <xf numFmtId="0" fontId="0" fillId="0" borderId="119" xfId="0" applyBorder="1" applyAlignment="1">
      <alignment vertical="center"/>
    </xf>
    <xf numFmtId="0" fontId="47" fillId="0" borderId="118" xfId="0" applyFont="1" applyBorder="1" applyAlignment="1">
      <alignment horizontal="center"/>
    </xf>
    <xf numFmtId="166" fontId="93" fillId="0" borderId="46" xfId="1" applyBorder="1" applyAlignment="1" applyProtection="1">
      <alignment vertical="center"/>
    </xf>
    <xf numFmtId="0" fontId="0" fillId="0" borderId="46" xfId="0" applyBorder="1" applyAlignment="1">
      <alignment vertical="center"/>
    </xf>
    <xf numFmtId="166" fontId="93" fillId="0" borderId="119" xfId="1" applyBorder="1" applyAlignment="1" applyProtection="1">
      <alignment vertical="center"/>
    </xf>
    <xf numFmtId="0" fontId="39" fillId="0" borderId="120" xfId="0" applyFont="1" applyBorder="1" applyAlignment="1">
      <alignment vertical="center"/>
    </xf>
    <xf numFmtId="0" fontId="20" fillId="0" borderId="121" xfId="0" applyFont="1" applyBorder="1"/>
    <xf numFmtId="0" fontId="39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 wrapText="1"/>
    </xf>
    <xf numFmtId="0" fontId="47" fillId="0" borderId="118" xfId="0" applyFont="1" applyBorder="1" applyAlignment="1">
      <alignment horizontal="left" vertical="center"/>
    </xf>
    <xf numFmtId="0" fontId="20" fillId="0" borderId="46" xfId="0" applyFont="1" applyBorder="1"/>
    <xf numFmtId="0" fontId="20" fillId="0" borderId="46" xfId="0" applyFont="1" applyBorder="1" applyAlignment="1">
      <alignment horizontal="left" vertical="center"/>
    </xf>
    <xf numFmtId="0" fontId="39" fillId="0" borderId="46" xfId="0" applyFont="1" applyBorder="1" applyAlignment="1">
      <alignment horizontal="center" vertical="center" wrapText="1"/>
    </xf>
    <xf numFmtId="0" fontId="39" fillId="0" borderId="119" xfId="0" applyFont="1" applyBorder="1" applyAlignment="1">
      <alignment horizontal="center" vertical="center" wrapText="1"/>
    </xf>
    <xf numFmtId="0" fontId="26" fillId="0" borderId="0" xfId="0" applyFont="1"/>
    <xf numFmtId="0" fontId="0" fillId="0" borderId="122" xfId="0" applyBorder="1" applyAlignment="1">
      <alignment horizontal="left" vertical="center"/>
    </xf>
    <xf numFmtId="0" fontId="28" fillId="0" borderId="123" xfId="0" applyFont="1" applyBorder="1" applyAlignment="1">
      <alignment vertical="center"/>
    </xf>
    <xf numFmtId="0" fontId="43" fillId="0" borderId="122" xfId="0" applyFont="1" applyBorder="1" applyAlignment="1">
      <alignment horizontal="left" vertical="center"/>
    </xf>
    <xf numFmtId="166" fontId="93" fillId="0" borderId="123" xfId="1" applyBorder="1" applyAlignment="1" applyProtection="1">
      <alignment vertical="center"/>
    </xf>
    <xf numFmtId="0" fontId="0" fillId="0" borderId="123" xfId="0" applyBorder="1" applyAlignment="1">
      <alignment vertical="center"/>
    </xf>
    <xf numFmtId="166" fontId="93" fillId="0" borderId="124" xfId="1" applyBorder="1" applyAlignment="1" applyProtection="1">
      <alignment vertical="center"/>
    </xf>
    <xf numFmtId="0" fontId="27" fillId="0" borderId="0" xfId="0" applyFont="1" applyAlignment="1">
      <alignment horizontal="center" vertical="center"/>
    </xf>
    <xf numFmtId="0" fontId="20" fillId="0" borderId="0" xfId="0" applyFont="1" applyAlignment="1">
      <alignment wrapText="1"/>
    </xf>
    <xf numFmtId="0" fontId="24" fillId="0" borderId="0" xfId="0" applyFont="1"/>
    <xf numFmtId="0" fontId="28" fillId="0" borderId="23" xfId="0" applyFont="1" applyBorder="1" applyAlignment="1">
      <alignment horizontal="center" vertical="center" wrapText="1"/>
    </xf>
    <xf numFmtId="0" fontId="28" fillId="0" borderId="24" xfId="0" applyFont="1" applyBorder="1" applyAlignment="1">
      <alignment horizontal="center" vertical="center" wrapText="1"/>
    </xf>
    <xf numFmtId="0" fontId="43" fillId="0" borderId="24" xfId="0" applyFont="1" applyBorder="1" applyAlignment="1">
      <alignment horizontal="center" vertical="center" wrapText="1"/>
    </xf>
    <xf numFmtId="166" fontId="28" fillId="0" borderId="125" xfId="1" applyFont="1" applyBorder="1" applyAlignment="1" applyProtection="1">
      <alignment horizontal="center" vertical="center" wrapText="1"/>
    </xf>
    <xf numFmtId="0" fontId="28" fillId="0" borderId="126" xfId="0" applyFont="1" applyBorder="1" applyAlignment="1">
      <alignment horizontal="center" vertical="center" wrapText="1"/>
    </xf>
    <xf numFmtId="0" fontId="24" fillId="7" borderId="127" xfId="0" applyFont="1" applyFill="1" applyBorder="1" applyAlignment="1" applyProtection="1">
      <alignment horizontal="center" vertical="center"/>
      <protection locked="0"/>
    </xf>
    <xf numFmtId="2" fontId="24" fillId="7" borderId="15" xfId="0" applyNumberFormat="1" applyFont="1" applyFill="1" applyBorder="1" applyAlignment="1">
      <alignment horizontal="left" vertical="center" wrapText="1"/>
    </xf>
    <xf numFmtId="2" fontId="20" fillId="7" borderId="15" xfId="0" applyNumberFormat="1" applyFont="1" applyFill="1" applyBorder="1" applyAlignment="1">
      <alignment horizontal="center"/>
    </xf>
    <xf numFmtId="166" fontId="20" fillId="7" borderId="15" xfId="1" applyFont="1" applyFill="1" applyBorder="1" applyAlignment="1" applyProtection="1">
      <alignment horizontal="right" vertical="center"/>
      <protection locked="0"/>
    </xf>
    <xf numFmtId="166" fontId="20" fillId="7" borderId="15" xfId="1" applyFont="1" applyFill="1" applyBorder="1" applyAlignment="1" applyProtection="1">
      <alignment horizontal="right" vertical="center"/>
    </xf>
    <xf numFmtId="166" fontId="20" fillId="7" borderId="128" xfId="1" applyFont="1" applyFill="1" applyBorder="1" applyAlignment="1" applyProtection="1">
      <alignment horizontal="right" vertical="center"/>
    </xf>
    <xf numFmtId="0" fontId="24" fillId="6" borderId="127" xfId="0" applyFont="1" applyFill="1" applyBorder="1" applyAlignment="1" applyProtection="1">
      <alignment horizontal="center" vertical="center"/>
      <protection locked="0"/>
    </xf>
    <xf numFmtId="2" fontId="24" fillId="6" borderId="15" xfId="0" applyNumberFormat="1" applyFont="1" applyFill="1" applyBorder="1" applyAlignment="1">
      <alignment horizontal="left" vertical="center" wrapText="1"/>
    </xf>
    <xf numFmtId="2" fontId="20" fillId="6" borderId="15" xfId="0" applyNumberFormat="1" applyFont="1" applyFill="1" applyBorder="1" applyAlignment="1">
      <alignment horizontal="center"/>
    </xf>
    <xf numFmtId="166" fontId="20" fillId="6" borderId="15" xfId="1" applyFont="1" applyFill="1" applyBorder="1" applyAlignment="1" applyProtection="1">
      <alignment horizontal="right" vertical="center"/>
      <protection locked="0"/>
    </xf>
    <xf numFmtId="166" fontId="20" fillId="6" borderId="15" xfId="1" applyFont="1" applyFill="1" applyBorder="1" applyAlignment="1" applyProtection="1">
      <alignment horizontal="right" vertical="center"/>
    </xf>
    <xf numFmtId="166" fontId="24" fillId="6" borderId="128" xfId="1" applyFont="1" applyFill="1" applyBorder="1" applyAlignment="1" applyProtection="1">
      <alignment horizontal="right" vertical="center"/>
    </xf>
    <xf numFmtId="0" fontId="20" fillId="24" borderId="127" xfId="0" applyFont="1" applyFill="1" applyBorder="1" applyAlignment="1" applyProtection="1">
      <alignment horizontal="center" vertical="center"/>
      <protection locked="0"/>
    </xf>
    <xf numFmtId="2" fontId="20" fillId="24" borderId="15" xfId="0" applyNumberFormat="1" applyFont="1" applyFill="1" applyBorder="1" applyAlignment="1">
      <alignment horizontal="left" vertical="center" wrapText="1"/>
    </xf>
    <xf numFmtId="2" fontId="20" fillId="0" borderId="15" xfId="0" applyNumberFormat="1" applyFont="1" applyBorder="1" applyAlignment="1">
      <alignment horizontal="center"/>
    </xf>
    <xf numFmtId="166" fontId="20" fillId="0" borderId="15" xfId="1" applyFont="1" applyBorder="1" applyAlignment="1" applyProtection="1">
      <alignment horizontal="right" vertical="center"/>
      <protection locked="0"/>
    </xf>
    <xf numFmtId="166" fontId="20" fillId="0" borderId="15" xfId="1" applyFont="1" applyBorder="1" applyAlignment="1" applyProtection="1">
      <alignment horizontal="right" vertical="center"/>
    </xf>
    <xf numFmtId="166" fontId="20" fillId="0" borderId="128" xfId="1" applyFont="1" applyBorder="1" applyAlignment="1" applyProtection="1">
      <alignment horizontal="right" vertical="center"/>
    </xf>
    <xf numFmtId="0" fontId="20" fillId="0" borderId="127" xfId="0" applyFont="1" applyBorder="1" applyAlignment="1" applyProtection="1">
      <alignment horizontal="center" vertical="center"/>
      <protection locked="0"/>
    </xf>
    <xf numFmtId="2" fontId="20" fillId="0" borderId="15" xfId="0" applyNumberFormat="1" applyFont="1" applyBorder="1" applyAlignment="1">
      <alignment horizontal="left" vertical="center" wrapText="1"/>
    </xf>
    <xf numFmtId="2" fontId="20" fillId="24" borderId="15" xfId="0" applyNumberFormat="1" applyFont="1" applyFill="1" applyBorder="1" applyAlignment="1">
      <alignment horizontal="center"/>
    </xf>
    <xf numFmtId="166" fontId="20" fillId="24" borderId="15" xfId="1" applyFont="1" applyFill="1" applyBorder="1" applyAlignment="1" applyProtection="1">
      <alignment horizontal="right" vertical="center"/>
    </xf>
    <xf numFmtId="166" fontId="20" fillId="24" borderId="128" xfId="1" applyFont="1" applyFill="1" applyBorder="1" applyAlignment="1" applyProtection="1">
      <alignment horizontal="right" vertical="center"/>
    </xf>
    <xf numFmtId="166" fontId="20" fillId="24" borderId="15" xfId="1" applyFont="1" applyFill="1" applyBorder="1" applyAlignment="1" applyProtection="1">
      <alignment horizontal="right" vertical="center"/>
      <protection locked="0"/>
    </xf>
    <xf numFmtId="0" fontId="24" fillId="0" borderId="127" xfId="0" applyFont="1" applyBorder="1" applyAlignment="1" applyProtection="1">
      <alignment horizontal="center" vertical="center"/>
      <protection locked="0"/>
    </xf>
    <xf numFmtId="2" fontId="24" fillId="0" borderId="15" xfId="0" applyNumberFormat="1" applyFont="1" applyBorder="1" applyAlignment="1">
      <alignment horizontal="left" vertical="center" wrapText="1"/>
    </xf>
    <xf numFmtId="0" fontId="67" fillId="0" borderId="127" xfId="0" applyFont="1" applyBorder="1" applyAlignment="1" applyProtection="1">
      <alignment horizontal="center" vertical="center"/>
      <protection locked="0"/>
    </xf>
    <xf numFmtId="2" fontId="67" fillId="0" borderId="15" xfId="0" applyNumberFormat="1" applyFont="1" applyBorder="1" applyAlignment="1">
      <alignment horizontal="left" vertical="center" wrapText="1"/>
    </xf>
    <xf numFmtId="2" fontId="67" fillId="0" borderId="15" xfId="0" applyNumberFormat="1" applyFont="1" applyBorder="1" applyAlignment="1">
      <alignment horizontal="center"/>
    </xf>
    <xf numFmtId="166" fontId="67" fillId="0" borderId="15" xfId="1" applyFont="1" applyBorder="1" applyAlignment="1" applyProtection="1">
      <alignment horizontal="right" vertical="center"/>
      <protection locked="0"/>
    </xf>
    <xf numFmtId="166" fontId="67" fillId="0" borderId="15" xfId="1" applyFont="1" applyBorder="1" applyAlignment="1" applyProtection="1">
      <alignment horizontal="right" vertical="center"/>
    </xf>
    <xf numFmtId="166" fontId="67" fillId="0" borderId="128" xfId="1" applyFont="1" applyBorder="1" applyAlignment="1" applyProtection="1">
      <alignment horizontal="right" vertical="center"/>
    </xf>
    <xf numFmtId="2" fontId="24" fillId="0" borderId="15" xfId="0" applyNumberFormat="1" applyFont="1" applyBorder="1" applyAlignment="1">
      <alignment horizontal="right" vertical="center" wrapText="1"/>
    </xf>
    <xf numFmtId="2" fontId="24" fillId="0" borderId="15" xfId="0" applyNumberFormat="1" applyFont="1" applyBorder="1" applyAlignment="1">
      <alignment horizontal="center"/>
    </xf>
    <xf numFmtId="166" fontId="24" fillId="0" borderId="15" xfId="1" applyFont="1" applyBorder="1" applyAlignment="1" applyProtection="1">
      <alignment horizontal="right" vertical="center"/>
      <protection locked="0"/>
    </xf>
    <xf numFmtId="166" fontId="24" fillId="0" borderId="15" xfId="1" applyFont="1" applyBorder="1" applyAlignment="1" applyProtection="1">
      <alignment horizontal="right" vertical="center"/>
    </xf>
    <xf numFmtId="166" fontId="24" fillId="0" borderId="128" xfId="1" applyFont="1" applyBorder="1" applyAlignment="1" applyProtection="1">
      <alignment horizontal="right" vertical="center"/>
    </xf>
    <xf numFmtId="0" fontId="0" fillId="0" borderId="42" xfId="0" applyBorder="1"/>
    <xf numFmtId="166" fontId="28" fillId="0" borderId="57" xfId="1" applyFont="1" applyBorder="1" applyAlignment="1" applyProtection="1">
      <alignment horizontal="right"/>
    </xf>
    <xf numFmtId="0" fontId="24" fillId="0" borderId="129" xfId="0" applyFont="1" applyBorder="1" applyAlignment="1">
      <alignment vertical="center"/>
    </xf>
    <xf numFmtId="166" fontId="24" fillId="0" borderId="15" xfId="1" applyFont="1" applyBorder="1" applyAlignment="1" applyProtection="1">
      <alignment horizontal="left"/>
    </xf>
    <xf numFmtId="166" fontId="20" fillId="0" borderId="58" xfId="1" applyFont="1" applyBorder="1" applyAlignment="1" applyProtection="1">
      <alignment horizontal="center" vertical="center"/>
    </xf>
    <xf numFmtId="166" fontId="20" fillId="0" borderId="43" xfId="1" applyFont="1" applyBorder="1" applyAlignment="1" applyProtection="1">
      <alignment vertical="center"/>
    </xf>
    <xf numFmtId="0" fontId="24" fillId="0" borderId="62" xfId="0" applyFont="1" applyBorder="1" applyAlignment="1">
      <alignment vertical="center"/>
    </xf>
    <xf numFmtId="166" fontId="24" fillId="0" borderId="62" xfId="1" applyFont="1" applyBorder="1" applyAlignment="1" applyProtection="1">
      <alignment horizontal="left"/>
    </xf>
    <xf numFmtId="166" fontId="20" fillId="0" borderId="61" xfId="1" applyFont="1" applyBorder="1" applyAlignment="1" applyProtection="1">
      <alignment horizontal="center" vertical="center"/>
    </xf>
    <xf numFmtId="166" fontId="20" fillId="0" borderId="60" xfId="1" applyFont="1" applyBorder="1" applyAlignment="1" applyProtection="1">
      <alignment vertical="center"/>
    </xf>
    <xf numFmtId="0" fontId="0" fillId="0" borderId="127" xfId="0" applyBorder="1"/>
    <xf numFmtId="166" fontId="28" fillId="0" borderId="49" xfId="1" applyFont="1" applyBorder="1" applyAlignment="1" applyProtection="1">
      <alignment horizontal="right"/>
    </xf>
    <xf numFmtId="0" fontId="20" fillId="0" borderId="130" xfId="0" applyFont="1" applyBorder="1" applyAlignment="1">
      <alignment vertical="center"/>
    </xf>
    <xf numFmtId="10" fontId="20" fillId="0" borderId="130" xfId="1" applyNumberFormat="1" applyFont="1" applyBorder="1" applyAlignment="1" applyProtection="1">
      <alignment horizontal="right"/>
    </xf>
    <xf numFmtId="10" fontId="24" fillId="0" borderId="131" xfId="3" applyNumberFormat="1" applyFont="1" applyBorder="1" applyAlignment="1" applyProtection="1">
      <alignment horizontal="center"/>
    </xf>
    <xf numFmtId="166" fontId="20" fillId="0" borderId="121" xfId="1" applyFont="1" applyBorder="1" applyAlignment="1" applyProtection="1">
      <alignment vertical="center"/>
    </xf>
    <xf numFmtId="0" fontId="43" fillId="0" borderId="23" xfId="0" applyFont="1" applyBorder="1" applyAlignment="1">
      <alignment vertical="center"/>
    </xf>
    <xf numFmtId="166" fontId="43" fillId="0" borderId="25" xfId="1" applyFont="1" applyBorder="1" applyAlignment="1" applyProtection="1">
      <alignment horizontal="right" vertical="center"/>
    </xf>
    <xf numFmtId="0" fontId="43" fillId="0" borderId="24" xfId="0" applyFont="1" applyBorder="1" applyAlignment="1">
      <alignment vertical="center"/>
    </xf>
    <xf numFmtId="166" fontId="28" fillId="0" borderId="125" xfId="1" applyFont="1" applyBorder="1" applyAlignment="1" applyProtection="1">
      <alignment vertical="center"/>
    </xf>
    <xf numFmtId="4" fontId="20" fillId="0" borderId="0" xfId="0" applyNumberFormat="1" applyFont="1" applyAlignment="1">
      <alignment horizontal="center"/>
    </xf>
    <xf numFmtId="4" fontId="20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horizontal="right"/>
    </xf>
    <xf numFmtId="4" fontId="24" fillId="0" borderId="0" xfId="0" applyNumberFormat="1" applyFont="1" applyAlignment="1">
      <alignment horizontal="center"/>
    </xf>
    <xf numFmtId="0" fontId="20" fillId="0" borderId="0" xfId="0" applyFont="1" applyAlignment="1">
      <alignment vertical="center" wrapText="1"/>
    </xf>
    <xf numFmtId="10" fontId="24" fillId="0" borderId="0" xfId="0" applyNumberFormat="1" applyFont="1" applyAlignment="1">
      <alignment horizontal="center"/>
    </xf>
    <xf numFmtId="187" fontId="24" fillId="0" borderId="0" xfId="0" applyNumberFormat="1" applyFont="1" applyAlignment="1">
      <alignment horizontal="center"/>
    </xf>
    <xf numFmtId="0" fontId="42" fillId="0" borderId="0" xfId="0" applyFon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4" fontId="39" fillId="0" borderId="0" xfId="0" applyNumberFormat="1" applyFont="1"/>
    <xf numFmtId="4" fontId="26" fillId="0" borderId="0" xfId="0" applyNumberFormat="1" applyFont="1"/>
    <xf numFmtId="4" fontId="43" fillId="24" borderId="0" xfId="0" applyNumberFormat="1" applyFont="1" applyFill="1" applyAlignment="1">
      <alignment horizontal="right" vertical="center"/>
    </xf>
    <xf numFmtId="193" fontId="43" fillId="24" borderId="0" xfId="0" applyNumberFormat="1" applyFont="1" applyFill="1" applyAlignment="1">
      <alignment horizontal="left" vertical="center"/>
    </xf>
    <xf numFmtId="0" fontId="28" fillId="0" borderId="132" xfId="0" applyFont="1" applyBorder="1" applyAlignment="1">
      <alignment horizontal="left" vertical="center"/>
    </xf>
    <xf numFmtId="0" fontId="42" fillId="0" borderId="132" xfId="0" applyFont="1" applyBorder="1" applyAlignment="1">
      <alignment horizontal="center" vertical="center" wrapText="1"/>
    </xf>
    <xf numFmtId="0" fontId="0" fillId="0" borderId="132" xfId="0" applyBorder="1" applyAlignment="1">
      <alignment horizontal="center" vertical="center"/>
    </xf>
    <xf numFmtId="4" fontId="28" fillId="0" borderId="132" xfId="1" applyNumberFormat="1" applyFont="1" applyBorder="1" applyAlignment="1" applyProtection="1">
      <alignment horizontal="center" wrapText="1"/>
    </xf>
    <xf numFmtId="0" fontId="42" fillId="0" borderId="132" xfId="0" applyFont="1" applyBorder="1" applyAlignment="1">
      <alignment horizontal="center"/>
    </xf>
    <xf numFmtId="0" fontId="0" fillId="0" borderId="132" xfId="0" applyBorder="1" applyAlignment="1">
      <alignment horizontal="center"/>
    </xf>
    <xf numFmtId="0" fontId="0" fillId="0" borderId="109" xfId="0" applyBorder="1" applyAlignment="1">
      <alignment horizontal="left" vertical="center"/>
    </xf>
    <xf numFmtId="0" fontId="28" fillId="0" borderId="109" xfId="0" applyFont="1" applyBorder="1" applyAlignment="1">
      <alignment horizontal="center" vertical="center" wrapText="1"/>
    </xf>
    <xf numFmtId="0" fontId="28" fillId="0" borderId="109" xfId="0" applyFont="1" applyBorder="1" applyAlignment="1">
      <alignment horizontal="left" vertical="center" wrapText="1"/>
    </xf>
    <xf numFmtId="0" fontId="0" fillId="0" borderId="109" xfId="0" applyBorder="1" applyAlignment="1">
      <alignment horizontal="center" vertical="center"/>
    </xf>
    <xf numFmtId="4" fontId="28" fillId="0" borderId="109" xfId="99" applyNumberFormat="1" applyFont="1" applyBorder="1" applyAlignment="1" applyProtection="1">
      <alignment horizontal="center" wrapText="1"/>
    </xf>
    <xf numFmtId="0" fontId="42" fillId="0" borderId="109" xfId="0" applyFont="1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9" xfId="0" applyBorder="1" applyAlignment="1">
      <alignment horizontal="left" vertical="center" wrapText="1"/>
    </xf>
    <xf numFmtId="0" fontId="93" fillId="0" borderId="109" xfId="86" applyBorder="1" applyAlignment="1">
      <alignment horizontal="center" vertical="center"/>
    </xf>
    <xf numFmtId="166" fontId="93" fillId="0" borderId="109" xfId="1" applyBorder="1" applyProtection="1"/>
    <xf numFmtId="166" fontId="16" fillId="0" borderId="109" xfId="1" applyFont="1" applyBorder="1" applyAlignment="1" applyProtection="1">
      <alignment vertical="center" wrapText="1"/>
    </xf>
    <xf numFmtId="0" fontId="42" fillId="0" borderId="109" xfId="0" applyFont="1" applyBorder="1" applyAlignment="1">
      <alignment horizontal="center" vertical="center"/>
    </xf>
    <xf numFmtId="178" fontId="0" fillId="0" borderId="109" xfId="85" applyNumberFormat="1" applyFont="1" applyBorder="1" applyAlignment="1">
      <alignment horizontal="center" vertical="center" wrapText="1"/>
    </xf>
    <xf numFmtId="4" fontId="56" fillId="0" borderId="109" xfId="0" applyNumberFormat="1" applyFont="1" applyBorder="1" applyAlignment="1">
      <alignment horizontal="center" vertical="center"/>
    </xf>
    <xf numFmtId="4" fontId="15" fillId="0" borderId="109" xfId="85" applyNumberFormat="1" applyFont="1" applyBorder="1" applyAlignment="1">
      <alignment wrapText="1"/>
    </xf>
    <xf numFmtId="166" fontId="93" fillId="0" borderId="109" xfId="1" applyBorder="1" applyAlignment="1" applyProtection="1">
      <alignment vertical="center"/>
    </xf>
    <xf numFmtId="0" fontId="28" fillId="0" borderId="109" xfId="0" applyFont="1" applyBorder="1" applyAlignment="1">
      <alignment horizontal="justify" vertical="center"/>
    </xf>
    <xf numFmtId="166" fontId="28" fillId="0" borderId="109" xfId="1" applyFont="1" applyBorder="1" applyAlignment="1" applyProtection="1">
      <alignment vertical="center"/>
    </xf>
    <xf numFmtId="0" fontId="28" fillId="0" borderId="109" xfId="0" applyFont="1" applyBorder="1" applyAlignment="1">
      <alignment horizontal="left" vertical="center"/>
    </xf>
    <xf numFmtId="166" fontId="93" fillId="0" borderId="109" xfId="1" applyBorder="1" applyAlignment="1" applyProtection="1">
      <alignment horizontal="center" vertical="center"/>
    </xf>
    <xf numFmtId="166" fontId="28" fillId="0" borderId="109" xfId="1" applyFont="1" applyBorder="1" applyAlignment="1" applyProtection="1">
      <alignment horizontal="center" vertical="center"/>
    </xf>
    <xf numFmtId="4" fontId="69" fillId="0" borderId="109" xfId="1" applyNumberFormat="1" applyFont="1" applyBorder="1" applyAlignment="1" applyProtection="1">
      <alignment horizontal="center" wrapText="1"/>
    </xf>
    <xf numFmtId="0" fontId="0" fillId="0" borderId="109" xfId="85" applyFont="1" applyBorder="1" applyAlignment="1">
      <alignment horizontal="center" vertical="center" wrapText="1"/>
    </xf>
    <xf numFmtId="4" fontId="15" fillId="0" borderId="109" xfId="85" applyNumberFormat="1" applyFont="1" applyBorder="1" applyAlignment="1">
      <alignment vertical="center" wrapText="1"/>
    </xf>
    <xf numFmtId="4" fontId="0" fillId="0" borderId="0" xfId="0" applyNumberFormat="1" applyAlignment="1">
      <alignment vertical="center"/>
    </xf>
    <xf numFmtId="0" fontId="0" fillId="0" borderId="109" xfId="85" applyFont="1" applyBorder="1" applyAlignment="1">
      <alignment horizontal="center" wrapText="1"/>
    </xf>
    <xf numFmtId="4" fontId="56" fillId="0" borderId="109" xfId="0" applyNumberFormat="1" applyFont="1" applyBorder="1" applyAlignment="1">
      <alignment vertical="center"/>
    </xf>
    <xf numFmtId="0" fontId="28" fillId="0" borderId="109" xfId="0" applyFont="1" applyBorder="1" applyAlignment="1">
      <alignment horizontal="center" vertical="center"/>
    </xf>
    <xf numFmtId="4" fontId="70" fillId="0" borderId="109" xfId="1" applyNumberFormat="1" applyFont="1" applyBorder="1" applyAlignment="1" applyProtection="1">
      <alignment vertical="center"/>
    </xf>
    <xf numFmtId="0" fontId="34" fillId="0" borderId="109" xfId="0" applyFont="1" applyBorder="1" applyAlignment="1">
      <alignment horizontal="left" vertical="center"/>
    </xf>
    <xf numFmtId="0" fontId="34" fillId="0" borderId="109" xfId="85" applyFont="1" applyBorder="1" applyAlignment="1">
      <alignment horizontal="center" wrapText="1"/>
    </xf>
    <xf numFmtId="0" fontId="34" fillId="0" borderId="109" xfId="85" applyFont="1" applyBorder="1" applyAlignment="1">
      <alignment wrapText="1"/>
    </xf>
    <xf numFmtId="0" fontId="34" fillId="0" borderId="109" xfId="0" applyFont="1" applyBorder="1" applyAlignment="1">
      <alignment horizontal="center" vertical="center"/>
    </xf>
    <xf numFmtId="169" fontId="34" fillId="0" borderId="109" xfId="101" applyFont="1" applyBorder="1" applyAlignment="1" applyProtection="1">
      <alignment vertical="center"/>
    </xf>
    <xf numFmtId="166" fontId="34" fillId="0" borderId="109" xfId="1" applyFont="1" applyBorder="1" applyAlignment="1" applyProtection="1">
      <alignment vertical="center" wrapText="1"/>
    </xf>
    <xf numFmtId="178" fontId="34" fillId="0" borderId="109" xfId="85" applyNumberFormat="1" applyFont="1" applyBorder="1" applyAlignment="1">
      <alignment horizontal="center" vertical="center" wrapText="1"/>
    </xf>
    <xf numFmtId="4" fontId="71" fillId="0" borderId="109" xfId="85" applyNumberFormat="1" applyFont="1" applyBorder="1" applyAlignment="1">
      <alignment wrapText="1"/>
    </xf>
    <xf numFmtId="4" fontId="34" fillId="0" borderId="0" xfId="0" applyNumberFormat="1" applyFont="1"/>
    <xf numFmtId="166" fontId="34" fillId="0" borderId="0" xfId="0" applyNumberFormat="1" applyFont="1"/>
    <xf numFmtId="166" fontId="34" fillId="0" borderId="109" xfId="1" applyFont="1" applyBorder="1" applyAlignment="1" applyProtection="1">
      <alignment vertical="center"/>
    </xf>
    <xf numFmtId="0" fontId="16" fillId="0" borderId="109" xfId="85" applyBorder="1" applyAlignment="1">
      <alignment wrapText="1"/>
    </xf>
    <xf numFmtId="0" fontId="28" fillId="0" borderId="109" xfId="85" applyFont="1" applyBorder="1" applyAlignment="1">
      <alignment horizontal="center" wrapText="1"/>
    </xf>
    <xf numFmtId="178" fontId="28" fillId="0" borderId="109" xfId="85" applyNumberFormat="1" applyFont="1" applyBorder="1" applyAlignment="1">
      <alignment horizontal="center" vertical="center" wrapText="1"/>
    </xf>
    <xf numFmtId="0" fontId="0" fillId="29" borderId="0" xfId="0" applyFill="1"/>
    <xf numFmtId="0" fontId="16" fillId="0" borderId="109" xfId="85" applyBorder="1" applyAlignment="1">
      <alignment horizontal="center" wrapText="1"/>
    </xf>
    <xf numFmtId="0" fontId="0" fillId="29" borderId="109" xfId="0" applyFill="1" applyBorder="1" applyAlignment="1">
      <alignment horizontal="left" vertical="center"/>
    </xf>
    <xf numFmtId="0" fontId="0" fillId="29" borderId="109" xfId="85" applyFont="1" applyFill="1" applyBorder="1" applyAlignment="1">
      <alignment horizontal="center" wrapText="1"/>
    </xf>
    <xf numFmtId="0" fontId="0" fillId="29" borderId="109" xfId="0" applyFill="1" applyBorder="1" applyAlignment="1">
      <alignment horizontal="left" vertical="center" wrapText="1"/>
    </xf>
    <xf numFmtId="0" fontId="0" fillId="29" borderId="109" xfId="0" applyFill="1" applyBorder="1" applyAlignment="1">
      <alignment horizontal="center" vertical="center"/>
    </xf>
    <xf numFmtId="166" fontId="93" fillId="29" borderId="109" xfId="1" applyFill="1" applyBorder="1" applyAlignment="1" applyProtection="1">
      <alignment vertical="center"/>
    </xf>
    <xf numFmtId="166" fontId="16" fillId="29" borderId="109" xfId="1" applyFont="1" applyFill="1" applyBorder="1" applyAlignment="1" applyProtection="1">
      <alignment vertical="center" wrapText="1"/>
    </xf>
    <xf numFmtId="0" fontId="42" fillId="29" borderId="109" xfId="0" applyFont="1" applyFill="1" applyBorder="1" applyAlignment="1">
      <alignment horizontal="center" vertical="center"/>
    </xf>
    <xf numFmtId="178" fontId="0" fillId="29" borderId="109" xfId="85" applyNumberFormat="1" applyFont="1" applyFill="1" applyBorder="1" applyAlignment="1">
      <alignment horizontal="center" vertical="center" wrapText="1"/>
    </xf>
    <xf numFmtId="4" fontId="15" fillId="29" borderId="109" xfId="85" applyNumberFormat="1" applyFont="1" applyFill="1" applyBorder="1" applyAlignment="1">
      <alignment wrapText="1"/>
    </xf>
    <xf numFmtId="4" fontId="0" fillId="29" borderId="0" xfId="0" applyNumberFormat="1" applyFill="1"/>
    <xf numFmtId="0" fontId="28" fillId="0" borderId="109" xfId="0" applyFont="1" applyBorder="1" applyAlignment="1">
      <alignment vertical="center"/>
    </xf>
    <xf numFmtId="0" fontId="0" fillId="0" borderId="109" xfId="0" applyBorder="1" applyAlignment="1">
      <alignment horizontal="justify" vertical="center"/>
    </xf>
    <xf numFmtId="4" fontId="47" fillId="0" borderId="109" xfId="1" applyNumberFormat="1" applyFont="1" applyBorder="1" applyAlignment="1" applyProtection="1">
      <alignment vertical="center"/>
    </xf>
    <xf numFmtId="4" fontId="42" fillId="0" borderId="109" xfId="1" applyNumberFormat="1" applyFont="1" applyBorder="1" applyAlignment="1" applyProtection="1">
      <alignment horizontal="center" vertical="center"/>
    </xf>
    <xf numFmtId="4" fontId="42" fillId="0" borderId="109" xfId="0" applyNumberFormat="1" applyFont="1" applyBorder="1" applyAlignment="1">
      <alignment horizontal="center" vertical="center"/>
    </xf>
    <xf numFmtId="166" fontId="93" fillId="0" borderId="109" xfId="1" applyBorder="1" applyAlignment="1" applyProtection="1">
      <alignment vertical="center" wrapText="1"/>
    </xf>
    <xf numFmtId="0" fontId="0" fillId="29" borderId="109" xfId="0" applyFill="1" applyBorder="1" applyAlignment="1">
      <alignment horizontal="justify" vertical="center"/>
    </xf>
    <xf numFmtId="0" fontId="28" fillId="0" borderId="0" xfId="0" applyFont="1"/>
    <xf numFmtId="0" fontId="16" fillId="0" borderId="109" xfId="0" applyFont="1" applyBorder="1" applyAlignment="1">
      <alignment horizontal="left" vertical="top" wrapText="1"/>
    </xf>
    <xf numFmtId="0" fontId="16" fillId="29" borderId="109" xfId="85" applyFill="1" applyBorder="1" applyAlignment="1">
      <alignment wrapText="1"/>
    </xf>
    <xf numFmtId="0" fontId="16" fillId="0" borderId="109" xfId="0" applyFont="1" applyBorder="1" applyAlignment="1">
      <alignment horizontal="left"/>
    </xf>
    <xf numFmtId="0" fontId="16" fillId="0" borderId="109" xfId="0" applyFont="1" applyBorder="1" applyAlignment="1">
      <alignment horizontal="center"/>
    </xf>
    <xf numFmtId="0" fontId="16" fillId="0" borderId="109" xfId="0" applyFont="1" applyBorder="1" applyAlignment="1">
      <alignment horizontal="left" wrapText="1"/>
    </xf>
    <xf numFmtId="0" fontId="16" fillId="0" borderId="109" xfId="83" applyBorder="1" applyAlignment="1">
      <alignment wrapText="1"/>
    </xf>
    <xf numFmtId="0" fontId="1" fillId="0" borderId="109" xfId="83" applyFont="1" applyBorder="1" applyAlignment="1">
      <alignment wrapText="1"/>
    </xf>
    <xf numFmtId="166" fontId="27" fillId="0" borderId="109" xfId="1" applyFont="1" applyBorder="1" applyAlignment="1" applyProtection="1">
      <alignment horizontal="center"/>
    </xf>
    <xf numFmtId="166" fontId="16" fillId="0" borderId="109" xfId="1" applyFont="1" applyBorder="1" applyAlignment="1" applyProtection="1">
      <alignment horizontal="center" vertical="center"/>
    </xf>
    <xf numFmtId="166" fontId="72" fillId="0" borderId="109" xfId="1" applyFont="1" applyBorder="1" applyAlignment="1" applyProtection="1">
      <alignment horizontal="center"/>
    </xf>
    <xf numFmtId="166" fontId="42" fillId="0" borderId="109" xfId="1" applyFont="1" applyBorder="1" applyAlignment="1" applyProtection="1">
      <alignment horizontal="center" vertical="center"/>
    </xf>
    <xf numFmtId="0" fontId="0" fillId="0" borderId="109" xfId="0" applyBorder="1" applyAlignment="1">
      <alignment horizontal="left"/>
    </xf>
    <xf numFmtId="0" fontId="73" fillId="0" borderId="109" xfId="83" applyFont="1" applyBorder="1" applyAlignment="1">
      <alignment horizontal="left"/>
    </xf>
    <xf numFmtId="0" fontId="73" fillId="0" borderId="109" xfId="83" applyFont="1" applyBorder="1" applyAlignment="1">
      <alignment horizontal="center"/>
    </xf>
    <xf numFmtId="166" fontId="73" fillId="0" borderId="109" xfId="1" applyFont="1" applyBorder="1" applyAlignment="1" applyProtection="1">
      <alignment horizontal="center" vertical="center"/>
    </xf>
    <xf numFmtId="166" fontId="74" fillId="0" borderId="109" xfId="1" applyFont="1" applyBorder="1" applyAlignment="1" applyProtection="1">
      <alignment horizontal="center"/>
    </xf>
    <xf numFmtId="4" fontId="28" fillId="0" borderId="0" xfId="0" applyNumberFormat="1" applyFont="1"/>
    <xf numFmtId="166" fontId="1" fillId="0" borderId="109" xfId="1" applyFont="1" applyBorder="1" applyAlignment="1" applyProtection="1">
      <alignment wrapText="1"/>
    </xf>
    <xf numFmtId="166" fontId="72" fillId="0" borderId="109" xfId="1" applyFont="1" applyBorder="1" applyAlignment="1" applyProtection="1">
      <alignment wrapText="1"/>
    </xf>
    <xf numFmtId="0" fontId="16" fillId="0" borderId="109" xfId="0" applyFont="1" applyBorder="1" applyAlignment="1">
      <alignment horizontal="center" vertical="top" wrapText="1"/>
    </xf>
    <xf numFmtId="166" fontId="16" fillId="0" borderId="109" xfId="1" applyFont="1" applyBorder="1" applyAlignment="1" applyProtection="1">
      <alignment horizontal="right" vertical="center" wrapText="1"/>
    </xf>
    <xf numFmtId="0" fontId="0" fillId="0" borderId="109" xfId="0" applyBorder="1" applyAlignment="1">
      <alignment horizontal="left" wrapText="1"/>
    </xf>
    <xf numFmtId="0" fontId="0" fillId="0" borderId="109" xfId="0" applyBorder="1"/>
    <xf numFmtId="166" fontId="16" fillId="0" borderId="109" xfId="1" applyFont="1" applyBorder="1" applyAlignment="1" applyProtection="1">
      <alignment horizontal="left" vertical="center"/>
    </xf>
    <xf numFmtId="0" fontId="72" fillId="0" borderId="109" xfId="0" applyFont="1" applyBorder="1" applyAlignment="1">
      <alignment horizontal="left"/>
    </xf>
    <xf numFmtId="0" fontId="27" fillId="0" borderId="0" xfId="69" applyFont="1"/>
    <xf numFmtId="0" fontId="72" fillId="0" borderId="109" xfId="0" applyFont="1" applyBorder="1" applyAlignment="1">
      <alignment horizontal="center"/>
    </xf>
    <xf numFmtId="178" fontId="42" fillId="0" borderId="109" xfId="85" applyNumberFormat="1" applyFont="1" applyBorder="1" applyAlignment="1">
      <alignment horizontal="center" vertical="center" wrapText="1"/>
    </xf>
    <xf numFmtId="2" fontId="72" fillId="0" borderId="109" xfId="0" applyNumberFormat="1" applyFont="1" applyBorder="1" applyAlignment="1">
      <alignment horizontal="center"/>
    </xf>
    <xf numFmtId="0" fontId="27" fillId="0" borderId="109" xfId="0" applyFont="1" applyBorder="1"/>
    <xf numFmtId="0" fontId="16" fillId="0" borderId="109" xfId="0" applyFont="1" applyBorder="1" applyAlignment="1">
      <alignment horizontal="left" vertical="center"/>
    </xf>
    <xf numFmtId="0" fontId="16" fillId="0" borderId="109" xfId="0" applyFont="1" applyBorder="1" applyAlignment="1">
      <alignment horizontal="center" vertical="center"/>
    </xf>
    <xf numFmtId="0" fontId="16" fillId="0" borderId="109" xfId="0" applyFont="1" applyBorder="1" applyAlignment="1">
      <alignment horizontal="justify" wrapText="1"/>
    </xf>
    <xf numFmtId="166" fontId="27" fillId="0" borderId="109" xfId="1" applyFont="1" applyBorder="1" applyProtection="1"/>
    <xf numFmtId="0" fontId="75" fillId="0" borderId="109" xfId="0" applyFont="1" applyBorder="1" applyAlignment="1">
      <alignment horizontal="left"/>
    </xf>
    <xf numFmtId="4" fontId="27" fillId="0" borderId="0" xfId="69" applyNumberFormat="1" applyFont="1"/>
    <xf numFmtId="0" fontId="93" fillId="0" borderId="109" xfId="69" applyBorder="1" applyAlignment="1">
      <alignment horizontal="center" vertical="center"/>
    </xf>
    <xf numFmtId="0" fontId="16" fillId="0" borderId="109" xfId="83" applyBorder="1" applyAlignment="1">
      <alignment horizontal="left" wrapText="1"/>
    </xf>
    <xf numFmtId="0" fontId="16" fillId="0" borderId="109" xfId="83" applyBorder="1" applyAlignment="1">
      <alignment horizontal="center" wrapText="1"/>
    </xf>
    <xf numFmtId="2" fontId="27" fillId="0" borderId="109" xfId="0" applyNumberFormat="1" applyFont="1" applyBorder="1" applyAlignment="1">
      <alignment horizontal="center"/>
    </xf>
    <xf numFmtId="0" fontId="16" fillId="0" borderId="109" xfId="0" applyFont="1" applyBorder="1"/>
    <xf numFmtId="0" fontId="73" fillId="0" borderId="109" xfId="0" applyFont="1" applyBorder="1"/>
    <xf numFmtId="0" fontId="16" fillId="0" borderId="133" xfId="0" applyFont="1" applyBorder="1" applyAlignment="1">
      <alignment horizontal="left"/>
    </xf>
    <xf numFmtId="0" fontId="16" fillId="0" borderId="133" xfId="0" applyFont="1" applyBorder="1" applyAlignment="1">
      <alignment horizontal="center"/>
    </xf>
    <xf numFmtId="0" fontId="73" fillId="0" borderId="133" xfId="0" applyFont="1" applyBorder="1"/>
    <xf numFmtId="166" fontId="16" fillId="0" borderId="133" xfId="1" applyFont="1" applyBorder="1" applyAlignment="1" applyProtection="1">
      <alignment horizontal="center" vertical="center"/>
    </xf>
    <xf numFmtId="0" fontId="42" fillId="0" borderId="133" xfId="0" applyFont="1" applyBorder="1" applyAlignment="1">
      <alignment horizontal="center" vertical="center"/>
    </xf>
    <xf numFmtId="0" fontId="0" fillId="0" borderId="133" xfId="0" applyBorder="1" applyAlignment="1">
      <alignment horizontal="center" vertical="center"/>
    </xf>
    <xf numFmtId="0" fontId="28" fillId="0" borderId="132" xfId="0" applyFont="1" applyBorder="1" applyAlignment="1">
      <alignment horizontal="center" vertical="center"/>
    </xf>
    <xf numFmtId="0" fontId="28" fillId="0" borderId="132" xfId="0" applyFont="1" applyBorder="1" applyAlignment="1">
      <alignment horizontal="justify" vertical="center"/>
    </xf>
    <xf numFmtId="166" fontId="93" fillId="0" borderId="132" xfId="1" applyBorder="1" applyAlignment="1" applyProtection="1">
      <alignment vertical="center"/>
    </xf>
    <xf numFmtId="166" fontId="28" fillId="0" borderId="132" xfId="1" applyFont="1" applyBorder="1" applyAlignment="1" applyProtection="1">
      <alignment vertical="center"/>
    </xf>
    <xf numFmtId="0" fontId="42" fillId="0" borderId="132" xfId="0" applyFont="1" applyBorder="1" applyAlignment="1">
      <alignment vertical="center"/>
    </xf>
    <xf numFmtId="0" fontId="0" fillId="0" borderId="132" xfId="0" applyBorder="1"/>
    <xf numFmtId="0" fontId="42" fillId="0" borderId="109" xfId="0" applyFont="1" applyBorder="1" applyAlignment="1">
      <alignment vertical="center"/>
    </xf>
    <xf numFmtId="178" fontId="0" fillId="0" borderId="109" xfId="85" applyNumberFormat="1" applyFont="1" applyBorder="1" applyAlignment="1">
      <alignment horizontal="center" wrapText="1"/>
    </xf>
    <xf numFmtId="0" fontId="16" fillId="0" borderId="109" xfId="85" applyBorder="1" applyAlignment="1">
      <alignment vertical="center" wrapText="1"/>
    </xf>
    <xf numFmtId="0" fontId="0" fillId="0" borderId="109" xfId="0" applyBorder="1" applyAlignment="1">
      <alignment vertical="center"/>
    </xf>
    <xf numFmtId="0" fontId="0" fillId="0" borderId="112" xfId="0" applyBorder="1" applyAlignment="1">
      <alignment horizontal="center" vertical="center"/>
    </xf>
    <xf numFmtId="0" fontId="28" fillId="0" borderId="112" xfId="0" applyFont="1" applyBorder="1" applyAlignment="1">
      <alignment horizontal="justify" vertical="center"/>
    </xf>
    <xf numFmtId="166" fontId="93" fillId="0" borderId="112" xfId="1" applyBorder="1" applyAlignment="1" applyProtection="1">
      <alignment vertical="center"/>
    </xf>
    <xf numFmtId="166" fontId="28" fillId="0" borderId="112" xfId="1" applyFont="1" applyBorder="1" applyAlignment="1" applyProtection="1">
      <alignment vertical="center"/>
    </xf>
    <xf numFmtId="0" fontId="42" fillId="0" borderId="112" xfId="0" applyFont="1" applyBorder="1" applyAlignment="1">
      <alignment vertical="center"/>
    </xf>
    <xf numFmtId="0" fontId="0" fillId="0" borderId="112" xfId="0" applyBorder="1"/>
    <xf numFmtId="0" fontId="28" fillId="0" borderId="28" xfId="0" applyFont="1" applyBorder="1" applyAlignment="1">
      <alignment horizontal="left" vertical="center"/>
    </xf>
    <xf numFmtId="0" fontId="28" fillId="0" borderId="28" xfId="0" applyFont="1" applyBorder="1" applyAlignment="1">
      <alignment horizontal="center" vertical="center"/>
    </xf>
    <xf numFmtId="0" fontId="28" fillId="0" borderId="28" xfId="0" applyFont="1" applyBorder="1" applyAlignment="1">
      <alignment horizontal="justify" vertical="center"/>
    </xf>
    <xf numFmtId="0" fontId="0" fillId="0" borderId="28" xfId="0" applyBorder="1" applyAlignment="1">
      <alignment horizontal="center" vertical="center"/>
    </xf>
    <xf numFmtId="166" fontId="93" fillId="0" borderId="28" xfId="1" applyBorder="1" applyAlignment="1" applyProtection="1">
      <alignment vertical="center"/>
    </xf>
    <xf numFmtId="166" fontId="42" fillId="0" borderId="28" xfId="1" applyFont="1" applyBorder="1" applyAlignment="1" applyProtection="1">
      <alignment horizontal="center" vertical="center"/>
    </xf>
    <xf numFmtId="0" fontId="42" fillId="0" borderId="28" xfId="0" applyFont="1" applyBorder="1" applyAlignment="1">
      <alignment horizontal="center" vertical="center"/>
    </xf>
    <xf numFmtId="0" fontId="28" fillId="0" borderId="109" xfId="69" applyFont="1" applyBorder="1" applyAlignment="1">
      <alignment horizontal="left"/>
    </xf>
    <xf numFmtId="0" fontId="28" fillId="0" borderId="109" xfId="69" applyFont="1" applyBorder="1" applyAlignment="1">
      <alignment horizontal="center"/>
    </xf>
    <xf numFmtId="0" fontId="53" fillId="0" borderId="109" xfId="69" applyFont="1" applyBorder="1" applyAlignment="1">
      <alignment horizontal="center"/>
    </xf>
    <xf numFmtId="0" fontId="42" fillId="0" borderId="109" xfId="69" applyFont="1" applyBorder="1" applyAlignment="1">
      <alignment horizontal="center" vertical="center"/>
    </xf>
    <xf numFmtId="0" fontId="43" fillId="0" borderId="109" xfId="69" applyFont="1" applyBorder="1"/>
    <xf numFmtId="49" fontId="93" fillId="0" borderId="109" xfId="69" applyNumberFormat="1" applyBorder="1" applyAlignment="1">
      <alignment horizontal="left" vertical="center"/>
    </xf>
    <xf numFmtId="0" fontId="93" fillId="0" borderId="109" xfId="69" applyBorder="1" applyAlignment="1">
      <alignment horizontal="justify" wrapText="1"/>
    </xf>
    <xf numFmtId="0" fontId="93" fillId="0" borderId="109" xfId="69" applyBorder="1" applyAlignment="1">
      <alignment horizontal="center"/>
    </xf>
    <xf numFmtId="0" fontId="27" fillId="0" borderId="109" xfId="69" applyFont="1" applyBorder="1" applyAlignment="1">
      <alignment horizontal="center" vertical="center"/>
    </xf>
    <xf numFmtId="0" fontId="27" fillId="0" borderId="109" xfId="69" applyFont="1" applyBorder="1" applyAlignment="1">
      <alignment horizontal="center"/>
    </xf>
    <xf numFmtId="169" fontId="27" fillId="0" borderId="109" xfId="101" applyFont="1" applyBorder="1" applyAlignment="1" applyProtection="1">
      <alignment horizontal="center"/>
    </xf>
    <xf numFmtId="0" fontId="93" fillId="0" borderId="109" xfId="69" applyBorder="1" applyAlignment="1">
      <alignment horizontal="justify" vertical="center" wrapText="1"/>
    </xf>
    <xf numFmtId="0" fontId="93" fillId="0" borderId="109" xfId="69" applyBorder="1" applyAlignment="1">
      <alignment horizontal="left"/>
    </xf>
    <xf numFmtId="0" fontId="16" fillId="0" borderId="109" xfId="69" applyFont="1" applyBorder="1" applyAlignment="1">
      <alignment horizontal="center"/>
    </xf>
    <xf numFmtId="166" fontId="43" fillId="0" borderId="109" xfId="1" applyFont="1" applyBorder="1" applyProtection="1"/>
    <xf numFmtId="166" fontId="43" fillId="0" borderId="109" xfId="1" applyFont="1" applyBorder="1" applyAlignment="1" applyProtection="1">
      <alignment horizontal="center"/>
    </xf>
    <xf numFmtId="0" fontId="27" fillId="29" borderId="0" xfId="69" applyFont="1" applyFill="1"/>
    <xf numFmtId="49" fontId="93" fillId="29" borderId="109" xfId="69" applyNumberFormat="1" applyFill="1" applyBorder="1" applyAlignment="1">
      <alignment horizontal="left" vertical="center"/>
    </xf>
    <xf numFmtId="0" fontId="93" fillId="29" borderId="109" xfId="69" applyFill="1" applyBorder="1" applyAlignment="1">
      <alignment horizontal="center" vertical="center"/>
    </xf>
    <xf numFmtId="0" fontId="93" fillId="29" borderId="109" xfId="69" applyFill="1" applyBorder="1" applyAlignment="1">
      <alignment horizontal="justify" wrapText="1"/>
    </xf>
    <xf numFmtId="0" fontId="93" fillId="29" borderId="109" xfId="69" applyFill="1" applyBorder="1" applyAlignment="1">
      <alignment horizontal="center"/>
    </xf>
    <xf numFmtId="166" fontId="93" fillId="29" borderId="109" xfId="1" applyFill="1" applyBorder="1" applyAlignment="1" applyProtection="1">
      <alignment horizontal="center" vertical="center"/>
    </xf>
    <xf numFmtId="0" fontId="42" fillId="29" borderId="109" xfId="69" applyFont="1" applyFill="1" applyBorder="1" applyAlignment="1">
      <alignment horizontal="center" vertical="center"/>
    </xf>
    <xf numFmtId="0" fontId="27" fillId="29" borderId="109" xfId="69" applyFont="1" applyFill="1" applyBorder="1" applyAlignment="1">
      <alignment horizontal="center" vertical="center"/>
    </xf>
    <xf numFmtId="0" fontId="27" fillId="29" borderId="109" xfId="69" applyFont="1" applyFill="1" applyBorder="1" applyAlignment="1">
      <alignment horizontal="center"/>
    </xf>
    <xf numFmtId="166" fontId="27" fillId="29" borderId="109" xfId="1" applyFont="1" applyFill="1" applyBorder="1" applyAlignment="1" applyProtection="1">
      <alignment horizontal="center"/>
    </xf>
    <xf numFmtId="4" fontId="27" fillId="29" borderId="0" xfId="69" applyNumberFormat="1" applyFont="1" applyFill="1"/>
    <xf numFmtId="0" fontId="0" fillId="29" borderId="109" xfId="0" applyFill="1" applyBorder="1" applyAlignment="1">
      <alignment horizontal="center"/>
    </xf>
    <xf numFmtId="0" fontId="34" fillId="0" borderId="109" xfId="0" applyFont="1" applyBorder="1" applyAlignment="1">
      <alignment horizontal="justify" vertical="center"/>
    </xf>
    <xf numFmtId="0" fontId="76" fillId="29" borderId="109" xfId="0" applyFont="1" applyFill="1" applyBorder="1" applyAlignment="1">
      <alignment wrapText="1"/>
    </xf>
    <xf numFmtId="166" fontId="76" fillId="29" borderId="109" xfId="1" applyFont="1" applyFill="1" applyBorder="1" applyAlignment="1" applyProtection="1">
      <alignment horizontal="center" vertical="center"/>
    </xf>
    <xf numFmtId="0" fontId="76" fillId="29" borderId="109" xfId="0" applyFont="1" applyFill="1" applyBorder="1"/>
    <xf numFmtId="0" fontId="76" fillId="29" borderId="109" xfId="0" applyFont="1" applyFill="1" applyBorder="1" applyAlignment="1">
      <alignment horizontal="center"/>
    </xf>
    <xf numFmtId="0" fontId="0" fillId="29" borderId="109" xfId="0" applyFill="1" applyBorder="1"/>
    <xf numFmtId="178" fontId="0" fillId="29" borderId="109" xfId="85" applyNumberFormat="1" applyFont="1" applyFill="1" applyBorder="1" applyAlignment="1">
      <alignment horizontal="center" wrapText="1"/>
    </xf>
    <xf numFmtId="0" fontId="76" fillId="29" borderId="109" xfId="0" applyFont="1" applyFill="1" applyBorder="1" applyAlignment="1">
      <alignment horizontal="center" vertical="center"/>
    </xf>
    <xf numFmtId="0" fontId="76" fillId="0" borderId="109" xfId="0" applyFont="1" applyBorder="1" applyAlignment="1">
      <alignment wrapText="1"/>
    </xf>
    <xf numFmtId="0" fontId="0" fillId="0" borderId="112" xfId="0" applyBorder="1" applyAlignment="1">
      <alignment horizontal="left" vertical="center"/>
    </xf>
    <xf numFmtId="0" fontId="0" fillId="0" borderId="112" xfId="0" applyBorder="1" applyAlignment="1">
      <alignment horizontal="justify" vertical="center"/>
    </xf>
    <xf numFmtId="0" fontId="42" fillId="0" borderId="112" xfId="0" applyFont="1" applyBorder="1" applyAlignment="1">
      <alignment horizontal="center"/>
    </xf>
    <xf numFmtId="0" fontId="0" fillId="0" borderId="112" xfId="0" applyBorder="1" applyAlignment="1">
      <alignment horizontal="center"/>
    </xf>
    <xf numFmtId="4" fontId="15" fillId="0" borderId="112" xfId="85" applyNumberFormat="1" applyFont="1" applyBorder="1" applyAlignment="1">
      <alignment wrapText="1"/>
    </xf>
    <xf numFmtId="4" fontId="28" fillId="0" borderId="9" xfId="1" applyNumberFormat="1" applyFont="1" applyBorder="1" applyAlignment="1" applyProtection="1">
      <alignment horizontal="right" vertical="center"/>
    </xf>
    <xf numFmtId="4" fontId="42" fillId="0" borderId="0" xfId="0" applyNumberFormat="1" applyFont="1" applyAlignment="1">
      <alignment horizontal="center"/>
    </xf>
    <xf numFmtId="166" fontId="42" fillId="0" borderId="0" xfId="0" applyNumberFormat="1" applyFont="1" applyAlignment="1">
      <alignment horizontal="center"/>
    </xf>
    <xf numFmtId="171" fontId="42" fillId="0" borderId="0" xfId="0" applyNumberFormat="1" applyFont="1" applyAlignment="1">
      <alignment horizontal="center"/>
    </xf>
    <xf numFmtId="0" fontId="28" fillId="0" borderId="0" xfId="0" applyFont="1" applyAlignment="1">
      <alignment horizontal="right"/>
    </xf>
    <xf numFmtId="4" fontId="28" fillId="0" borderId="0" xfId="0" applyNumberFormat="1" applyFont="1" applyAlignment="1">
      <alignment horizontal="center"/>
    </xf>
    <xf numFmtId="1" fontId="24" fillId="33" borderId="10" xfId="0" applyNumberFormat="1" applyFont="1" applyFill="1" applyBorder="1" applyAlignment="1">
      <alignment horizontal="center" vertical="center"/>
    </xf>
    <xf numFmtId="1" fontId="20" fillId="33" borderId="11" xfId="0" applyNumberFormat="1" applyFont="1" applyFill="1" applyBorder="1" applyAlignment="1">
      <alignment vertical="center"/>
    </xf>
    <xf numFmtId="1" fontId="20" fillId="33" borderId="11" xfId="0" applyNumberFormat="1" applyFont="1" applyFill="1" applyBorder="1" applyAlignment="1">
      <alignment horizontal="center" vertical="center"/>
    </xf>
    <xf numFmtId="0" fontId="24" fillId="33" borderId="11" xfId="0" applyFont="1" applyFill="1" applyBorder="1" applyAlignment="1">
      <alignment horizontal="justify" vertical="center"/>
    </xf>
    <xf numFmtId="0" fontId="20" fillId="33" borderId="11" xfId="0" applyFont="1" applyFill="1" applyBorder="1" applyAlignment="1">
      <alignment horizontal="center" vertical="center"/>
    </xf>
    <xf numFmtId="2" fontId="20" fillId="33" borderId="11" xfId="2" applyNumberFormat="1" applyFont="1" applyFill="1" applyBorder="1" applyAlignment="1" applyProtection="1">
      <alignment horizontal="center" vertical="center"/>
    </xf>
    <xf numFmtId="173" fontId="20" fillId="33" borderId="11" xfId="2" applyFont="1" applyFill="1" applyBorder="1" applyAlignment="1" applyProtection="1">
      <alignment horizontal="center" vertical="center"/>
    </xf>
    <xf numFmtId="173" fontId="20" fillId="33" borderId="16" xfId="2" applyFont="1" applyFill="1" applyBorder="1" applyAlignment="1" applyProtection="1">
      <alignment horizontal="center" vertical="center"/>
    </xf>
    <xf numFmtId="173" fontId="20" fillId="29" borderId="0" xfId="0" applyNumberFormat="1" applyFont="1" applyFill="1" applyAlignment="1">
      <alignment horizontal="center" vertical="center"/>
    </xf>
    <xf numFmtId="177" fontId="20" fillId="0" borderId="9" xfId="0" applyNumberFormat="1" applyFont="1" applyBorder="1" applyAlignment="1">
      <alignment horizontal="center" vertical="center"/>
    </xf>
    <xf numFmtId="1" fontId="20" fillId="0" borderId="9" xfId="0" applyNumberFormat="1" applyFont="1" applyBorder="1" applyAlignment="1">
      <alignment horizontal="center" vertical="center"/>
    </xf>
    <xf numFmtId="0" fontId="20" fillId="0" borderId="9" xfId="0" applyFont="1" applyBorder="1" applyAlignment="1">
      <alignment horizontal="justify" vertical="center"/>
    </xf>
    <xf numFmtId="2" fontId="20" fillId="0" borderId="9" xfId="2" applyNumberFormat="1" applyFont="1" applyBorder="1" applyAlignment="1" applyProtection="1">
      <alignment horizontal="center" vertical="center"/>
    </xf>
    <xf numFmtId="2" fontId="20" fillId="28" borderId="9" xfId="2" applyNumberFormat="1" applyFont="1" applyFill="1" applyBorder="1" applyAlignment="1" applyProtection="1">
      <alignment horizontal="center" vertical="center"/>
    </xf>
    <xf numFmtId="166" fontId="93" fillId="0" borderId="9" xfId="1" applyBorder="1" applyAlignment="1" applyProtection="1">
      <alignment horizontal="center" vertical="center"/>
    </xf>
    <xf numFmtId="166" fontId="93" fillId="28" borderId="9" xfId="1" applyFill="1" applyBorder="1" applyAlignment="1" applyProtection="1">
      <alignment horizontal="center" vertical="center"/>
    </xf>
    <xf numFmtId="0" fontId="20" fillId="0" borderId="0" xfId="0" applyFont="1" applyAlignment="1">
      <alignment horizontal="center" vertical="center"/>
    </xf>
    <xf numFmtId="0" fontId="39" fillId="24" borderId="0" xfId="0" applyFont="1" applyFill="1" applyAlignment="1">
      <alignment horizontal="center" vertical="center"/>
    </xf>
    <xf numFmtId="172" fontId="0" fillId="24" borderId="73" xfId="0" applyNumberFormat="1" applyFill="1" applyBorder="1" applyAlignment="1">
      <alignment horizontal="center" vertical="center"/>
    </xf>
    <xf numFmtId="173" fontId="93" fillId="24" borderId="73" xfId="2" applyFill="1" applyBorder="1" applyAlignment="1" applyProtection="1">
      <alignment horizontal="center" vertical="center"/>
    </xf>
    <xf numFmtId="172" fontId="0" fillId="24" borderId="77" xfId="0" applyNumberFormat="1" applyFill="1" applyBorder="1" applyAlignment="1">
      <alignment horizontal="center" vertical="center"/>
    </xf>
    <xf numFmtId="173" fontId="93" fillId="24" borderId="77" xfId="2" applyFill="1" applyBorder="1" applyAlignment="1" applyProtection="1">
      <alignment horizontal="center" vertical="center"/>
    </xf>
    <xf numFmtId="172" fontId="28" fillId="24" borderId="81" xfId="0" applyNumberFormat="1" applyFont="1" applyFill="1" applyBorder="1" applyAlignment="1">
      <alignment vertical="center"/>
    </xf>
    <xf numFmtId="173" fontId="93" fillId="24" borderId="81" xfId="2" applyFill="1" applyBorder="1" applyAlignment="1" applyProtection="1">
      <alignment horizontal="center" vertical="center"/>
    </xf>
    <xf numFmtId="0" fontId="0" fillId="24" borderId="78" xfId="0" applyFill="1" applyBorder="1"/>
    <xf numFmtId="173" fontId="93" fillId="24" borderId="78" xfId="2" applyFill="1" applyBorder="1" applyAlignment="1" applyProtection="1">
      <alignment horizontal="center" vertical="center"/>
    </xf>
    <xf numFmtId="0" fontId="28" fillId="24" borderId="12" xfId="0" applyFont="1" applyFill="1" applyBorder="1" applyAlignment="1">
      <alignment horizontal="left" vertical="center" wrapText="1"/>
    </xf>
    <xf numFmtId="4" fontId="27" fillId="24" borderId="77" xfId="0" applyNumberFormat="1" applyFont="1" applyFill="1" applyBorder="1" applyAlignment="1">
      <alignment horizontal="left" vertical="top"/>
    </xf>
    <xf numFmtId="0" fontId="28" fillId="24" borderId="81" xfId="0" applyFont="1" applyFill="1" applyBorder="1" applyAlignment="1">
      <alignment vertical="center" wrapText="1"/>
    </xf>
    <xf numFmtId="4" fontId="27" fillId="24" borderId="81" xfId="0" applyNumberFormat="1" applyFont="1" applyFill="1" applyBorder="1" applyAlignment="1">
      <alignment horizontal="left" vertical="center"/>
    </xf>
    <xf numFmtId="0" fontId="28" fillId="24" borderId="0" xfId="0" applyFont="1" applyFill="1" applyAlignment="1">
      <alignment horizontal="center" vertical="center" wrapText="1"/>
    </xf>
    <xf numFmtId="182" fontId="28" fillId="24" borderId="77" xfId="0" applyNumberFormat="1" applyFont="1" applyFill="1" applyBorder="1" applyAlignment="1">
      <alignment horizontal="center" vertical="center" wrapText="1"/>
    </xf>
    <xf numFmtId="173" fontId="93" fillId="24" borderId="77" xfId="2" applyFill="1" applyBorder="1" applyAlignment="1" applyProtection="1">
      <alignment horizontal="center" vertical="center" wrapText="1"/>
    </xf>
    <xf numFmtId="172" fontId="0" fillId="24" borderId="81" xfId="0" applyNumberFormat="1" applyFill="1" applyBorder="1" applyAlignment="1">
      <alignment horizontal="center" vertical="center"/>
    </xf>
    <xf numFmtId="173" fontId="93" fillId="24" borderId="81" xfId="2" applyFill="1" applyBorder="1" applyAlignment="1" applyProtection="1">
      <alignment horizontal="center" vertical="center" wrapText="1"/>
    </xf>
    <xf numFmtId="172" fontId="0" fillId="24" borderId="86" xfId="0" applyNumberFormat="1" applyFill="1" applyBorder="1" applyAlignment="1">
      <alignment horizontal="center" vertical="center"/>
    </xf>
    <xf numFmtId="173" fontId="93" fillId="24" borderId="86" xfId="2" applyFill="1" applyBorder="1" applyAlignment="1" applyProtection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4" fontId="24" fillId="25" borderId="0" xfId="0" applyNumberFormat="1" applyFont="1" applyFill="1" applyAlignment="1">
      <alignment horizontal="center" vertical="center" wrapText="1"/>
    </xf>
    <xf numFmtId="1" fontId="24" fillId="33" borderId="18" xfId="0" applyNumberFormat="1" applyFont="1" applyFill="1" applyBorder="1" applyAlignment="1">
      <alignment horizontal="center" vertical="center"/>
    </xf>
    <xf numFmtId="1" fontId="20" fillId="33" borderId="18" xfId="0" applyNumberFormat="1" applyFont="1" applyFill="1" applyBorder="1" applyAlignment="1">
      <alignment vertical="center"/>
    </xf>
    <xf numFmtId="1" fontId="20" fillId="33" borderId="18" xfId="0" applyNumberFormat="1" applyFont="1" applyFill="1" applyBorder="1" applyAlignment="1">
      <alignment horizontal="center" vertical="center"/>
    </xf>
    <xf numFmtId="0" fontId="24" fillId="33" borderId="9" xfId="0" applyFont="1" applyFill="1" applyBorder="1" applyAlignment="1">
      <alignment horizontal="justify" vertical="center"/>
    </xf>
    <xf numFmtId="0" fontId="20" fillId="33" borderId="9" xfId="0" applyFont="1" applyFill="1" applyBorder="1" applyAlignment="1">
      <alignment horizontal="center" vertical="center"/>
    </xf>
    <xf numFmtId="2" fontId="20" fillId="33" borderId="9" xfId="2" applyNumberFormat="1" applyFont="1" applyFill="1" applyBorder="1" applyAlignment="1" applyProtection="1">
      <alignment horizontal="center" vertical="center"/>
    </xf>
    <xf numFmtId="173" fontId="20" fillId="33" borderId="9" xfId="2" applyFont="1" applyFill="1" applyBorder="1" applyAlignment="1" applyProtection="1">
      <alignment horizontal="center" vertical="center"/>
    </xf>
    <xf numFmtId="0" fontId="20" fillId="33" borderId="10" xfId="0" applyFont="1" applyFill="1" applyBorder="1" applyAlignment="1">
      <alignment horizontal="left" vertical="center"/>
    </xf>
    <xf numFmtId="173" fontId="24" fillId="33" borderId="9" xfId="2" applyFont="1" applyFill="1" applyBorder="1" applyAlignment="1" applyProtection="1">
      <alignment horizontal="right" vertical="center"/>
    </xf>
    <xf numFmtId="173" fontId="24" fillId="33" borderId="0" xfId="2" applyFont="1" applyFill="1" applyBorder="1" applyAlignment="1" applyProtection="1">
      <alignment horizontal="right" vertical="center"/>
    </xf>
    <xf numFmtId="10" fontId="93" fillId="29" borderId="0" xfId="3" applyNumberFormat="1" applyFill="1" applyBorder="1" applyAlignment="1" applyProtection="1">
      <alignment vertical="center"/>
    </xf>
    <xf numFmtId="0" fontId="43" fillId="0" borderId="0" xfId="0" applyFont="1" applyAlignment="1">
      <alignment vertical="center"/>
    </xf>
    <xf numFmtId="1" fontId="24" fillId="34" borderId="9" xfId="0" applyNumberFormat="1" applyFont="1" applyFill="1" applyBorder="1" applyAlignment="1">
      <alignment horizontal="center" vertical="center"/>
    </xf>
    <xf numFmtId="1" fontId="20" fillId="34" borderId="9" xfId="0" applyNumberFormat="1" applyFont="1" applyFill="1" applyBorder="1" applyAlignment="1">
      <alignment horizontal="center" vertical="center"/>
    </xf>
    <xf numFmtId="0" fontId="24" fillId="34" borderId="16" xfId="0" applyFont="1" applyFill="1" applyBorder="1" applyAlignment="1">
      <alignment horizontal="justify" vertical="center"/>
    </xf>
    <xf numFmtId="0" fontId="20" fillId="34" borderId="9" xfId="0" applyFont="1" applyFill="1" applyBorder="1" applyAlignment="1">
      <alignment horizontal="center" vertical="center"/>
    </xf>
    <xf numFmtId="2" fontId="20" fillId="34" borderId="9" xfId="2" applyNumberFormat="1" applyFont="1" applyFill="1" applyBorder="1" applyAlignment="1" applyProtection="1">
      <alignment horizontal="center" vertical="center"/>
    </xf>
    <xf numFmtId="173" fontId="20" fillId="34" borderId="9" xfId="2" applyFont="1" applyFill="1" applyBorder="1" applyAlignment="1" applyProtection="1">
      <alignment horizontal="center" vertical="center"/>
    </xf>
    <xf numFmtId="173" fontId="24" fillId="34" borderId="9" xfId="2" applyFont="1" applyFill="1" applyBorder="1" applyAlignment="1" applyProtection="1">
      <alignment horizontal="center" vertical="center"/>
    </xf>
    <xf numFmtId="173" fontId="24" fillId="34" borderId="0" xfId="2" applyFont="1" applyFill="1" applyBorder="1" applyAlignment="1" applyProtection="1">
      <alignment horizontal="center" vertical="center"/>
    </xf>
    <xf numFmtId="0" fontId="31" fillId="24" borderId="9" xfId="62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justify" vertical="center"/>
    </xf>
    <xf numFmtId="173" fontId="20" fillId="0" borderId="9" xfId="2" applyFont="1" applyBorder="1" applyAlignment="1" applyProtection="1">
      <alignment horizontal="center" vertical="center"/>
    </xf>
    <xf numFmtId="9" fontId="20" fillId="0" borderId="10" xfId="3" applyFont="1" applyBorder="1" applyAlignment="1" applyProtection="1">
      <alignment horizontal="right" vertical="center"/>
    </xf>
    <xf numFmtId="173" fontId="20" fillId="24" borderId="9" xfId="2" applyFont="1" applyFill="1" applyBorder="1" applyAlignment="1" applyProtection="1">
      <alignment horizontal="right" vertical="center"/>
    </xf>
    <xf numFmtId="173" fontId="20" fillId="24" borderId="0" xfId="2" applyFont="1" applyFill="1" applyBorder="1" applyAlignment="1" applyProtection="1">
      <alignment horizontal="right" vertical="center"/>
    </xf>
    <xf numFmtId="2" fontId="24" fillId="0" borderId="9" xfId="2" applyNumberFormat="1" applyFont="1" applyBorder="1" applyAlignment="1" applyProtection="1">
      <alignment horizontal="center" vertical="center"/>
    </xf>
    <xf numFmtId="173" fontId="24" fillId="0" borderId="9" xfId="2" applyFont="1" applyBorder="1" applyAlignment="1" applyProtection="1">
      <alignment horizontal="center" vertical="center"/>
    </xf>
    <xf numFmtId="173" fontId="24" fillId="24" borderId="0" xfId="2" applyFont="1" applyFill="1" applyBorder="1" applyAlignment="1" applyProtection="1">
      <alignment horizontal="right" vertical="center"/>
    </xf>
    <xf numFmtId="176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178" fontId="31" fillId="0" borderId="9" xfId="85" applyNumberFormat="1" applyFont="1" applyBorder="1" applyAlignment="1">
      <alignment horizontal="center" vertical="center" wrapText="1"/>
    </xf>
    <xf numFmtId="194" fontId="93" fillId="29" borderId="0" xfId="3" applyNumberFormat="1" applyFill="1" applyBorder="1" applyAlignment="1" applyProtection="1">
      <alignment horizontal="center" vertical="center"/>
    </xf>
    <xf numFmtId="2" fontId="20" fillId="34" borderId="10" xfId="2" applyNumberFormat="1" applyFont="1" applyFill="1" applyBorder="1" applyAlignment="1" applyProtection="1">
      <alignment horizontal="center" vertical="center"/>
    </xf>
    <xf numFmtId="177" fontId="20" fillId="0" borderId="9" xfId="0" applyNumberFormat="1" applyFont="1" applyBorder="1" applyAlignment="1">
      <alignment horizontal="center" vertical="center" wrapText="1"/>
    </xf>
    <xf numFmtId="1" fontId="24" fillId="33" borderId="9" xfId="0" applyNumberFormat="1" applyFont="1" applyFill="1" applyBorder="1" applyAlignment="1">
      <alignment horizontal="center" vertical="center"/>
    </xf>
    <xf numFmtId="1" fontId="20" fillId="33" borderId="9" xfId="0" applyNumberFormat="1" applyFont="1" applyFill="1" applyBorder="1" applyAlignment="1">
      <alignment horizontal="center" vertical="center"/>
    </xf>
    <xf numFmtId="0" fontId="24" fillId="33" borderId="16" xfId="0" applyFont="1" applyFill="1" applyBorder="1" applyAlignment="1">
      <alignment horizontal="justify" vertical="center"/>
    </xf>
    <xf numFmtId="0" fontId="31" fillId="0" borderId="9" xfId="85" applyFont="1" applyBorder="1" applyAlignment="1">
      <alignment horizontal="center" vertical="center" wrapText="1"/>
    </xf>
    <xf numFmtId="0" fontId="24" fillId="0" borderId="16" xfId="0" applyFont="1" applyBorder="1" applyAlignment="1">
      <alignment horizontal="justify" vertical="center"/>
    </xf>
    <xf numFmtId="0" fontId="56" fillId="0" borderId="9" xfId="0" applyFont="1" applyBorder="1" applyAlignment="1">
      <alignment horizontal="left" vertical="center" wrapText="1"/>
    </xf>
    <xf numFmtId="177" fontId="20" fillId="0" borderId="16" xfId="0" applyNumberFormat="1" applyFont="1" applyBorder="1" applyAlignment="1">
      <alignment horizontal="center" vertical="center"/>
    </xf>
    <xf numFmtId="173" fontId="24" fillId="33" borderId="9" xfId="2" applyFont="1" applyFill="1" applyBorder="1" applyAlignment="1" applyProtection="1">
      <alignment horizontal="center" vertical="center"/>
    </xf>
    <xf numFmtId="177" fontId="20" fillId="24" borderId="9" xfId="0" applyNumberFormat="1" applyFont="1" applyFill="1" applyBorder="1" applyAlignment="1">
      <alignment horizontal="center" vertical="center"/>
    </xf>
    <xf numFmtId="0" fontId="20" fillId="24" borderId="16" xfId="0" applyFont="1" applyFill="1" applyBorder="1" applyAlignment="1">
      <alignment horizontal="justify" vertical="center"/>
    </xf>
    <xf numFmtId="0" fontId="20" fillId="24" borderId="9" xfId="0" applyFont="1" applyFill="1" applyBorder="1" applyAlignment="1">
      <alignment horizontal="center" vertical="center"/>
    </xf>
    <xf numFmtId="2" fontId="20" fillId="24" borderId="9" xfId="2" applyNumberFormat="1" applyFont="1" applyFill="1" applyBorder="1" applyAlignment="1" applyProtection="1">
      <alignment horizontal="center" vertical="center"/>
    </xf>
    <xf numFmtId="49" fontId="20" fillId="0" borderId="9" xfId="85" applyNumberFormat="1" applyFont="1" applyBorder="1" applyAlignment="1">
      <alignment horizontal="center" vertical="center" wrapText="1"/>
    </xf>
    <xf numFmtId="2" fontId="24" fillId="24" borderId="9" xfId="2" applyNumberFormat="1" applyFont="1" applyFill="1" applyBorder="1" applyAlignment="1" applyProtection="1">
      <alignment horizontal="center" vertical="center"/>
    </xf>
    <xf numFmtId="178" fontId="20" fillId="0" borderId="9" xfId="85" applyNumberFormat="1" applyFont="1" applyBorder="1" applyAlignment="1">
      <alignment horizontal="center" vertical="center" wrapText="1"/>
    </xf>
    <xf numFmtId="0" fontId="56" fillId="0" borderId="9" xfId="0" applyFont="1" applyBorder="1" applyAlignment="1">
      <alignment horizontal="center" vertical="center" wrapText="1"/>
    </xf>
    <xf numFmtId="0" fontId="77" fillId="0" borderId="9" xfId="0" applyFont="1" applyBorder="1" applyAlignment="1">
      <alignment horizontal="center" vertical="center"/>
    </xf>
    <xf numFmtId="177" fontId="33" fillId="0" borderId="9" xfId="0" applyNumberFormat="1" applyFont="1" applyBorder="1" applyAlignment="1">
      <alignment horizontal="center" vertical="center"/>
    </xf>
    <xf numFmtId="178" fontId="33" fillId="0" borderId="9" xfId="85" applyNumberFormat="1" applyFont="1" applyBorder="1" applyAlignment="1">
      <alignment horizontal="center" vertical="center" wrapText="1"/>
    </xf>
    <xf numFmtId="0" fontId="33" fillId="0" borderId="16" xfId="0" applyFont="1" applyBorder="1" applyAlignment="1">
      <alignment horizontal="justify" vertical="center"/>
    </xf>
    <xf numFmtId="0" fontId="33" fillId="0" borderId="9" xfId="0" applyFont="1" applyBorder="1" applyAlignment="1">
      <alignment horizontal="center" vertical="center"/>
    </xf>
    <xf numFmtId="2" fontId="33" fillId="0" borderId="9" xfId="2" applyNumberFormat="1" applyFont="1" applyBorder="1" applyAlignment="1" applyProtection="1">
      <alignment horizontal="center" vertical="center"/>
    </xf>
    <xf numFmtId="173" fontId="33" fillId="0" borderId="9" xfId="2" applyFont="1" applyBorder="1" applyAlignment="1" applyProtection="1">
      <alignment horizontal="center" vertical="center"/>
    </xf>
    <xf numFmtId="9" fontId="33" fillId="0" borderId="10" xfId="3" applyFont="1" applyBorder="1" applyAlignment="1" applyProtection="1">
      <alignment horizontal="right" vertical="center"/>
    </xf>
    <xf numFmtId="173" fontId="33" fillId="24" borderId="9" xfId="2" applyFont="1" applyFill="1" applyBorder="1" applyAlignment="1" applyProtection="1">
      <alignment horizontal="right" vertical="center"/>
    </xf>
    <xf numFmtId="1" fontId="33" fillId="0" borderId="9" xfId="0" applyNumberFormat="1" applyFont="1" applyBorder="1" applyAlignment="1">
      <alignment horizontal="center" vertical="center"/>
    </xf>
    <xf numFmtId="1" fontId="33" fillId="33" borderId="9" xfId="0" applyNumberFormat="1" applyFont="1" applyFill="1" applyBorder="1" applyAlignment="1">
      <alignment horizontal="center" vertical="center"/>
    </xf>
    <xf numFmtId="0" fontId="33" fillId="33" borderId="9" xfId="0" applyFont="1" applyFill="1" applyBorder="1" applyAlignment="1">
      <alignment horizontal="center" vertical="center"/>
    </xf>
    <xf numFmtId="2" fontId="33" fillId="33" borderId="9" xfId="2" applyNumberFormat="1" applyFont="1" applyFill="1" applyBorder="1" applyAlignment="1" applyProtection="1">
      <alignment horizontal="center" vertical="center"/>
    </xf>
    <xf numFmtId="173" fontId="33" fillId="33" borderId="9" xfId="2" applyFont="1" applyFill="1" applyBorder="1" applyAlignment="1" applyProtection="1">
      <alignment horizontal="center" vertical="center"/>
    </xf>
    <xf numFmtId="0" fontId="20" fillId="24" borderId="9" xfId="62" applyFont="1" applyFill="1" applyBorder="1" applyAlignment="1">
      <alignment horizontal="center" vertical="center" wrapText="1"/>
    </xf>
    <xf numFmtId="173" fontId="33" fillId="24" borderId="9" xfId="2" applyFont="1" applyFill="1" applyBorder="1" applyAlignment="1" applyProtection="1">
      <alignment horizontal="center" vertical="center"/>
    </xf>
    <xf numFmtId="0" fontId="20" fillId="0" borderId="13" xfId="0" applyFont="1" applyBorder="1" applyAlignment="1">
      <alignment horizontal="justify" vertical="center"/>
    </xf>
    <xf numFmtId="177" fontId="33" fillId="0" borderId="17" xfId="0" applyNumberFormat="1" applyFont="1" applyBorder="1" applyAlignment="1">
      <alignment horizontal="center" vertical="center"/>
    </xf>
    <xf numFmtId="0" fontId="77" fillId="0" borderId="0" xfId="0" applyFont="1" applyAlignment="1">
      <alignment horizontal="left"/>
    </xf>
    <xf numFmtId="0" fontId="20" fillId="0" borderId="16" xfId="0" applyFont="1" applyBorder="1" applyAlignment="1">
      <alignment horizontal="center" vertical="center"/>
    </xf>
    <xf numFmtId="0" fontId="24" fillId="33" borderId="68" xfId="0" applyFont="1" applyFill="1" applyBorder="1" applyAlignment="1">
      <alignment horizontal="justify" vertical="center"/>
    </xf>
    <xf numFmtId="0" fontId="16" fillId="24" borderId="9" xfId="62" applyFont="1" applyFill="1" applyBorder="1" applyAlignment="1">
      <alignment horizontal="left" vertical="top" wrapText="1"/>
    </xf>
    <xf numFmtId="1" fontId="24" fillId="35" borderId="9" xfId="0" applyNumberFormat="1" applyFont="1" applyFill="1" applyBorder="1" applyAlignment="1">
      <alignment horizontal="center" vertical="center"/>
    </xf>
    <xf numFmtId="1" fontId="20" fillId="35" borderId="9" xfId="0" applyNumberFormat="1" applyFont="1" applyFill="1" applyBorder="1" applyAlignment="1">
      <alignment horizontal="center" vertical="center"/>
    </xf>
    <xf numFmtId="0" fontId="24" fillId="35" borderId="16" xfId="0" applyFont="1" applyFill="1" applyBorder="1" applyAlignment="1">
      <alignment horizontal="justify" vertical="center"/>
    </xf>
    <xf numFmtId="0" fontId="20" fillId="35" borderId="9" xfId="0" applyFont="1" applyFill="1" applyBorder="1" applyAlignment="1">
      <alignment horizontal="center" vertical="center"/>
    </xf>
    <xf numFmtId="2" fontId="20" fillId="35" borderId="9" xfId="2" applyNumberFormat="1" applyFont="1" applyFill="1" applyBorder="1" applyAlignment="1" applyProtection="1">
      <alignment horizontal="center" vertical="center"/>
    </xf>
    <xf numFmtId="173" fontId="20" fillId="35" borderId="9" xfId="2" applyFont="1" applyFill="1" applyBorder="1" applyAlignment="1" applyProtection="1">
      <alignment horizontal="center" vertical="center"/>
    </xf>
    <xf numFmtId="1" fontId="20" fillId="35" borderId="18" xfId="0" applyNumberFormat="1" applyFont="1" applyFill="1" applyBorder="1" applyAlignment="1">
      <alignment horizontal="center" vertical="center"/>
    </xf>
    <xf numFmtId="1" fontId="33" fillId="35" borderId="9" xfId="0" applyNumberFormat="1" applyFont="1" applyFill="1" applyBorder="1" applyAlignment="1">
      <alignment horizontal="center" vertical="center"/>
    </xf>
    <xf numFmtId="49" fontId="20" fillId="0" borderId="9" xfId="0" applyNumberFormat="1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2" fontId="20" fillId="0" borderId="18" xfId="2" applyNumberFormat="1" applyFont="1" applyBorder="1" applyAlignment="1" applyProtection="1">
      <alignment horizontal="center" vertical="center"/>
    </xf>
    <xf numFmtId="173" fontId="20" fillId="0" borderId="18" xfId="2" applyFont="1" applyBorder="1" applyAlignment="1" applyProtection="1">
      <alignment horizontal="center" vertical="center"/>
    </xf>
    <xf numFmtId="0" fontId="33" fillId="0" borderId="18" xfId="0" applyFont="1" applyBorder="1" applyAlignment="1">
      <alignment horizontal="center" vertical="center"/>
    </xf>
    <xf numFmtId="2" fontId="33" fillId="0" borderId="18" xfId="2" applyNumberFormat="1" applyFont="1" applyBorder="1" applyAlignment="1" applyProtection="1">
      <alignment horizontal="center" vertical="center"/>
    </xf>
    <xf numFmtId="173" fontId="33" fillId="0" borderId="18" xfId="2" applyFont="1" applyBorder="1" applyAlignment="1" applyProtection="1">
      <alignment horizontal="center" vertical="center"/>
    </xf>
    <xf numFmtId="9" fontId="33" fillId="0" borderId="44" xfId="3" applyFont="1" applyBorder="1" applyAlignment="1" applyProtection="1">
      <alignment horizontal="right" vertical="center"/>
    </xf>
    <xf numFmtId="49" fontId="20" fillId="0" borderId="18" xfId="0" applyNumberFormat="1" applyFont="1" applyBorder="1" applyAlignment="1">
      <alignment horizontal="center" vertical="center"/>
    </xf>
    <xf numFmtId="9" fontId="20" fillId="0" borderId="44" xfId="3" applyFont="1" applyBorder="1" applyAlignment="1" applyProtection="1">
      <alignment horizontal="right" vertical="center"/>
    </xf>
    <xf numFmtId="177" fontId="33" fillId="0" borderId="48" xfId="0" applyNumberFormat="1" applyFont="1" applyBorder="1" applyAlignment="1">
      <alignment horizontal="center" vertical="center"/>
    </xf>
    <xf numFmtId="177" fontId="20" fillId="0" borderId="0" xfId="0" applyNumberFormat="1" applyFont="1" applyAlignment="1">
      <alignment horizontal="center" vertical="center"/>
    </xf>
    <xf numFmtId="49" fontId="20" fillId="0" borderId="0" xfId="0" applyNumberFormat="1" applyFont="1" applyAlignment="1">
      <alignment horizontal="center" vertical="center"/>
    </xf>
    <xf numFmtId="173" fontId="20" fillId="0" borderId="10" xfId="2" applyFont="1" applyBorder="1" applyAlignment="1" applyProtection="1">
      <alignment horizontal="center" vertical="center"/>
    </xf>
    <xf numFmtId="9" fontId="20" fillId="0" borderId="11" xfId="3" applyFont="1" applyBorder="1" applyAlignment="1" applyProtection="1">
      <alignment horizontal="right" vertical="center"/>
    </xf>
    <xf numFmtId="177" fontId="20" fillId="23" borderId="9" xfId="0" applyNumberFormat="1" applyFont="1" applyFill="1" applyBorder="1" applyAlignment="1">
      <alignment horizontal="center" vertical="center"/>
    </xf>
    <xf numFmtId="1" fontId="20" fillId="23" borderId="9" xfId="0" applyNumberFormat="1" applyFont="1" applyFill="1" applyBorder="1" applyAlignment="1">
      <alignment horizontal="center" vertical="center"/>
    </xf>
    <xf numFmtId="0" fontId="20" fillId="23" borderId="9" xfId="0" applyFont="1" applyFill="1" applyBorder="1" applyAlignment="1">
      <alignment horizontal="justify" vertical="center"/>
    </xf>
    <xf numFmtId="0" fontId="20" fillId="23" borderId="9" xfId="0" applyFont="1" applyFill="1" applyBorder="1" applyAlignment="1">
      <alignment horizontal="center" vertical="center"/>
    </xf>
    <xf numFmtId="2" fontId="20" fillId="23" borderId="9" xfId="2" applyNumberFormat="1" applyFont="1" applyFill="1" applyBorder="1" applyAlignment="1" applyProtection="1">
      <alignment horizontal="center" vertical="center"/>
    </xf>
    <xf numFmtId="173" fontId="28" fillId="23" borderId="9" xfId="2" applyFont="1" applyFill="1" applyBorder="1" applyAlignment="1" applyProtection="1">
      <alignment horizontal="right" vertical="center"/>
    </xf>
    <xf numFmtId="173" fontId="20" fillId="24" borderId="0" xfId="0" applyNumberFormat="1" applyFont="1" applyFill="1" applyAlignment="1">
      <alignment horizontal="center" vertical="center"/>
    </xf>
    <xf numFmtId="177" fontId="20" fillId="0" borderId="18" xfId="0" applyNumberFormat="1" applyFont="1" applyBorder="1" applyAlignment="1">
      <alignment horizontal="center" vertical="center"/>
    </xf>
    <xf numFmtId="1" fontId="20" fillId="0" borderId="18" xfId="0" applyNumberFormat="1" applyFont="1" applyBorder="1" applyAlignment="1">
      <alignment horizontal="center" vertical="center"/>
    </xf>
    <xf numFmtId="0" fontId="20" fillId="0" borderId="18" xfId="0" applyFont="1" applyBorder="1" applyAlignment="1">
      <alignment horizontal="justify" vertical="center"/>
    </xf>
    <xf numFmtId="173" fontId="20" fillId="24" borderId="18" xfId="2" applyFont="1" applyFill="1" applyBorder="1" applyAlignment="1" applyProtection="1">
      <alignment horizontal="right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24" borderId="0" xfId="0" applyNumberFormat="1" applyFont="1" applyFill="1" applyAlignment="1">
      <alignment horizontal="center" vertical="center"/>
    </xf>
    <xf numFmtId="2" fontId="39" fillId="24" borderId="0" xfId="0" applyNumberFormat="1" applyFont="1" applyFill="1" applyAlignment="1">
      <alignment horizontal="center" vertical="center"/>
    </xf>
    <xf numFmtId="173" fontId="93" fillId="24" borderId="74" xfId="2" applyFill="1" applyBorder="1" applyAlignment="1" applyProtection="1">
      <alignment horizontal="center" vertical="center"/>
    </xf>
    <xf numFmtId="173" fontId="93" fillId="24" borderId="79" xfId="2" applyFill="1" applyBorder="1" applyAlignment="1" applyProtection="1">
      <alignment horizontal="center" vertical="center"/>
    </xf>
    <xf numFmtId="173" fontId="93" fillId="24" borderId="82" xfId="2" applyFill="1" applyBorder="1" applyAlignment="1" applyProtection="1">
      <alignment horizontal="center" vertical="center"/>
    </xf>
    <xf numFmtId="173" fontId="93" fillId="24" borderId="84" xfId="2" applyFill="1" applyBorder="1" applyAlignment="1" applyProtection="1">
      <alignment horizontal="center" vertical="center"/>
    </xf>
    <xf numFmtId="4" fontId="78" fillId="24" borderId="0" xfId="0" applyNumberFormat="1" applyFont="1" applyFill="1" applyAlignment="1">
      <alignment horizontal="left" vertical="top"/>
    </xf>
    <xf numFmtId="4" fontId="78" fillId="24" borderId="77" xfId="0" applyNumberFormat="1" applyFont="1" applyFill="1" applyBorder="1" applyAlignment="1">
      <alignment horizontal="left" vertical="top" wrapText="1"/>
    </xf>
    <xf numFmtId="4" fontId="78" fillId="24" borderId="77" xfId="0" applyNumberFormat="1" applyFont="1" applyFill="1" applyBorder="1" applyAlignment="1">
      <alignment horizontal="left" vertical="top"/>
    </xf>
    <xf numFmtId="4" fontId="78" fillId="24" borderId="81" xfId="0" applyNumberFormat="1" applyFont="1" applyFill="1" applyBorder="1" applyAlignment="1">
      <alignment horizontal="left" vertical="top"/>
    </xf>
    <xf numFmtId="173" fontId="56" fillId="24" borderId="81" xfId="2" applyFont="1" applyFill="1" applyBorder="1" applyAlignment="1" applyProtection="1">
      <alignment horizontal="center" vertical="center"/>
    </xf>
    <xf numFmtId="173" fontId="93" fillId="24" borderId="79" xfId="2" applyFill="1" applyBorder="1" applyAlignment="1" applyProtection="1">
      <alignment horizontal="center" vertical="center" wrapText="1"/>
    </xf>
    <xf numFmtId="173" fontId="93" fillId="24" borderId="82" xfId="2" applyFill="1" applyBorder="1" applyAlignment="1" applyProtection="1">
      <alignment horizontal="center" vertical="center" wrapText="1"/>
    </xf>
    <xf numFmtId="173" fontId="93" fillId="24" borderId="87" xfId="2" applyFill="1" applyBorder="1" applyAlignment="1" applyProtection="1">
      <alignment horizontal="center" vertical="center" wrapText="1"/>
    </xf>
    <xf numFmtId="2" fontId="28" fillId="0" borderId="0" xfId="0" applyNumberFormat="1" applyFont="1" applyAlignment="1">
      <alignment horizontal="center" vertical="center" wrapText="1"/>
    </xf>
    <xf numFmtId="172" fontId="24" fillId="25" borderId="18" xfId="0" applyNumberFormat="1" applyFont="1" applyFill="1" applyBorder="1" applyAlignment="1">
      <alignment horizontal="center" vertical="center" wrapText="1"/>
    </xf>
    <xf numFmtId="172" fontId="24" fillId="25" borderId="136" xfId="0" applyNumberFormat="1" applyFont="1" applyFill="1" applyBorder="1" applyAlignment="1">
      <alignment horizontal="center" vertical="center" wrapText="1"/>
    </xf>
    <xf numFmtId="172" fontId="24" fillId="25" borderId="12" xfId="0" applyNumberFormat="1" applyFont="1" applyFill="1" applyBorder="1" applyAlignment="1">
      <alignment horizontal="center" vertical="center" wrapText="1"/>
    </xf>
    <xf numFmtId="0" fontId="24" fillId="25" borderId="44" xfId="0" applyFont="1" applyFill="1" applyBorder="1" applyAlignment="1">
      <alignment horizontal="center" vertical="center" wrapText="1"/>
    </xf>
    <xf numFmtId="0" fontId="24" fillId="25" borderId="18" xfId="0" applyFont="1" applyFill="1" applyBorder="1" applyAlignment="1">
      <alignment horizontal="center" vertical="center" wrapText="1"/>
    </xf>
    <xf numFmtId="4" fontId="24" fillId="25" borderId="18" xfId="0" applyNumberFormat="1" applyFont="1" applyFill="1" applyBorder="1" applyAlignment="1">
      <alignment horizontal="center" vertical="center" wrapText="1"/>
    </xf>
    <xf numFmtId="173" fontId="28" fillId="25" borderId="18" xfId="2" applyFont="1" applyFill="1" applyBorder="1" applyAlignment="1" applyProtection="1">
      <alignment horizontal="center" vertical="center" wrapText="1"/>
    </xf>
    <xf numFmtId="4" fontId="24" fillId="25" borderId="44" xfId="0" applyNumberFormat="1" applyFont="1" applyFill="1" applyBorder="1" applyAlignment="1">
      <alignment horizontal="center" vertical="center" wrapText="1"/>
    </xf>
    <xf numFmtId="2" fontId="24" fillId="25" borderId="0" xfId="0" applyNumberFormat="1" applyFont="1" applyFill="1" applyAlignment="1">
      <alignment horizontal="center" vertical="center" wrapText="1"/>
    </xf>
    <xf numFmtId="173" fontId="24" fillId="27" borderId="15" xfId="2" applyFont="1" applyFill="1" applyBorder="1" applyAlignment="1" applyProtection="1">
      <alignment horizontal="right" vertical="center"/>
    </xf>
    <xf numFmtId="173" fontId="93" fillId="33" borderId="0" xfId="2" applyFill="1" applyBorder="1" applyAlignment="1" applyProtection="1">
      <alignment horizontal="center" vertical="center"/>
    </xf>
    <xf numFmtId="1" fontId="24" fillId="33" borderId="15" xfId="0" applyNumberFormat="1" applyFont="1" applyFill="1" applyBorder="1" applyAlignment="1">
      <alignment horizontal="center" vertical="center"/>
    </xf>
    <xf numFmtId="1" fontId="20" fillId="33" borderId="15" xfId="0" applyNumberFormat="1" applyFont="1" applyFill="1" applyBorder="1" applyAlignment="1">
      <alignment horizontal="center" vertical="center"/>
    </xf>
    <xf numFmtId="0" fontId="24" fillId="33" borderId="15" xfId="0" applyFont="1" applyFill="1" applyBorder="1" applyAlignment="1">
      <alignment horizontal="justify" vertical="center"/>
    </xf>
    <xf numFmtId="0" fontId="20" fillId="33" borderId="15" xfId="0" applyFont="1" applyFill="1" applyBorder="1" applyAlignment="1">
      <alignment horizontal="center" vertical="center"/>
    </xf>
    <xf numFmtId="2" fontId="20" fillId="33" borderId="15" xfId="2" applyNumberFormat="1" applyFont="1" applyFill="1" applyBorder="1" applyAlignment="1" applyProtection="1">
      <alignment horizontal="center" vertical="center"/>
    </xf>
    <xf numFmtId="173" fontId="20" fillId="33" borderId="15" xfId="2" applyFont="1" applyFill="1" applyBorder="1" applyAlignment="1" applyProtection="1">
      <alignment horizontal="center" vertical="center"/>
    </xf>
    <xf numFmtId="0" fontId="20" fillId="33" borderId="15" xfId="0" applyFont="1" applyFill="1" applyBorder="1" applyAlignment="1">
      <alignment horizontal="left" vertical="center"/>
    </xf>
    <xf numFmtId="173" fontId="24" fillId="33" borderId="15" xfId="2" applyFont="1" applyFill="1" applyBorder="1" applyAlignment="1" applyProtection="1">
      <alignment horizontal="right" vertical="center"/>
    </xf>
    <xf numFmtId="0" fontId="31" fillId="24" borderId="15" xfId="62" applyFont="1" applyFill="1" applyBorder="1" applyAlignment="1">
      <alignment horizontal="center" vertical="center" wrapText="1"/>
    </xf>
    <xf numFmtId="9" fontId="20" fillId="0" borderId="15" xfId="3" applyFont="1" applyBorder="1" applyAlignment="1" applyProtection="1">
      <alignment horizontal="right" vertical="center"/>
    </xf>
    <xf numFmtId="178" fontId="79" fillId="0" borderId="15" xfId="85" applyNumberFormat="1" applyFont="1" applyBorder="1" applyAlignment="1">
      <alignment horizontal="center" vertical="center" wrapText="1"/>
    </xf>
    <xf numFmtId="1" fontId="20" fillId="0" borderId="15" xfId="0" applyNumberFormat="1" applyFont="1" applyBorder="1" applyAlignment="1">
      <alignment horizontal="center" vertical="center"/>
    </xf>
    <xf numFmtId="178" fontId="79" fillId="0" borderId="0" xfId="85" applyNumberFormat="1" applyFont="1" applyAlignment="1">
      <alignment horizontal="center" vertical="center" wrapText="1"/>
    </xf>
    <xf numFmtId="1" fontId="20" fillId="0" borderId="0" xfId="0" applyNumberFormat="1" applyFont="1" applyAlignment="1">
      <alignment horizontal="center" vertical="center"/>
    </xf>
    <xf numFmtId="195" fontId="93" fillId="0" borderId="0" xfId="3" applyNumberFormat="1" applyBorder="1" applyAlignment="1" applyProtection="1">
      <alignment horizontal="center" vertical="center"/>
    </xf>
    <xf numFmtId="2" fontId="24" fillId="0" borderId="15" xfId="2" applyNumberFormat="1" applyFont="1" applyBorder="1" applyAlignment="1" applyProtection="1">
      <alignment horizontal="center" vertical="center"/>
    </xf>
    <xf numFmtId="173" fontId="20" fillId="0" borderId="15" xfId="2" applyFont="1" applyBorder="1" applyAlignment="1" applyProtection="1">
      <alignment horizontal="right" vertical="center"/>
    </xf>
    <xf numFmtId="0" fontId="16" fillId="0" borderId="15" xfId="62" applyFont="1" applyBorder="1" applyAlignment="1">
      <alignment horizontal="center" vertical="center" wrapText="1"/>
    </xf>
    <xf numFmtId="196" fontId="16" fillId="0" borderId="15" xfId="62" applyNumberFormat="1" applyFont="1" applyBorder="1" applyAlignment="1">
      <alignment horizontal="center" vertical="center" wrapText="1"/>
    </xf>
    <xf numFmtId="166" fontId="93" fillId="24" borderId="0" xfId="1" applyFill="1" applyBorder="1" applyAlignment="1" applyProtection="1">
      <alignment horizontal="center" vertical="center"/>
    </xf>
    <xf numFmtId="173" fontId="24" fillId="23" borderId="11" xfId="2" applyFont="1" applyFill="1" applyBorder="1" applyAlignment="1" applyProtection="1">
      <alignment horizontal="center" vertical="center"/>
    </xf>
    <xf numFmtId="177" fontId="20" fillId="0" borderId="67" xfId="0" applyNumberFormat="1" applyFont="1" applyBorder="1" applyAlignment="1">
      <alignment horizontal="center" vertical="center"/>
    </xf>
    <xf numFmtId="1" fontId="20" fillId="0" borderId="67" xfId="0" applyNumberFormat="1" applyFont="1" applyBorder="1" applyAlignment="1">
      <alignment horizontal="center" vertical="center"/>
    </xf>
    <xf numFmtId="0" fontId="20" fillId="0" borderId="67" xfId="0" applyFont="1" applyBorder="1" applyAlignment="1">
      <alignment horizontal="justify" vertical="center"/>
    </xf>
    <xf numFmtId="0" fontId="20" fillId="0" borderId="67" xfId="0" applyFont="1" applyBorder="1" applyAlignment="1">
      <alignment horizontal="center" vertical="center"/>
    </xf>
    <xf numFmtId="2" fontId="20" fillId="0" borderId="67" xfId="2" applyNumberFormat="1" applyFont="1" applyBorder="1" applyAlignment="1" applyProtection="1">
      <alignment horizontal="center" vertical="center"/>
    </xf>
    <xf numFmtId="173" fontId="20" fillId="0" borderId="67" xfId="2" applyFont="1" applyBorder="1" applyAlignment="1" applyProtection="1">
      <alignment horizontal="center" vertical="center"/>
    </xf>
    <xf numFmtId="9" fontId="20" fillId="0" borderId="48" xfId="3" applyFont="1" applyBorder="1" applyAlignment="1" applyProtection="1">
      <alignment horizontal="right" vertical="center"/>
    </xf>
    <xf numFmtId="173" fontId="20" fillId="24" borderId="67" xfId="2" applyFont="1" applyFill="1" applyBorder="1" applyAlignment="1" applyProtection="1">
      <alignment horizontal="right" vertical="center"/>
    </xf>
    <xf numFmtId="0" fontId="20" fillId="24" borderId="0" xfId="62" applyFont="1" applyFill="1" applyAlignment="1">
      <alignment vertical="center"/>
    </xf>
    <xf numFmtId="0" fontId="93" fillId="24" borderId="0" xfId="62" applyFill="1" applyAlignment="1">
      <alignment horizontal="center" vertical="center"/>
    </xf>
    <xf numFmtId="172" fontId="93" fillId="24" borderId="0" xfId="62" applyNumberFormat="1" applyFill="1" applyAlignment="1">
      <alignment vertical="center"/>
    </xf>
    <xf numFmtId="0" fontId="93" fillId="24" borderId="0" xfId="62" applyFill="1" applyAlignment="1">
      <alignment vertical="center"/>
    </xf>
    <xf numFmtId="4" fontId="93" fillId="24" borderId="0" xfId="62" applyNumberFormat="1" applyFill="1" applyAlignment="1">
      <alignment horizontal="center" vertical="center"/>
    </xf>
    <xf numFmtId="0" fontId="27" fillId="24" borderId="0" xfId="62" applyFont="1" applyFill="1" applyAlignment="1">
      <alignment vertical="center"/>
    </xf>
    <xf numFmtId="0" fontId="33" fillId="24" borderId="0" xfId="62" applyFont="1" applyFill="1" applyAlignment="1">
      <alignment vertical="center"/>
    </xf>
    <xf numFmtId="0" fontId="36" fillId="0" borderId="44" xfId="51" applyFont="1" applyBorder="1" applyAlignment="1">
      <alignment vertical="center" wrapText="1"/>
    </xf>
    <xf numFmtId="0" fontId="36" fillId="0" borderId="48" xfId="51" applyFont="1" applyBorder="1" applyAlignment="1">
      <alignment vertical="center" wrapText="1"/>
    </xf>
    <xf numFmtId="0" fontId="36" fillId="0" borderId="96" xfId="51" applyFont="1" applyBorder="1" applyAlignment="1">
      <alignment vertical="center" wrapText="1"/>
    </xf>
    <xf numFmtId="0" fontId="37" fillId="0" borderId="10" xfId="51" applyFont="1" applyBorder="1" applyAlignment="1">
      <alignment horizontal="justify" vertical="center" wrapText="1"/>
    </xf>
    <xf numFmtId="0" fontId="38" fillId="0" borderId="10" xfId="51" applyFont="1" applyBorder="1" applyAlignment="1">
      <alignment vertical="center" wrapText="1"/>
    </xf>
    <xf numFmtId="0" fontId="38" fillId="0" borderId="11" xfId="51" applyFont="1" applyBorder="1" applyAlignment="1">
      <alignment vertical="center" wrapText="1"/>
    </xf>
    <xf numFmtId="0" fontId="38" fillId="0" borderId="16" xfId="51" applyFont="1" applyBorder="1" applyAlignment="1">
      <alignment vertical="center" wrapText="1"/>
    </xf>
    <xf numFmtId="194" fontId="80" fillId="24" borderId="10" xfId="0" applyNumberFormat="1" applyFont="1" applyFill="1" applyBorder="1"/>
    <xf numFmtId="194" fontId="80" fillId="24" borderId="16" xfId="0" applyNumberFormat="1" applyFont="1" applyFill="1" applyBorder="1"/>
    <xf numFmtId="0" fontId="47" fillId="0" borderId="0" xfId="0" applyFont="1"/>
    <xf numFmtId="0" fontId="81" fillId="0" borderId="0" xfId="0" applyFont="1" applyAlignment="1">
      <alignment horizontal="left" vertical="top"/>
    </xf>
    <xf numFmtId="0" fontId="81" fillId="0" borderId="0" xfId="0" applyFont="1" applyAlignment="1">
      <alignment horizontal="left" vertical="center"/>
    </xf>
    <xf numFmtId="0" fontId="81" fillId="0" borderId="0" xfId="0" applyFont="1" applyAlignment="1">
      <alignment horizontal="center" vertical="center"/>
    </xf>
    <xf numFmtId="0" fontId="81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horizontal="center" vertical="center"/>
    </xf>
    <xf numFmtId="0" fontId="83" fillId="0" borderId="10" xfId="0" applyFont="1" applyBorder="1" applyAlignment="1">
      <alignment horizontal="center"/>
    </xf>
    <xf numFmtId="0" fontId="83" fillId="0" borderId="11" xfId="0" applyFont="1" applyBorder="1" applyAlignment="1">
      <alignment horizontal="center"/>
    </xf>
    <xf numFmtId="0" fontId="83" fillId="0" borderId="9" xfId="0" applyFont="1" applyBorder="1" applyAlignment="1">
      <alignment horizontal="center"/>
    </xf>
    <xf numFmtId="0" fontId="81" fillId="0" borderId="107" xfId="0" applyFont="1" applyBorder="1"/>
    <xf numFmtId="0" fontId="81" fillId="0" borderId="29" xfId="0" applyFont="1" applyBorder="1"/>
    <xf numFmtId="0" fontId="81" fillId="0" borderId="28" xfId="0" applyFont="1" applyBorder="1" applyAlignment="1">
      <alignment horizontal="center"/>
    </xf>
    <xf numFmtId="10" fontId="81" fillId="22" borderId="28" xfId="95" applyNumberFormat="1" applyFont="1" applyFill="1" applyBorder="1" applyProtection="1">
      <protection locked="0"/>
    </xf>
    <xf numFmtId="0" fontId="84" fillId="0" borderId="0" xfId="0" applyFont="1" applyAlignment="1">
      <alignment horizontal="center"/>
    </xf>
    <xf numFmtId="10" fontId="85" fillId="4" borderId="132" xfId="0" applyNumberFormat="1" applyFont="1" applyFill="1" applyBorder="1" applyAlignment="1">
      <alignment horizontal="center" vertical="center"/>
    </xf>
    <xf numFmtId="10" fontId="85" fillId="4" borderId="119" xfId="0" applyNumberFormat="1" applyFont="1" applyFill="1" applyBorder="1" applyAlignment="1">
      <alignment horizontal="center" vertical="center"/>
    </xf>
    <xf numFmtId="10" fontId="0" fillId="0" borderId="0" xfId="0" applyNumberFormat="1"/>
    <xf numFmtId="0" fontId="81" fillId="0" borderId="110" xfId="0" applyFont="1" applyBorder="1"/>
    <xf numFmtId="0" fontId="81" fillId="0" borderId="50" xfId="0" applyFont="1" applyBorder="1"/>
    <xf numFmtId="0" fontId="81" fillId="0" borderId="109" xfId="0" applyFont="1" applyBorder="1" applyAlignment="1">
      <alignment horizontal="center"/>
    </xf>
    <xf numFmtId="10" fontId="81" fillId="22" borderId="109" xfId="95" applyNumberFormat="1" applyFont="1" applyFill="1" applyBorder="1" applyProtection="1">
      <protection locked="0"/>
    </xf>
    <xf numFmtId="10" fontId="85" fillId="4" borderId="28" xfId="0" applyNumberFormat="1" applyFont="1" applyFill="1" applyBorder="1" applyAlignment="1">
      <alignment horizontal="center" vertical="center"/>
    </xf>
    <xf numFmtId="10" fontId="85" fillId="4" borderId="108" xfId="0" applyNumberFormat="1" applyFont="1" applyFill="1" applyBorder="1" applyAlignment="1">
      <alignment horizontal="center" vertical="center"/>
    </xf>
    <xf numFmtId="0" fontId="81" fillId="0" borderId="54" xfId="0" applyFont="1" applyBorder="1"/>
    <xf numFmtId="0" fontId="81" fillId="0" borderId="53" xfId="0" applyFont="1" applyBorder="1"/>
    <xf numFmtId="10" fontId="81" fillId="22" borderId="133" xfId="95" applyNumberFormat="1" applyFont="1" applyFill="1" applyBorder="1" applyProtection="1">
      <protection locked="0"/>
    </xf>
    <xf numFmtId="10" fontId="85" fillId="4" borderId="17" xfId="0" applyNumberFormat="1" applyFont="1" applyFill="1" applyBorder="1" applyAlignment="1">
      <alignment horizontal="center" vertical="center"/>
    </xf>
    <xf numFmtId="10" fontId="85" fillId="4" borderId="68" xfId="0" applyNumberFormat="1" applyFont="1" applyFill="1" applyBorder="1" applyAlignment="1">
      <alignment horizontal="center" vertical="center"/>
    </xf>
    <xf numFmtId="0" fontId="81" fillId="0" borderId="49" xfId="0" applyFont="1" applyBorder="1"/>
    <xf numFmtId="0" fontId="81" fillId="0" borderId="51" xfId="0" applyFont="1" applyBorder="1"/>
    <xf numFmtId="0" fontId="81" fillId="0" borderId="67" xfId="0" applyFont="1" applyBorder="1" applyAlignment="1">
      <alignment horizontal="center"/>
    </xf>
    <xf numFmtId="0" fontId="81" fillId="0" borderId="48" xfId="0" applyFont="1" applyBorder="1"/>
    <xf numFmtId="10" fontId="81" fillId="0" borderId="109" xfId="95" applyNumberFormat="1" applyFont="1" applyBorder="1" applyProtection="1"/>
    <xf numFmtId="0" fontId="81" fillId="0" borderId="63" xfId="0" applyFont="1" applyBorder="1"/>
    <xf numFmtId="0" fontId="81" fillId="0" borderId="111" xfId="0" applyFont="1" applyBorder="1"/>
    <xf numFmtId="10" fontId="81" fillId="0" borderId="133" xfId="95" applyNumberFormat="1" applyFont="1" applyBorder="1" applyAlignment="1" applyProtection="1">
      <alignment horizontal="right"/>
    </xf>
    <xf numFmtId="0" fontId="81" fillId="0" borderId="11" xfId="0" applyFont="1" applyBorder="1"/>
    <xf numFmtId="10" fontId="81" fillId="0" borderId="9" xfId="95" applyNumberFormat="1" applyFont="1" applyBorder="1" applyProtection="1"/>
    <xf numFmtId="10" fontId="85" fillId="4" borderId="9" xfId="0" applyNumberFormat="1" applyFont="1" applyFill="1" applyBorder="1" applyAlignment="1">
      <alignment horizontal="center" vertical="center"/>
    </xf>
    <xf numFmtId="0" fontId="54" fillId="0" borderId="10" xfId="0" applyFont="1" applyBorder="1"/>
    <xf numFmtId="0" fontId="54" fillId="0" borderId="11" xfId="0" applyFont="1" applyBorder="1"/>
    <xf numFmtId="10" fontId="54" fillId="0" borderId="9" xfId="95" applyNumberFormat="1" applyFont="1" applyBorder="1" applyProtection="1"/>
    <xf numFmtId="0" fontId="56" fillId="0" borderId="0" xfId="0" applyFont="1" applyAlignment="1">
      <alignment horizontal="right" vertical="center" wrapText="1"/>
    </xf>
    <xf numFmtId="10" fontId="56" fillId="22" borderId="0" xfId="0" applyNumberFormat="1" applyFont="1" applyFill="1" applyAlignment="1" applyProtection="1">
      <alignment horizontal="left" vertical="center" wrapText="1"/>
      <protection locked="0"/>
    </xf>
    <xf numFmtId="0" fontId="86" fillId="0" borderId="0" xfId="0" applyFont="1" applyAlignment="1">
      <alignment vertical="center" wrapText="1"/>
    </xf>
    <xf numFmtId="0" fontId="87" fillId="0" borderId="0" xfId="0" applyFont="1" applyAlignment="1">
      <alignment horizontal="right" vertical="center" wrapText="1"/>
    </xf>
    <xf numFmtId="10" fontId="56" fillId="0" borderId="0" xfId="0" applyNumberFormat="1" applyFont="1" applyAlignment="1">
      <alignment horizontal="left" vertical="center" wrapText="1"/>
    </xf>
    <xf numFmtId="0" fontId="56" fillId="0" borderId="0" xfId="0" applyFont="1" applyAlignment="1">
      <alignment vertical="center" wrapText="1"/>
    </xf>
    <xf numFmtId="166" fontId="56" fillId="0" borderId="0" xfId="1" applyFont="1" applyBorder="1" applyAlignment="1" applyProtection="1">
      <alignment vertical="center" wrapText="1"/>
    </xf>
    <xf numFmtId="0" fontId="56" fillId="29" borderId="0" xfId="0" applyFont="1" applyFill="1" applyAlignment="1">
      <alignment vertical="center" wrapText="1"/>
    </xf>
    <xf numFmtId="17" fontId="56" fillId="29" borderId="0" xfId="0" applyNumberFormat="1" applyFont="1" applyFill="1" applyAlignment="1">
      <alignment horizontal="center" vertical="center" wrapText="1"/>
    </xf>
    <xf numFmtId="166" fontId="56" fillId="29" borderId="0" xfId="1" applyFont="1" applyFill="1" applyBorder="1" applyAlignment="1" applyProtection="1">
      <alignment vertical="center" wrapText="1"/>
    </xf>
    <xf numFmtId="0" fontId="55" fillId="36" borderId="9" xfId="0" applyFont="1" applyFill="1" applyBorder="1" applyAlignment="1">
      <alignment horizontal="left" vertical="center" wrapText="1"/>
    </xf>
    <xf numFmtId="0" fontId="55" fillId="36" borderId="9" xfId="0" applyFont="1" applyFill="1" applyBorder="1" applyAlignment="1">
      <alignment horizontal="center" vertical="center" wrapText="1"/>
    </xf>
    <xf numFmtId="166" fontId="55" fillId="36" borderId="9" xfId="1" applyFont="1" applyFill="1" applyBorder="1" applyAlignment="1" applyProtection="1">
      <alignment horizontal="center" vertical="center" wrapText="1"/>
    </xf>
    <xf numFmtId="0" fontId="55" fillId="0" borderId="0" xfId="0" applyFont="1" applyAlignment="1">
      <alignment vertical="center" wrapText="1"/>
    </xf>
    <xf numFmtId="166" fontId="56" fillId="0" borderId="9" xfId="1" applyFont="1" applyBorder="1" applyAlignment="1" applyProtection="1">
      <alignment horizontal="right" vertical="center" wrapText="1"/>
    </xf>
    <xf numFmtId="171" fontId="56" fillId="0" borderId="0" xfId="0" applyNumberFormat="1" applyFont="1" applyAlignment="1">
      <alignment vertical="center" wrapText="1"/>
    </xf>
    <xf numFmtId="0" fontId="56" fillId="30" borderId="9" xfId="0" applyFont="1" applyFill="1" applyBorder="1" applyAlignment="1">
      <alignment horizontal="left" vertical="center" wrapText="1"/>
    </xf>
    <xf numFmtId="0" fontId="56" fillId="0" borderId="9" xfId="0" applyFont="1" applyBorder="1" applyAlignment="1">
      <alignment horizontal="justify" vertical="center" wrapText="1"/>
    </xf>
    <xf numFmtId="0" fontId="56" fillId="29" borderId="9" xfId="0" applyFont="1" applyFill="1" applyBorder="1" applyAlignment="1">
      <alignment horizontal="left" vertical="center" wrapText="1"/>
    </xf>
    <xf numFmtId="0" fontId="56" fillId="35" borderId="9" xfId="0" applyFont="1" applyFill="1" applyBorder="1" applyAlignment="1">
      <alignment horizontal="left" vertical="center" wrapText="1"/>
    </xf>
    <xf numFmtId="166" fontId="56" fillId="0" borderId="9" xfId="1" applyFont="1" applyBorder="1" applyAlignment="1" applyProtection="1">
      <alignment horizontal="center" vertical="center" wrapText="1"/>
    </xf>
    <xf numFmtId="0" fontId="56" fillId="0" borderId="9" xfId="0" applyFont="1" applyBorder="1" applyAlignment="1">
      <alignment vertical="center" wrapText="1"/>
    </xf>
    <xf numFmtId="166" fontId="56" fillId="0" borderId="9" xfId="1" applyFont="1" applyBorder="1" applyAlignment="1" applyProtection="1">
      <alignment vertical="center" wrapText="1"/>
    </xf>
    <xf numFmtId="166" fontId="56" fillId="35" borderId="9" xfId="1" applyFont="1" applyFill="1" applyBorder="1" applyAlignment="1" applyProtection="1">
      <alignment vertical="center" wrapText="1"/>
    </xf>
    <xf numFmtId="166" fontId="56" fillId="35" borderId="9" xfId="1" applyFont="1" applyFill="1" applyBorder="1" applyAlignment="1" applyProtection="1">
      <alignment horizontal="right" vertical="center" wrapText="1"/>
    </xf>
    <xf numFmtId="172" fontId="20" fillId="24" borderId="0" xfId="0" applyNumberFormat="1" applyFont="1" applyFill="1" applyAlignment="1">
      <alignment horizontal="right" vertical="center"/>
    </xf>
    <xf numFmtId="174" fontId="20" fillId="0" borderId="11" xfId="0" applyNumberFormat="1" applyFont="1" applyBorder="1" applyAlignment="1">
      <alignment horizontal="right" vertical="center"/>
    </xf>
    <xf numFmtId="173" fontId="24" fillId="25" borderId="9" xfId="2" applyFont="1" applyFill="1" applyBorder="1" applyAlignment="1" applyProtection="1">
      <alignment horizontal="center" vertical="center" wrapText="1"/>
    </xf>
    <xf numFmtId="0" fontId="29" fillId="26" borderId="15" xfId="0" applyFont="1" applyFill="1" applyBorder="1" applyAlignment="1">
      <alignment horizontal="right" vertical="center" wrapText="1"/>
    </xf>
    <xf numFmtId="2" fontId="30" fillId="26" borderId="15" xfId="0" applyNumberFormat="1" applyFont="1" applyFill="1" applyBorder="1" applyAlignment="1">
      <alignment horizontal="left" vertical="center"/>
    </xf>
    <xf numFmtId="2" fontId="32" fillId="26" borderId="15" xfId="2" applyNumberFormat="1" applyFont="1" applyFill="1" applyBorder="1" applyAlignment="1" applyProtection="1">
      <alignment horizontal="right" vertical="center"/>
    </xf>
    <xf numFmtId="0" fontId="24" fillId="27" borderId="15" xfId="0" applyFont="1" applyFill="1" applyBorder="1" applyAlignment="1">
      <alignment horizontal="right" vertical="center" wrapText="1"/>
    </xf>
    <xf numFmtId="2" fontId="20" fillId="27" borderId="15" xfId="0" applyNumberFormat="1" applyFont="1" applyFill="1" applyBorder="1" applyAlignment="1">
      <alignment horizontal="left" vertical="center"/>
    </xf>
    <xf numFmtId="2" fontId="93" fillId="27" borderId="15" xfId="2" applyNumberFormat="1" applyFill="1" applyBorder="1" applyAlignment="1" applyProtection="1">
      <alignment horizontal="right" vertical="center"/>
    </xf>
    <xf numFmtId="0" fontId="20" fillId="0" borderId="15" xfId="0" applyFont="1" applyBorder="1" applyAlignment="1">
      <alignment horizontal="right" vertical="center" wrapText="1"/>
    </xf>
    <xf numFmtId="2" fontId="20" fillId="0" borderId="15" xfId="3" applyNumberFormat="1" applyFont="1" applyBorder="1" applyAlignment="1" applyProtection="1">
      <alignment horizontal="center" vertical="center"/>
    </xf>
    <xf numFmtId="2" fontId="93" fillId="24" borderId="15" xfId="2" applyNumberFormat="1" applyFill="1" applyBorder="1" applyAlignment="1" applyProtection="1">
      <alignment horizontal="center" vertical="center"/>
    </xf>
    <xf numFmtId="2" fontId="93" fillId="24" borderId="15" xfId="2" applyNumberFormat="1" applyFill="1" applyBorder="1" applyAlignment="1" applyProtection="1">
      <alignment horizontal="right" vertical="center"/>
    </xf>
    <xf numFmtId="0" fontId="90" fillId="0" borderId="15" xfId="0" applyFont="1" applyBorder="1" applyAlignment="1">
      <alignment horizontal="right" vertical="center" wrapText="1"/>
    </xf>
    <xf numFmtId="0" fontId="91" fillId="0" borderId="15" xfId="0" applyFont="1" applyBorder="1" applyAlignment="1">
      <alignment horizontal="right" vertical="center" wrapText="1"/>
    </xf>
    <xf numFmtId="0" fontId="91" fillId="0" borderId="15" xfId="0" applyFont="1" applyBorder="1" applyAlignment="1">
      <alignment horizontal="center" vertical="center"/>
    </xf>
    <xf numFmtId="2" fontId="91" fillId="0" borderId="15" xfId="2" applyNumberFormat="1" applyFont="1" applyBorder="1" applyAlignment="1" applyProtection="1">
      <alignment horizontal="center" vertical="center"/>
    </xf>
    <xf numFmtId="2" fontId="91" fillId="0" borderId="15" xfId="3" applyNumberFormat="1" applyFont="1" applyBorder="1" applyAlignment="1" applyProtection="1">
      <alignment horizontal="center" vertical="center"/>
    </xf>
    <xf numFmtId="0" fontId="92" fillId="0" borderId="15" xfId="0" applyFont="1" applyBorder="1" applyAlignment="1">
      <alignment horizontal="right" vertical="center" wrapText="1"/>
    </xf>
    <xf numFmtId="2" fontId="93" fillId="24" borderId="15" xfId="2" applyNumberFormat="1" applyFill="1" applyBorder="1" applyAlignment="1" applyProtection="1">
      <alignment horizontal="center" vertical="center" wrapText="1"/>
    </xf>
    <xf numFmtId="2" fontId="93" fillId="0" borderId="15" xfId="2" applyNumberFormat="1" applyBorder="1" applyAlignment="1" applyProtection="1">
      <alignment horizontal="center" vertical="center" wrapText="1"/>
    </xf>
    <xf numFmtId="2" fontId="93" fillId="0" borderId="15" xfId="2" applyNumberFormat="1" applyBorder="1" applyAlignment="1" applyProtection="1">
      <alignment horizontal="right" vertical="center"/>
    </xf>
    <xf numFmtId="2" fontId="33" fillId="27" borderId="15" xfId="2" applyNumberFormat="1" applyFont="1" applyFill="1" applyBorder="1" applyAlignment="1" applyProtection="1">
      <alignment horizontal="center" vertical="center"/>
    </xf>
    <xf numFmtId="2" fontId="33" fillId="26" borderId="15" xfId="2" applyNumberFormat="1" applyFont="1" applyFill="1" applyBorder="1" applyAlignment="1" applyProtection="1">
      <alignment horizontal="center" vertical="center"/>
    </xf>
    <xf numFmtId="2" fontId="24" fillId="27" borderId="15" xfId="2" applyNumberFormat="1" applyFont="1" applyFill="1" applyBorder="1" applyAlignment="1" applyProtection="1">
      <alignment horizontal="center" vertical="center"/>
    </xf>
    <xf numFmtId="2" fontId="20" fillId="0" borderId="15" xfId="2" applyNumberFormat="1" applyFont="1" applyBorder="1" applyAlignment="1" applyProtection="1">
      <alignment horizontal="left" vertical="center"/>
    </xf>
    <xf numFmtId="2" fontId="20" fillId="0" borderId="15" xfId="2" applyNumberFormat="1" applyFont="1" applyBorder="1" applyAlignment="1" applyProtection="1">
      <alignment horizontal="left" vertical="center" wrapText="1"/>
    </xf>
    <xf numFmtId="0" fontId="20" fillId="0" borderId="15" xfId="0" applyFont="1" applyBorder="1" applyAlignment="1">
      <alignment horizontal="left" vertical="center" wrapText="1"/>
    </xf>
    <xf numFmtId="166" fontId="93" fillId="0" borderId="15" xfId="1" applyBorder="1" applyProtection="1"/>
    <xf numFmtId="0" fontId="36" fillId="0" borderId="18" xfId="53" applyFont="1" applyBorder="1" applyAlignment="1">
      <alignment horizontal="center" vertical="center" wrapText="1"/>
    </xf>
    <xf numFmtId="0" fontId="38" fillId="0" borderId="9" xfId="53" applyFont="1" applyBorder="1" applyAlignment="1">
      <alignment horizontal="center" vertical="center" wrapText="1"/>
    </xf>
    <xf numFmtId="0" fontId="38" fillId="0" borderId="10" xfId="53" applyFont="1" applyBorder="1" applyAlignment="1">
      <alignment horizontal="center" vertical="center" wrapText="1"/>
    </xf>
    <xf numFmtId="10" fontId="38" fillId="0" borderId="10" xfId="53" applyNumberFormat="1" applyFont="1" applyBorder="1" applyAlignment="1">
      <alignment horizontal="center" vertical="center" wrapText="1"/>
    </xf>
    <xf numFmtId="180" fontId="28" fillId="0" borderId="20" xfId="69" applyNumberFormat="1" applyFont="1" applyBorder="1" applyAlignment="1">
      <alignment horizontal="center" vertical="center"/>
    </xf>
    <xf numFmtId="180" fontId="28" fillId="0" borderId="21" xfId="69" applyNumberFormat="1" applyFont="1" applyBorder="1" applyAlignment="1">
      <alignment horizontal="center" vertical="center"/>
    </xf>
    <xf numFmtId="166" fontId="28" fillId="0" borderId="21" xfId="114" applyNumberFormat="1" applyFont="1" applyBorder="1" applyAlignment="1" applyProtection="1">
      <alignment horizontal="center" vertical="center"/>
    </xf>
    <xf numFmtId="166" fontId="28" fillId="0" borderId="22" xfId="114" applyNumberFormat="1" applyFont="1" applyBorder="1" applyAlignment="1" applyProtection="1">
      <alignment horizontal="center" vertical="center" wrapText="1"/>
    </xf>
    <xf numFmtId="166" fontId="28" fillId="0" borderId="9" xfId="114" applyNumberFormat="1" applyFont="1" applyBorder="1" applyAlignment="1" applyProtection="1">
      <alignment horizontal="center" vertical="center" wrapText="1"/>
    </xf>
    <xf numFmtId="0" fontId="28" fillId="0" borderId="18" xfId="114" applyNumberFormat="1" applyFont="1" applyBorder="1" applyAlignment="1" applyProtection="1">
      <alignment horizontal="center" vertical="center" wrapText="1"/>
    </xf>
    <xf numFmtId="166" fontId="28" fillId="0" borderId="18" xfId="114" applyNumberFormat="1" applyFont="1" applyBorder="1" applyAlignment="1" applyProtection="1">
      <alignment horizontal="center" vertical="center" wrapText="1"/>
    </xf>
    <xf numFmtId="180" fontId="28" fillId="0" borderId="26" xfId="69" applyNumberFormat="1" applyFont="1" applyBorder="1" applyAlignment="1">
      <alignment horizontal="center" vertical="center"/>
    </xf>
    <xf numFmtId="180" fontId="93" fillId="0" borderId="26" xfId="69" applyNumberFormat="1" applyBorder="1" applyAlignment="1">
      <alignment horizontal="left" vertical="center" wrapText="1"/>
    </xf>
    <xf numFmtId="10" fontId="93" fillId="0" borderId="27" xfId="95" applyNumberFormat="1" applyBorder="1" applyAlignment="1" applyProtection="1">
      <alignment horizontal="center" vertical="center"/>
    </xf>
    <xf numFmtId="181" fontId="93" fillId="0" borderId="26" xfId="69" applyNumberFormat="1" applyBorder="1" applyAlignment="1">
      <alignment horizontal="center" vertical="center" wrapText="1"/>
    </xf>
    <xf numFmtId="166" fontId="93" fillId="24" borderId="28" xfId="114" applyNumberFormat="1" applyFill="1" applyBorder="1" applyAlignment="1" applyProtection="1">
      <alignment horizontal="center" vertical="center"/>
    </xf>
    <xf numFmtId="180" fontId="28" fillId="0" borderId="34" xfId="69" applyNumberFormat="1" applyFont="1" applyBorder="1" applyAlignment="1">
      <alignment horizontal="center" vertical="center"/>
    </xf>
    <xf numFmtId="166" fontId="93" fillId="24" borderId="35" xfId="114" applyNumberFormat="1" applyFill="1" applyBorder="1" applyAlignment="1" applyProtection="1">
      <alignment horizontal="center" vertical="center"/>
    </xf>
    <xf numFmtId="10" fontId="93" fillId="0" borderId="36" xfId="95" applyNumberFormat="1" applyBorder="1" applyAlignment="1" applyProtection="1">
      <alignment horizontal="center" vertical="center"/>
    </xf>
    <xf numFmtId="166" fontId="28" fillId="32" borderId="9" xfId="114" applyNumberFormat="1" applyFont="1" applyFill="1" applyBorder="1" applyAlignment="1" applyProtection="1">
      <alignment horizontal="center" vertical="center"/>
    </xf>
    <xf numFmtId="0" fontId="43" fillId="0" borderId="44" xfId="0" applyFont="1" applyBorder="1" applyAlignment="1">
      <alignment horizontal="center" vertical="center"/>
    </xf>
    <xf numFmtId="184" fontId="0" fillId="24" borderId="13" xfId="0" applyNumberFormat="1" applyFill="1" applyBorder="1" applyAlignment="1">
      <alignment horizontal="center" shrinkToFit="1"/>
    </xf>
    <xf numFmtId="0" fontId="44" fillId="0" borderId="47" xfId="0" applyFont="1" applyBorder="1" applyAlignment="1">
      <alignment horizontal="center" vertical="center" textRotation="255"/>
    </xf>
    <xf numFmtId="0" fontId="45" fillId="0" borderId="47" xfId="0" applyFont="1" applyBorder="1" applyAlignment="1">
      <alignment horizontal="center" vertical="center" textRotation="255"/>
    </xf>
    <xf numFmtId="0" fontId="24" fillId="0" borderId="48" xfId="0" applyFont="1" applyBorder="1" applyAlignment="1">
      <alignment horizontal="center" vertical="center"/>
    </xf>
    <xf numFmtId="0" fontId="47" fillId="0" borderId="51" xfId="0" applyFont="1" applyBorder="1" applyAlignment="1">
      <alignment horizontal="center" vertical="center"/>
    </xf>
    <xf numFmtId="0" fontId="46" fillId="0" borderId="48" xfId="0" applyFont="1" applyBorder="1" applyAlignment="1">
      <alignment horizontal="center" vertical="center"/>
    </xf>
    <xf numFmtId="4" fontId="47" fillId="0" borderId="56" xfId="0" applyNumberFormat="1" applyFont="1" applyBorder="1" applyAlignment="1">
      <alignment horizontal="center" vertical="center"/>
    </xf>
    <xf numFmtId="166" fontId="24" fillId="0" borderId="42" xfId="1" applyFont="1" applyBorder="1" applyAlignment="1" applyProtection="1">
      <alignment horizontal="left" vertical="center"/>
    </xf>
    <xf numFmtId="185" fontId="26" fillId="0" borderId="43" xfId="0" applyNumberFormat="1" applyFont="1" applyBorder="1" applyAlignment="1">
      <alignment horizontal="center" vertical="center"/>
    </xf>
    <xf numFmtId="0" fontId="47" fillId="0" borderId="59" xfId="0" applyFont="1" applyBorder="1" applyAlignment="1">
      <alignment horizontal="center" vertical="center"/>
    </xf>
    <xf numFmtId="4" fontId="47" fillId="0" borderId="60" xfId="0" applyNumberFormat="1" applyFont="1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28" fillId="0" borderId="18" xfId="84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166" fontId="93" fillId="0" borderId="65" xfId="1" applyBorder="1" applyAlignment="1" applyProtection="1">
      <alignment horizontal="center" vertical="center"/>
    </xf>
    <xf numFmtId="0" fontId="28" fillId="0" borderId="9" xfId="0" applyFont="1" applyBorder="1" applyAlignment="1">
      <alignment horizontal="left" shrinkToFit="1"/>
    </xf>
    <xf numFmtId="0" fontId="28" fillId="0" borderId="67" xfId="0" applyFont="1" applyBorder="1" applyAlignment="1">
      <alignment horizontal="left"/>
    </xf>
    <xf numFmtId="0" fontId="0" fillId="0" borderId="9" xfId="0" applyBorder="1" applyAlignment="1">
      <alignment horizontal="left"/>
    </xf>
    <xf numFmtId="4" fontId="41" fillId="0" borderId="69" xfId="0" applyNumberFormat="1" applyFont="1" applyBorder="1" applyAlignment="1">
      <alignment horizontal="center" vertical="center"/>
    </xf>
    <xf numFmtId="4" fontId="42" fillId="0" borderId="69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28" fillId="0" borderId="18" xfId="0" applyFont="1" applyBorder="1" applyAlignment="1">
      <alignment horizontal="left"/>
    </xf>
    <xf numFmtId="4" fontId="28" fillId="0" borderId="69" xfId="0" applyNumberFormat="1" applyFont="1" applyBorder="1" applyAlignment="1">
      <alignment horizontal="center" vertical="center"/>
    </xf>
    <xf numFmtId="187" fontId="28" fillId="0" borderId="9" xfId="0" applyNumberFormat="1" applyFont="1" applyBorder="1" applyAlignment="1">
      <alignment horizontal="left" shrinkToFit="1"/>
    </xf>
    <xf numFmtId="0" fontId="28" fillId="0" borderId="18" xfId="0" applyFont="1" applyBorder="1" applyAlignment="1">
      <alignment horizontal="left" shrinkToFit="1"/>
    </xf>
    <xf numFmtId="0" fontId="39" fillId="24" borderId="70" xfId="0" applyFont="1" applyFill="1" applyBorder="1" applyAlignment="1">
      <alignment horizontal="center" vertical="center"/>
    </xf>
    <xf numFmtId="0" fontId="28" fillId="24" borderId="78" xfId="0" applyFont="1" applyFill="1" applyBorder="1" applyAlignment="1">
      <alignment horizontal="center" vertical="center"/>
    </xf>
    <xf numFmtId="0" fontId="28" fillId="24" borderId="78" xfId="0" applyFont="1" applyFill="1" applyBorder="1" applyAlignment="1">
      <alignment horizontal="center" vertical="center" wrapText="1"/>
    </xf>
    <xf numFmtId="0" fontId="28" fillId="24" borderId="78" xfId="0" applyFont="1" applyFill="1" applyBorder="1" applyAlignment="1">
      <alignment horizontal="left" vertical="top"/>
    </xf>
    <xf numFmtId="0" fontId="28" fillId="23" borderId="89" xfId="0" applyFont="1" applyFill="1" applyBorder="1" applyAlignment="1">
      <alignment horizontal="center" vertical="center" wrapText="1"/>
    </xf>
    <xf numFmtId="0" fontId="24" fillId="23" borderId="89" xfId="62" applyFont="1" applyFill="1" applyBorder="1" applyAlignment="1" applyProtection="1">
      <alignment horizontal="center"/>
      <protection locked="0" hidden="1"/>
    </xf>
    <xf numFmtId="188" fontId="24" fillId="23" borderId="17" xfId="62" applyNumberFormat="1" applyFont="1" applyFill="1" applyBorder="1" applyAlignment="1" applyProtection="1">
      <alignment horizontal="center"/>
      <protection locked="0" hidden="1"/>
    </xf>
    <xf numFmtId="182" fontId="24" fillId="23" borderId="17" xfId="62" applyNumberFormat="1" applyFont="1" applyFill="1" applyBorder="1" applyAlignment="1" applyProtection="1">
      <alignment horizontal="center"/>
      <protection locked="0" hidden="1"/>
    </xf>
    <xf numFmtId="182" fontId="24" fillId="23" borderId="19" xfId="62" applyNumberFormat="1" applyFont="1" applyFill="1" applyBorder="1" applyAlignment="1" applyProtection="1">
      <alignment horizontal="center"/>
      <protection locked="0" hidden="1"/>
    </xf>
    <xf numFmtId="0" fontId="24" fillId="23" borderId="17" xfId="62" applyFont="1" applyFill="1" applyBorder="1" applyAlignment="1" applyProtection="1">
      <alignment horizontal="center"/>
      <protection locked="0" hidden="1"/>
    </xf>
    <xf numFmtId="182" fontId="24" fillId="23" borderId="98" xfId="62" applyNumberFormat="1" applyFont="1" applyFill="1" applyBorder="1" applyAlignment="1" applyProtection="1">
      <alignment horizontal="center"/>
      <protection locked="0" hidden="1"/>
    </xf>
    <xf numFmtId="182" fontId="24" fillId="23" borderId="99" xfId="62" applyNumberFormat="1" applyFont="1" applyFill="1" applyBorder="1" applyAlignment="1" applyProtection="1">
      <alignment horizontal="center"/>
      <protection locked="0" hidden="1"/>
    </xf>
    <xf numFmtId="182" fontId="24" fillId="23" borderId="96" xfId="62" applyNumberFormat="1" applyFont="1" applyFill="1" applyBorder="1" applyAlignment="1" applyProtection="1">
      <alignment horizontal="center"/>
      <protection locked="0" hidden="1"/>
    </xf>
    <xf numFmtId="182" fontId="46" fillId="23" borderId="98" xfId="62" applyNumberFormat="1" applyFont="1" applyFill="1" applyBorder="1" applyAlignment="1" applyProtection="1">
      <alignment horizontal="center"/>
      <protection locked="0" hidden="1"/>
    </xf>
    <xf numFmtId="0" fontId="24" fillId="24" borderId="0" xfId="62" applyFont="1" applyFill="1" applyAlignment="1" applyProtection="1">
      <alignment horizontal="center" wrapText="1"/>
      <protection hidden="1"/>
    </xf>
    <xf numFmtId="4" fontId="24" fillId="23" borderId="89" xfId="62" applyNumberFormat="1" applyFont="1" applyFill="1" applyBorder="1" applyAlignment="1" applyProtection="1">
      <alignment horizontal="center"/>
      <protection locked="0" hidden="1"/>
    </xf>
    <xf numFmtId="182" fontId="24" fillId="23" borderId="97" xfId="62" applyNumberFormat="1" applyFont="1" applyFill="1" applyBorder="1" applyAlignment="1" applyProtection="1">
      <alignment horizontal="center"/>
      <protection locked="0" hidden="1"/>
    </xf>
    <xf numFmtId="0" fontId="20" fillId="20" borderId="94" xfId="62" applyFont="1" applyFill="1" applyBorder="1" applyAlignment="1" applyProtection="1">
      <alignment horizontal="center"/>
      <protection hidden="1"/>
    </xf>
    <xf numFmtId="0" fontId="20" fillId="20" borderId="48" xfId="62" applyFont="1" applyFill="1" applyBorder="1" applyAlignment="1" applyProtection="1">
      <alignment horizontal="center"/>
      <protection hidden="1"/>
    </xf>
    <xf numFmtId="0" fontId="20" fillId="20" borderId="67" xfId="62" applyFont="1" applyFill="1" applyBorder="1" applyAlignment="1" applyProtection="1">
      <alignment horizontal="center"/>
      <protection hidden="1"/>
    </xf>
    <xf numFmtId="0" fontId="20" fillId="20" borderId="0" xfId="62" applyFont="1" applyFill="1" applyAlignment="1" applyProtection="1">
      <alignment horizontal="center"/>
      <protection hidden="1"/>
    </xf>
    <xf numFmtId="0" fontId="20" fillId="20" borderId="95" xfId="62" applyFont="1" applyFill="1" applyBorder="1" applyAlignment="1" applyProtection="1">
      <alignment horizontal="center"/>
      <protection hidden="1"/>
    </xf>
    <xf numFmtId="0" fontId="20" fillId="20" borderId="67" xfId="62" applyFont="1" applyFill="1" applyBorder="1" applyAlignment="1" applyProtection="1">
      <alignment horizontal="center" vertical="center"/>
      <protection hidden="1"/>
    </xf>
    <xf numFmtId="0" fontId="20" fillId="20" borderId="64" xfId="62" applyFont="1" applyFill="1" applyBorder="1" applyAlignment="1" applyProtection="1">
      <alignment horizontal="center"/>
      <protection hidden="1"/>
    </xf>
    <xf numFmtId="0" fontId="20" fillId="20" borderId="67" xfId="62" applyFont="1" applyFill="1" applyBorder="1" applyAlignment="1" applyProtection="1">
      <alignment horizontal="left"/>
      <protection hidden="1"/>
    </xf>
    <xf numFmtId="1" fontId="28" fillId="23" borderId="14" xfId="62" applyNumberFormat="1" applyFont="1" applyFill="1" applyBorder="1" applyAlignment="1" applyProtection="1">
      <alignment horizontal="center" wrapText="1"/>
      <protection hidden="1"/>
    </xf>
    <xf numFmtId="0" fontId="54" fillId="23" borderId="9" xfId="62" applyFont="1" applyFill="1" applyBorder="1" applyAlignment="1">
      <alignment horizontal="left" vertical="center" wrapText="1"/>
    </xf>
    <xf numFmtId="0" fontId="93" fillId="23" borderId="9" xfId="62" applyFill="1" applyBorder="1" applyAlignment="1" applyProtection="1">
      <alignment horizontal="center" vertical="center"/>
      <protection hidden="1"/>
    </xf>
    <xf numFmtId="0" fontId="93" fillId="23" borderId="9" xfId="62" applyFill="1" applyBorder="1" applyAlignment="1" applyProtection="1">
      <alignment horizontal="center"/>
      <protection hidden="1"/>
    </xf>
    <xf numFmtId="0" fontId="93" fillId="24" borderId="9" xfId="62" applyFill="1" applyBorder="1" applyAlignment="1" applyProtection="1">
      <alignment horizontal="center"/>
      <protection hidden="1"/>
    </xf>
    <xf numFmtId="0" fontId="28" fillId="23" borderId="9" xfId="62" applyFont="1" applyFill="1" applyBorder="1" applyAlignment="1" applyProtection="1">
      <alignment horizontal="center" wrapText="1"/>
      <protection hidden="1"/>
    </xf>
    <xf numFmtId="0" fontId="28" fillId="0" borderId="9" xfId="62" applyFont="1" applyBorder="1" applyAlignment="1" applyProtection="1">
      <alignment horizontal="center" wrapText="1"/>
      <protection hidden="1"/>
    </xf>
    <xf numFmtId="2" fontId="28" fillId="23" borderId="9" xfId="62" applyNumberFormat="1" applyFont="1" applyFill="1" applyBorder="1" applyAlignment="1" applyProtection="1">
      <alignment horizontal="center" wrapText="1"/>
      <protection hidden="1"/>
    </xf>
    <xf numFmtId="0" fontId="28" fillId="0" borderId="100" xfId="62" applyFont="1" applyBorder="1" applyAlignment="1" applyProtection="1">
      <alignment horizontal="center" wrapText="1"/>
      <protection hidden="1"/>
    </xf>
    <xf numFmtId="0" fontId="28" fillId="0" borderId="10" xfId="62" applyFont="1" applyBorder="1" applyAlignment="1" applyProtection="1">
      <alignment horizontal="center" wrapText="1"/>
      <protection hidden="1"/>
    </xf>
    <xf numFmtId="166" fontId="93" fillId="0" borderId="9" xfId="1" applyBorder="1" applyAlignment="1" applyProtection="1">
      <alignment horizontal="right" wrapText="1"/>
      <protection hidden="1"/>
    </xf>
    <xf numFmtId="166" fontId="20" fillId="0" borderId="9" xfId="62" applyNumberFormat="1" applyFont="1" applyBorder="1" applyAlignment="1" applyProtection="1">
      <alignment horizontal="right"/>
      <protection locked="0" hidden="1"/>
    </xf>
    <xf numFmtId="4" fontId="20" fillId="0" borderId="9" xfId="3" applyNumberFormat="1" applyFont="1" applyBorder="1" applyAlignment="1" applyProtection="1">
      <alignment horizontal="center"/>
      <protection locked="0" hidden="1"/>
    </xf>
    <xf numFmtId="166" fontId="20" fillId="0" borderId="9" xfId="1" applyFont="1" applyBorder="1" applyAlignment="1" applyProtection="1">
      <alignment horizontal="center"/>
      <protection locked="0" hidden="1"/>
    </xf>
    <xf numFmtId="10" fontId="20" fillId="0" borderId="100" xfId="3" applyNumberFormat="1" applyFont="1" applyBorder="1" applyAlignment="1" applyProtection="1">
      <alignment horizontal="right"/>
      <protection locked="0" hidden="1"/>
    </xf>
    <xf numFmtId="166" fontId="28" fillId="0" borderId="9" xfId="1" applyFont="1" applyBorder="1" applyAlignment="1" applyProtection="1">
      <alignment horizontal="right" wrapText="1"/>
      <protection hidden="1"/>
    </xf>
    <xf numFmtId="4" fontId="20" fillId="23" borderId="9" xfId="3" applyNumberFormat="1" applyFont="1" applyFill="1" applyBorder="1" applyAlignment="1" applyProtection="1">
      <alignment horizontal="center"/>
      <protection locked="0" hidden="1"/>
    </xf>
    <xf numFmtId="0" fontId="93" fillId="23" borderId="9" xfId="62" applyFill="1" applyBorder="1" applyAlignment="1" applyProtection="1">
      <alignment horizontal="center" wrapText="1"/>
      <protection hidden="1"/>
    </xf>
    <xf numFmtId="2" fontId="93" fillId="23" borderId="9" xfId="62" applyNumberFormat="1" applyFill="1" applyBorder="1" applyAlignment="1" applyProtection="1">
      <alignment horizontal="center" wrapText="1"/>
      <protection hidden="1"/>
    </xf>
    <xf numFmtId="173" fontId="93" fillId="23" borderId="9" xfId="62" applyNumberFormat="1" applyFill="1" applyBorder="1" applyAlignment="1" applyProtection="1">
      <alignment horizontal="center"/>
      <protection hidden="1"/>
    </xf>
    <xf numFmtId="4" fontId="93" fillId="23" borderId="9" xfId="62" applyNumberFormat="1" applyFill="1" applyBorder="1" applyAlignment="1" applyProtection="1">
      <alignment horizontal="center"/>
      <protection hidden="1"/>
    </xf>
    <xf numFmtId="166" fontId="24" fillId="0" borderId="9" xfId="1" applyFont="1" applyBorder="1" applyAlignment="1" applyProtection="1">
      <alignment horizontal="center"/>
      <protection locked="0" hidden="1"/>
    </xf>
    <xf numFmtId="166" fontId="28" fillId="0" borderId="9" xfId="62" applyNumberFormat="1" applyFont="1" applyBorder="1" applyAlignment="1" applyProtection="1">
      <alignment horizontal="center" wrapText="1"/>
      <protection hidden="1"/>
    </xf>
    <xf numFmtId="4" fontId="20" fillId="23" borderId="9" xfId="62" applyNumberFormat="1" applyFont="1" applyFill="1" applyBorder="1" applyAlignment="1" applyProtection="1">
      <alignment horizontal="right"/>
      <protection locked="0" hidden="1"/>
    </xf>
    <xf numFmtId="0" fontId="28" fillId="23" borderId="89" xfId="62" applyFont="1" applyFill="1" applyBorder="1" applyAlignment="1" applyProtection="1">
      <alignment horizontal="center" wrapText="1"/>
      <protection hidden="1"/>
    </xf>
    <xf numFmtId="0" fontId="28" fillId="23" borderId="17" xfId="62" applyFont="1" applyFill="1" applyBorder="1" applyAlignment="1" applyProtection="1">
      <alignment horizontal="left" wrapText="1"/>
      <protection hidden="1"/>
    </xf>
    <xf numFmtId="0" fontId="28" fillId="21" borderId="17" xfId="62" applyFont="1" applyFill="1" applyBorder="1" applyAlignment="1" applyProtection="1">
      <alignment horizontal="center" wrapText="1"/>
      <protection hidden="1"/>
    </xf>
    <xf numFmtId="2" fontId="55" fillId="21" borderId="17" xfId="62" applyNumberFormat="1" applyFont="1" applyFill="1" applyBorder="1" applyAlignment="1" applyProtection="1">
      <alignment horizontal="right" vertical="center" wrapText="1"/>
      <protection locked="0"/>
    </xf>
    <xf numFmtId="0" fontId="28" fillId="21" borderId="17" xfId="62" applyFont="1" applyFill="1" applyBorder="1" applyAlignment="1" applyProtection="1">
      <alignment horizontal="right" wrapText="1"/>
      <protection hidden="1"/>
    </xf>
    <xf numFmtId="166" fontId="28" fillId="0" borderId="17" xfId="1" applyFont="1" applyBorder="1" applyAlignment="1" applyProtection="1">
      <alignment horizontal="right" wrapText="1"/>
      <protection hidden="1"/>
    </xf>
    <xf numFmtId="0" fontId="28" fillId="0" borderId="17" xfId="62" applyFont="1" applyBorder="1" applyAlignment="1" applyProtection="1">
      <alignment horizontal="center" wrapText="1"/>
      <protection hidden="1"/>
    </xf>
    <xf numFmtId="4" fontId="20" fillId="0" borderId="9" xfId="3" applyNumberFormat="1" applyFont="1" applyBorder="1" applyAlignment="1" applyProtection="1">
      <alignment horizontal="right"/>
      <protection locked="0" hidden="1"/>
    </xf>
    <xf numFmtId="4" fontId="28" fillId="0" borderId="17" xfId="3" applyNumberFormat="1" applyFont="1" applyBorder="1" applyAlignment="1" applyProtection="1">
      <alignment horizontal="right"/>
      <protection locked="0" hidden="1"/>
    </xf>
    <xf numFmtId="0" fontId="28" fillId="0" borderId="98" xfId="62" applyFont="1" applyBorder="1" applyAlignment="1" applyProtection="1">
      <alignment horizontal="center" wrapText="1"/>
      <protection hidden="1"/>
    </xf>
    <xf numFmtId="0" fontId="28" fillId="24" borderId="9" xfId="62" applyFont="1" applyFill="1" applyBorder="1" applyAlignment="1" applyProtection="1">
      <alignment horizontal="center" wrapText="1"/>
      <protection hidden="1"/>
    </xf>
    <xf numFmtId="9" fontId="28" fillId="23" borderId="9" xfId="62" applyNumberFormat="1" applyFont="1" applyFill="1" applyBorder="1" applyAlignment="1" applyProtection="1">
      <alignment horizontal="center"/>
      <protection hidden="1"/>
    </xf>
    <xf numFmtId="166" fontId="28" fillId="24" borderId="9" xfId="1" applyFont="1" applyFill="1" applyBorder="1" applyAlignment="1" applyProtection="1">
      <alignment horizontal="right" wrapText="1"/>
      <protection hidden="1"/>
    </xf>
    <xf numFmtId="0" fontId="93" fillId="21" borderId="105" xfId="62" applyFill="1" applyBorder="1" applyAlignment="1" applyProtection="1">
      <alignment horizontal="center" wrapText="1"/>
      <protection hidden="1"/>
    </xf>
    <xf numFmtId="0" fontId="28" fillId="21" borderId="33" xfId="62" applyFont="1" applyFill="1" applyBorder="1" applyAlignment="1" applyProtection="1">
      <alignment horizontal="left" wrapText="1"/>
      <protection hidden="1"/>
    </xf>
    <xf numFmtId="0" fontId="93" fillId="21" borderId="33" xfId="62" applyFill="1" applyBorder="1" applyAlignment="1" applyProtection="1">
      <alignment horizontal="center" wrapText="1"/>
      <protection hidden="1"/>
    </xf>
    <xf numFmtId="2" fontId="56" fillId="21" borderId="33" xfId="62" applyNumberFormat="1" applyFont="1" applyFill="1" applyBorder="1" applyAlignment="1" applyProtection="1">
      <alignment horizontal="right" vertical="center" wrapText="1"/>
      <protection locked="0"/>
    </xf>
    <xf numFmtId="0" fontId="93" fillId="21" borderId="33" xfId="62" applyFill="1" applyBorder="1" applyAlignment="1" applyProtection="1">
      <alignment horizontal="right" wrapText="1"/>
      <protection hidden="1"/>
    </xf>
    <xf numFmtId="166" fontId="28" fillId="24" borderId="33" xfId="1" applyFont="1" applyFill="1" applyBorder="1" applyAlignment="1" applyProtection="1">
      <alignment horizontal="right" wrapText="1"/>
      <protection hidden="1"/>
    </xf>
    <xf numFmtId="0" fontId="28" fillId="21" borderId="33" xfId="62" applyFont="1" applyFill="1" applyBorder="1" applyAlignment="1" applyProtection="1">
      <alignment horizontal="center" wrapText="1"/>
      <protection hidden="1"/>
    </xf>
    <xf numFmtId="0" fontId="28" fillId="0" borderId="33" xfId="62" applyFont="1" applyBorder="1" applyAlignment="1" applyProtection="1">
      <alignment horizontal="center" wrapText="1"/>
      <protection hidden="1"/>
    </xf>
    <xf numFmtId="166" fontId="20" fillId="0" borderId="33" xfId="1" applyFont="1" applyBorder="1" applyAlignment="1" applyProtection="1">
      <alignment horizontal="right"/>
      <protection locked="0" hidden="1"/>
    </xf>
    <xf numFmtId="166" fontId="28" fillId="0" borderId="33" xfId="1" applyFont="1" applyBorder="1" applyAlignment="1" applyProtection="1">
      <alignment horizontal="right"/>
      <protection locked="0" hidden="1"/>
    </xf>
    <xf numFmtId="0" fontId="28" fillId="21" borderId="106" xfId="62" applyFont="1" applyFill="1" applyBorder="1" applyAlignment="1" applyProtection="1">
      <alignment horizontal="center" wrapText="1"/>
      <protection hidden="1"/>
    </xf>
    <xf numFmtId="0" fontId="24" fillId="22" borderId="0" xfId="62" applyFont="1" applyFill="1" applyAlignment="1" applyProtection="1">
      <alignment horizontal="left"/>
      <protection locked="0" hidden="1"/>
    </xf>
    <xf numFmtId="0" fontId="24" fillId="0" borderId="48" xfId="62" applyFont="1" applyBorder="1" applyAlignment="1">
      <alignment horizontal="left" vertical="top"/>
    </xf>
    <xf numFmtId="190" fontId="28" fillId="0" borderId="68" xfId="62" applyNumberFormat="1" applyFont="1" applyBorder="1" applyAlignment="1" applyProtection="1">
      <alignment horizontal="center" vertical="top"/>
      <protection locked="0"/>
    </xf>
    <xf numFmtId="182" fontId="24" fillId="0" borderId="17" xfId="62" applyNumberFormat="1" applyFont="1" applyBorder="1" applyAlignment="1" applyProtection="1">
      <alignment horizontal="center" vertical="top"/>
      <protection locked="0"/>
    </xf>
    <xf numFmtId="191" fontId="24" fillId="0" borderId="17" xfId="62" applyNumberFormat="1" applyFont="1" applyBorder="1" applyAlignment="1" applyProtection="1">
      <alignment horizontal="center" vertical="center"/>
      <protection locked="0"/>
    </xf>
    <xf numFmtId="0" fontId="43" fillId="0" borderId="17" xfId="62" applyFont="1" applyBorder="1" applyAlignment="1" applyProtection="1">
      <alignment horizontal="left"/>
      <protection locked="0"/>
    </xf>
    <xf numFmtId="182" fontId="28" fillId="0" borderId="17" xfId="62" applyNumberFormat="1" applyFont="1" applyBorder="1" applyAlignment="1" applyProtection="1">
      <alignment horizontal="center"/>
      <protection locked="0"/>
    </xf>
    <xf numFmtId="0" fontId="24" fillId="0" borderId="17" xfId="62" applyFont="1" applyBorder="1" applyAlignment="1" applyProtection="1">
      <alignment horizontal="left" vertical="top"/>
      <protection locked="0"/>
    </xf>
    <xf numFmtId="0" fontId="24" fillId="0" borderId="96" xfId="62" applyFont="1" applyBorder="1" applyProtection="1">
      <protection locked="0"/>
    </xf>
    <xf numFmtId="0" fontId="24" fillId="0" borderId="96" xfId="62" applyFont="1" applyBorder="1" applyAlignment="1" applyProtection="1">
      <alignment horizontal="center"/>
      <protection locked="0"/>
    </xf>
    <xf numFmtId="0" fontId="24" fillId="0" borderId="17" xfId="62" applyFont="1" applyBorder="1" applyProtection="1">
      <protection locked="0"/>
    </xf>
    <xf numFmtId="0" fontId="24" fillId="0" borderId="17" xfId="62" applyFont="1" applyBorder="1" applyAlignment="1" applyProtection="1">
      <alignment horizontal="center"/>
      <protection locked="0"/>
    </xf>
    <xf numFmtId="182" fontId="28" fillId="0" borderId="17" xfId="62" applyNumberFormat="1" applyFont="1" applyBorder="1" applyAlignment="1" applyProtection="1">
      <alignment horizontal="left"/>
      <protection locked="0"/>
    </xf>
    <xf numFmtId="166" fontId="24" fillId="0" borderId="67" xfId="1" applyFont="1" applyBorder="1" applyAlignment="1" applyProtection="1">
      <alignment horizontal="center" vertical="top"/>
    </xf>
    <xf numFmtId="166" fontId="24" fillId="0" borderId="67" xfId="1" applyFont="1" applyBorder="1" applyAlignment="1" applyProtection="1">
      <alignment horizontal="center" vertical="top"/>
      <protection locked="0"/>
    </xf>
    <xf numFmtId="0" fontId="24" fillId="0" borderId="17" xfId="62" applyFont="1" applyBorder="1" applyAlignment="1" applyProtection="1">
      <alignment horizontal="left" vertical="top" wrapText="1"/>
      <protection locked="0"/>
    </xf>
    <xf numFmtId="166" fontId="24" fillId="0" borderId="17" xfId="1" applyFont="1" applyBorder="1" applyAlignment="1" applyProtection="1">
      <alignment horizontal="center" vertical="top"/>
      <protection locked="0"/>
    </xf>
    <xf numFmtId="0" fontId="20" fillId="20" borderId="67" xfId="62" applyFont="1" applyFill="1" applyBorder="1" applyAlignment="1">
      <alignment horizontal="center" vertical="top"/>
    </xf>
    <xf numFmtId="0" fontId="20" fillId="21" borderId="28" xfId="62" applyFont="1" applyFill="1" applyBorder="1" applyAlignment="1">
      <alignment horizontal="center" vertical="top"/>
    </xf>
    <xf numFmtId="0" fontId="28" fillId="21" borderId="28" xfId="62" applyFont="1" applyFill="1" applyBorder="1" applyAlignment="1">
      <alignment horizontal="center"/>
    </xf>
    <xf numFmtId="0" fontId="93" fillId="21" borderId="28" xfId="62" applyFill="1" applyBorder="1" applyAlignment="1">
      <alignment horizontal="center"/>
    </xf>
    <xf numFmtId="0" fontId="20" fillId="21" borderId="28" xfId="62" applyFont="1" applyFill="1" applyBorder="1" applyAlignment="1">
      <alignment horizontal="center"/>
    </xf>
    <xf numFmtId="0" fontId="20" fillId="21" borderId="28" xfId="62" applyFont="1" applyFill="1" applyBorder="1" applyAlignment="1">
      <alignment horizontal="left"/>
    </xf>
    <xf numFmtId="0" fontId="20" fillId="0" borderId="28" xfId="62" applyFont="1" applyBorder="1" applyAlignment="1" applyProtection="1">
      <alignment horizontal="center" vertical="top"/>
      <protection locked="0"/>
    </xf>
    <xf numFmtId="0" fontId="20" fillId="0" borderId="109" xfId="62" applyFont="1" applyBorder="1" applyAlignment="1" applyProtection="1">
      <alignment horizontal="left" vertical="top"/>
      <protection locked="0"/>
    </xf>
    <xf numFmtId="2" fontId="20" fillId="0" borderId="109" xfId="3" applyNumberFormat="1" applyFont="1" applyBorder="1" applyAlignment="1" applyProtection="1">
      <alignment horizontal="center" vertical="top"/>
    </xf>
    <xf numFmtId="166" fontId="20" fillId="0" borderId="109" xfId="1" applyFont="1" applyBorder="1" applyAlignment="1" applyProtection="1">
      <alignment horizontal="center"/>
      <protection locked="0"/>
    </xf>
    <xf numFmtId="166" fontId="20" fillId="0" borderId="28" xfId="1" applyFont="1" applyBorder="1" applyAlignment="1" applyProtection="1">
      <alignment horizontal="center"/>
    </xf>
    <xf numFmtId="166" fontId="20" fillId="0" borderId="109" xfId="1" applyFont="1" applyBorder="1" applyAlignment="1" applyProtection="1">
      <alignment horizontal="center"/>
    </xf>
    <xf numFmtId="166" fontId="20" fillId="0" borderId="28" xfId="1" applyFont="1" applyBorder="1" applyAlignment="1" applyProtection="1">
      <alignment horizontal="center"/>
      <protection locked="0"/>
    </xf>
    <xf numFmtId="2" fontId="20" fillId="0" borderId="28" xfId="3" applyNumberFormat="1" applyFont="1" applyBorder="1" applyAlignment="1" applyProtection="1">
      <alignment horizontal="center" vertical="top"/>
    </xf>
    <xf numFmtId="2" fontId="20" fillId="20" borderId="9" xfId="62" applyNumberFormat="1" applyFont="1" applyFill="1" applyBorder="1" applyAlignment="1">
      <alignment horizontal="center"/>
    </xf>
    <xf numFmtId="166" fontId="20" fillId="20" borderId="9" xfId="1" applyFont="1" applyFill="1" applyBorder="1" applyAlignment="1" applyProtection="1">
      <alignment horizontal="center"/>
    </xf>
    <xf numFmtId="2" fontId="20" fillId="20" borderId="9" xfId="3" applyNumberFormat="1" applyFont="1" applyFill="1" applyBorder="1" applyAlignment="1" applyProtection="1">
      <alignment horizontal="center"/>
    </xf>
    <xf numFmtId="0" fontId="20" fillId="0" borderId="112" xfId="62" applyFont="1" applyBorder="1" applyAlignment="1" applyProtection="1">
      <alignment horizontal="left" vertical="top"/>
      <protection locked="0"/>
    </xf>
    <xf numFmtId="166" fontId="20" fillId="20" borderId="9" xfId="62" applyNumberFormat="1" applyFont="1" applyFill="1" applyBorder="1" applyAlignment="1">
      <alignment horizontal="center"/>
    </xf>
    <xf numFmtId="166" fontId="20" fillId="20" borderId="9" xfId="62" applyNumberFormat="1" applyFont="1" applyFill="1" applyBorder="1"/>
    <xf numFmtId="0" fontId="20" fillId="0" borderId="17" xfId="62" applyFont="1" applyBorder="1" applyAlignment="1" applyProtection="1">
      <alignment horizontal="left" vertical="top" wrapText="1"/>
      <protection locked="0"/>
    </xf>
    <xf numFmtId="0" fontId="24" fillId="0" borderId="19" xfId="62" applyFont="1" applyBorder="1" applyAlignment="1" applyProtection="1">
      <alignment vertical="top"/>
      <protection locked="0"/>
    </xf>
    <xf numFmtId="0" fontId="20" fillId="0" borderId="0" xfId="62" applyFont="1" applyAlignment="1">
      <alignment horizontal="left" vertical="top"/>
    </xf>
    <xf numFmtId="0" fontId="24" fillId="0" borderId="0" xfId="62" applyFont="1" applyAlignment="1" applyProtection="1">
      <alignment horizontal="left" vertical="top"/>
      <protection locked="0"/>
    </xf>
    <xf numFmtId="0" fontId="26" fillId="0" borderId="0" xfId="0" applyFont="1" applyAlignment="1">
      <alignment horizontal="center"/>
    </xf>
    <xf numFmtId="0" fontId="35" fillId="0" borderId="112" xfId="0" applyFont="1" applyBorder="1" applyAlignment="1">
      <alignment horizontal="center"/>
    </xf>
    <xf numFmtId="0" fontId="28" fillId="0" borderId="9" xfId="0" applyFont="1" applyBorder="1" applyAlignment="1">
      <alignment horizontal="center" vertical="center"/>
    </xf>
    <xf numFmtId="0" fontId="42" fillId="0" borderId="9" xfId="0" applyFont="1" applyBorder="1" applyAlignment="1">
      <alignment horizontal="center" vertical="center" wrapText="1"/>
    </xf>
    <xf numFmtId="4" fontId="28" fillId="0" borderId="9" xfId="0" applyNumberFormat="1" applyFont="1" applyBorder="1" applyAlignment="1">
      <alignment horizontal="center" vertical="center"/>
    </xf>
    <xf numFmtId="4" fontId="28" fillId="0" borderId="9" xfId="1" applyNumberFormat="1" applyFont="1" applyBorder="1" applyAlignment="1" applyProtection="1">
      <alignment horizontal="center" vertical="center" wrapText="1"/>
    </xf>
    <xf numFmtId="4" fontId="42" fillId="0" borderId="9" xfId="1" applyNumberFormat="1" applyFont="1" applyBorder="1" applyAlignment="1" applyProtection="1">
      <alignment horizontal="center" vertical="center" wrapText="1"/>
    </xf>
    <xf numFmtId="0" fontId="42" fillId="0" borderId="109" xfId="0" applyFont="1" applyBorder="1" applyAlignment="1">
      <alignment horizontal="center" vertical="center"/>
    </xf>
    <xf numFmtId="0" fontId="42" fillId="0" borderId="109" xfId="69" applyFont="1" applyBorder="1" applyAlignment="1">
      <alignment horizontal="center" vertical="center"/>
    </xf>
    <xf numFmtId="0" fontId="42" fillId="29" borderId="109" xfId="0" applyFont="1" applyFill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39" fillId="24" borderId="134" xfId="0" applyFont="1" applyFill="1" applyBorder="1" applyAlignment="1">
      <alignment horizontal="center" vertical="center"/>
    </xf>
    <xf numFmtId="0" fontId="28" fillId="0" borderId="135" xfId="0" applyFont="1" applyBorder="1" applyAlignment="1">
      <alignment horizontal="center" vertical="center" wrapText="1"/>
    </xf>
    <xf numFmtId="173" fontId="24" fillId="23" borderId="9" xfId="2" applyFont="1" applyFill="1" applyBorder="1" applyAlignment="1" applyProtection="1">
      <alignment horizontal="center" vertical="center"/>
    </xf>
    <xf numFmtId="0" fontId="0" fillId="0" borderId="16" xfId="0" applyBorder="1" applyAlignment="1">
      <alignment horizontal="left" vertical="center" wrapText="1"/>
    </xf>
    <xf numFmtId="0" fontId="20" fillId="23" borderId="9" xfId="0" applyFont="1" applyFill="1" applyBorder="1" applyAlignment="1">
      <alignment horizontal="center" vertical="center"/>
    </xf>
    <xf numFmtId="0" fontId="36" fillId="0" borderId="9" xfId="51" applyFont="1" applyBorder="1" applyAlignment="1">
      <alignment horizontal="center" vertical="center" wrapText="1"/>
    </xf>
    <xf numFmtId="0" fontId="38" fillId="0" borderId="9" xfId="51" applyFont="1" applyBorder="1" applyAlignment="1">
      <alignment horizontal="center" vertical="center" wrapText="1"/>
    </xf>
    <xf numFmtId="10" fontId="38" fillId="0" borderId="9" xfId="51" applyNumberFormat="1" applyFont="1" applyBorder="1" applyAlignment="1">
      <alignment horizontal="center" vertical="center" wrapText="1"/>
    </xf>
    <xf numFmtId="0" fontId="20" fillId="24" borderId="9" xfId="0" applyFont="1" applyFill="1" applyBorder="1" applyAlignment="1">
      <alignment horizontal="center"/>
    </xf>
    <xf numFmtId="173" fontId="93" fillId="24" borderId="16" xfId="2" applyFill="1" applyBorder="1" applyAlignment="1" applyProtection="1">
      <alignment horizontal="center"/>
    </xf>
    <xf numFmtId="0" fontId="81" fillId="2" borderId="0" xfId="0" applyFont="1" applyFill="1" applyAlignment="1" applyProtection="1">
      <alignment horizontal="left" vertical="top"/>
      <protection locked="0"/>
    </xf>
    <xf numFmtId="0" fontId="82" fillId="0" borderId="0" xfId="0" applyFont="1" applyAlignment="1">
      <alignment horizontal="center" vertical="center"/>
    </xf>
    <xf numFmtId="0" fontId="85" fillId="0" borderId="9" xfId="0" applyFont="1" applyBorder="1" applyAlignment="1">
      <alignment horizontal="center" vertical="center"/>
    </xf>
    <xf numFmtId="0" fontId="56" fillId="0" borderId="0" xfId="0" applyFont="1" applyAlignment="1">
      <alignment horizontal="right" vertical="center" wrapText="1"/>
    </xf>
    <xf numFmtId="0" fontId="26" fillId="0" borderId="0" xfId="55" applyFont="1" applyAlignment="1">
      <alignment horizontal="center" vertical="center" wrapText="1"/>
    </xf>
    <xf numFmtId="174" fontId="20" fillId="23" borderId="9" xfId="0" applyNumberFormat="1" applyFont="1" applyFill="1" applyBorder="1" applyAlignment="1">
      <alignment horizontal="center" vertical="center"/>
    </xf>
    <xf numFmtId="174" fontId="20" fillId="0" borderId="9" xfId="0" applyNumberFormat="1" applyFont="1" applyBorder="1" applyAlignment="1">
      <alignment horizontal="center" vertical="center"/>
    </xf>
  </cellXfs>
  <cellStyles count="122">
    <cellStyle name="20% - Accent1" xfId="5" xr:uid="{00000000-0005-0000-0000-000006000000}"/>
    <cellStyle name="20% - Accent2" xfId="6" xr:uid="{00000000-0005-0000-0000-000007000000}"/>
    <cellStyle name="20% - Accent3" xfId="7" xr:uid="{00000000-0005-0000-0000-000008000000}"/>
    <cellStyle name="20% - Accent4" xfId="8" xr:uid="{00000000-0005-0000-0000-000009000000}"/>
    <cellStyle name="20% - Accent5" xfId="9" xr:uid="{00000000-0005-0000-0000-00000A000000}"/>
    <cellStyle name="20% - Accent6" xfId="10" xr:uid="{00000000-0005-0000-0000-00000B000000}"/>
    <cellStyle name="40% - Accent1" xfId="11" xr:uid="{00000000-0005-0000-0000-00000C000000}"/>
    <cellStyle name="40% - Accent2" xfId="12" xr:uid="{00000000-0005-0000-0000-00000D000000}"/>
    <cellStyle name="40% - Accent3" xfId="13" xr:uid="{00000000-0005-0000-0000-00000E000000}"/>
    <cellStyle name="40% - Accent4" xfId="14" xr:uid="{00000000-0005-0000-0000-00000F000000}"/>
    <cellStyle name="40% - Accent5" xfId="15" xr:uid="{00000000-0005-0000-0000-000010000000}"/>
    <cellStyle name="40% - Accent6" xfId="16" xr:uid="{00000000-0005-0000-0000-000011000000}"/>
    <cellStyle name="60% - Accent1" xfId="17" xr:uid="{00000000-0005-0000-0000-000012000000}"/>
    <cellStyle name="60% - Accent2" xfId="18" xr:uid="{00000000-0005-0000-0000-000013000000}"/>
    <cellStyle name="60% - Accent3" xfId="19" xr:uid="{00000000-0005-0000-0000-000014000000}"/>
    <cellStyle name="60% - Accent4" xfId="20" xr:uid="{00000000-0005-0000-0000-000015000000}"/>
    <cellStyle name="60% - Accent5" xfId="21" xr:uid="{00000000-0005-0000-0000-000016000000}"/>
    <cellStyle name="60% - Accent6" xfId="22" xr:uid="{00000000-0005-0000-0000-000017000000}"/>
    <cellStyle name="Accent1" xfId="23" xr:uid="{00000000-0005-0000-0000-000018000000}"/>
    <cellStyle name="Accent2" xfId="24" xr:uid="{00000000-0005-0000-0000-000019000000}"/>
    <cellStyle name="Accent3" xfId="25" xr:uid="{00000000-0005-0000-0000-00001A000000}"/>
    <cellStyle name="Accent4" xfId="26" xr:uid="{00000000-0005-0000-0000-00001B000000}"/>
    <cellStyle name="Accent5" xfId="27" xr:uid="{00000000-0005-0000-0000-00001C000000}"/>
    <cellStyle name="Accent6" xfId="28" xr:uid="{00000000-0005-0000-0000-00001D000000}"/>
    <cellStyle name="Bad 1" xfId="29" xr:uid="{00000000-0005-0000-0000-00001E000000}"/>
    <cellStyle name="Calculation" xfId="30" xr:uid="{00000000-0005-0000-0000-00001F000000}"/>
    <cellStyle name="Calculation 2" xfId="31" xr:uid="{00000000-0005-0000-0000-000020000000}"/>
    <cellStyle name="Calculation 3" xfId="32" xr:uid="{00000000-0005-0000-0000-000021000000}"/>
    <cellStyle name="Check Cell" xfId="33" xr:uid="{00000000-0005-0000-0000-000022000000}"/>
    <cellStyle name="Cruzeiro Real" xfId="34" xr:uid="{00000000-0005-0000-0000-000023000000}"/>
    <cellStyle name="Euro" xfId="35" xr:uid="{00000000-0005-0000-0000-000024000000}"/>
    <cellStyle name="Explanatory Text" xfId="36" xr:uid="{00000000-0005-0000-0000-000025000000}"/>
    <cellStyle name="Good 2" xfId="37" xr:uid="{00000000-0005-0000-0000-000026000000}"/>
    <cellStyle name="Heading 1 3" xfId="38" xr:uid="{00000000-0005-0000-0000-000027000000}"/>
    <cellStyle name="Heading 2 4" xfId="39" xr:uid="{00000000-0005-0000-0000-000028000000}"/>
    <cellStyle name="Heading 3" xfId="40" xr:uid="{00000000-0005-0000-0000-000029000000}"/>
    <cellStyle name="Heading 4" xfId="41" xr:uid="{00000000-0005-0000-0000-00002A000000}"/>
    <cellStyle name="Hiperlink" xfId="4" builtinId="8"/>
    <cellStyle name="Input" xfId="42" xr:uid="{00000000-0005-0000-0000-00002B000000}"/>
    <cellStyle name="Input 2" xfId="43" xr:uid="{00000000-0005-0000-0000-00002C000000}"/>
    <cellStyle name="Input 3" xfId="44" xr:uid="{00000000-0005-0000-0000-00002D000000}"/>
    <cellStyle name="Linked Cell" xfId="45" xr:uid="{00000000-0005-0000-0000-00002E000000}"/>
    <cellStyle name="Millares 2" xfId="46" xr:uid="{00000000-0005-0000-0000-00002F000000}"/>
    <cellStyle name="Moeda" xfId="2" builtinId="4"/>
    <cellStyle name="Moeda 2" xfId="47" xr:uid="{00000000-0005-0000-0000-000030000000}"/>
    <cellStyle name="Moeda 3" xfId="48" xr:uid="{00000000-0005-0000-0000-000031000000}"/>
    <cellStyle name="Neutral 5" xfId="49" xr:uid="{00000000-0005-0000-0000-000032000000}"/>
    <cellStyle name="Normal" xfId="0" builtinId="0"/>
    <cellStyle name="Normal 10" xfId="50" xr:uid="{00000000-0005-0000-0000-000033000000}"/>
    <cellStyle name="Normal 11" xfId="51" xr:uid="{00000000-0005-0000-0000-000034000000}"/>
    <cellStyle name="Normal 11 2" xfId="52" xr:uid="{00000000-0005-0000-0000-000035000000}"/>
    <cellStyle name="Normal 12" xfId="53" xr:uid="{00000000-0005-0000-0000-000036000000}"/>
    <cellStyle name="Normal 12 2" xfId="54" xr:uid="{00000000-0005-0000-0000-000037000000}"/>
    <cellStyle name="Normal 13" xfId="55" xr:uid="{00000000-0005-0000-0000-000038000000}"/>
    <cellStyle name="Normal 147" xfId="56" xr:uid="{00000000-0005-0000-0000-000039000000}"/>
    <cellStyle name="Normal 157" xfId="57" xr:uid="{00000000-0005-0000-0000-00003A000000}"/>
    <cellStyle name="Normal 158" xfId="58" xr:uid="{00000000-0005-0000-0000-00003B000000}"/>
    <cellStyle name="Normal 159" xfId="59" xr:uid="{00000000-0005-0000-0000-00003C000000}"/>
    <cellStyle name="Normal 160" xfId="60" xr:uid="{00000000-0005-0000-0000-00003D000000}"/>
    <cellStyle name="Normal 161" xfId="61" xr:uid="{00000000-0005-0000-0000-00003E000000}"/>
    <cellStyle name="Normal 2" xfId="62" xr:uid="{00000000-0005-0000-0000-00003F000000}"/>
    <cellStyle name="Normal 2 2" xfId="63" xr:uid="{00000000-0005-0000-0000-000040000000}"/>
    <cellStyle name="Normal 2 2 2" xfId="64" xr:uid="{00000000-0005-0000-0000-000041000000}"/>
    <cellStyle name="Normal 2 3" xfId="65" xr:uid="{00000000-0005-0000-0000-000042000000}"/>
    <cellStyle name="Normal 2 4" xfId="66" xr:uid="{00000000-0005-0000-0000-000043000000}"/>
    <cellStyle name="Normal 2 4 2" xfId="67" xr:uid="{00000000-0005-0000-0000-000044000000}"/>
    <cellStyle name="Normal 2 5" xfId="68" xr:uid="{00000000-0005-0000-0000-000045000000}"/>
    <cellStyle name="Normal 3" xfId="69" xr:uid="{00000000-0005-0000-0000-000046000000}"/>
    <cellStyle name="Normal 3 2" xfId="70" xr:uid="{00000000-0005-0000-0000-000047000000}"/>
    <cellStyle name="Normal 3 3" xfId="71" xr:uid="{00000000-0005-0000-0000-000048000000}"/>
    <cellStyle name="Normal 4" xfId="72" xr:uid="{00000000-0005-0000-0000-000049000000}"/>
    <cellStyle name="Normal 4 2" xfId="73" xr:uid="{00000000-0005-0000-0000-00004A000000}"/>
    <cellStyle name="Normal 5" xfId="74" xr:uid="{00000000-0005-0000-0000-00004B000000}"/>
    <cellStyle name="Normal 6" xfId="75" xr:uid="{00000000-0005-0000-0000-00004C000000}"/>
    <cellStyle name="Normal 6 2" xfId="76" xr:uid="{00000000-0005-0000-0000-00004D000000}"/>
    <cellStyle name="Normal 7" xfId="77" xr:uid="{00000000-0005-0000-0000-00004E000000}"/>
    <cellStyle name="Normal 8" xfId="78" xr:uid="{00000000-0005-0000-0000-00004F000000}"/>
    <cellStyle name="Normal 8 2" xfId="79" xr:uid="{00000000-0005-0000-0000-000050000000}"/>
    <cellStyle name="Normal 87" xfId="80" xr:uid="{00000000-0005-0000-0000-000051000000}"/>
    <cellStyle name="Normal 9" xfId="81" xr:uid="{00000000-0005-0000-0000-000052000000}"/>
    <cellStyle name="Normal 9 2" xfId="82" xr:uid="{00000000-0005-0000-0000-000053000000}"/>
    <cellStyle name="Normal_A.FRIA_1" xfId="83" xr:uid="{00000000-0005-0000-0000-000054000000}"/>
    <cellStyle name="Normal_PASTA ORÇAMENTO1" xfId="84" xr:uid="{00000000-0005-0000-0000-000055000000}"/>
    <cellStyle name="Normal_Plan1" xfId="85" xr:uid="{00000000-0005-0000-0000-000056000000}"/>
    <cellStyle name="Normal_QCI E CRONOGRAMA GERAL - Área 2 - Rev. 04" xfId="86" xr:uid="{00000000-0005-0000-0000-000057000000}"/>
    <cellStyle name="Normal_tab0907" xfId="87" xr:uid="{00000000-0005-0000-0000-000058000000}"/>
    <cellStyle name="Note 2" xfId="88" xr:uid="{00000000-0005-0000-0000-000059000000}"/>
    <cellStyle name="Note 3" xfId="89" xr:uid="{00000000-0005-0000-0000-00005A000000}"/>
    <cellStyle name="Note 6" xfId="90" xr:uid="{00000000-0005-0000-0000-00005B000000}"/>
    <cellStyle name="Output" xfId="91" xr:uid="{00000000-0005-0000-0000-00005C000000}"/>
    <cellStyle name="Output 2" xfId="92" xr:uid="{00000000-0005-0000-0000-00005D000000}"/>
    <cellStyle name="Output 3" xfId="93" xr:uid="{00000000-0005-0000-0000-00005E000000}"/>
    <cellStyle name="Porcentagem" xfId="3" builtinId="5"/>
    <cellStyle name="Porcentagem 2" xfId="94" xr:uid="{00000000-0005-0000-0000-00005F000000}"/>
    <cellStyle name="Porcentagem 2 2" xfId="95" xr:uid="{00000000-0005-0000-0000-000060000000}"/>
    <cellStyle name="Porcentagem 3" xfId="96" xr:uid="{00000000-0005-0000-0000-000061000000}"/>
    <cellStyle name="Porcentagem 3 2" xfId="97" xr:uid="{00000000-0005-0000-0000-000062000000}"/>
    <cellStyle name="Separador de milhares 2" xfId="98" xr:uid="{00000000-0005-0000-0000-000063000000}"/>
    <cellStyle name="Separador de milhares 2 2" xfId="99" xr:uid="{00000000-0005-0000-0000-000064000000}"/>
    <cellStyle name="Separador de milhares 2 2 5" xfId="100" xr:uid="{00000000-0005-0000-0000-000065000000}"/>
    <cellStyle name="Separador de milhares 3" xfId="101" xr:uid="{00000000-0005-0000-0000-000066000000}"/>
    <cellStyle name="Separador de milhares 4" xfId="102" xr:uid="{00000000-0005-0000-0000-000067000000}"/>
    <cellStyle name="Separador de milhares 5" xfId="103" xr:uid="{00000000-0005-0000-0000-000068000000}"/>
    <cellStyle name="Separador de milhares 6" xfId="104" xr:uid="{00000000-0005-0000-0000-000069000000}"/>
    <cellStyle name="Separador de milhares 7" xfId="105" xr:uid="{00000000-0005-0000-0000-00006A000000}"/>
    <cellStyle name="Separador de milhares 8" xfId="106" xr:uid="{00000000-0005-0000-0000-00006B000000}"/>
    <cellStyle name="Title" xfId="107" xr:uid="{00000000-0005-0000-0000-00006C000000}"/>
    <cellStyle name="Vírgula" xfId="1" builtinId="3"/>
    <cellStyle name="Vírgula 2" xfId="108" xr:uid="{00000000-0005-0000-0000-00006D000000}"/>
    <cellStyle name="Vírgula 2 2" xfId="109" xr:uid="{00000000-0005-0000-0000-00006E000000}"/>
    <cellStyle name="Vírgula 2 2 2" xfId="110" xr:uid="{00000000-0005-0000-0000-00006F000000}"/>
    <cellStyle name="Vírgula 3" xfId="111" xr:uid="{00000000-0005-0000-0000-000070000000}"/>
    <cellStyle name="Vírgula 3 2" xfId="112" xr:uid="{00000000-0005-0000-0000-000071000000}"/>
    <cellStyle name="Vírgula 3 2 2" xfId="113" xr:uid="{00000000-0005-0000-0000-000072000000}"/>
    <cellStyle name="Vírgula 3 3" xfId="114" xr:uid="{00000000-0005-0000-0000-000073000000}"/>
    <cellStyle name="Vírgula 3 3 2" xfId="115" xr:uid="{00000000-0005-0000-0000-000074000000}"/>
    <cellStyle name="Vírgula 3 4" xfId="116" xr:uid="{00000000-0005-0000-0000-000075000000}"/>
    <cellStyle name="Vírgula 4" xfId="117" xr:uid="{00000000-0005-0000-0000-000076000000}"/>
    <cellStyle name="Vírgula 4 2" xfId="118" xr:uid="{00000000-0005-0000-0000-000077000000}"/>
    <cellStyle name="Vírgula 5" xfId="119" xr:uid="{00000000-0005-0000-0000-000078000000}"/>
    <cellStyle name="Vírgula 5 2" xfId="120" xr:uid="{00000000-0005-0000-0000-000079000000}"/>
    <cellStyle name="Warning Text" xfId="121" xr:uid="{00000000-0005-0000-0000-00007A000000}"/>
  </cellStyles>
  <dxfs count="8"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color rgb="FFFFFFFF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D0CECE"/>
      <rgbColor rgb="FF9C0006"/>
      <rgbColor rgb="FF008000"/>
      <rgbColor rgb="FF000080"/>
      <rgbColor rgb="FFBFBFBF"/>
      <rgbColor rgb="FF800080"/>
      <rgbColor rgb="FF2F5597"/>
      <rgbColor rgb="FFC0C0C0"/>
      <rgbColor rgb="FF808080"/>
      <rgbColor rgb="FF8FAADC"/>
      <rgbColor rgb="FFC9211E"/>
      <rgbColor rgb="FFFFFFCC"/>
      <rgbColor rgb="FFCCFFFF"/>
      <rgbColor rgb="FF660066"/>
      <rgbColor rgb="FFFF8080"/>
      <rgbColor rgb="FF0066CC"/>
      <rgbColor rgb="FFCCCCFF"/>
      <rgbColor rgb="FF000080"/>
      <rgbColor rgb="FFFFE699"/>
      <rgbColor rgb="FFFFC000"/>
      <rgbColor rgb="FFDAE3F3"/>
      <rgbColor rgb="FF800080"/>
      <rgbColor rgb="FF800000"/>
      <rgbColor rgb="FFD9D9D9"/>
      <rgbColor rgb="FF0000FF"/>
      <rgbColor rgb="FFB4C7E7"/>
      <rgbColor rgb="FFE2F0D9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003366"/>
      <rgbColor rgb="FF339966"/>
      <rgbColor rgb="FF003300"/>
      <rgbColor rgb="FFF2F2F2"/>
      <rgbColor rgb="FF993300"/>
      <rgbColor rgb="FFFFC7CE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wmf"/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w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w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w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119880</xdr:colOff>
      <xdr:row>0</xdr:row>
      <xdr:rowOff>78840</xdr:rowOff>
    </xdr:from>
    <xdr:to>
      <xdr:col>2</xdr:col>
      <xdr:colOff>72720</xdr:colOff>
      <xdr:row>2</xdr:row>
      <xdr:rowOff>547200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955080" y="78840"/>
          <a:ext cx="657360" cy="91620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7</xdr:col>
      <xdr:colOff>1375920</xdr:colOff>
      <xdr:row>534</xdr:row>
      <xdr:rowOff>150120</xdr:rowOff>
    </xdr:from>
    <xdr:to>
      <xdr:col>9</xdr:col>
      <xdr:colOff>1351800</xdr:colOff>
      <xdr:row>534</xdr:row>
      <xdr:rowOff>161640</xdr:rowOff>
    </xdr:to>
    <xdr:sp macro="" textlink="">
      <xdr:nvSpPr>
        <xdr:cNvPr id="3" name="Linha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flipV="1">
          <a:off x="11746800" y="204080400"/>
          <a:ext cx="2362320" cy="11520"/>
        </a:xfrm>
        <a:prstGeom prst="line">
          <a:avLst/>
        </a:prstGeom>
        <a:ln w="0">
          <a:solidFill>
            <a:srgbClr val="3465A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7</xdr:col>
      <xdr:colOff>1420200</xdr:colOff>
      <xdr:row>539</xdr:row>
      <xdr:rowOff>1440</xdr:rowOff>
    </xdr:from>
    <xdr:to>
      <xdr:col>9</xdr:col>
      <xdr:colOff>1396080</xdr:colOff>
      <xdr:row>539</xdr:row>
      <xdr:rowOff>12960</xdr:rowOff>
    </xdr:to>
    <xdr:sp macro="" textlink="">
      <xdr:nvSpPr>
        <xdr:cNvPr id="4" name="Linha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flipV="1">
          <a:off x="11791080" y="204741360"/>
          <a:ext cx="2362320" cy="11520"/>
        </a:xfrm>
        <a:prstGeom prst="line">
          <a:avLst/>
        </a:prstGeom>
        <a:ln w="0">
          <a:solidFill>
            <a:srgbClr val="3465A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119880</xdr:colOff>
      <xdr:row>0</xdr:row>
      <xdr:rowOff>78840</xdr:rowOff>
    </xdr:from>
    <xdr:to>
      <xdr:col>2</xdr:col>
      <xdr:colOff>72720</xdr:colOff>
      <xdr:row>2</xdr:row>
      <xdr:rowOff>547200</xdr:rowOff>
    </xdr:to>
    <xdr:pic>
      <xdr:nvPicPr>
        <xdr:cNvPr id="3" name="Imagem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955080" y="78840"/>
          <a:ext cx="657360" cy="9162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119880</xdr:colOff>
      <xdr:row>0</xdr:row>
      <xdr:rowOff>78840</xdr:rowOff>
    </xdr:from>
    <xdr:to>
      <xdr:col>2</xdr:col>
      <xdr:colOff>72720</xdr:colOff>
      <xdr:row>2</xdr:row>
      <xdr:rowOff>547200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955080" y="78840"/>
          <a:ext cx="657360" cy="9162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206640</xdr:colOff>
      <xdr:row>2</xdr:row>
      <xdr:rowOff>135720</xdr:rowOff>
    </xdr:from>
    <xdr:to>
      <xdr:col>1</xdr:col>
      <xdr:colOff>1076040</xdr:colOff>
      <xdr:row>4</xdr:row>
      <xdr:rowOff>278280</xdr:rowOff>
    </xdr:to>
    <xdr:pic>
      <xdr:nvPicPr>
        <xdr:cNvPr id="5" name="Imagem 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51040" y="535680"/>
          <a:ext cx="869400" cy="1152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6</xdr:col>
      <xdr:colOff>711000</xdr:colOff>
      <xdr:row>55</xdr:row>
      <xdr:rowOff>162000</xdr:rowOff>
    </xdr:from>
    <xdr:to>
      <xdr:col>9</xdr:col>
      <xdr:colOff>596160</xdr:colOff>
      <xdr:row>55</xdr:row>
      <xdr:rowOff>173520</xdr:rowOff>
    </xdr:to>
    <xdr:sp macro="" textlink="">
      <xdr:nvSpPr>
        <xdr:cNvPr id="6" name="Linha 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 flipV="1">
          <a:off x="8776800" y="11477880"/>
          <a:ext cx="2363040" cy="11520"/>
        </a:xfrm>
        <a:prstGeom prst="line">
          <a:avLst/>
        </a:prstGeom>
        <a:ln w="0">
          <a:solidFill>
            <a:srgbClr val="3465A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6</xdr:col>
      <xdr:colOff>734040</xdr:colOff>
      <xdr:row>60</xdr:row>
      <xdr:rowOff>1440</xdr:rowOff>
    </xdr:from>
    <xdr:to>
      <xdr:col>9</xdr:col>
      <xdr:colOff>619200</xdr:colOff>
      <xdr:row>60</xdr:row>
      <xdr:rowOff>12960</xdr:rowOff>
    </xdr:to>
    <xdr:sp macro="" textlink="">
      <xdr:nvSpPr>
        <xdr:cNvPr id="7" name="Linha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 flipV="1">
          <a:off x="8799840" y="12193560"/>
          <a:ext cx="2363040" cy="11520"/>
        </a:xfrm>
        <a:prstGeom prst="line">
          <a:avLst/>
        </a:prstGeom>
        <a:ln w="0">
          <a:solidFill>
            <a:srgbClr val="3465A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76320</xdr:colOff>
      <xdr:row>1</xdr:row>
      <xdr:rowOff>28440</xdr:rowOff>
    </xdr:from>
    <xdr:to>
      <xdr:col>23</xdr:col>
      <xdr:colOff>388800</xdr:colOff>
      <xdr:row>6</xdr:row>
      <xdr:rowOff>26640</xdr:rowOff>
    </xdr:to>
    <xdr:pic>
      <xdr:nvPicPr>
        <xdr:cNvPr id="8" name="Picture 3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1131560" y="257040"/>
          <a:ext cx="1540800" cy="96012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0</xdr:col>
      <xdr:colOff>9360</xdr:colOff>
      <xdr:row>0</xdr:row>
      <xdr:rowOff>19080</xdr:rowOff>
    </xdr:from>
    <xdr:to>
      <xdr:col>1</xdr:col>
      <xdr:colOff>102960</xdr:colOff>
      <xdr:row>2</xdr:row>
      <xdr:rowOff>217440</xdr:rowOff>
    </xdr:to>
    <xdr:pic>
      <xdr:nvPicPr>
        <xdr:cNvPr id="9" name="Picture 3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9360" y="19080"/>
          <a:ext cx="707760" cy="6555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38160</xdr:colOff>
      <xdr:row>0</xdr:row>
      <xdr:rowOff>66600</xdr:rowOff>
    </xdr:from>
    <xdr:to>
      <xdr:col>7</xdr:col>
      <xdr:colOff>1360440</xdr:colOff>
      <xdr:row>7</xdr:row>
      <xdr:rowOff>36360</xdr:rowOff>
    </xdr:to>
    <xdr:pic>
      <xdr:nvPicPr>
        <xdr:cNvPr id="10" name="Picture 3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2090600" y="66600"/>
          <a:ext cx="1322280" cy="12747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133200</xdr:colOff>
      <xdr:row>0</xdr:row>
      <xdr:rowOff>66600</xdr:rowOff>
    </xdr:from>
    <xdr:to>
      <xdr:col>2</xdr:col>
      <xdr:colOff>826560</xdr:colOff>
      <xdr:row>5</xdr:row>
      <xdr:rowOff>17280</xdr:rowOff>
    </xdr:to>
    <xdr:pic>
      <xdr:nvPicPr>
        <xdr:cNvPr id="11" name="Picture 1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938880" y="66600"/>
          <a:ext cx="1499400" cy="8078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714240</xdr:colOff>
      <xdr:row>1</xdr:row>
      <xdr:rowOff>47520</xdr:rowOff>
    </xdr:from>
    <xdr:to>
      <xdr:col>8</xdr:col>
      <xdr:colOff>684000</xdr:colOff>
      <xdr:row>7</xdr:row>
      <xdr:rowOff>45720</xdr:rowOff>
    </xdr:to>
    <xdr:pic>
      <xdr:nvPicPr>
        <xdr:cNvPr id="12" name="Picture 3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3008960" y="276120"/>
          <a:ext cx="845640" cy="11412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261360</xdr:colOff>
      <xdr:row>1</xdr:row>
      <xdr:rowOff>185400</xdr:rowOff>
    </xdr:from>
    <xdr:to>
      <xdr:col>10</xdr:col>
      <xdr:colOff>160200</xdr:colOff>
      <xdr:row>6</xdr:row>
      <xdr:rowOff>205200</xdr:rowOff>
    </xdr:to>
    <xdr:pic>
      <xdr:nvPicPr>
        <xdr:cNvPr id="13" name="Picture 3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4498640" y="414000"/>
          <a:ext cx="936000" cy="9342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31320</xdr:colOff>
      <xdr:row>2</xdr:row>
      <xdr:rowOff>133200</xdr:rowOff>
    </xdr:from>
    <xdr:to>
      <xdr:col>0</xdr:col>
      <xdr:colOff>632880</xdr:colOff>
      <xdr:row>4</xdr:row>
      <xdr:rowOff>551160</xdr:rowOff>
    </xdr:to>
    <xdr:pic>
      <xdr:nvPicPr>
        <xdr:cNvPr id="14" name="Imagem 1">
          <a:extLst>
            <a:ext uri="{FF2B5EF4-FFF2-40B4-BE49-F238E27FC236}">
              <a16:creationId xmlns:a16="http://schemas.microsoft.com/office/drawing/2014/main" id="{00000000-0008-0000-0F00-00000E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1320" y="495000"/>
          <a:ext cx="601560" cy="78012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1</xdr:col>
      <xdr:colOff>708480</xdr:colOff>
      <xdr:row>40</xdr:row>
      <xdr:rowOff>81360</xdr:rowOff>
    </xdr:from>
    <xdr:to>
      <xdr:col>2</xdr:col>
      <xdr:colOff>3326</xdr:colOff>
      <xdr:row>40</xdr:row>
      <xdr:rowOff>92880</xdr:rowOff>
    </xdr:to>
    <xdr:sp macro="" textlink="">
      <xdr:nvSpPr>
        <xdr:cNvPr id="15" name="Linha 7">
          <a:extLst>
            <a:ext uri="{FF2B5EF4-FFF2-40B4-BE49-F238E27FC236}">
              <a16:creationId xmlns:a16="http://schemas.microsoft.com/office/drawing/2014/main" id="{00000000-0008-0000-0F00-00000F000000}"/>
            </a:ext>
          </a:extLst>
        </xdr:cNvPr>
        <xdr:cNvSpPr/>
      </xdr:nvSpPr>
      <xdr:spPr>
        <a:xfrm flipV="1">
          <a:off x="1483920" y="6748920"/>
          <a:ext cx="2362320" cy="11520"/>
        </a:xfrm>
        <a:prstGeom prst="line">
          <a:avLst/>
        </a:prstGeom>
        <a:ln w="0">
          <a:solidFill>
            <a:srgbClr val="3465A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3</xdr:col>
      <xdr:colOff>259200</xdr:colOff>
      <xdr:row>40</xdr:row>
      <xdr:rowOff>104760</xdr:rowOff>
    </xdr:from>
    <xdr:to>
      <xdr:col>7</xdr:col>
      <xdr:colOff>3960</xdr:colOff>
      <xdr:row>40</xdr:row>
      <xdr:rowOff>116280</xdr:rowOff>
    </xdr:to>
    <xdr:sp macro="" textlink="">
      <xdr:nvSpPr>
        <xdr:cNvPr id="16" name="Linha 8">
          <a:extLst>
            <a:ext uri="{FF2B5EF4-FFF2-40B4-BE49-F238E27FC236}">
              <a16:creationId xmlns:a16="http://schemas.microsoft.com/office/drawing/2014/main" id="{00000000-0008-0000-0F00-000010000000}"/>
            </a:ext>
          </a:extLst>
        </xdr:cNvPr>
        <xdr:cNvSpPr/>
      </xdr:nvSpPr>
      <xdr:spPr>
        <a:xfrm flipV="1">
          <a:off x="4699800" y="6772320"/>
          <a:ext cx="2362320" cy="11520"/>
        </a:xfrm>
        <a:prstGeom prst="line">
          <a:avLst/>
        </a:prstGeom>
        <a:ln w="0">
          <a:solidFill>
            <a:srgbClr val="3465A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119880</xdr:colOff>
      <xdr:row>0</xdr:row>
      <xdr:rowOff>78480</xdr:rowOff>
    </xdr:from>
    <xdr:to>
      <xdr:col>1</xdr:col>
      <xdr:colOff>72720</xdr:colOff>
      <xdr:row>2</xdr:row>
      <xdr:rowOff>546480</xdr:rowOff>
    </xdr:to>
    <xdr:pic>
      <xdr:nvPicPr>
        <xdr:cNvPr id="17" name="Imagem 2">
          <a:extLst>
            <a:ext uri="{FF2B5EF4-FFF2-40B4-BE49-F238E27FC236}">
              <a16:creationId xmlns:a16="http://schemas.microsoft.com/office/drawing/2014/main" id="{00000000-0008-0000-1100-000011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19880" y="78480"/>
          <a:ext cx="657720" cy="91584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8</xdr:col>
      <xdr:colOff>1160640</xdr:colOff>
      <xdr:row>1260</xdr:row>
      <xdr:rowOff>150120</xdr:rowOff>
    </xdr:from>
    <xdr:to>
      <xdr:col>10</xdr:col>
      <xdr:colOff>1026000</xdr:colOff>
      <xdr:row>1260</xdr:row>
      <xdr:rowOff>161640</xdr:rowOff>
    </xdr:to>
    <xdr:sp macro="" textlink="">
      <xdr:nvSpPr>
        <xdr:cNvPr id="18" name="Linha 5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SpPr/>
      </xdr:nvSpPr>
      <xdr:spPr>
        <a:xfrm flipV="1">
          <a:off x="13636440" y="480295800"/>
          <a:ext cx="2362320" cy="11520"/>
        </a:xfrm>
        <a:prstGeom prst="line">
          <a:avLst/>
        </a:prstGeom>
        <a:ln w="0">
          <a:solidFill>
            <a:srgbClr val="3465A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8</xdr:col>
      <xdr:colOff>1197720</xdr:colOff>
      <xdr:row>1265</xdr:row>
      <xdr:rowOff>1440</xdr:rowOff>
    </xdr:from>
    <xdr:to>
      <xdr:col>10</xdr:col>
      <xdr:colOff>1063080</xdr:colOff>
      <xdr:row>1265</xdr:row>
      <xdr:rowOff>12960</xdr:rowOff>
    </xdr:to>
    <xdr:sp macro="" textlink="">
      <xdr:nvSpPr>
        <xdr:cNvPr id="19" name="Linha 6">
          <a:extLst>
            <a:ext uri="{FF2B5EF4-FFF2-40B4-BE49-F238E27FC236}">
              <a16:creationId xmlns:a16="http://schemas.microsoft.com/office/drawing/2014/main" id="{00000000-0008-0000-1100-000013000000}"/>
            </a:ext>
          </a:extLst>
        </xdr:cNvPr>
        <xdr:cNvSpPr/>
      </xdr:nvSpPr>
      <xdr:spPr>
        <a:xfrm flipV="1">
          <a:off x="13673520" y="480956760"/>
          <a:ext cx="2362320" cy="11520"/>
        </a:xfrm>
        <a:prstGeom prst="line">
          <a:avLst/>
        </a:prstGeom>
        <a:ln w="0">
          <a:solidFill>
            <a:srgbClr val="3465A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43233\AppData\Roaming\Microsoft\Excel\Alan\MUSEU%20DO%20TRABALHADOR\Users\43233\Desktop\Alan\CRAS%20ALVES%20DIAS\Revis&#227;o%20Julho%202018\SINAPI%2005-2018\PLANILHA%20M&#218;LTIPLA%202.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-9534\rede\Users\Paola\AppData\Local\Microsoft\Windows\Temporary%20Internet%20Files\OLK447E\MEDI&#199;&#195;O%20EMIP%20MARIA%20ADELAIDE%20ROSS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  <sheetName val="habitação"/>
    </sheetNames>
    <sheetDataSet>
      <sheetData sheetId="0"/>
      <sheetData sheetId="1"/>
      <sheetData sheetId="2">
        <row r="28">
          <cell r="G28" t="str">
            <v>NÃO DESONERADO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DE-JUNHO-08"/>
      <sheetName val="PLANILHA DE MEDIÇÃO"/>
      <sheetName val="MC 01"/>
      <sheetName val="tabjul95"/>
      <sheetName val="BAM"/>
      <sheetName val="medição"/>
      <sheetName val="med-cond1"/>
    </sheetNames>
    <sheetDataSet>
      <sheetData sheetId="0">
        <row r="6">
          <cell r="A6">
            <v>1</v>
          </cell>
          <cell r="B6" t="str">
            <v>SERVICOS PRELIMINARES</v>
          </cell>
        </row>
        <row r="7">
          <cell r="A7">
            <v>101</v>
          </cell>
          <cell r="B7" t="str">
            <v>LIMPEZA DO TERRENO</v>
          </cell>
        </row>
        <row r="8">
          <cell r="A8">
            <v>10101</v>
          </cell>
          <cell r="B8" t="str">
            <v>RETIRANDO A VEGETACAO, TRONCOS ATE 5CM DE DIAMETRO E RASPAGEM</v>
          </cell>
          <cell r="C8" t="str">
            <v>M2</v>
          </cell>
          <cell r="D8">
            <v>2.23</v>
          </cell>
        </row>
        <row r="9">
          <cell r="A9">
            <v>10110</v>
          </cell>
        </row>
      </sheetData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66CC"/>
    <pageSetUpPr fitToPage="1"/>
  </sheetPr>
  <dimension ref="A1:O546"/>
  <sheetViews>
    <sheetView view="pageBreakPreview" topLeftCell="A531" zoomScale="80" zoomScaleNormal="80" zoomScaleSheetLayoutView="80" zoomScalePageLayoutView="90" workbookViewId="0">
      <selection activeCell="D554" sqref="D554"/>
    </sheetView>
  </sheetViews>
  <sheetFormatPr defaultColWidth="11.88671875" defaultRowHeight="13.2" outlineLevelRow="1"/>
  <cols>
    <col min="1" max="1" width="11.88671875" style="15"/>
    <col min="2" max="2" width="10" style="16" customWidth="1"/>
    <col min="3" max="3" width="15.33203125" style="16" customWidth="1"/>
    <col min="4" max="4" width="11.33203125" style="17" customWidth="1"/>
    <col min="5" max="5" width="71.6640625" style="16" customWidth="1"/>
    <col min="6" max="6" width="11.44140625" style="18" customWidth="1"/>
    <col min="7" max="7" width="15.5546875" style="19" customWidth="1"/>
    <col min="8" max="8" width="21" style="20" customWidth="1"/>
    <col min="9" max="9" width="12.88671875" style="20" customWidth="1"/>
    <col min="10" max="11" width="21" style="20" customWidth="1"/>
    <col min="12" max="12" width="20.5546875" style="21" customWidth="1"/>
    <col min="13" max="13" width="20.109375" style="15" customWidth="1"/>
    <col min="14" max="14" width="15.5546875" style="22" customWidth="1"/>
    <col min="15" max="15" width="14.33203125" style="15" customWidth="1"/>
    <col min="16" max="16384" width="11.88671875" style="15"/>
  </cols>
  <sheetData>
    <row r="1" spans="1:15" customFormat="1" ht="22.5" customHeight="1">
      <c r="B1" s="14" t="s">
        <v>0</v>
      </c>
      <c r="C1" s="14"/>
      <c r="D1" s="14"/>
      <c r="E1" s="14"/>
      <c r="F1" s="14"/>
      <c r="G1" s="14"/>
      <c r="H1" s="14"/>
      <c r="I1" s="14"/>
      <c r="J1" s="14"/>
      <c r="K1" s="14"/>
    </row>
    <row r="2" spans="1:15" customFormat="1"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5" customFormat="1" ht="56.25" customHeight="1">
      <c r="B3" s="14"/>
      <c r="C3" s="14"/>
      <c r="D3" s="14"/>
      <c r="E3" s="14"/>
      <c r="F3" s="14"/>
      <c r="G3" s="14"/>
      <c r="H3" s="14"/>
      <c r="I3" s="14"/>
      <c r="J3" s="14"/>
      <c r="K3" s="14"/>
    </row>
    <row r="4" spans="1:15" customFormat="1" ht="29.25" customHeight="1">
      <c r="B4" s="13" t="s">
        <v>1</v>
      </c>
      <c r="C4" s="13"/>
      <c r="D4" s="12" t="s">
        <v>2</v>
      </c>
      <c r="E4" s="12"/>
      <c r="F4" s="12"/>
      <c r="G4" s="12"/>
      <c r="H4" s="12"/>
      <c r="I4" s="12"/>
      <c r="J4" s="12"/>
      <c r="K4" s="12"/>
      <c r="L4" s="23"/>
    </row>
    <row r="5" spans="1:15" customFormat="1" ht="29.25" customHeight="1">
      <c r="B5" s="13" t="s">
        <v>3</v>
      </c>
      <c r="C5" s="13"/>
      <c r="D5" s="11" t="s">
        <v>4</v>
      </c>
      <c r="E5" s="11"/>
      <c r="F5" s="11"/>
      <c r="G5" s="11"/>
      <c r="H5" s="11"/>
      <c r="I5" s="11"/>
      <c r="J5" s="11"/>
      <c r="K5" s="11"/>
      <c r="L5" s="23"/>
    </row>
    <row r="6" spans="1:15" customFormat="1" ht="29.25" customHeight="1">
      <c r="B6" s="10" t="s">
        <v>5</v>
      </c>
      <c r="C6" s="10"/>
      <c r="D6" s="11" t="s">
        <v>6</v>
      </c>
      <c r="E6" s="11"/>
      <c r="F6" s="11"/>
      <c r="G6" s="11"/>
      <c r="H6" s="11"/>
      <c r="I6" s="11"/>
      <c r="J6" s="11"/>
      <c r="K6" s="11"/>
      <c r="L6" s="23"/>
    </row>
    <row r="7" spans="1:15" s="24" customFormat="1" ht="29.25" customHeight="1">
      <c r="A7"/>
      <c r="B7" s="10" t="s">
        <v>7</v>
      </c>
      <c r="C7" s="10"/>
      <c r="D7" s="9" t="s">
        <v>8</v>
      </c>
      <c r="E7" s="9"/>
      <c r="F7" s="9"/>
      <c r="G7" s="9"/>
      <c r="H7" s="9"/>
      <c r="I7" s="9"/>
      <c r="J7" s="9"/>
      <c r="K7" s="9"/>
      <c r="L7" s="23"/>
      <c r="M7"/>
      <c r="N7"/>
      <c r="O7"/>
    </row>
    <row r="8" spans="1:15" s="25" customFormat="1" ht="29.25" customHeight="1">
      <c r="A8"/>
      <c r="B8" s="10" t="s">
        <v>9</v>
      </c>
      <c r="C8" s="10"/>
      <c r="D8" s="8">
        <v>0.23</v>
      </c>
      <c r="E8" s="8"/>
      <c r="F8" s="8"/>
      <c r="G8" s="8"/>
      <c r="H8" s="8"/>
      <c r="I8" s="8"/>
      <c r="J8" s="8"/>
      <c r="K8" s="8"/>
      <c r="L8" s="23"/>
      <c r="M8"/>
      <c r="N8"/>
      <c r="O8"/>
    </row>
    <row r="9" spans="1:15" s="25" customFormat="1" ht="29.25" customHeight="1">
      <c r="A9"/>
      <c r="B9" s="26"/>
      <c r="C9" s="27"/>
      <c r="D9" s="28"/>
      <c r="E9" s="29"/>
      <c r="F9" s="29"/>
      <c r="G9" s="29"/>
      <c r="H9" s="30"/>
      <c r="I9" s="30"/>
      <c r="J9" s="30"/>
      <c r="K9" s="31"/>
      <c r="L9" s="23"/>
      <c r="M9"/>
      <c r="N9"/>
      <c r="O9"/>
    </row>
    <row r="10" spans="1:15" s="25" customFormat="1" ht="50.25" customHeight="1">
      <c r="A10" s="24"/>
      <c r="B10" s="32" t="s">
        <v>10</v>
      </c>
      <c r="C10" s="33" t="s">
        <v>11</v>
      </c>
      <c r="D10" s="34" t="s">
        <v>12</v>
      </c>
      <c r="E10" s="35" t="s">
        <v>13</v>
      </c>
      <c r="F10" s="36" t="s">
        <v>14</v>
      </c>
      <c r="G10" s="37" t="s">
        <v>15</v>
      </c>
      <c r="H10" s="38" t="s">
        <v>16</v>
      </c>
      <c r="I10" s="39" t="s">
        <v>17</v>
      </c>
      <c r="J10" s="38" t="s">
        <v>18</v>
      </c>
      <c r="K10" s="40" t="s">
        <v>19</v>
      </c>
      <c r="L10" s="41">
        <v>0.23</v>
      </c>
      <c r="M10" s="24"/>
      <c r="N10" s="42"/>
      <c r="O10" s="24"/>
    </row>
    <row r="11" spans="1:15" s="25" customFormat="1" ht="30" customHeight="1">
      <c r="B11" s="43">
        <v>1</v>
      </c>
      <c r="C11" s="44"/>
      <c r="D11" s="44" t="s">
        <v>20</v>
      </c>
      <c r="E11" s="45" t="s">
        <v>21</v>
      </c>
      <c r="F11" s="46"/>
      <c r="G11" s="47"/>
      <c r="H11" s="48"/>
      <c r="I11" s="49"/>
      <c r="J11" s="49"/>
      <c r="K11" s="50">
        <f>SUBTOTAL(9,K12:K17)</f>
        <v>0</v>
      </c>
      <c r="L11" s="51"/>
      <c r="M11" s="52"/>
    </row>
    <row r="12" spans="1:15" s="25" customFormat="1" ht="30" customHeight="1" outlineLevel="1">
      <c r="B12" s="53" t="s">
        <v>22</v>
      </c>
      <c r="C12" s="54"/>
      <c r="D12" s="54" t="s">
        <v>23</v>
      </c>
      <c r="E12" s="55" t="s">
        <v>24</v>
      </c>
      <c r="F12" s="56"/>
      <c r="G12" s="57"/>
      <c r="H12" s="58"/>
      <c r="I12" s="59"/>
      <c r="J12" s="59"/>
      <c r="K12" s="60">
        <f>SUBTOTAL(9,K13)</f>
        <v>0</v>
      </c>
      <c r="L12" s="51"/>
      <c r="M12" s="52"/>
    </row>
    <row r="13" spans="1:15" s="25" customFormat="1" ht="30" customHeight="1" outlineLevel="1">
      <c r="B13" s="61" t="s">
        <v>25</v>
      </c>
      <c r="C13" s="62" t="s">
        <v>26</v>
      </c>
      <c r="D13" s="63" t="s">
        <v>27</v>
      </c>
      <c r="E13" s="64" t="str">
        <f>IFERROR(UPPER(IF(C13="CPU",VLOOKUP(D13,#REF!,2,0),IF(C13="SINAPI",VLOOKUP(D13,#REF!,2,0),IF(C13="EDIF",VLOOKUP(D13,#REF!,2,0),IF(C13="CDHU",VLOOKUP(D13,#REF!,2,0),IF(C13="FDE",VLOOKUP(D13,'FDE 10-23 '!$A$4:$E$3180,2,0),IF(C13="INFRA",VLOOKUP(D13,#REF!,2,0),""))))))),"")</f>
        <v>RETIRANDO A VEGETACAO, TRONCOS ATE 5CM DE DIAMETRO E RASPAGEM.</v>
      </c>
      <c r="F13" s="65" t="str">
        <f>VLOOKUP(D13,'FDE 10-23 '!$A$4:$E$3180,3,0)</f>
        <v>M2</v>
      </c>
      <c r="G13" s="66">
        <f>VLOOKUP(B13,Planilha17!$A$8:$F$1259,6,0)</f>
        <v>0</v>
      </c>
      <c r="H13" s="67">
        <f>VLOOKUP(D13,'FDE 10-23 '!$A$4:$E$3180,5,0)</f>
        <v>3.07</v>
      </c>
      <c r="I13" s="68">
        <f>$L$10</f>
        <v>0.23</v>
      </c>
      <c r="J13" s="67">
        <f>ROUND(H13*(1+I13),2)</f>
        <v>3.78</v>
      </c>
      <c r="K13" s="69">
        <f>SUM(G13*J13)</f>
        <v>0</v>
      </c>
      <c r="L13" s="51"/>
      <c r="M13" s="52"/>
    </row>
    <row r="14" spans="1:15" s="25" customFormat="1" ht="30" customHeight="1" outlineLevel="1">
      <c r="B14" s="53" t="s">
        <v>28</v>
      </c>
      <c r="C14" s="54"/>
      <c r="D14" s="54" t="s">
        <v>29</v>
      </c>
      <c r="E14" s="55" t="s">
        <v>30</v>
      </c>
      <c r="F14" s="56"/>
      <c r="G14" s="57"/>
      <c r="H14" s="58"/>
      <c r="I14" s="59"/>
      <c r="J14" s="59"/>
      <c r="K14" s="60">
        <f>SUBTOTAL(9,K15:K17)</f>
        <v>0</v>
      </c>
      <c r="L14" s="51"/>
      <c r="M14" s="52"/>
    </row>
    <row r="15" spans="1:15" s="25" customFormat="1" ht="30" customHeight="1" outlineLevel="1">
      <c r="B15" s="61" t="s">
        <v>31</v>
      </c>
      <c r="C15" s="62" t="s">
        <v>26</v>
      </c>
      <c r="D15" s="63" t="s">
        <v>32</v>
      </c>
      <c r="E15" s="64" t="str">
        <f>IFERROR(UPPER(IF(C15="CPU",VLOOKUP(D15,#REF!,2,0),IF(C15="SINAPI",VLOOKUP(D15,#REF!,2,0),IF(C15="EDIF",VLOOKUP(D15,#REF!,2,0),IF(C15="CDHU",VLOOKUP(D15,#REF!,2,0),IF(C15="FDE",VLOOKUP(D15,'FDE 10-23 '!$A$4:$E$3180,2,0),IF(C15="INFRA",VLOOKUP(D15,#REF!,2,0),""))))))),"")</f>
        <v>CORTE E ATERRO DENTRO DA OBRA COM TRANSPORTE INTERNO</v>
      </c>
      <c r="F15" s="65" t="str">
        <f>VLOOKUP(D15,'FDE 10-23 '!$A$4:$E$3180,3,0)</f>
        <v>M3</v>
      </c>
      <c r="G15" s="66">
        <f>VLOOKUP(B15,Planilha17!$A$8:$F$1259,6,0)</f>
        <v>0</v>
      </c>
      <c r="H15" s="67">
        <f>VLOOKUP(D15,'FDE 10-23 '!$A$4:$E$3180,5,0)</f>
        <v>9.0299999999999994</v>
      </c>
      <c r="I15" s="68">
        <f>$L$10</f>
        <v>0.23</v>
      </c>
      <c r="J15" s="67">
        <f>ROUND(H15*(1+I15),2)</f>
        <v>11.11</v>
      </c>
      <c r="K15" s="69">
        <f>SUM(G15*J15)</f>
        <v>0</v>
      </c>
      <c r="L15" s="51"/>
      <c r="M15" s="52"/>
    </row>
    <row r="16" spans="1:15" s="25" customFormat="1" ht="30" customHeight="1" outlineLevel="1">
      <c r="B16" s="61" t="s">
        <v>33</v>
      </c>
      <c r="C16" s="62" t="s">
        <v>26</v>
      </c>
      <c r="D16" s="63" t="s">
        <v>34</v>
      </c>
      <c r="E16" s="64" t="str">
        <f>IFERROR(UPPER(IF(C16="CPU",VLOOKUP(D16,#REF!,2,0),IF(C16="SINAPI",VLOOKUP(D16,#REF!,2,0),IF(C16="EDIF",VLOOKUP(D16,#REF!,2,0),IF(C16="CDHU",VLOOKUP(D16,#REF!,2,0),IF(C16="FDE",VLOOKUP(D16,'FDE 10-23 '!$A$4:$E$3180,2,0),IF(C16="INFRA",VLOOKUP(D16,#REF!,2,0),""))))))),"")</f>
        <v>CORTE COM RETIRADA POR CAMINHAO NOS PRIMEIROS 100 M</v>
      </c>
      <c r="F16" s="65" t="str">
        <f>VLOOKUP(D16,'FDE 10-23 '!$A$4:$E$3180,3,0)</f>
        <v>M3</v>
      </c>
      <c r="G16" s="66">
        <f>VLOOKUP(B16,Planilha17!$A$8:$F$1259,6,0)</f>
        <v>0</v>
      </c>
      <c r="H16" s="67">
        <f>VLOOKUP(D16,'FDE 10-23 '!$A$4:$E$3180,5,0)</f>
        <v>25.05</v>
      </c>
      <c r="I16" s="68">
        <f>$L$10</f>
        <v>0.23</v>
      </c>
      <c r="J16" s="67">
        <f>ROUND(H16*(1+I16),2)</f>
        <v>30.81</v>
      </c>
      <c r="K16" s="69">
        <f>SUM(G16*J16)</f>
        <v>0</v>
      </c>
      <c r="L16" s="51"/>
      <c r="M16" s="52"/>
    </row>
    <row r="17" spans="2:13" s="25" customFormat="1" ht="30" customHeight="1" outlineLevel="1">
      <c r="B17" s="61" t="s">
        <v>35</v>
      </c>
      <c r="C17" s="62" t="s">
        <v>26</v>
      </c>
      <c r="D17" s="63" t="s">
        <v>36</v>
      </c>
      <c r="E17" s="64" t="str">
        <f>IFERROR(UPPER(IF(C17="CPU",VLOOKUP(D17,#REF!,2,0),IF(C17="SINAPI",VLOOKUP(D17,#REF!,2,0),IF(C17="EDIF",VLOOKUP(D17,#REF!,2,0),IF(C17="CDHU",VLOOKUP(D17,#REF!,2,0),IF(C17="FDE",VLOOKUP(D17,'FDE 10-23 '!$A$4:$E$3180,2,0),IF(C17="INFRA",VLOOKUP(D17,#REF!,2,0),""))))))),"")</f>
        <v>TRANSPORTE POR CAMINHAO                                                 M3X</v>
      </c>
      <c r="F17" s="65" t="str">
        <f>VLOOKUP(D17,'FDE 10-23 '!$A$4:$E$3180,3,0)</f>
        <v>KM</v>
      </c>
      <c r="G17" s="66">
        <f>VLOOKUP(B17,Planilha17!$A$8:$F$1259,6,0)</f>
        <v>0</v>
      </c>
      <c r="H17" s="67">
        <f>VLOOKUP(D17,'FDE 10-23 '!$A$4:$E$3180,5,0)</f>
        <v>2.69</v>
      </c>
      <c r="I17" s="68">
        <f>$L$10</f>
        <v>0.23</v>
      </c>
      <c r="J17" s="67">
        <f>ROUND(H17*(1+I17),2)</f>
        <v>3.31</v>
      </c>
      <c r="K17" s="69">
        <f>SUM(G17*J17)</f>
        <v>0</v>
      </c>
      <c r="L17" s="51"/>
      <c r="M17" s="52"/>
    </row>
    <row r="18" spans="2:13" s="25" customFormat="1" ht="30" customHeight="1">
      <c r="B18" s="43">
        <v>2</v>
      </c>
      <c r="C18" s="44"/>
      <c r="D18" s="44" t="s">
        <v>37</v>
      </c>
      <c r="E18" s="45" t="s">
        <v>38</v>
      </c>
      <c r="F18" s="46"/>
      <c r="G18" s="47"/>
      <c r="H18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8" s="49"/>
      <c r="J18" s="49"/>
      <c r="K18" s="50">
        <f>SUBTOTAL(9,K19:K43)</f>
        <v>103250.34315</v>
      </c>
      <c r="L18" s="51"/>
      <c r="M18" s="52"/>
    </row>
    <row r="19" spans="2:13" s="25" customFormat="1" ht="30" customHeight="1" outlineLevel="1">
      <c r="B19" s="53" t="s">
        <v>39</v>
      </c>
      <c r="C19" s="54"/>
      <c r="D19" s="54" t="s">
        <v>40</v>
      </c>
      <c r="E19" s="55" t="s">
        <v>41</v>
      </c>
      <c r="F19" s="56"/>
      <c r="G19" s="57"/>
      <c r="H19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9" s="59"/>
      <c r="J19" s="59"/>
      <c r="K19" s="60">
        <f>SUBTOTAL(9,K20:K24)</f>
        <v>9293.1789600000011</v>
      </c>
      <c r="L19" s="51"/>
      <c r="M19" s="52"/>
    </row>
    <row r="20" spans="2:13" s="25" customFormat="1" ht="30" customHeight="1" outlineLevel="1">
      <c r="B20" s="61" t="s">
        <v>42</v>
      </c>
      <c r="C20" s="62" t="s">
        <v>26</v>
      </c>
      <c r="D20" s="63" t="s">
        <v>43</v>
      </c>
      <c r="E20" s="64" t="str">
        <f>IFERROR(UPPER(IF(C20="CPU",VLOOKUP(D20,#REF!,2,0),IF(C20="SINAPI",VLOOKUP(D20,#REF!,2,0),IF(C20="EDIF",VLOOKUP(D20,#REF!,2,0),IF(C20="CDHU",VLOOKUP(D20,#REF!,2,0),IF(C20="FDE",VLOOKUP(D20,'FDE 10-23 '!$A$4:$E$3180,2,0),IF(C20="INFRA",VLOOKUP(D20,#REF!,2,0),""))))))),"")</f>
        <v>ESCAVACAO MANUAL - PROFUNDIDADE ATE 1.80 M</v>
      </c>
      <c r="F20" s="65" t="str">
        <f>VLOOKUP(D20,'FDE 10-23 '!$A$4:$E$3180,3,0)</f>
        <v>M3</v>
      </c>
      <c r="G20" s="66">
        <f>VLOOKUP(B20,Planilha17!$A$8:$F$1259,6,0)</f>
        <v>65.144000000000005</v>
      </c>
      <c r="H20" s="67">
        <f>VLOOKUP(D20,'FDE 10-23 '!$A$4:$E$3180,5,0)</f>
        <v>61.58</v>
      </c>
      <c r="I20" s="68">
        <f>$L$10</f>
        <v>0.23</v>
      </c>
      <c r="J20" s="67">
        <f>ROUND(H20*(1+I20),2)</f>
        <v>75.739999999999995</v>
      </c>
      <c r="K20" s="69">
        <f>SUM(G20*J20)</f>
        <v>4934.0065599999998</v>
      </c>
      <c r="L20" s="51"/>
      <c r="M20" s="52"/>
    </row>
    <row r="21" spans="2:13" s="25" customFormat="1" ht="30" customHeight="1" outlineLevel="1">
      <c r="B21" s="61" t="s">
        <v>44</v>
      </c>
      <c r="C21" s="62" t="s">
        <v>26</v>
      </c>
      <c r="D21" s="63" t="s">
        <v>45</v>
      </c>
      <c r="E21" s="64" t="str">
        <f>IFERROR(UPPER(IF(C21="CPU",VLOOKUP(D21,#REF!,2,0),IF(C21="SINAPI",VLOOKUP(D21,#REF!,2,0),IF(C21="EDIF",VLOOKUP(D21,#REF!,2,0),IF(C21="CDHU",VLOOKUP(D21,#REF!,2,0),IF(C21="FDE",VLOOKUP(D21,'FDE 10-23 '!$A$4:$E$3180,2,0),IF(C21="INFRA",VLOOKUP(D21,#REF!,2,0),""))))))),"")</f>
        <v>APILOAMENTO PARA SIMPLES REGULARIZACAO</v>
      </c>
      <c r="F21" s="65" t="str">
        <f>VLOOKUP(D21,'FDE 10-23 '!$A$4:$E$3180,3,0)</f>
        <v>M2</v>
      </c>
      <c r="G21" s="66">
        <f>VLOOKUP(B21,Planilha17!$A$8:$F$1259,6,0)</f>
        <v>35.96</v>
      </c>
      <c r="H21" s="67">
        <f>VLOOKUP(D21,'FDE 10-23 '!$A$4:$E$3180,5,0)</f>
        <v>6.15</v>
      </c>
      <c r="I21" s="68">
        <f>$L$10</f>
        <v>0.23</v>
      </c>
      <c r="J21" s="67">
        <f>ROUND(H21*(1+I21),2)</f>
        <v>7.56</v>
      </c>
      <c r="K21" s="69">
        <f>SUM(G21*J21)</f>
        <v>271.85759999999999</v>
      </c>
      <c r="L21" s="51"/>
      <c r="M21" s="52"/>
    </row>
    <row r="22" spans="2:13" s="25" customFormat="1" ht="30" customHeight="1" outlineLevel="1">
      <c r="B22" s="61" t="s">
        <v>46</v>
      </c>
      <c r="C22" s="62" t="s">
        <v>26</v>
      </c>
      <c r="D22" s="63" t="s">
        <v>47</v>
      </c>
      <c r="E22" s="64" t="str">
        <f>IFERROR(UPPER(IF(C22="CPU",VLOOKUP(D22,#REF!,2,0),IF(C22="SINAPI",VLOOKUP(D22,#REF!,2,0),IF(C22="EDIF",VLOOKUP(D22,#REF!,2,0),IF(C22="CDHU",VLOOKUP(D22,#REF!,2,0),IF(C22="FDE",VLOOKUP(D22,'FDE 10-23 '!$A$4:$E$3180,2,0),IF(C22="INFRA",VLOOKUP(D22,#REF!,2,0),""))))))),"")</f>
        <v>LASTRO DE PEDRA BRITADA - 5CM</v>
      </c>
      <c r="F22" s="65" t="str">
        <f>VLOOKUP(D22,'FDE 10-23 '!$A$4:$E$3180,3,0)</f>
        <v>M2</v>
      </c>
      <c r="G22" s="66">
        <f>VLOOKUP(B22,Planilha17!$A$8:$F$1259,6,0)</f>
        <v>35.96</v>
      </c>
      <c r="H22" s="67">
        <f>VLOOKUP(D22,'FDE 10-23 '!$A$4:$E$3180,5,0)</f>
        <v>9.7100000000000009</v>
      </c>
      <c r="I22" s="68">
        <f>$L$10</f>
        <v>0.23</v>
      </c>
      <c r="J22" s="67">
        <f>ROUND(H22*(1+I22),2)</f>
        <v>11.94</v>
      </c>
      <c r="K22" s="69">
        <f>SUM(G22*J22)</f>
        <v>429.36239999999998</v>
      </c>
      <c r="L22" s="51"/>
      <c r="M22" s="52"/>
    </row>
    <row r="23" spans="2:13" s="25" customFormat="1" ht="30" customHeight="1" outlineLevel="1">
      <c r="B23" s="61" t="s">
        <v>48</v>
      </c>
      <c r="C23" s="62" t="s">
        <v>26</v>
      </c>
      <c r="D23" s="63" t="s">
        <v>49</v>
      </c>
      <c r="E23" s="64" t="str">
        <f>IFERROR(UPPER(IF(C23="CPU",VLOOKUP(D23,#REF!,2,0),IF(C23="SINAPI",VLOOKUP(D23,#REF!,2,0),IF(C23="EDIF",VLOOKUP(D23,#REF!,2,0),IF(C23="CDHU",VLOOKUP(D23,#REF!,2,0),IF(C23="FDE",VLOOKUP(D23,'FDE 10-23 '!$A$4:$E$3180,2,0),IF(C23="INFRA",VLOOKUP(D23,#REF!,2,0),""))))))),"")</f>
        <v>LASTRO DE CONCRETO - 5 CM</v>
      </c>
      <c r="F23" s="65" t="str">
        <f>VLOOKUP(D23,'FDE 10-23 '!$A$4:$E$3180,3,0)</f>
        <v>M2</v>
      </c>
      <c r="G23" s="66">
        <f>VLOOKUP(B23,Planilha17!$A$8:$F$1259,6,0)</f>
        <v>35.96</v>
      </c>
      <c r="H23" s="67">
        <f>VLOOKUP(D23,'FDE 10-23 '!$A$4:$E$3180,5,0)</f>
        <v>33.81</v>
      </c>
      <c r="I23" s="68">
        <f>$L$10</f>
        <v>0.23</v>
      </c>
      <c r="J23" s="67">
        <f>ROUND(H23*(1+I23),2)</f>
        <v>41.59</v>
      </c>
      <c r="K23" s="69">
        <f>SUM(G23*J23)</f>
        <v>1495.5764000000001</v>
      </c>
      <c r="L23" s="51"/>
      <c r="M23" s="52"/>
    </row>
    <row r="24" spans="2:13" s="25" customFormat="1" ht="30" customHeight="1" outlineLevel="1">
      <c r="B24" s="61" t="s">
        <v>50</v>
      </c>
      <c r="C24" s="62" t="s">
        <v>26</v>
      </c>
      <c r="D24" s="63" t="s">
        <v>51</v>
      </c>
      <c r="E24" s="64" t="str">
        <f>IFERROR(UPPER(IF(C24="CPU",VLOOKUP(D24,#REF!,2,0),IF(C24="SINAPI",VLOOKUP(D24,#REF!,2,0),IF(C24="EDIF",VLOOKUP(D24,#REF!,2,0),IF(C24="CDHU",VLOOKUP(D24,#REF!,2,0),IF(C24="FDE",VLOOKUP(D24,'FDE 10-23 '!$A$4:$E$3180,2,0),IF(C24="INFRA",VLOOKUP(D24,#REF!,2,0),""))))))),"")</f>
        <v>REATERRO INTERNO APILOADO</v>
      </c>
      <c r="F24" s="65" t="str">
        <f>VLOOKUP(D24,'FDE 10-23 '!$A$4:$E$3180,3,0)</f>
        <v>M3</v>
      </c>
      <c r="G24" s="66">
        <f>VLOOKUP(B24,Planilha17!$A$8:$F$1259,6,0)</f>
        <v>38.070000000000007</v>
      </c>
      <c r="H24" s="67">
        <f>VLOOKUP(D24,'FDE 10-23 '!$A$4:$E$3180,5,0)</f>
        <v>46.18</v>
      </c>
      <c r="I24" s="68">
        <f>$L$10</f>
        <v>0.23</v>
      </c>
      <c r="J24" s="67">
        <f>ROUND(H24*(1+I24),2)</f>
        <v>56.8</v>
      </c>
      <c r="K24" s="69">
        <f>SUM(G24*J24)</f>
        <v>2162.3760000000002</v>
      </c>
      <c r="L24" s="51"/>
      <c r="M24" s="52"/>
    </row>
    <row r="25" spans="2:13" s="25" customFormat="1" ht="30" customHeight="1" outlineLevel="1">
      <c r="B25" s="53" t="s">
        <v>52</v>
      </c>
      <c r="C25" s="54"/>
      <c r="D25" s="54" t="s">
        <v>53</v>
      </c>
      <c r="E25" s="55" t="s">
        <v>54</v>
      </c>
      <c r="F25" s="56"/>
      <c r="G25" s="57"/>
      <c r="H2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5" s="59"/>
      <c r="J25" s="59"/>
      <c r="K25" s="60">
        <f>SUBTOTAL(9,K26:K31)</f>
        <v>0</v>
      </c>
      <c r="L25" s="51"/>
      <c r="M25" s="52"/>
    </row>
    <row r="26" spans="2:13" s="25" customFormat="1" ht="30" customHeight="1" outlineLevel="1">
      <c r="B26" s="61" t="s">
        <v>55</v>
      </c>
      <c r="C26" s="62" t="s">
        <v>26</v>
      </c>
      <c r="D26" s="63" t="s">
        <v>56</v>
      </c>
      <c r="E26" s="64" t="str">
        <f>IFERROR(UPPER(IF(C26="CPU",VLOOKUP(D26,#REF!,2,0),IF(C26="SINAPI",VLOOKUP(D26,#REF!,2,0),IF(C26="EDIF",VLOOKUP(D26,#REF!,2,0),IF(C26="CDHU",VLOOKUP(D26,#REF!,2,0),IF(C26="FDE",VLOOKUP(D26,'FDE 10-23 '!$A$4:$E$3180,2,0),IF(C26="INFRA",VLOOKUP(D26,#REF!,2,0),""))))))),"")</f>
        <v>ACO CA-50 (A OU B) FYK = 500 MPA</v>
      </c>
      <c r="F26" s="65" t="str">
        <f>VLOOKUP(D26,'FDE 10-23 '!$A$4:$E$3180,3,0)</f>
        <v>KG</v>
      </c>
      <c r="G26" s="66">
        <f>VLOOKUP(B26,Planilha17!$A$8:$F$1259,6,0)</f>
        <v>0</v>
      </c>
      <c r="H26" s="67">
        <f>VLOOKUP(D26,'FDE 10-23 '!$A$4:$E$3180,5,0)</f>
        <v>12.18</v>
      </c>
      <c r="I26" s="68">
        <f t="shared" ref="I26:I31" si="0">$L$10</f>
        <v>0.23</v>
      </c>
      <c r="J26" s="67">
        <f t="shared" ref="J26:J31" si="1">ROUND(H26*(1+I26),2)</f>
        <v>14.98</v>
      </c>
      <c r="K26" s="69">
        <f t="shared" ref="K26:K31" si="2">SUM(G26*J26)</f>
        <v>0</v>
      </c>
      <c r="L26" s="51"/>
      <c r="M26" s="52"/>
    </row>
    <row r="27" spans="2:13" s="25" customFormat="1" ht="30" customHeight="1" outlineLevel="1">
      <c r="B27" s="61" t="s">
        <v>57</v>
      </c>
      <c r="C27" s="62" t="s">
        <v>26</v>
      </c>
      <c r="D27" s="63" t="s">
        <v>58</v>
      </c>
      <c r="E27" s="64" t="str">
        <f>IFERROR(UPPER(IF(C27="CPU",VLOOKUP(D27,#REF!,2,0),IF(C27="SINAPI",VLOOKUP(D27,#REF!,2,0),IF(C27="EDIF",VLOOKUP(D27,#REF!,2,0),IF(C27="CDHU",VLOOKUP(D27,#REF!,2,0),IF(C27="FDE",VLOOKUP(D27,'FDE 10-23 '!$A$4:$E$3180,2,0),IF(C27="INFRA",VLOOKUP(D27,#REF!,2,0),""))))))),"")</f>
        <v>BROCA DE CONCRETO DE DIAMETRO 25CM - INCL ARRANQUES</v>
      </c>
      <c r="F27" s="65" t="str">
        <f>VLOOKUP(D27,'FDE 10-23 '!$A$4:$E$3180,3,0)</f>
        <v>M</v>
      </c>
      <c r="G27" s="66">
        <f>VLOOKUP(B27,Planilha17!$A$8:$F$1259,6,0)</f>
        <v>0</v>
      </c>
      <c r="H27" s="67">
        <f>VLOOKUP(D27,'FDE 10-23 '!$A$4:$E$3180,5,0)</f>
        <v>71.069999999999993</v>
      </c>
      <c r="I27" s="68">
        <f t="shared" si="0"/>
        <v>0.23</v>
      </c>
      <c r="J27" s="67">
        <f t="shared" si="1"/>
        <v>87.42</v>
      </c>
      <c r="K27" s="69">
        <f t="shared" si="2"/>
        <v>0</v>
      </c>
      <c r="L27" s="51"/>
      <c r="M27" s="52"/>
    </row>
    <row r="28" spans="2:13" s="25" customFormat="1" ht="30" customHeight="1" outlineLevel="1">
      <c r="B28" s="61" t="s">
        <v>59</v>
      </c>
      <c r="C28" s="62" t="s">
        <v>26</v>
      </c>
      <c r="D28" s="63" t="s">
        <v>60</v>
      </c>
      <c r="E28" s="64" t="str">
        <f>IFERROR(UPPER(IF(C28="CPU",VLOOKUP(D28,#REF!,2,0),IF(C28="SINAPI",VLOOKUP(D28,#REF!,2,0),IF(C28="EDIF",VLOOKUP(D28,#REF!,2,0),IF(C28="CDHU",VLOOKUP(D28,#REF!,2,0),IF(C28="FDE",VLOOKUP(D28,'FDE 10-23 '!$A$4:$E$3180,2,0),IF(C28="INFRA",VLOOKUP(D28,#REF!,2,0),""))))))),"")</f>
        <v>ESTACA TIPO HELICE DN 25CM</v>
      </c>
      <c r="F28" s="65" t="str">
        <f>VLOOKUP(D28,'FDE 10-23 '!$A$4:$E$3180,3,0)</f>
        <v>M</v>
      </c>
      <c r="G28" s="66">
        <f>VLOOKUP(B28,Planilha17!$A$8:$F$1259,6,0)</f>
        <v>0</v>
      </c>
      <c r="H28" s="67">
        <f>VLOOKUP(D28,'FDE 10-23 '!$A$4:$E$3180,5,0)</f>
        <v>62.61</v>
      </c>
      <c r="I28" s="68">
        <f t="shared" si="0"/>
        <v>0.23</v>
      </c>
      <c r="J28" s="67">
        <f t="shared" si="1"/>
        <v>77.010000000000005</v>
      </c>
      <c r="K28" s="69">
        <f t="shared" si="2"/>
        <v>0</v>
      </c>
      <c r="L28" s="51"/>
      <c r="M28" s="52"/>
    </row>
    <row r="29" spans="2:13" s="25" customFormat="1" ht="30" customHeight="1" outlineLevel="1">
      <c r="B29" s="61" t="s">
        <v>61</v>
      </c>
      <c r="C29" s="62" t="s">
        <v>26</v>
      </c>
      <c r="D29" s="63" t="s">
        <v>62</v>
      </c>
      <c r="E29" s="64" t="str">
        <f>IFERROR(UPPER(IF(C29="CPU",VLOOKUP(D29,#REF!,2,0),IF(C29="SINAPI",VLOOKUP(D29,#REF!,2,0),IF(C29="EDIF",VLOOKUP(D29,#REF!,2,0),IF(C29="CDHU",VLOOKUP(D29,#REF!,2,0),IF(C29="FDE",VLOOKUP(D29,'FDE 10-23 '!$A$4:$E$3180,2,0),IF(C29="INFRA",VLOOKUP(D29,#REF!,2,0),""))))))),"")</f>
        <v>ESTACA TIPO HELICE DN 30CM</v>
      </c>
      <c r="F29" s="65" t="str">
        <f>VLOOKUP(D29,'FDE 10-23 '!$A$4:$E$3180,3,0)</f>
        <v>M</v>
      </c>
      <c r="G29" s="66">
        <f>VLOOKUP(B29,Planilha17!$A$8:$F$1259,6,0)</f>
        <v>0</v>
      </c>
      <c r="H29" s="67">
        <f>VLOOKUP(D29,'FDE 10-23 '!$A$4:$E$3180,5,0)</f>
        <v>80.69</v>
      </c>
      <c r="I29" s="68">
        <f t="shared" si="0"/>
        <v>0.23</v>
      </c>
      <c r="J29" s="67">
        <f t="shared" si="1"/>
        <v>99.25</v>
      </c>
      <c r="K29" s="69">
        <f t="shared" si="2"/>
        <v>0</v>
      </c>
      <c r="L29" s="51"/>
      <c r="M29" s="52"/>
    </row>
    <row r="30" spans="2:13" s="25" customFormat="1" ht="30" customHeight="1" outlineLevel="1">
      <c r="B30" s="61" t="s">
        <v>63</v>
      </c>
      <c r="C30" s="62" t="s">
        <v>26</v>
      </c>
      <c r="D30" s="63" t="s">
        <v>64</v>
      </c>
      <c r="E30" s="64" t="str">
        <f>IFERROR(UPPER(IF(C30="CPU",VLOOKUP(D30,#REF!,2,0),IF(C30="SINAPI",VLOOKUP(D30,#REF!,2,0),IF(C30="EDIF",VLOOKUP(D30,#REF!,2,0),IF(C30="CDHU",VLOOKUP(D30,#REF!,2,0),IF(C30="FDE",VLOOKUP(D30,'FDE 10-23 '!$A$4:$E$3180,2,0),IF(C30="INFRA",VLOOKUP(D30,#REF!,2,0),""))))))),"")</f>
        <v>ESTACA TIPO HELICE DN 35CM</v>
      </c>
      <c r="F30" s="65" t="str">
        <f>VLOOKUP(D30,'FDE 10-23 '!$A$4:$E$3180,3,0)</f>
        <v>M</v>
      </c>
      <c r="G30" s="66">
        <f>VLOOKUP(B30,Planilha17!$A$8:$F$1259,6,0)</f>
        <v>0</v>
      </c>
      <c r="H30" s="67">
        <f>VLOOKUP(D30,'FDE 10-23 '!$A$4:$E$3180,5,0)</f>
        <v>101.64</v>
      </c>
      <c r="I30" s="68">
        <f t="shared" si="0"/>
        <v>0.23</v>
      </c>
      <c r="J30" s="67">
        <f t="shared" si="1"/>
        <v>125.02</v>
      </c>
      <c r="K30" s="69">
        <f t="shared" si="2"/>
        <v>0</v>
      </c>
      <c r="L30" s="51"/>
      <c r="M30" s="52"/>
    </row>
    <row r="31" spans="2:13" s="25" customFormat="1" ht="30" customHeight="1" outlineLevel="1">
      <c r="B31" s="61" t="s">
        <v>65</v>
      </c>
      <c r="C31" s="62" t="s">
        <v>26</v>
      </c>
      <c r="D31" s="63" t="s">
        <v>66</v>
      </c>
      <c r="E31" s="64" t="str">
        <f>IFERROR(UPPER(IF(C31="CPU",VLOOKUP(D31,#REF!,2,0),IF(C31="SINAPI",VLOOKUP(D31,#REF!,2,0),IF(C31="EDIF",VLOOKUP(D31,#REF!,2,0),IF(C31="CDHU",VLOOKUP(D31,#REF!,2,0),IF(C31="FDE",VLOOKUP(D31,'FDE 10-23 '!$A$4:$E$3180,2,0),IF(C31="INFRA",VLOOKUP(D31,#REF!,2,0),""))))))),"")</f>
        <v>TRANSPORTE E ATERRO INTERNO DE MATERIAL ESCAVADO DE FUNDAÇÃO-ESTACA-TUBULÃO</v>
      </c>
      <c r="F31" s="65" t="str">
        <f>VLOOKUP(D31,'FDE 10-23 '!$A$4:$E$3180,3,0)</f>
        <v>M3</v>
      </c>
      <c r="G31" s="66">
        <f>VLOOKUP(B31,Planilha17!$A$8:$F$1259,6,0)</f>
        <v>0</v>
      </c>
      <c r="H31" s="67">
        <f>VLOOKUP(D31,'FDE 10-23 '!$A$4:$E$3180,5,0)</f>
        <v>56.96</v>
      </c>
      <c r="I31" s="68">
        <f t="shared" si="0"/>
        <v>0.23</v>
      </c>
      <c r="J31" s="67">
        <f t="shared" si="1"/>
        <v>70.06</v>
      </c>
      <c r="K31" s="69">
        <f t="shared" si="2"/>
        <v>0</v>
      </c>
      <c r="L31" s="51"/>
      <c r="M31" s="52"/>
    </row>
    <row r="32" spans="2:13" s="25" customFormat="1" ht="30" customHeight="1" outlineLevel="1">
      <c r="B32" s="53" t="s">
        <v>67</v>
      </c>
      <c r="C32" s="54"/>
      <c r="D32" s="54" t="s">
        <v>68</v>
      </c>
      <c r="E32" s="55" t="s">
        <v>69</v>
      </c>
      <c r="F32" s="56"/>
      <c r="G32" s="57"/>
      <c r="H32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2" s="59"/>
      <c r="J32" s="59"/>
      <c r="K32" s="60">
        <f>SUBTOTAL(9,K33)</f>
        <v>25627.995599999998</v>
      </c>
      <c r="L32" s="51"/>
      <c r="M32" s="52"/>
    </row>
    <row r="33" spans="2:13" s="25" customFormat="1" ht="30" customHeight="1" outlineLevel="1">
      <c r="B33" s="61" t="s">
        <v>70</v>
      </c>
      <c r="C33" s="62" t="s">
        <v>26</v>
      </c>
      <c r="D33" s="63" t="s">
        <v>71</v>
      </c>
      <c r="E33" s="64" t="str">
        <f>IFERROR(UPPER(IF(C33="CPU",VLOOKUP(D33,#REF!,2,0),IF(C33="SINAPI",VLOOKUP(D33,#REF!,2,0),IF(C33="EDIF",VLOOKUP(D33,#REF!,2,0),IF(C33="CDHU",VLOOKUP(D33,#REF!,2,0),IF(C33="FDE",VLOOKUP(D33,'FDE 10-23 '!$A$4:$E$3180,2,0),IF(C33="INFRA",VLOOKUP(D33,#REF!,2,0),""))))))),"")</f>
        <v>FORMA DE MADEIRA MACICA</v>
      </c>
      <c r="F33" s="65" t="str">
        <f>VLOOKUP(D33,'FDE 10-23 '!$A$4:$E$3180,3,0)</f>
        <v>M2</v>
      </c>
      <c r="G33" s="66">
        <f>VLOOKUP(B33,Planilha17!$A$8:$F$1259,6,0)</f>
        <v>276.82</v>
      </c>
      <c r="H33" s="67">
        <f>VLOOKUP(D33,'FDE 10-23 '!$A$4:$E$3180,5,0)</f>
        <v>75.27</v>
      </c>
      <c r="I33" s="68">
        <f>$L$10</f>
        <v>0.23</v>
      </c>
      <c r="J33" s="67">
        <f>ROUND(H33*(1+I33),2)</f>
        <v>92.58</v>
      </c>
      <c r="K33" s="69">
        <f>SUM(G33*J33)</f>
        <v>25627.995599999998</v>
      </c>
      <c r="L33" s="51"/>
      <c r="M33" s="52"/>
    </row>
    <row r="34" spans="2:13" s="25" customFormat="1" ht="30" customHeight="1" outlineLevel="1">
      <c r="B34" s="53" t="s">
        <v>72</v>
      </c>
      <c r="C34" s="54"/>
      <c r="D34" s="54" t="s">
        <v>73</v>
      </c>
      <c r="E34" s="55" t="s">
        <v>74</v>
      </c>
      <c r="F34" s="56"/>
      <c r="G34" s="57"/>
      <c r="H34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4" s="59"/>
      <c r="J34" s="59"/>
      <c r="K34" s="60">
        <f>SUBTOTAL(9,K35:K36)</f>
        <v>0</v>
      </c>
      <c r="L34" s="51"/>
      <c r="M34" s="52"/>
    </row>
    <row r="35" spans="2:13" s="25" customFormat="1" ht="30" customHeight="1" outlineLevel="1">
      <c r="B35" s="61" t="s">
        <v>75</v>
      </c>
      <c r="C35" s="62" t="s">
        <v>26</v>
      </c>
      <c r="D35" s="63" t="s">
        <v>76</v>
      </c>
      <c r="E35" s="64" t="str">
        <f>IFERROR(UPPER(IF(C35="CPU",VLOOKUP(D35,#REF!,2,0),IF(C35="SINAPI",VLOOKUP(D35,#REF!,2,0),IF(C35="EDIF",VLOOKUP(D35,#REF!,2,0),IF(C35="CDHU",VLOOKUP(D35,#REF!,2,0),IF(C35="FDE",VLOOKUP(D35,'FDE 10-23 '!$A$4:$E$3180,2,0),IF(C35="INFRA",VLOOKUP(D35,#REF!,2,0),""))))))),"")</f>
        <v>ACO CA 50 (A OU B) FYK= 500 M PA</v>
      </c>
      <c r="F35" s="65" t="str">
        <f>VLOOKUP(D35,'FDE 10-23 '!$A$4:$E$3180,3,0)</f>
        <v>KG</v>
      </c>
      <c r="G35" s="66">
        <f>VLOOKUP(B35,Planilha17!$A$8:$F$1259,6,0)</f>
        <v>0</v>
      </c>
      <c r="H35" s="67">
        <f>VLOOKUP(D35,'FDE 10-23 '!$A$4:$E$3180,5,0)</f>
        <v>12.18</v>
      </c>
      <c r="I35" s="68">
        <f>$L$10</f>
        <v>0.23</v>
      </c>
      <c r="J35" s="67">
        <f>ROUND(H35*(1+I35),2)</f>
        <v>14.98</v>
      </c>
      <c r="K35" s="69">
        <f>SUM(G35*J35)</f>
        <v>0</v>
      </c>
      <c r="L35" s="51"/>
      <c r="M35" s="52"/>
    </row>
    <row r="36" spans="2:13" s="25" customFormat="1" ht="30" customHeight="1" outlineLevel="1">
      <c r="B36" s="61" t="s">
        <v>77</v>
      </c>
      <c r="C36" s="62" t="s">
        <v>26</v>
      </c>
      <c r="D36" s="63" t="s">
        <v>78</v>
      </c>
      <c r="E36" s="64" t="str">
        <f>IFERROR(UPPER(IF(C36="CPU",VLOOKUP(D36,#REF!,2,0),IF(C36="SINAPI",VLOOKUP(D36,#REF!,2,0),IF(C36="EDIF",VLOOKUP(D36,#REF!,2,0),IF(C36="CDHU",VLOOKUP(D36,#REF!,2,0),IF(C36="FDE",VLOOKUP(D36,'FDE 10-23 '!$A$4:$E$3180,2,0),IF(C36="INFRA",VLOOKUP(D36,#REF!,2,0),""))))))),"")</f>
        <v>ACO CA 60 (A OU B) FYK= 600 M PA</v>
      </c>
      <c r="F36" s="65" t="str">
        <f>VLOOKUP(D36,'FDE 10-23 '!$A$4:$E$3180,3,0)</f>
        <v>KG</v>
      </c>
      <c r="G36" s="66">
        <f>VLOOKUP(B36,Planilha17!$A$8:$F$1259,6,0)</f>
        <v>0</v>
      </c>
      <c r="H36" s="67">
        <f>VLOOKUP(D36,'FDE 10-23 '!$A$4:$E$3180,5,0)</f>
        <v>12.58</v>
      </c>
      <c r="I36" s="68">
        <f>$L$10</f>
        <v>0.23</v>
      </c>
      <c r="J36" s="67">
        <f>ROUND(H36*(1+I36),2)</f>
        <v>15.47</v>
      </c>
      <c r="K36" s="69">
        <f>SUM(G36*J36)</f>
        <v>0</v>
      </c>
      <c r="L36" s="51"/>
      <c r="M36" s="52"/>
    </row>
    <row r="37" spans="2:13" s="25" customFormat="1" ht="30" customHeight="1" outlineLevel="1">
      <c r="B37" s="53" t="s">
        <v>79</v>
      </c>
      <c r="C37" s="54"/>
      <c r="D37" s="54" t="s">
        <v>80</v>
      </c>
      <c r="E37" s="55" t="s">
        <v>81</v>
      </c>
      <c r="F37" s="56"/>
      <c r="G37" s="57"/>
      <c r="H3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7" s="59"/>
      <c r="J37" s="59"/>
      <c r="K37" s="60">
        <f>SUBTOTAL(9,K38:K39)</f>
        <v>23847.792840000002</v>
      </c>
      <c r="L37" s="51"/>
      <c r="M37" s="52"/>
    </row>
    <row r="38" spans="2:13" s="25" customFormat="1" ht="30" customHeight="1" outlineLevel="1">
      <c r="B38" s="61" t="s">
        <v>82</v>
      </c>
      <c r="C38" s="62" t="s">
        <v>26</v>
      </c>
      <c r="D38" s="63" t="s">
        <v>83</v>
      </c>
      <c r="E38" s="64" t="str">
        <f>IFERROR(UPPER(IF(C38="CPU",VLOOKUP(D38,#REF!,2,0),IF(C38="SINAPI",VLOOKUP(D38,#REF!,2,0),IF(C38="EDIF",VLOOKUP(D38,#REF!,2,0),IF(C38="CDHU",VLOOKUP(D38,#REF!,2,0),IF(C38="FDE",VLOOKUP(D38,'FDE 10-23 '!$A$4:$E$3180,2,0),IF(C38="INFRA",VLOOKUP(D38,#REF!,2,0),""))))))),"")</f>
        <v>CONCRETO DOSADO E LANCADO FCK=25MPA</v>
      </c>
      <c r="F38" s="65" t="str">
        <f>VLOOKUP(D38,'FDE 10-23 '!$A$4:$E$3180,3,0)</f>
        <v>M3</v>
      </c>
      <c r="G38" s="66">
        <f>VLOOKUP(B38,Planilha17!$A$8:$F$1259,6,0)</f>
        <v>27.073999999999998</v>
      </c>
      <c r="H38" s="67">
        <f>VLOOKUP(D38,'FDE 10-23 '!$A$4:$E$3180,5,0)</f>
        <v>523.76</v>
      </c>
      <c r="I38" s="68">
        <f>$L$10</f>
        <v>0.23</v>
      </c>
      <c r="J38" s="67">
        <f>ROUND(H38*(1+I38),2)</f>
        <v>644.22</v>
      </c>
      <c r="K38" s="69">
        <f>SUM(G38*J38)</f>
        <v>17441.612280000001</v>
      </c>
      <c r="L38" s="51"/>
      <c r="M38" s="52"/>
    </row>
    <row r="39" spans="2:13" s="25" customFormat="1" ht="30" customHeight="1" outlineLevel="1">
      <c r="B39" s="61" t="s">
        <v>84</v>
      </c>
      <c r="C39" s="62" t="s">
        <v>26</v>
      </c>
      <c r="D39" s="63" t="s">
        <v>85</v>
      </c>
      <c r="E39" s="64" t="str">
        <f>IFERROR(UPPER(IF(C39="CPU",VLOOKUP(D39,#REF!,2,0),IF(C39="SINAPI",VLOOKUP(D39,#REF!,2,0),IF(C39="EDIF",VLOOKUP(D39,#REF!,2,0),IF(C39="CDHU",VLOOKUP(D39,#REF!,2,0),IF(C39="FDE",VLOOKUP(D39,'FDE 10-23 '!$A$4:$E$3180,2,0),IF(C39="INFRA",VLOOKUP(D39,#REF!,2,0),""))))))),"")</f>
        <v>CONCRETO GROUT, PREPARADO NO LOCAL, LANÇADO E ADENSADO</v>
      </c>
      <c r="F39" s="65" t="str">
        <f>VLOOKUP(D39,'FDE 10-23 '!$A$4:$E$3180,3,0)</f>
        <v>M3</v>
      </c>
      <c r="G39" s="66">
        <f>VLOOKUP(B39,Planilha17!$A$8:$F$1259,6,0)</f>
        <v>10.722000000000001</v>
      </c>
      <c r="H39" s="67">
        <f>VLOOKUP(D39,'FDE 10-23 '!$A$4:$E$3180,5,0)</f>
        <v>485.76</v>
      </c>
      <c r="I39" s="68">
        <f>$L$10</f>
        <v>0.23</v>
      </c>
      <c r="J39" s="67">
        <f>ROUND(H39*(1+I39),2)</f>
        <v>597.48</v>
      </c>
      <c r="K39" s="69">
        <f>SUM(G39*J39)</f>
        <v>6406.1805600000007</v>
      </c>
      <c r="L39" s="51"/>
      <c r="M39" s="52"/>
    </row>
    <row r="40" spans="2:13" s="25" customFormat="1" ht="30" customHeight="1" outlineLevel="1">
      <c r="B40" s="53" t="s">
        <v>86</v>
      </c>
      <c r="C40" s="54"/>
      <c r="D40" s="54" t="s">
        <v>87</v>
      </c>
      <c r="E40" s="55" t="s">
        <v>88</v>
      </c>
      <c r="F40" s="56"/>
      <c r="G40" s="57"/>
      <c r="H4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0" s="59"/>
      <c r="J40" s="59"/>
      <c r="K40" s="60">
        <f>SUBTOTAL(9,K41)</f>
        <v>26572.285350000002</v>
      </c>
      <c r="L40" s="51"/>
      <c r="M40" s="52"/>
    </row>
    <row r="41" spans="2:13" s="25" customFormat="1" ht="30" customHeight="1" outlineLevel="1">
      <c r="B41" s="61" t="s">
        <v>89</v>
      </c>
      <c r="C41" s="62" t="s">
        <v>26</v>
      </c>
      <c r="D41" s="63" t="s">
        <v>90</v>
      </c>
      <c r="E41" s="64" t="str">
        <f>IFERROR(UPPER(IF(C41="CPU",VLOOKUP(D41,#REF!,2,0),IF(C41="SINAPI",VLOOKUP(D41,#REF!,2,0),IF(C41="EDIF",VLOOKUP(D41,#REF!,2,0),IF(C41="CDHU",VLOOKUP(D41,#REF!,2,0),IF(C41="FDE",VLOOKUP(D41,'FDE 10-23 '!$A$4:$E$3180,2,0),IF(C41="INFRA",VLOOKUP(D41,#REF!,2,0),""))))))),"")</f>
        <v>ALVENARIA EMBASAMENTO TIJOLO BARRO MACIÇO E = 1 TIJOLO</v>
      </c>
      <c r="F41" s="65" t="str">
        <f>VLOOKUP(D41,'FDE 10-23 '!$A$4:$E$3180,3,0)</f>
        <v>M2</v>
      </c>
      <c r="G41" s="66">
        <f>VLOOKUP(B41,Planilha17!$A$8:$F$1259,6,0)</f>
        <v>114.25500000000001</v>
      </c>
      <c r="H41" s="67">
        <f>VLOOKUP(D41,'FDE 10-23 '!$A$4:$E$3180,5,0)</f>
        <v>189.08</v>
      </c>
      <c r="I41" s="68">
        <f>$L$10</f>
        <v>0.23</v>
      </c>
      <c r="J41" s="67">
        <f>ROUND(H41*(1+I41),2)</f>
        <v>232.57</v>
      </c>
      <c r="K41" s="69">
        <f>SUM(G41*J41)</f>
        <v>26572.285350000002</v>
      </c>
      <c r="L41" s="51"/>
      <c r="M41" s="52"/>
    </row>
    <row r="42" spans="2:13" s="25" customFormat="1" ht="30" customHeight="1" outlineLevel="1">
      <c r="B42" s="53" t="s">
        <v>91</v>
      </c>
      <c r="C42" s="54"/>
      <c r="D42" s="54" t="s">
        <v>92</v>
      </c>
      <c r="E42" s="55" t="s">
        <v>93</v>
      </c>
      <c r="F42" s="56"/>
      <c r="G42" s="57"/>
      <c r="H42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2" s="59"/>
      <c r="J42" s="59"/>
      <c r="K42" s="60">
        <f>SUBTOTAL(9,K43)</f>
        <v>17909.090400000001</v>
      </c>
      <c r="L42" s="51"/>
      <c r="M42" s="52"/>
    </row>
    <row r="43" spans="2:13" s="25" customFormat="1" ht="30" customHeight="1" outlineLevel="1">
      <c r="B43" s="61" t="s">
        <v>94</v>
      </c>
      <c r="C43" s="62" t="s">
        <v>26</v>
      </c>
      <c r="D43" s="63" t="s">
        <v>95</v>
      </c>
      <c r="E43" s="64" t="str">
        <f>IFERROR(UPPER(IF(C43="CPU",VLOOKUP(D43,#REF!,2,0),IF(C43="SINAPI",VLOOKUP(D43,#REF!,2,0),IF(C43="EDIF",VLOOKUP(D43,#REF!,2,0),IF(C43="CDHU",VLOOKUP(D43,#REF!,2,0),IF(C43="FDE",VLOOKUP(D43,'FDE 10-23 '!$A$4:$E$3180,2,0),IF(C43="INFRA",VLOOKUP(D43,#REF!,2,0),""))))))),"")</f>
        <v>IMPERM RESP ALV EMBAS COM ARGAM CIM-AREIA 1:3 CONTENDO HIDROFUGO</v>
      </c>
      <c r="F43" s="65" t="str">
        <f>VLOOKUP(D43,'FDE 10-23 '!$A$4:$E$3180,3,0)</f>
        <v>M2</v>
      </c>
      <c r="G43" s="66">
        <f>VLOOKUP(B43,Planilha17!$A$8:$F$1259,6,0)</f>
        <v>304.68</v>
      </c>
      <c r="H43" s="67">
        <f>VLOOKUP(D43,'FDE 10-23 '!$A$4:$E$3180,5,0)</f>
        <v>47.79</v>
      </c>
      <c r="I43" s="68">
        <f>$L$10</f>
        <v>0.23</v>
      </c>
      <c r="J43" s="67">
        <f>ROUND(H43*(1+I43),2)</f>
        <v>58.78</v>
      </c>
      <c r="K43" s="69">
        <f>SUM(G43*J43)</f>
        <v>17909.090400000001</v>
      </c>
      <c r="L43" s="51"/>
      <c r="M43" s="52"/>
    </row>
    <row r="44" spans="2:13" s="25" customFormat="1" ht="30" customHeight="1">
      <c r="B44" s="43">
        <v>3</v>
      </c>
      <c r="C44" s="44"/>
      <c r="D44" s="44" t="s">
        <v>96</v>
      </c>
      <c r="E44" s="45" t="s">
        <v>97</v>
      </c>
      <c r="F44" s="46"/>
      <c r="G44" s="47"/>
      <c r="H44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4" s="49"/>
      <c r="J44" s="49"/>
      <c r="K44" s="50">
        <f>SUBTOTAL(9,K45:K61)</f>
        <v>3423748.0081999996</v>
      </c>
      <c r="L44" s="51"/>
      <c r="M44" s="52"/>
    </row>
    <row r="45" spans="2:13" s="25" customFormat="1" ht="30" customHeight="1" outlineLevel="1">
      <c r="B45" s="53" t="s">
        <v>98</v>
      </c>
      <c r="C45" s="54"/>
      <c r="D45" s="54" t="s">
        <v>99</v>
      </c>
      <c r="E45" s="55" t="s">
        <v>69</v>
      </c>
      <c r="F45" s="56"/>
      <c r="G45" s="57"/>
      <c r="H4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5" s="59"/>
      <c r="J45" s="59"/>
      <c r="K45" s="60">
        <f>SUBTOTAL(9,K46)</f>
        <v>1278.2979999999998</v>
      </c>
      <c r="L45" s="51"/>
      <c r="M45" s="52"/>
    </row>
    <row r="46" spans="2:13" s="25" customFormat="1" ht="30" customHeight="1" outlineLevel="1">
      <c r="B46" s="61" t="s">
        <v>100</v>
      </c>
      <c r="C46" s="62" t="s">
        <v>26</v>
      </c>
      <c r="D46" s="63" t="s">
        <v>101</v>
      </c>
      <c r="E46" s="64" t="str">
        <f>IFERROR(UPPER(IF(C46="CPU",VLOOKUP(D46,#REF!,2,0),IF(C46="SINAPI",VLOOKUP(D46,#REF!,2,0),IF(C46="EDIF",VLOOKUP(D46,#REF!,2,0),IF(C46="CDHU",VLOOKUP(D46,#REF!,2,0),IF(C46="FDE",VLOOKUP(D46,'FDE 10-23 '!$A$4:$E$3180,2,0),IF(C46="INFRA",VLOOKUP(D46,#REF!,2,0),""))))))),"")</f>
        <v>FORMAS PLANAS PLASTIFICADA PARA CONCRETO APARENTE</v>
      </c>
      <c r="F46" s="65" t="str">
        <f>VLOOKUP(D46,'FDE 10-23 '!$A$4:$E$3180,3,0)</f>
        <v>M2</v>
      </c>
      <c r="G46" s="66">
        <f>VLOOKUP(B46,Planilha17!$A$8:$F$1259,6,0)</f>
        <v>8.1999999999999993</v>
      </c>
      <c r="H46" s="67">
        <f>VLOOKUP(D46,'FDE 10-23 '!$A$4:$E$3180,5,0)</f>
        <v>126.74</v>
      </c>
      <c r="I46" s="68">
        <f>$L$10</f>
        <v>0.23</v>
      </c>
      <c r="J46" s="67">
        <f>ROUND(H46*(1+I46),2)</f>
        <v>155.88999999999999</v>
      </c>
      <c r="K46" s="69">
        <f>SUM(G46*J46)</f>
        <v>1278.2979999999998</v>
      </c>
      <c r="L46" s="51"/>
      <c r="M46" s="52"/>
    </row>
    <row r="47" spans="2:13" s="25" customFormat="1" ht="30" customHeight="1" outlineLevel="1">
      <c r="B47" s="53" t="s">
        <v>102</v>
      </c>
      <c r="C47" s="54"/>
      <c r="D47" s="54" t="s">
        <v>103</v>
      </c>
      <c r="E47" s="55" t="s">
        <v>74</v>
      </c>
      <c r="F47" s="56"/>
      <c r="G47" s="57"/>
      <c r="H4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7" s="59"/>
      <c r="J47" s="59"/>
      <c r="K47" s="60">
        <f>SUBTOTAL(9,K48:K52)</f>
        <v>252892.13399999999</v>
      </c>
      <c r="L47" s="51"/>
      <c r="M47" s="52"/>
    </row>
    <row r="48" spans="2:13" s="25" customFormat="1" ht="30" customHeight="1" outlineLevel="1">
      <c r="B48" s="61" t="s">
        <v>104</v>
      </c>
      <c r="C48" s="62" t="s">
        <v>26</v>
      </c>
      <c r="D48" s="63" t="s">
        <v>105</v>
      </c>
      <c r="E48" s="64" t="str">
        <f>IFERROR(UPPER(IF(C48="CPU",VLOOKUP(D48,#REF!,2,0),IF(C48="SINAPI",VLOOKUP(D48,#REF!,2,0),IF(C48="EDIF",VLOOKUP(D48,#REF!,2,0),IF(C48="CDHU",VLOOKUP(D48,#REF!,2,0),IF(C48="FDE",VLOOKUP(D48,'FDE 10-23 '!$A$4:$E$3180,2,0),IF(C48="INFRA",VLOOKUP(D48,#REF!,2,0),""))))))),"")</f>
        <v>ACO CA 50 (A OU B) FYK= 500 M PA</v>
      </c>
      <c r="F48" s="65" t="str">
        <f>VLOOKUP(D48,'FDE 10-23 '!$A$4:$E$3180,3,0)</f>
        <v>KG</v>
      </c>
      <c r="G48" s="66">
        <f>VLOOKUP(B48,Planilha17!$A$8:$F$1259,6,0)</f>
        <v>4425.6000000000004</v>
      </c>
      <c r="H48" s="67">
        <f>VLOOKUP(D48,'FDE 10-23 '!$A$4:$E$3180,5,0)</f>
        <v>12.18</v>
      </c>
      <c r="I48" s="68">
        <f>$L$10</f>
        <v>0.23</v>
      </c>
      <c r="J48" s="67">
        <f>ROUND(H48*(1+I48),2)</f>
        <v>14.98</v>
      </c>
      <c r="K48" s="69">
        <f>SUM(G48*J48)</f>
        <v>66295.488000000012</v>
      </c>
      <c r="L48" s="51"/>
      <c r="M48" s="52"/>
    </row>
    <row r="49" spans="2:13" s="25" customFormat="1" ht="30" customHeight="1" outlineLevel="1">
      <c r="B49" s="61" t="s">
        <v>106</v>
      </c>
      <c r="C49" s="62" t="s">
        <v>26</v>
      </c>
      <c r="D49" s="63" t="s">
        <v>107</v>
      </c>
      <c r="E49" s="64" t="str">
        <f>IFERROR(UPPER(IF(C49="CPU",VLOOKUP(D49,#REF!,2,0),IF(C49="SINAPI",VLOOKUP(D49,#REF!,2,0),IF(C49="EDIF",VLOOKUP(D49,#REF!,2,0),IF(C49="CDHU",VLOOKUP(D49,#REF!,2,0),IF(C49="FDE",VLOOKUP(D49,'FDE 10-23 '!$A$4:$E$3180,2,0),IF(C49="INFRA",VLOOKUP(D49,#REF!,2,0),""))))))),"")</f>
        <v>TELA ARMADURA (MALHA ACO CA 60 FYK= 600 M PA)</v>
      </c>
      <c r="F49" s="65" t="str">
        <f>VLOOKUP(D49,'FDE 10-23 '!$A$4:$E$3180,3,0)</f>
        <v>KG</v>
      </c>
      <c r="G49" s="66">
        <f>VLOOKUP(B49,Planilha17!$A$8:$F$1259,6,0)</f>
        <v>6456</v>
      </c>
      <c r="H49" s="67">
        <f>VLOOKUP(D49,'FDE 10-23 '!$A$4:$E$3180,5,0)</f>
        <v>11.44</v>
      </c>
      <c r="I49" s="68">
        <f>$L$10</f>
        <v>0.23</v>
      </c>
      <c r="J49" s="67">
        <f>ROUND(H49*(1+I49),2)</f>
        <v>14.07</v>
      </c>
      <c r="K49" s="69">
        <f>SUM(G49*J49)</f>
        <v>90835.92</v>
      </c>
      <c r="L49" s="51"/>
      <c r="M49" s="52"/>
    </row>
    <row r="50" spans="2:13" s="25" customFormat="1" ht="30" customHeight="1" outlineLevel="1">
      <c r="B50" s="61" t="s">
        <v>108</v>
      </c>
      <c r="C50" s="62" t="s">
        <v>26</v>
      </c>
      <c r="D50" s="63" t="s">
        <v>109</v>
      </c>
      <c r="E50" s="64" t="str">
        <f>IFERROR(UPPER(IF(C50="CPU",VLOOKUP(D50,#REF!,2,0),IF(C50="SINAPI",VLOOKUP(D50,#REF!,2,0),IF(C50="EDIF",VLOOKUP(D50,#REF!,2,0),IF(C50="CDHU",VLOOKUP(D50,#REF!,2,0),IF(C50="FDE",VLOOKUP(D50,'FDE 10-23 '!$A$4:$E$3180,2,0),IF(C50="INFRA",VLOOKUP(D50,#REF!,2,0),""))))))),"")</f>
        <v>INSERTS EM CANTONEIRAS OU CHAPA AÇO A-36 P/SOLIDARIZAÇÃO DE VIGAS E PILARES</v>
      </c>
      <c r="F50" s="65" t="str">
        <f>VLOOKUP(D50,'FDE 10-23 '!$A$4:$E$3180,3,0)</f>
        <v>KG</v>
      </c>
      <c r="G50" s="66">
        <f>VLOOKUP(B50,Planilha17!$A$8:$F$1259,6,0)</f>
        <v>885.9</v>
      </c>
      <c r="H50" s="67">
        <f>VLOOKUP(D50,'FDE 10-23 '!$A$4:$E$3180,5,0)</f>
        <v>60.44</v>
      </c>
      <c r="I50" s="68">
        <f>$L$10</f>
        <v>0.23</v>
      </c>
      <c r="J50" s="67">
        <f>ROUND(H50*(1+I50),2)</f>
        <v>74.34</v>
      </c>
      <c r="K50" s="69">
        <f>SUM(G50*J50)</f>
        <v>65857.805999999997</v>
      </c>
      <c r="L50" s="51"/>
      <c r="M50" s="52"/>
    </row>
    <row r="51" spans="2:13" s="25" customFormat="1" ht="30" customHeight="1" outlineLevel="1">
      <c r="B51" s="61" t="s">
        <v>110</v>
      </c>
      <c r="C51" s="62" t="s">
        <v>26</v>
      </c>
      <c r="D51" s="63" t="s">
        <v>111</v>
      </c>
      <c r="E51" s="64" t="str">
        <f>IFERROR(UPPER(IF(C51="CPU",VLOOKUP(D51,#REF!,2,0),IF(C51="SINAPI",VLOOKUP(D51,#REF!,2,0),IF(C51="EDIF",VLOOKUP(D51,#REF!,2,0),IF(C51="CDHU",VLOOKUP(D51,#REF!,2,0),IF(C51="FDE",VLOOKUP(D51,'FDE 10-23 '!$A$4:$E$3180,2,0),IF(C51="INFRA",VLOOKUP(D51,#REF!,2,0),""))))))),"")</f>
        <v>CONJUNTO DE LUVAS E PINO ROSCAVEL DN 12,5MM P/SOLIDARIZAÇÃO DE VIGA FORNEC. E INST.</v>
      </c>
      <c r="F51" s="65" t="str">
        <f>VLOOKUP(D51,'FDE 10-23 '!$A$4:$E$3180,3,0)</f>
        <v>UN</v>
      </c>
      <c r="G51" s="66">
        <f>VLOOKUP(B51,Planilha17!$A$8:$F$1259,6,0)</f>
        <v>24</v>
      </c>
      <c r="H51" s="67">
        <f>VLOOKUP(D51,'FDE 10-23 '!$A$4:$E$3180,5,0)</f>
        <v>88.07</v>
      </c>
      <c r="I51" s="68">
        <f>$L$10</f>
        <v>0.23</v>
      </c>
      <c r="J51" s="67">
        <f>ROUND(H51*(1+I51),2)</f>
        <v>108.33</v>
      </c>
      <c r="K51" s="69">
        <f>SUM(G51*J51)</f>
        <v>2599.92</v>
      </c>
      <c r="L51" s="51"/>
      <c r="M51" s="52"/>
    </row>
    <row r="52" spans="2:13" s="25" customFormat="1" ht="30" customHeight="1" outlineLevel="1">
      <c r="B52" s="61" t="s">
        <v>112</v>
      </c>
      <c r="C52" s="62" t="s">
        <v>26</v>
      </c>
      <c r="D52" s="63" t="s">
        <v>113</v>
      </c>
      <c r="E52" s="64" t="str">
        <f>IFERROR(UPPER(IF(C52="CPU",VLOOKUP(D52,#REF!,2,0),IF(C52="SINAPI",VLOOKUP(D52,#REF!,2,0),IF(C52="EDIF",VLOOKUP(D52,#REF!,2,0),IF(C52="CDHU",VLOOKUP(D52,#REF!,2,0),IF(C52="FDE",VLOOKUP(D52,'FDE 10-23 '!$A$4:$E$3180,2,0),IF(C52="INFRA",VLOOKUP(D52,#REF!,2,0),""))))))),"")</f>
        <v>CONJUNTO DE LUVAS E PINO ROSCAVEL DN 20MM P/SOLIDARIZAÇÃO DE VIGA FORNEC. E INST.</v>
      </c>
      <c r="F52" s="65" t="str">
        <f>VLOOKUP(D52,'FDE 10-23 '!$A$4:$E$3180,3,0)</f>
        <v>UN</v>
      </c>
      <c r="G52" s="66">
        <f>VLOOKUP(B52,Planilha17!$A$8:$F$1259,6,0)</f>
        <v>150</v>
      </c>
      <c r="H52" s="67">
        <f>VLOOKUP(D52,'FDE 10-23 '!$A$4:$E$3180,5,0)</f>
        <v>147.97999999999999</v>
      </c>
      <c r="I52" s="68">
        <f>$L$10</f>
        <v>0.23</v>
      </c>
      <c r="J52" s="67">
        <f>ROUND(H52*(1+I52),2)</f>
        <v>182.02</v>
      </c>
      <c r="K52" s="69">
        <f>SUM(G52*J52)</f>
        <v>27303</v>
      </c>
      <c r="L52" s="51"/>
      <c r="M52" s="52"/>
    </row>
    <row r="53" spans="2:13" s="25" customFormat="1" ht="30" customHeight="1" outlineLevel="1">
      <c r="B53" s="53" t="s">
        <v>114</v>
      </c>
      <c r="C53" s="54"/>
      <c r="D53" s="54" t="s">
        <v>115</v>
      </c>
      <c r="E53" s="55" t="s">
        <v>81</v>
      </c>
      <c r="F53" s="56"/>
      <c r="G53" s="57"/>
      <c r="H53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53" s="59"/>
      <c r="J53" s="59"/>
      <c r="K53" s="60">
        <f>SUBTOTAL(9,K54:K59)</f>
        <v>3012760.9361999994</v>
      </c>
      <c r="L53" s="51"/>
      <c r="M53" s="52"/>
    </row>
    <row r="54" spans="2:13" s="25" customFormat="1" ht="30" customHeight="1" outlineLevel="1">
      <c r="B54" s="61" t="s">
        <v>116</v>
      </c>
      <c r="C54" s="62" t="s">
        <v>26</v>
      </c>
      <c r="D54" s="63" t="s">
        <v>117</v>
      </c>
      <c r="E54" s="64" t="str">
        <f>IFERROR(UPPER(IF(C54="CPU",VLOOKUP(D54,#REF!,2,0),IF(C54="SINAPI",VLOOKUP(D54,#REF!,2,0),IF(C54="EDIF",VLOOKUP(D54,#REF!,2,0),IF(C54="CDHU",VLOOKUP(D54,#REF!,2,0),IF(C54="FDE",VLOOKUP(D54,'FDE 10-23 '!$A$4:$E$3180,2,0),IF(C54="INFRA",VLOOKUP(D54,#REF!,2,0),""))))))),"")</f>
        <v>CONCRETO DOSADO,BOMBEADO E LANCADO FCK 25 MPA</v>
      </c>
      <c r="F54" s="65" t="str">
        <f>VLOOKUP(D54,'FDE 10-23 '!$A$4:$E$3180,3,0)</f>
        <v>M3</v>
      </c>
      <c r="G54" s="66">
        <f>VLOOKUP(B54,Planilha17!$A$8:$F$1259,6,0)</f>
        <v>195.6</v>
      </c>
      <c r="H54" s="67">
        <f>VLOOKUP(D54,'FDE 10-23 '!$A$4:$E$3180,5,0)</f>
        <v>563.26</v>
      </c>
      <c r="I54" s="68">
        <f t="shared" ref="I54:I59" si="3">$L$10</f>
        <v>0.23</v>
      </c>
      <c r="J54" s="67">
        <f t="shared" ref="J54:J59" si="4">ROUND(H54*(1+I54),2)</f>
        <v>692.81</v>
      </c>
      <c r="K54" s="69">
        <f t="shared" ref="K54:K59" si="5">SUM(G54*J54)</f>
        <v>135513.636</v>
      </c>
      <c r="L54" s="51"/>
      <c r="M54" s="52"/>
    </row>
    <row r="55" spans="2:13" s="25" customFormat="1" ht="30" customHeight="1" outlineLevel="1">
      <c r="B55" s="61" t="s">
        <v>118</v>
      </c>
      <c r="C55" s="62" t="s">
        <v>26</v>
      </c>
      <c r="D55" s="63" t="s">
        <v>119</v>
      </c>
      <c r="E55" s="64" t="str">
        <f>IFERROR(UPPER(IF(C55="CPU",VLOOKUP(D55,#REF!,2,0),IF(C55="SINAPI",VLOOKUP(D55,#REF!,2,0),IF(C55="EDIF",VLOOKUP(D55,#REF!,2,0),IF(C55="CDHU",VLOOKUP(D55,#REF!,2,0),IF(C55="FDE",VLOOKUP(D55,'FDE 10-23 '!$A$4:$E$3180,2,0),IF(C55="INFRA",VLOOKUP(D55,#REF!,2,0),""))))))),"")</f>
        <v>LAJE PRE-FABRICADA PAINEL ALVEOLAR CONCRETO PROTENDIDO H15-100KGF/M2</v>
      </c>
      <c r="F55" s="65" t="str">
        <f>VLOOKUP(D55,'FDE 10-23 '!$A$4:$E$3180,3,0)</f>
        <v>M2</v>
      </c>
      <c r="G55" s="66">
        <f>VLOOKUP(B55,Planilha17!$A$8:$F$1259,6,0)</f>
        <v>1360.8</v>
      </c>
      <c r="H55" s="67">
        <f>VLOOKUP(D55,'FDE 10-23 '!$A$4:$E$3180,5,0)</f>
        <v>303.82</v>
      </c>
      <c r="I55" s="68">
        <f t="shared" si="3"/>
        <v>0.23</v>
      </c>
      <c r="J55" s="67">
        <f t="shared" si="4"/>
        <v>373.7</v>
      </c>
      <c r="K55" s="69">
        <f t="shared" si="5"/>
        <v>508530.95999999996</v>
      </c>
      <c r="L55" s="51"/>
      <c r="M55" s="52"/>
    </row>
    <row r="56" spans="2:13" s="25" customFormat="1" ht="30" customHeight="1" outlineLevel="1">
      <c r="B56" s="61" t="s">
        <v>120</v>
      </c>
      <c r="C56" s="62" t="s">
        <v>26</v>
      </c>
      <c r="D56" s="63" t="s">
        <v>121</v>
      </c>
      <c r="E56" s="64" t="str">
        <f>IFERROR(UPPER(IF(C56="CPU",VLOOKUP(D56,#REF!,2,0),IF(C56="SINAPI",VLOOKUP(D56,#REF!,2,0),IF(C56="EDIF",VLOOKUP(D56,#REF!,2,0),IF(C56="CDHU",VLOOKUP(D56,#REF!,2,0),IF(C56="FDE",VLOOKUP(D56,'FDE 10-23 '!$A$4:$E$3180,2,0),IF(C56="INFRA",VLOOKUP(D56,#REF!,2,0),""))))))),"")</f>
        <v>LAJE PRE-FABRICADA PAINEL ALVEOLAR CONCRETO PROTENDIDO H15-300KGF/M2</v>
      </c>
      <c r="F56" s="65" t="str">
        <f>VLOOKUP(D56,'FDE 10-23 '!$A$4:$E$3180,3,0)</f>
        <v>M2</v>
      </c>
      <c r="G56" s="66">
        <f>VLOOKUP(B56,Planilha17!$A$8:$F$1259,6,0)</f>
        <v>794</v>
      </c>
      <c r="H56" s="67">
        <f>VLOOKUP(D56,'FDE 10-23 '!$A$4:$E$3180,5,0)</f>
        <v>301.29000000000002</v>
      </c>
      <c r="I56" s="68">
        <f t="shared" si="3"/>
        <v>0.23</v>
      </c>
      <c r="J56" s="67">
        <f t="shared" si="4"/>
        <v>370.59</v>
      </c>
      <c r="K56" s="69">
        <f t="shared" si="5"/>
        <v>294248.45999999996</v>
      </c>
      <c r="L56" s="51"/>
      <c r="M56" s="52"/>
    </row>
    <row r="57" spans="2:13" s="25" customFormat="1" ht="30" customHeight="1" outlineLevel="1">
      <c r="B57" s="61" t="s">
        <v>122</v>
      </c>
      <c r="C57" s="62" t="s">
        <v>26</v>
      </c>
      <c r="D57" s="63" t="s">
        <v>123</v>
      </c>
      <c r="E57" s="64" t="str">
        <f>IFERROR(UPPER(IF(C57="CPU",VLOOKUP(D57,#REF!,2,0),IF(C57="SINAPI",VLOOKUP(D57,#REF!,2,0),IF(C57="EDIF",VLOOKUP(D57,#REF!,2,0),IF(C57="CDHU",VLOOKUP(D57,#REF!,2,0),IF(C57="FDE",VLOOKUP(D57,'FDE 10-23 '!$A$4:$E$3180,2,0),IF(C57="INFRA",VLOOKUP(D57,#REF!,2,0),""))))))),"")</f>
        <v>LAJE PRE-FABRICADA PAINEL ALVEOLAR CONCRETO PROTENDIDO H15-500KGF/M2</v>
      </c>
      <c r="F57" s="65" t="str">
        <f>VLOOKUP(D57,'FDE 10-23 '!$A$4:$E$3180,3,0)</f>
        <v>M2</v>
      </c>
      <c r="G57" s="66">
        <f>VLOOKUP(B57,Planilha17!$A$8:$F$1259,6,0)</f>
        <v>290.2</v>
      </c>
      <c r="H57" s="67">
        <f>VLOOKUP(D57,'FDE 10-23 '!$A$4:$E$3180,5,0)</f>
        <v>307.3</v>
      </c>
      <c r="I57" s="68">
        <f t="shared" si="3"/>
        <v>0.23</v>
      </c>
      <c r="J57" s="67">
        <f t="shared" si="4"/>
        <v>377.98</v>
      </c>
      <c r="K57" s="69">
        <f t="shared" si="5"/>
        <v>109689.796</v>
      </c>
      <c r="L57" s="51"/>
      <c r="M57" s="52"/>
    </row>
    <row r="58" spans="2:13" s="25" customFormat="1" ht="30" customHeight="1" outlineLevel="1">
      <c r="B58" s="61" t="s">
        <v>124</v>
      </c>
      <c r="C58" s="62" t="s">
        <v>26</v>
      </c>
      <c r="D58" s="63" t="s">
        <v>125</v>
      </c>
      <c r="E58" s="64" t="str">
        <f>IFERROR(UPPER(IF(C58="CPU",VLOOKUP(D58,#REF!,2,0),IF(C58="SINAPI",VLOOKUP(D58,#REF!,2,0),IF(C58="EDIF",VLOOKUP(D58,#REF!,2,0),IF(C58="CDHU",VLOOKUP(D58,#REF!,2,0),IF(C58="FDE",VLOOKUP(D58,'FDE 10-23 '!$A$4:$E$3180,2,0),IF(C58="INFRA",VLOOKUP(D58,#REF!,2,0),""))))))),"")</f>
        <v>FORNEC. E MONTAGEM DE VIGA PROTENDIDA PRÉ-MOLDADA DE CONCRETO</v>
      </c>
      <c r="F58" s="65" t="str">
        <f>VLOOKUP(D58,'FDE 10-23 '!$A$4:$E$3180,3,0)</f>
        <v>M3</v>
      </c>
      <c r="G58" s="66">
        <f>VLOOKUP(B58,Planilha17!$A$8:$F$1259,6,0)</f>
        <v>75.599999999999994</v>
      </c>
      <c r="H58" s="67">
        <f>VLOOKUP(D58,'FDE 10-23 '!$A$4:$E$3180,5,0)</f>
        <v>6119.1</v>
      </c>
      <c r="I58" s="68">
        <f t="shared" si="3"/>
        <v>0.23</v>
      </c>
      <c r="J58" s="67">
        <f t="shared" si="4"/>
        <v>7526.49</v>
      </c>
      <c r="K58" s="69">
        <f t="shared" si="5"/>
        <v>569002.64399999997</v>
      </c>
      <c r="L58" s="51"/>
      <c r="M58" s="52"/>
    </row>
    <row r="59" spans="2:13" s="25" customFormat="1" ht="30" customHeight="1" outlineLevel="1">
      <c r="B59" s="61" t="s">
        <v>126</v>
      </c>
      <c r="C59" s="62" t="s">
        <v>26</v>
      </c>
      <c r="D59" s="63" t="s">
        <v>127</v>
      </c>
      <c r="E59" s="64" t="str">
        <f>IFERROR(UPPER(IF(C59="CPU",VLOOKUP(D59,#REF!,2,0),IF(C59="SINAPI",VLOOKUP(D59,#REF!,2,0),IF(C59="EDIF",VLOOKUP(D59,#REF!,2,0),IF(C59="CDHU",VLOOKUP(D59,#REF!,2,0),IF(C59="FDE",VLOOKUP(D59,'FDE 10-23 '!$A$4:$E$3180,2,0),IF(C59="INFRA",VLOOKUP(D59,#REF!,2,0),""))))))),"")</f>
        <v>FORNECIMENTO E MONTAGEM DE ESTRUTURA PRE-MOLDADA DE CONCRETO</v>
      </c>
      <c r="F59" s="65" t="str">
        <f>VLOOKUP(D59,'FDE 10-23 '!$A$4:$E$3180,3,0)</f>
        <v>M3</v>
      </c>
      <c r="G59" s="66">
        <f>VLOOKUP(B59,Planilha17!$A$8:$F$1259,6,0)</f>
        <v>206.65999999999997</v>
      </c>
      <c r="H59" s="67">
        <f>VLOOKUP(D59,'FDE 10-23 '!$A$4:$E$3180,5,0)</f>
        <v>5491.03</v>
      </c>
      <c r="I59" s="68">
        <f t="shared" si="3"/>
        <v>0.23</v>
      </c>
      <c r="J59" s="67">
        <f t="shared" si="4"/>
        <v>6753.97</v>
      </c>
      <c r="K59" s="69">
        <f t="shared" si="5"/>
        <v>1395775.4401999998</v>
      </c>
      <c r="L59" s="51"/>
      <c r="M59" s="52"/>
    </row>
    <row r="60" spans="2:13" s="25" customFormat="1" ht="30" customHeight="1" outlineLevel="1">
      <c r="B60" s="53" t="s">
        <v>128</v>
      </c>
      <c r="C60" s="54"/>
      <c r="D60" s="54" t="s">
        <v>129</v>
      </c>
      <c r="E60" s="55" t="s">
        <v>130</v>
      </c>
      <c r="F60" s="56" t="str">
        <f>IFERROR(UPPER(IF(C60="CPU",VLOOKUP(D60,#REF!,3,0),IF(C60="SINAPI",VLOOKUP(D60,#REF!,3,0),IF(C60="EDIF",VLOOKUP(D60,#REF!,3,0),IF(C60="CDHU",VLOOKUP(D60,#REF!,3,0),IF(C60="FDE",VLOOKUP(D60,#REF!,3,0),IF(C60="INFRA",VLOOKUP(D60,#REF!,3,0),""))))))),"")</f>
        <v/>
      </c>
      <c r="G60" s="57"/>
      <c r="H6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60" s="59"/>
      <c r="J60" s="59"/>
      <c r="K60" s="60">
        <f>SUBTOTAL(9,K61)</f>
        <v>156816.64000000001</v>
      </c>
      <c r="L60" s="51"/>
      <c r="M60" s="52"/>
    </row>
    <row r="61" spans="2:13" s="25" customFormat="1" ht="30" customHeight="1" outlineLevel="1">
      <c r="B61" s="61" t="s">
        <v>131</v>
      </c>
      <c r="C61" s="62" t="s">
        <v>26</v>
      </c>
      <c r="D61" s="63" t="s">
        <v>132</v>
      </c>
      <c r="E61" s="64" t="str">
        <f>IFERROR(UPPER(IF(C61="CPU",VLOOKUP(D61,#REF!,2,0),IF(C61="SINAPI",VLOOKUP(D61,#REF!,2,0),IF(C61="EDIF",VLOOKUP(D61,#REF!,2,0),IF(C61="CDHU",VLOOKUP(D61,#REF!,2,0),IF(C61="FDE",VLOOKUP(D61,'FDE 10-23 '!$A$4:$E$3180,2,0),IF(C61="INFRA",VLOOKUP(D61,#REF!,2,0),""))))))),"")</f>
        <v>FORNECIMENTO E MONTAGEM DE ESTRUTURA METALICA COM AÇO NAO PATINAVE (ASTM A36/A570)</v>
      </c>
      <c r="F61" s="65" t="str">
        <f>VLOOKUP(D61,'FDE 10-23 '!$A$4:$E$3180,3,0)</f>
        <v>KG</v>
      </c>
      <c r="G61" s="66">
        <f>VLOOKUP(B61,Planilha17!$A$8:$F$1259,6,0)</f>
        <v>4852</v>
      </c>
      <c r="H61" s="67">
        <f>VLOOKUP(D61,'FDE 10-23 '!$A$4:$E$3180,5,0)</f>
        <v>26.28</v>
      </c>
      <c r="I61" s="68">
        <f>$L$10</f>
        <v>0.23</v>
      </c>
      <c r="J61" s="67">
        <f>ROUND(H61*(1+I61),2)</f>
        <v>32.32</v>
      </c>
      <c r="K61" s="69">
        <f>SUM(G61*J61)</f>
        <v>156816.64000000001</v>
      </c>
      <c r="L61" s="51"/>
      <c r="M61" s="52"/>
    </row>
    <row r="62" spans="2:13" s="25" customFormat="1" ht="30" customHeight="1">
      <c r="B62" s="43">
        <v>4</v>
      </c>
      <c r="C62" s="44"/>
      <c r="D62" s="44" t="s">
        <v>133</v>
      </c>
      <c r="E62" s="45" t="s">
        <v>134</v>
      </c>
      <c r="F62" s="46" t="str">
        <f>IFERROR(UPPER(IF(C62="CPU",VLOOKUP(D62,#REF!,3,0),IF(C62="SINAPI",VLOOKUP(D62,#REF!,3,0),IF(C62="EDIF",VLOOKUP(D62,#REF!,3,0),IF(C62="CDHU",VLOOKUP(D62,#REF!,3,0),IF(C62="FDE",VLOOKUP(D62,#REF!,3,0),IF(C62="INFRA",VLOOKUP(D62,#REF!,3,0),""))))))),"")</f>
        <v/>
      </c>
      <c r="G62" s="47"/>
      <c r="H62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62" s="49"/>
      <c r="J62" s="49"/>
      <c r="K62" s="50">
        <f>SUBTOTAL(9,K63:K75)</f>
        <v>289485.69383800006</v>
      </c>
      <c r="L62" s="51"/>
      <c r="M62" s="52"/>
    </row>
    <row r="63" spans="2:13" s="25" customFormat="1" ht="30" customHeight="1" outlineLevel="1">
      <c r="B63" s="53" t="s">
        <v>135</v>
      </c>
      <c r="C63" s="54"/>
      <c r="D63" s="54" t="s">
        <v>136</v>
      </c>
      <c r="E63" s="55" t="s">
        <v>137</v>
      </c>
      <c r="F63" s="56" t="str">
        <f>IFERROR(UPPER(IF(C63="CPU",VLOOKUP(D63,#REF!,3,0),IF(C63="SINAPI",VLOOKUP(D63,#REF!,3,0),IF(C63="EDIF",VLOOKUP(D63,#REF!,3,0),IF(C63="CDHU",VLOOKUP(D63,#REF!,3,0),IF(C63="FDE",VLOOKUP(D63,#REF!,3,0),IF(C63="INFRA",VLOOKUP(D63,#REF!,3,0),""))))))),"")</f>
        <v/>
      </c>
      <c r="G63" s="57"/>
      <c r="H63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63" s="59"/>
      <c r="J63" s="59"/>
      <c r="K63" s="60">
        <f>SUBTOTAL(9,K64:K69)</f>
        <v>248085.378838</v>
      </c>
      <c r="L63" s="51"/>
      <c r="M63" s="52"/>
    </row>
    <row r="64" spans="2:13" s="25" customFormat="1" ht="30" customHeight="1" outlineLevel="1">
      <c r="B64" s="61" t="s">
        <v>138</v>
      </c>
      <c r="C64" s="62" t="s">
        <v>26</v>
      </c>
      <c r="D64" s="63" t="s">
        <v>139</v>
      </c>
      <c r="E64" s="64" t="str">
        <f>IFERROR(UPPER(IF(C64="CPU",VLOOKUP(D64,#REF!,2,0),IF(C64="SINAPI",VLOOKUP(D64,#REF!,2,0),IF(C64="EDIF",VLOOKUP(D64,#REF!,2,0),IF(C64="CDHU",VLOOKUP(D64,#REF!,2,0),IF(C64="FDE",VLOOKUP(D64,'FDE 10-23 '!$A$4:$E$3180,2,0),IF(C64="INFRA",VLOOKUP(D64,#REF!,2,0),""))))))),"")</f>
        <v>ALVENARIA DE BLOCO DE CONCRETO 14X19X39 CM CLASSE C</v>
      </c>
      <c r="F64" s="65" t="str">
        <f>VLOOKUP(D64,'FDE 10-23 '!$A$4:$E$3180,3,0)</f>
        <v>M2</v>
      </c>
      <c r="G64" s="66">
        <f>VLOOKUP(B64,Planilha17!$A$8:$F$1259,6,0)</f>
        <v>268.73</v>
      </c>
      <c r="H64" s="67">
        <f>VLOOKUP(D64,'FDE 10-23 '!$A$4:$E$3180,5,0)</f>
        <v>79.31</v>
      </c>
      <c r="I64" s="68">
        <f t="shared" ref="I64:I69" si="6">$L$10</f>
        <v>0.23</v>
      </c>
      <c r="J64" s="67">
        <f t="shared" ref="J64:J69" si="7">ROUND(H64*(1+I64),2)</f>
        <v>97.55</v>
      </c>
      <c r="K64" s="69">
        <f t="shared" ref="K64:K69" si="8">SUM(G64*J64)</f>
        <v>26214.611500000003</v>
      </c>
      <c r="L64" s="51"/>
      <c r="M64" s="52"/>
    </row>
    <row r="65" spans="2:13" s="25" customFormat="1" ht="30" customHeight="1" outlineLevel="1">
      <c r="B65" s="61" t="s">
        <v>140</v>
      </c>
      <c r="C65" s="62" t="s">
        <v>26</v>
      </c>
      <c r="D65" s="63" t="s">
        <v>141</v>
      </c>
      <c r="E65" s="64" t="str">
        <f>IFERROR(UPPER(IF(C65="CPU",VLOOKUP(D65,#REF!,2,0),IF(C65="SINAPI",VLOOKUP(D65,#REF!,2,0),IF(C65="EDIF",VLOOKUP(D65,#REF!,2,0),IF(C65="CDHU",VLOOKUP(D65,#REF!,2,0),IF(C65="FDE",VLOOKUP(D65,'FDE 10-23 '!$A$4:$E$3180,2,0),IF(C65="INFRA",VLOOKUP(D65,#REF!,2,0),""))))))),"")</f>
        <v>ALVENARIA DE BLOCO DE CONCRETO 19X19X39 CM CLASSE C</v>
      </c>
      <c r="F65" s="65" t="str">
        <f>VLOOKUP(D65,'FDE 10-23 '!$A$4:$E$3180,3,0)</f>
        <v>M2</v>
      </c>
      <c r="G65" s="66">
        <f>VLOOKUP(B65,Planilha17!$A$8:$F$1259,6,0)</f>
        <v>1743.9197999999999</v>
      </c>
      <c r="H65" s="67">
        <f>VLOOKUP(D65,'FDE 10-23 '!$A$4:$E$3180,5,0)</f>
        <v>96.19</v>
      </c>
      <c r="I65" s="68">
        <f t="shared" si="6"/>
        <v>0.23</v>
      </c>
      <c r="J65" s="67">
        <f t="shared" si="7"/>
        <v>118.31</v>
      </c>
      <c r="K65" s="69">
        <f t="shared" si="8"/>
        <v>206323.15153800001</v>
      </c>
      <c r="L65" s="51"/>
      <c r="M65" s="52"/>
    </row>
    <row r="66" spans="2:13" s="25" customFormat="1" ht="30" customHeight="1" outlineLevel="1">
      <c r="B66" s="61" t="s">
        <v>142</v>
      </c>
      <c r="C66" s="62" t="s">
        <v>26</v>
      </c>
      <c r="D66" s="63" t="s">
        <v>143</v>
      </c>
      <c r="E66" s="64" t="str">
        <f>IFERROR(UPPER(IF(C66="CPU",VLOOKUP(D66,#REF!,2,0),IF(C66="SINAPI",VLOOKUP(D66,#REF!,2,0),IF(C66="EDIF",VLOOKUP(D66,#REF!,2,0),IF(C66="CDHU",VLOOKUP(D66,#REF!,2,0),IF(C66="FDE",VLOOKUP(D66,'FDE 10-23 '!$A$4:$E$3180,2,0),IF(C66="INFRA",VLOOKUP(D66,#REF!,2,0),""))))))),"")</f>
        <v>CONCRETO GROUT, PREPARADO NO LOCAL, LANÇADO E ADENSADO</v>
      </c>
      <c r="F66" s="65" t="str">
        <f>VLOOKUP(D66,'FDE 10-23 '!$A$4:$E$3180,3,0)</f>
        <v>M3</v>
      </c>
      <c r="G66" s="66">
        <f>VLOOKUP(B66,Planilha17!$A$8:$F$1259,6,0)</f>
        <v>7</v>
      </c>
      <c r="H66" s="67">
        <f>VLOOKUP(D66,'FDE 10-23 '!$A$4:$E$3180,5,0)</f>
        <v>485.76</v>
      </c>
      <c r="I66" s="68">
        <f t="shared" si="6"/>
        <v>0.23</v>
      </c>
      <c r="J66" s="67">
        <f t="shared" si="7"/>
        <v>597.48</v>
      </c>
      <c r="K66" s="69">
        <f t="shared" si="8"/>
        <v>4182.3600000000006</v>
      </c>
      <c r="L66" s="51"/>
      <c r="M66" s="52"/>
    </row>
    <row r="67" spans="2:13" s="25" customFormat="1" ht="30" customHeight="1" outlineLevel="1">
      <c r="B67" s="61" t="s">
        <v>144</v>
      </c>
      <c r="C67" s="62" t="s">
        <v>26</v>
      </c>
      <c r="D67" s="63" t="s">
        <v>145</v>
      </c>
      <c r="E67" s="64" t="str">
        <f>IFERROR(UPPER(IF(C67="CPU",VLOOKUP(D67,#REF!,2,0),IF(C67="SINAPI",VLOOKUP(D67,#REF!,2,0),IF(C67="EDIF",VLOOKUP(D67,#REF!,2,0),IF(C67="CDHU",VLOOKUP(D67,#REF!,2,0),IF(C67="FDE",VLOOKUP(D67,'FDE 10-23 '!$A$4:$E$3180,2,0),IF(C67="INFRA",VLOOKUP(D67,#REF!,2,0),""))))))),"")</f>
        <v>ARMADURA CA 50 PARA PAREDE AUTO-PORTANTE</v>
      </c>
      <c r="F67" s="65" t="str">
        <f>VLOOKUP(D67,'FDE 10-23 '!$A$4:$E$3180,3,0)</f>
        <v>KG</v>
      </c>
      <c r="G67" s="66">
        <f>VLOOKUP(B67,Planilha17!$A$8:$F$1259,6,0)</f>
        <v>446</v>
      </c>
      <c r="H67" s="67">
        <f>VLOOKUP(D67,'FDE 10-23 '!$A$4:$E$3180,5,0)</f>
        <v>12.18</v>
      </c>
      <c r="I67" s="68">
        <f t="shared" si="6"/>
        <v>0.23</v>
      </c>
      <c r="J67" s="67">
        <f t="shared" si="7"/>
        <v>14.98</v>
      </c>
      <c r="K67" s="69">
        <f t="shared" si="8"/>
        <v>6681.08</v>
      </c>
      <c r="L67" s="51"/>
      <c r="M67" s="52"/>
    </row>
    <row r="68" spans="2:13" s="25" customFormat="1" ht="30" customHeight="1" outlineLevel="1">
      <c r="B68" s="61" t="s">
        <v>146</v>
      </c>
      <c r="C68" s="62" t="s">
        <v>26</v>
      </c>
      <c r="D68" s="63" t="s">
        <v>147</v>
      </c>
      <c r="E68" s="64" t="str">
        <f>IFERROR(UPPER(IF(C68="CPU",VLOOKUP(D68,#REF!,2,0),IF(C68="SINAPI",VLOOKUP(D68,#REF!,2,0),IF(C68="EDIF",VLOOKUP(D68,#REF!,2,0),IF(C68="CDHU",VLOOKUP(D68,#REF!,2,0),IF(C68="FDE",VLOOKUP(D68,'FDE 10-23 '!$A$4:$E$3180,2,0),IF(C68="INFRA",VLOOKUP(D68,#REF!,2,0),""))))))),"")</f>
        <v>ALVENARIA AUTO-PORTANTE: BLOCO CONCRETO ESTRUTURAL DE 19X19X19CM CLASSE B</v>
      </c>
      <c r="F68" s="65" t="str">
        <f>VLOOKUP(D68,'FDE 10-23 '!$A$4:$E$3180,3,0)</f>
        <v>M2</v>
      </c>
      <c r="G68" s="66">
        <f>VLOOKUP(B68,Planilha17!$A$8:$F$1259,6,0)</f>
        <v>16.8</v>
      </c>
      <c r="H68" s="67">
        <f>VLOOKUP(D68,'FDE 10-23 '!$A$4:$E$3180,5,0)</f>
        <v>140.87</v>
      </c>
      <c r="I68" s="68">
        <f t="shared" si="6"/>
        <v>0.23</v>
      </c>
      <c r="J68" s="67">
        <f t="shared" si="7"/>
        <v>173.27</v>
      </c>
      <c r="K68" s="69">
        <f t="shared" si="8"/>
        <v>2910.9360000000001</v>
      </c>
      <c r="L68" s="51"/>
      <c r="M68" s="52"/>
    </row>
    <row r="69" spans="2:13" s="25" customFormat="1" ht="30" customHeight="1" outlineLevel="1">
      <c r="B69" s="61" t="s">
        <v>148</v>
      </c>
      <c r="C69" s="62" t="s">
        <v>26</v>
      </c>
      <c r="D69" s="63" t="s">
        <v>149</v>
      </c>
      <c r="E69" s="64" t="str">
        <f>IFERROR(UPPER(IF(C69="CPU",VLOOKUP(D69,#REF!,2,0),IF(C69="SINAPI",VLOOKUP(D69,#REF!,2,0),IF(C69="EDIF",VLOOKUP(D69,#REF!,2,0),IF(C69="CDHU",VLOOKUP(D69,#REF!,2,0),IF(C69="FDE",VLOOKUP(D69,'FDE 10-23 '!$A$4:$E$3180,2,0),IF(C69="INFRA",VLOOKUP(D69,#REF!,2,0),""))))))),"")</f>
        <v>ALVENARIA DE CONCRETO CELULAR - BLOCOS E=10CM</v>
      </c>
      <c r="F69" s="65" t="str">
        <f>VLOOKUP(D69,'FDE 10-23 '!$A$4:$E$3180,3,0)</f>
        <v>M2</v>
      </c>
      <c r="G69" s="66">
        <f>VLOOKUP(B69,Planilha17!$A$8:$F$1259,6,0)</f>
        <v>10.73</v>
      </c>
      <c r="H69" s="67">
        <f>VLOOKUP(D69,'FDE 10-23 '!$A$4:$E$3180,5,0)</f>
        <v>134.36000000000001</v>
      </c>
      <c r="I69" s="68">
        <f t="shared" si="6"/>
        <v>0.23</v>
      </c>
      <c r="J69" s="67">
        <f t="shared" si="7"/>
        <v>165.26</v>
      </c>
      <c r="K69" s="69">
        <f t="shared" si="8"/>
        <v>1773.2398000000001</v>
      </c>
      <c r="L69" s="51"/>
      <c r="M69" s="52"/>
    </row>
    <row r="70" spans="2:13" s="25" customFormat="1" ht="30" customHeight="1" outlineLevel="1">
      <c r="B70" s="53" t="s">
        <v>150</v>
      </c>
      <c r="C70" s="54"/>
      <c r="D70" s="54" t="s">
        <v>151</v>
      </c>
      <c r="E70" s="55" t="s">
        <v>152</v>
      </c>
      <c r="F70" s="56" t="str">
        <f>IFERROR(UPPER(IF(C70="CPU",VLOOKUP(D70,#REF!,3,0),IF(C70="SINAPI",VLOOKUP(D70,#REF!,3,0),IF(C70="EDIF",VLOOKUP(D70,#REF!,3,0),IF(C70="CDHU",VLOOKUP(D70,#REF!,3,0),IF(C70="FDE",VLOOKUP(D70,#REF!,3,0),IF(C70="INFRA",VLOOKUP(D70,#REF!,3,0),""))))))),"")</f>
        <v/>
      </c>
      <c r="G70" s="57"/>
      <c r="H7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70" s="59"/>
      <c r="J70" s="59"/>
      <c r="K70" s="60">
        <f>SUBTOTAL(9,K71:K75)</f>
        <v>41400.315000000002</v>
      </c>
      <c r="L70" s="51"/>
      <c r="M70" s="52"/>
    </row>
    <row r="71" spans="2:13" s="25" customFormat="1" ht="30" customHeight="1" outlineLevel="1">
      <c r="B71" s="61" t="s">
        <v>153</v>
      </c>
      <c r="C71" s="62" t="s">
        <v>26</v>
      </c>
      <c r="D71" s="63" t="s">
        <v>154</v>
      </c>
      <c r="E71" s="64" t="str">
        <f>IFERROR(UPPER(IF(C71="CPU",VLOOKUP(D71,#REF!,2,0),IF(C71="SINAPI",VLOOKUP(D71,#REF!,2,0),IF(C71="EDIF",VLOOKUP(D71,#REF!,2,0),IF(C71="CDHU",VLOOKUP(D71,#REF!,2,0),IF(C71="FDE",VLOOKUP(D71,'FDE 10-23 '!$A$4:$E$3180,2,0),IF(C71="INFRA",VLOOKUP(D71,#REF!,2,0),""))))))),"")</f>
        <v>DV-01 DIVISORIA DE GRANILITE - LATERAL ABERTA</v>
      </c>
      <c r="F71" s="65" t="str">
        <f>VLOOKUP(D71,'FDE 10-23 '!$A$4:$E$3180,3,0)</f>
        <v>M</v>
      </c>
      <c r="G71" s="66">
        <f>VLOOKUP(B71,Planilha17!$A$8:$F$1259,6,0)</f>
        <v>15.2</v>
      </c>
      <c r="H71" s="67">
        <f>VLOOKUP(D71,'FDE 10-23 '!$A$4:$E$3180,5,0)</f>
        <v>527.53</v>
      </c>
      <c r="I71" s="68">
        <f>$L$10</f>
        <v>0.23</v>
      </c>
      <c r="J71" s="67">
        <f>ROUND(H71*(1+I71),2)</f>
        <v>648.86</v>
      </c>
      <c r="K71" s="69">
        <f>SUM(G71*J71)</f>
        <v>9862.6720000000005</v>
      </c>
      <c r="L71" s="51"/>
      <c r="M71" s="52"/>
    </row>
    <row r="72" spans="2:13" s="25" customFormat="1" ht="30" customHeight="1" outlineLevel="1">
      <c r="B72" s="61" t="s">
        <v>155</v>
      </c>
      <c r="C72" s="62" t="s">
        <v>26</v>
      </c>
      <c r="D72" s="63" t="s">
        <v>156</v>
      </c>
      <c r="E72" s="64" t="str">
        <f>IFERROR(UPPER(IF(C72="CPU",VLOOKUP(D72,#REF!,2,0),IF(C72="SINAPI",VLOOKUP(D72,#REF!,2,0),IF(C72="EDIF",VLOOKUP(D72,#REF!,2,0),IF(C72="CDHU",VLOOKUP(D72,#REF!,2,0),IF(C72="FDE",VLOOKUP(D72,'FDE 10-23 '!$A$4:$E$3180,2,0),IF(C72="INFRA",VLOOKUP(D72,#REF!,2,0),""))))))),"")</f>
        <v>DV-02 DIVISORIA DE GRANILITE - LATERAL FECHADA</v>
      </c>
      <c r="F72" s="65" t="str">
        <f>VLOOKUP(D72,'FDE 10-23 '!$A$4:$E$3180,3,0)</f>
        <v>M</v>
      </c>
      <c r="G72" s="66">
        <f>VLOOKUP(B72,Planilha17!$A$8:$F$1259,6,0)</f>
        <v>13.8</v>
      </c>
      <c r="H72" s="67">
        <f>VLOOKUP(D72,'FDE 10-23 '!$A$4:$E$3180,5,0)</f>
        <v>527.53</v>
      </c>
      <c r="I72" s="68">
        <f>$L$10</f>
        <v>0.23</v>
      </c>
      <c r="J72" s="67">
        <f>ROUND(H72*(1+I72),2)</f>
        <v>648.86</v>
      </c>
      <c r="K72" s="69">
        <f>SUM(G72*J72)</f>
        <v>8954.268</v>
      </c>
      <c r="L72" s="51"/>
      <c r="M72" s="52"/>
    </row>
    <row r="73" spans="2:13" s="25" customFormat="1" ht="30" customHeight="1" outlineLevel="1">
      <c r="B73" s="61" t="s">
        <v>157</v>
      </c>
      <c r="C73" s="62" t="s">
        <v>26</v>
      </c>
      <c r="D73" s="63" t="s">
        <v>158</v>
      </c>
      <c r="E73" s="64" t="str">
        <f>IFERROR(UPPER(IF(C73="CPU",VLOOKUP(D73,#REF!,2,0),IF(C73="SINAPI",VLOOKUP(D73,#REF!,2,0),IF(C73="EDIF",VLOOKUP(D73,#REF!,2,0),IF(C73="CDHU",VLOOKUP(D73,#REF!,2,0),IF(C73="FDE",VLOOKUP(D73,'FDE 10-23 '!$A$4:$E$3180,2,0),IF(C73="INFRA",VLOOKUP(D73,#REF!,2,0),""))))))),"")</f>
        <v>DV-03 DIVISORIA DE GRANILITE - FRONTAL</v>
      </c>
      <c r="F73" s="65" t="str">
        <f>VLOOKUP(D73,'FDE 10-23 '!$A$4:$E$3180,3,0)</f>
        <v>M</v>
      </c>
      <c r="G73" s="66">
        <f>VLOOKUP(B73,Planilha17!$A$8:$F$1259,6,0)</f>
        <v>6.9</v>
      </c>
      <c r="H73" s="67">
        <f>VLOOKUP(D73,'FDE 10-23 '!$A$4:$E$3180,5,0)</f>
        <v>1826.33</v>
      </c>
      <c r="I73" s="68">
        <f>$L$10</f>
        <v>0.23</v>
      </c>
      <c r="J73" s="67">
        <f>ROUND(H73*(1+I73),2)</f>
        <v>2246.39</v>
      </c>
      <c r="K73" s="69">
        <f>SUM(G73*J73)</f>
        <v>15500.091</v>
      </c>
      <c r="L73" s="51"/>
      <c r="M73" s="52"/>
    </row>
    <row r="74" spans="2:13" s="25" customFormat="1" ht="30" customHeight="1" outlineLevel="1">
      <c r="B74" s="61" t="s">
        <v>159</v>
      </c>
      <c r="C74" s="62" t="s">
        <v>26</v>
      </c>
      <c r="D74" s="63" t="s">
        <v>160</v>
      </c>
      <c r="E74" s="64" t="str">
        <f>IFERROR(UPPER(IF(C74="CPU",VLOOKUP(D74,#REF!,2,0),IF(C74="SINAPI",VLOOKUP(D74,#REF!,2,0),IF(C74="EDIF",VLOOKUP(D74,#REF!,2,0),IF(C74="CDHU",VLOOKUP(D74,#REF!,2,0),IF(C74="FDE",VLOOKUP(D74,'FDE 10-23 '!$A$4:$E$3180,2,0),IF(C74="INFRA",VLOOKUP(D74,#REF!,2,0),""))))))),"")</f>
        <v>DV-04 DIVISÓRIA DE GRANILITE - ANTEPARO</v>
      </c>
      <c r="F74" s="65" t="str">
        <f>VLOOKUP(D74,'FDE 10-23 '!$A$4:$E$3180,3,0)</f>
        <v>M</v>
      </c>
      <c r="G74" s="66">
        <f>VLOOKUP(B74,Planilha17!$A$8:$F$1259,6,0)</f>
        <v>1.6</v>
      </c>
      <c r="H74" s="67">
        <f>VLOOKUP(D74,'FDE 10-23 '!$A$4:$E$3180,5,0)</f>
        <v>552.02</v>
      </c>
      <c r="I74" s="68">
        <f>$L$10</f>
        <v>0.23</v>
      </c>
      <c r="J74" s="67">
        <f>ROUND(H74*(1+I74),2)</f>
        <v>678.98</v>
      </c>
      <c r="K74" s="69">
        <f>SUM(G74*J74)</f>
        <v>1086.3680000000002</v>
      </c>
      <c r="L74" s="51"/>
      <c r="M74" s="52"/>
    </row>
    <row r="75" spans="2:13" s="25" customFormat="1" ht="30" customHeight="1" outlineLevel="1">
      <c r="B75" s="61" t="s">
        <v>161</v>
      </c>
      <c r="C75" s="62" t="s">
        <v>26</v>
      </c>
      <c r="D75" s="63" t="s">
        <v>162</v>
      </c>
      <c r="E75" s="64" t="str">
        <f>IFERROR(UPPER(IF(C75="CPU",VLOOKUP(D75,#REF!,2,0),IF(C75="SINAPI",VLOOKUP(D75,#REF!,2,0),IF(C75="EDIF",VLOOKUP(D75,#REF!,2,0),IF(C75="CDHU",VLOOKUP(D75,#REF!,2,0),IF(C75="FDE",VLOOKUP(D75,'FDE 10-23 '!$A$4:$E$3180,2,0),IF(C75="INFRA",VLOOKUP(D75,#REF!,2,0),""))))))),"")</f>
        <v>DIVISORIA CHAPA FIBRA MAD PRENS BP/PAINEL CEGO 1,20X2,11M E=35MM</v>
      </c>
      <c r="F75" s="65" t="str">
        <f>VLOOKUP(D75,'FDE 10-23 '!$A$4:$E$3180,3,0)</f>
        <v>M2</v>
      </c>
      <c r="G75" s="66">
        <f>VLOOKUP(B75,Planilha17!$A$8:$F$1259,6,0)</f>
        <v>32.4</v>
      </c>
      <c r="H75" s="67">
        <f>VLOOKUP(D75,'FDE 10-23 '!$A$4:$E$3180,5,0)</f>
        <v>150.47999999999999</v>
      </c>
      <c r="I75" s="68">
        <f>$L$10</f>
        <v>0.23</v>
      </c>
      <c r="J75" s="67">
        <f>ROUND(H75*(1+I75),2)</f>
        <v>185.09</v>
      </c>
      <c r="K75" s="69">
        <f>SUM(G75*J75)</f>
        <v>5996.9160000000002</v>
      </c>
      <c r="L75" s="51"/>
      <c r="M75" s="52"/>
    </row>
    <row r="76" spans="2:13" s="25" customFormat="1" ht="30" customHeight="1">
      <c r="B76" s="43">
        <v>5</v>
      </c>
      <c r="C76" s="44"/>
      <c r="D76" s="44" t="s">
        <v>163</v>
      </c>
      <c r="E76" s="45" t="s">
        <v>164</v>
      </c>
      <c r="F76" s="46" t="str">
        <f>IFERROR(UPPER(IF(C76="CPU",VLOOKUP(D76,#REF!,3,0),IF(C76="SINAPI",VLOOKUP(D76,#REF!,3,0),IF(C76="EDIF",VLOOKUP(D76,#REF!,3,0),IF(C76="CDHU",VLOOKUP(D76,#REF!,3,0),IF(C76="FDE",VLOOKUP(D76,#REF!,3,0),IF(C76="INFRA",VLOOKUP(D76,#REF!,3,0),""))))))),"")</f>
        <v/>
      </c>
      <c r="G76" s="47"/>
      <c r="H76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76" s="49"/>
      <c r="J76" s="49"/>
      <c r="K76" s="50">
        <f>SUBTOTAL(9,K77:K105)</f>
        <v>237171.212</v>
      </c>
      <c r="L76" s="51"/>
      <c r="M76" s="52"/>
    </row>
    <row r="77" spans="2:13" s="25" customFormat="1" ht="30" customHeight="1" outlineLevel="1">
      <c r="B77" s="53" t="s">
        <v>165</v>
      </c>
      <c r="C77" s="54"/>
      <c r="D77" s="54" t="s">
        <v>166</v>
      </c>
      <c r="E77" s="55" t="s">
        <v>167</v>
      </c>
      <c r="F77" s="56" t="str">
        <f>IFERROR(UPPER(IF(C77="CPU",VLOOKUP(D77,#REF!,3,0),IF(C77="SINAPI",VLOOKUP(D77,#REF!,3,0),IF(C77="EDIF",VLOOKUP(D77,#REF!,3,0),IF(C77="CDHU",VLOOKUP(D77,#REF!,3,0),IF(C77="FDE",VLOOKUP(D77,#REF!,3,0),IF(C77="INFRA",VLOOKUP(D77,#REF!,3,0),""))))))),"")</f>
        <v/>
      </c>
      <c r="G77" s="57"/>
      <c r="H7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77" s="59"/>
      <c r="J77" s="59"/>
      <c r="K77" s="60">
        <f>SUBTOTAL(9,K78:K84)</f>
        <v>87826.02</v>
      </c>
      <c r="L77" s="51"/>
      <c r="M77" s="52"/>
    </row>
    <row r="78" spans="2:13" s="25" customFormat="1" ht="30" customHeight="1" outlineLevel="1">
      <c r="B78" s="61" t="s">
        <v>168</v>
      </c>
      <c r="C78" s="62" t="s">
        <v>26</v>
      </c>
      <c r="D78" s="63" t="s">
        <v>169</v>
      </c>
      <c r="E78" s="64" t="str">
        <f>IFERROR(UPPER(IF(C78="CPU",VLOOKUP(D78,#REF!,2,0),IF(C78="SINAPI",VLOOKUP(D78,#REF!,2,0),IF(C78="EDIF",VLOOKUP(D78,#REF!,2,0),IF(C78="CDHU",VLOOKUP(D78,#REF!,2,0),IF(C78="FDE",VLOOKUP(D78,'FDE 10-23 '!$A$4:$E$3180,2,0),IF(C78="INFRA",VLOOKUP(D78,#REF!,2,0),""))))))),"")</f>
        <v>PM-67 PORTA DE MADEIRA MACHO/FEMEA P/ PINT. BAT. MET. L=82CM</v>
      </c>
      <c r="F78" s="65" t="str">
        <f>VLOOKUP(D78,'FDE 10-23 '!$A$4:$E$3180,3,0)</f>
        <v>UN</v>
      </c>
      <c r="G78" s="66">
        <f>VLOOKUP(B78,Planilha17!$A$8:$F$1259,6,0)</f>
        <v>2</v>
      </c>
      <c r="H78" s="67">
        <f>VLOOKUP(D78,'FDE 10-23 '!$A$4:$E$3180,5,0)</f>
        <v>2435.36</v>
      </c>
      <c r="I78" s="68">
        <f t="shared" ref="I78:I84" si="9">$L$10</f>
        <v>0.23</v>
      </c>
      <c r="J78" s="67">
        <f t="shared" ref="J78:J84" si="10">ROUND(H78*(1+I78),2)</f>
        <v>2995.49</v>
      </c>
      <c r="K78" s="69">
        <f t="shared" ref="K78:K84" si="11">SUM(G78*J78)</f>
        <v>5990.98</v>
      </c>
      <c r="L78" s="51"/>
      <c r="M78" s="52"/>
    </row>
    <row r="79" spans="2:13" s="25" customFormat="1" ht="30" customHeight="1" outlineLevel="1">
      <c r="B79" s="61" t="s">
        <v>170</v>
      </c>
      <c r="C79" s="62" t="s">
        <v>26</v>
      </c>
      <c r="D79" s="63" t="s">
        <v>171</v>
      </c>
      <c r="E79" s="64" t="str">
        <f>IFERROR(UPPER(IF(C79="CPU",VLOOKUP(D79,#REF!,2,0),IF(C79="SINAPI",VLOOKUP(D79,#REF!,2,0),IF(C79="EDIF",VLOOKUP(D79,#REF!,2,0),IF(C79="CDHU",VLOOKUP(D79,#REF!,2,0),IF(C79="FDE",VLOOKUP(D79,'FDE 10-23 '!$A$4:$E$3180,2,0),IF(C79="INFRA",VLOOKUP(D79,#REF!,2,0),""))))))),"")</f>
        <v>PM-68 PORTA DE MADEIRA MACHO/FEMEA P/ PINT. BAT. MET. L=92CM</v>
      </c>
      <c r="F79" s="65" t="str">
        <f>VLOOKUP(D79,'FDE 10-23 '!$A$4:$E$3180,3,0)</f>
        <v>UN</v>
      </c>
      <c r="G79" s="66">
        <f>VLOOKUP(B79,Planilha17!$A$8:$F$1259,6,0)</f>
        <v>14</v>
      </c>
      <c r="H79" s="67">
        <f>VLOOKUP(D79,'FDE 10-23 '!$A$4:$E$3180,5,0)</f>
        <v>2539.69</v>
      </c>
      <c r="I79" s="68">
        <f t="shared" si="9"/>
        <v>0.23</v>
      </c>
      <c r="J79" s="67">
        <f t="shared" si="10"/>
        <v>3123.82</v>
      </c>
      <c r="K79" s="69">
        <f t="shared" si="11"/>
        <v>43733.48</v>
      </c>
      <c r="L79" s="51"/>
      <c r="M79" s="52"/>
    </row>
    <row r="80" spans="2:13" s="25" customFormat="1" ht="30" customHeight="1" outlineLevel="1">
      <c r="B80" s="61" t="s">
        <v>172</v>
      </c>
      <c r="C80" s="62" t="s">
        <v>26</v>
      </c>
      <c r="D80" s="63" t="s">
        <v>173</v>
      </c>
      <c r="E80" s="64" t="str">
        <f>IFERROR(UPPER(IF(C80="CPU",VLOOKUP(D80,#REF!,2,0),IF(C80="SINAPI",VLOOKUP(D80,#REF!,2,0),IF(C80="EDIF",VLOOKUP(D80,#REF!,2,0),IF(C80="CDHU",VLOOKUP(D80,#REF!,2,0),IF(C80="FDE",VLOOKUP(D80,'FDE 10-23 '!$A$4:$E$3180,2,0),IF(C80="INFRA",VLOOKUP(D80,#REF!,2,0),""))))))),"")</f>
        <v>PORTAS PARA DIVISORIAS CHAPA FIBRA MAD PRENS BP COM FERRAGENS</v>
      </c>
      <c r="F80" s="65" t="str">
        <f>VLOOKUP(D80,'FDE 10-23 '!$A$4:$E$3180,3,0)</f>
        <v>UN</v>
      </c>
      <c r="G80" s="66">
        <f>VLOOKUP(B80,Planilha17!$A$8:$F$1259,6,0)</f>
        <v>5</v>
      </c>
      <c r="H80" s="67">
        <f>VLOOKUP(D80,'FDE 10-23 '!$A$4:$E$3180,5,0)</f>
        <v>540.78</v>
      </c>
      <c r="I80" s="68">
        <f t="shared" si="9"/>
        <v>0.23</v>
      </c>
      <c r="J80" s="67">
        <f t="shared" si="10"/>
        <v>665.16</v>
      </c>
      <c r="K80" s="69">
        <f t="shared" si="11"/>
        <v>3325.7999999999997</v>
      </c>
      <c r="L80" s="51"/>
      <c r="M80" s="52"/>
    </row>
    <row r="81" spans="2:13" s="25" customFormat="1" ht="30" customHeight="1" outlineLevel="1">
      <c r="B81" s="61" t="s">
        <v>174</v>
      </c>
      <c r="C81" s="62" t="s">
        <v>26</v>
      </c>
      <c r="D81" s="63" t="s">
        <v>175</v>
      </c>
      <c r="E81" s="64" t="str">
        <f>IFERROR(UPPER(IF(C81="CPU",VLOOKUP(D81,#REF!,2,0),IF(C81="SINAPI",VLOOKUP(D81,#REF!,2,0),IF(C81="EDIF",VLOOKUP(D81,#REF!,2,0),IF(C81="CDHU",VLOOKUP(D81,#REF!,2,0),IF(C81="FDE",VLOOKUP(D81,'FDE 10-23 '!$A$4:$E$3180,2,0),IF(C81="INFRA",VLOOKUP(D81,#REF!,2,0),""))))))),"")</f>
        <v>PM-74 PORTA SARRAFEADO MACIÇO P/BOXES L=62CM-COMPLETA</v>
      </c>
      <c r="F81" s="65" t="str">
        <f>VLOOKUP(D81,'FDE 10-23 '!$A$4:$E$3180,3,0)</f>
        <v>UN</v>
      </c>
      <c r="G81" s="66">
        <f>VLOOKUP(B81,Planilha17!$A$8:$F$1259,6,0)</f>
        <v>23</v>
      </c>
      <c r="H81" s="67">
        <f>VLOOKUP(D81,'FDE 10-23 '!$A$4:$E$3180,5,0)</f>
        <v>603.87</v>
      </c>
      <c r="I81" s="68">
        <f t="shared" si="9"/>
        <v>0.23</v>
      </c>
      <c r="J81" s="67">
        <f t="shared" si="10"/>
        <v>742.76</v>
      </c>
      <c r="K81" s="69">
        <f t="shared" si="11"/>
        <v>17083.48</v>
      </c>
      <c r="L81" s="51"/>
      <c r="M81" s="52"/>
    </row>
    <row r="82" spans="2:13" s="25" customFormat="1" ht="30" customHeight="1" outlineLevel="1">
      <c r="B82" s="61" t="s">
        <v>176</v>
      </c>
      <c r="C82" s="62" t="s">
        <v>26</v>
      </c>
      <c r="D82" s="63" t="s">
        <v>177</v>
      </c>
      <c r="E82" s="64" t="str">
        <f>IFERROR(UPPER(IF(C82="CPU",VLOOKUP(D82,#REF!,2,0),IF(C82="SINAPI",VLOOKUP(D82,#REF!,2,0),IF(C82="EDIF",VLOOKUP(D82,#REF!,2,0),IF(C82="CDHU",VLOOKUP(D82,#REF!,2,0),IF(C82="FDE",VLOOKUP(D82,'FDE 10-23 '!$A$4:$E$3180,2,0),IF(C82="INFRA",VLOOKUP(D82,#REF!,2,0),""))))))),"")</f>
        <v>PM-72 PORTA DE MADEIRA SARRAFEADA P/ PINT. BAT. MET. L=92CM</v>
      </c>
      <c r="F82" s="65" t="str">
        <f>VLOOKUP(D82,'FDE 10-23 '!$A$4:$E$3180,3,0)</f>
        <v>UN</v>
      </c>
      <c r="G82" s="66">
        <f>VLOOKUP(B82,Planilha17!$A$8:$F$1259,6,0)</f>
        <v>2</v>
      </c>
      <c r="H82" s="67">
        <f>VLOOKUP(D82,'FDE 10-23 '!$A$4:$E$3180,5,0)</f>
        <v>1935.33</v>
      </c>
      <c r="I82" s="68">
        <f t="shared" si="9"/>
        <v>0.23</v>
      </c>
      <c r="J82" s="67">
        <f t="shared" si="10"/>
        <v>2380.46</v>
      </c>
      <c r="K82" s="69">
        <f t="shared" si="11"/>
        <v>4760.92</v>
      </c>
      <c r="L82" s="51"/>
      <c r="M82" s="52"/>
    </row>
    <row r="83" spans="2:13" s="25" customFormat="1" ht="30" customHeight="1" outlineLevel="1">
      <c r="B83" s="61" t="s">
        <v>178</v>
      </c>
      <c r="C83" s="62" t="s">
        <v>26</v>
      </c>
      <c r="D83" s="63" t="s">
        <v>179</v>
      </c>
      <c r="E83" s="64" t="str">
        <f>IFERROR(UPPER(IF(C83="CPU",VLOOKUP(D83,#REF!,2,0),IF(C83="SINAPI",VLOOKUP(D83,#REF!,2,0),IF(C83="EDIF",VLOOKUP(D83,#REF!,2,0),IF(C83="CDHU",VLOOKUP(D83,#REF!,2,0),IF(C83="FDE",VLOOKUP(D83,'FDE 10-23 '!$A$4:$E$3180,2,0),IF(C83="INFRA",VLOOKUP(D83,#REF!,2,0),""))))))),"")</f>
        <v>PM-75 PORTA SARRAFEADA MACICA SANIT. ACESSIVEL BAT. MET.</v>
      </c>
      <c r="F83" s="65" t="str">
        <f>VLOOKUP(D83,'FDE 10-23 '!$A$4:$E$3180,3,0)</f>
        <v>UN</v>
      </c>
      <c r="G83" s="66">
        <f>VLOOKUP(B83,Planilha17!$A$8:$F$1259,6,0)</f>
        <v>2</v>
      </c>
      <c r="H83" s="67">
        <f>VLOOKUP(D83,'FDE 10-23 '!$A$4:$E$3180,5,0)</f>
        <v>2153.5</v>
      </c>
      <c r="I83" s="68">
        <f t="shared" si="9"/>
        <v>0.23</v>
      </c>
      <c r="J83" s="67">
        <f t="shared" si="10"/>
        <v>2648.81</v>
      </c>
      <c r="K83" s="69">
        <f t="shared" si="11"/>
        <v>5297.62</v>
      </c>
      <c r="L83" s="51"/>
      <c r="M83" s="52"/>
    </row>
    <row r="84" spans="2:13" s="25" customFormat="1" ht="30" customHeight="1" outlineLevel="1">
      <c r="B84" s="61" t="s">
        <v>180</v>
      </c>
      <c r="C84" s="62" t="s">
        <v>26</v>
      </c>
      <c r="D84" s="63" t="s">
        <v>181</v>
      </c>
      <c r="E84" s="64" t="str">
        <f>IFERROR(UPPER(IF(C84="CPU",VLOOKUP(D84,#REF!,2,0),IF(C84="SINAPI",VLOOKUP(D84,#REF!,2,0),IF(C84="EDIF",VLOOKUP(D84,#REF!,2,0),IF(C84="CDHU",VLOOKUP(D84,#REF!,2,0),IF(C84="FDE",VLOOKUP(D84,'FDE 10-23 '!$A$4:$E$3180,2,0),IF(C84="INFRA",VLOOKUP(D84,#REF!,2,0),""))))))),"")</f>
        <v>PM-83 PORTA DE CORRER ACESSIVEL SARRAFEADA MACIÇA G1-C1 P/PINTURA L=101CM</v>
      </c>
      <c r="F84" s="65" t="str">
        <f>VLOOKUP(D84,'FDE 10-23 '!$A$4:$E$3180,3,0)</f>
        <v>UN</v>
      </c>
      <c r="G84" s="66">
        <f>VLOOKUP(B84,Planilha17!$A$8:$F$1259,6,0)</f>
        <v>2</v>
      </c>
      <c r="H84" s="67">
        <f>VLOOKUP(D84,'FDE 10-23 '!$A$4:$E$3180,5,0)</f>
        <v>3103.15</v>
      </c>
      <c r="I84" s="68">
        <f t="shared" si="9"/>
        <v>0.23</v>
      </c>
      <c r="J84" s="67">
        <f t="shared" si="10"/>
        <v>3816.87</v>
      </c>
      <c r="K84" s="69">
        <f t="shared" si="11"/>
        <v>7633.74</v>
      </c>
      <c r="L84" s="51"/>
      <c r="M84" s="52"/>
    </row>
    <row r="85" spans="2:13" s="25" customFormat="1" ht="30" customHeight="1" outlineLevel="1">
      <c r="B85" s="53" t="s">
        <v>182</v>
      </c>
      <c r="C85" s="54"/>
      <c r="D85" s="54" t="s">
        <v>183</v>
      </c>
      <c r="E85" s="55" t="s">
        <v>184</v>
      </c>
      <c r="F85" s="56" t="str">
        <f>IFERROR(UPPER(IF(C85="CPU",VLOOKUP(D85,#REF!,3,0),IF(C85="SINAPI",VLOOKUP(D85,#REF!,3,0),IF(C85="EDIF",VLOOKUP(D85,#REF!,3,0),IF(C85="CDHU",VLOOKUP(D85,#REF!,3,0),IF(C85="FDE",VLOOKUP(D85,#REF!,3,0),IF(C85="INFRA",VLOOKUP(D85,#REF!,3,0),""))))))),"")</f>
        <v/>
      </c>
      <c r="G85" s="57"/>
      <c r="H8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85" s="59"/>
      <c r="J85" s="59"/>
      <c r="K85" s="60">
        <f>SUBTOTAL(9,K86:K105)</f>
        <v>149345.19200000001</v>
      </c>
      <c r="L85" s="51"/>
      <c r="M85" s="52"/>
    </row>
    <row r="86" spans="2:13" s="25" customFormat="1" ht="30" customHeight="1" outlineLevel="1">
      <c r="B86" s="61" t="s">
        <v>185</v>
      </c>
      <c r="C86" s="62" t="s">
        <v>26</v>
      </c>
      <c r="D86" s="63" t="s">
        <v>186</v>
      </c>
      <c r="E86" s="64" t="str">
        <f>IFERROR(UPPER(IF(C86="CPU",VLOOKUP(D86,#REF!,2,0),IF(C86="SINAPI",VLOOKUP(D86,#REF!,2,0),IF(C86="EDIF",VLOOKUP(D86,#REF!,2,0),IF(C86="CDHU",VLOOKUP(D86,#REF!,2,0),IF(C86="FDE",VLOOKUP(D86,'FDE 10-23 '!$A$4:$E$3180,2,0),IF(C86="INFRA",VLOOKUP(D86,#REF!,2,0),""))))))),"")</f>
        <v>BS-05 BANCADA PARA COZINHA - GRANITO POLIDO 20MM</v>
      </c>
      <c r="F86" s="65" t="str">
        <f>VLOOKUP(D86,'FDE 10-23 '!$A$4:$E$3180,3,0)</f>
        <v>M</v>
      </c>
      <c r="G86" s="66">
        <f>VLOOKUP(B86,Planilha17!$A$8:$F$1259,6,0)</f>
        <v>13.2</v>
      </c>
      <c r="H86" s="67">
        <f>VLOOKUP(D86,'FDE 10-23 '!$A$4:$E$3180,5,0)</f>
        <v>430.57</v>
      </c>
      <c r="I86" s="68">
        <f t="shared" ref="I86:I105" si="12">$L$10</f>
        <v>0.23</v>
      </c>
      <c r="J86" s="67">
        <f t="shared" ref="J86:J105" si="13">ROUND(H86*(1+I86),2)</f>
        <v>529.6</v>
      </c>
      <c r="K86" s="69">
        <f t="shared" ref="K86:K105" si="14">SUM(G86*J86)</f>
        <v>6990.72</v>
      </c>
      <c r="L86" s="51"/>
      <c r="M86" s="52"/>
    </row>
    <row r="87" spans="2:13" s="25" customFormat="1" ht="30" customHeight="1" outlineLevel="1">
      <c r="B87" s="61" t="s">
        <v>187</v>
      </c>
      <c r="C87" s="62" t="s">
        <v>26</v>
      </c>
      <c r="D87" s="63" t="s">
        <v>188</v>
      </c>
      <c r="E87" s="64" t="str">
        <f>IFERROR(UPPER(IF(C87="CPU",VLOOKUP(D87,#REF!,2,0),IF(C87="SINAPI",VLOOKUP(D87,#REF!,2,0),IF(C87="EDIF",VLOOKUP(D87,#REF!,2,0),IF(C87="CDHU",VLOOKUP(D87,#REF!,2,0),IF(C87="FDE",VLOOKUP(D87,'FDE 10-23 '!$A$4:$E$3180,2,0),IF(C87="INFRA",VLOOKUP(D87,#REF!,2,0),""))))))),"")</f>
        <v>BE-08 BANCADA ALUNOS / QUIMICA E BIOLOGIA (150CM)</v>
      </c>
      <c r="F87" s="65" t="str">
        <f>VLOOKUP(D87,'FDE 10-23 '!$A$4:$E$3180,3,0)</f>
        <v>UN</v>
      </c>
      <c r="G87" s="66">
        <f>VLOOKUP(B87,Planilha17!$A$8:$F$1259,6,0)</f>
        <v>4</v>
      </c>
      <c r="H87" s="67">
        <f>VLOOKUP(D87,'FDE 10-23 '!$A$4:$E$3180,5,0)</f>
        <v>1691.7</v>
      </c>
      <c r="I87" s="68">
        <f t="shared" si="12"/>
        <v>0.23</v>
      </c>
      <c r="J87" s="67">
        <f t="shared" si="13"/>
        <v>2080.79</v>
      </c>
      <c r="K87" s="69">
        <f t="shared" si="14"/>
        <v>8323.16</v>
      </c>
      <c r="L87" s="51"/>
      <c r="M87" s="52"/>
    </row>
    <row r="88" spans="2:13" s="25" customFormat="1" ht="30" customHeight="1" outlineLevel="1">
      <c r="B88" s="61" t="s">
        <v>189</v>
      </c>
      <c r="C88" s="62" t="s">
        <v>26</v>
      </c>
      <c r="D88" s="63" t="s">
        <v>190</v>
      </c>
      <c r="E88" s="64" t="str">
        <f>IFERROR(UPPER(IF(C88="CPU",VLOOKUP(D88,#REF!,2,0),IF(C88="SINAPI",VLOOKUP(D88,#REF!,2,0),IF(C88="EDIF",VLOOKUP(D88,#REF!,2,0),IF(C88="CDHU",VLOOKUP(D88,#REF!,2,0),IF(C88="FDE",VLOOKUP(D88,'FDE 10-23 '!$A$4:$E$3180,2,0),IF(C88="INFRA",VLOOKUP(D88,#REF!,2,0),""))))))),"")</f>
        <v>BE-09 BANCADA ALUNOS / QUIMICA E BIOLOGIA (195CM)</v>
      </c>
      <c r="F88" s="65" t="str">
        <f>VLOOKUP(D88,'FDE 10-23 '!$A$4:$E$3180,3,0)</f>
        <v>UN</v>
      </c>
      <c r="G88" s="66">
        <f>VLOOKUP(B88,Planilha17!$A$8:$F$1259,6,0)</f>
        <v>2</v>
      </c>
      <c r="H88" s="67">
        <f>VLOOKUP(D88,'FDE 10-23 '!$A$4:$E$3180,5,0)</f>
        <v>1943.14</v>
      </c>
      <c r="I88" s="68">
        <f t="shared" si="12"/>
        <v>0.23</v>
      </c>
      <c r="J88" s="67">
        <f t="shared" si="13"/>
        <v>2390.06</v>
      </c>
      <c r="K88" s="69">
        <f t="shared" si="14"/>
        <v>4780.12</v>
      </c>
      <c r="L88" s="51"/>
      <c r="M88" s="52"/>
    </row>
    <row r="89" spans="2:13" s="25" customFormat="1" ht="30" customHeight="1" outlineLevel="1">
      <c r="B89" s="61" t="s">
        <v>191</v>
      </c>
      <c r="C89" s="62" t="s">
        <v>26</v>
      </c>
      <c r="D89" s="63" t="s">
        <v>192</v>
      </c>
      <c r="E89" s="64" t="str">
        <f>IFERROR(UPPER(IF(C89="CPU",VLOOKUP(D89,#REF!,2,0),IF(C89="SINAPI",VLOOKUP(D89,#REF!,2,0),IF(C89="EDIF",VLOOKUP(D89,#REF!,2,0),IF(C89="CDHU",VLOOKUP(D89,#REF!,2,0),IF(C89="FDE",VLOOKUP(D89,'FDE 10-23 '!$A$4:$E$3180,2,0),IF(C89="INFRA",VLOOKUP(D89,#REF!,2,0),""))))))),"")</f>
        <v>BE-10 BANCADA ALUNOS / MATEMATICA E FISICA (280CM)</v>
      </c>
      <c r="F89" s="65" t="str">
        <f>VLOOKUP(D89,'FDE 10-23 '!$A$4:$E$3180,3,0)</f>
        <v>UN</v>
      </c>
      <c r="G89" s="66">
        <f>VLOOKUP(B89,Planilha17!$A$8:$F$1259,6,0)</f>
        <v>4</v>
      </c>
      <c r="H89" s="67">
        <f>VLOOKUP(D89,'FDE 10-23 '!$A$4:$E$3180,5,0)</f>
        <v>3028.7</v>
      </c>
      <c r="I89" s="68">
        <f t="shared" si="12"/>
        <v>0.23</v>
      </c>
      <c r="J89" s="67">
        <f t="shared" si="13"/>
        <v>3725.3</v>
      </c>
      <c r="K89" s="69">
        <f t="shared" si="14"/>
        <v>14901.2</v>
      </c>
      <c r="L89" s="51"/>
      <c r="M89" s="52"/>
    </row>
    <row r="90" spans="2:13" s="25" customFormat="1" ht="30" customHeight="1" outlineLevel="1">
      <c r="B90" s="61" t="s">
        <v>193</v>
      </c>
      <c r="C90" s="62" t="s">
        <v>26</v>
      </c>
      <c r="D90" s="63" t="s">
        <v>194</v>
      </c>
      <c r="E90" s="64" t="str">
        <f>IFERROR(UPPER(IF(C90="CPU",VLOOKUP(D90,#REF!,2,0),IF(C90="SINAPI",VLOOKUP(D90,#REF!,2,0),IF(C90="EDIF",VLOOKUP(D90,#REF!,2,0),IF(C90="CDHU",VLOOKUP(D90,#REF!,2,0),IF(C90="FDE",VLOOKUP(D90,'FDE 10-23 '!$A$4:$E$3180,2,0),IF(C90="INFRA",VLOOKUP(D90,#REF!,2,0),""))))))),"")</f>
        <v>BE-14 BANCADA APOIO PARA CAPELA</v>
      </c>
      <c r="F90" s="65" t="str">
        <f>VLOOKUP(D90,'FDE 10-23 '!$A$4:$E$3180,3,0)</f>
        <v>UN</v>
      </c>
      <c r="G90" s="66">
        <f>VLOOKUP(B90,Planilha17!$A$8:$F$1259,6,0)</f>
        <v>1</v>
      </c>
      <c r="H90" s="67">
        <f>VLOOKUP(D90,'FDE 10-23 '!$A$4:$E$3180,5,0)</f>
        <v>914.29</v>
      </c>
      <c r="I90" s="68">
        <f t="shared" si="12"/>
        <v>0.23</v>
      </c>
      <c r="J90" s="67">
        <f t="shared" si="13"/>
        <v>1124.58</v>
      </c>
      <c r="K90" s="69">
        <f t="shared" si="14"/>
        <v>1124.58</v>
      </c>
      <c r="L90" s="51"/>
      <c r="M90" s="52"/>
    </row>
    <row r="91" spans="2:13" s="25" customFormat="1" ht="30" customHeight="1" outlineLevel="1">
      <c r="B91" s="61" t="s">
        <v>195</v>
      </c>
      <c r="C91" s="62" t="s">
        <v>26</v>
      </c>
      <c r="D91" s="63" t="s">
        <v>196</v>
      </c>
      <c r="E91" s="64" t="str">
        <f>IFERROR(UPPER(IF(C91="CPU",VLOOKUP(D91,#REF!,2,0),IF(C91="SINAPI",VLOOKUP(D91,#REF!,2,0),IF(C91="EDIF",VLOOKUP(D91,#REF!,2,0),IF(C91="CDHU",VLOOKUP(D91,#REF!,2,0),IF(C91="FDE",VLOOKUP(D91,'FDE 10-23 '!$A$4:$E$3180,2,0),IF(C91="INFRA",VLOOKUP(D91,#REF!,2,0),""))))))),"")</f>
        <v>BE-15 BANCADA LABORATORIO COM PRATELEIRA</v>
      </c>
      <c r="F91" s="65" t="str">
        <f>VLOOKUP(D91,'FDE 10-23 '!$A$4:$E$3180,3,0)</f>
        <v>M</v>
      </c>
      <c r="G91" s="66">
        <f>VLOOKUP(B91,Planilha17!$A$8:$F$1259,6,0)</f>
        <v>12.7</v>
      </c>
      <c r="H91" s="67">
        <f>VLOOKUP(D91,'FDE 10-23 '!$A$4:$E$3180,5,0)</f>
        <v>1526.22</v>
      </c>
      <c r="I91" s="68">
        <f t="shared" si="12"/>
        <v>0.23</v>
      </c>
      <c r="J91" s="67">
        <f t="shared" si="13"/>
        <v>1877.25</v>
      </c>
      <c r="K91" s="69">
        <f t="shared" si="14"/>
        <v>23841.074999999997</v>
      </c>
      <c r="L91" s="51"/>
      <c r="M91" s="52"/>
    </row>
    <row r="92" spans="2:13" s="25" customFormat="1" ht="30" customHeight="1" outlineLevel="1">
      <c r="B92" s="61" t="s">
        <v>197</v>
      </c>
      <c r="C92" s="62" t="s">
        <v>26</v>
      </c>
      <c r="D92" s="63" t="s">
        <v>198</v>
      </c>
      <c r="E92" s="64" t="str">
        <f>IFERROR(UPPER(IF(C92="CPU",VLOOKUP(D92,#REF!,2,0),IF(C92="SINAPI",VLOOKUP(D92,#REF!,2,0),IF(C92="EDIF",VLOOKUP(D92,#REF!,2,0),IF(C92="CDHU",VLOOKUP(D92,#REF!,2,0),IF(C92="FDE",VLOOKUP(D92,'FDE 10-23 '!$A$4:$E$3180,2,0),IF(C92="INFRA",VLOOKUP(D92,#REF!,2,0),""))))))),"")</f>
        <v>BE-16 BANCADA LABORATORIO 2 CUBAS 50X40X25CM (L=180CM)</v>
      </c>
      <c r="F92" s="65" t="str">
        <f>VLOOKUP(D92,'FDE 10-23 '!$A$4:$E$3180,3,0)</f>
        <v>UN</v>
      </c>
      <c r="G92" s="66">
        <f>VLOOKUP(B92,Planilha17!$A$8:$F$1259,6,0)</f>
        <v>1</v>
      </c>
      <c r="H92" s="67">
        <f>VLOOKUP(D92,'FDE 10-23 '!$A$4:$E$3180,5,0)</f>
        <v>4269.84</v>
      </c>
      <c r="I92" s="68">
        <f t="shared" si="12"/>
        <v>0.23</v>
      </c>
      <c r="J92" s="67">
        <f t="shared" si="13"/>
        <v>5251.9</v>
      </c>
      <c r="K92" s="69">
        <f t="shared" si="14"/>
        <v>5251.9</v>
      </c>
      <c r="L92" s="51"/>
      <c r="M92" s="52"/>
    </row>
    <row r="93" spans="2:13" s="25" customFormat="1" ht="30" customHeight="1" outlineLevel="1">
      <c r="B93" s="61" t="s">
        <v>199</v>
      </c>
      <c r="C93" s="62" t="s">
        <v>26</v>
      </c>
      <c r="D93" s="63" t="s">
        <v>200</v>
      </c>
      <c r="E93" s="64" t="str">
        <f>IFERROR(UPPER(IF(C93="CPU",VLOOKUP(D93,#REF!,2,0),IF(C93="SINAPI",VLOOKUP(D93,#REF!,2,0),IF(C93="EDIF",VLOOKUP(D93,#REF!,2,0),IF(C93="CDHU",VLOOKUP(D93,#REF!,2,0),IF(C93="FDE",VLOOKUP(D93,'FDE 10-23 '!$A$4:$E$3180,2,0),IF(C93="INFRA",VLOOKUP(D93,#REF!,2,0),""))))))),"")</f>
        <v>PR-08 PRATELEIRA DE GRANITO</v>
      </c>
      <c r="F93" s="65" t="str">
        <f>VLOOKUP(D93,'FDE 10-23 '!$A$4:$E$3180,3,0)</f>
        <v>M</v>
      </c>
      <c r="G93" s="66">
        <f>VLOOKUP(B93,Planilha17!$A$8:$F$1259,6,0)</f>
        <v>23.9</v>
      </c>
      <c r="H93" s="67">
        <f>VLOOKUP(D93,'FDE 10-23 '!$A$4:$E$3180,5,0)</f>
        <v>210.23</v>
      </c>
      <c r="I93" s="68">
        <f t="shared" si="12"/>
        <v>0.23</v>
      </c>
      <c r="J93" s="67">
        <f t="shared" si="13"/>
        <v>258.58</v>
      </c>
      <c r="K93" s="69">
        <f t="shared" si="14"/>
        <v>6180.061999999999</v>
      </c>
      <c r="L93" s="51"/>
      <c r="M93" s="52"/>
    </row>
    <row r="94" spans="2:13" s="25" customFormat="1" ht="30" customHeight="1" outlineLevel="1">
      <c r="B94" s="61" t="s">
        <v>201</v>
      </c>
      <c r="C94" s="62" t="s">
        <v>26</v>
      </c>
      <c r="D94" s="63" t="s">
        <v>202</v>
      </c>
      <c r="E94" s="64" t="str">
        <f>IFERROR(UPPER(IF(C94="CPU",VLOOKUP(D94,#REF!,2,0),IF(C94="SINAPI",VLOOKUP(D94,#REF!,2,0),IF(C94="EDIF",VLOOKUP(D94,#REF!,2,0),IF(C94="CDHU",VLOOKUP(D94,#REF!,2,0),IF(C94="FDE",VLOOKUP(D94,'FDE 10-23 '!$A$4:$E$3180,2,0),IF(C94="INFRA",VLOOKUP(D94,#REF!,2,0),""))))))),"")</f>
        <v>PR-03 PRATELEIRA DE GRANILITE - L=30CM</v>
      </c>
      <c r="F94" s="65" t="str">
        <f>VLOOKUP(D94,'FDE 10-23 '!$A$4:$E$3180,3,0)</f>
        <v>M</v>
      </c>
      <c r="G94" s="66">
        <f>VLOOKUP(B94,Planilha17!$A$8:$F$1259,6,0)</f>
        <v>4.3</v>
      </c>
      <c r="H94" s="67">
        <f>VLOOKUP(D94,'FDE 10-23 '!$A$4:$E$3180,5,0)</f>
        <v>980.64</v>
      </c>
      <c r="I94" s="68">
        <f t="shared" si="12"/>
        <v>0.23</v>
      </c>
      <c r="J94" s="67">
        <f t="shared" si="13"/>
        <v>1206.19</v>
      </c>
      <c r="K94" s="69">
        <f t="shared" si="14"/>
        <v>5186.6170000000002</v>
      </c>
      <c r="L94" s="51"/>
      <c r="M94" s="52"/>
    </row>
    <row r="95" spans="2:13" s="25" customFormat="1" ht="30" customHeight="1" outlineLevel="1">
      <c r="B95" s="61" t="s">
        <v>203</v>
      </c>
      <c r="C95" s="62" t="s">
        <v>26</v>
      </c>
      <c r="D95" s="63" t="s">
        <v>204</v>
      </c>
      <c r="E95" s="64" t="str">
        <f>IFERROR(UPPER(IF(C95="CPU",VLOOKUP(D95,#REF!,2,0),IF(C95="SINAPI",VLOOKUP(D95,#REF!,2,0),IF(C95="EDIF",VLOOKUP(D95,#REF!,2,0),IF(C95="CDHU",VLOOKUP(D95,#REF!,2,0),IF(C95="FDE",VLOOKUP(D95,'FDE 10-23 '!$A$4:$E$3180,2,0),IF(C95="INFRA",VLOOKUP(D95,#REF!,2,0),""))))))),"")</f>
        <v>BE-18 BANCADA LABORATORIO 1 CUBA 60X50X30CM (L=180CM)</v>
      </c>
      <c r="F95" s="65" t="str">
        <f>VLOOKUP(D95,'FDE 10-23 '!$A$4:$E$3180,3,0)</f>
        <v>UN</v>
      </c>
      <c r="G95" s="66">
        <f>VLOOKUP(B95,Planilha17!$A$8:$F$1259,6,0)</f>
        <v>1</v>
      </c>
      <c r="H95" s="67">
        <f>VLOOKUP(D95,'FDE 10-23 '!$A$4:$E$3180,5,0)</f>
        <v>3494.64</v>
      </c>
      <c r="I95" s="68">
        <f t="shared" si="12"/>
        <v>0.23</v>
      </c>
      <c r="J95" s="67">
        <f t="shared" si="13"/>
        <v>4298.41</v>
      </c>
      <c r="K95" s="69">
        <f t="shared" si="14"/>
        <v>4298.41</v>
      </c>
      <c r="L95" s="51"/>
      <c r="M95" s="52"/>
    </row>
    <row r="96" spans="2:13" s="25" customFormat="1" ht="30" customHeight="1" outlineLevel="1">
      <c r="B96" s="61" t="s">
        <v>205</v>
      </c>
      <c r="C96" s="62" t="s">
        <v>26</v>
      </c>
      <c r="D96" s="63" t="s">
        <v>206</v>
      </c>
      <c r="E96" s="64" t="str">
        <f>IFERROR(UPPER(IF(C96="CPU",VLOOKUP(D96,#REF!,2,0),IF(C96="SINAPI",VLOOKUP(D96,#REF!,2,0),IF(C96="EDIF",VLOOKUP(D96,#REF!,2,0),IF(C96="CDHU",VLOOKUP(D96,#REF!,2,0),IF(C96="FDE",VLOOKUP(D96,'FDE 10-23 '!$A$4:$E$3180,2,0),IF(C96="INFRA",VLOOKUP(D96,#REF!,2,0),""))))))),"")</f>
        <v>BE-19 BANCADA LABORATORIO SIMPLES</v>
      </c>
      <c r="F96" s="65" t="str">
        <f>VLOOKUP(D96,'FDE 10-23 '!$A$4:$E$3180,3,0)</f>
        <v>M</v>
      </c>
      <c r="G96" s="66">
        <f>VLOOKUP(B96,Planilha17!$A$8:$F$1259,6,0)</f>
        <v>6.3</v>
      </c>
      <c r="H96" s="67">
        <f>VLOOKUP(D96,'FDE 10-23 '!$A$4:$E$3180,5,0)</f>
        <v>734.43</v>
      </c>
      <c r="I96" s="68">
        <f t="shared" si="12"/>
        <v>0.23</v>
      </c>
      <c r="J96" s="67">
        <f t="shared" si="13"/>
        <v>903.35</v>
      </c>
      <c r="K96" s="69">
        <f t="shared" si="14"/>
        <v>5691.1049999999996</v>
      </c>
      <c r="L96" s="51"/>
      <c r="M96" s="52"/>
    </row>
    <row r="97" spans="2:13" s="25" customFormat="1" ht="30" customHeight="1" outlineLevel="1">
      <c r="B97" s="61" t="s">
        <v>207</v>
      </c>
      <c r="C97" s="62" t="s">
        <v>26</v>
      </c>
      <c r="D97" s="63" t="s">
        <v>208</v>
      </c>
      <c r="E97" s="64" t="str">
        <f>IFERROR(UPPER(IF(C97="CPU",VLOOKUP(D97,#REF!,2,0),IF(C97="SINAPI",VLOOKUP(D97,#REF!,2,0),IF(C97="EDIF",VLOOKUP(D97,#REF!,2,0),IF(C97="CDHU",VLOOKUP(D97,#REF!,2,0),IF(C97="FDE",VLOOKUP(D97,'FDE 10-23 '!$A$4:$E$3180,2,0),IF(C97="INFRA",VLOOKUP(D97,#REF!,2,0),""))))))),"")</f>
        <v>PR-09 PRATELEIRA EM GRANILITE - L=55CM</v>
      </c>
      <c r="F97" s="65" t="str">
        <f>VLOOKUP(D97,'FDE 10-23 '!$A$4:$E$3180,3,0)</f>
        <v>M</v>
      </c>
      <c r="G97" s="66">
        <f>VLOOKUP(B97,Planilha17!$A$8:$F$1259,6,0)</f>
        <v>13.7</v>
      </c>
      <c r="H97" s="67">
        <f>VLOOKUP(D97,'FDE 10-23 '!$A$4:$E$3180,5,0)</f>
        <v>1154.6300000000001</v>
      </c>
      <c r="I97" s="68">
        <f t="shared" si="12"/>
        <v>0.23</v>
      </c>
      <c r="J97" s="67">
        <f t="shared" si="13"/>
        <v>1420.19</v>
      </c>
      <c r="K97" s="69">
        <f t="shared" si="14"/>
        <v>19456.602999999999</v>
      </c>
      <c r="L97" s="51"/>
      <c r="M97" s="52"/>
    </row>
    <row r="98" spans="2:13" s="25" customFormat="1" ht="30" customHeight="1" outlineLevel="1">
      <c r="B98" s="61" t="s">
        <v>209</v>
      </c>
      <c r="C98" s="62" t="s">
        <v>26</v>
      </c>
      <c r="D98" s="63" t="s">
        <v>210</v>
      </c>
      <c r="E98" s="64" t="str">
        <f>IFERROR(UPPER(IF(C98="CPU",VLOOKUP(D98,#REF!,2,0),IF(C98="SINAPI",VLOOKUP(D98,#REF!,2,0),IF(C98="EDIF",VLOOKUP(D98,#REF!,2,0),IF(C98="CDHU",VLOOKUP(D98,#REF!,2,0),IF(C98="FDE",VLOOKUP(D98,'FDE 10-23 '!$A$4:$E$3180,2,0),IF(C98="INFRA",VLOOKUP(D98,#REF!,2,0),""))))))),"")</f>
        <v>GS-03 GUICHE DE SECRETARIA/JANELA DE 2 FOLHAS</v>
      </c>
      <c r="F98" s="65" t="str">
        <f>VLOOKUP(D98,'FDE 10-23 '!$A$4:$E$3180,3,0)</f>
        <v>UN</v>
      </c>
      <c r="G98" s="66">
        <f>VLOOKUP(B98,Planilha17!$A$8:$F$1259,6,0)</f>
        <v>1</v>
      </c>
      <c r="H98" s="67">
        <f>VLOOKUP(D98,'FDE 10-23 '!$A$4:$E$3180,5,0)</f>
        <v>3541.89</v>
      </c>
      <c r="I98" s="68">
        <f t="shared" si="12"/>
        <v>0.23</v>
      </c>
      <c r="J98" s="67">
        <f t="shared" si="13"/>
        <v>4356.5200000000004</v>
      </c>
      <c r="K98" s="69">
        <f t="shared" si="14"/>
        <v>4356.5200000000004</v>
      </c>
      <c r="L98" s="51"/>
      <c r="M98" s="52"/>
    </row>
    <row r="99" spans="2:13" s="25" customFormat="1" ht="30" customHeight="1" outlineLevel="1">
      <c r="B99" s="61" t="s">
        <v>211</v>
      </c>
      <c r="C99" s="62" t="s">
        <v>26</v>
      </c>
      <c r="D99" s="63" t="s">
        <v>212</v>
      </c>
      <c r="E99" s="64" t="str">
        <f>IFERROR(UPPER(IF(C99="CPU",VLOOKUP(D99,#REF!,2,0),IF(C99="SINAPI",VLOOKUP(D99,#REF!,2,0),IF(C99="EDIF",VLOOKUP(D99,#REF!,2,0),IF(C99="CDHU",VLOOKUP(D99,#REF!,2,0),IF(C99="FDE",VLOOKUP(D99,'FDE 10-23 '!$A$4:$E$3180,2,0),IF(C99="INFRA",VLOOKUP(D99,#REF!,2,0),""))))))),"")</f>
        <v>ET-05 ESTRADO DE POLIPROPILENO</v>
      </c>
      <c r="F99" s="65" t="str">
        <f>VLOOKUP(D99,'FDE 10-23 '!$A$4:$E$3180,3,0)</f>
        <v>M</v>
      </c>
      <c r="G99" s="66">
        <f>VLOOKUP(B99,Planilha17!$A$8:$F$1259,6,0)</f>
        <v>5</v>
      </c>
      <c r="H99" s="67">
        <f>VLOOKUP(D99,'FDE 10-23 '!$A$4:$E$3180,5,0)</f>
        <v>105.62</v>
      </c>
      <c r="I99" s="68">
        <f t="shared" si="12"/>
        <v>0.23</v>
      </c>
      <c r="J99" s="67">
        <f t="shared" si="13"/>
        <v>129.91</v>
      </c>
      <c r="K99" s="69">
        <f t="shared" si="14"/>
        <v>649.54999999999995</v>
      </c>
      <c r="L99" s="51"/>
      <c r="M99" s="52"/>
    </row>
    <row r="100" spans="2:13" s="25" customFormat="1" ht="30" customHeight="1" outlineLevel="1">
      <c r="B100" s="61" t="s">
        <v>213</v>
      </c>
      <c r="C100" s="62" t="s">
        <v>26</v>
      </c>
      <c r="D100" s="63" t="s">
        <v>214</v>
      </c>
      <c r="E100" s="64" t="str">
        <f>IFERROR(UPPER(IF(C100="CPU",VLOOKUP(D100,#REF!,2,0),IF(C100="SINAPI",VLOOKUP(D100,#REF!,2,0),IF(C100="EDIF",VLOOKUP(D100,#REF!,2,0),IF(C100="CDHU",VLOOKUP(D100,#REF!,2,0),IF(C100="FDE",VLOOKUP(D100,'FDE 10-23 '!$A$4:$E$3180,2,0),IF(C100="INFRA",VLOOKUP(D100,#REF!,2,0),""))))))),"")</f>
        <v>BA-13 BALCAO ATENDIMENTO - GRANITO</v>
      </c>
      <c r="F100" s="65" t="str">
        <f>VLOOKUP(D100,'FDE 10-23 '!$A$4:$E$3180,3,0)</f>
        <v>UN</v>
      </c>
      <c r="G100" s="66">
        <f>VLOOKUP(B100,Planilha17!$A$8:$F$1259,6,0)</f>
        <v>1</v>
      </c>
      <c r="H100" s="67">
        <f>VLOOKUP(D100,'FDE 10-23 '!$A$4:$E$3180,5,0)</f>
        <v>4632.92</v>
      </c>
      <c r="I100" s="68">
        <f t="shared" si="12"/>
        <v>0.23</v>
      </c>
      <c r="J100" s="67">
        <f t="shared" si="13"/>
        <v>5698.49</v>
      </c>
      <c r="K100" s="69">
        <f t="shared" si="14"/>
        <v>5698.49</v>
      </c>
      <c r="L100" s="51"/>
      <c r="M100" s="52"/>
    </row>
    <row r="101" spans="2:13" s="25" customFormat="1" ht="30" customHeight="1" outlineLevel="1">
      <c r="B101" s="61" t="s">
        <v>215</v>
      </c>
      <c r="C101" s="62" t="s">
        <v>26</v>
      </c>
      <c r="D101" s="63" t="s">
        <v>216</v>
      </c>
      <c r="E101" s="64" t="str">
        <f>IFERROR(UPPER(IF(C101="CPU",VLOOKUP(D101,#REF!,2,0),IF(C101="SINAPI",VLOOKUP(D101,#REF!,2,0),IF(C101="EDIF",VLOOKUP(D101,#REF!,2,0),IF(C101="CDHU",VLOOKUP(D101,#REF!,2,0),IF(C101="FDE",VLOOKUP(D101,'FDE 10-23 '!$A$4:$E$3180,2,0),IF(C101="INFRA",VLOOKUP(D101,#REF!,2,0),""))))))),"")</f>
        <v>BA-10 BALCÃO DE DISTRIB.DE GRANITO (L=350CM)</v>
      </c>
      <c r="F101" s="65" t="str">
        <f>VLOOKUP(D101,'FDE 10-23 '!$A$4:$E$3180,3,0)</f>
        <v>UN</v>
      </c>
      <c r="G101" s="66">
        <f>VLOOKUP(B101,Planilha17!$A$8:$F$1259,6,0)</f>
        <v>1</v>
      </c>
      <c r="H101" s="67">
        <f>VLOOKUP(D101,'FDE 10-23 '!$A$4:$E$3180,5,0)</f>
        <v>8507.15</v>
      </c>
      <c r="I101" s="68">
        <f t="shared" si="12"/>
        <v>0.23</v>
      </c>
      <c r="J101" s="67">
        <f t="shared" si="13"/>
        <v>10463.790000000001</v>
      </c>
      <c r="K101" s="69">
        <f t="shared" si="14"/>
        <v>10463.790000000001</v>
      </c>
      <c r="L101" s="51"/>
      <c r="M101" s="52"/>
    </row>
    <row r="102" spans="2:13" s="25" customFormat="1" ht="30" customHeight="1" outlineLevel="1">
      <c r="B102" s="61" t="s">
        <v>217</v>
      </c>
      <c r="C102" s="62" t="s">
        <v>26</v>
      </c>
      <c r="D102" s="63" t="s">
        <v>218</v>
      </c>
      <c r="E102" s="64" t="str">
        <f>IFERROR(UPPER(IF(C102="CPU",VLOOKUP(D102,#REF!,2,0),IF(C102="SINAPI",VLOOKUP(D102,#REF!,2,0),IF(C102="EDIF",VLOOKUP(D102,#REF!,2,0),IF(C102="CDHU",VLOOKUP(D102,#REF!,2,0),IF(C102="FDE",VLOOKUP(D102,'FDE 10-23 '!$A$4:$E$3180,2,0),IF(C102="INFRA",VLOOKUP(D102,#REF!,2,0),""))))))),"")</f>
        <v>BA-11 BALCÃO DE DEVOLUÇÃO DE GRANITO (L=70CM)</v>
      </c>
      <c r="F102" s="65" t="str">
        <f>VLOOKUP(D102,'FDE 10-23 '!$A$4:$E$3180,3,0)</f>
        <v>UN</v>
      </c>
      <c r="G102" s="66">
        <f>VLOOKUP(B102,Planilha17!$A$8:$F$1259,6,0)</f>
        <v>1</v>
      </c>
      <c r="H102" s="67">
        <f>VLOOKUP(D102,'FDE 10-23 '!$A$4:$E$3180,5,0)</f>
        <v>2704.18</v>
      </c>
      <c r="I102" s="68">
        <f t="shared" si="12"/>
        <v>0.23</v>
      </c>
      <c r="J102" s="67">
        <f t="shared" si="13"/>
        <v>3326.14</v>
      </c>
      <c r="K102" s="69">
        <f t="shared" si="14"/>
        <v>3326.14</v>
      </c>
      <c r="L102" s="51"/>
      <c r="M102" s="52"/>
    </row>
    <row r="103" spans="2:13" s="25" customFormat="1" ht="30" customHeight="1" outlineLevel="1">
      <c r="B103" s="61" t="s">
        <v>219</v>
      </c>
      <c r="C103" s="62" t="s">
        <v>26</v>
      </c>
      <c r="D103" s="63" t="s">
        <v>220</v>
      </c>
      <c r="E103" s="64" t="str">
        <f>IFERROR(UPPER(IF(C103="CPU",VLOOKUP(D103,#REF!,2,0),IF(C103="SINAPI",VLOOKUP(D103,#REF!,2,0),IF(C103="EDIF",VLOOKUP(D103,#REF!,2,0),IF(C103="CDHU",VLOOKUP(D103,#REF!,2,0),IF(C103="FDE",VLOOKUP(D103,'FDE 10-23 '!$A$4:$E$3180,2,0),IF(C103="INFRA",VLOOKUP(D103,#REF!,2,0),""))))))),"")</f>
        <v>CC-01 CUBA INOX (60X50X30CM) INCLUSIVE VÁLVULA AMERICANA-GRANITO</v>
      </c>
      <c r="F103" s="65" t="str">
        <f>VLOOKUP(D103,'FDE 10-23 '!$A$4:$E$3180,3,0)</f>
        <v>UN</v>
      </c>
      <c r="G103" s="66">
        <f>VLOOKUP(B103,Planilha17!$A$8:$F$1259,6,0)</f>
        <v>1</v>
      </c>
      <c r="H103" s="67">
        <f>VLOOKUP(D103,'FDE 10-23 '!$A$4:$E$3180,5,0)</f>
        <v>2916.61</v>
      </c>
      <c r="I103" s="68">
        <f t="shared" si="12"/>
        <v>0.23</v>
      </c>
      <c r="J103" s="67">
        <f t="shared" si="13"/>
        <v>3587.43</v>
      </c>
      <c r="K103" s="69">
        <f t="shared" si="14"/>
        <v>3587.43</v>
      </c>
      <c r="L103" s="51"/>
      <c r="M103" s="52"/>
    </row>
    <row r="104" spans="2:13" s="25" customFormat="1" ht="30" customHeight="1" outlineLevel="1">
      <c r="B104" s="61" t="s">
        <v>221</v>
      </c>
      <c r="C104" s="62" t="s">
        <v>26</v>
      </c>
      <c r="D104" s="63" t="s">
        <v>222</v>
      </c>
      <c r="E104" s="64" t="str">
        <f>IFERROR(UPPER(IF(C104="CPU",VLOOKUP(D104,#REF!,2,0),IF(C104="SINAPI",VLOOKUP(D104,#REF!,2,0),IF(C104="EDIF",VLOOKUP(D104,#REF!,2,0),IF(C104="CDHU",VLOOKUP(D104,#REF!,2,0),IF(C104="FDE",VLOOKUP(D104,'FDE 10-23 '!$A$4:$E$3180,2,0),IF(C104="INFRA",VLOOKUP(D104,#REF!,2,0),""))))))),"")</f>
        <v>CC-03 CUBA INOX (50X40X25CM) TORNEIRA DE PAREDE INCL.VÁLVULA AMERICANA-GRANITO</v>
      </c>
      <c r="F104" s="65" t="str">
        <f>VLOOKUP(D104,'FDE 10-23 '!$A$4:$E$3180,3,0)</f>
        <v>UN</v>
      </c>
      <c r="G104" s="66">
        <f>VLOOKUP(B104,Planilha17!$A$8:$F$1259,6,0)</f>
        <v>3</v>
      </c>
      <c r="H104" s="67">
        <f>VLOOKUP(D104,'FDE 10-23 '!$A$4:$E$3180,5,0)</f>
        <v>2525.2800000000002</v>
      </c>
      <c r="I104" s="68">
        <f t="shared" si="12"/>
        <v>0.23</v>
      </c>
      <c r="J104" s="67">
        <f t="shared" si="13"/>
        <v>3106.09</v>
      </c>
      <c r="K104" s="69">
        <f t="shared" si="14"/>
        <v>9318.27</v>
      </c>
      <c r="L104" s="51"/>
      <c r="M104" s="52"/>
    </row>
    <row r="105" spans="2:13" s="25" customFormat="1" ht="30" customHeight="1" outlineLevel="1">
      <c r="B105" s="61" t="s">
        <v>223</v>
      </c>
      <c r="C105" s="62" t="s">
        <v>26</v>
      </c>
      <c r="D105" s="63" t="s">
        <v>224</v>
      </c>
      <c r="E105" s="64" t="str">
        <f>IFERROR(UPPER(IF(C105="CPU",VLOOKUP(D105,#REF!,2,0),IF(C105="SINAPI",VLOOKUP(D105,#REF!,2,0),IF(C105="EDIF",VLOOKUP(D105,#REF!,2,0),IF(C105="CDHU",VLOOKUP(D105,#REF!,2,0),IF(C105="FDE",VLOOKUP(D105,'FDE 10-23 '!$A$4:$E$3180,2,0),IF(C105="INFRA",VLOOKUP(D105,#REF!,2,0),""))))))),"")</f>
        <v>CC-04 CUBA DUPLA INOX (102X40X25CM) INCLUSIVE VÁLVULA AMERICANA-GRANITO</v>
      </c>
      <c r="F105" s="65" t="str">
        <f>VLOOKUP(D105,'FDE 10-23 '!$A$4:$E$3180,3,0)</f>
        <v>UN</v>
      </c>
      <c r="G105" s="66">
        <f>VLOOKUP(B105,Planilha17!$A$8:$F$1259,6,0)</f>
        <v>1</v>
      </c>
      <c r="H105" s="67">
        <f>VLOOKUP(D105,'FDE 10-23 '!$A$4:$E$3180,5,0)</f>
        <v>4812.5600000000004</v>
      </c>
      <c r="I105" s="68">
        <f t="shared" si="12"/>
        <v>0.23</v>
      </c>
      <c r="J105" s="67">
        <f t="shared" si="13"/>
        <v>5919.45</v>
      </c>
      <c r="K105" s="69">
        <f t="shared" si="14"/>
        <v>5919.45</v>
      </c>
      <c r="L105" s="51"/>
      <c r="M105" s="52"/>
    </row>
    <row r="106" spans="2:13" s="25" customFormat="1" ht="30" customHeight="1">
      <c r="B106" s="43">
        <v>6</v>
      </c>
      <c r="C106" s="44"/>
      <c r="D106" s="44" t="s">
        <v>225</v>
      </c>
      <c r="E106" s="45" t="s">
        <v>226</v>
      </c>
      <c r="F106" s="46" t="str">
        <f>IFERROR(UPPER(IF(C106="CPU",VLOOKUP(D106,#REF!,3,0),IF(C106="SINAPI",VLOOKUP(D106,#REF!,3,0),IF(C106="EDIF",VLOOKUP(D106,#REF!,3,0),IF(C106="CDHU",VLOOKUP(D106,#REF!,3,0),IF(C106="FDE",VLOOKUP(D106,#REF!,3,0),IF(C106="INFRA",VLOOKUP(D106,#REF!,3,0),""))))))),"")</f>
        <v/>
      </c>
      <c r="G106" s="47"/>
      <c r="H106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06" s="49"/>
      <c r="J106" s="49"/>
      <c r="K106" s="50">
        <f>SUBTOTAL(9,K107:K138)</f>
        <v>1238592.4394000003</v>
      </c>
      <c r="L106" s="51"/>
      <c r="M106" s="52"/>
    </row>
    <row r="107" spans="2:13" s="25" customFormat="1" ht="30" customHeight="1" outlineLevel="1">
      <c r="B107" s="53" t="s">
        <v>227</v>
      </c>
      <c r="C107" s="54"/>
      <c r="D107" s="54" t="s">
        <v>228</v>
      </c>
      <c r="E107" s="55" t="s">
        <v>229</v>
      </c>
      <c r="F107" s="56" t="str">
        <f>IFERROR(UPPER(IF(C107="CPU",VLOOKUP(D107,#REF!,3,0),IF(C107="SINAPI",VLOOKUP(D107,#REF!,3,0),IF(C107="EDIF",VLOOKUP(D107,#REF!,3,0),IF(C107="CDHU",VLOOKUP(D107,#REF!,3,0),IF(C107="FDE",VLOOKUP(D107,#REF!,3,0),IF(C107="INFRA",VLOOKUP(D107,#REF!,3,0),""))))))),"")</f>
        <v/>
      </c>
      <c r="G107" s="57"/>
      <c r="H10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07" s="59"/>
      <c r="J107" s="59"/>
      <c r="K107" s="60">
        <f>SUBTOTAL(9,K108:K118)</f>
        <v>673175.62670000002</v>
      </c>
      <c r="L107" s="51"/>
      <c r="M107" s="52"/>
    </row>
    <row r="108" spans="2:13" s="25" customFormat="1" ht="30" customHeight="1" outlineLevel="1">
      <c r="B108" s="61" t="s">
        <v>230</v>
      </c>
      <c r="C108" s="62" t="s">
        <v>26</v>
      </c>
      <c r="D108" s="63" t="s">
        <v>231</v>
      </c>
      <c r="E108" s="64" t="str">
        <f>IFERROR(UPPER(IF(C108="CPU",VLOOKUP(D108,#REF!,2,0),IF(C108="SINAPI",VLOOKUP(D108,#REF!,2,0),IF(C108="EDIF",VLOOKUP(D108,#REF!,2,0),IF(C108="CDHU",VLOOKUP(D108,#REF!,2,0),IF(C108="FDE",VLOOKUP(D108,'FDE 10-23 '!$A$4:$E$3180,2,0),IF(C108="INFRA",VLOOKUP(D108,#REF!,2,0),""))))))),"")</f>
        <v>EF-01 ESQUADRIA DE FERRO 90X60CM</v>
      </c>
      <c r="F108" s="65" t="str">
        <f>VLOOKUP(D108,'FDE 10-23 '!$A$4:$E$3180,3,0)</f>
        <v>UN</v>
      </c>
      <c r="G108" s="66">
        <f>VLOOKUP(B108,Planilha17!$A$8:$F$1259,6,0)</f>
        <v>2</v>
      </c>
      <c r="H108" s="67">
        <f>VLOOKUP(D108,'FDE 10-23 '!$A$4:$E$3180,5,0)</f>
        <v>772.08</v>
      </c>
      <c r="I108" s="68">
        <f t="shared" ref="I108:I118" si="15">$L$10</f>
        <v>0.23</v>
      </c>
      <c r="J108" s="67">
        <f t="shared" ref="J108:J118" si="16">ROUND(H108*(1+I108),2)</f>
        <v>949.66</v>
      </c>
      <c r="K108" s="69">
        <f t="shared" ref="K108:K118" si="17">SUM(G108*J108)</f>
        <v>1899.32</v>
      </c>
      <c r="L108" s="51"/>
      <c r="M108" s="52"/>
    </row>
    <row r="109" spans="2:13" s="25" customFormat="1" ht="30" customHeight="1" outlineLevel="1">
      <c r="B109" s="61" t="s">
        <v>232</v>
      </c>
      <c r="C109" s="62" t="s">
        <v>26</v>
      </c>
      <c r="D109" s="63" t="s">
        <v>233</v>
      </c>
      <c r="E109" s="64" t="str">
        <f>IFERROR(UPPER(IF(C109="CPU",VLOOKUP(D109,#REF!,2,0),IF(C109="SINAPI",VLOOKUP(D109,#REF!,2,0),IF(C109="EDIF",VLOOKUP(D109,#REF!,2,0),IF(C109="CDHU",VLOOKUP(D109,#REF!,2,0),IF(C109="FDE",VLOOKUP(D109,'FDE 10-23 '!$A$4:$E$3180,2,0),IF(C109="INFRA",VLOOKUP(D109,#REF!,2,0),""))))))),"")</f>
        <v>EF-02 ESQUADRIA DE FERRO 90X120CM</v>
      </c>
      <c r="F109" s="65" t="str">
        <f>VLOOKUP(D109,'FDE 10-23 '!$A$4:$E$3180,3,0)</f>
        <v>UN</v>
      </c>
      <c r="G109" s="66">
        <f>VLOOKUP(B109,Planilha17!$A$8:$F$1259,6,0)</f>
        <v>2</v>
      </c>
      <c r="H109" s="67">
        <f>VLOOKUP(D109,'FDE 10-23 '!$A$4:$E$3180,5,0)</f>
        <v>1525.82</v>
      </c>
      <c r="I109" s="68">
        <f t="shared" si="15"/>
        <v>0.23</v>
      </c>
      <c r="J109" s="67">
        <f t="shared" si="16"/>
        <v>1876.76</v>
      </c>
      <c r="K109" s="69">
        <f t="shared" si="17"/>
        <v>3753.52</v>
      </c>
      <c r="L109" s="51"/>
      <c r="M109" s="52"/>
    </row>
    <row r="110" spans="2:13" s="25" customFormat="1" ht="30" customHeight="1" outlineLevel="1">
      <c r="B110" s="61" t="s">
        <v>234</v>
      </c>
      <c r="C110" s="62" t="s">
        <v>26</v>
      </c>
      <c r="D110" s="63" t="s">
        <v>235</v>
      </c>
      <c r="E110" s="64" t="str">
        <f>IFERROR(UPPER(IF(C110="CPU",VLOOKUP(D110,#REF!,2,0),IF(C110="SINAPI",VLOOKUP(D110,#REF!,2,0),IF(C110="EDIF",VLOOKUP(D110,#REF!,2,0),IF(C110="CDHU",VLOOKUP(D110,#REF!,2,0),IF(C110="FDE",VLOOKUP(D110,'FDE 10-23 '!$A$4:$E$3180,2,0),IF(C110="INFRA",VLOOKUP(D110,#REF!,2,0),""))))))),"")</f>
        <v>EF-03 ESQUADRIA DE FERRO 90X150CM</v>
      </c>
      <c r="F110" s="65" t="str">
        <f>VLOOKUP(D110,'FDE 10-23 '!$A$4:$E$3180,3,0)</f>
        <v>UN</v>
      </c>
      <c r="G110" s="66">
        <f>VLOOKUP(B110,Planilha17!$A$8:$F$1259,6,0)</f>
        <v>9</v>
      </c>
      <c r="H110" s="67">
        <f>VLOOKUP(D110,'FDE 10-23 '!$A$4:$E$3180,5,0)</f>
        <v>1912.63</v>
      </c>
      <c r="I110" s="68">
        <f t="shared" si="15"/>
        <v>0.23</v>
      </c>
      <c r="J110" s="67">
        <f t="shared" si="16"/>
        <v>2352.5300000000002</v>
      </c>
      <c r="K110" s="69">
        <f t="shared" si="17"/>
        <v>21172.77</v>
      </c>
      <c r="L110" s="51"/>
      <c r="M110" s="52"/>
    </row>
    <row r="111" spans="2:13" s="25" customFormat="1" ht="30" customHeight="1" outlineLevel="1">
      <c r="B111" s="61" t="s">
        <v>236</v>
      </c>
      <c r="C111" s="62" t="s">
        <v>26</v>
      </c>
      <c r="D111" s="63" t="s">
        <v>237</v>
      </c>
      <c r="E111" s="64" t="str">
        <f>IFERROR(UPPER(IF(C111="CPU",VLOOKUP(D111,#REF!,2,0),IF(C111="SINAPI",VLOOKUP(D111,#REF!,2,0),IF(C111="EDIF",VLOOKUP(D111,#REF!,2,0),IF(C111="CDHU",VLOOKUP(D111,#REF!,2,0),IF(C111="FDE",VLOOKUP(D111,'FDE 10-23 '!$A$4:$E$3180,2,0),IF(C111="INFRA",VLOOKUP(D111,#REF!,2,0),""))))))),"")</f>
        <v>EF-04 ESQUADRIA DE FERRO 180X60CM</v>
      </c>
      <c r="F111" s="65" t="str">
        <f>VLOOKUP(D111,'FDE 10-23 '!$A$4:$E$3180,3,0)</f>
        <v>UN</v>
      </c>
      <c r="G111" s="66">
        <f>VLOOKUP(B111,Planilha17!$A$8:$F$1259,6,0)</f>
        <v>65</v>
      </c>
      <c r="H111" s="67">
        <f>VLOOKUP(D111,'FDE 10-23 '!$A$4:$E$3180,5,0)</f>
        <v>1537.61</v>
      </c>
      <c r="I111" s="68">
        <f t="shared" si="15"/>
        <v>0.23</v>
      </c>
      <c r="J111" s="67">
        <f t="shared" si="16"/>
        <v>1891.26</v>
      </c>
      <c r="K111" s="69">
        <f t="shared" si="17"/>
        <v>122931.9</v>
      </c>
      <c r="L111" s="51"/>
      <c r="M111" s="52"/>
    </row>
    <row r="112" spans="2:13" s="25" customFormat="1" ht="30" customHeight="1" outlineLevel="1">
      <c r="B112" s="61" t="s">
        <v>238</v>
      </c>
      <c r="C112" s="62" t="s">
        <v>26</v>
      </c>
      <c r="D112" s="63" t="s">
        <v>239</v>
      </c>
      <c r="E112" s="64" t="str">
        <f>IFERROR(UPPER(IF(C112="CPU",VLOOKUP(D112,#REF!,2,0),IF(C112="SINAPI",VLOOKUP(D112,#REF!,2,0),IF(C112="EDIF",VLOOKUP(D112,#REF!,2,0),IF(C112="CDHU",VLOOKUP(D112,#REF!,2,0),IF(C112="FDE",VLOOKUP(D112,'FDE 10-23 '!$A$4:$E$3180,2,0),IF(C112="INFRA",VLOOKUP(D112,#REF!,2,0),""))))))),"")</f>
        <v>EF-05 ESQUADRIA DE FERRO 180X120CM</v>
      </c>
      <c r="F112" s="65" t="str">
        <f>VLOOKUP(D112,'FDE 10-23 '!$A$4:$E$3180,3,0)</f>
        <v>UN</v>
      </c>
      <c r="G112" s="66">
        <f>VLOOKUP(B112,Planilha17!$A$8:$F$1259,6,0)</f>
        <v>7</v>
      </c>
      <c r="H112" s="67">
        <f>VLOOKUP(D112,'FDE 10-23 '!$A$4:$E$3180,5,0)</f>
        <v>3076.4</v>
      </c>
      <c r="I112" s="68">
        <f t="shared" si="15"/>
        <v>0.23</v>
      </c>
      <c r="J112" s="67">
        <f t="shared" si="16"/>
        <v>3783.97</v>
      </c>
      <c r="K112" s="69">
        <f t="shared" si="17"/>
        <v>26487.789999999997</v>
      </c>
      <c r="L112" s="51"/>
      <c r="M112" s="52"/>
    </row>
    <row r="113" spans="2:13" s="25" customFormat="1" ht="30" customHeight="1" outlineLevel="1">
      <c r="B113" s="61" t="s">
        <v>240</v>
      </c>
      <c r="C113" s="62" t="s">
        <v>26</v>
      </c>
      <c r="D113" s="63" t="s">
        <v>241</v>
      </c>
      <c r="E113" s="64" t="str">
        <f>IFERROR(UPPER(IF(C113="CPU",VLOOKUP(D113,#REF!,2,0),IF(C113="SINAPI",VLOOKUP(D113,#REF!,2,0),IF(C113="EDIF",VLOOKUP(D113,#REF!,2,0),IF(C113="CDHU",VLOOKUP(D113,#REF!,2,0),IF(C113="FDE",VLOOKUP(D113,'FDE 10-23 '!$A$4:$E$3180,2,0),IF(C113="INFRA",VLOOKUP(D113,#REF!,2,0),""))))))),"")</f>
        <v>EF-06 ESQUADRIA DE FERRO 180X150CM</v>
      </c>
      <c r="F113" s="65" t="str">
        <f>VLOOKUP(D113,'FDE 10-23 '!$A$4:$E$3180,3,0)</f>
        <v>UN</v>
      </c>
      <c r="G113" s="66">
        <f>VLOOKUP(B113,Planilha17!$A$8:$F$1259,6,0)</f>
        <v>22</v>
      </c>
      <c r="H113" s="67">
        <f>VLOOKUP(D113,'FDE 10-23 '!$A$4:$E$3180,5,0)</f>
        <v>3807.41</v>
      </c>
      <c r="I113" s="68">
        <f t="shared" si="15"/>
        <v>0.23</v>
      </c>
      <c r="J113" s="67">
        <f t="shared" si="16"/>
        <v>4683.1099999999997</v>
      </c>
      <c r="K113" s="69">
        <f t="shared" si="17"/>
        <v>103028.42</v>
      </c>
      <c r="L113" s="51"/>
      <c r="M113" s="52"/>
    </row>
    <row r="114" spans="2:13" s="25" customFormat="1" ht="30" customHeight="1" outlineLevel="1">
      <c r="B114" s="61" t="s">
        <v>242</v>
      </c>
      <c r="C114" s="62" t="s">
        <v>26</v>
      </c>
      <c r="D114" s="63" t="s">
        <v>243</v>
      </c>
      <c r="E114" s="64" t="str">
        <f>IFERROR(UPPER(IF(C114="CPU",VLOOKUP(D114,#REF!,2,0),IF(C114="SINAPI",VLOOKUP(D114,#REF!,2,0),IF(C114="EDIF",VLOOKUP(D114,#REF!,2,0),IF(C114="CDHU",VLOOKUP(D114,#REF!,2,0),IF(C114="FDE",VLOOKUP(D114,'FDE 10-23 '!$A$4:$E$3180,2,0),IF(C114="INFRA",VLOOKUP(D114,#REF!,2,0),""))))))),"")</f>
        <v>EF-17 ESQUADRIA DE FERRO FIXA L=180CM</v>
      </c>
      <c r="F114" s="65" t="str">
        <f>VLOOKUP(D114,'FDE 10-23 '!$A$4:$E$3180,3,0)</f>
        <v>UN</v>
      </c>
      <c r="G114" s="66">
        <f>VLOOKUP(B114,Planilha17!$A$8:$F$1259,6,0)</f>
        <v>15</v>
      </c>
      <c r="H114" s="67">
        <f>VLOOKUP(D114,'FDE 10-23 '!$A$4:$E$3180,5,0)</f>
        <v>4406.57</v>
      </c>
      <c r="I114" s="68">
        <f t="shared" si="15"/>
        <v>0.23</v>
      </c>
      <c r="J114" s="67">
        <f t="shared" si="16"/>
        <v>5420.08</v>
      </c>
      <c r="K114" s="69">
        <f t="shared" si="17"/>
        <v>81301.2</v>
      </c>
      <c r="L114" s="51"/>
      <c r="M114" s="52"/>
    </row>
    <row r="115" spans="2:13" s="25" customFormat="1" ht="30" customHeight="1" outlineLevel="1">
      <c r="B115" s="61" t="s">
        <v>244</v>
      </c>
      <c r="C115" s="62" t="s">
        <v>26</v>
      </c>
      <c r="D115" s="63" t="s">
        <v>245</v>
      </c>
      <c r="E115" s="64" t="str">
        <f>IFERROR(UPPER(IF(C115="CPU",VLOOKUP(D115,#REF!,2,0),IF(C115="SINAPI",VLOOKUP(D115,#REF!,2,0),IF(C115="EDIF",VLOOKUP(D115,#REF!,2,0),IF(C115="CDHU",VLOOKUP(D115,#REF!,2,0),IF(C115="FDE",VLOOKUP(D115,'FDE 10-23 '!$A$4:$E$3180,2,0),IF(C115="INFRA",VLOOKUP(D115,#REF!,2,0),""))))))),"")</f>
        <v>EF-20 ESQUADRIA DE FERRO 180X180CM</v>
      </c>
      <c r="F115" s="65" t="str">
        <f>VLOOKUP(D115,'FDE 10-23 '!$A$4:$E$3180,3,0)</f>
        <v>UN</v>
      </c>
      <c r="G115" s="66">
        <f>VLOOKUP(B115,Planilha17!$A$8:$F$1259,6,0)</f>
        <v>1</v>
      </c>
      <c r="H115" s="67">
        <f>VLOOKUP(D115,'FDE 10-23 '!$A$4:$E$3180,5,0)</f>
        <v>3744.38</v>
      </c>
      <c r="I115" s="68">
        <f t="shared" si="15"/>
        <v>0.23</v>
      </c>
      <c r="J115" s="67">
        <f t="shared" si="16"/>
        <v>4605.59</v>
      </c>
      <c r="K115" s="69">
        <f t="shared" si="17"/>
        <v>4605.59</v>
      </c>
      <c r="L115" s="51"/>
      <c r="M115" s="52"/>
    </row>
    <row r="116" spans="2:13" s="25" customFormat="1" ht="30" customHeight="1" outlineLevel="1">
      <c r="B116" s="61" t="s">
        <v>246</v>
      </c>
      <c r="C116" s="62" t="s">
        <v>26</v>
      </c>
      <c r="D116" s="63" t="s">
        <v>247</v>
      </c>
      <c r="E116" s="64" t="str">
        <f>IFERROR(UPPER(IF(C116="CPU",VLOOKUP(D116,#REF!,2,0),IF(C116="SINAPI",VLOOKUP(D116,#REF!,2,0),IF(C116="EDIF",VLOOKUP(D116,#REF!,2,0),IF(C116="CDHU",VLOOKUP(D116,#REF!,2,0),IF(C116="FDE",VLOOKUP(D116,'FDE 10-23 '!$A$4:$E$3180,2,0),IF(C116="INFRA",VLOOKUP(D116,#REF!,2,0),""))))))),"")</f>
        <v>EF-21 ESQUADRIA DE FERRO 180X210CM</v>
      </c>
      <c r="F116" s="65" t="str">
        <f>VLOOKUP(D116,'FDE 10-23 '!$A$4:$E$3180,3,0)</f>
        <v>UN</v>
      </c>
      <c r="G116" s="66">
        <f>VLOOKUP(B116,Planilha17!$A$8:$F$1259,6,0)</f>
        <v>57</v>
      </c>
      <c r="H116" s="67">
        <f>VLOOKUP(D116,'FDE 10-23 '!$A$4:$E$3180,5,0)</f>
        <v>4346.2299999999996</v>
      </c>
      <c r="I116" s="68">
        <f t="shared" si="15"/>
        <v>0.23</v>
      </c>
      <c r="J116" s="67">
        <f t="shared" si="16"/>
        <v>5345.86</v>
      </c>
      <c r="K116" s="69">
        <f t="shared" si="17"/>
        <v>304714.01999999996</v>
      </c>
      <c r="L116" s="51"/>
      <c r="M116" s="52"/>
    </row>
    <row r="117" spans="2:13" s="25" customFormat="1" ht="30" customHeight="1" outlineLevel="1">
      <c r="B117" s="61" t="s">
        <v>248</v>
      </c>
      <c r="C117" s="62" t="s">
        <v>26</v>
      </c>
      <c r="D117" s="63" t="s">
        <v>249</v>
      </c>
      <c r="E117" s="64" t="str">
        <f>IFERROR(UPPER(IF(C117="CPU",VLOOKUP(D117,#REF!,2,0),IF(C117="SINAPI",VLOOKUP(D117,#REF!,2,0),IF(C117="EDIF",VLOOKUP(D117,#REF!,2,0),IF(C117="CDHU",VLOOKUP(D117,#REF!,2,0),IF(C117="FDE",VLOOKUP(D117,'FDE 10-23 '!$A$4:$E$3180,2,0),IF(C117="INFRA",VLOOKUP(D117,#REF!,2,0),""))))))),"")</f>
        <v>CAIXILHOS DE FERRO -BASCULANTES</v>
      </c>
      <c r="F117" s="65" t="str">
        <f>VLOOKUP(D117,'FDE 10-23 '!$A$4:$E$3180,3,0)</f>
        <v>M2</v>
      </c>
      <c r="G117" s="66">
        <f>VLOOKUP(B117,Planilha17!$A$8:$F$1259,6,0)</f>
        <v>1.89</v>
      </c>
      <c r="H117" s="67">
        <f>VLOOKUP(D117,'FDE 10-23 '!$A$4:$E$3180,5,0)</f>
        <v>1411.41</v>
      </c>
      <c r="I117" s="68">
        <f t="shared" si="15"/>
        <v>0.23</v>
      </c>
      <c r="J117" s="67">
        <f t="shared" si="16"/>
        <v>1736.03</v>
      </c>
      <c r="K117" s="69">
        <f t="shared" si="17"/>
        <v>3281.0966999999996</v>
      </c>
      <c r="L117" s="51"/>
      <c r="M117" s="52"/>
    </row>
    <row r="118" spans="2:13" s="25" customFormat="1" ht="30" customHeight="1" outlineLevel="1">
      <c r="B118" s="61" t="s">
        <v>250</v>
      </c>
      <c r="C118" s="62" t="s">
        <v>26</v>
      </c>
      <c r="D118" s="63" t="s">
        <v>251</v>
      </c>
      <c r="E118" s="64" t="str">
        <f>IFERROR(UPPER(IF(C118="CPU",VLOOKUP(D118,#REF!,2,0),IF(C118="SINAPI",VLOOKUP(D118,#REF!,2,0),IF(C118="EDIF",VLOOKUP(D118,#REF!,2,0),IF(C118="CDHU",VLOOKUP(D118,#REF!,2,0),IF(C118="FDE",VLOOKUP(D118,'FDE 10-23 '!$A$4:$E$3180,2,0),IF(C118="INFRA",VLOOKUP(D118,#REF!,2,0),""))))))),"")</f>
        <v>EF-24 ESQ FERRO VENEZIANA DA CAIXA DO ELEVADOR (0.80X0.40M)</v>
      </c>
      <c r="F118" s="65" t="str">
        <f>VLOOKUP(D118,'FDE 10-23 '!$A$4:$E$3180,3,0)</f>
        <v>UN</v>
      </c>
      <c r="G118" s="66">
        <f>VLOOKUP(B118,Planilha17!$A$8:$F$1259,6,0)</f>
        <v>0</v>
      </c>
      <c r="H118" s="67">
        <f>VLOOKUP(D118,'FDE 10-23 '!$A$4:$E$3180,5,0)</f>
        <v>973.99</v>
      </c>
      <c r="I118" s="68">
        <f t="shared" si="15"/>
        <v>0.23</v>
      </c>
      <c r="J118" s="67">
        <f t="shared" si="16"/>
        <v>1198.01</v>
      </c>
      <c r="K118" s="69">
        <f t="shared" si="17"/>
        <v>0</v>
      </c>
      <c r="L118" s="51"/>
      <c r="M118" s="52"/>
    </row>
    <row r="119" spans="2:13" s="25" customFormat="1" ht="30" customHeight="1" outlineLevel="1">
      <c r="B119" s="53" t="s">
        <v>252</v>
      </c>
      <c r="C119" s="54"/>
      <c r="D119" s="54" t="s">
        <v>253</v>
      </c>
      <c r="E119" s="55" t="s">
        <v>254</v>
      </c>
      <c r="F119" s="56" t="str">
        <f>IFERROR(UPPER(IF(C119="CPU",VLOOKUP(D119,#REF!,3,0),IF(C119="SINAPI",VLOOKUP(D119,#REF!,3,0),IF(C119="EDIF",VLOOKUP(D119,#REF!,3,0),IF(C119="CDHU",VLOOKUP(D119,#REF!,3,0),IF(C119="FDE",VLOOKUP(D119,#REF!,3,0),IF(C119="INFRA",VLOOKUP(D119,#REF!,3,0),""))))))),"")</f>
        <v/>
      </c>
      <c r="G119" s="57"/>
      <c r="H119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19" s="59"/>
      <c r="J119" s="59"/>
      <c r="K119" s="60">
        <f>SUBTOTAL(9,K120:K129)</f>
        <v>237740.96399999998</v>
      </c>
      <c r="L119" s="51"/>
      <c r="M119" s="52"/>
    </row>
    <row r="120" spans="2:13" s="25" customFormat="1" ht="30" customHeight="1" outlineLevel="1">
      <c r="B120" s="61" t="s">
        <v>255</v>
      </c>
      <c r="C120" s="62" t="s">
        <v>26</v>
      </c>
      <c r="D120" s="63" t="s">
        <v>256</v>
      </c>
      <c r="E120" s="64" t="str">
        <f>IFERROR(UPPER(IF(C120="CPU",VLOOKUP(D120,#REF!,2,0),IF(C120="SINAPI",VLOOKUP(D120,#REF!,2,0),IF(C120="EDIF",VLOOKUP(D120,#REF!,2,0),IF(C120="CDHU",VLOOKUP(D120,#REF!,2,0),IF(C120="FDE",VLOOKUP(D120,'FDE 10-23 '!$A$4:$E$3180,2,0),IF(C120="INFRA",VLOOKUP(D120,#REF!,2,0),""))))))),"")</f>
        <v>PF-11 PORTA/JANELA DE FERRO 180X260CM</v>
      </c>
      <c r="F120" s="65" t="str">
        <f>VLOOKUP(D120,'FDE 10-23 '!$A$4:$E$3180,3,0)</f>
        <v>UN</v>
      </c>
      <c r="G120" s="66">
        <f>VLOOKUP(B120,Planilha17!$A$8:$F$1259,6,0)</f>
        <v>4</v>
      </c>
      <c r="H120" s="67">
        <f>VLOOKUP(D120,'FDE 10-23 '!$A$4:$E$3180,5,0)</f>
        <v>9034.44</v>
      </c>
      <c r="I120" s="68">
        <f t="shared" ref="I120:I129" si="18">$L$10</f>
        <v>0.23</v>
      </c>
      <c r="J120" s="67">
        <f t="shared" ref="J120:J129" si="19">ROUND(H120*(1+I120),2)</f>
        <v>11112.36</v>
      </c>
      <c r="K120" s="69">
        <f t="shared" ref="K120:K129" si="20">SUM(G120*J120)</f>
        <v>44449.440000000002</v>
      </c>
      <c r="L120" s="51"/>
      <c r="M120" s="52"/>
    </row>
    <row r="121" spans="2:13" s="25" customFormat="1" ht="30" customHeight="1" outlineLevel="1">
      <c r="B121" s="61" t="s">
        <v>257</v>
      </c>
      <c r="C121" s="62" t="s">
        <v>26</v>
      </c>
      <c r="D121" s="63" t="s">
        <v>258</v>
      </c>
      <c r="E121" s="64" t="str">
        <f>IFERROR(UPPER(IF(C121="CPU",VLOOKUP(D121,#REF!,2,0),IF(C121="SINAPI",VLOOKUP(D121,#REF!,2,0),IF(C121="EDIF",VLOOKUP(D121,#REF!,2,0),IF(C121="CDHU",VLOOKUP(D121,#REF!,2,0),IF(C121="FDE",VLOOKUP(D121,'FDE 10-23 '!$A$4:$E$3180,2,0),IF(C121="INFRA",VLOOKUP(D121,#REF!,2,0),""))))))),"")</f>
        <v>PF-15 PORTA EM CHAPA DE FERRO (L=82 CM)</v>
      </c>
      <c r="F121" s="65" t="str">
        <f>VLOOKUP(D121,'FDE 10-23 '!$A$4:$E$3180,3,0)</f>
        <v>UN</v>
      </c>
      <c r="G121" s="66">
        <f>VLOOKUP(B121,Planilha17!$A$8:$F$1259,6,0)</f>
        <v>6</v>
      </c>
      <c r="H121" s="67">
        <f>VLOOKUP(D121,'FDE 10-23 '!$A$4:$E$3180,5,0)</f>
        <v>4468.3100000000004</v>
      </c>
      <c r="I121" s="68">
        <f t="shared" si="18"/>
        <v>0.23</v>
      </c>
      <c r="J121" s="67">
        <f t="shared" si="19"/>
        <v>5496.02</v>
      </c>
      <c r="K121" s="69">
        <f t="shared" si="20"/>
        <v>32976.120000000003</v>
      </c>
      <c r="L121" s="51"/>
      <c r="M121" s="52"/>
    </row>
    <row r="122" spans="2:13" s="25" customFormat="1" ht="30" customHeight="1" outlineLevel="1">
      <c r="B122" s="61" t="s">
        <v>259</v>
      </c>
      <c r="C122" s="62" t="s">
        <v>26</v>
      </c>
      <c r="D122" s="63" t="s">
        <v>260</v>
      </c>
      <c r="E122" s="64" t="str">
        <f>IFERROR(UPPER(IF(C122="CPU",VLOOKUP(D122,#REF!,2,0),IF(C122="SINAPI",VLOOKUP(D122,#REF!,2,0),IF(C122="EDIF",VLOOKUP(D122,#REF!,2,0),IF(C122="CDHU",VLOOKUP(D122,#REF!,2,0),IF(C122="FDE",VLOOKUP(D122,'FDE 10-23 '!$A$4:$E$3180,2,0),IF(C122="INFRA",VLOOKUP(D122,#REF!,2,0),""))))))),"")</f>
        <v>PF-16 PORTA EM CHAPA DE FERRO (L=92 CM)</v>
      </c>
      <c r="F122" s="65" t="str">
        <f>VLOOKUP(D122,'FDE 10-23 '!$A$4:$E$3180,3,0)</f>
        <v>UN</v>
      </c>
      <c r="G122" s="66">
        <f>VLOOKUP(B122,Planilha17!$A$8:$F$1259,6,0)</f>
        <v>5</v>
      </c>
      <c r="H122" s="67">
        <f>VLOOKUP(D122,'FDE 10-23 '!$A$4:$E$3180,5,0)</f>
        <v>4838.41</v>
      </c>
      <c r="I122" s="68">
        <f t="shared" si="18"/>
        <v>0.23</v>
      </c>
      <c r="J122" s="67">
        <f t="shared" si="19"/>
        <v>5951.24</v>
      </c>
      <c r="K122" s="69">
        <f t="shared" si="20"/>
        <v>29756.199999999997</v>
      </c>
      <c r="L122" s="51"/>
      <c r="M122" s="52"/>
    </row>
    <row r="123" spans="2:13" s="25" customFormat="1" ht="30" customHeight="1" outlineLevel="1">
      <c r="B123" s="61" t="s">
        <v>261</v>
      </c>
      <c r="C123" s="62" t="s">
        <v>26</v>
      </c>
      <c r="D123" s="63" t="s">
        <v>262</v>
      </c>
      <c r="E123" s="64" t="str">
        <f>IFERROR(UPPER(IF(C123="CPU",VLOOKUP(D123,#REF!,2,0),IF(C123="SINAPI",VLOOKUP(D123,#REF!,2,0),IF(C123="EDIF",VLOOKUP(D123,#REF!,2,0),IF(C123="CDHU",VLOOKUP(D123,#REF!,2,0),IF(C123="FDE",VLOOKUP(D123,'FDE 10-23 '!$A$4:$E$3180,2,0),IF(C123="INFRA",VLOOKUP(D123,#REF!,2,0),""))))))),"")</f>
        <v>PF-19 PORTA DE FERRO P/ RESERVATORIO - GALVANIZADA</v>
      </c>
      <c r="F123" s="65" t="str">
        <f>VLOOKUP(D123,'FDE 10-23 '!$A$4:$E$3180,3,0)</f>
        <v>UN</v>
      </c>
      <c r="G123" s="66">
        <f>VLOOKUP(B123,Planilha17!$A$8:$F$1259,6,0)</f>
        <v>4</v>
      </c>
      <c r="H123" s="67">
        <f>VLOOKUP(D123,'FDE 10-23 '!$A$4:$E$3180,5,0)</f>
        <v>3624.85</v>
      </c>
      <c r="I123" s="68">
        <f t="shared" si="18"/>
        <v>0.23</v>
      </c>
      <c r="J123" s="67">
        <f t="shared" si="19"/>
        <v>4458.57</v>
      </c>
      <c r="K123" s="69">
        <f t="shared" si="20"/>
        <v>17834.28</v>
      </c>
      <c r="L123" s="51"/>
      <c r="M123" s="52"/>
    </row>
    <row r="124" spans="2:13" s="25" customFormat="1" ht="30" customHeight="1" outlineLevel="1">
      <c r="B124" s="61" t="s">
        <v>263</v>
      </c>
      <c r="C124" s="62" t="s">
        <v>26</v>
      </c>
      <c r="D124" s="63" t="s">
        <v>264</v>
      </c>
      <c r="E124" s="64" t="str">
        <f>IFERROR(UPPER(IF(C124="CPU",VLOOKUP(D124,#REF!,2,0),IF(C124="SINAPI",VLOOKUP(D124,#REF!,2,0),IF(C124="EDIF",VLOOKUP(D124,#REF!,2,0),IF(C124="CDHU",VLOOKUP(D124,#REF!,2,0),IF(C124="FDE",VLOOKUP(D124,'FDE 10-23 '!$A$4:$E$3180,2,0),IF(C124="INFRA",VLOOKUP(D124,#REF!,2,0),""))))))),"")</f>
        <v>PF-20 PORTA DE FERRO COM BANDEIRA CHAPA PERFURADA  L=180CM</v>
      </c>
      <c r="F124" s="65" t="str">
        <f>VLOOKUP(D124,'FDE 10-23 '!$A$4:$E$3180,3,0)</f>
        <v>UN</v>
      </c>
      <c r="G124" s="66">
        <f>VLOOKUP(B124,Planilha17!$A$8:$F$1259,6,0)</f>
        <v>3</v>
      </c>
      <c r="H124" s="67">
        <f>VLOOKUP(D124,'FDE 10-23 '!$A$4:$E$3180,5,0)</f>
        <v>7952.44</v>
      </c>
      <c r="I124" s="68">
        <f t="shared" si="18"/>
        <v>0.23</v>
      </c>
      <c r="J124" s="67">
        <f t="shared" si="19"/>
        <v>9781.5</v>
      </c>
      <c r="K124" s="69">
        <f t="shared" si="20"/>
        <v>29344.5</v>
      </c>
      <c r="L124" s="51"/>
      <c r="M124" s="52"/>
    </row>
    <row r="125" spans="2:13" s="25" customFormat="1" ht="30" customHeight="1" outlineLevel="1">
      <c r="B125" s="61" t="s">
        <v>265</v>
      </c>
      <c r="C125" s="62" t="s">
        <v>26</v>
      </c>
      <c r="D125" s="63" t="s">
        <v>266</v>
      </c>
      <c r="E125" s="64" t="str">
        <f>IFERROR(UPPER(IF(C125="CPU",VLOOKUP(D125,#REF!,2,0),IF(C125="SINAPI",VLOOKUP(D125,#REF!,2,0),IF(C125="EDIF",VLOOKUP(D125,#REF!,2,0),IF(C125="CDHU",VLOOKUP(D125,#REF!,2,0),IF(C125="FDE",VLOOKUP(D125,'FDE 10-23 '!$A$4:$E$3180,2,0),IF(C125="INFRA",VLOOKUP(D125,#REF!,2,0),""))))))),"")</f>
        <v>PF-27 PORTA DE FERRO 90X215CM</v>
      </c>
      <c r="F125" s="65" t="str">
        <f>VLOOKUP(D125,'FDE 10-23 '!$A$4:$E$3180,3,0)</f>
        <v>UN</v>
      </c>
      <c r="G125" s="66">
        <f>VLOOKUP(B125,Planilha17!$A$8:$F$1259,6,0)</f>
        <v>1</v>
      </c>
      <c r="H125" s="67">
        <f>VLOOKUP(D125,'FDE 10-23 '!$A$4:$E$3180,5,0)</f>
        <v>2806.66</v>
      </c>
      <c r="I125" s="68">
        <f t="shared" si="18"/>
        <v>0.23</v>
      </c>
      <c r="J125" s="67">
        <f t="shared" si="19"/>
        <v>3452.19</v>
      </c>
      <c r="K125" s="69">
        <f t="shared" si="20"/>
        <v>3452.19</v>
      </c>
      <c r="L125" s="51"/>
      <c r="M125" s="52"/>
    </row>
    <row r="126" spans="2:13" s="25" customFormat="1" ht="30" customHeight="1" outlineLevel="1">
      <c r="B126" s="61" t="s">
        <v>267</v>
      </c>
      <c r="C126" s="62" t="s">
        <v>26</v>
      </c>
      <c r="D126" s="63" t="s">
        <v>268</v>
      </c>
      <c r="E126" s="64" t="str">
        <f>IFERROR(UPPER(IF(C126="CPU",VLOOKUP(D126,#REF!,2,0),IF(C126="SINAPI",VLOOKUP(D126,#REF!,2,0),IF(C126="EDIF",VLOOKUP(D126,#REF!,2,0),IF(C126="CDHU",VLOOKUP(D126,#REF!,2,0),IF(C126="FDE",VLOOKUP(D126,'FDE 10-23 '!$A$4:$E$3180,2,0),IF(C126="INFRA",VLOOKUP(D126,#REF!,2,0),""))))))),"")</f>
        <v>PF-30 PORTA EM CHAPA DE AÇO C/VENT.PERM (L=140CM)</v>
      </c>
      <c r="F126" s="65" t="str">
        <f>VLOOKUP(D126,'FDE 10-23 '!$A$4:$E$3180,3,0)</f>
        <v>UN</v>
      </c>
      <c r="G126" s="66">
        <f>VLOOKUP(B126,Planilha17!$A$8:$F$1259,6,0)</f>
        <v>1</v>
      </c>
      <c r="H126" s="67">
        <f>VLOOKUP(D126,'FDE 10-23 '!$A$4:$E$3180,5,0)</f>
        <v>5537.91</v>
      </c>
      <c r="I126" s="68">
        <f t="shared" si="18"/>
        <v>0.23</v>
      </c>
      <c r="J126" s="67">
        <f t="shared" si="19"/>
        <v>6811.63</v>
      </c>
      <c r="K126" s="69">
        <f t="shared" si="20"/>
        <v>6811.63</v>
      </c>
      <c r="L126" s="51"/>
      <c r="M126" s="52"/>
    </row>
    <row r="127" spans="2:13" s="25" customFormat="1" ht="30" customHeight="1" outlineLevel="1">
      <c r="B127" s="61" t="s">
        <v>269</v>
      </c>
      <c r="C127" s="62" t="s">
        <v>26</v>
      </c>
      <c r="D127" s="63" t="s">
        <v>270</v>
      </c>
      <c r="E127" s="64" t="str">
        <f>IFERROR(UPPER(IF(C127="CPU",VLOOKUP(D127,#REF!,2,0),IF(C127="SINAPI",VLOOKUP(D127,#REF!,2,0),IF(C127="EDIF",VLOOKUP(D127,#REF!,2,0),IF(C127="CDHU",VLOOKUP(D127,#REF!,2,0),IF(C127="FDE",VLOOKUP(D127,'FDE 10-23 '!$A$4:$E$3180,2,0),IF(C127="INFRA",VLOOKUP(D127,#REF!,2,0),""))))))),"")</f>
        <v>PF-32 PORTA EM CHAPA DE AÇO 82X210CM C/VENTILAÇÃO</v>
      </c>
      <c r="F127" s="65" t="str">
        <f>VLOOKUP(D127,'FDE 10-23 '!$A$4:$E$3180,3,0)</f>
        <v>UN</v>
      </c>
      <c r="G127" s="66">
        <f>VLOOKUP(B127,Planilha17!$A$8:$F$1259,6,0)</f>
        <v>3</v>
      </c>
      <c r="H127" s="67">
        <f>VLOOKUP(D127,'FDE 10-23 '!$A$4:$E$3180,5,0)</f>
        <v>3339.61</v>
      </c>
      <c r="I127" s="68">
        <f t="shared" si="18"/>
        <v>0.23</v>
      </c>
      <c r="J127" s="67">
        <f t="shared" si="19"/>
        <v>4107.72</v>
      </c>
      <c r="K127" s="69">
        <f t="shared" si="20"/>
        <v>12323.16</v>
      </c>
      <c r="L127" s="51"/>
      <c r="M127" s="52"/>
    </row>
    <row r="128" spans="2:13" s="25" customFormat="1" ht="30" customHeight="1" outlineLevel="1">
      <c r="B128" s="61" t="s">
        <v>271</v>
      </c>
      <c r="C128" s="62" t="s">
        <v>26</v>
      </c>
      <c r="D128" s="63" t="s">
        <v>272</v>
      </c>
      <c r="E128" s="64" t="str">
        <f>IFERROR(UPPER(IF(C128="CPU",VLOOKUP(D128,#REF!,2,0),IF(C128="SINAPI",VLOOKUP(D128,#REF!,2,0),IF(C128="EDIF",VLOOKUP(D128,#REF!,2,0),IF(C128="CDHU",VLOOKUP(D128,#REF!,2,0),IF(C128="FDE",VLOOKUP(D128,'FDE 10-23 '!$A$4:$E$3180,2,0),IF(C128="INFRA",VLOOKUP(D128,#REF!,2,0),""))))))),"")</f>
        <v>PT-39 PORTAO EM GRADIL ELETROFUNDIDO (165X230CM)</v>
      </c>
      <c r="F128" s="65" t="str">
        <f>VLOOKUP(D128,'FDE 10-23 '!$A$4:$E$3180,3,0)</f>
        <v>UN</v>
      </c>
      <c r="G128" s="66">
        <f>VLOOKUP(B128,Planilha17!$A$8:$F$1259,6,0)</f>
        <v>9</v>
      </c>
      <c r="H128" s="67">
        <f>VLOOKUP(D128,'FDE 10-23 '!$A$4:$E$3180,5,0)</f>
        <v>3765.79</v>
      </c>
      <c r="I128" s="68">
        <f t="shared" si="18"/>
        <v>0.23</v>
      </c>
      <c r="J128" s="67">
        <f t="shared" si="19"/>
        <v>4631.92</v>
      </c>
      <c r="K128" s="69">
        <f t="shared" si="20"/>
        <v>41687.279999999999</v>
      </c>
      <c r="L128" s="51"/>
      <c r="M128" s="52"/>
    </row>
    <row r="129" spans="2:13" s="25" customFormat="1" ht="30" customHeight="1" outlineLevel="1">
      <c r="B129" s="61" t="s">
        <v>273</v>
      </c>
      <c r="C129" s="62" t="s">
        <v>26</v>
      </c>
      <c r="D129" s="63" t="s">
        <v>274</v>
      </c>
      <c r="E129" s="64" t="str">
        <f>IFERROR(UPPER(IF(C129="CPU",VLOOKUP(D129,#REF!,2,0),IF(C129="SINAPI",VLOOKUP(D129,#REF!,2,0),IF(C129="EDIF",VLOOKUP(D129,#REF!,2,0),IF(C129="CDHU",VLOOKUP(D129,#REF!,2,0),IF(C129="FDE",VLOOKUP(D129,'FDE 10-23 '!$A$4:$E$3180,2,0),IF(C129="INFRA",VLOOKUP(D129,#REF!,2,0),""))))))),"")</f>
        <v>ME-02 MONTANTE ESTRUTURAL VERTICAL P/ESQUADRIAS EM VÃO DE 7,20M</v>
      </c>
      <c r="F129" s="65" t="str">
        <f>VLOOKUP(D129,'FDE 10-23 '!$A$4:$E$3180,3,0)</f>
        <v>M</v>
      </c>
      <c r="G129" s="66">
        <f>VLOOKUP(B129,Planilha17!$A$8:$F$1259,6,0)</f>
        <v>114.8</v>
      </c>
      <c r="H129" s="67">
        <f>VLOOKUP(D129,'FDE 10-23 '!$A$4:$E$3180,5,0)</f>
        <v>135.31</v>
      </c>
      <c r="I129" s="68">
        <f t="shared" si="18"/>
        <v>0.23</v>
      </c>
      <c r="J129" s="67">
        <f t="shared" si="19"/>
        <v>166.43</v>
      </c>
      <c r="K129" s="69">
        <f t="shared" si="20"/>
        <v>19106.164000000001</v>
      </c>
      <c r="L129" s="51"/>
      <c r="M129" s="52"/>
    </row>
    <row r="130" spans="2:13" s="25" customFormat="1" ht="30" customHeight="1" outlineLevel="1">
      <c r="B130" s="53" t="s">
        <v>275</v>
      </c>
      <c r="C130" s="54"/>
      <c r="D130" s="54" t="s">
        <v>276</v>
      </c>
      <c r="E130" s="55" t="s">
        <v>277</v>
      </c>
      <c r="F130" s="56" t="str">
        <f>IFERROR(UPPER(IF(C130="CPU",VLOOKUP(D130,#REF!,3,0),IF(C130="SINAPI",VLOOKUP(D130,#REF!,3,0),IF(C130="EDIF",VLOOKUP(D130,#REF!,3,0),IF(C130="CDHU",VLOOKUP(D130,#REF!,3,0),IF(C130="FDE",VLOOKUP(D130,#REF!,3,0),IF(C130="INFRA",VLOOKUP(D130,#REF!,3,0),""))))))),"")</f>
        <v/>
      </c>
      <c r="G130" s="57"/>
      <c r="H13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30" s="59"/>
      <c r="J130" s="59"/>
      <c r="K130" s="60">
        <f>SUBTOTAL(9,K131:K138)</f>
        <v>327675.84869999997</v>
      </c>
      <c r="L130" s="51"/>
      <c r="M130" s="52"/>
    </row>
    <row r="131" spans="2:13" s="25" customFormat="1" ht="30" customHeight="1" outlineLevel="1">
      <c r="B131" s="61" t="s">
        <v>278</v>
      </c>
      <c r="C131" s="62" t="s">
        <v>26</v>
      </c>
      <c r="D131" s="63" t="s">
        <v>279</v>
      </c>
      <c r="E131" s="64" t="str">
        <f>IFERROR(UPPER(IF(C131="CPU",VLOOKUP(D131,#REF!,2,0),IF(C131="SINAPI",VLOOKUP(D131,#REF!,2,0),IF(C131="EDIF",VLOOKUP(D131,#REF!,2,0),IF(C131="CDHU",VLOOKUP(D131,#REF!,2,0),IF(C131="FDE",VLOOKUP(D131,'FDE 10-23 '!$A$4:$E$3180,2,0),IF(C131="INFRA",VLOOKUP(D131,#REF!,2,0),""))))))),"")</f>
        <v>TI-01 TAMPA DE INSPECAO - ACO</v>
      </c>
      <c r="F131" s="65" t="str">
        <f>VLOOKUP(D131,'FDE 10-23 '!$A$4:$E$3180,3,0)</f>
        <v>UN</v>
      </c>
      <c r="G131" s="66">
        <f>VLOOKUP(B131,Planilha17!$A$8:$F$1259,6,0)</f>
        <v>3</v>
      </c>
      <c r="H131" s="67">
        <f>VLOOKUP(D131,'FDE 10-23 '!$A$4:$E$3180,5,0)</f>
        <v>942.55</v>
      </c>
      <c r="I131" s="68">
        <f t="shared" ref="I131:I138" si="21">$L$10</f>
        <v>0.23</v>
      </c>
      <c r="J131" s="67">
        <f t="shared" ref="J131:J138" si="22">ROUND(H131*(1+I131),2)</f>
        <v>1159.3399999999999</v>
      </c>
      <c r="K131" s="69">
        <f t="shared" ref="K131:K138" si="23">SUM(G131*J131)</f>
        <v>3478.0199999999995</v>
      </c>
      <c r="L131" s="51"/>
      <c r="M131" s="52"/>
    </row>
    <row r="132" spans="2:13" s="25" customFormat="1" ht="30" customHeight="1" outlineLevel="1">
      <c r="B132" s="61" t="s">
        <v>280</v>
      </c>
      <c r="C132" s="62" t="s">
        <v>26</v>
      </c>
      <c r="D132" s="63" t="s">
        <v>281</v>
      </c>
      <c r="E132" s="64" t="str">
        <f>IFERROR(UPPER(IF(C132="CPU",VLOOKUP(D132,#REF!,2,0),IF(C132="SINAPI",VLOOKUP(D132,#REF!,2,0),IF(C132="EDIF",VLOOKUP(D132,#REF!,2,0),IF(C132="CDHU",VLOOKUP(D132,#REF!,2,0),IF(C132="FDE",VLOOKUP(D132,'FDE 10-23 '!$A$4:$E$3180,2,0),IF(C132="INFRA",VLOOKUP(D132,#REF!,2,0),""))))))),"")</f>
        <v>BP-02 BARRA ANTIPANICO DUPLA</v>
      </c>
      <c r="F132" s="65" t="str">
        <f>VLOOKUP(D132,'FDE 10-23 '!$A$4:$E$3180,3,0)</f>
        <v>UN</v>
      </c>
      <c r="G132" s="66">
        <f>VLOOKUP(B132,Planilha17!$A$8:$F$1259,6,0)</f>
        <v>2</v>
      </c>
      <c r="H132" s="67">
        <f>VLOOKUP(D132,'FDE 10-23 '!$A$4:$E$3180,5,0)</f>
        <v>1818.89</v>
      </c>
      <c r="I132" s="68">
        <f t="shared" si="21"/>
        <v>0.23</v>
      </c>
      <c r="J132" s="67">
        <f t="shared" si="22"/>
        <v>2237.23</v>
      </c>
      <c r="K132" s="69">
        <f t="shared" si="23"/>
        <v>4474.46</v>
      </c>
      <c r="L132" s="51"/>
      <c r="M132" s="52"/>
    </row>
    <row r="133" spans="2:13" s="25" customFormat="1" ht="30" customHeight="1" outlineLevel="1">
      <c r="B133" s="61" t="s">
        <v>282</v>
      </c>
      <c r="C133" s="62" t="s">
        <v>26</v>
      </c>
      <c r="D133" s="63" t="s">
        <v>283</v>
      </c>
      <c r="E133" s="64" t="str">
        <f>IFERROR(UPPER(IF(C133="CPU",VLOOKUP(D133,#REF!,2,0),IF(C133="SINAPI",VLOOKUP(D133,#REF!,2,0),IF(C133="EDIF",VLOOKUP(D133,#REF!,2,0),IF(C133="CDHU",VLOOKUP(D133,#REF!,2,0),IF(C133="FDE",VLOOKUP(D133,'FDE 10-23 '!$A$4:$E$3180,2,0),IF(C133="INFRA",VLOOKUP(D133,#REF!,2,0),""))))))),"")</f>
        <v>TP-03 TELA DE PROTEÇÃO ARAME GALVANIZADO ONDULADO  - REQUADRO DE FERRO</v>
      </c>
      <c r="F133" s="65" t="str">
        <f>VLOOKUP(D133,'FDE 10-23 '!$A$4:$E$3180,3,0)</f>
        <v>M2</v>
      </c>
      <c r="G133" s="66">
        <f>VLOOKUP(B133,Planilha17!$A$8:$F$1259,6,0)</f>
        <v>13.85</v>
      </c>
      <c r="H133" s="67">
        <f>VLOOKUP(D133,'FDE 10-23 '!$A$4:$E$3180,5,0)</f>
        <v>462.9</v>
      </c>
      <c r="I133" s="68">
        <f t="shared" si="21"/>
        <v>0.23</v>
      </c>
      <c r="J133" s="67">
        <f t="shared" si="22"/>
        <v>569.37</v>
      </c>
      <c r="K133" s="69">
        <f t="shared" si="23"/>
        <v>7885.7744999999995</v>
      </c>
      <c r="L133" s="51"/>
      <c r="M133" s="52"/>
    </row>
    <row r="134" spans="2:13" s="25" customFormat="1" ht="30" customHeight="1" outlineLevel="1">
      <c r="B134" s="61" t="s">
        <v>284</v>
      </c>
      <c r="C134" s="62" t="s">
        <v>26</v>
      </c>
      <c r="D134" s="63" t="s">
        <v>285</v>
      </c>
      <c r="E134" s="64" t="str">
        <f>IFERROR(UPPER(IF(C134="CPU",VLOOKUP(D134,#REF!,2,0),IF(C134="SINAPI",VLOOKUP(D134,#REF!,2,0),IF(C134="EDIF",VLOOKUP(D134,#REF!,2,0),IF(C134="CDHU",VLOOKUP(D134,#REF!,2,0),IF(C134="FDE",VLOOKUP(D134,'FDE 10-23 '!$A$4:$E$3180,2,0),IF(C134="INFRA",VLOOKUP(D134,#REF!,2,0),""))))))),"")</f>
        <v>EM-05 ESCADA MARINHEIRO (GALVANIZADA)</v>
      </c>
      <c r="F134" s="65" t="str">
        <f>VLOOKUP(D134,'FDE 10-23 '!$A$4:$E$3180,3,0)</f>
        <v>M</v>
      </c>
      <c r="G134" s="66">
        <f>VLOOKUP(B134,Planilha17!$A$8:$F$1259,6,0)</f>
        <v>8</v>
      </c>
      <c r="H134" s="67">
        <f>VLOOKUP(D134,'FDE 10-23 '!$A$4:$E$3180,5,0)</f>
        <v>811.59</v>
      </c>
      <c r="I134" s="68">
        <f t="shared" si="21"/>
        <v>0.23</v>
      </c>
      <c r="J134" s="67">
        <f t="shared" si="22"/>
        <v>998.26</v>
      </c>
      <c r="K134" s="69">
        <f t="shared" si="23"/>
        <v>7986.08</v>
      </c>
      <c r="L134" s="51"/>
      <c r="M134" s="52"/>
    </row>
    <row r="135" spans="2:13" s="25" customFormat="1" ht="30" customHeight="1" outlineLevel="1">
      <c r="B135" s="61" t="s">
        <v>286</v>
      </c>
      <c r="C135" s="62" t="s">
        <v>26</v>
      </c>
      <c r="D135" s="63" t="s">
        <v>287</v>
      </c>
      <c r="E135" s="64" t="str">
        <f>IFERROR(UPPER(IF(C135="CPU",VLOOKUP(D135,#REF!,2,0),IF(C135="SINAPI",VLOOKUP(D135,#REF!,2,0),IF(C135="EDIF",VLOOKUP(D135,#REF!,2,0),IF(C135="CDHU",VLOOKUP(D135,#REF!,2,0),IF(C135="FDE",VLOOKUP(D135,'FDE 10-23 '!$A$4:$E$3180,2,0),IF(C135="INFRA",VLOOKUP(D135,#REF!,2,0),""))))))),"")</f>
        <v>EM-06 ESCADA DE MARINHEIRO C/GUARDA CORPO GALVANIZADA</v>
      </c>
      <c r="F135" s="65" t="str">
        <f>VLOOKUP(D135,'FDE 10-23 '!$A$4:$E$3180,3,0)</f>
        <v>M</v>
      </c>
      <c r="G135" s="66">
        <f>VLOOKUP(B135,Planilha17!$A$8:$F$1259,6,0)</f>
        <v>18</v>
      </c>
      <c r="H135" s="67">
        <f>VLOOKUP(D135,'FDE 10-23 '!$A$4:$E$3180,5,0)</f>
        <v>1411.13</v>
      </c>
      <c r="I135" s="68">
        <f t="shared" si="21"/>
        <v>0.23</v>
      </c>
      <c r="J135" s="67">
        <f t="shared" si="22"/>
        <v>1735.69</v>
      </c>
      <c r="K135" s="69">
        <f t="shared" si="23"/>
        <v>31242.420000000002</v>
      </c>
      <c r="L135" s="51"/>
      <c r="M135" s="52"/>
    </row>
    <row r="136" spans="2:13" s="25" customFormat="1" ht="30" customHeight="1" outlineLevel="1">
      <c r="B136" s="61" t="s">
        <v>288</v>
      </c>
      <c r="C136" s="62" t="s">
        <v>26</v>
      </c>
      <c r="D136" s="63" t="s">
        <v>289</v>
      </c>
      <c r="E136" s="64" t="str">
        <f>IFERROR(UPPER(IF(C136="CPU",VLOOKUP(D136,#REF!,2,0),IF(C136="SINAPI",VLOOKUP(D136,#REF!,2,0),IF(C136="EDIF",VLOOKUP(D136,#REF!,2,0),IF(C136="CDHU",VLOOKUP(D136,#REF!,2,0),IF(C136="FDE",VLOOKUP(D136,'FDE 10-23 '!$A$4:$E$3180,2,0),IF(C136="INFRA",VLOOKUP(D136,#REF!,2,0),""))))))),"")</f>
        <v>TP-12 TELA DE PROTECAO REMOVIVEL</v>
      </c>
      <c r="F136" s="65" t="str">
        <f>VLOOKUP(D136,'FDE 10-23 '!$A$4:$E$3180,3,0)</f>
        <v>M2</v>
      </c>
      <c r="G136" s="66">
        <f>VLOOKUP(B136,Planilha17!$A$8:$F$1259,6,0)</f>
        <v>86.86</v>
      </c>
      <c r="H136" s="67">
        <f>VLOOKUP(D136,'FDE 10-23 '!$A$4:$E$3180,5,0)</f>
        <v>1075.0999999999999</v>
      </c>
      <c r="I136" s="68">
        <f t="shared" si="21"/>
        <v>0.23</v>
      </c>
      <c r="J136" s="67">
        <f t="shared" si="22"/>
        <v>1322.37</v>
      </c>
      <c r="K136" s="69">
        <f t="shared" si="23"/>
        <v>114861.05819999998</v>
      </c>
      <c r="L136" s="51"/>
      <c r="M136" s="52"/>
    </row>
    <row r="137" spans="2:13" s="25" customFormat="1" ht="30" customHeight="1" outlineLevel="1">
      <c r="B137" s="61" t="s">
        <v>290</v>
      </c>
      <c r="C137" s="62" t="s">
        <v>26</v>
      </c>
      <c r="D137" s="63" t="s">
        <v>291</v>
      </c>
      <c r="E137" s="64" t="str">
        <f>IFERROR(UPPER(IF(C137="CPU",VLOOKUP(D137,#REF!,2,0),IF(C137="SINAPI",VLOOKUP(D137,#REF!,2,0),IF(C137="EDIF",VLOOKUP(D137,#REF!,2,0),IF(C137="CDHU",VLOOKUP(D137,#REF!,2,0),IF(C137="FDE",VLOOKUP(D137,'FDE 10-23 '!$A$4:$E$3180,2,0),IF(C137="INFRA",VLOOKUP(D137,#REF!,2,0),""))))))),"")</f>
        <v>CO-34 CORRIMÃO DUPLO AÇO GALVANIZADO COM PINTURA ESMALTE.</v>
      </c>
      <c r="F137" s="65" t="str">
        <f>VLOOKUP(D137,'FDE 10-23 '!$A$4:$E$3180,3,0)</f>
        <v>M</v>
      </c>
      <c r="G137" s="66">
        <f>VLOOKUP(B137,Planilha17!$A$8:$F$1259,6,0)</f>
        <v>157.69999999999999</v>
      </c>
      <c r="H137" s="67">
        <f>VLOOKUP(D137,'FDE 10-23 '!$A$4:$E$3180,5,0)</f>
        <v>568.98</v>
      </c>
      <c r="I137" s="68">
        <f t="shared" si="21"/>
        <v>0.23</v>
      </c>
      <c r="J137" s="67">
        <f t="shared" si="22"/>
        <v>699.85</v>
      </c>
      <c r="K137" s="69">
        <f t="shared" si="23"/>
        <v>110366.345</v>
      </c>
      <c r="L137" s="51"/>
      <c r="M137" s="52"/>
    </row>
    <row r="138" spans="2:13" s="25" customFormat="1" ht="30" customHeight="1" outlineLevel="1">
      <c r="B138" s="61" t="s">
        <v>292</v>
      </c>
      <c r="C138" s="62" t="s">
        <v>26</v>
      </c>
      <c r="D138" s="63" t="s">
        <v>293</v>
      </c>
      <c r="E138" s="64" t="str">
        <f>IFERROR(UPPER(IF(C138="CPU",VLOOKUP(D138,#REF!,2,0),IF(C138="SINAPI",VLOOKUP(D138,#REF!,2,0),IF(C138="EDIF",VLOOKUP(D138,#REF!,2,0),IF(C138="CDHU",VLOOKUP(D138,#REF!,2,0),IF(C138="FDE",VLOOKUP(D138,'FDE 10-23 '!$A$4:$E$3180,2,0),IF(C138="INFRA",VLOOKUP(D138,#REF!,2,0),""))))))),"")</f>
        <v>CO-40 GUARDA-CORPO TUBULAR H=15CM SOBRE ALVENARIA AÇO GALVANIZADO COM PINTURA ESMALTE</v>
      </c>
      <c r="F138" s="65" t="str">
        <f>VLOOKUP(D138,'FDE 10-23 '!$A$4:$E$3180,3,0)</f>
        <v>M</v>
      </c>
      <c r="G138" s="66">
        <f>VLOOKUP(B138,Planilha17!$A$8:$F$1259,6,0)</f>
        <v>79.099999999999994</v>
      </c>
      <c r="H138" s="67">
        <f>VLOOKUP(D138,'FDE 10-23 '!$A$4:$E$3180,5,0)</f>
        <v>487</v>
      </c>
      <c r="I138" s="68">
        <f t="shared" si="21"/>
        <v>0.23</v>
      </c>
      <c r="J138" s="67">
        <f t="shared" si="22"/>
        <v>599.01</v>
      </c>
      <c r="K138" s="69">
        <f t="shared" si="23"/>
        <v>47381.690999999999</v>
      </c>
      <c r="L138" s="51"/>
      <c r="M138" s="52"/>
    </row>
    <row r="139" spans="2:13" s="25" customFormat="1" ht="30" customHeight="1">
      <c r="B139" s="43">
        <v>7</v>
      </c>
      <c r="C139" s="44"/>
      <c r="D139" s="44" t="s">
        <v>294</v>
      </c>
      <c r="E139" s="45" t="s">
        <v>295</v>
      </c>
      <c r="F139" s="46" t="str">
        <f>IFERROR(UPPER(IF(C139="CPU",VLOOKUP(D139,#REF!,3,0),IF(C139="SINAPI",VLOOKUP(D139,#REF!,3,0),IF(C139="EDIF",VLOOKUP(D139,#REF!,3,0),IF(C139="CDHU",VLOOKUP(D139,#REF!,3,0),IF(C139="FDE",VLOOKUP(D139,#REF!,3,0),IF(C139="INFRA",VLOOKUP(D139,#REF!,3,0),""))))))),"")</f>
        <v/>
      </c>
      <c r="G139" s="47"/>
      <c r="H139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39" s="49"/>
      <c r="J139" s="49"/>
      <c r="K139" s="50">
        <f>SUBTOTAL(9,K140:K151)</f>
        <v>1424016.5486000003</v>
      </c>
      <c r="L139" s="51"/>
      <c r="M139" s="52"/>
    </row>
    <row r="140" spans="2:13" s="25" customFormat="1" ht="30" customHeight="1" outlineLevel="1">
      <c r="B140" s="53" t="s">
        <v>296</v>
      </c>
      <c r="C140" s="54"/>
      <c r="D140" s="54" t="s">
        <v>297</v>
      </c>
      <c r="E140" s="55" t="s">
        <v>298</v>
      </c>
      <c r="F140" s="56" t="str">
        <f>IFERROR(UPPER(IF(C140="CPU",VLOOKUP(D140,#REF!,3,0),IF(C140="SINAPI",VLOOKUP(D140,#REF!,3,0),IF(C140="EDIF",VLOOKUP(D140,#REF!,3,0),IF(C140="CDHU",VLOOKUP(D140,#REF!,3,0),IF(C140="FDE",VLOOKUP(D140,#REF!,3,0),IF(C140="INFRA",VLOOKUP(D140,#REF!,3,0),""))))))),"")</f>
        <v/>
      </c>
      <c r="G140" s="57"/>
      <c r="H14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40" s="59"/>
      <c r="J140" s="59"/>
      <c r="K140" s="60">
        <f>SUBTOTAL(9,K141)</f>
        <v>963200.64</v>
      </c>
      <c r="L140" s="51"/>
      <c r="M140" s="52"/>
    </row>
    <row r="141" spans="2:13" s="25" customFormat="1" ht="30" customHeight="1" outlineLevel="1">
      <c r="B141" s="61" t="s">
        <v>299</v>
      </c>
      <c r="C141" s="62" t="s">
        <v>26</v>
      </c>
      <c r="D141" s="63" t="s">
        <v>300</v>
      </c>
      <c r="E141" s="64" t="str">
        <f>IFERROR(UPPER(IF(C141="CPU",VLOOKUP(D141,#REF!,2,0),IF(C141="SINAPI",VLOOKUP(D141,#REF!,2,0),IF(C141="EDIF",VLOOKUP(D141,#REF!,2,0),IF(C141="CDHU",VLOOKUP(D141,#REF!,2,0),IF(C141="FDE",VLOOKUP(D141,'FDE 10-23 '!$A$4:$E$3180,2,0),IF(C141="INFRA",VLOOKUP(D141,#REF!,2,0),""))))))),"")</f>
        <v>FORNECIMENTO E MONTAGEM DE ESTRUTURA METALICA COM AÇO NAO PATINAVE (ASTM A36/A570)</v>
      </c>
      <c r="F141" s="65" t="str">
        <f>VLOOKUP(D141,'FDE 10-23 '!$A$4:$E$3180,3,0)</f>
        <v>KG</v>
      </c>
      <c r="G141" s="66">
        <f>VLOOKUP(B141,Planilha17!$A$8:$F$1259,6,0)</f>
        <v>29802</v>
      </c>
      <c r="H141" s="67">
        <f>VLOOKUP(D141,'FDE 10-23 '!$A$4:$E$3180,5,0)</f>
        <v>26.28</v>
      </c>
      <c r="I141" s="68">
        <f>$L$10</f>
        <v>0.23</v>
      </c>
      <c r="J141" s="67">
        <f>ROUND(H141*(1+I141),2)</f>
        <v>32.32</v>
      </c>
      <c r="K141" s="69">
        <f>SUM(G141*J141)</f>
        <v>963200.64</v>
      </c>
      <c r="L141" s="51"/>
      <c r="M141" s="52"/>
    </row>
    <row r="142" spans="2:13" s="25" customFormat="1" ht="30" customHeight="1" outlineLevel="1">
      <c r="B142" s="53" t="s">
        <v>301</v>
      </c>
      <c r="C142" s="54"/>
      <c r="D142" s="54" t="s">
        <v>302</v>
      </c>
      <c r="E142" s="55" t="s">
        <v>295</v>
      </c>
      <c r="F142" s="56" t="str">
        <f>IFERROR(UPPER(IF(C142="CPU",VLOOKUP(D142,#REF!,3,0),IF(C142="SINAPI",VLOOKUP(D142,#REF!,3,0),IF(C142="EDIF",VLOOKUP(D142,#REF!,3,0),IF(C142="CDHU",VLOOKUP(D142,#REF!,3,0),IF(C142="FDE",VLOOKUP(D142,#REF!,3,0),IF(C142="INFRA",VLOOKUP(D142,#REF!,3,0),""))))))),"")</f>
        <v/>
      </c>
      <c r="G142" s="57"/>
      <c r="H142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42" s="59"/>
      <c r="J142" s="59"/>
      <c r="K142" s="60">
        <f>SUBTOTAL(9,K143:K145)</f>
        <v>347926.83979999996</v>
      </c>
      <c r="L142" s="51"/>
      <c r="M142" s="52"/>
    </row>
    <row r="143" spans="2:13" s="25" customFormat="1" ht="30" customHeight="1" outlineLevel="1">
      <c r="B143" s="61" t="s">
        <v>303</v>
      </c>
      <c r="C143" s="62" t="s">
        <v>26</v>
      </c>
      <c r="D143" s="63" t="s">
        <v>304</v>
      </c>
      <c r="E143" s="64" t="str">
        <f>IFERROR(UPPER(IF(C143="CPU",VLOOKUP(D143,#REF!,2,0),IF(C143="SINAPI",VLOOKUP(D143,#REF!,2,0),IF(C143="EDIF",VLOOKUP(D143,#REF!,2,0),IF(C143="CDHU",VLOOKUP(D143,#REF!,2,0),IF(C143="FDE",VLOOKUP(D143,'FDE 10-23 '!$A$4:$E$3180,2,0),IF(C143="INFRA",VLOOKUP(D143,#REF!,2,0),""))))))),"")</f>
        <v>TELHA DE POLIESTER (PERFIL DA TRAPEZOIDAL ACO H ATE 40MM) - E=1,2MM</v>
      </c>
      <c r="F143" s="65" t="str">
        <f>VLOOKUP(D143,'FDE 10-23 '!$A$4:$E$3180,3,0)</f>
        <v>M2</v>
      </c>
      <c r="G143" s="66">
        <f>VLOOKUP(B143,Planilha17!$A$8:$F$1259,6,0)</f>
        <v>111.73</v>
      </c>
      <c r="H143" s="67">
        <f>VLOOKUP(D143,'FDE 10-23 '!$A$4:$E$3180,5,0)</f>
        <v>74.930000000000007</v>
      </c>
      <c r="I143" s="68">
        <f>$L$10</f>
        <v>0.23</v>
      </c>
      <c r="J143" s="67">
        <f>ROUND(H143*(1+I143),2)</f>
        <v>92.16</v>
      </c>
      <c r="K143" s="69">
        <f>SUM(G143*J143)</f>
        <v>10297.0368</v>
      </c>
      <c r="L143" s="51"/>
      <c r="M143" s="52"/>
    </row>
    <row r="144" spans="2:13" s="25" customFormat="1" ht="30" customHeight="1" outlineLevel="1">
      <c r="B144" s="61" t="s">
        <v>305</v>
      </c>
      <c r="C144" s="62" t="s">
        <v>26</v>
      </c>
      <c r="D144" s="63" t="s">
        <v>306</v>
      </c>
      <c r="E144" s="70" t="str">
        <f>IFERROR(UPPER(IF(C144="CPU",VLOOKUP(D144,#REF!,2,0),IF(C144="SINAPI",VLOOKUP(D144,#REF!,2,0),IF(C144="EDIF",VLOOKUP(D144,#REF!,2,0),IF(C144="CDHU",VLOOKUP(D144,#REF!,2,0),IF(C144="FDE",VLOOKUP(D144,'FDE 10-23 '!$A$4:$E$3180,2,0),IF(C144="INFRA",VLOOKUP(D144,#REF!,2,0),""))))))),"")</f>
        <v>TELHA GALVALUME / ACO GALV ACABAMENTO.NATURAL TRAPEZ H=40MM
.E=0,65MM</v>
      </c>
      <c r="F144" s="65" t="str">
        <f>VLOOKUP(D144,'FDE 10-23 '!$A$4:$E$3180,3,0)</f>
        <v>M2</v>
      </c>
      <c r="G144" s="66">
        <f>VLOOKUP(B144,Planilha17!$A$8:$F$1259,6,0)</f>
        <v>1496.6</v>
      </c>
      <c r="H144" s="67">
        <f>VLOOKUP(D144,'FDE 10-23 '!$A$4:$E$3180,5,0)</f>
        <v>100.09</v>
      </c>
      <c r="I144" s="68">
        <f>$L$10</f>
        <v>0.23</v>
      </c>
      <c r="J144" s="67">
        <f>ROUND(H144*(1+I144),2)</f>
        <v>123.11</v>
      </c>
      <c r="K144" s="69">
        <f>SUM(G144*J144)</f>
        <v>184246.42599999998</v>
      </c>
      <c r="L144" s="51"/>
      <c r="M144" s="52"/>
    </row>
    <row r="145" spans="2:13" s="25" customFormat="1" ht="30" customHeight="1" outlineLevel="1">
      <c r="B145" s="61" t="s">
        <v>307</v>
      </c>
      <c r="C145" s="62" t="s">
        <v>26</v>
      </c>
      <c r="D145" s="63" t="s">
        <v>308</v>
      </c>
      <c r="E145" s="64" t="str">
        <f>IFERROR(UPPER(IF(C145="CPU",VLOOKUP(D145,#REF!,2,0),IF(C145="SINAPI",VLOOKUP(D145,#REF!,2,0),IF(C145="EDIF",VLOOKUP(D145,#REF!,2,0),IF(C145="CDHU",VLOOKUP(D145,#REF!,2,0),IF(C145="FDE",VLOOKUP(D145,'FDE 10-23 '!$A$4:$E$3180,2,0),IF(C145="INFRA",VLOOKUP(D145,#REF!,2,0),""))))))),"")</f>
        <v>TELHA GALVALUME / ACO GALV SANDUICHE  E=50MM (PUR) / (PIR) SUPERIOR TRAPEZ H=40MM / INFERIOR PLANO  E= 0,50MM  COM PINT FACES APARENTES</v>
      </c>
      <c r="F145" s="65" t="str">
        <f>VLOOKUP(D145,'FDE 10-23 '!$A$4:$E$3180,3,0)</f>
        <v>M2</v>
      </c>
      <c r="G145" s="66">
        <f>VLOOKUP(B145,Planilha17!$A$8:$F$1259,6,0)</f>
        <v>607.82000000000005</v>
      </c>
      <c r="H145" s="67">
        <f>VLOOKUP(D145,'FDE 10-23 '!$A$4:$E$3180,5,0)</f>
        <v>205.16</v>
      </c>
      <c r="I145" s="68">
        <f>$L$10</f>
        <v>0.23</v>
      </c>
      <c r="J145" s="67">
        <f>ROUND(H145*(1+I145),2)</f>
        <v>252.35</v>
      </c>
      <c r="K145" s="69">
        <f>SUM(G145*J145)</f>
        <v>153383.37700000001</v>
      </c>
      <c r="L145" s="51"/>
      <c r="M145" s="52"/>
    </row>
    <row r="146" spans="2:13" s="25" customFormat="1" ht="30" customHeight="1" outlineLevel="1">
      <c r="B146" s="53" t="s">
        <v>309</v>
      </c>
      <c r="C146" s="54"/>
      <c r="D146" s="54" t="s">
        <v>310</v>
      </c>
      <c r="E146" s="55" t="s">
        <v>311</v>
      </c>
      <c r="F146" s="56" t="str">
        <f>IFERROR(UPPER(IF(C146="CPU",VLOOKUP(D146,#REF!,3,0),IF(C146="SINAPI",VLOOKUP(D146,#REF!,3,0),IF(C146="EDIF",VLOOKUP(D146,#REF!,3,0),IF(C146="CDHU",VLOOKUP(D146,#REF!,3,0),IF(C146="FDE",VLOOKUP(D146,#REF!,3,0),IF(C146="INFRA",VLOOKUP(D146,#REF!,3,0),""))))))),"")</f>
        <v/>
      </c>
      <c r="G146" s="57"/>
      <c r="H146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46" s="59"/>
      <c r="J146" s="59"/>
      <c r="K146" s="60">
        <f>SUBTOTAL(9,K147:K148)</f>
        <v>16519.968000000001</v>
      </c>
      <c r="L146" s="51"/>
      <c r="M146" s="52"/>
    </row>
    <row r="147" spans="2:13" s="25" customFormat="1" ht="30" customHeight="1" outlineLevel="1">
      <c r="B147" s="61" t="s">
        <v>312</v>
      </c>
      <c r="C147" s="62" t="s">
        <v>26</v>
      </c>
      <c r="D147" s="63" t="s">
        <v>313</v>
      </c>
      <c r="E147" s="64" t="str">
        <f>IFERROR(UPPER(IF(C147="CPU",VLOOKUP(D147,#REF!,2,0),IF(C147="SINAPI",VLOOKUP(D147,#REF!,2,0),IF(C147="EDIF",VLOOKUP(D147,#REF!,2,0),IF(C147="CDHU",VLOOKUP(D147,#REF!,2,0),IF(C147="FDE",VLOOKUP(D147,'FDE 10-23 '!$A$4:$E$3180,2,0),IF(C147="INFRA",VLOOKUP(D147,#REF!,2,0),""))))))),"")</f>
        <v>CUMEEIRA ACO GALV PINT PO/COIL-COATING PERFIL TRAPEZ H=100MM  E=0,65MM</v>
      </c>
      <c r="F147" s="65" t="str">
        <f>VLOOKUP(D147,'FDE 10-23 '!$A$4:$E$3180,3,0)</f>
        <v>M</v>
      </c>
      <c r="G147" s="66">
        <f>VLOOKUP(B147,Planilha17!$A$8:$F$1259,6,0)</f>
        <v>28.8</v>
      </c>
      <c r="H147" s="67">
        <f>VLOOKUP(D147,'FDE 10-23 '!$A$4:$E$3180,5,0)</f>
        <v>139.13</v>
      </c>
      <c r="I147" s="68">
        <f>$L$10</f>
        <v>0.23</v>
      </c>
      <c r="J147" s="67">
        <f>ROUND(H147*(1+I147),2)</f>
        <v>171.13</v>
      </c>
      <c r="K147" s="69">
        <f>SUM(G147*J147)</f>
        <v>4928.5439999999999</v>
      </c>
      <c r="L147" s="51"/>
      <c r="M147" s="52"/>
    </row>
    <row r="148" spans="2:13" s="25" customFormat="1" ht="30" customHeight="1" outlineLevel="1">
      <c r="B148" s="61" t="s">
        <v>314</v>
      </c>
      <c r="C148" s="62" t="s">
        <v>26</v>
      </c>
      <c r="D148" s="63" t="s">
        <v>315</v>
      </c>
      <c r="E148" s="64" t="str">
        <f>IFERROR(UPPER(IF(C148="CPU",VLOOKUP(D148,#REF!,2,0),IF(C148="SINAPI",VLOOKUP(D148,#REF!,2,0),IF(C148="EDIF",VLOOKUP(D148,#REF!,2,0),IF(C148="CDHU",VLOOKUP(D148,#REF!,2,0),IF(C148="FDE",VLOOKUP(D148,'FDE 10-23 '!$A$4:$E$3180,2,0),IF(C148="INFRA",VLOOKUP(D148,#REF!,2,0),""))))))),"")</f>
        <v>CUMEEIRA DE ACO GALV NATURAL PERFIL TRAP E=0,5MM H=100MM</v>
      </c>
      <c r="F148" s="65" t="str">
        <f>VLOOKUP(D148,'FDE 10-23 '!$A$4:$E$3180,3,0)</f>
        <v>M</v>
      </c>
      <c r="G148" s="66">
        <f>VLOOKUP(B148,Planilha17!$A$8:$F$1259,6,0)</f>
        <v>64.8</v>
      </c>
      <c r="H148" s="67">
        <f>VLOOKUP(D148,'FDE 10-23 '!$A$4:$E$3180,5,0)</f>
        <v>145.43</v>
      </c>
      <c r="I148" s="68">
        <f>$L$10</f>
        <v>0.23</v>
      </c>
      <c r="J148" s="67">
        <f>ROUND(H148*(1+I148),2)</f>
        <v>178.88</v>
      </c>
      <c r="K148" s="69">
        <f>SUM(G148*J148)</f>
        <v>11591.423999999999</v>
      </c>
      <c r="L148" s="51"/>
      <c r="M148" s="52"/>
    </row>
    <row r="149" spans="2:13" s="25" customFormat="1" ht="30" customHeight="1" outlineLevel="1">
      <c r="B149" s="53" t="s">
        <v>316</v>
      </c>
      <c r="C149" s="54"/>
      <c r="D149" s="54" t="s">
        <v>317</v>
      </c>
      <c r="E149" s="55" t="s">
        <v>318</v>
      </c>
      <c r="F149" s="56" t="str">
        <f>IFERROR(UPPER(IF(C149="CPU",VLOOKUP(D149,#REF!,3,0),IF(C149="SINAPI",VLOOKUP(D149,#REF!,3,0),IF(C149="EDIF",VLOOKUP(D149,#REF!,3,0),IF(C149="CDHU",VLOOKUP(D149,#REF!,3,0),IF(C149="FDE",VLOOKUP(D149,#REF!,3,0),IF(C149="INFRA",VLOOKUP(D149,#REF!,3,0),""))))))),"")</f>
        <v/>
      </c>
      <c r="G149" s="57"/>
      <c r="H149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49" s="59"/>
      <c r="J149" s="59"/>
      <c r="K149" s="60">
        <f>SUBTOTAL(9,K150:K151)</f>
        <v>96369.100799999986</v>
      </c>
      <c r="L149" s="51"/>
      <c r="M149" s="52"/>
    </row>
    <row r="150" spans="2:13" s="25" customFormat="1" ht="30" customHeight="1" outlineLevel="1">
      <c r="B150" s="61" t="s">
        <v>319</v>
      </c>
      <c r="C150" s="62" t="s">
        <v>26</v>
      </c>
      <c r="D150" s="63" t="s">
        <v>320</v>
      </c>
      <c r="E150" s="70" t="str">
        <f>IFERROR(UPPER(IF(C150="CPU",VLOOKUP(D150,#REF!,2,0),IF(C150="SINAPI",VLOOKUP(D150,#REF!,2,0),IF(C150="EDIF",VLOOKUP(D150,#REF!,2,0),IF(C150="CDHU",VLOOKUP(D150,#REF!,2,0),IF(C150="FDE",VLOOKUP(D150,'FDE 10-23 '!$A$4:$E$3180,2,0),IF(C150="INFRA",VLOOKUP(D150,#REF!,2,0),""))))))),"")</f>
        <v>FECHAMENTO TELHA PERF GALVALUME / ACO GALV
TRAPEZ H=40MM E=0,65MM PINT PO 2 FACES  Ø FURO ATE 3,17MM AREA PERFURADA ATÉ 40%</v>
      </c>
      <c r="F150" s="65" t="str">
        <f>VLOOKUP(D150,'FDE 10-23 '!$A$4:$E$3180,3,0)</f>
        <v>M2</v>
      </c>
      <c r="G150" s="66">
        <f>VLOOKUP(B150,Planilha17!$A$8:$F$1259,6,0)</f>
        <v>368.2</v>
      </c>
      <c r="H150" s="67">
        <f>VLOOKUP(D150,'FDE 10-23 '!$A$4:$E$3180,5,0)</f>
        <v>136.38999999999999</v>
      </c>
      <c r="I150" s="68">
        <f>$L$10</f>
        <v>0.23</v>
      </c>
      <c r="J150" s="67">
        <f>ROUND(H150*(1+I150),2)</f>
        <v>167.76</v>
      </c>
      <c r="K150" s="69">
        <f>SUM(G150*J150)</f>
        <v>61769.231999999996</v>
      </c>
      <c r="L150" s="51"/>
      <c r="M150" s="52"/>
    </row>
    <row r="151" spans="2:13" s="25" customFormat="1" ht="30" customHeight="1" outlineLevel="1">
      <c r="B151" s="61" t="s">
        <v>321</v>
      </c>
      <c r="C151" s="62" t="s">
        <v>26</v>
      </c>
      <c r="D151" s="63" t="s">
        <v>322</v>
      </c>
      <c r="E151" s="64" t="str">
        <f>IFERROR(UPPER(IF(C151="CPU",VLOOKUP(D151,#REF!,2,0),IF(C151="SINAPI",VLOOKUP(D151,#REF!,2,0),IF(C151="EDIF",VLOOKUP(D151,#REF!,2,0),IF(C151="CDHU",VLOOKUP(D151,#REF!,2,0),IF(C151="FDE",VLOOKUP(D151,'FDE 10-23 '!$A$4:$E$3180,2,0),IF(C151="INFRA",VLOOKUP(D151,#REF!,2,0),""))))))),"")</f>
        <v>FECHAMENTO TELHA PERF GALVALUME / ACO GALV TRAPEZ H=35MM E=0,65MM PINT PO 2 FACES  Ø FURO ATE 3,17MM AREA PERFURADA ATÉ 40%</v>
      </c>
      <c r="F151" s="65" t="str">
        <f>VLOOKUP(D151,'FDE 10-23 '!$A$4:$E$3180,3,0)</f>
        <v>M2</v>
      </c>
      <c r="G151" s="66">
        <f>VLOOKUP(B151,Planilha17!$A$8:$F$1259,6,0)</f>
        <v>221.34</v>
      </c>
      <c r="H151" s="67">
        <f>VLOOKUP(D151,'FDE 10-23 '!$A$4:$E$3180,5,0)</f>
        <v>127.09</v>
      </c>
      <c r="I151" s="68">
        <f>$L$10</f>
        <v>0.23</v>
      </c>
      <c r="J151" s="67">
        <f>ROUND(H151*(1+I151),2)</f>
        <v>156.32</v>
      </c>
      <c r="K151" s="69">
        <f>SUM(G151*J151)</f>
        <v>34599.868799999997</v>
      </c>
      <c r="L151" s="51"/>
      <c r="M151" s="52"/>
    </row>
    <row r="152" spans="2:13" s="25" customFormat="1" ht="30" customHeight="1">
      <c r="B152" s="43">
        <v>8</v>
      </c>
      <c r="C152" s="44"/>
      <c r="D152" s="44" t="s">
        <v>323</v>
      </c>
      <c r="E152" s="45" t="s">
        <v>324</v>
      </c>
      <c r="F152" s="46" t="str">
        <f>IFERROR(UPPER(IF(C152="CPU",VLOOKUP(D152,#REF!,3,0),IF(C152="SINAPI",VLOOKUP(D152,#REF!,3,0),IF(C152="EDIF",VLOOKUP(D152,#REF!,3,0),IF(C152="CDHU",VLOOKUP(D152,#REF!,3,0),IF(C152="FDE",VLOOKUP(D152,#REF!,3,0),IF(C152="INFRA",VLOOKUP(D152,#REF!,3,0),""))))))),"")</f>
        <v/>
      </c>
      <c r="G152" s="47"/>
      <c r="H152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52" s="49"/>
      <c r="J152" s="49"/>
      <c r="K152" s="50">
        <f>SUBTOTAL(9,K153:K269)</f>
        <v>1013136.1065199999</v>
      </c>
      <c r="L152" s="51"/>
      <c r="M152" s="52"/>
    </row>
    <row r="153" spans="2:13" s="25" customFormat="1" ht="30" customHeight="1" outlineLevel="1">
      <c r="B153" s="53" t="s">
        <v>325</v>
      </c>
      <c r="C153" s="54"/>
      <c r="D153" s="54" t="s">
        <v>326</v>
      </c>
      <c r="E153" s="55" t="s">
        <v>327</v>
      </c>
      <c r="F153" s="56" t="str">
        <f>IFERROR(UPPER(IF(C153="CPU",VLOOKUP(D153,#REF!,3,0),IF(C153="SINAPI",VLOOKUP(D153,#REF!,3,0),IF(C153="EDIF",VLOOKUP(D153,#REF!,3,0),IF(C153="CDHU",VLOOKUP(D153,#REF!,3,0),IF(C153="FDE",VLOOKUP(D153,#REF!,3,0),IF(C153="INFRA",VLOOKUP(D153,#REF!,3,0),""))))))),"")</f>
        <v/>
      </c>
      <c r="G153" s="57"/>
      <c r="H153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53" s="59"/>
      <c r="J153" s="59"/>
      <c r="K153" s="60">
        <f>SUBTOTAL(9,K154)</f>
        <v>2041.58</v>
      </c>
      <c r="L153" s="51"/>
      <c r="M153" s="52"/>
    </row>
    <row r="154" spans="2:13" s="25" customFormat="1" ht="30" customHeight="1" outlineLevel="1">
      <c r="B154" s="61" t="s">
        <v>328</v>
      </c>
      <c r="C154" s="62" t="s">
        <v>26</v>
      </c>
      <c r="D154" s="63" t="s">
        <v>329</v>
      </c>
      <c r="E154" s="64" t="str">
        <f>IFERROR(UPPER(IF(C154="CPU",VLOOKUP(D154,#REF!,2,0),IF(C154="SINAPI",VLOOKUP(D154,#REF!,2,0),IF(C154="EDIF",VLOOKUP(D154,#REF!,2,0),IF(C154="CDHU",VLOOKUP(D154,#REF!,2,0),IF(C154="FDE",VLOOKUP(D154,'FDE 10-23 '!$A$4:$E$3180,2,0),IF(C154="INFRA",VLOOKUP(D154,#REF!,2,0),""))))))),"")</f>
        <v>AC-05 ABRIGO E CAVALETE DE 1" COMPLETO 85X65X30CM</v>
      </c>
      <c r="F154" s="65" t="str">
        <f>VLOOKUP(D154,'FDE 10-23 '!$A$4:$E$3180,3,0)</f>
        <v>UN</v>
      </c>
      <c r="G154" s="66">
        <f>VLOOKUP(B154,Planilha17!$A$8:$F$1259,6,0)</f>
        <v>1</v>
      </c>
      <c r="H154" s="67">
        <f>VLOOKUP(D154,'FDE 10-23 '!$A$4:$E$3180,5,0)</f>
        <v>1659.82</v>
      </c>
      <c r="I154" s="68">
        <f>$L$10</f>
        <v>0.23</v>
      </c>
      <c r="J154" s="67">
        <f>ROUND(H154*(1+I154),2)</f>
        <v>2041.58</v>
      </c>
      <c r="K154" s="69">
        <f>SUM(G154*J154)</f>
        <v>2041.58</v>
      </c>
      <c r="L154" s="51"/>
      <c r="M154" s="52"/>
    </row>
    <row r="155" spans="2:13" s="25" customFormat="1" ht="30" customHeight="1" outlineLevel="1">
      <c r="B155" s="53" t="s">
        <v>330</v>
      </c>
      <c r="C155" s="54"/>
      <c r="D155" s="54" t="s">
        <v>331</v>
      </c>
      <c r="E155" s="55" t="s">
        <v>332</v>
      </c>
      <c r="F155" s="56" t="str">
        <f>IFERROR(UPPER(IF(C155="CPU",VLOOKUP(D155,#REF!,3,0),IF(C155="SINAPI",VLOOKUP(D155,#REF!,3,0),IF(C155="EDIF",VLOOKUP(D155,#REF!,3,0),IF(C155="CDHU",VLOOKUP(D155,#REF!,3,0),IF(C155="FDE",VLOOKUP(D155,#REF!,3,0),IF(C155="INFRA",VLOOKUP(D155,#REF!,3,0),""))))))),"")</f>
        <v/>
      </c>
      <c r="G155" s="57"/>
      <c r="H15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55" s="59"/>
      <c r="J155" s="59"/>
      <c r="K155" s="60">
        <f>SUBTOTAL(9,K156:K159)</f>
        <v>39176.562920000004</v>
      </c>
      <c r="L155" s="51"/>
      <c r="M155" s="52"/>
    </row>
    <row r="156" spans="2:13" s="25" customFormat="1" ht="30" customHeight="1" outlineLevel="1">
      <c r="B156" s="61" t="s">
        <v>333</v>
      </c>
      <c r="C156" s="62" t="s">
        <v>26</v>
      </c>
      <c r="D156" s="63" t="s">
        <v>334</v>
      </c>
      <c r="E156" s="64" t="str">
        <f>IFERROR(UPPER(IF(C156="CPU",VLOOKUP(D156,#REF!,2,0),IF(C156="SINAPI",VLOOKUP(D156,#REF!,2,0),IF(C156="EDIF",VLOOKUP(D156,#REF!,2,0),IF(C156="CDHU",VLOOKUP(D156,#REF!,2,0),IF(C156="FDE",VLOOKUP(D156,'FDE 10-23 '!$A$4:$E$3180,2,0),IF(C156="INFRA",VLOOKUP(D156,#REF!,2,0),""))))))),"")</f>
        <v>AG-06 ABRIGO PARA GAS COM 6 CILINDROS DE 45 KG</v>
      </c>
      <c r="F156" s="65" t="str">
        <f>VLOOKUP(D156,'FDE 10-23 '!$A$4:$E$3180,3,0)</f>
        <v>UN</v>
      </c>
      <c r="G156" s="66">
        <f>VLOOKUP(B156,Planilha17!$A$8:$F$1259,6,0)</f>
        <v>0.874</v>
      </c>
      <c r="H156" s="67">
        <f>VLOOKUP(D156,'FDE 10-23 '!$A$4:$E$3180,5,0)</f>
        <v>17832.990000000002</v>
      </c>
      <c r="I156" s="68">
        <f>$L$10</f>
        <v>0.23</v>
      </c>
      <c r="J156" s="67">
        <f>ROUND(H156*(1+I156),2)</f>
        <v>21934.58</v>
      </c>
      <c r="K156" s="69">
        <f>SUM(G156*J156)</f>
        <v>19170.822920000002</v>
      </c>
      <c r="L156" s="51"/>
      <c r="M156" s="52"/>
    </row>
    <row r="157" spans="2:13" s="25" customFormat="1" ht="30" customHeight="1" outlineLevel="1">
      <c r="B157" s="61" t="s">
        <v>335</v>
      </c>
      <c r="C157" s="62" t="s">
        <v>26</v>
      </c>
      <c r="D157" s="63" t="s">
        <v>336</v>
      </c>
      <c r="E157" s="64" t="str">
        <f>IFERROR(UPPER(IF(C157="CPU",VLOOKUP(D157,#REF!,2,0),IF(C157="SINAPI",VLOOKUP(D157,#REF!,2,0),IF(C157="EDIF",VLOOKUP(D157,#REF!,2,0),IF(C157="CDHU",VLOOKUP(D157,#REF!,2,0),IF(C157="FDE",VLOOKUP(D157,'FDE 10-23 '!$A$4:$E$3180,2,0),IF(C157="INFRA",VLOOKUP(D157,#REF!,2,0),""))))))),"")</f>
        <v>PROTECAO ANTICORROSIVA PARA RAMAIS SOB A TERRA</v>
      </c>
      <c r="F157" s="65" t="str">
        <f>VLOOKUP(D157,'FDE 10-23 '!$A$4:$E$3180,3,0)</f>
        <v>M</v>
      </c>
      <c r="G157" s="66">
        <f>VLOOKUP(B157,Planilha17!$A$8:$F$1259,6,0)</f>
        <v>76</v>
      </c>
      <c r="H157" s="67">
        <f>VLOOKUP(D157,'FDE 10-23 '!$A$4:$E$3180,5,0)</f>
        <v>27.62</v>
      </c>
      <c r="I157" s="68">
        <f>$L$10</f>
        <v>0.23</v>
      </c>
      <c r="J157" s="67">
        <f>ROUND(H157*(1+I157),2)</f>
        <v>33.97</v>
      </c>
      <c r="K157" s="69">
        <f>SUM(G157*J157)</f>
        <v>2581.7199999999998</v>
      </c>
      <c r="L157" s="51"/>
      <c r="M157" s="52"/>
    </row>
    <row r="158" spans="2:13" s="25" customFormat="1" ht="30" customHeight="1" outlineLevel="1">
      <c r="B158" s="61" t="s">
        <v>337</v>
      </c>
      <c r="C158" s="62" t="s">
        <v>26</v>
      </c>
      <c r="D158" s="63" t="s">
        <v>338</v>
      </c>
      <c r="E158" s="64" t="str">
        <f>IFERROR(UPPER(IF(C158="CPU",VLOOKUP(D158,#REF!,2,0),IF(C158="SINAPI",VLOOKUP(D158,#REF!,2,0),IF(C158="EDIF",VLOOKUP(D158,#REF!,2,0),IF(C158="CDHU",VLOOKUP(D158,#REF!,2,0),IF(C158="FDE",VLOOKUP(D158,'FDE 10-23 '!$A$4:$E$3180,2,0),IF(C158="INFRA",VLOOKUP(D158,#REF!,2,0),""))))))),"")</f>
        <v>VG-01 VALVULA E REGULADOR DE PRESSAO DE GAS</v>
      </c>
      <c r="F158" s="65" t="str">
        <f>VLOOKUP(D158,'FDE 10-23 '!$A$4:$E$3180,3,0)</f>
        <v>UN</v>
      </c>
      <c r="G158" s="66">
        <f>VLOOKUP(B158,Planilha17!$A$8:$F$1259,6,0)</f>
        <v>1</v>
      </c>
      <c r="H158" s="67">
        <f>VLOOKUP(D158,'FDE 10-23 '!$A$4:$E$3180,5,0)</f>
        <v>728.08</v>
      </c>
      <c r="I158" s="68">
        <f>$L$10</f>
        <v>0.23</v>
      </c>
      <c r="J158" s="67">
        <f>ROUND(H158*(1+I158),2)</f>
        <v>895.54</v>
      </c>
      <c r="K158" s="69">
        <f>SUM(G158*J158)</f>
        <v>895.54</v>
      </c>
      <c r="L158" s="51"/>
      <c r="M158" s="52"/>
    </row>
    <row r="159" spans="2:13" s="25" customFormat="1" ht="30" customHeight="1" outlineLevel="1">
      <c r="B159" s="61" t="s">
        <v>339</v>
      </c>
      <c r="C159" s="62" t="s">
        <v>26</v>
      </c>
      <c r="D159" s="63" t="s">
        <v>340</v>
      </c>
      <c r="E159" s="64" t="str">
        <f>IFERROR(UPPER(IF(C159="CPU",VLOOKUP(D159,#REF!,2,0),IF(C159="SINAPI",VLOOKUP(D159,#REF!,2,0),IF(C159="EDIF",VLOOKUP(D159,#REF!,2,0),IF(C159="CDHU",VLOOKUP(D159,#REF!,2,0),IF(C159="FDE",VLOOKUP(D159,'FDE 10-23 '!$A$4:$E$3180,2,0),IF(C159="INFRA",VLOOKUP(D159,#REF!,2,0),""))))))),"")</f>
        <v>TUBO ACO GALV NBR5590-CLASSE PESADA DN 25MM (1") INCL CONEXOES</v>
      </c>
      <c r="F159" s="65" t="str">
        <f>VLOOKUP(D159,'FDE 10-23 '!$A$4:$E$3180,3,0)</f>
        <v>M</v>
      </c>
      <c r="G159" s="66">
        <f>VLOOKUP(B159,Planilha17!$A$8:$F$1259,6,0)</f>
        <v>76</v>
      </c>
      <c r="H159" s="67">
        <f>VLOOKUP(D159,'FDE 10-23 '!$A$4:$E$3180,5,0)</f>
        <v>176.81</v>
      </c>
      <c r="I159" s="68">
        <f>$L$10</f>
        <v>0.23</v>
      </c>
      <c r="J159" s="67">
        <f>ROUND(H159*(1+I159),2)</f>
        <v>217.48</v>
      </c>
      <c r="K159" s="69">
        <f>SUM(G159*J159)</f>
        <v>16528.48</v>
      </c>
      <c r="L159" s="51"/>
      <c r="M159" s="52"/>
    </row>
    <row r="160" spans="2:13" s="25" customFormat="1" ht="30" customHeight="1" outlineLevel="1">
      <c r="B160" s="53" t="s">
        <v>341</v>
      </c>
      <c r="C160" s="54"/>
      <c r="D160" s="54" t="s">
        <v>342</v>
      </c>
      <c r="E160" s="55" t="s">
        <v>343</v>
      </c>
      <c r="F160" s="56" t="str">
        <f>IFERROR(UPPER(IF(C160="CPU",VLOOKUP(D160,#REF!,3,0),IF(C160="SINAPI",VLOOKUP(D160,#REF!,3,0),IF(C160="EDIF",VLOOKUP(D160,#REF!,3,0),IF(C160="CDHU",VLOOKUP(D160,#REF!,3,0),IF(C160="FDE",VLOOKUP(D160,#REF!,3,0),IF(C160="INFRA",VLOOKUP(D160,#REF!,3,0),""))))))),"")</f>
        <v/>
      </c>
      <c r="G160" s="57"/>
      <c r="H16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60" s="59"/>
      <c r="J160" s="59"/>
      <c r="K160" s="60">
        <f>SUBTOTAL(9,K161:K170)</f>
        <v>43563.295400000003</v>
      </c>
      <c r="L160" s="51"/>
      <c r="M160" s="52"/>
    </row>
    <row r="161" spans="2:13" s="25" customFormat="1" ht="30" customHeight="1" outlineLevel="1">
      <c r="B161" s="61" t="s">
        <v>344</v>
      </c>
      <c r="C161" s="62" t="s">
        <v>26</v>
      </c>
      <c r="D161" s="63" t="s">
        <v>345</v>
      </c>
      <c r="E161" s="64" t="str">
        <f>IFERROR(UPPER(IF(C161="CPU",VLOOKUP(D161,#REF!,2,0),IF(C161="SINAPI",VLOOKUP(D161,#REF!,2,0),IF(C161="EDIF",VLOOKUP(D161,#REF!,2,0),IF(C161="CDHU",VLOOKUP(D161,#REF!,2,0),IF(C161="FDE",VLOOKUP(D161,'FDE 10-23 '!$A$4:$E$3180,2,0),IF(C161="INFRA",VLOOKUP(D161,#REF!,2,0),""))))))),"")</f>
        <v>TUBO ACO GALVANIZ NBR5580-CL MEDIA, DN20MM (3/4") - INCL CONEXOES</v>
      </c>
      <c r="F161" s="65" t="str">
        <f>VLOOKUP(D161,'FDE 10-23 '!$A$4:$E$3180,3,0)</f>
        <v>M</v>
      </c>
      <c r="G161" s="66">
        <f>VLOOKUP(B161,Planilha17!$A$8:$F$1259,6,0)</f>
        <v>20</v>
      </c>
      <c r="H161" s="67">
        <f>VLOOKUP(D161,'FDE 10-23 '!$A$4:$E$3180,5,0)</f>
        <v>76.3</v>
      </c>
      <c r="I161" s="68">
        <f t="shared" ref="I161:I170" si="24">$L$10</f>
        <v>0.23</v>
      </c>
      <c r="J161" s="67">
        <f t="shared" ref="J161:J170" si="25">ROUND(H161*(1+I161),2)</f>
        <v>93.85</v>
      </c>
      <c r="K161" s="69">
        <f t="shared" ref="K161:K170" si="26">SUM(G161*J161)</f>
        <v>1877</v>
      </c>
      <c r="L161" s="51"/>
      <c r="M161" s="52"/>
    </row>
    <row r="162" spans="2:13" s="25" customFormat="1" ht="30" customHeight="1" outlineLevel="1">
      <c r="B162" s="61" t="s">
        <v>346</v>
      </c>
      <c r="C162" s="62" t="s">
        <v>26</v>
      </c>
      <c r="D162" s="63" t="s">
        <v>347</v>
      </c>
      <c r="E162" s="64" t="str">
        <f>IFERROR(UPPER(IF(C162="CPU",VLOOKUP(D162,#REF!,2,0),IF(C162="SINAPI",VLOOKUP(D162,#REF!,2,0),IF(C162="EDIF",VLOOKUP(D162,#REF!,2,0),IF(C162="CDHU",VLOOKUP(D162,#REF!,2,0),IF(C162="FDE",VLOOKUP(D162,'FDE 10-23 '!$A$4:$E$3180,2,0),IF(C162="INFRA",VLOOKUP(D162,#REF!,2,0),""))))))),"")</f>
        <v>TUBO ACO GALVANIZ NBR5580-CL MEDIA, DN25MM (1") - INCL. CONEXOES</v>
      </c>
      <c r="F162" s="65" t="str">
        <f>VLOOKUP(D162,'FDE 10-23 '!$A$4:$E$3180,3,0)</f>
        <v>M</v>
      </c>
      <c r="G162" s="66">
        <f>VLOOKUP(B162,Planilha17!$A$8:$F$1259,6,0)</f>
        <v>5.2</v>
      </c>
      <c r="H162" s="67">
        <f>VLOOKUP(D162,'FDE 10-23 '!$A$4:$E$3180,5,0)</f>
        <v>107.93</v>
      </c>
      <c r="I162" s="68">
        <f t="shared" si="24"/>
        <v>0.23</v>
      </c>
      <c r="J162" s="67">
        <f t="shared" si="25"/>
        <v>132.75</v>
      </c>
      <c r="K162" s="69">
        <f t="shared" si="26"/>
        <v>690.30000000000007</v>
      </c>
      <c r="L162" s="51"/>
      <c r="M162" s="52"/>
    </row>
    <row r="163" spans="2:13" s="25" customFormat="1" ht="30" customHeight="1" outlineLevel="1">
      <c r="B163" s="61" t="s">
        <v>348</v>
      </c>
      <c r="C163" s="62" t="s">
        <v>26</v>
      </c>
      <c r="D163" s="63" t="s">
        <v>349</v>
      </c>
      <c r="E163" s="64" t="str">
        <f>IFERROR(UPPER(IF(C163="CPU",VLOOKUP(D163,#REF!,2,0),IF(C163="SINAPI",VLOOKUP(D163,#REF!,2,0),IF(C163="EDIF",VLOOKUP(D163,#REF!,2,0),IF(C163="CDHU",VLOOKUP(D163,#REF!,2,0),IF(C163="FDE",VLOOKUP(D163,'FDE 10-23 '!$A$4:$E$3180,2,0),IF(C163="INFRA",VLOOKUP(D163,#REF!,2,0),""))))))),"")</f>
        <v>TUBO PVC RÍGIDO JUNTA SOLDÁVEL DE 25 INCL CONEXÕES</v>
      </c>
      <c r="F163" s="65" t="str">
        <f>VLOOKUP(D163,'FDE 10-23 '!$A$4:$E$3180,3,0)</f>
        <v>M</v>
      </c>
      <c r="G163" s="66">
        <f>VLOOKUP(B163,Planilha17!$A$8:$F$1259,6,0)</f>
        <v>220.5</v>
      </c>
      <c r="H163" s="67">
        <f>VLOOKUP(D163,'FDE 10-23 '!$A$4:$E$3180,5,0)</f>
        <v>19.850000000000001</v>
      </c>
      <c r="I163" s="68">
        <f t="shared" si="24"/>
        <v>0.23</v>
      </c>
      <c r="J163" s="67">
        <f t="shared" si="25"/>
        <v>24.42</v>
      </c>
      <c r="K163" s="69">
        <f t="shared" si="26"/>
        <v>5384.6100000000006</v>
      </c>
      <c r="L163" s="51"/>
      <c r="M163" s="52"/>
    </row>
    <row r="164" spans="2:13" s="25" customFormat="1" ht="30" customHeight="1" outlineLevel="1">
      <c r="B164" s="61" t="s">
        <v>350</v>
      </c>
      <c r="C164" s="62" t="s">
        <v>26</v>
      </c>
      <c r="D164" s="63" t="s">
        <v>351</v>
      </c>
      <c r="E164" s="64" t="str">
        <f>IFERROR(UPPER(IF(C164="CPU",VLOOKUP(D164,#REF!,2,0),IF(C164="SINAPI",VLOOKUP(D164,#REF!,2,0),IF(C164="EDIF",VLOOKUP(D164,#REF!,2,0),IF(C164="CDHU",VLOOKUP(D164,#REF!,2,0),IF(C164="FDE",VLOOKUP(D164,'FDE 10-23 '!$A$4:$E$3180,2,0),IF(C164="INFRA",VLOOKUP(D164,#REF!,2,0),""))))))),"")</f>
        <v>TUBO PVC RÍGIDO JUNTA SOLDÁVEL DE 32 INCL CONEXÕES</v>
      </c>
      <c r="F164" s="65" t="str">
        <f>VLOOKUP(D164,'FDE 10-23 '!$A$4:$E$3180,3,0)</f>
        <v>M</v>
      </c>
      <c r="G164" s="66">
        <f>VLOOKUP(B164,Planilha17!$A$8:$F$1259,6,0)</f>
        <v>116.5</v>
      </c>
      <c r="H164" s="67">
        <f>VLOOKUP(D164,'FDE 10-23 '!$A$4:$E$3180,5,0)</f>
        <v>29.03</v>
      </c>
      <c r="I164" s="68">
        <f t="shared" si="24"/>
        <v>0.23</v>
      </c>
      <c r="J164" s="67">
        <f t="shared" si="25"/>
        <v>35.71</v>
      </c>
      <c r="K164" s="69">
        <f t="shared" si="26"/>
        <v>4160.2150000000001</v>
      </c>
      <c r="L164" s="51"/>
      <c r="M164" s="52"/>
    </row>
    <row r="165" spans="2:13" s="25" customFormat="1" ht="30" customHeight="1" outlineLevel="1">
      <c r="B165" s="61" t="s">
        <v>352</v>
      </c>
      <c r="C165" s="62" t="s">
        <v>26</v>
      </c>
      <c r="D165" s="63" t="s">
        <v>353</v>
      </c>
      <c r="E165" s="64" t="str">
        <f>IFERROR(UPPER(IF(C165="CPU",VLOOKUP(D165,#REF!,2,0),IF(C165="SINAPI",VLOOKUP(D165,#REF!,2,0),IF(C165="EDIF",VLOOKUP(D165,#REF!,2,0),IF(C165="CDHU",VLOOKUP(D165,#REF!,2,0),IF(C165="FDE",VLOOKUP(D165,'FDE 10-23 '!$A$4:$E$3180,2,0),IF(C165="INFRA",VLOOKUP(D165,#REF!,2,0),""))))))),"")</f>
        <v>TUBO PVC RÍGIDO JUNTA SOLDÁVEL DE 40 INCL CONEXÕES</v>
      </c>
      <c r="F165" s="65" t="str">
        <f>VLOOKUP(D165,'FDE 10-23 '!$A$4:$E$3180,3,0)</f>
        <v>M</v>
      </c>
      <c r="G165" s="66">
        <f>VLOOKUP(B165,Planilha17!$A$8:$F$1259,6,0)</f>
        <v>44</v>
      </c>
      <c r="H165" s="67">
        <f>VLOOKUP(D165,'FDE 10-23 '!$A$4:$E$3180,5,0)</f>
        <v>38.11</v>
      </c>
      <c r="I165" s="68">
        <f t="shared" si="24"/>
        <v>0.23</v>
      </c>
      <c r="J165" s="67">
        <f t="shared" si="25"/>
        <v>46.88</v>
      </c>
      <c r="K165" s="69">
        <f t="shared" si="26"/>
        <v>2062.7200000000003</v>
      </c>
      <c r="L165" s="51"/>
      <c r="M165" s="52"/>
    </row>
    <row r="166" spans="2:13" s="25" customFormat="1" ht="30" customHeight="1" outlineLevel="1">
      <c r="B166" s="61" t="s">
        <v>354</v>
      </c>
      <c r="C166" s="62" t="s">
        <v>26</v>
      </c>
      <c r="D166" s="63" t="s">
        <v>355</v>
      </c>
      <c r="E166" s="64" t="str">
        <f>IFERROR(UPPER(IF(C166="CPU",VLOOKUP(D166,#REF!,2,0),IF(C166="SINAPI",VLOOKUP(D166,#REF!,2,0),IF(C166="EDIF",VLOOKUP(D166,#REF!,2,0),IF(C166="CDHU",VLOOKUP(D166,#REF!,2,0),IF(C166="FDE",VLOOKUP(D166,'FDE 10-23 '!$A$4:$E$3180,2,0),IF(C166="INFRA",VLOOKUP(D166,#REF!,2,0),""))))))),"")</f>
        <v>TUBO PVC RÍGIDO JUNTA SOLDÁVEL DE 50 INCL CONEXÕES</v>
      </c>
      <c r="F166" s="65" t="str">
        <f>VLOOKUP(D166,'FDE 10-23 '!$A$4:$E$3180,3,0)</f>
        <v>M</v>
      </c>
      <c r="G166" s="66">
        <f>VLOOKUP(B166,Planilha17!$A$8:$F$1259,6,0)</f>
        <v>79.5</v>
      </c>
      <c r="H166" s="67">
        <f>VLOOKUP(D166,'FDE 10-23 '!$A$4:$E$3180,5,0)</f>
        <v>41.48</v>
      </c>
      <c r="I166" s="68">
        <f t="shared" si="24"/>
        <v>0.23</v>
      </c>
      <c r="J166" s="67">
        <f t="shared" si="25"/>
        <v>51.02</v>
      </c>
      <c r="K166" s="69">
        <f t="shared" si="26"/>
        <v>4056.09</v>
      </c>
      <c r="L166" s="51"/>
      <c r="M166" s="52"/>
    </row>
    <row r="167" spans="2:13" s="25" customFormat="1" ht="30" customHeight="1" outlineLevel="1">
      <c r="B167" s="61" t="s">
        <v>356</v>
      </c>
      <c r="C167" s="62" t="s">
        <v>26</v>
      </c>
      <c r="D167" s="63" t="s">
        <v>357</v>
      </c>
      <c r="E167" s="64" t="str">
        <f>IFERROR(UPPER(IF(C167="CPU",VLOOKUP(D167,#REF!,2,0),IF(C167="SINAPI",VLOOKUP(D167,#REF!,2,0),IF(C167="EDIF",VLOOKUP(D167,#REF!,2,0),IF(C167="CDHU",VLOOKUP(D167,#REF!,2,0),IF(C167="FDE",VLOOKUP(D167,'FDE 10-23 '!$A$4:$E$3180,2,0),IF(C167="INFRA",VLOOKUP(D167,#REF!,2,0),""))))))),"")</f>
        <v>TUBO PVC RÍGIDO JUNTA SOLDÁVEL DE 60 INCL CONEXÕES</v>
      </c>
      <c r="F167" s="65" t="str">
        <f>VLOOKUP(D167,'FDE 10-23 '!$A$4:$E$3180,3,0)</f>
        <v>M</v>
      </c>
      <c r="G167" s="66">
        <f>VLOOKUP(B167,Planilha17!$A$8:$F$1259,6,0)</f>
        <v>84.5</v>
      </c>
      <c r="H167" s="67">
        <f>VLOOKUP(D167,'FDE 10-23 '!$A$4:$E$3180,5,0)</f>
        <v>62.69</v>
      </c>
      <c r="I167" s="68">
        <f t="shared" si="24"/>
        <v>0.23</v>
      </c>
      <c r="J167" s="67">
        <f t="shared" si="25"/>
        <v>77.11</v>
      </c>
      <c r="K167" s="69">
        <f t="shared" si="26"/>
        <v>6515.7950000000001</v>
      </c>
      <c r="L167" s="51"/>
      <c r="M167" s="52"/>
    </row>
    <row r="168" spans="2:13" s="25" customFormat="1" ht="30" customHeight="1" outlineLevel="1">
      <c r="B168" s="61" t="s">
        <v>358</v>
      </c>
      <c r="C168" s="62" t="s">
        <v>26</v>
      </c>
      <c r="D168" s="63" t="s">
        <v>359</v>
      </c>
      <c r="E168" s="64" t="str">
        <f>IFERROR(UPPER(IF(C168="CPU",VLOOKUP(D168,#REF!,2,0),IF(C168="SINAPI",VLOOKUP(D168,#REF!,2,0),IF(C168="EDIF",VLOOKUP(D168,#REF!,2,0),IF(C168="CDHU",VLOOKUP(D168,#REF!,2,0),IF(C168="FDE",VLOOKUP(D168,'FDE 10-23 '!$A$4:$E$3180,2,0),IF(C168="INFRA",VLOOKUP(D168,#REF!,2,0),""))))))),"")</f>
        <v>TUBO PVC RÍGIDO JUNTA SOLDÁVEL DE 75 INCL CONEXÕES</v>
      </c>
      <c r="F168" s="65" t="str">
        <f>VLOOKUP(D168,'FDE 10-23 '!$A$4:$E$3180,3,0)</f>
        <v>M</v>
      </c>
      <c r="G168" s="66">
        <f>VLOOKUP(B168,Planilha17!$A$8:$F$1259,6,0)</f>
        <v>42.5</v>
      </c>
      <c r="H168" s="67">
        <f>VLOOKUP(D168,'FDE 10-23 '!$A$4:$E$3180,5,0)</f>
        <v>90.03</v>
      </c>
      <c r="I168" s="68">
        <f t="shared" si="24"/>
        <v>0.23</v>
      </c>
      <c r="J168" s="67">
        <f t="shared" si="25"/>
        <v>110.74</v>
      </c>
      <c r="K168" s="69">
        <f t="shared" si="26"/>
        <v>4706.45</v>
      </c>
      <c r="L168" s="51"/>
      <c r="M168" s="52"/>
    </row>
    <row r="169" spans="2:13" s="25" customFormat="1" ht="30" customHeight="1" outlineLevel="1">
      <c r="B169" s="61" t="s">
        <v>360</v>
      </c>
      <c r="C169" s="62" t="s">
        <v>26</v>
      </c>
      <c r="D169" s="63" t="s">
        <v>361</v>
      </c>
      <c r="E169" s="64" t="str">
        <f>IFERROR(UPPER(IF(C169="CPU",VLOOKUP(D169,#REF!,2,0),IF(C169="SINAPI",VLOOKUP(D169,#REF!,2,0),IF(C169="EDIF",VLOOKUP(D169,#REF!,2,0),IF(C169="CDHU",VLOOKUP(D169,#REF!,2,0),IF(C169="FDE",VLOOKUP(D169,'FDE 10-23 '!$A$4:$E$3180,2,0),IF(C169="INFRA",VLOOKUP(D169,#REF!,2,0),""))))))),"")</f>
        <v>TUBO PVC RÍGIDO JUNTA SOLDÁVEL DE 85 INCL CONEXÕES</v>
      </c>
      <c r="F169" s="65" t="str">
        <f>VLOOKUP(D169,'FDE 10-23 '!$A$4:$E$3180,3,0)</f>
        <v>M</v>
      </c>
      <c r="G169" s="66">
        <f>VLOOKUP(B169,Planilha17!$A$8:$F$1259,6,0)</f>
        <v>37</v>
      </c>
      <c r="H169" s="67">
        <f>VLOOKUP(D169,'FDE 10-23 '!$A$4:$E$3180,5,0)</f>
        <v>105.61</v>
      </c>
      <c r="I169" s="68">
        <f t="shared" si="24"/>
        <v>0.23</v>
      </c>
      <c r="J169" s="67">
        <f t="shared" si="25"/>
        <v>129.9</v>
      </c>
      <c r="K169" s="69">
        <f t="shared" si="26"/>
        <v>4806.3</v>
      </c>
      <c r="L169" s="51"/>
      <c r="M169" s="52"/>
    </row>
    <row r="170" spans="2:13" s="25" customFormat="1" ht="30" customHeight="1" outlineLevel="1">
      <c r="B170" s="61" t="s">
        <v>362</v>
      </c>
      <c r="C170" s="62" t="s">
        <v>26</v>
      </c>
      <c r="D170" s="63" t="s">
        <v>363</v>
      </c>
      <c r="E170" s="64" t="str">
        <f>IFERROR(UPPER(IF(C170="CPU",VLOOKUP(D170,#REF!,2,0),IF(C170="SINAPI",VLOOKUP(D170,#REF!,2,0),IF(C170="EDIF",VLOOKUP(D170,#REF!,2,0),IF(C170="CDHU",VLOOKUP(D170,#REF!,2,0),IF(C170="FDE",VLOOKUP(D170,'FDE 10-23 '!$A$4:$E$3180,2,0),IF(C170="INFRA",VLOOKUP(D170,#REF!,2,0),""))))))),"")</f>
        <v>SERVICOS EM REDE DE AGUA FRIA</v>
      </c>
      <c r="F170" s="65" t="str">
        <f>VLOOKUP(D170,'FDE 10-23 '!$A$4:$E$3180,3,0)</f>
        <v>MV</v>
      </c>
      <c r="G170" s="66">
        <f>VLOOKUP(B170,Planilha17!$A$8:$F$1259,6,0)</f>
        <v>14.19</v>
      </c>
      <c r="H170" s="67">
        <f>VLOOKUP(D170,'FDE 10-23 '!$A$4:$E$3180,5,0)</f>
        <v>533.05999999999995</v>
      </c>
      <c r="I170" s="68">
        <f t="shared" si="24"/>
        <v>0.23</v>
      </c>
      <c r="J170" s="67">
        <f t="shared" si="25"/>
        <v>655.66</v>
      </c>
      <c r="K170" s="69">
        <f t="shared" si="26"/>
        <v>9303.8153999999995</v>
      </c>
      <c r="L170" s="51"/>
      <c r="M170" s="52"/>
    </row>
    <row r="171" spans="2:13" s="25" customFormat="1" ht="30" customHeight="1" outlineLevel="1">
      <c r="B171" s="53" t="s">
        <v>364</v>
      </c>
      <c r="C171" s="54"/>
      <c r="D171" s="54" t="s">
        <v>365</v>
      </c>
      <c r="E171" s="55" t="s">
        <v>366</v>
      </c>
      <c r="F171" s="56" t="str">
        <f>IFERROR(UPPER(IF(C171="CPU",VLOOKUP(D171,#REF!,3,0),IF(C171="SINAPI",VLOOKUP(D171,#REF!,3,0),IF(C171="EDIF",VLOOKUP(D171,#REF!,3,0),IF(C171="CDHU",VLOOKUP(D171,#REF!,3,0),IF(C171="FDE",VLOOKUP(D171,#REF!,3,0),IF(C171="INFRA",VLOOKUP(D171,#REF!,3,0),""))))))),"")</f>
        <v/>
      </c>
      <c r="G171" s="57"/>
      <c r="H171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71" s="59"/>
      <c r="J171" s="59"/>
      <c r="K171" s="60">
        <f>SUBTOTAL(9,K172:K179)</f>
        <v>82680.820000000007</v>
      </c>
      <c r="L171" s="51"/>
      <c r="M171" s="52"/>
    </row>
    <row r="172" spans="2:13" s="25" customFormat="1" ht="30" customHeight="1" outlineLevel="1">
      <c r="B172" s="61" t="s">
        <v>367</v>
      </c>
      <c r="C172" s="62" t="s">
        <v>26</v>
      </c>
      <c r="D172" s="63" t="s">
        <v>368</v>
      </c>
      <c r="E172" s="64" t="str">
        <f>IFERROR(UPPER(IF(C172="CPU",VLOOKUP(D172,#REF!,2,0),IF(C172="SINAPI",VLOOKUP(D172,#REF!,2,0),IF(C172="EDIF",VLOOKUP(D172,#REF!,2,0),IF(C172="CDHU",VLOOKUP(D172,#REF!,2,0),IF(C172="FDE",VLOOKUP(D172,'FDE 10-23 '!$A$4:$E$3180,2,0),IF(C172="INFRA",VLOOKUP(D172,#REF!,2,0),""))))))),"")</f>
        <v>REGISTRO DE GAVETA BRUTO DN 40MM 1 1/2"</v>
      </c>
      <c r="F172" s="65" t="str">
        <f>VLOOKUP(D172,'FDE 10-23 '!$A$4:$E$3180,3,0)</f>
        <v>UN</v>
      </c>
      <c r="G172" s="66">
        <f>VLOOKUP(B172,Planilha17!$A$8:$F$1259,6,0)</f>
        <v>7</v>
      </c>
      <c r="H172" s="67">
        <f>VLOOKUP(D172,'FDE 10-23 '!$A$4:$E$3180,5,0)</f>
        <v>128.87</v>
      </c>
      <c r="I172" s="68">
        <f t="shared" ref="I172:I179" si="27">$L$10</f>
        <v>0.23</v>
      </c>
      <c r="J172" s="67">
        <f t="shared" ref="J172:J179" si="28">ROUND(H172*(1+I172),2)</f>
        <v>158.51</v>
      </c>
      <c r="K172" s="69">
        <f t="shared" ref="K172:K179" si="29">SUM(G172*J172)</f>
        <v>1109.57</v>
      </c>
      <c r="L172" s="51"/>
      <c r="M172" s="52"/>
    </row>
    <row r="173" spans="2:13" s="25" customFormat="1" ht="30" customHeight="1" outlineLevel="1">
      <c r="B173" s="61" t="s">
        <v>369</v>
      </c>
      <c r="C173" s="62" t="s">
        <v>26</v>
      </c>
      <c r="D173" s="63" t="s">
        <v>370</v>
      </c>
      <c r="E173" s="64" t="str">
        <f>IFERROR(UPPER(IF(C173="CPU",VLOOKUP(D173,#REF!,2,0),IF(C173="SINAPI",VLOOKUP(D173,#REF!,2,0),IF(C173="EDIF",VLOOKUP(D173,#REF!,2,0),IF(C173="CDHU",VLOOKUP(D173,#REF!,2,0),IF(C173="FDE",VLOOKUP(D173,'FDE 10-23 '!$A$4:$E$3180,2,0),IF(C173="INFRA",VLOOKUP(D173,#REF!,2,0),""))))))),"")</f>
        <v>REGISTRO DE GAVETA BRUTO DN 50MM (2")</v>
      </c>
      <c r="F173" s="65" t="str">
        <f>VLOOKUP(D173,'FDE 10-23 '!$A$4:$E$3180,3,0)</f>
        <v>UN</v>
      </c>
      <c r="G173" s="66">
        <f>VLOOKUP(B173,Planilha17!$A$8:$F$1259,6,0)</f>
        <v>4</v>
      </c>
      <c r="H173" s="67">
        <f>VLOOKUP(D173,'FDE 10-23 '!$A$4:$E$3180,5,0)</f>
        <v>167.69</v>
      </c>
      <c r="I173" s="68">
        <f t="shared" si="27"/>
        <v>0.23</v>
      </c>
      <c r="J173" s="67">
        <f t="shared" si="28"/>
        <v>206.26</v>
      </c>
      <c r="K173" s="69">
        <f t="shared" si="29"/>
        <v>825.04</v>
      </c>
      <c r="L173" s="51"/>
      <c r="M173" s="52"/>
    </row>
    <row r="174" spans="2:13" s="25" customFormat="1" ht="30" customHeight="1" outlineLevel="1">
      <c r="B174" s="61" t="s">
        <v>371</v>
      </c>
      <c r="C174" s="62" t="s">
        <v>26</v>
      </c>
      <c r="D174" s="63" t="s">
        <v>372</v>
      </c>
      <c r="E174" s="64" t="str">
        <f>IFERROR(UPPER(IF(C174="CPU",VLOOKUP(D174,#REF!,2,0),IF(C174="SINAPI",VLOOKUP(D174,#REF!,2,0),IF(C174="EDIF",VLOOKUP(D174,#REF!,2,0),IF(C174="CDHU",VLOOKUP(D174,#REF!,2,0),IF(C174="FDE",VLOOKUP(D174,'FDE 10-23 '!$A$4:$E$3180,2,0),IF(C174="INFRA",VLOOKUP(D174,#REF!,2,0),""))))))),"")</f>
        <v>REGISTRO DE GAVETA COM CANOPLA CROMADA DN 20MM (3/4")</v>
      </c>
      <c r="F174" s="65" t="str">
        <f>VLOOKUP(D174,'FDE 10-23 '!$A$4:$E$3180,3,0)</f>
        <v>UN</v>
      </c>
      <c r="G174" s="66">
        <f>VLOOKUP(B174,Planilha17!$A$8:$F$1259,6,0)</f>
        <v>23</v>
      </c>
      <c r="H174" s="67">
        <f>VLOOKUP(D174,'FDE 10-23 '!$A$4:$E$3180,5,0)</f>
        <v>106.7</v>
      </c>
      <c r="I174" s="68">
        <f t="shared" si="27"/>
        <v>0.23</v>
      </c>
      <c r="J174" s="67">
        <f t="shared" si="28"/>
        <v>131.24</v>
      </c>
      <c r="K174" s="69">
        <f t="shared" si="29"/>
        <v>3018.5200000000004</v>
      </c>
      <c r="L174" s="51"/>
      <c r="M174" s="52"/>
    </row>
    <row r="175" spans="2:13" s="25" customFormat="1" ht="30" customHeight="1" outlineLevel="1">
      <c r="B175" s="61" t="s">
        <v>373</v>
      </c>
      <c r="C175" s="62" t="s">
        <v>26</v>
      </c>
      <c r="D175" s="63" t="s">
        <v>374</v>
      </c>
      <c r="E175" s="64" t="str">
        <f>IFERROR(UPPER(IF(C175="CPU",VLOOKUP(D175,#REF!,2,0),IF(C175="SINAPI",VLOOKUP(D175,#REF!,2,0),IF(C175="EDIF",VLOOKUP(D175,#REF!,2,0),IF(C175="CDHU",VLOOKUP(D175,#REF!,2,0),IF(C175="FDE",VLOOKUP(D175,'FDE 10-23 '!$A$4:$E$3180,2,0),IF(C175="INFRA",VLOOKUP(D175,#REF!,2,0),""))))))),"")</f>
        <v>REGISTRO DE GAVETA COM CANOPLA CROMADA DN 25MM (1")</v>
      </c>
      <c r="F175" s="65" t="str">
        <f>VLOOKUP(D175,'FDE 10-23 '!$A$4:$E$3180,3,0)</f>
        <v>UN</v>
      </c>
      <c r="G175" s="66">
        <f>VLOOKUP(B175,Planilha17!$A$8:$F$1259,6,0)</f>
        <v>4</v>
      </c>
      <c r="H175" s="67">
        <f>VLOOKUP(D175,'FDE 10-23 '!$A$4:$E$3180,5,0)</f>
        <v>144.38999999999999</v>
      </c>
      <c r="I175" s="68">
        <f t="shared" si="27"/>
        <v>0.23</v>
      </c>
      <c r="J175" s="67">
        <f t="shared" si="28"/>
        <v>177.6</v>
      </c>
      <c r="K175" s="69">
        <f t="shared" si="29"/>
        <v>710.4</v>
      </c>
      <c r="L175" s="51"/>
      <c r="M175" s="52"/>
    </row>
    <row r="176" spans="2:13" s="25" customFormat="1" ht="30" customHeight="1" outlineLevel="1">
      <c r="B176" s="61" t="s">
        <v>375</v>
      </c>
      <c r="C176" s="62" t="s">
        <v>26</v>
      </c>
      <c r="D176" s="63" t="s">
        <v>376</v>
      </c>
      <c r="E176" s="64" t="str">
        <f>IFERROR(UPPER(IF(C176="CPU",VLOOKUP(D176,#REF!,2,0),IF(C176="SINAPI",VLOOKUP(D176,#REF!,2,0),IF(C176="EDIF",VLOOKUP(D176,#REF!,2,0),IF(C176="CDHU",VLOOKUP(D176,#REF!,2,0),IF(C176="FDE",VLOOKUP(D176,'FDE 10-23 '!$A$4:$E$3180,2,0),IF(C176="INFRA",VLOOKUP(D176,#REF!,2,0),""))))))),"")</f>
        <v>REGISTRO DE PRESSAO C/ CANOPLA CROMADA DN 20MM (3/4")</v>
      </c>
      <c r="F176" s="65" t="str">
        <f>VLOOKUP(D176,'FDE 10-23 '!$A$4:$E$3180,3,0)</f>
        <v>UN</v>
      </c>
      <c r="G176" s="66">
        <f>VLOOKUP(B176,Planilha17!$A$8:$F$1259,6,0)</f>
        <v>12</v>
      </c>
      <c r="H176" s="67">
        <f>VLOOKUP(D176,'FDE 10-23 '!$A$4:$E$3180,5,0)</f>
        <v>113.24</v>
      </c>
      <c r="I176" s="68">
        <f t="shared" si="27"/>
        <v>0.23</v>
      </c>
      <c r="J176" s="67">
        <f t="shared" si="28"/>
        <v>139.29</v>
      </c>
      <c r="K176" s="69">
        <f t="shared" si="29"/>
        <v>1671.48</v>
      </c>
      <c r="L176" s="51"/>
      <c r="M176" s="52"/>
    </row>
    <row r="177" spans="2:13" s="25" customFormat="1" ht="30" customHeight="1" outlineLevel="1">
      <c r="B177" s="61" t="s">
        <v>377</v>
      </c>
      <c r="C177" s="62" t="s">
        <v>26</v>
      </c>
      <c r="D177" s="63" t="s">
        <v>378</v>
      </c>
      <c r="E177" s="64" t="str">
        <f>IFERROR(UPPER(IF(C177="CPU",VLOOKUP(D177,#REF!,2,0),IF(C177="SINAPI",VLOOKUP(D177,#REF!,2,0),IF(C177="EDIF",VLOOKUP(D177,#REF!,2,0),IF(C177="CDHU",VLOOKUP(D177,#REF!,2,0),IF(C177="FDE",VLOOKUP(D177,'FDE 10-23 '!$A$4:$E$3180,2,0),IF(C177="INFRA",VLOOKUP(D177,#REF!,2,0),""))))))),"")</f>
        <v>VALVULA DE DESCARGA C/ REG INCORP DN=40MM(1 1/2) ACAB ANTIVANDALISMO</v>
      </c>
      <c r="F177" s="65" t="str">
        <f>VLOOKUP(D177,'FDE 10-23 '!$A$4:$E$3180,3,0)</f>
        <v>UN</v>
      </c>
      <c r="G177" s="66">
        <f>VLOOKUP(B177,Planilha17!$A$8:$F$1259,6,0)</f>
        <v>7</v>
      </c>
      <c r="H177" s="67">
        <f>VLOOKUP(D177,'FDE 10-23 '!$A$4:$E$3180,5,0)</f>
        <v>454.53</v>
      </c>
      <c r="I177" s="68">
        <f t="shared" si="27"/>
        <v>0.23</v>
      </c>
      <c r="J177" s="67">
        <f t="shared" si="28"/>
        <v>559.07000000000005</v>
      </c>
      <c r="K177" s="69">
        <f t="shared" si="29"/>
        <v>3913.4900000000002</v>
      </c>
      <c r="L177" s="51"/>
      <c r="M177" s="52"/>
    </row>
    <row r="178" spans="2:13" s="25" customFormat="1" ht="30" customHeight="1" outlineLevel="1">
      <c r="B178" s="61" t="s">
        <v>379</v>
      </c>
      <c r="C178" s="62" t="s">
        <v>26</v>
      </c>
      <c r="D178" s="63" t="s">
        <v>380</v>
      </c>
      <c r="E178" s="64" t="str">
        <f>IFERROR(UPPER(IF(C178="CPU",VLOOKUP(D178,#REF!,2,0),IF(C178="SINAPI",VLOOKUP(D178,#REF!,2,0),IF(C178="EDIF",VLOOKUP(D178,#REF!,2,0),IF(C178="CDHU",VLOOKUP(D178,#REF!,2,0),IF(C178="FDE",VLOOKUP(D178,'FDE 10-23 '!$A$4:$E$3180,2,0),IF(C178="INFRA",VLOOKUP(D178,#REF!,2,0),""))))))),"")</f>
        <v>VALVULA DE DESCARGA C/ACIONAMENTO DUPLO FLUXO REGISTRO E ACABAM. DN 40MM 1 1/2"</v>
      </c>
      <c r="F178" s="65" t="str">
        <f>VLOOKUP(D178,'FDE 10-23 '!$A$4:$E$3180,3,0)</f>
        <v>UN</v>
      </c>
      <c r="G178" s="66">
        <f>VLOOKUP(B178,Planilha17!$A$8:$F$1259,6,0)</f>
        <v>12</v>
      </c>
      <c r="H178" s="67">
        <f>VLOOKUP(D178,'FDE 10-23 '!$A$4:$E$3180,5,0)</f>
        <v>397.45</v>
      </c>
      <c r="I178" s="68">
        <f t="shared" si="27"/>
        <v>0.23</v>
      </c>
      <c r="J178" s="67">
        <f t="shared" si="28"/>
        <v>488.86</v>
      </c>
      <c r="K178" s="69">
        <f t="shared" si="29"/>
        <v>5866.32</v>
      </c>
      <c r="L178" s="51"/>
      <c r="M178" s="52"/>
    </row>
    <row r="179" spans="2:13" s="25" customFormat="1" ht="30" customHeight="1" outlineLevel="1">
      <c r="B179" s="61" t="s">
        <v>381</v>
      </c>
      <c r="C179" s="62" t="s">
        <v>26</v>
      </c>
      <c r="D179" s="63" t="s">
        <v>382</v>
      </c>
      <c r="E179" s="64" t="str">
        <f>IFERROR(UPPER(IF(C179="CPU",VLOOKUP(D179,#REF!,2,0),IF(C179="SINAPI",VLOOKUP(D179,#REF!,2,0),IF(C179="EDIF",VLOOKUP(D179,#REF!,2,0),IF(C179="CDHU",VLOOKUP(D179,#REF!,2,0),IF(C179="FDE",VLOOKUP(D179,'FDE 10-23 '!$A$4:$E$3180,2,0),IF(C179="INFRA",VLOOKUP(D179,#REF!,2,0),""))))))),"")</f>
        <v>SERVICOS EM REDE DE AGUA FRIA</v>
      </c>
      <c r="F179" s="65" t="str">
        <f>VLOOKUP(D179,'FDE 10-23 '!$A$4:$E$3180,3,0)</f>
        <v>MV</v>
      </c>
      <c r="G179" s="66">
        <f>VLOOKUP(B179,Planilha17!$A$8:$F$1259,6,0)</f>
        <v>100</v>
      </c>
      <c r="H179" s="67">
        <f>VLOOKUP(D179,'FDE 10-23 '!$A$4:$E$3180,5,0)</f>
        <v>533.05999999999995</v>
      </c>
      <c r="I179" s="68">
        <f t="shared" si="27"/>
        <v>0.23</v>
      </c>
      <c r="J179" s="67">
        <f t="shared" si="28"/>
        <v>655.66</v>
      </c>
      <c r="K179" s="69">
        <f t="shared" si="29"/>
        <v>65566</v>
      </c>
      <c r="L179" s="51"/>
      <c r="M179" s="52"/>
    </row>
    <row r="180" spans="2:13" s="25" customFormat="1" ht="30" customHeight="1" outlineLevel="1">
      <c r="B180" s="53" t="s">
        <v>383</v>
      </c>
      <c r="C180" s="54"/>
      <c r="D180" s="54" t="s">
        <v>384</v>
      </c>
      <c r="E180" s="55" t="s">
        <v>385</v>
      </c>
      <c r="F180" s="56" t="str">
        <f>IFERROR(UPPER(IF(C180="CPU",VLOOKUP(D180,#REF!,3,0),IF(C180="SINAPI",VLOOKUP(D180,#REF!,3,0),IF(C180="EDIF",VLOOKUP(D180,#REF!,3,0),IF(C180="CDHU",VLOOKUP(D180,#REF!,3,0),IF(C180="FDE",VLOOKUP(D180,#REF!,3,0),IF(C180="INFRA",VLOOKUP(D180,#REF!,3,0),""))))))),"")</f>
        <v/>
      </c>
      <c r="G180" s="57"/>
      <c r="H18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80" s="59"/>
      <c r="J180" s="59"/>
      <c r="K180" s="60">
        <f>SUBTOTAL(9,K181:K183)</f>
        <v>51256.76</v>
      </c>
      <c r="L180" s="51"/>
      <c r="M180" s="52"/>
    </row>
    <row r="181" spans="2:13" s="25" customFormat="1" ht="30" customHeight="1" outlineLevel="1">
      <c r="B181" s="61" t="s">
        <v>386</v>
      </c>
      <c r="C181" s="62" t="s">
        <v>26</v>
      </c>
      <c r="D181" s="63" t="s">
        <v>387</v>
      </c>
      <c r="E181" s="64" t="str">
        <f>IFERROR(UPPER(IF(C181="CPU",VLOOKUP(D181,#REF!,2,0),IF(C181="SINAPI",VLOOKUP(D181,#REF!,2,0),IF(C181="EDIF",VLOOKUP(D181,#REF!,2,0),IF(C181="CDHU",VLOOKUP(D181,#REF!,2,0),IF(C181="FDE",VLOOKUP(D181,'FDE 10-23 '!$A$4:$E$3180,2,0),IF(C181="INFRA",VLOOKUP(D181,#REF!,2,0),""))))))),"")</f>
        <v>TUBO ACO GALVANIZ NBR5580-CL MEDIA, DN65MM (2 1/2")- INCL CONEXOES</v>
      </c>
      <c r="F181" s="65" t="str">
        <f>VLOOKUP(D181,'FDE 10-23 '!$A$4:$E$3180,3,0)</f>
        <v>M</v>
      </c>
      <c r="G181" s="66">
        <f>VLOOKUP(B181,Planilha17!$A$8:$F$1259,6,0)</f>
        <v>141.5</v>
      </c>
      <c r="H181" s="67">
        <f>VLOOKUP(D181,'FDE 10-23 '!$A$4:$E$3180,5,0)</f>
        <v>237.84</v>
      </c>
      <c r="I181" s="68">
        <f>$L$10</f>
        <v>0.23</v>
      </c>
      <c r="J181" s="67">
        <f>ROUND(H181*(1+I181),2)</f>
        <v>292.54000000000002</v>
      </c>
      <c r="K181" s="69">
        <f>SUM(G181*J181)</f>
        <v>41394.410000000003</v>
      </c>
      <c r="L181" s="51"/>
      <c r="M181" s="52"/>
    </row>
    <row r="182" spans="2:13" s="25" customFormat="1" ht="30" customHeight="1" outlineLevel="1">
      <c r="B182" s="61" t="s">
        <v>388</v>
      </c>
      <c r="C182" s="62" t="s">
        <v>26</v>
      </c>
      <c r="D182" s="63" t="s">
        <v>389</v>
      </c>
      <c r="E182" s="64" t="str">
        <f>IFERROR(UPPER(IF(C182="CPU",VLOOKUP(D182,#REF!,2,0),IF(C182="SINAPI",VLOOKUP(D182,#REF!,2,0),IF(C182="EDIF",VLOOKUP(D182,#REF!,2,0),IF(C182="CDHU",VLOOKUP(D182,#REF!,2,0),IF(C182="FDE",VLOOKUP(D182,'FDE 10-23 '!$A$4:$E$3180,2,0),IF(C182="INFRA",VLOOKUP(D182,#REF!,2,0),""))))))),"")</f>
        <v>TUBO ACO GALVANIZ NBR5580-CL MEDIA, DN80MM (3")-INCL CONEXOES</v>
      </c>
      <c r="F182" s="65" t="str">
        <f>VLOOKUP(D182,'FDE 10-23 '!$A$4:$E$3180,3,0)</f>
        <v>M</v>
      </c>
      <c r="G182" s="66">
        <f>VLOOKUP(B182,Planilha17!$A$8:$F$1259,6,0)</f>
        <v>5</v>
      </c>
      <c r="H182" s="67">
        <f>VLOOKUP(D182,'FDE 10-23 '!$A$4:$E$3180,5,0)</f>
        <v>260.2</v>
      </c>
      <c r="I182" s="68">
        <f>$L$10</f>
        <v>0.23</v>
      </c>
      <c r="J182" s="67">
        <f>ROUND(H182*(1+I182),2)</f>
        <v>320.05</v>
      </c>
      <c r="K182" s="69">
        <f>SUM(G182*J182)</f>
        <v>1600.25</v>
      </c>
      <c r="L182" s="51"/>
      <c r="M182" s="52"/>
    </row>
    <row r="183" spans="2:13" s="25" customFormat="1" ht="30" customHeight="1" outlineLevel="1">
      <c r="B183" s="61" t="s">
        <v>390</v>
      </c>
      <c r="C183" s="62" t="s">
        <v>26</v>
      </c>
      <c r="D183" s="63" t="s">
        <v>391</v>
      </c>
      <c r="E183" s="64" t="str">
        <f>IFERROR(UPPER(IF(C183="CPU",VLOOKUP(D183,#REF!,2,0),IF(C183="SINAPI",VLOOKUP(D183,#REF!,2,0),IF(C183="EDIF",VLOOKUP(D183,#REF!,2,0),IF(C183="CDHU",VLOOKUP(D183,#REF!,2,0),IF(C183="FDE",VLOOKUP(D183,'FDE 10-23 '!$A$4:$E$3180,2,0),IF(C183="INFRA",VLOOKUP(D183,#REF!,2,0),""))))))),"")</f>
        <v>PROTECAO ANTI CORROSIVA PARA RAMAIS SOB A TERRA</v>
      </c>
      <c r="F183" s="65" t="str">
        <f>VLOOKUP(D183,'FDE 10-23 '!$A$4:$E$3180,3,0)</f>
        <v>M</v>
      </c>
      <c r="G183" s="66">
        <f>VLOOKUP(B183,Planilha17!$A$8:$F$1259,6,0)</f>
        <v>129.5</v>
      </c>
      <c r="H183" s="67">
        <f>VLOOKUP(D183,'FDE 10-23 '!$A$4:$E$3180,5,0)</f>
        <v>51.87</v>
      </c>
      <c r="I183" s="68">
        <f>$L$10</f>
        <v>0.23</v>
      </c>
      <c r="J183" s="67">
        <f>ROUND(H183*(1+I183),2)</f>
        <v>63.8</v>
      </c>
      <c r="K183" s="69">
        <f>SUM(G183*J183)</f>
        <v>8262.1</v>
      </c>
      <c r="L183" s="51"/>
      <c r="M183" s="52"/>
    </row>
    <row r="184" spans="2:13" s="25" customFormat="1" ht="30" customHeight="1" outlineLevel="1">
      <c r="B184" s="53" t="s">
        <v>392</v>
      </c>
      <c r="C184" s="54"/>
      <c r="D184" s="54" t="s">
        <v>393</v>
      </c>
      <c r="E184" s="55" t="s">
        <v>394</v>
      </c>
      <c r="F184" s="56" t="str">
        <f>IFERROR(UPPER(IF(C184="CPU",VLOOKUP(D184,#REF!,3,0),IF(C184="SINAPI",VLOOKUP(D184,#REF!,3,0),IF(C184="EDIF",VLOOKUP(D184,#REF!,3,0),IF(C184="CDHU",VLOOKUP(D184,#REF!,3,0),IF(C184="FDE",VLOOKUP(D184,#REF!,3,0),IF(C184="INFRA",VLOOKUP(D184,#REF!,3,0),""))))))),"")</f>
        <v/>
      </c>
      <c r="G184" s="57"/>
      <c r="H184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84" s="59"/>
      <c r="J184" s="59"/>
      <c r="K184" s="60">
        <f>SUBTOTAL(9,K185:K195)</f>
        <v>24567.279999999999</v>
      </c>
      <c r="L184" s="51"/>
      <c r="M184" s="52"/>
    </row>
    <row r="185" spans="2:13" s="25" customFormat="1" ht="30" customHeight="1" outlineLevel="1">
      <c r="B185" s="61" t="s">
        <v>395</v>
      </c>
      <c r="C185" s="62" t="s">
        <v>26</v>
      </c>
      <c r="D185" s="63" t="s">
        <v>396</v>
      </c>
      <c r="E185" s="64" t="str">
        <f>IFERROR(UPPER(IF(C185="CPU",VLOOKUP(D185,#REF!,2,0),IF(C185="SINAPI",VLOOKUP(D185,#REF!,2,0),IF(C185="EDIF",VLOOKUP(D185,#REF!,2,0),IF(C185="CDHU",VLOOKUP(D185,#REF!,2,0),IF(C185="FDE",VLOOKUP(D185,'FDE 10-23 '!$A$4:$E$3180,2,0),IF(C185="INFRA",VLOOKUP(D185,#REF!,2,0),""))))))),"")</f>
        <v>REGISTRO DE GAVETA BRUTO DN 65MM (2 1/2")</v>
      </c>
      <c r="F185" s="65" t="str">
        <f>VLOOKUP(D185,'FDE 10-23 '!$A$4:$E$3180,3,0)</f>
        <v>UN</v>
      </c>
      <c r="G185" s="66">
        <f>VLOOKUP(B185,Planilha17!$A$8:$F$1259,6,0)</f>
        <v>1</v>
      </c>
      <c r="H185" s="67">
        <f>VLOOKUP(D185,'FDE 10-23 '!$A$4:$E$3180,5,0)</f>
        <v>394.38</v>
      </c>
      <c r="I185" s="68">
        <f t="shared" ref="I185:I195" si="30">$L$10</f>
        <v>0.23</v>
      </c>
      <c r="J185" s="67">
        <f t="shared" ref="J185:J195" si="31">ROUND(H185*(1+I185),2)</f>
        <v>485.09</v>
      </c>
      <c r="K185" s="69">
        <f t="shared" ref="K185:K195" si="32">SUM(G185*J185)</f>
        <v>485.09</v>
      </c>
      <c r="L185" s="51"/>
      <c r="M185" s="52"/>
    </row>
    <row r="186" spans="2:13" s="25" customFormat="1" ht="30" customHeight="1" outlineLevel="1">
      <c r="B186" s="61" t="s">
        <v>397</v>
      </c>
      <c r="C186" s="62" t="s">
        <v>26</v>
      </c>
      <c r="D186" s="63" t="s">
        <v>398</v>
      </c>
      <c r="E186" s="64" t="str">
        <f>IFERROR(UPPER(IF(C186="CPU",VLOOKUP(D186,#REF!,2,0),IF(C186="SINAPI",VLOOKUP(D186,#REF!,2,0),IF(C186="EDIF",VLOOKUP(D186,#REF!,2,0),IF(C186="CDHU",VLOOKUP(D186,#REF!,2,0),IF(C186="FDE",VLOOKUP(D186,'FDE 10-23 '!$A$4:$E$3180,2,0),IF(C186="INFRA",VLOOKUP(D186,#REF!,2,0),""))))))),"")</f>
        <v>REGISTRO DE GAVETA BRUTO DN 80MM (3")</v>
      </c>
      <c r="F186" s="65" t="str">
        <f>VLOOKUP(D186,'FDE 10-23 '!$A$4:$E$3180,3,0)</f>
        <v>UN</v>
      </c>
      <c r="G186" s="66">
        <f>VLOOKUP(B186,Planilha17!$A$8:$F$1259,6,0)</f>
        <v>2</v>
      </c>
      <c r="H186" s="67">
        <f>VLOOKUP(D186,'FDE 10-23 '!$A$4:$E$3180,5,0)</f>
        <v>597.03</v>
      </c>
      <c r="I186" s="68">
        <f t="shared" si="30"/>
        <v>0.23</v>
      </c>
      <c r="J186" s="67">
        <f t="shared" si="31"/>
        <v>734.35</v>
      </c>
      <c r="K186" s="69">
        <f t="shared" si="32"/>
        <v>1468.7</v>
      </c>
      <c r="L186" s="51"/>
      <c r="M186" s="52"/>
    </row>
    <row r="187" spans="2:13" s="25" customFormat="1" ht="30" customHeight="1" outlineLevel="1">
      <c r="B187" s="61" t="s">
        <v>399</v>
      </c>
      <c r="C187" s="62" t="s">
        <v>26</v>
      </c>
      <c r="D187" s="63" t="s">
        <v>400</v>
      </c>
      <c r="E187" s="64" t="str">
        <f>IFERROR(UPPER(IF(C187="CPU",VLOOKUP(D187,#REF!,2,0),IF(C187="SINAPI",VLOOKUP(D187,#REF!,2,0),IF(C187="EDIF",VLOOKUP(D187,#REF!,2,0),IF(C187="CDHU",VLOOKUP(D187,#REF!,2,0),IF(C187="FDE",VLOOKUP(D187,'FDE 10-23 '!$A$4:$E$3180,2,0),IF(C187="INFRA",VLOOKUP(D187,#REF!,2,0),""))))))),"")</f>
        <v>REGISTRO DE RECALQUE NO PASSEIO (RR-01)</v>
      </c>
      <c r="F187" s="65" t="str">
        <f>VLOOKUP(D187,'FDE 10-23 '!$A$4:$E$3180,3,0)</f>
        <v>UN</v>
      </c>
      <c r="G187" s="66">
        <f>VLOOKUP(B187,Planilha17!$A$8:$F$1259,6,0)</f>
        <v>1</v>
      </c>
      <c r="H187" s="67">
        <f>VLOOKUP(D187,'FDE 10-23 '!$A$4:$E$3180,5,0)</f>
        <v>794.72</v>
      </c>
      <c r="I187" s="68">
        <f t="shared" si="30"/>
        <v>0.23</v>
      </c>
      <c r="J187" s="67">
        <f t="shared" si="31"/>
        <v>977.51</v>
      </c>
      <c r="K187" s="69">
        <f t="shared" si="32"/>
        <v>977.51</v>
      </c>
      <c r="L187" s="51"/>
      <c r="M187" s="52"/>
    </row>
    <row r="188" spans="2:13" s="25" customFormat="1" ht="30" customHeight="1" outlineLevel="1">
      <c r="B188" s="61" t="s">
        <v>401</v>
      </c>
      <c r="C188" s="62" t="s">
        <v>26</v>
      </c>
      <c r="D188" s="63" t="s">
        <v>402</v>
      </c>
      <c r="E188" s="64" t="str">
        <f>IFERROR(UPPER(IF(C188="CPU",VLOOKUP(D188,#REF!,2,0),IF(C188="SINAPI",VLOOKUP(D188,#REF!,2,0),IF(C188="EDIF",VLOOKUP(D188,#REF!,2,0),IF(C188="CDHU",VLOOKUP(D188,#REF!,2,0),IF(C188="FDE",VLOOKUP(D188,'FDE 10-23 '!$A$4:$E$3180,2,0),IF(C188="INFRA",VLOOKUP(D188,#REF!,2,0),""))))))),"")</f>
        <v>AH-04 ABRIGO PARA HIDRANTE COM MANGUEIRA 1 1/2"  E ESGUICHO REGULAVEL</v>
      </c>
      <c r="F188" s="65" t="str">
        <f>VLOOKUP(D188,'FDE 10-23 '!$A$4:$E$3180,3,0)</f>
        <v>UN</v>
      </c>
      <c r="G188" s="66">
        <f>VLOOKUP(B188,Planilha17!$A$8:$F$1259,6,0)</f>
        <v>4</v>
      </c>
      <c r="H188" s="67">
        <f>VLOOKUP(D188,'FDE 10-23 '!$A$4:$E$3180,5,0)</f>
        <v>1609.21</v>
      </c>
      <c r="I188" s="68">
        <f t="shared" si="30"/>
        <v>0.23</v>
      </c>
      <c r="J188" s="67">
        <f t="shared" si="31"/>
        <v>1979.33</v>
      </c>
      <c r="K188" s="69">
        <f t="shared" si="32"/>
        <v>7917.32</v>
      </c>
      <c r="L188" s="51"/>
      <c r="M188" s="52"/>
    </row>
    <row r="189" spans="2:13" s="25" customFormat="1" ht="30" customHeight="1" outlineLevel="1">
      <c r="B189" s="61" t="s">
        <v>403</v>
      </c>
      <c r="C189" s="62" t="s">
        <v>26</v>
      </c>
      <c r="D189" s="63" t="s">
        <v>404</v>
      </c>
      <c r="E189" s="64" t="str">
        <f>IFERROR(UPPER(IF(C189="CPU",VLOOKUP(D189,#REF!,2,0),IF(C189="SINAPI",VLOOKUP(D189,#REF!,2,0),IF(C189="EDIF",VLOOKUP(D189,#REF!,2,0),IF(C189="CDHU",VLOOKUP(D189,#REF!,2,0),IF(C189="FDE",VLOOKUP(D189,'FDE 10-23 '!$A$4:$E$3180,2,0),IF(C189="INFRA",VLOOKUP(D189,#REF!,2,0),""))))))),"")</f>
        <v>VALVULA RETENCAO HORIZ BRONZE DE 2 1/2"</v>
      </c>
      <c r="F189" s="65" t="str">
        <f>VLOOKUP(D189,'FDE 10-23 '!$A$4:$E$3180,3,0)</f>
        <v>UN</v>
      </c>
      <c r="G189" s="66">
        <f>VLOOKUP(B189,Planilha17!$A$8:$F$1259,6,0)</f>
        <v>2</v>
      </c>
      <c r="H189" s="67">
        <f>VLOOKUP(D189,'FDE 10-23 '!$A$4:$E$3180,5,0)</f>
        <v>573.57000000000005</v>
      </c>
      <c r="I189" s="68">
        <f t="shared" si="30"/>
        <v>0.23</v>
      </c>
      <c r="J189" s="67">
        <f t="shared" si="31"/>
        <v>705.49</v>
      </c>
      <c r="K189" s="69">
        <f t="shared" si="32"/>
        <v>1410.98</v>
      </c>
      <c r="L189" s="51"/>
      <c r="M189" s="52"/>
    </row>
    <row r="190" spans="2:13" s="25" customFormat="1" ht="30" customHeight="1" outlineLevel="1">
      <c r="B190" s="61" t="s">
        <v>405</v>
      </c>
      <c r="C190" s="62" t="s">
        <v>26</v>
      </c>
      <c r="D190" s="63" t="s">
        <v>406</v>
      </c>
      <c r="E190" s="64" t="str">
        <f>IFERROR(UPPER(IF(C190="CPU",VLOOKUP(D190,#REF!,2,0),IF(C190="SINAPI",VLOOKUP(D190,#REF!,2,0),IF(C190="EDIF",VLOOKUP(D190,#REF!,2,0),IF(C190="CDHU",VLOOKUP(D190,#REF!,2,0),IF(C190="FDE",VLOOKUP(D190,'FDE 10-23 '!$A$4:$E$3180,2,0),IF(C190="INFRA",VLOOKUP(D190,#REF!,2,0),""))))))),"")</f>
        <v>EXTINTORES MANUAIS DE CO2 COM CAPACIDADE DE 6 KG</v>
      </c>
      <c r="F190" s="65" t="str">
        <f>VLOOKUP(D190,'FDE 10-23 '!$A$4:$E$3180,3,0)</f>
        <v>UN</v>
      </c>
      <c r="G190" s="66">
        <f>VLOOKUP(B190,Planilha17!$A$8:$F$1259,6,0)</f>
        <v>2</v>
      </c>
      <c r="H190" s="67">
        <f>VLOOKUP(D190,'FDE 10-23 '!$A$4:$E$3180,5,0)</f>
        <v>603.03</v>
      </c>
      <c r="I190" s="68">
        <f t="shared" si="30"/>
        <v>0.23</v>
      </c>
      <c r="J190" s="67">
        <f t="shared" si="31"/>
        <v>741.73</v>
      </c>
      <c r="K190" s="69">
        <f t="shared" si="32"/>
        <v>1483.46</v>
      </c>
      <c r="L190" s="51"/>
      <c r="M190" s="52"/>
    </row>
    <row r="191" spans="2:13" s="25" customFormat="1" ht="30" customHeight="1" outlineLevel="1">
      <c r="B191" s="61" t="s">
        <v>407</v>
      </c>
      <c r="C191" s="62" t="s">
        <v>26</v>
      </c>
      <c r="D191" s="63" t="s">
        <v>408</v>
      </c>
      <c r="E191" s="64" t="str">
        <f>IFERROR(UPPER(IF(C191="CPU",VLOOKUP(D191,#REF!,2,0),IF(C191="SINAPI",VLOOKUP(D191,#REF!,2,0),IF(C191="EDIF",VLOOKUP(D191,#REF!,2,0),IF(C191="CDHU",VLOOKUP(D191,#REF!,2,0),IF(C191="FDE",VLOOKUP(D191,'FDE 10-23 '!$A$4:$E$3180,2,0),IF(C191="INFRA",VLOOKUP(D191,#REF!,2,0),""))))))),"")</f>
        <v>EXTINTORES MANUAIS PO QUIMICO SECO COM CAPACIDADE DE 4 KG</v>
      </c>
      <c r="F191" s="65" t="str">
        <f>VLOOKUP(D191,'FDE 10-23 '!$A$4:$E$3180,3,0)</f>
        <v>UN</v>
      </c>
      <c r="G191" s="66">
        <f>VLOOKUP(B191,Planilha17!$A$8:$F$1259,6,0)</f>
        <v>4</v>
      </c>
      <c r="H191" s="67">
        <f>VLOOKUP(D191,'FDE 10-23 '!$A$4:$E$3180,5,0)</f>
        <v>199.58</v>
      </c>
      <c r="I191" s="68">
        <f t="shared" si="30"/>
        <v>0.23</v>
      </c>
      <c r="J191" s="67">
        <f t="shared" si="31"/>
        <v>245.48</v>
      </c>
      <c r="K191" s="69">
        <f t="shared" si="32"/>
        <v>981.92</v>
      </c>
      <c r="L191" s="51"/>
      <c r="M191" s="52"/>
    </row>
    <row r="192" spans="2:13" s="25" customFormat="1" ht="30" customHeight="1" outlineLevel="1">
      <c r="B192" s="61" t="s">
        <v>409</v>
      </c>
      <c r="C192" s="62" t="s">
        <v>26</v>
      </c>
      <c r="D192" s="63" t="s">
        <v>410</v>
      </c>
      <c r="E192" s="64" t="str">
        <f>IFERROR(UPPER(IF(C192="CPU",VLOOKUP(D192,#REF!,2,0),IF(C192="SINAPI",VLOOKUP(D192,#REF!,2,0),IF(C192="EDIF",VLOOKUP(D192,#REF!,2,0),IF(C192="CDHU",VLOOKUP(D192,#REF!,2,0),IF(C192="FDE",VLOOKUP(D192,'FDE 10-23 '!$A$4:$E$3180,2,0),IF(C192="INFRA",VLOOKUP(D192,#REF!,2,0),""))))))),"")</f>
        <v>EXTINTOR MANUAL PO QUIMICO SECO C/ CAPACIDADE DE 12KG</v>
      </c>
      <c r="F192" s="65" t="str">
        <f>VLOOKUP(D192,'FDE 10-23 '!$A$4:$E$3180,3,0)</f>
        <v>UN</v>
      </c>
      <c r="G192" s="66">
        <f>VLOOKUP(B192,Planilha17!$A$8:$F$1259,6,0)</f>
        <v>1</v>
      </c>
      <c r="H192" s="67">
        <f>VLOOKUP(D192,'FDE 10-23 '!$A$4:$E$3180,5,0)</f>
        <v>313.01</v>
      </c>
      <c r="I192" s="68">
        <f t="shared" si="30"/>
        <v>0.23</v>
      </c>
      <c r="J192" s="67">
        <f t="shared" si="31"/>
        <v>385</v>
      </c>
      <c r="K192" s="69">
        <f t="shared" si="32"/>
        <v>385</v>
      </c>
      <c r="L192" s="51"/>
      <c r="M192" s="52"/>
    </row>
    <row r="193" spans="2:13" s="25" customFormat="1" ht="30" customHeight="1" outlineLevel="1">
      <c r="B193" s="61" t="s">
        <v>411</v>
      </c>
      <c r="C193" s="62" t="s">
        <v>26</v>
      </c>
      <c r="D193" s="63" t="s">
        <v>412</v>
      </c>
      <c r="E193" s="64" t="str">
        <f>IFERROR(UPPER(IF(C193="CPU",VLOOKUP(D193,#REF!,2,0),IF(C193="SINAPI",VLOOKUP(D193,#REF!,2,0),IF(C193="EDIF",VLOOKUP(D193,#REF!,2,0),IF(C193="CDHU",VLOOKUP(D193,#REF!,2,0),IF(C193="FDE",VLOOKUP(D193,'FDE 10-23 '!$A$4:$E$3180,2,0),IF(C193="INFRA",VLOOKUP(D193,#REF!,2,0),""))))))),"")</f>
        <v>EXTINTORES MANUAIS DE AGUA PRESSURIZADA CAP DE 10 L</v>
      </c>
      <c r="F193" s="65" t="str">
        <f>VLOOKUP(D193,'FDE 10-23 '!$A$4:$E$3180,3,0)</f>
        <v>UN</v>
      </c>
      <c r="G193" s="66">
        <f>VLOOKUP(B193,Planilha17!$A$8:$F$1259,6,0)</f>
        <v>1</v>
      </c>
      <c r="H193" s="67">
        <f>VLOOKUP(D193,'FDE 10-23 '!$A$4:$E$3180,5,0)</f>
        <v>216.46</v>
      </c>
      <c r="I193" s="68">
        <f t="shared" si="30"/>
        <v>0.23</v>
      </c>
      <c r="J193" s="67">
        <f t="shared" si="31"/>
        <v>266.25</v>
      </c>
      <c r="K193" s="69">
        <f t="shared" si="32"/>
        <v>266.25</v>
      </c>
      <c r="L193" s="51"/>
      <c r="M193" s="52"/>
    </row>
    <row r="194" spans="2:13" s="25" customFormat="1" ht="30" customHeight="1" outlineLevel="1">
      <c r="B194" s="61" t="s">
        <v>413</v>
      </c>
      <c r="C194" s="62" t="s">
        <v>26</v>
      </c>
      <c r="D194" s="63" t="s">
        <v>414</v>
      </c>
      <c r="E194" s="64" t="str">
        <f>IFERROR(UPPER(IF(C194="CPU",VLOOKUP(D194,#REF!,2,0),IF(C194="SINAPI",VLOOKUP(D194,#REF!,2,0),IF(C194="EDIF",VLOOKUP(D194,#REF!,2,0),IF(C194="CDHU",VLOOKUP(D194,#REF!,2,0),IF(C194="FDE",VLOOKUP(D194,'FDE 10-23 '!$A$4:$E$3180,2,0),IF(C194="INFRA",VLOOKUP(D194,#REF!,2,0),""))))))),"")</f>
        <v>PRESSOSTATO (VALVULA DE FLUXO) COM SENSOR DIAFRAGMA.</v>
      </c>
      <c r="F194" s="65" t="str">
        <f>VLOOKUP(D194,'FDE 10-23 '!$A$4:$E$3180,3,0)</f>
        <v>UN</v>
      </c>
      <c r="G194" s="66">
        <f>VLOOKUP(B194,Planilha17!$A$8:$F$1259,6,0)</f>
        <v>1</v>
      </c>
      <c r="H194" s="67">
        <f>VLOOKUP(D194,'FDE 10-23 '!$A$4:$E$3180,5,0)</f>
        <v>2546.9899999999998</v>
      </c>
      <c r="I194" s="68">
        <f t="shared" si="30"/>
        <v>0.23</v>
      </c>
      <c r="J194" s="67">
        <f t="shared" si="31"/>
        <v>3132.8</v>
      </c>
      <c r="K194" s="69">
        <f t="shared" si="32"/>
        <v>3132.8</v>
      </c>
      <c r="L194" s="51"/>
      <c r="M194" s="52"/>
    </row>
    <row r="195" spans="2:13" s="25" customFormat="1" ht="30" customHeight="1" outlineLevel="1">
      <c r="B195" s="61" t="s">
        <v>415</v>
      </c>
      <c r="C195" s="62" t="s">
        <v>26</v>
      </c>
      <c r="D195" s="63" t="s">
        <v>416</v>
      </c>
      <c r="E195" s="64" t="str">
        <f>IFERROR(UPPER(IF(C195="CPU",VLOOKUP(D195,#REF!,2,0),IF(C195="SINAPI",VLOOKUP(D195,#REF!,2,0),IF(C195="EDIF",VLOOKUP(D195,#REF!,2,0),IF(C195="CDHU",VLOOKUP(D195,#REF!,2,0),IF(C195="FDE",VLOOKUP(D195,'FDE 10-23 '!$A$4:$E$3180,2,0),IF(C195="INFRA",VLOOKUP(D195,#REF!,2,0),""))))))),"")</f>
        <v>CONJ MOTOR-BOMBA (CENTRIFUGA) 5 HP (31200 L/H -20 MCA)</v>
      </c>
      <c r="F195" s="65" t="str">
        <f>VLOOKUP(D195,'FDE 10-23 '!$A$4:$E$3180,3,0)</f>
        <v>UN</v>
      </c>
      <c r="G195" s="66">
        <f>VLOOKUP(B195,Planilha17!$A$8:$F$1259,6,0)</f>
        <v>1</v>
      </c>
      <c r="H195" s="67">
        <f>VLOOKUP(D195,'FDE 10-23 '!$A$4:$E$3180,5,0)</f>
        <v>4925.41</v>
      </c>
      <c r="I195" s="68">
        <f t="shared" si="30"/>
        <v>0.23</v>
      </c>
      <c r="J195" s="67">
        <f t="shared" si="31"/>
        <v>6058.25</v>
      </c>
      <c r="K195" s="69">
        <f t="shared" si="32"/>
        <v>6058.25</v>
      </c>
      <c r="L195" s="51"/>
      <c r="M195" s="52"/>
    </row>
    <row r="196" spans="2:13" s="25" customFormat="1" ht="30" customHeight="1" outlineLevel="1">
      <c r="B196" s="53" t="s">
        <v>417</v>
      </c>
      <c r="C196" s="54"/>
      <c r="D196" s="54" t="s">
        <v>418</v>
      </c>
      <c r="E196" s="55" t="s">
        <v>419</v>
      </c>
      <c r="F196" s="56" t="str">
        <f>IFERROR(UPPER(IF(C196="CPU",VLOOKUP(D196,#REF!,3,0),IF(C196="SINAPI",VLOOKUP(D196,#REF!,3,0),IF(C196="EDIF",VLOOKUP(D196,#REF!,3,0),IF(C196="CDHU",VLOOKUP(D196,#REF!,3,0),IF(C196="FDE",VLOOKUP(D196,#REF!,3,0),IF(C196="INFRA",VLOOKUP(D196,#REF!,3,0),""))))))),"")</f>
        <v/>
      </c>
      <c r="G196" s="57"/>
      <c r="H196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96" s="59"/>
      <c r="J196" s="59"/>
      <c r="K196" s="60">
        <f>SUBTOTAL(9,K197:K205)</f>
        <v>127721.141</v>
      </c>
      <c r="L196" s="51"/>
      <c r="M196" s="52"/>
    </row>
    <row r="197" spans="2:13" s="25" customFormat="1" ht="30" customHeight="1" outlineLevel="1">
      <c r="B197" s="61" t="s">
        <v>420</v>
      </c>
      <c r="C197" s="62" t="s">
        <v>26</v>
      </c>
      <c r="D197" s="63" t="s">
        <v>421</v>
      </c>
      <c r="E197" s="64" t="str">
        <f>IFERROR(UPPER(IF(C197="CPU",VLOOKUP(D197,#REF!,2,0),IF(C197="SINAPI",VLOOKUP(D197,#REF!,2,0),IF(C197="EDIF",VLOOKUP(D197,#REF!,2,0),IF(C197="CDHU",VLOOKUP(D197,#REF!,2,0),IF(C197="FDE",VLOOKUP(D197,'FDE 10-23 '!$A$4:$E$3180,2,0),IF(C197="INFRA",VLOOKUP(D197,#REF!,2,0),""))))))),"")</f>
        <v>TUBO DE FERRO FUNDIDO DN 50MM (2") - INCLUSIVE CONEXOES -  DESC</v>
      </c>
      <c r="F197" s="65" t="str">
        <f>VLOOKUP(D197,'FDE 10-23 '!$A$4:$E$3180,3,0)</f>
        <v>M</v>
      </c>
      <c r="G197" s="66">
        <f>VLOOKUP(B197,Planilha17!$A$8:$F$1259,6,0)</f>
        <v>17.05</v>
      </c>
      <c r="H197" s="67">
        <f>VLOOKUP(D197,'FDE 10-23 '!$A$4:$E$3180,5,0)</f>
        <v>298.41000000000003</v>
      </c>
      <c r="I197" s="68">
        <f t="shared" ref="I197:I205" si="33">$L$10</f>
        <v>0.23</v>
      </c>
      <c r="J197" s="67">
        <f t="shared" ref="J197:J205" si="34">ROUND(H197*(1+I197),2)</f>
        <v>367.04</v>
      </c>
      <c r="K197" s="69">
        <f t="shared" ref="K197:K205" si="35">SUM(G197*J197)</f>
        <v>6258.0320000000011</v>
      </c>
      <c r="L197" s="51"/>
      <c r="M197" s="52"/>
    </row>
    <row r="198" spans="2:13" s="25" customFormat="1" ht="30" customHeight="1" outlineLevel="1">
      <c r="B198" s="61" t="s">
        <v>422</v>
      </c>
      <c r="C198" s="62" t="s">
        <v>26</v>
      </c>
      <c r="D198" s="63" t="s">
        <v>423</v>
      </c>
      <c r="E198" s="64" t="str">
        <f>IFERROR(UPPER(IF(C198="CPU",VLOOKUP(D198,#REF!,2,0),IF(C198="SINAPI",VLOOKUP(D198,#REF!,2,0),IF(C198="EDIF",VLOOKUP(D198,#REF!,2,0),IF(C198="CDHU",VLOOKUP(D198,#REF!,2,0),IF(C198="FDE",VLOOKUP(D198,'FDE 10-23 '!$A$4:$E$3180,2,0),IF(C198="INFRA",VLOOKUP(D198,#REF!,2,0),""))))))),"")</f>
        <v>TUBO DE FERRO FUNDIDO DN 75MM (3") - INCLUSIVE CONEXOES -  DESC</v>
      </c>
      <c r="F198" s="65" t="str">
        <f>VLOOKUP(D198,'FDE 10-23 '!$A$4:$E$3180,3,0)</f>
        <v>M</v>
      </c>
      <c r="G198" s="66">
        <f>VLOOKUP(B198,Planilha17!$A$8:$F$1259,6,0)</f>
        <v>22.5</v>
      </c>
      <c r="H198" s="67">
        <f>VLOOKUP(D198,'FDE 10-23 '!$A$4:$E$3180,5,0)</f>
        <v>399.15</v>
      </c>
      <c r="I198" s="68">
        <f t="shared" si="33"/>
        <v>0.23</v>
      </c>
      <c r="J198" s="67">
        <f t="shared" si="34"/>
        <v>490.95</v>
      </c>
      <c r="K198" s="69">
        <f t="shared" si="35"/>
        <v>11046.375</v>
      </c>
      <c r="L198" s="51"/>
      <c r="M198" s="52"/>
    </row>
    <row r="199" spans="2:13" s="25" customFormat="1" ht="30" customHeight="1" outlineLevel="1">
      <c r="B199" s="61" t="s">
        <v>424</v>
      </c>
      <c r="C199" s="62" t="s">
        <v>26</v>
      </c>
      <c r="D199" s="63" t="s">
        <v>425</v>
      </c>
      <c r="E199" s="64" t="str">
        <f>IFERROR(UPPER(IF(C199="CPU",VLOOKUP(D199,#REF!,2,0),IF(C199="SINAPI",VLOOKUP(D199,#REF!,2,0),IF(C199="EDIF",VLOOKUP(D199,#REF!,2,0),IF(C199="CDHU",VLOOKUP(D199,#REF!,2,0),IF(C199="FDE",VLOOKUP(D199,'FDE 10-23 '!$A$4:$E$3180,2,0),IF(C199="INFRA",VLOOKUP(D199,#REF!,2,0),""))))))),"")</f>
        <v>TUBO DE FERRO FUNDIDO DN 100MM (4") - INCLUSIVE CONEXOES -  DESC</v>
      </c>
      <c r="F199" s="65" t="str">
        <f>VLOOKUP(D199,'FDE 10-23 '!$A$4:$E$3180,3,0)</f>
        <v>M</v>
      </c>
      <c r="G199" s="66">
        <f>VLOOKUP(B199,Planilha17!$A$8:$F$1259,6,0)</f>
        <v>13</v>
      </c>
      <c r="H199" s="67">
        <f>VLOOKUP(D199,'FDE 10-23 '!$A$4:$E$3180,5,0)</f>
        <v>458.86</v>
      </c>
      <c r="I199" s="68">
        <f t="shared" si="33"/>
        <v>0.23</v>
      </c>
      <c r="J199" s="67">
        <f t="shared" si="34"/>
        <v>564.4</v>
      </c>
      <c r="K199" s="69">
        <f t="shared" si="35"/>
        <v>7337.2</v>
      </c>
      <c r="L199" s="51"/>
      <c r="M199" s="52"/>
    </row>
    <row r="200" spans="2:13" s="25" customFormat="1" ht="30" customHeight="1" outlineLevel="1">
      <c r="B200" s="61" t="s">
        <v>426</v>
      </c>
      <c r="C200" s="62" t="s">
        <v>26</v>
      </c>
      <c r="D200" s="63" t="s">
        <v>427</v>
      </c>
      <c r="E200" s="64" t="str">
        <f>IFERROR(UPPER(IF(C200="CPU",VLOOKUP(D200,#REF!,2,0),IF(C200="SINAPI",VLOOKUP(D200,#REF!,2,0),IF(C200="EDIF",VLOOKUP(D200,#REF!,2,0),IF(C200="CDHU",VLOOKUP(D200,#REF!,2,0),IF(C200="FDE",VLOOKUP(D200,'FDE 10-23 '!$A$4:$E$3180,2,0),IF(C200="INFRA",VLOOKUP(D200,#REF!,2,0),""))))))),"")</f>
        <v>TUBO PVC NORMAL "SN" JUNTA SOLDÁVEL/ELÁSTICA DN 40 INCL CONEXÕES</v>
      </c>
      <c r="F200" s="65" t="str">
        <f>VLOOKUP(D200,'FDE 10-23 '!$A$4:$E$3180,3,0)</f>
        <v>M</v>
      </c>
      <c r="G200" s="66">
        <f>VLOOKUP(B200,Planilha17!$A$8:$F$1259,6,0)</f>
        <v>75.5</v>
      </c>
      <c r="H200" s="67">
        <f>VLOOKUP(D200,'FDE 10-23 '!$A$4:$E$3180,5,0)</f>
        <v>37.58</v>
      </c>
      <c r="I200" s="68">
        <f t="shared" si="33"/>
        <v>0.23</v>
      </c>
      <c r="J200" s="67">
        <f t="shared" si="34"/>
        <v>46.22</v>
      </c>
      <c r="K200" s="69">
        <f t="shared" si="35"/>
        <v>3489.61</v>
      </c>
      <c r="L200" s="51"/>
      <c r="M200" s="52"/>
    </row>
    <row r="201" spans="2:13" s="25" customFormat="1" ht="30" customHeight="1" outlineLevel="1">
      <c r="B201" s="61" t="s">
        <v>428</v>
      </c>
      <c r="C201" s="62" t="s">
        <v>26</v>
      </c>
      <c r="D201" s="63" t="s">
        <v>429</v>
      </c>
      <c r="E201" s="64" t="str">
        <f>IFERROR(UPPER(IF(C201="CPU",VLOOKUP(D201,#REF!,2,0),IF(C201="SINAPI",VLOOKUP(D201,#REF!,2,0),IF(C201="EDIF",VLOOKUP(D201,#REF!,2,0),IF(C201="CDHU",VLOOKUP(D201,#REF!,2,0),IF(C201="FDE",VLOOKUP(D201,'FDE 10-23 '!$A$4:$E$3180,2,0),IF(C201="INFRA",VLOOKUP(D201,#REF!,2,0),""))))))),"")</f>
        <v>TUBO PVC NORMAL "SN" JUNTA ELÁSTICA DN 50 INCL CONEXÕES</v>
      </c>
      <c r="F201" s="65" t="str">
        <f>VLOOKUP(D201,'FDE 10-23 '!$A$4:$E$3180,3,0)</f>
        <v>M</v>
      </c>
      <c r="G201" s="66">
        <f>VLOOKUP(B201,Planilha17!$A$8:$F$1259,6,0)</f>
        <v>69</v>
      </c>
      <c r="H201" s="67">
        <f>VLOOKUP(D201,'FDE 10-23 '!$A$4:$E$3180,5,0)</f>
        <v>42.47</v>
      </c>
      <c r="I201" s="68">
        <f t="shared" si="33"/>
        <v>0.23</v>
      </c>
      <c r="J201" s="67">
        <f t="shared" si="34"/>
        <v>52.24</v>
      </c>
      <c r="K201" s="69">
        <f t="shared" si="35"/>
        <v>3604.56</v>
      </c>
      <c r="L201" s="51"/>
      <c r="M201" s="52"/>
    </row>
    <row r="202" spans="2:13" s="25" customFormat="1" ht="30" customHeight="1" outlineLevel="1">
      <c r="B202" s="61" t="s">
        <v>430</v>
      </c>
      <c r="C202" s="62" t="s">
        <v>26</v>
      </c>
      <c r="D202" s="63" t="s">
        <v>431</v>
      </c>
      <c r="E202" s="64" t="str">
        <f>IFERROR(UPPER(IF(C202="CPU",VLOOKUP(D202,#REF!,2,0),IF(C202="SINAPI",VLOOKUP(D202,#REF!,2,0),IF(C202="EDIF",VLOOKUP(D202,#REF!,2,0),IF(C202="CDHU",VLOOKUP(D202,#REF!,2,0),IF(C202="FDE",VLOOKUP(D202,'FDE 10-23 '!$A$4:$E$3180,2,0),IF(C202="INFRA",VLOOKUP(D202,#REF!,2,0),""))))))),"")</f>
        <v>TUBO PVC NORMAL "SN" JUNTA ELÁSTICA DN 75 INCL CONEXÕES</v>
      </c>
      <c r="F202" s="65" t="str">
        <f>VLOOKUP(D202,'FDE 10-23 '!$A$4:$E$3180,3,0)</f>
        <v>M</v>
      </c>
      <c r="G202" s="66">
        <f>VLOOKUP(B202,Planilha17!$A$8:$F$1259,6,0)</f>
        <v>112</v>
      </c>
      <c r="H202" s="67">
        <f>VLOOKUP(D202,'FDE 10-23 '!$A$4:$E$3180,5,0)</f>
        <v>53.67</v>
      </c>
      <c r="I202" s="68">
        <f t="shared" si="33"/>
        <v>0.23</v>
      </c>
      <c r="J202" s="67">
        <f t="shared" si="34"/>
        <v>66.010000000000005</v>
      </c>
      <c r="K202" s="69">
        <f t="shared" si="35"/>
        <v>7393.1200000000008</v>
      </c>
      <c r="L202" s="51"/>
      <c r="M202" s="52"/>
    </row>
    <row r="203" spans="2:13" s="25" customFormat="1" ht="30" customHeight="1" outlineLevel="1">
      <c r="B203" s="61" t="s">
        <v>432</v>
      </c>
      <c r="C203" s="62" t="s">
        <v>26</v>
      </c>
      <c r="D203" s="63" t="s">
        <v>433</v>
      </c>
      <c r="E203" s="64" t="str">
        <f>IFERROR(UPPER(IF(C203="CPU",VLOOKUP(D203,#REF!,2,0),IF(C203="SINAPI",VLOOKUP(D203,#REF!,2,0),IF(C203="EDIF",VLOOKUP(D203,#REF!,2,0),IF(C203="CDHU",VLOOKUP(D203,#REF!,2,0),IF(C203="FDE",VLOOKUP(D203,'FDE 10-23 '!$A$4:$E$3180,2,0),IF(C203="INFRA",VLOOKUP(D203,#REF!,2,0),""))))))),"")</f>
        <v>TUBO PVC NORMAL "SN" JUNTA ELÁSTICA DN 100 INCL CONEXÕES</v>
      </c>
      <c r="F203" s="65" t="str">
        <f>VLOOKUP(D203,'FDE 10-23 '!$A$4:$E$3180,3,0)</f>
        <v>M</v>
      </c>
      <c r="G203" s="66">
        <f>VLOOKUP(B203,Planilha17!$A$8:$F$1259,6,0)</f>
        <v>87</v>
      </c>
      <c r="H203" s="67">
        <f>VLOOKUP(D203,'FDE 10-23 '!$A$4:$E$3180,5,0)</f>
        <v>57.15</v>
      </c>
      <c r="I203" s="68">
        <f t="shared" si="33"/>
        <v>0.23</v>
      </c>
      <c r="J203" s="67">
        <f t="shared" si="34"/>
        <v>70.290000000000006</v>
      </c>
      <c r="K203" s="69">
        <f t="shared" si="35"/>
        <v>6115.2300000000005</v>
      </c>
      <c r="L203" s="51"/>
      <c r="M203" s="52"/>
    </row>
    <row r="204" spans="2:13" s="25" customFormat="1" ht="30" customHeight="1" outlineLevel="1">
      <c r="B204" s="61" t="s">
        <v>434</v>
      </c>
      <c r="C204" s="62" t="s">
        <v>26</v>
      </c>
      <c r="D204" s="63" t="s">
        <v>435</v>
      </c>
      <c r="E204" s="64" t="str">
        <f>IFERROR(UPPER(IF(C204="CPU",VLOOKUP(D204,#REF!,2,0),IF(C204="SINAPI",VLOOKUP(D204,#REF!,2,0),IF(C204="EDIF",VLOOKUP(D204,#REF!,2,0),IF(C204="CDHU",VLOOKUP(D204,#REF!,2,0),IF(C204="FDE",VLOOKUP(D204,'FDE 10-23 '!$A$4:$E$3180,2,0),IF(C204="INFRA",VLOOKUP(D204,#REF!,2,0),""))))))),"")</f>
        <v>TUBO PVC NORMAL "SN" JUNTA ELÁSTICA DN 150 INCL CONEXÕES</v>
      </c>
      <c r="F204" s="65" t="str">
        <f>VLOOKUP(D204,'FDE 10-23 '!$A$4:$E$3180,3,0)</f>
        <v>M</v>
      </c>
      <c r="G204" s="66">
        <f>VLOOKUP(B204,Planilha17!$A$8:$F$1259,6,0)</f>
        <v>142</v>
      </c>
      <c r="H204" s="67">
        <f>VLOOKUP(D204,'FDE 10-23 '!$A$4:$E$3180,5,0)</f>
        <v>115.97</v>
      </c>
      <c r="I204" s="68">
        <f t="shared" si="33"/>
        <v>0.23</v>
      </c>
      <c r="J204" s="67">
        <f t="shared" si="34"/>
        <v>142.63999999999999</v>
      </c>
      <c r="K204" s="69">
        <f t="shared" si="35"/>
        <v>20254.879999999997</v>
      </c>
      <c r="L204" s="51"/>
      <c r="M204" s="52"/>
    </row>
    <row r="205" spans="2:13" s="25" customFormat="1" ht="30" customHeight="1" outlineLevel="1">
      <c r="B205" s="61" t="s">
        <v>436</v>
      </c>
      <c r="C205" s="62" t="s">
        <v>26</v>
      </c>
      <c r="D205" s="63" t="s">
        <v>437</v>
      </c>
      <c r="E205" s="64" t="str">
        <f>IFERROR(UPPER(IF(C205="CPU",VLOOKUP(D205,#REF!,2,0),IF(C205="SINAPI",VLOOKUP(D205,#REF!,2,0),IF(C205="EDIF",VLOOKUP(D205,#REF!,2,0),IF(C205="CDHU",VLOOKUP(D205,#REF!,2,0),IF(C205="FDE",VLOOKUP(D205,'FDE 10-23 '!$A$4:$E$3180,2,0),IF(C205="INFRA",VLOOKUP(D205,#REF!,2,0),""))))))),"")</f>
        <v>SERVICOS EM REDE DE ESGOTO</v>
      </c>
      <c r="F205" s="65" t="str">
        <f>VLOOKUP(D205,'FDE 10-23 '!$A$4:$E$3180,3,0)</f>
        <v>MV</v>
      </c>
      <c r="G205" s="66">
        <f>VLOOKUP(B205,Planilha17!$A$8:$F$1259,6,0)</f>
        <v>94.9</v>
      </c>
      <c r="H205" s="67">
        <f>VLOOKUP(D205,'FDE 10-23 '!$A$4:$E$3180,5,0)</f>
        <v>533.05999999999995</v>
      </c>
      <c r="I205" s="68">
        <f t="shared" si="33"/>
        <v>0.23</v>
      </c>
      <c r="J205" s="67">
        <f t="shared" si="34"/>
        <v>655.66</v>
      </c>
      <c r="K205" s="69">
        <f t="shared" si="35"/>
        <v>62222.133999999998</v>
      </c>
      <c r="L205" s="51"/>
      <c r="M205" s="52"/>
    </row>
    <row r="206" spans="2:13" s="25" customFormat="1" ht="30" customHeight="1" outlineLevel="1">
      <c r="B206" s="53" t="s">
        <v>438</v>
      </c>
      <c r="C206" s="54"/>
      <c r="D206" s="54" t="s">
        <v>439</v>
      </c>
      <c r="E206" s="55" t="s">
        <v>440</v>
      </c>
      <c r="F206" s="56" t="str">
        <f>IFERROR(UPPER(IF(C206="CPU",VLOOKUP(D206,#REF!,3,0),IF(C206="SINAPI",VLOOKUP(D206,#REF!,3,0),IF(C206="EDIF",VLOOKUP(D206,#REF!,3,0),IF(C206="CDHU",VLOOKUP(D206,#REF!,3,0),IF(C206="FDE",VLOOKUP(D206,#REF!,3,0),IF(C206="INFRA",VLOOKUP(D206,#REF!,3,0),""))))))),"")</f>
        <v/>
      </c>
      <c r="G206" s="57"/>
      <c r="H206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06" s="59"/>
      <c r="J206" s="59"/>
      <c r="K206" s="60">
        <f>SUBTOTAL(9,K207:K208)</f>
        <v>18974.805600000003</v>
      </c>
      <c r="L206" s="51"/>
      <c r="M206" s="52"/>
    </row>
    <row r="207" spans="2:13" s="25" customFormat="1" ht="30" customHeight="1" outlineLevel="1">
      <c r="B207" s="61" t="s">
        <v>441</v>
      </c>
      <c r="C207" s="62" t="s">
        <v>26</v>
      </c>
      <c r="D207" s="63" t="s">
        <v>442</v>
      </c>
      <c r="E207" s="64" t="str">
        <f>IFERROR(UPPER(IF(C207="CPU",VLOOKUP(D207,#REF!,2,0),IF(C207="SINAPI",VLOOKUP(D207,#REF!,2,0),IF(C207="EDIF",VLOOKUP(D207,#REF!,2,0),IF(C207="CDHU",VLOOKUP(D207,#REF!,2,0),IF(C207="FDE",VLOOKUP(D207,'FDE 10-23 '!$A$4:$E$3180,2,0),IF(C207="INFRA",VLOOKUP(D207,#REF!,2,0),""))))))),"")</f>
        <v>RALO SIFONADO DE F.FUNDIDO DN 150 MM C/GRELHA PVC CROMADO</v>
      </c>
      <c r="F207" s="65" t="str">
        <f>VLOOKUP(D207,'FDE 10-23 '!$A$4:$E$3180,3,0)</f>
        <v>UN</v>
      </c>
      <c r="G207" s="66">
        <f>VLOOKUP(B207,Planilha17!$A$8:$F$1259,6,0)</f>
        <v>26</v>
      </c>
      <c r="H207" s="67">
        <f>VLOOKUP(D207,'FDE 10-23 '!$A$4:$E$3180,5,0)</f>
        <v>549.04999999999995</v>
      </c>
      <c r="I207" s="68">
        <f>$L$10</f>
        <v>0.23</v>
      </c>
      <c r="J207" s="67">
        <f>ROUND(H207*(1+I207),2)</f>
        <v>675.33</v>
      </c>
      <c r="K207" s="69">
        <f>SUM(G207*J207)</f>
        <v>17558.580000000002</v>
      </c>
      <c r="L207" s="51"/>
      <c r="M207" s="52"/>
    </row>
    <row r="208" spans="2:13" s="25" customFormat="1" ht="30" customHeight="1" outlineLevel="1">
      <c r="B208" s="61" t="s">
        <v>443</v>
      </c>
      <c r="C208" s="62" t="s">
        <v>26</v>
      </c>
      <c r="D208" s="63" t="s">
        <v>444</v>
      </c>
      <c r="E208" s="64" t="str">
        <f>IFERROR(UPPER(IF(C208="CPU",VLOOKUP(D208,#REF!,2,0),IF(C208="SINAPI",VLOOKUP(D208,#REF!,2,0),IF(C208="EDIF",VLOOKUP(D208,#REF!,2,0),IF(C208="CDHU",VLOOKUP(D208,#REF!,2,0),IF(C208="FDE",VLOOKUP(D208,'FDE 10-23 '!$A$4:$E$3180,2,0),IF(C208="INFRA",VLOOKUP(D208,#REF!,2,0),""))))))),"")</f>
        <v>SERVICOS EM REDE DE ESGOTO</v>
      </c>
      <c r="F208" s="65" t="str">
        <f>VLOOKUP(D208,'FDE 10-23 '!$A$4:$E$3180,3,0)</f>
        <v>MV</v>
      </c>
      <c r="G208" s="66">
        <f>VLOOKUP(B208,Planilha17!$A$8:$F$1259,6,0)</f>
        <v>2.16</v>
      </c>
      <c r="H208" s="67">
        <f>VLOOKUP(D208,'FDE 10-23 '!$A$4:$E$3180,5,0)</f>
        <v>533.05999999999995</v>
      </c>
      <c r="I208" s="68">
        <f>$L$10</f>
        <v>0.23</v>
      </c>
      <c r="J208" s="67">
        <f>ROUND(H208*(1+I208),2)</f>
        <v>655.66</v>
      </c>
      <c r="K208" s="69">
        <f>SUM(G208*J208)</f>
        <v>1416.2256</v>
      </c>
      <c r="L208" s="51"/>
      <c r="M208" s="52"/>
    </row>
    <row r="209" spans="2:13" s="25" customFormat="1" ht="30" customHeight="1" outlineLevel="1">
      <c r="B209" s="53" t="s">
        <v>445</v>
      </c>
      <c r="C209" s="54"/>
      <c r="D209" s="54" t="s">
        <v>446</v>
      </c>
      <c r="E209" s="55" t="s">
        <v>447</v>
      </c>
      <c r="F209" s="56" t="str">
        <f>IFERROR(UPPER(IF(C209="CPU",VLOOKUP(D209,#REF!,3,0),IF(C209="SINAPI",VLOOKUP(D209,#REF!,3,0),IF(C209="EDIF",VLOOKUP(D209,#REF!,3,0),IF(C209="CDHU",VLOOKUP(D209,#REF!,3,0),IF(C209="FDE",VLOOKUP(D209,#REF!,3,0),IF(C209="INFRA",VLOOKUP(D209,#REF!,3,0),""))))))),"")</f>
        <v/>
      </c>
      <c r="G209" s="57"/>
      <c r="H209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09" s="59"/>
      <c r="J209" s="59"/>
      <c r="K209" s="60">
        <f>SUBTOTAL(9,K210:K213)</f>
        <v>66358.2</v>
      </c>
      <c r="L209" s="51"/>
      <c r="M209" s="52"/>
    </row>
    <row r="210" spans="2:13" s="25" customFormat="1" ht="30" customHeight="1" outlineLevel="1">
      <c r="B210" s="61" t="s">
        <v>448</v>
      </c>
      <c r="C210" s="62" t="s">
        <v>26</v>
      </c>
      <c r="D210" s="63" t="s">
        <v>449</v>
      </c>
      <c r="E210" s="64" t="str">
        <f>IFERROR(UPPER(IF(C210="CPU",VLOOKUP(D210,#REF!,2,0),IF(C210="SINAPI",VLOOKUP(D210,#REF!,2,0),IF(C210="EDIF",VLOOKUP(D210,#REF!,2,0),IF(C210="CDHU",VLOOKUP(D210,#REF!,2,0),IF(C210="FDE",VLOOKUP(D210,'FDE 10-23 '!$A$4:$E$3180,2,0),IF(C210="INFRA",VLOOKUP(D210,#REF!,2,0),""))))))),"")</f>
        <v>TUBO DE FERRO FUNDIDO DN 100MM (4") - INCLUSIVE CONEXOES</v>
      </c>
      <c r="F210" s="65" t="str">
        <f>VLOOKUP(D210,'FDE 10-23 '!$A$4:$E$3180,3,0)</f>
        <v>M</v>
      </c>
      <c r="G210" s="66">
        <f>VLOOKUP(B210,Planilha17!$A$8:$F$1259,6,0)</f>
        <v>127</v>
      </c>
      <c r="H210" s="67">
        <f>VLOOKUP(D210,'FDE 10-23 '!$A$4:$E$3180,5,0)</f>
        <v>343.37</v>
      </c>
      <c r="I210" s="68">
        <f>$L$10</f>
        <v>0.23</v>
      </c>
      <c r="J210" s="67">
        <f>ROUND(H210*(1+I210),2)</f>
        <v>422.35</v>
      </c>
      <c r="K210" s="69">
        <f>SUM(G210*J210)</f>
        <v>53638.450000000004</v>
      </c>
      <c r="L210" s="51"/>
      <c r="M210" s="52"/>
    </row>
    <row r="211" spans="2:13" s="25" customFormat="1" ht="30" customHeight="1" outlineLevel="1">
      <c r="B211" s="61" t="s">
        <v>450</v>
      </c>
      <c r="C211" s="62" t="s">
        <v>26</v>
      </c>
      <c r="D211" s="63" t="s">
        <v>451</v>
      </c>
      <c r="E211" s="64" t="str">
        <f>IFERROR(UPPER(IF(C211="CPU",VLOOKUP(D211,#REF!,2,0),IF(C211="SINAPI",VLOOKUP(D211,#REF!,2,0),IF(C211="EDIF",VLOOKUP(D211,#REF!,2,0),IF(C211="CDHU",VLOOKUP(D211,#REF!,2,0),IF(C211="FDE",VLOOKUP(D211,'FDE 10-23 '!$A$4:$E$3180,2,0),IF(C211="INFRA",VLOOKUP(D211,#REF!,2,0),""))))))),"")</f>
        <v>TUBO DE FERRO FUNDIDO DN 150MM (6") - INCLUSIVE CONEXOES</v>
      </c>
      <c r="F211" s="65" t="str">
        <f>VLOOKUP(D211,'FDE 10-23 '!$A$4:$E$3180,3,0)</f>
        <v>M</v>
      </c>
      <c r="G211" s="66">
        <f>VLOOKUP(B211,Planilha17!$A$8:$F$1259,6,0)</f>
        <v>7</v>
      </c>
      <c r="H211" s="67">
        <f>VLOOKUP(D211,'FDE 10-23 '!$A$4:$E$3180,5,0)</f>
        <v>425.35</v>
      </c>
      <c r="I211" s="68">
        <f>$L$10</f>
        <v>0.23</v>
      </c>
      <c r="J211" s="67">
        <f>ROUND(H211*(1+I211),2)</f>
        <v>523.17999999999995</v>
      </c>
      <c r="K211" s="69">
        <f>SUM(G211*J211)</f>
        <v>3662.2599999999998</v>
      </c>
      <c r="L211" s="51"/>
      <c r="M211" s="52"/>
    </row>
    <row r="212" spans="2:13" s="25" customFormat="1" ht="30" customHeight="1" outlineLevel="1">
      <c r="B212" s="61" t="s">
        <v>452</v>
      </c>
      <c r="C212" s="62" t="s">
        <v>26</v>
      </c>
      <c r="D212" s="63" t="s">
        <v>453</v>
      </c>
      <c r="E212" s="64" t="str">
        <f>IFERROR(UPPER(IF(C212="CPU",VLOOKUP(D212,#REF!,2,0),IF(C212="SINAPI",VLOOKUP(D212,#REF!,2,0),IF(C212="EDIF",VLOOKUP(D212,#REF!,2,0),IF(C212="CDHU",VLOOKUP(D212,#REF!,2,0),IF(C212="FDE",VLOOKUP(D212,'FDE 10-23 '!$A$4:$E$3180,2,0),IF(C212="INFRA",VLOOKUP(D212,#REF!,2,0),""))))))),"")</f>
        <v>TUBO DE PVC REFORÇADO "SR" JUNTA ELÁSTICA DN 50 INCL CONEXÕES</v>
      </c>
      <c r="F212" s="65" t="str">
        <f>VLOOKUP(D212,'FDE 10-23 '!$A$4:$E$3180,3,0)</f>
        <v>M</v>
      </c>
      <c r="G212" s="66">
        <f>VLOOKUP(B212,Planilha17!$A$8:$F$1259,6,0)</f>
        <v>17</v>
      </c>
      <c r="H212" s="67">
        <f>VLOOKUP(D212,'FDE 10-23 '!$A$4:$E$3180,5,0)</f>
        <v>41.75</v>
      </c>
      <c r="I212" s="68">
        <f>$L$10</f>
        <v>0.23</v>
      </c>
      <c r="J212" s="67">
        <f>ROUND(H212*(1+I212),2)</f>
        <v>51.35</v>
      </c>
      <c r="K212" s="69">
        <f>SUM(G212*J212)</f>
        <v>872.95</v>
      </c>
      <c r="L212" s="51"/>
      <c r="M212" s="52"/>
    </row>
    <row r="213" spans="2:13" s="25" customFormat="1" ht="30" customHeight="1" outlineLevel="1">
      <c r="B213" s="61" t="s">
        <v>454</v>
      </c>
      <c r="C213" s="62" t="s">
        <v>26</v>
      </c>
      <c r="D213" s="63" t="s">
        <v>455</v>
      </c>
      <c r="E213" s="64" t="str">
        <f>IFERROR(UPPER(IF(C213="CPU",VLOOKUP(D213,#REF!,2,0),IF(C213="SINAPI",VLOOKUP(D213,#REF!,2,0),IF(C213="EDIF",VLOOKUP(D213,#REF!,2,0),IF(C213="CDHU",VLOOKUP(D213,#REF!,2,0),IF(C213="FDE",VLOOKUP(D213,'FDE 10-23 '!$A$4:$E$3180,2,0),IF(C213="INFRA",VLOOKUP(D213,#REF!,2,0),""))))))),"")</f>
        <v>TUBO DE PVC REFORÇADO "SR" JUNTA ELÁSTICA DN 100 INCL CONEXÕES</v>
      </c>
      <c r="F213" s="65" t="str">
        <f>VLOOKUP(D213,'FDE 10-23 '!$A$4:$E$3180,3,0)</f>
        <v>M</v>
      </c>
      <c r="G213" s="66">
        <f>VLOOKUP(B213,Planilha17!$A$8:$F$1259,6,0)</f>
        <v>91</v>
      </c>
      <c r="H213" s="67">
        <f>VLOOKUP(D213,'FDE 10-23 '!$A$4:$E$3180,5,0)</f>
        <v>73.12</v>
      </c>
      <c r="I213" s="68">
        <f>$L$10</f>
        <v>0.23</v>
      </c>
      <c r="J213" s="67">
        <f>ROUND(H213*(1+I213),2)</f>
        <v>89.94</v>
      </c>
      <c r="K213" s="69">
        <f>SUM(G213*J213)</f>
        <v>8184.54</v>
      </c>
      <c r="L213" s="51"/>
      <c r="M213" s="52"/>
    </row>
    <row r="214" spans="2:13" s="25" customFormat="1" ht="30" customHeight="1" outlineLevel="1">
      <c r="B214" s="53" t="s">
        <v>456</v>
      </c>
      <c r="C214" s="54"/>
      <c r="D214" s="54" t="s">
        <v>457</v>
      </c>
      <c r="E214" s="55" t="s">
        <v>458</v>
      </c>
      <c r="F214" s="56" t="str">
        <f>IFERROR(UPPER(IF(C214="CPU",VLOOKUP(D214,#REF!,3,0),IF(C214="SINAPI",VLOOKUP(D214,#REF!,3,0),IF(C214="EDIF",VLOOKUP(D214,#REF!,3,0),IF(C214="CDHU",VLOOKUP(D214,#REF!,3,0),IF(C214="FDE",VLOOKUP(D214,#REF!,3,0),IF(C214="INFRA",VLOOKUP(D214,#REF!,3,0),""))))))),"")</f>
        <v/>
      </c>
      <c r="G214" s="57"/>
      <c r="H214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14" s="59"/>
      <c r="J214" s="59"/>
      <c r="K214" s="60">
        <f>SUBTOTAL(9,K215:K219)</f>
        <v>39808.9588</v>
      </c>
      <c r="L214" s="51"/>
      <c r="M214" s="52"/>
    </row>
    <row r="215" spans="2:13" s="25" customFormat="1" ht="30" customHeight="1" outlineLevel="1">
      <c r="B215" s="61" t="s">
        <v>459</v>
      </c>
      <c r="C215" s="62" t="s">
        <v>26</v>
      </c>
      <c r="D215" s="63" t="s">
        <v>460</v>
      </c>
      <c r="E215" s="64" t="str">
        <f>IFERROR(UPPER(IF(C215="CPU",VLOOKUP(D215,#REF!,2,0),IF(C215="SINAPI",VLOOKUP(D215,#REF!,2,0),IF(C215="EDIF",VLOOKUP(D215,#REF!,2,0),IF(C215="CDHU",VLOOKUP(D215,#REF!,2,0),IF(C215="FDE",VLOOKUP(D215,'FDE 10-23 '!$A$4:$E$3180,2,0),IF(C215="INFRA",VLOOKUP(D215,#REF!,2,0),""))))))),"")</f>
        <v>RUFO EM CHAPA GALVANIZADA N 24 - CORTE 0,25 M</v>
      </c>
      <c r="F215" s="65" t="str">
        <f>VLOOKUP(D215,'FDE 10-23 '!$A$4:$E$3180,3,0)</f>
        <v>M</v>
      </c>
      <c r="G215" s="66">
        <f>VLOOKUP(B215,Planilha17!$A$8:$F$1259,6,0)</f>
        <v>81</v>
      </c>
      <c r="H215" s="67">
        <f>VLOOKUP(D215,'FDE 10-23 '!$A$4:$E$3180,5,0)</f>
        <v>54.66</v>
      </c>
      <c r="I215" s="68">
        <f>$L$10</f>
        <v>0.23</v>
      </c>
      <c r="J215" s="67">
        <f>ROUND(H215*(1+I215),2)</f>
        <v>67.23</v>
      </c>
      <c r="K215" s="69">
        <f>SUM(G215*J215)</f>
        <v>5445.63</v>
      </c>
      <c r="L215" s="51"/>
      <c r="M215" s="52"/>
    </row>
    <row r="216" spans="2:13" s="25" customFormat="1" ht="30" customHeight="1" outlineLevel="1">
      <c r="B216" s="61" t="s">
        <v>461</v>
      </c>
      <c r="C216" s="62" t="s">
        <v>26</v>
      </c>
      <c r="D216" s="63" t="s">
        <v>462</v>
      </c>
      <c r="E216" s="64" t="str">
        <f>IFERROR(UPPER(IF(C216="CPU",VLOOKUP(D216,#REF!,2,0),IF(C216="SINAPI",VLOOKUP(D216,#REF!,2,0),IF(C216="EDIF",VLOOKUP(D216,#REF!,2,0),IF(C216="CDHU",VLOOKUP(D216,#REF!,2,0),IF(C216="FDE",VLOOKUP(D216,'FDE 10-23 '!$A$4:$E$3180,2,0),IF(C216="INFRA",VLOOKUP(D216,#REF!,2,0),""))))))),"")</f>
        <v>RUFO EM CHAPA GALVANIZADA N 24 - CORTE 0,33 M</v>
      </c>
      <c r="F216" s="65" t="str">
        <f>VLOOKUP(D216,'FDE 10-23 '!$A$4:$E$3180,3,0)</f>
        <v>M</v>
      </c>
      <c r="G216" s="66">
        <f>VLOOKUP(B216,Planilha17!$A$8:$F$1259,6,0)</f>
        <v>100.8</v>
      </c>
      <c r="H216" s="67">
        <f>VLOOKUP(D216,'FDE 10-23 '!$A$4:$E$3180,5,0)</f>
        <v>61.41</v>
      </c>
      <c r="I216" s="68">
        <f>$L$10</f>
        <v>0.23</v>
      </c>
      <c r="J216" s="67">
        <f>ROUND(H216*(1+I216),2)</f>
        <v>75.53</v>
      </c>
      <c r="K216" s="69">
        <f>SUM(G216*J216)</f>
        <v>7613.424</v>
      </c>
      <c r="L216" s="51"/>
      <c r="M216" s="52"/>
    </row>
    <row r="217" spans="2:13" s="25" customFormat="1" ht="30" customHeight="1" outlineLevel="1">
      <c r="B217" s="61" t="s">
        <v>463</v>
      </c>
      <c r="C217" s="62" t="s">
        <v>26</v>
      </c>
      <c r="D217" s="63" t="s">
        <v>464</v>
      </c>
      <c r="E217" s="64" t="str">
        <f>IFERROR(UPPER(IF(C217="CPU",VLOOKUP(D217,#REF!,2,0),IF(C217="SINAPI",VLOOKUP(D217,#REF!,2,0),IF(C217="EDIF",VLOOKUP(D217,#REF!,2,0),IF(C217="CDHU",VLOOKUP(D217,#REF!,2,0),IF(C217="FDE",VLOOKUP(D217,'FDE 10-23 '!$A$4:$E$3180,2,0),IF(C217="INFRA",VLOOKUP(D217,#REF!,2,0),""))))))),"")</f>
        <v>RUFO EM CHAPA GALVANIZADA N 24 - CORTE 0,50 M</v>
      </c>
      <c r="F217" s="65" t="str">
        <f>VLOOKUP(D217,'FDE 10-23 '!$A$4:$E$3180,3,0)</f>
        <v>M</v>
      </c>
      <c r="G217" s="66">
        <f>VLOOKUP(B217,Planilha17!$A$8:$F$1259,6,0)</f>
        <v>9.6</v>
      </c>
      <c r="H217" s="67">
        <f>VLOOKUP(D217,'FDE 10-23 '!$A$4:$E$3180,5,0)</f>
        <v>96.99</v>
      </c>
      <c r="I217" s="68">
        <f>$L$10</f>
        <v>0.23</v>
      </c>
      <c r="J217" s="67">
        <f>ROUND(H217*(1+I217),2)</f>
        <v>119.3</v>
      </c>
      <c r="K217" s="69">
        <f>SUM(G217*J217)</f>
        <v>1145.28</v>
      </c>
      <c r="L217" s="51"/>
      <c r="M217" s="52"/>
    </row>
    <row r="218" spans="2:13" s="25" customFormat="1" ht="30" customHeight="1" outlineLevel="1">
      <c r="B218" s="61" t="s">
        <v>465</v>
      </c>
      <c r="C218" s="62" t="s">
        <v>26</v>
      </c>
      <c r="D218" s="63" t="s">
        <v>466</v>
      </c>
      <c r="E218" s="64" t="str">
        <f>IFERROR(UPPER(IF(C218="CPU",VLOOKUP(D218,#REF!,2,0),IF(C218="SINAPI",VLOOKUP(D218,#REF!,2,0),IF(C218="EDIF",VLOOKUP(D218,#REF!,2,0),IF(C218="CDHU",VLOOKUP(D218,#REF!,2,0),IF(C218="FDE",VLOOKUP(D218,'FDE 10-23 '!$A$4:$E$3180,2,0),IF(C218="INFRA",VLOOKUP(D218,#REF!,2,0),""))))))),"")</f>
        <v>GRELHA HEMISFERICA DE FERRO FUNDIDO DN 100MM (4")</v>
      </c>
      <c r="F218" s="65" t="str">
        <f>VLOOKUP(D218,'FDE 10-23 '!$A$4:$E$3180,3,0)</f>
        <v>UN</v>
      </c>
      <c r="G218" s="66">
        <f>VLOOKUP(B218,Planilha17!$A$8:$F$1259,6,0)</f>
        <v>26</v>
      </c>
      <c r="H218" s="67">
        <f>VLOOKUP(D218,'FDE 10-23 '!$A$4:$E$3180,5,0)</f>
        <v>15.82</v>
      </c>
      <c r="I218" s="68">
        <f>$L$10</f>
        <v>0.23</v>
      </c>
      <c r="J218" s="67">
        <f>ROUND(H218*(1+I218),2)</f>
        <v>19.46</v>
      </c>
      <c r="K218" s="69">
        <f>SUM(G218*J218)</f>
        <v>505.96000000000004</v>
      </c>
      <c r="L218" s="51"/>
      <c r="M218" s="52"/>
    </row>
    <row r="219" spans="2:13" s="25" customFormat="1" ht="30" customHeight="1" outlineLevel="1">
      <c r="B219" s="61" t="s">
        <v>467</v>
      </c>
      <c r="C219" s="62" t="s">
        <v>26</v>
      </c>
      <c r="D219" s="63" t="s">
        <v>468</v>
      </c>
      <c r="E219" s="64" t="str">
        <f>IFERROR(UPPER(IF(C219="CPU",VLOOKUP(D219,#REF!,2,0),IF(C219="SINAPI",VLOOKUP(D219,#REF!,2,0),IF(C219="EDIF",VLOOKUP(D219,#REF!,2,0),IF(C219="CDHU",VLOOKUP(D219,#REF!,2,0),IF(C219="FDE",VLOOKUP(D219,'FDE 10-23 '!$A$4:$E$3180,2,0),IF(C219="INFRA",VLOOKUP(D219,#REF!,2,0),""))))))),"")</f>
        <v>SERVICOS EM REDE DE AGUAS PLUVIAIS</v>
      </c>
      <c r="F219" s="65" t="str">
        <f>VLOOKUP(D219,'FDE 10-23 '!$A$4:$E$3180,3,0)</f>
        <v>MV</v>
      </c>
      <c r="G219" s="66">
        <f>VLOOKUP(B219,Planilha17!$A$8:$F$1259,6,0)</f>
        <v>38.28</v>
      </c>
      <c r="H219" s="67">
        <f>VLOOKUP(D219,'FDE 10-23 '!$A$4:$E$3180,5,0)</f>
        <v>533.05999999999995</v>
      </c>
      <c r="I219" s="68">
        <f>$L$10</f>
        <v>0.23</v>
      </c>
      <c r="J219" s="67">
        <f>ROUND(H219*(1+I219),2)</f>
        <v>655.66</v>
      </c>
      <c r="K219" s="69">
        <f>SUM(G219*J219)</f>
        <v>25098.664799999999</v>
      </c>
      <c r="L219" s="51"/>
      <c r="M219" s="52"/>
    </row>
    <row r="220" spans="2:13" s="25" customFormat="1" ht="30" customHeight="1" outlineLevel="1">
      <c r="B220" s="53" t="s">
        <v>469</v>
      </c>
      <c r="C220" s="54"/>
      <c r="D220" s="54" t="s">
        <v>470</v>
      </c>
      <c r="E220" s="55" t="s">
        <v>471</v>
      </c>
      <c r="F220" s="56" t="str">
        <f>IFERROR(UPPER(IF(C220="CPU",VLOOKUP(D220,#REF!,3,0),IF(C220="SINAPI",VLOOKUP(D220,#REF!,3,0),IF(C220="EDIF",VLOOKUP(D220,#REF!,3,0),IF(C220="CDHU",VLOOKUP(D220,#REF!,3,0),IF(C220="FDE",VLOOKUP(D220,#REF!,3,0),IF(C220="INFRA",VLOOKUP(D220,#REF!,3,0),""))))))),"")</f>
        <v/>
      </c>
      <c r="G220" s="57"/>
      <c r="H22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20" s="59"/>
      <c r="J220" s="59"/>
      <c r="K220" s="60">
        <f>SUBTOTAL(9,K221:K226)</f>
        <v>32419.61</v>
      </c>
      <c r="L220" s="51"/>
      <c r="M220" s="52"/>
    </row>
    <row r="221" spans="2:13" s="25" customFormat="1" ht="30" customHeight="1" outlineLevel="1">
      <c r="B221" s="61" t="s">
        <v>472</v>
      </c>
      <c r="C221" s="62" t="s">
        <v>26</v>
      </c>
      <c r="D221" s="63" t="s">
        <v>473</v>
      </c>
      <c r="E221" s="64" t="str">
        <f>IFERROR(UPPER(IF(C221="CPU",VLOOKUP(D221,#REF!,2,0),IF(C221="SINAPI",VLOOKUP(D221,#REF!,2,0),IF(C221="EDIF",VLOOKUP(D221,#REF!,2,0),IF(C221="CDHU",VLOOKUP(D221,#REF!,2,0),IF(C221="FDE",VLOOKUP(D221,'FDE 10-23 '!$A$4:$E$3180,2,0),IF(C221="INFRA",VLOOKUP(D221,#REF!,2,0),""))))))),"")</f>
        <v>TUBO ACO GALVANIZ NBR5580-CL MEDIA, DN25MM (1") - INCL CONEXOES</v>
      </c>
      <c r="F221" s="65" t="str">
        <f>VLOOKUP(D221,'FDE 10-23 '!$A$4:$E$3180,3,0)</f>
        <v>M</v>
      </c>
      <c r="G221" s="66">
        <f>VLOOKUP(B221,Planilha17!$A$8:$F$1259,6,0)</f>
        <v>7</v>
      </c>
      <c r="H221" s="67">
        <f>VLOOKUP(D221,'FDE 10-23 '!$A$4:$E$3180,5,0)</f>
        <v>107.93</v>
      </c>
      <c r="I221" s="68">
        <f t="shared" ref="I221:I226" si="36">$L$10</f>
        <v>0.23</v>
      </c>
      <c r="J221" s="67">
        <f t="shared" ref="J221:J226" si="37">ROUND(H221*(1+I221),2)</f>
        <v>132.75</v>
      </c>
      <c r="K221" s="69">
        <f t="shared" ref="K221:K226" si="38">SUM(G221*J221)</f>
        <v>929.25</v>
      </c>
      <c r="L221" s="51"/>
      <c r="M221" s="52"/>
    </row>
    <row r="222" spans="2:13" s="25" customFormat="1" ht="30" customHeight="1" outlineLevel="1">
      <c r="B222" s="61" t="s">
        <v>474</v>
      </c>
      <c r="C222" s="62" t="s">
        <v>26</v>
      </c>
      <c r="D222" s="63" t="s">
        <v>475</v>
      </c>
      <c r="E222" s="64" t="str">
        <f>IFERROR(UPPER(IF(C222="CPU",VLOOKUP(D222,#REF!,2,0),IF(C222="SINAPI",VLOOKUP(D222,#REF!,2,0),IF(C222="EDIF",VLOOKUP(D222,#REF!,2,0),IF(C222="CDHU",VLOOKUP(D222,#REF!,2,0),IF(C222="FDE",VLOOKUP(D222,'FDE 10-23 '!$A$4:$E$3180,2,0),IF(C222="INFRA",VLOOKUP(D222,#REF!,2,0),""))))))),"")</f>
        <v>TUBO ACO GALVANIZ NBR5580-CL MEDIA, DN32MM (1 1/4")-INCL CONEXOES</v>
      </c>
      <c r="F222" s="65" t="str">
        <f>VLOOKUP(D222,'FDE 10-23 '!$A$4:$E$3180,3,0)</f>
        <v>M</v>
      </c>
      <c r="G222" s="66">
        <f>VLOOKUP(B222,Planilha17!$A$8:$F$1259,6,0)</f>
        <v>37</v>
      </c>
      <c r="H222" s="67">
        <f>VLOOKUP(D222,'FDE 10-23 '!$A$4:$E$3180,5,0)</f>
        <v>129.21</v>
      </c>
      <c r="I222" s="68">
        <f t="shared" si="36"/>
        <v>0.23</v>
      </c>
      <c r="J222" s="67">
        <f t="shared" si="37"/>
        <v>158.93</v>
      </c>
      <c r="K222" s="69">
        <f t="shared" si="38"/>
        <v>5880.41</v>
      </c>
      <c r="L222" s="51"/>
      <c r="M222" s="52"/>
    </row>
    <row r="223" spans="2:13" s="25" customFormat="1" ht="30" customHeight="1" outlineLevel="1">
      <c r="B223" s="61" t="s">
        <v>476</v>
      </c>
      <c r="C223" s="62" t="s">
        <v>26</v>
      </c>
      <c r="D223" s="63" t="s">
        <v>477</v>
      </c>
      <c r="E223" s="64" t="str">
        <f>IFERROR(UPPER(IF(C223="CPU",VLOOKUP(D223,#REF!,2,0),IF(C223="SINAPI",VLOOKUP(D223,#REF!,2,0),IF(C223="EDIF",VLOOKUP(D223,#REF!,2,0),IF(C223="CDHU",VLOOKUP(D223,#REF!,2,0),IF(C223="FDE",VLOOKUP(D223,'FDE 10-23 '!$A$4:$E$3180,2,0),IF(C223="INFRA",VLOOKUP(D223,#REF!,2,0),""))))))),"")</f>
        <v>TUBO ACO GALVANIZ NBR5580-CL MEDIA, DN40MM (1 1/2") - INCL CONEXOES</v>
      </c>
      <c r="F223" s="65" t="str">
        <f>VLOOKUP(D223,'FDE 10-23 '!$A$4:$E$3180,3,0)</f>
        <v>M</v>
      </c>
      <c r="G223" s="66">
        <f>VLOOKUP(B223,Planilha17!$A$8:$F$1259,6,0)</f>
        <v>68</v>
      </c>
      <c r="H223" s="67">
        <f>VLOOKUP(D223,'FDE 10-23 '!$A$4:$E$3180,5,0)</f>
        <v>146.85</v>
      </c>
      <c r="I223" s="68">
        <f t="shared" si="36"/>
        <v>0.23</v>
      </c>
      <c r="J223" s="67">
        <f t="shared" si="37"/>
        <v>180.63</v>
      </c>
      <c r="K223" s="69">
        <f t="shared" si="38"/>
        <v>12282.84</v>
      </c>
      <c r="L223" s="51"/>
      <c r="M223" s="52"/>
    </row>
    <row r="224" spans="2:13" s="25" customFormat="1" ht="30" customHeight="1" outlineLevel="1">
      <c r="B224" s="61" t="s">
        <v>478</v>
      </c>
      <c r="C224" s="62" t="s">
        <v>26</v>
      </c>
      <c r="D224" s="63" t="s">
        <v>479</v>
      </c>
      <c r="E224" s="64" t="str">
        <f>IFERROR(UPPER(IF(C224="CPU",VLOOKUP(D224,#REF!,2,0),IF(C224="SINAPI",VLOOKUP(D224,#REF!,2,0),IF(C224="EDIF",VLOOKUP(D224,#REF!,2,0),IF(C224="CDHU",VLOOKUP(D224,#REF!,2,0),IF(C224="FDE",VLOOKUP(D224,'FDE 10-23 '!$A$4:$E$3180,2,0),IF(C224="INFRA",VLOOKUP(D224,#REF!,2,0),""))))))),"")</f>
        <v>TUBO ACO GALVANIZ NBR5580-CL MEDIA, DN50MM (2") - INCL CONEXOES</v>
      </c>
      <c r="F224" s="65" t="str">
        <f>VLOOKUP(D224,'FDE 10-23 '!$A$4:$E$3180,3,0)</f>
        <v>M</v>
      </c>
      <c r="G224" s="66">
        <f>VLOOKUP(B224,Planilha17!$A$8:$F$1259,6,0)</f>
        <v>14</v>
      </c>
      <c r="H224" s="67">
        <f>VLOOKUP(D224,'FDE 10-23 '!$A$4:$E$3180,5,0)</f>
        <v>184.32</v>
      </c>
      <c r="I224" s="68">
        <f t="shared" si="36"/>
        <v>0.23</v>
      </c>
      <c r="J224" s="67">
        <f t="shared" si="37"/>
        <v>226.71</v>
      </c>
      <c r="K224" s="69">
        <f t="shared" si="38"/>
        <v>3173.94</v>
      </c>
      <c r="L224" s="51"/>
      <c r="M224" s="52"/>
    </row>
    <row r="225" spans="2:13" s="25" customFormat="1" ht="30" customHeight="1" outlineLevel="1">
      <c r="B225" s="61" t="s">
        <v>480</v>
      </c>
      <c r="C225" s="62" t="s">
        <v>26</v>
      </c>
      <c r="D225" s="63" t="s">
        <v>481</v>
      </c>
      <c r="E225" s="64" t="str">
        <f>IFERROR(UPPER(IF(C225="CPU",VLOOKUP(D225,#REF!,2,0),IF(C225="SINAPI",VLOOKUP(D225,#REF!,2,0),IF(C225="EDIF",VLOOKUP(D225,#REF!,2,0),IF(C225="CDHU",VLOOKUP(D225,#REF!,2,0),IF(C225="FDE",VLOOKUP(D225,'FDE 10-23 '!$A$4:$E$3180,2,0),IF(C225="INFRA",VLOOKUP(D225,#REF!,2,0),""))))))),"")</f>
        <v>TUBO ACO GALVANIZ NBR5580-CL MEDIA, DN80MM (3")-INCL CONEXOES</v>
      </c>
      <c r="F225" s="65" t="str">
        <f>VLOOKUP(D225,'FDE 10-23 '!$A$4:$E$3180,3,0)</f>
        <v>M</v>
      </c>
      <c r="G225" s="66">
        <f>VLOOKUP(B225,Planilha17!$A$8:$F$1259,6,0)</f>
        <v>29</v>
      </c>
      <c r="H225" s="67">
        <f>VLOOKUP(D225,'FDE 10-23 '!$A$4:$E$3180,5,0)</f>
        <v>260.2</v>
      </c>
      <c r="I225" s="68">
        <f t="shared" si="36"/>
        <v>0.23</v>
      </c>
      <c r="J225" s="67">
        <f t="shared" si="37"/>
        <v>320.05</v>
      </c>
      <c r="K225" s="69">
        <f t="shared" si="38"/>
        <v>9281.4500000000007</v>
      </c>
      <c r="L225" s="51"/>
      <c r="M225" s="52"/>
    </row>
    <row r="226" spans="2:13" s="25" customFormat="1" ht="30" customHeight="1" outlineLevel="1">
      <c r="B226" s="61" t="s">
        <v>482</v>
      </c>
      <c r="C226" s="62" t="s">
        <v>26</v>
      </c>
      <c r="D226" s="63" t="s">
        <v>483</v>
      </c>
      <c r="E226" s="64" t="str">
        <f>IFERROR(UPPER(IF(C226="CPU",VLOOKUP(D226,#REF!,2,0),IF(C226="SINAPI",VLOOKUP(D226,#REF!,2,0),IF(C226="EDIF",VLOOKUP(D226,#REF!,2,0),IF(C226="CDHU",VLOOKUP(D226,#REF!,2,0),IF(C226="FDE",VLOOKUP(D226,'FDE 10-23 '!$A$4:$E$3180,2,0),IF(C226="INFRA",VLOOKUP(D226,#REF!,2,0),""))))))),"")</f>
        <v>TUBO ACO GALVANIZ NBR5580-CL MEDIA, DN100MM (4")-INCL CONEXOES</v>
      </c>
      <c r="F226" s="65" t="str">
        <f>VLOOKUP(D226,'FDE 10-23 '!$A$4:$E$3180,3,0)</f>
        <v>M</v>
      </c>
      <c r="G226" s="66">
        <f>VLOOKUP(B226,Planilha17!$A$8:$F$1259,6,0)</f>
        <v>2</v>
      </c>
      <c r="H226" s="67">
        <f>VLOOKUP(D226,'FDE 10-23 '!$A$4:$E$3180,5,0)</f>
        <v>354.36</v>
      </c>
      <c r="I226" s="68">
        <f t="shared" si="36"/>
        <v>0.23</v>
      </c>
      <c r="J226" s="67">
        <f t="shared" si="37"/>
        <v>435.86</v>
      </c>
      <c r="K226" s="69">
        <f t="shared" si="38"/>
        <v>871.72</v>
      </c>
      <c r="L226" s="51"/>
      <c r="M226" s="52"/>
    </row>
    <row r="227" spans="2:13" s="25" customFormat="1" ht="30" customHeight="1" outlineLevel="1">
      <c r="B227" s="53" t="s">
        <v>484</v>
      </c>
      <c r="C227" s="54"/>
      <c r="D227" s="54" t="s">
        <v>485</v>
      </c>
      <c r="E227" s="55" t="s">
        <v>486</v>
      </c>
      <c r="F227" s="56" t="str">
        <f>IFERROR(UPPER(IF(C227="CPU",VLOOKUP(D227,#REF!,3,0),IF(C227="SINAPI",VLOOKUP(D227,#REF!,3,0),IF(C227="EDIF",VLOOKUP(D227,#REF!,3,0),IF(C227="CDHU",VLOOKUP(D227,#REF!,3,0),IF(C227="FDE",VLOOKUP(D227,#REF!,3,0),IF(C227="INFRA",VLOOKUP(D227,#REF!,3,0),""))))))),"")</f>
        <v/>
      </c>
      <c r="G227" s="57"/>
      <c r="H22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27" s="59"/>
      <c r="J227" s="59"/>
      <c r="K227" s="60">
        <f>SUBTOTAL(9,K228:K244)</f>
        <v>375423.46679999994</v>
      </c>
      <c r="L227" s="51"/>
      <c r="M227" s="52"/>
    </row>
    <row r="228" spans="2:13" s="25" customFormat="1" ht="30" customHeight="1" outlineLevel="1">
      <c r="B228" s="61" t="s">
        <v>487</v>
      </c>
      <c r="C228" s="62" t="s">
        <v>26</v>
      </c>
      <c r="D228" s="63" t="s">
        <v>488</v>
      </c>
      <c r="E228" s="64" t="str">
        <f>IFERROR(UPPER(IF(C228="CPU",VLOOKUP(D228,#REF!,2,0),IF(C228="SINAPI",VLOOKUP(D228,#REF!,2,0),IF(C228="EDIF",VLOOKUP(D228,#REF!,2,0),IF(C228="CDHU",VLOOKUP(D228,#REF!,2,0),IF(C228="FDE",VLOOKUP(D228,'FDE 10-23 '!$A$4:$E$3180,2,0),IF(C228="INFRA",VLOOKUP(D228,#REF!,2,0),""))))))),"")</f>
        <v>REGISTRO DE GAVETA BRUTO DN 25MM (1")</v>
      </c>
      <c r="F228" s="65" t="str">
        <f>VLOOKUP(D228,'FDE 10-23 '!$A$4:$E$3180,3,0)</f>
        <v>UN</v>
      </c>
      <c r="G228" s="66">
        <f>VLOOKUP(B228,Planilha17!$A$8:$F$1259,6,0)</f>
        <v>2</v>
      </c>
      <c r="H228" s="67">
        <f>VLOOKUP(D228,'FDE 10-23 '!$A$4:$E$3180,5,0)</f>
        <v>88.81</v>
      </c>
      <c r="I228" s="68">
        <f t="shared" ref="I228:I244" si="39">$L$10</f>
        <v>0.23</v>
      </c>
      <c r="J228" s="67">
        <f t="shared" ref="J228:J244" si="40">ROUND(H228*(1+I228),2)</f>
        <v>109.24</v>
      </c>
      <c r="K228" s="69">
        <f t="shared" ref="K228:K244" si="41">SUM(G228*J228)</f>
        <v>218.48</v>
      </c>
      <c r="L228" s="51"/>
      <c r="M228" s="52"/>
    </row>
    <row r="229" spans="2:13" s="25" customFormat="1" ht="30" customHeight="1" outlineLevel="1">
      <c r="B229" s="61" t="s">
        <v>489</v>
      </c>
      <c r="C229" s="62" t="s">
        <v>26</v>
      </c>
      <c r="D229" s="63" t="s">
        <v>490</v>
      </c>
      <c r="E229" s="64" t="str">
        <f>IFERROR(UPPER(IF(C229="CPU",VLOOKUP(D229,#REF!,2,0),IF(C229="SINAPI",VLOOKUP(D229,#REF!,2,0),IF(C229="EDIF",VLOOKUP(D229,#REF!,2,0),IF(C229="CDHU",VLOOKUP(D229,#REF!,2,0),IF(C229="FDE",VLOOKUP(D229,'FDE 10-23 '!$A$4:$E$3180,2,0),IF(C229="INFRA",VLOOKUP(D229,#REF!,2,0),""))))))),"")</f>
        <v>REGISTRO DE GAVETA BRUTO DN 32MM (1 1/4")</v>
      </c>
      <c r="F229" s="65" t="str">
        <f>VLOOKUP(D229,'FDE 10-23 '!$A$4:$E$3180,3,0)</f>
        <v>UN</v>
      </c>
      <c r="G229" s="66">
        <f>VLOOKUP(B229,Planilha17!$A$8:$F$1259,6,0)</f>
        <v>2</v>
      </c>
      <c r="H229" s="67">
        <f>VLOOKUP(D229,'FDE 10-23 '!$A$4:$E$3180,5,0)</f>
        <v>110.02</v>
      </c>
      <c r="I229" s="68">
        <f t="shared" si="39"/>
        <v>0.23</v>
      </c>
      <c r="J229" s="67">
        <f t="shared" si="40"/>
        <v>135.32</v>
      </c>
      <c r="K229" s="69">
        <f t="shared" si="41"/>
        <v>270.64</v>
      </c>
      <c r="L229" s="51"/>
      <c r="M229" s="52"/>
    </row>
    <row r="230" spans="2:13" s="25" customFormat="1" ht="30" customHeight="1" outlineLevel="1">
      <c r="B230" s="61" t="s">
        <v>491</v>
      </c>
      <c r="C230" s="62" t="s">
        <v>26</v>
      </c>
      <c r="D230" s="63" t="s">
        <v>492</v>
      </c>
      <c r="E230" s="64" t="str">
        <f>IFERROR(UPPER(IF(C230="CPU",VLOOKUP(D230,#REF!,2,0),IF(C230="SINAPI",VLOOKUP(D230,#REF!,2,0),IF(C230="EDIF",VLOOKUP(D230,#REF!,2,0),IF(C230="CDHU",VLOOKUP(D230,#REF!,2,0),IF(C230="FDE",VLOOKUP(D230,'FDE 10-23 '!$A$4:$E$3180,2,0),IF(C230="INFRA",VLOOKUP(D230,#REF!,2,0),""))))))),"")</f>
        <v>REGISTRO DE GAVETA BRUTO DN 40MM (1.1/2")</v>
      </c>
      <c r="F230" s="65" t="str">
        <f>VLOOKUP(D230,'FDE 10-23 '!$A$4:$E$3180,3,0)</f>
        <v>UN</v>
      </c>
      <c r="G230" s="66">
        <f>VLOOKUP(B230,Planilha17!$A$8:$F$1259,6,0)</f>
        <v>10</v>
      </c>
      <c r="H230" s="67">
        <f>VLOOKUP(D230,'FDE 10-23 '!$A$4:$E$3180,5,0)</f>
        <v>128.87</v>
      </c>
      <c r="I230" s="68">
        <f t="shared" si="39"/>
        <v>0.23</v>
      </c>
      <c r="J230" s="67">
        <f t="shared" si="40"/>
        <v>158.51</v>
      </c>
      <c r="K230" s="69">
        <f t="shared" si="41"/>
        <v>1585.1</v>
      </c>
      <c r="L230" s="51"/>
      <c r="M230" s="52"/>
    </row>
    <row r="231" spans="2:13" s="25" customFormat="1" ht="30" customHeight="1" outlineLevel="1">
      <c r="B231" s="61" t="s">
        <v>493</v>
      </c>
      <c r="C231" s="62" t="s">
        <v>26</v>
      </c>
      <c r="D231" s="63" t="s">
        <v>494</v>
      </c>
      <c r="E231" s="64" t="str">
        <f>IFERROR(UPPER(IF(C231="CPU",VLOOKUP(D231,#REF!,2,0),IF(C231="SINAPI",VLOOKUP(D231,#REF!,2,0),IF(C231="EDIF",VLOOKUP(D231,#REF!,2,0),IF(C231="CDHU",VLOOKUP(D231,#REF!,2,0),IF(C231="FDE",VLOOKUP(D231,'FDE 10-23 '!$A$4:$E$3180,2,0),IF(C231="INFRA",VLOOKUP(D231,#REF!,2,0),""))))))),"")</f>
        <v>REGISTRO DE GAVETA BRUTO DN 50MM (2")</v>
      </c>
      <c r="F231" s="65" t="str">
        <f>VLOOKUP(D231,'FDE 10-23 '!$A$4:$E$3180,3,0)</f>
        <v>UN</v>
      </c>
      <c r="G231" s="66">
        <f>VLOOKUP(B231,Planilha17!$A$8:$F$1259,6,0)</f>
        <v>1</v>
      </c>
      <c r="H231" s="67">
        <f>VLOOKUP(D231,'FDE 10-23 '!$A$4:$E$3180,5,0)</f>
        <v>167.69</v>
      </c>
      <c r="I231" s="68">
        <f t="shared" si="39"/>
        <v>0.23</v>
      </c>
      <c r="J231" s="67">
        <f t="shared" si="40"/>
        <v>206.26</v>
      </c>
      <c r="K231" s="69">
        <f t="shared" si="41"/>
        <v>206.26</v>
      </c>
      <c r="L231" s="51"/>
      <c r="M231" s="52"/>
    </row>
    <row r="232" spans="2:13" s="25" customFormat="1" ht="30" customHeight="1" outlineLevel="1">
      <c r="B232" s="61" t="s">
        <v>495</v>
      </c>
      <c r="C232" s="62" t="s">
        <v>26</v>
      </c>
      <c r="D232" s="63" t="s">
        <v>496</v>
      </c>
      <c r="E232" s="64" t="str">
        <f>IFERROR(UPPER(IF(C232="CPU",VLOOKUP(D232,#REF!,2,0),IF(C232="SINAPI",VLOOKUP(D232,#REF!,2,0),IF(C232="EDIF",VLOOKUP(D232,#REF!,2,0),IF(C232="CDHU",VLOOKUP(D232,#REF!,2,0),IF(C232="FDE",VLOOKUP(D232,'FDE 10-23 '!$A$4:$E$3180,2,0),IF(C232="INFRA",VLOOKUP(D232,#REF!,2,0),""))))))),"")</f>
        <v>REGISTRO DE GAVETA BRUTO DN 80MM (3")</v>
      </c>
      <c r="F232" s="65" t="str">
        <f>VLOOKUP(D232,'FDE 10-23 '!$A$4:$E$3180,3,0)</f>
        <v>UN</v>
      </c>
      <c r="G232" s="66">
        <f>VLOOKUP(B232,Planilha17!$A$8:$F$1259,6,0)</f>
        <v>4</v>
      </c>
      <c r="H232" s="67">
        <f>VLOOKUP(D232,'FDE 10-23 '!$A$4:$E$3180,5,0)</f>
        <v>597.03</v>
      </c>
      <c r="I232" s="68">
        <f t="shared" si="39"/>
        <v>0.23</v>
      </c>
      <c r="J232" s="67">
        <f t="shared" si="40"/>
        <v>734.35</v>
      </c>
      <c r="K232" s="69">
        <f t="shared" si="41"/>
        <v>2937.4</v>
      </c>
      <c r="L232" s="51"/>
      <c r="M232" s="52"/>
    </row>
    <row r="233" spans="2:13" s="25" customFormat="1" ht="30" customHeight="1" outlineLevel="1">
      <c r="B233" s="61" t="s">
        <v>497</v>
      </c>
      <c r="C233" s="62" t="s">
        <v>26</v>
      </c>
      <c r="D233" s="63" t="s">
        <v>498</v>
      </c>
      <c r="E233" s="64" t="str">
        <f>IFERROR(UPPER(IF(C233="CPU",VLOOKUP(D233,#REF!,2,0),IF(C233="SINAPI",VLOOKUP(D233,#REF!,2,0),IF(C233="EDIF",VLOOKUP(D233,#REF!,2,0),IF(C233="CDHU",VLOOKUP(D233,#REF!,2,0),IF(C233="FDE",VLOOKUP(D233,'FDE 10-23 '!$A$4:$E$3180,2,0),IF(C233="INFRA",VLOOKUP(D233,#REF!,2,0),""))))))),"")</f>
        <v>VALVULA DE RETENCAO HORIZONTAL DE BRONZE DE 1"</v>
      </c>
      <c r="F233" s="65" t="str">
        <f>VLOOKUP(D233,'FDE 10-23 '!$A$4:$E$3180,3,0)</f>
        <v>UN</v>
      </c>
      <c r="G233" s="66">
        <f>VLOOKUP(B233,Planilha17!$A$8:$F$1259,6,0)</f>
        <v>1</v>
      </c>
      <c r="H233" s="67">
        <f>VLOOKUP(D233,'FDE 10-23 '!$A$4:$E$3180,5,0)</f>
        <v>158.91</v>
      </c>
      <c r="I233" s="68">
        <f t="shared" si="39"/>
        <v>0.23</v>
      </c>
      <c r="J233" s="67">
        <f t="shared" si="40"/>
        <v>195.46</v>
      </c>
      <c r="K233" s="69">
        <f t="shared" si="41"/>
        <v>195.46</v>
      </c>
      <c r="L233" s="51"/>
      <c r="M233" s="52"/>
    </row>
    <row r="234" spans="2:13" s="25" customFormat="1" ht="30" customHeight="1" outlineLevel="1">
      <c r="B234" s="61" t="s">
        <v>499</v>
      </c>
      <c r="C234" s="62" t="s">
        <v>26</v>
      </c>
      <c r="D234" s="63" t="s">
        <v>500</v>
      </c>
      <c r="E234" s="64" t="str">
        <f>IFERROR(UPPER(IF(C234="CPU",VLOOKUP(D234,#REF!,2,0),IF(C234="SINAPI",VLOOKUP(D234,#REF!,2,0),IF(C234="EDIF",VLOOKUP(D234,#REF!,2,0),IF(C234="CDHU",VLOOKUP(D234,#REF!,2,0),IF(C234="FDE",VLOOKUP(D234,'FDE 10-23 '!$A$4:$E$3180,2,0),IF(C234="INFRA",VLOOKUP(D234,#REF!,2,0),""))))))),"")</f>
        <v>VALVULA DE RETENCAO HORIZONTAL DE BRONZE DE 1.1/2"</v>
      </c>
      <c r="F234" s="65" t="str">
        <f>VLOOKUP(D234,'FDE 10-23 '!$A$4:$E$3180,3,0)</f>
        <v>UN</v>
      </c>
      <c r="G234" s="66">
        <f>VLOOKUP(B234,Planilha17!$A$8:$F$1259,6,0)</f>
        <v>1</v>
      </c>
      <c r="H234" s="67">
        <f>VLOOKUP(D234,'FDE 10-23 '!$A$4:$E$3180,5,0)</f>
        <v>255.21</v>
      </c>
      <c r="I234" s="68">
        <f t="shared" si="39"/>
        <v>0.23</v>
      </c>
      <c r="J234" s="67">
        <f t="shared" si="40"/>
        <v>313.91000000000003</v>
      </c>
      <c r="K234" s="69">
        <f t="shared" si="41"/>
        <v>313.91000000000003</v>
      </c>
      <c r="L234" s="51"/>
      <c r="M234" s="52"/>
    </row>
    <row r="235" spans="2:13" s="25" customFormat="1" ht="30" customHeight="1" outlineLevel="1">
      <c r="B235" s="61" t="s">
        <v>501</v>
      </c>
      <c r="C235" s="62" t="s">
        <v>26</v>
      </c>
      <c r="D235" s="63" t="s">
        <v>502</v>
      </c>
      <c r="E235" s="64" t="str">
        <f>IFERROR(UPPER(IF(C235="CPU",VLOOKUP(D235,#REF!,2,0),IF(C235="SINAPI",VLOOKUP(D235,#REF!,2,0),IF(C235="EDIF",VLOOKUP(D235,#REF!,2,0),IF(C235="CDHU",VLOOKUP(D235,#REF!,2,0),IF(C235="FDE",VLOOKUP(D235,'FDE 10-23 '!$A$4:$E$3180,2,0),IF(C235="INFRA",VLOOKUP(D235,#REF!,2,0),""))))))),"")</f>
        <v>VALVULA DE RETENCAO VERTICAL DE BRONZE DE 1.1/2"</v>
      </c>
      <c r="F235" s="65" t="str">
        <f>VLOOKUP(D235,'FDE 10-23 '!$A$4:$E$3180,3,0)</f>
        <v>UN</v>
      </c>
      <c r="G235" s="66">
        <f>VLOOKUP(B235,Planilha17!$A$8:$F$1259,6,0)</f>
        <v>2</v>
      </c>
      <c r="H235" s="67">
        <f>VLOOKUP(D235,'FDE 10-23 '!$A$4:$E$3180,5,0)</f>
        <v>191.26</v>
      </c>
      <c r="I235" s="68">
        <f t="shared" si="39"/>
        <v>0.23</v>
      </c>
      <c r="J235" s="67">
        <f t="shared" si="40"/>
        <v>235.25</v>
      </c>
      <c r="K235" s="69">
        <f t="shared" si="41"/>
        <v>470.5</v>
      </c>
      <c r="L235" s="51"/>
      <c r="M235" s="52"/>
    </row>
    <row r="236" spans="2:13" s="25" customFormat="1" ht="30" customHeight="1" outlineLevel="1">
      <c r="B236" s="61" t="s">
        <v>503</v>
      </c>
      <c r="C236" s="62" t="s">
        <v>26</v>
      </c>
      <c r="D236" s="63" t="s">
        <v>504</v>
      </c>
      <c r="E236" s="64" t="str">
        <f>IFERROR(UPPER(IF(C236="CPU",VLOOKUP(D236,#REF!,2,0),IF(C236="SINAPI",VLOOKUP(D236,#REF!,2,0),IF(C236="EDIF",VLOOKUP(D236,#REF!,2,0),IF(C236="CDHU",VLOOKUP(D236,#REF!,2,0),IF(C236="FDE",VLOOKUP(D236,'FDE 10-23 '!$A$4:$E$3180,2,0),IF(C236="INFRA",VLOOKUP(D236,#REF!,2,0),""))))))),"")</f>
        <v>VALVULA DE RETENCAO VERTICAL DE BRONZE DE 3"</v>
      </c>
      <c r="F236" s="65" t="str">
        <f>VLOOKUP(D236,'FDE 10-23 '!$A$4:$E$3180,3,0)</f>
        <v>UN</v>
      </c>
      <c r="G236" s="66">
        <f>VLOOKUP(B236,Planilha17!$A$8:$F$1259,6,0)</f>
        <v>2</v>
      </c>
      <c r="H236" s="67">
        <f>VLOOKUP(D236,'FDE 10-23 '!$A$4:$E$3180,5,0)</f>
        <v>603.54999999999995</v>
      </c>
      <c r="I236" s="68">
        <f t="shared" si="39"/>
        <v>0.23</v>
      </c>
      <c r="J236" s="67">
        <f t="shared" si="40"/>
        <v>742.37</v>
      </c>
      <c r="K236" s="69">
        <f t="shared" si="41"/>
        <v>1484.74</v>
      </c>
      <c r="L236" s="51"/>
      <c r="M236" s="52"/>
    </row>
    <row r="237" spans="2:13" s="25" customFormat="1" ht="30" customHeight="1" outlineLevel="1">
      <c r="B237" s="61" t="s">
        <v>505</v>
      </c>
      <c r="C237" s="62" t="s">
        <v>26</v>
      </c>
      <c r="D237" s="63" t="s">
        <v>506</v>
      </c>
      <c r="E237" s="64" t="str">
        <f>IFERROR(UPPER(IF(C237="CPU",VLOOKUP(D237,#REF!,2,0),IF(C237="SINAPI",VLOOKUP(D237,#REF!,2,0),IF(C237="EDIF",VLOOKUP(D237,#REF!,2,0),IF(C237="CDHU",VLOOKUP(D237,#REF!,2,0),IF(C237="FDE",VLOOKUP(D237,'FDE 10-23 '!$A$4:$E$3180,2,0),IF(C237="INFRA",VLOOKUP(D237,#REF!,2,0),""))))))),"")</f>
        <v>VALVULA DE RETENCAO DE PE COM CRIVO DE BRONZE DE 1.1/2"</v>
      </c>
      <c r="F237" s="65" t="str">
        <f>VLOOKUP(D237,'FDE 10-23 '!$A$4:$E$3180,3,0)</f>
        <v>UN</v>
      </c>
      <c r="G237" s="66">
        <f>VLOOKUP(B237,Planilha17!$A$8:$F$1259,6,0)</f>
        <v>1</v>
      </c>
      <c r="H237" s="67">
        <f>VLOOKUP(D237,'FDE 10-23 '!$A$4:$E$3180,5,0)</f>
        <v>180.17</v>
      </c>
      <c r="I237" s="68">
        <f t="shared" si="39"/>
        <v>0.23</v>
      </c>
      <c r="J237" s="67">
        <f t="shared" si="40"/>
        <v>221.61</v>
      </c>
      <c r="K237" s="69">
        <f t="shared" si="41"/>
        <v>221.61</v>
      </c>
      <c r="L237" s="51"/>
      <c r="M237" s="52"/>
    </row>
    <row r="238" spans="2:13" s="25" customFormat="1" ht="30" customHeight="1" outlineLevel="1">
      <c r="B238" s="61" t="s">
        <v>507</v>
      </c>
      <c r="C238" s="62" t="s">
        <v>26</v>
      </c>
      <c r="D238" s="63" t="s">
        <v>508</v>
      </c>
      <c r="E238" s="64" t="str">
        <f>IFERROR(UPPER(IF(C238="CPU",VLOOKUP(D238,#REF!,2,0),IF(C238="SINAPI",VLOOKUP(D238,#REF!,2,0),IF(C238="EDIF",VLOOKUP(D238,#REF!,2,0),IF(C238="CDHU",VLOOKUP(D238,#REF!,2,0),IF(C238="FDE",VLOOKUP(D238,'FDE 10-23 '!$A$4:$E$3180,2,0),IF(C238="INFRA",VLOOKUP(D238,#REF!,2,0),""))))))),"")</f>
        <v>TORNEIRA DE BOIA EM LATAO (BOIA PLAST) DN 25MM (1")</v>
      </c>
      <c r="F238" s="65" t="str">
        <f>VLOOKUP(D238,'FDE 10-23 '!$A$4:$E$3180,3,0)</f>
        <v>UN</v>
      </c>
      <c r="G238" s="66">
        <f>VLOOKUP(B238,Planilha17!$A$8:$F$1259,6,0)</f>
        <v>1</v>
      </c>
      <c r="H238" s="67">
        <f>VLOOKUP(D238,'FDE 10-23 '!$A$4:$E$3180,5,0)</f>
        <v>130.13</v>
      </c>
      <c r="I238" s="68">
        <f t="shared" si="39"/>
        <v>0.23</v>
      </c>
      <c r="J238" s="67">
        <f t="shared" si="40"/>
        <v>160.06</v>
      </c>
      <c r="K238" s="69">
        <f t="shared" si="41"/>
        <v>160.06</v>
      </c>
      <c r="L238" s="51"/>
      <c r="M238" s="52"/>
    </row>
    <row r="239" spans="2:13" s="25" customFormat="1" ht="30" customHeight="1" outlineLevel="1">
      <c r="B239" s="61" t="s">
        <v>509</v>
      </c>
      <c r="C239" s="62" t="s">
        <v>26</v>
      </c>
      <c r="D239" s="63" t="s">
        <v>510</v>
      </c>
      <c r="E239" s="64" t="str">
        <f>IFERROR(UPPER(IF(C239="CPU",VLOOKUP(D239,#REF!,2,0),IF(C239="SINAPI",VLOOKUP(D239,#REF!,2,0),IF(C239="EDIF",VLOOKUP(D239,#REF!,2,0),IF(C239="CDHU",VLOOKUP(D239,#REF!,2,0),IF(C239="FDE",VLOOKUP(D239,'FDE 10-23 '!$A$4:$E$3180,2,0),IF(C239="INFRA",VLOOKUP(D239,#REF!,2,0),""))))))),"")</f>
        <v>CONJ MOTOR-BOMBA(CENTRIFUGA)1,5 HP(10000 L/H-20 MCA)</v>
      </c>
      <c r="F239" s="65" t="str">
        <f>VLOOKUP(D239,'FDE 10-23 '!$A$4:$E$3180,3,0)</f>
        <v>UN</v>
      </c>
      <c r="G239" s="66">
        <f>VLOOKUP(B239,Planilha17!$A$8:$F$1259,6,0)</f>
        <v>2</v>
      </c>
      <c r="H239" s="67">
        <f>VLOOKUP(D239,'FDE 10-23 '!$A$4:$E$3180,5,0)</f>
        <v>2322.79</v>
      </c>
      <c r="I239" s="68">
        <f t="shared" si="39"/>
        <v>0.23</v>
      </c>
      <c r="J239" s="67">
        <f t="shared" si="40"/>
        <v>2857.03</v>
      </c>
      <c r="K239" s="69">
        <f t="shared" si="41"/>
        <v>5714.06</v>
      </c>
      <c r="L239" s="51"/>
      <c r="M239" s="52"/>
    </row>
    <row r="240" spans="2:13" s="25" customFormat="1" ht="30" customHeight="1" outlineLevel="1">
      <c r="B240" s="61" t="s">
        <v>511</v>
      </c>
      <c r="C240" s="62" t="s">
        <v>26</v>
      </c>
      <c r="D240" s="63" t="s">
        <v>512</v>
      </c>
      <c r="E240" s="64" t="str">
        <f>IFERROR(UPPER(IF(C240="CPU",VLOOKUP(D240,#REF!,2,0),IF(C240="SINAPI",VLOOKUP(D240,#REF!,2,0),IF(C240="EDIF",VLOOKUP(D240,#REF!,2,0),IF(C240="CDHU",VLOOKUP(D240,#REF!,2,0),IF(C240="FDE",VLOOKUP(D240,'FDE 10-23 '!$A$4:$E$3180,2,0),IF(C240="INFRA",VLOOKUP(D240,#REF!,2,0),""))))))),"")</f>
        <v>CONJ MOTOR-BOMBA (CENTRIFUGA) 2 HP (13900 L/H-20 MCA)</v>
      </c>
      <c r="F240" s="65" t="str">
        <f>VLOOKUP(D240,'FDE 10-23 '!$A$4:$E$3180,3,0)</f>
        <v>UN</v>
      </c>
      <c r="G240" s="66">
        <f>VLOOKUP(B240,Planilha17!$A$8:$F$1259,6,0)</f>
        <v>2</v>
      </c>
      <c r="H240" s="67">
        <f>VLOOKUP(D240,'FDE 10-23 '!$A$4:$E$3180,5,0)</f>
        <v>3708.49</v>
      </c>
      <c r="I240" s="68">
        <f t="shared" si="39"/>
        <v>0.23</v>
      </c>
      <c r="J240" s="67">
        <f t="shared" si="40"/>
        <v>4561.4399999999996</v>
      </c>
      <c r="K240" s="69">
        <f t="shared" si="41"/>
        <v>9122.8799999999992</v>
      </c>
      <c r="L240" s="51"/>
      <c r="M240" s="52"/>
    </row>
    <row r="241" spans="2:13" s="25" customFormat="1" ht="30" customHeight="1" outlineLevel="1">
      <c r="B241" s="61" t="s">
        <v>513</v>
      </c>
      <c r="C241" s="62" t="s">
        <v>26</v>
      </c>
      <c r="D241" s="63" t="s">
        <v>514</v>
      </c>
      <c r="E241" s="64" t="str">
        <f>IFERROR(UPPER(IF(C241="CPU",VLOOKUP(D241,#REF!,2,0),IF(C241="SINAPI",VLOOKUP(D241,#REF!,2,0),IF(C241="EDIF",VLOOKUP(D241,#REF!,2,0),IF(C241="CDHU",VLOOKUP(D241,#REF!,2,0),IF(C241="FDE",VLOOKUP(D241,'FDE 10-23 '!$A$4:$E$3180,2,0),IF(C241="INFRA",VLOOKUP(D241,#REF!,2,0),""))))))),"")</f>
        <v>ANEIS PRE-MOLDADOS EM CONCRETO ARMADO P/ RESERVATORIO D'AGUA D=2,50M</v>
      </c>
      <c r="F241" s="65" t="str">
        <f>VLOOKUP(D241,'FDE 10-23 '!$A$4:$E$3180,3,0)</f>
        <v>M</v>
      </c>
      <c r="G241" s="66">
        <f>VLOOKUP(B241,Planilha17!$A$8:$F$1259,6,0)</f>
        <v>19</v>
      </c>
      <c r="H241" s="67">
        <f>VLOOKUP(D241,'FDE 10-23 '!$A$4:$E$3180,5,0)</f>
        <v>13516</v>
      </c>
      <c r="I241" s="68">
        <f t="shared" si="39"/>
        <v>0.23</v>
      </c>
      <c r="J241" s="67">
        <f t="shared" si="40"/>
        <v>16624.68</v>
      </c>
      <c r="K241" s="69">
        <f t="shared" si="41"/>
        <v>315868.92</v>
      </c>
      <c r="L241" s="51"/>
      <c r="M241" s="52"/>
    </row>
    <row r="242" spans="2:13" s="25" customFormat="1" ht="30" customHeight="1" outlineLevel="1">
      <c r="B242" s="61" t="s">
        <v>515</v>
      </c>
      <c r="C242" s="62" t="s">
        <v>26</v>
      </c>
      <c r="D242" s="63" t="s">
        <v>516</v>
      </c>
      <c r="E242" s="64" t="str">
        <f>IFERROR(UPPER(IF(C242="CPU",VLOOKUP(D242,#REF!,2,0),IF(C242="SINAPI",VLOOKUP(D242,#REF!,2,0),IF(C242="EDIF",VLOOKUP(D242,#REF!,2,0),IF(C242="CDHU",VLOOKUP(D242,#REF!,2,0),IF(C242="FDE",VLOOKUP(D242,'FDE 10-23 '!$A$4:$E$3180,2,0),IF(C242="INFRA",VLOOKUP(D242,#REF!,2,0),""))))))),"")</f>
        <v>LAJE PRE-MOLDADA D=2,50M E=8CM P/ RESERVATORIO</v>
      </c>
      <c r="F242" s="65" t="str">
        <f>VLOOKUP(D242,'FDE 10-23 '!$A$4:$E$3180,3,0)</f>
        <v>UN</v>
      </c>
      <c r="G242" s="66">
        <f>VLOOKUP(B242,Planilha17!$A$8:$F$1259,6,0)</f>
        <v>4</v>
      </c>
      <c r="H242" s="67">
        <f>VLOOKUP(D242,'FDE 10-23 '!$A$4:$E$3180,5,0)</f>
        <v>3331</v>
      </c>
      <c r="I242" s="68">
        <f t="shared" si="39"/>
        <v>0.23</v>
      </c>
      <c r="J242" s="67">
        <f t="shared" si="40"/>
        <v>4097.13</v>
      </c>
      <c r="K242" s="69">
        <f t="shared" si="41"/>
        <v>16388.52</v>
      </c>
      <c r="L242" s="51"/>
      <c r="M242" s="52"/>
    </row>
    <row r="243" spans="2:13" s="25" customFormat="1" ht="30" customHeight="1" outlineLevel="1">
      <c r="B243" s="61" t="s">
        <v>517</v>
      </c>
      <c r="C243" s="62" t="s">
        <v>26</v>
      </c>
      <c r="D243" s="63" t="s">
        <v>518</v>
      </c>
      <c r="E243" s="64" t="str">
        <f>IFERROR(UPPER(IF(C243="CPU",VLOOKUP(D243,#REF!,2,0),IF(C243="SINAPI",VLOOKUP(D243,#REF!,2,0),IF(C243="EDIF",VLOOKUP(D243,#REF!,2,0),IF(C243="CDHU",VLOOKUP(D243,#REF!,2,0),IF(C243="FDE",VLOOKUP(D243,'FDE 10-23 '!$A$4:$E$3180,2,0),IF(C243="INFRA",VLOOKUP(D243,#REF!,2,0),""))))))),"")</f>
        <v>LAJE PRE-MOLDADA D=2,50M E=15CM P/ RESERVATORIO</v>
      </c>
      <c r="F243" s="65" t="str">
        <f>VLOOKUP(D243,'FDE 10-23 '!$A$4:$E$3180,3,0)</f>
        <v>UN</v>
      </c>
      <c r="G243" s="66">
        <f>VLOOKUP(B243,Planilha17!$A$8:$F$1259,6,0)</f>
        <v>3</v>
      </c>
      <c r="H243" s="67">
        <f>VLOOKUP(D243,'FDE 10-23 '!$A$4:$E$3180,5,0)</f>
        <v>4873.5</v>
      </c>
      <c r="I243" s="68">
        <f t="shared" si="39"/>
        <v>0.23</v>
      </c>
      <c r="J243" s="67">
        <f t="shared" si="40"/>
        <v>5994.41</v>
      </c>
      <c r="K243" s="69">
        <f t="shared" si="41"/>
        <v>17983.23</v>
      </c>
      <c r="L243" s="51"/>
      <c r="M243" s="52"/>
    </row>
    <row r="244" spans="2:13" s="25" customFormat="1" ht="30" customHeight="1" outlineLevel="1">
      <c r="B244" s="61" t="s">
        <v>519</v>
      </c>
      <c r="C244" s="62" t="s">
        <v>26</v>
      </c>
      <c r="D244" s="63" t="s">
        <v>520</v>
      </c>
      <c r="E244" s="64" t="str">
        <f>IFERROR(UPPER(IF(C244="CPU",VLOOKUP(D244,#REF!,2,0),IF(C244="SINAPI",VLOOKUP(D244,#REF!,2,0),IF(C244="EDIF",VLOOKUP(D244,#REF!,2,0),IF(C244="CDHU",VLOOKUP(D244,#REF!,2,0),IF(C244="FDE",VLOOKUP(D244,'FDE 10-23 '!$A$4:$E$3180,2,0),IF(C244="INFRA",VLOOKUP(D244,#REF!,2,0),""))))))),"")</f>
        <v>SERVICOS RESERVATORIOS</v>
      </c>
      <c r="F244" s="65" t="str">
        <f>VLOOKUP(D244,'FDE 10-23 '!$A$4:$E$3180,3,0)</f>
        <v>MV</v>
      </c>
      <c r="G244" s="66">
        <f>VLOOKUP(B244,Planilha17!$A$8:$F$1259,6,0)</f>
        <v>3.48</v>
      </c>
      <c r="H244" s="67">
        <f>VLOOKUP(D244,'FDE 10-23 '!$A$4:$E$3180,5,0)</f>
        <v>533.05999999999995</v>
      </c>
      <c r="I244" s="68">
        <f t="shared" si="39"/>
        <v>0.23</v>
      </c>
      <c r="J244" s="67">
        <f t="shared" si="40"/>
        <v>655.66</v>
      </c>
      <c r="K244" s="69">
        <f t="shared" si="41"/>
        <v>2281.6967999999997</v>
      </c>
      <c r="L244" s="51"/>
      <c r="M244" s="52"/>
    </row>
    <row r="245" spans="2:13" s="25" customFormat="1" ht="30" customHeight="1" outlineLevel="1">
      <c r="B245" s="53" t="s">
        <v>521</v>
      </c>
      <c r="C245" s="54"/>
      <c r="D245" s="54" t="s">
        <v>522</v>
      </c>
      <c r="E245" s="55" t="s">
        <v>523</v>
      </c>
      <c r="F245" s="56" t="str">
        <f>IFERROR(UPPER(IF(C245="CPU",VLOOKUP(D245,#REF!,3,0),IF(C245="SINAPI",VLOOKUP(D245,#REF!,3,0),IF(C245="EDIF",VLOOKUP(D245,#REF!,3,0),IF(C245="CDHU",VLOOKUP(D245,#REF!,3,0),IF(C245="FDE",VLOOKUP(D245,#REF!,3,0),IF(C245="INFRA",VLOOKUP(D245,#REF!,3,0),""))))))),"")</f>
        <v/>
      </c>
      <c r="G245" s="57"/>
      <c r="H24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45" s="59"/>
      <c r="J245" s="59"/>
      <c r="K245" s="60">
        <f>SUBTOTAL(9,K246:K250)</f>
        <v>52495.456000000006</v>
      </c>
      <c r="L245" s="51"/>
      <c r="M245" s="52"/>
    </row>
    <row r="246" spans="2:13" s="25" customFormat="1" ht="30" customHeight="1" outlineLevel="1">
      <c r="B246" s="61" t="s">
        <v>524</v>
      </c>
      <c r="C246" s="62" t="s">
        <v>26</v>
      </c>
      <c r="D246" s="63" t="s">
        <v>525</v>
      </c>
      <c r="E246" s="64" t="str">
        <f>IFERROR(UPPER(IF(C246="CPU",VLOOKUP(D246,#REF!,2,0),IF(C246="SINAPI",VLOOKUP(D246,#REF!,2,0),IF(C246="EDIF",VLOOKUP(D246,#REF!,2,0),IF(C246="CDHU",VLOOKUP(D246,#REF!,2,0),IF(C246="FDE",VLOOKUP(D246,'FDE 10-23 '!$A$4:$E$3180,2,0),IF(C246="INFRA",VLOOKUP(D246,#REF!,2,0),""))))))),"")</f>
        <v>LT-04 LAVATORIO /BEBEDOURO COLETIVO COM TORNEIRA ANTIVANDALISMO</v>
      </c>
      <c r="F246" s="65" t="str">
        <f>VLOOKUP(D246,'FDE 10-23 '!$A$4:$E$3180,3,0)</f>
        <v>M</v>
      </c>
      <c r="G246" s="66">
        <f>VLOOKUP(B246,Planilha17!$A$8:$F$1259,6,0)</f>
        <v>2.5</v>
      </c>
      <c r="H246" s="67">
        <f>VLOOKUP(D246,'FDE 10-23 '!$A$4:$E$3180,5,0)</f>
        <v>1581.51</v>
      </c>
      <c r="I246" s="68">
        <f>$L$10</f>
        <v>0.23</v>
      </c>
      <c r="J246" s="67">
        <f>ROUND(H246*(1+I246),2)</f>
        <v>1945.26</v>
      </c>
      <c r="K246" s="69">
        <f>SUM(G246*J246)</f>
        <v>4863.1499999999996</v>
      </c>
      <c r="L246" s="51"/>
      <c r="M246" s="52"/>
    </row>
    <row r="247" spans="2:13" s="25" customFormat="1" ht="30" customHeight="1" outlineLevel="1">
      <c r="B247" s="61" t="s">
        <v>526</v>
      </c>
      <c r="C247" s="62" t="s">
        <v>26</v>
      </c>
      <c r="D247" s="63" t="s">
        <v>527</v>
      </c>
      <c r="E247" s="64" t="str">
        <f>IFERROR(UPPER(IF(C247="CPU",VLOOKUP(D247,#REF!,2,0),IF(C247="SINAPI",VLOOKUP(D247,#REF!,2,0),IF(C247="EDIF",VLOOKUP(D247,#REF!,2,0),IF(C247="CDHU",VLOOKUP(D247,#REF!,2,0),IF(C247="FDE",VLOOKUP(D247,'FDE 10-23 '!$A$4:$E$3180,2,0),IF(C247="INFRA",VLOOKUP(D247,#REF!,2,0),""))))))),"")</f>
        <v>BB-01 BEBEDOURO COLETIVO</v>
      </c>
      <c r="F247" s="65" t="str">
        <f>VLOOKUP(D247,'FDE 10-23 '!$A$4:$E$3180,3,0)</f>
        <v>M</v>
      </c>
      <c r="G247" s="66">
        <f>VLOOKUP(B247,Planilha17!$A$8:$F$1259,6,0)</f>
        <v>2.2999999999999998</v>
      </c>
      <c r="H247" s="67">
        <f>VLOOKUP(D247,'FDE 10-23 '!$A$4:$E$3180,5,0)</f>
        <v>847.05</v>
      </c>
      <c r="I247" s="68">
        <f>$L$10</f>
        <v>0.23</v>
      </c>
      <c r="J247" s="67">
        <f>ROUND(H247*(1+I247),2)</f>
        <v>1041.8699999999999</v>
      </c>
      <c r="K247" s="69">
        <f>SUM(G247*J247)</f>
        <v>2396.3009999999995</v>
      </c>
      <c r="L247" s="51"/>
      <c r="M247" s="52"/>
    </row>
    <row r="248" spans="2:13" s="25" customFormat="1" ht="30" customHeight="1" outlineLevel="1">
      <c r="B248" s="61" t="s">
        <v>528</v>
      </c>
      <c r="C248" s="62" t="s">
        <v>26</v>
      </c>
      <c r="D248" s="63" t="s">
        <v>529</v>
      </c>
      <c r="E248" s="64" t="str">
        <f>IFERROR(UPPER(IF(C248="CPU",VLOOKUP(D248,#REF!,2,0),IF(C248="SINAPI",VLOOKUP(D248,#REF!,2,0),IF(C248="EDIF",VLOOKUP(D248,#REF!,2,0),IF(C248="CDHU",VLOOKUP(D248,#REF!,2,0),IF(C248="FDE",VLOOKUP(D248,'FDE 10-23 '!$A$4:$E$3180,2,0),IF(C248="INFRA",VLOOKUP(D248,#REF!,2,0),""))))))),"")</f>
        <v>LT-06 LAVATÓRIO COLETIVO COM TORNEIRA ANTIVANDALISMO</v>
      </c>
      <c r="F248" s="65" t="str">
        <f>VLOOKUP(D248,'FDE 10-23 '!$A$4:$E$3180,3,0)</f>
        <v>M</v>
      </c>
      <c r="G248" s="66">
        <f>VLOOKUP(B248,Planilha17!$A$8:$F$1259,6,0)</f>
        <v>8.8000000000000007</v>
      </c>
      <c r="H248" s="67">
        <f>VLOOKUP(D248,'FDE 10-23 '!$A$4:$E$3180,5,0)</f>
        <v>2010.01</v>
      </c>
      <c r="I248" s="68">
        <f>$L$10</f>
        <v>0.23</v>
      </c>
      <c r="J248" s="67">
        <f>ROUND(H248*(1+I248),2)</f>
        <v>2472.31</v>
      </c>
      <c r="K248" s="69">
        <f>SUM(G248*J248)</f>
        <v>21756.328000000001</v>
      </c>
      <c r="L248" s="51"/>
      <c r="M248" s="52"/>
    </row>
    <row r="249" spans="2:13" s="25" customFormat="1" ht="30" customHeight="1" outlineLevel="1">
      <c r="B249" s="61" t="s">
        <v>530</v>
      </c>
      <c r="C249" s="62" t="s">
        <v>26</v>
      </c>
      <c r="D249" s="63" t="s">
        <v>531</v>
      </c>
      <c r="E249" s="64" t="str">
        <f>IFERROR(UPPER(IF(C249="CPU",VLOOKUP(D249,#REF!,2,0),IF(C249="SINAPI",VLOOKUP(D249,#REF!,2,0),IF(C249="EDIF",VLOOKUP(D249,#REF!,2,0),IF(C249="CDHU",VLOOKUP(D249,#REF!,2,0),IF(C249="FDE",VLOOKUP(D249,'FDE 10-23 '!$A$4:$E$3180,2,0),IF(C249="INFRA",VLOOKUP(D249,#REF!,2,0),""))))))),"")</f>
        <v>LT-07 LAVATÓRIO COLETIVO COM TORNEIRA DE MESA- SANIT.ADMINISTRAÇÃO</v>
      </c>
      <c r="F249" s="65" t="str">
        <f>VLOOKUP(D249,'FDE 10-23 '!$A$4:$E$3180,3,0)</f>
        <v>M</v>
      </c>
      <c r="G249" s="66">
        <f>VLOOKUP(B249,Planilha17!$A$8:$F$1259,6,0)</f>
        <v>4.3</v>
      </c>
      <c r="H249" s="67">
        <f>VLOOKUP(D249,'FDE 10-23 '!$A$4:$E$3180,5,0)</f>
        <v>2504.75</v>
      </c>
      <c r="I249" s="68">
        <f>$L$10</f>
        <v>0.23</v>
      </c>
      <c r="J249" s="67">
        <f>ROUND(H249*(1+I249),2)</f>
        <v>3080.84</v>
      </c>
      <c r="K249" s="69">
        <f>SUM(G249*J249)</f>
        <v>13247.611999999999</v>
      </c>
      <c r="L249" s="51"/>
      <c r="M249" s="52"/>
    </row>
    <row r="250" spans="2:13" s="25" customFormat="1" ht="30" customHeight="1" outlineLevel="1">
      <c r="B250" s="61" t="s">
        <v>532</v>
      </c>
      <c r="C250" s="62" t="s">
        <v>26</v>
      </c>
      <c r="D250" s="63" t="s">
        <v>533</v>
      </c>
      <c r="E250" s="64" t="str">
        <f>IFERROR(UPPER(IF(C250="CPU",VLOOKUP(D250,#REF!,2,0),IF(C250="SINAPI",VLOOKUP(D250,#REF!,2,0),IF(C250="EDIF",VLOOKUP(D250,#REF!,2,0),IF(C250="CDHU",VLOOKUP(D250,#REF!,2,0),IF(C250="FDE",VLOOKUP(D250,'FDE 10-23 '!$A$4:$E$3180,2,0),IF(C250="INFRA",VLOOKUP(D250,#REF!,2,0),""))))))),"")</f>
        <v>MT-04 MICTORIO COLETIVO</v>
      </c>
      <c r="F250" s="65" t="str">
        <f>VLOOKUP(D250,'FDE 10-23 '!$A$4:$E$3180,3,0)</f>
        <v>M</v>
      </c>
      <c r="G250" s="66">
        <f>VLOOKUP(B250,Planilha17!$A$8:$F$1259,6,0)</f>
        <v>4.3</v>
      </c>
      <c r="H250" s="67">
        <f>VLOOKUP(D250,'FDE 10-23 '!$A$4:$E$3180,5,0)</f>
        <v>1934.59</v>
      </c>
      <c r="I250" s="68">
        <f>$L$10</f>
        <v>0.23</v>
      </c>
      <c r="J250" s="67">
        <f>ROUND(H250*(1+I250),2)</f>
        <v>2379.5500000000002</v>
      </c>
      <c r="K250" s="69">
        <f>SUM(G250*J250)</f>
        <v>10232.065000000001</v>
      </c>
      <c r="L250" s="51"/>
      <c r="M250" s="52"/>
    </row>
    <row r="251" spans="2:13" s="25" customFormat="1" ht="30" customHeight="1" outlineLevel="1">
      <c r="B251" s="53" t="s">
        <v>534</v>
      </c>
      <c r="C251" s="54"/>
      <c r="D251" s="54" t="s">
        <v>535</v>
      </c>
      <c r="E251" s="55" t="s">
        <v>536</v>
      </c>
      <c r="F251" s="56" t="str">
        <f>IFERROR(UPPER(IF(C251="CPU",VLOOKUP(D251,#REF!,3,0),IF(C251="SINAPI",VLOOKUP(D251,#REF!,3,0),IF(C251="EDIF",VLOOKUP(D251,#REF!,3,0),IF(C251="CDHU",VLOOKUP(D251,#REF!,3,0),IF(C251="FDE",VLOOKUP(D251,#REF!,3,0),IF(C251="INFRA",VLOOKUP(D251,#REF!,3,0),""))))))),"")</f>
        <v/>
      </c>
      <c r="G251" s="57"/>
      <c r="H251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51" s="59"/>
      <c r="J251" s="59"/>
      <c r="K251" s="60">
        <f>SUBTOTAL(9,K252:K264)</f>
        <v>44236.02</v>
      </c>
      <c r="L251" s="51"/>
      <c r="M251" s="52"/>
    </row>
    <row r="252" spans="2:13" s="25" customFormat="1" ht="30" customHeight="1" outlineLevel="1">
      <c r="B252" s="61" t="s">
        <v>537</v>
      </c>
      <c r="C252" s="62" t="s">
        <v>26</v>
      </c>
      <c r="D252" s="63" t="s">
        <v>538</v>
      </c>
      <c r="E252" s="64" t="str">
        <f>IFERROR(UPPER(IF(C252="CPU",VLOOKUP(D252,#REF!,2,0),IF(C252="SINAPI",VLOOKUP(D252,#REF!,2,0),IF(C252="EDIF",VLOOKUP(D252,#REF!,2,0),IF(C252="CDHU",VLOOKUP(D252,#REF!,2,0),IF(C252="FDE",VLOOKUP(D252,'FDE 10-23 '!$A$4:$E$3180,2,0),IF(C252="INFRA",VLOOKUP(D252,#REF!,2,0),""))))))),"")</f>
        <v>BACIA SIFONADA DE LOUCA BRANCA (VDR 6L) C/ ASSENTO</v>
      </c>
      <c r="F252" s="65" t="str">
        <f>VLOOKUP(D252,'FDE 10-23 '!$A$4:$E$3180,3,0)</f>
        <v>UN</v>
      </c>
      <c r="G252" s="66">
        <f>VLOOKUP(B252,Planilha17!$A$8:$F$1259,6,0)</f>
        <v>17</v>
      </c>
      <c r="H252" s="67">
        <f>VLOOKUP(D252,'FDE 10-23 '!$A$4:$E$3180,5,0)</f>
        <v>304.12</v>
      </c>
      <c r="I252" s="68">
        <f t="shared" ref="I252:I264" si="42">$L$10</f>
        <v>0.23</v>
      </c>
      <c r="J252" s="67">
        <f t="shared" ref="J252:J264" si="43">ROUND(H252*(1+I252),2)</f>
        <v>374.07</v>
      </c>
      <c r="K252" s="69">
        <f t="shared" ref="K252:K264" si="44">SUM(G252*J252)</f>
        <v>6359.19</v>
      </c>
      <c r="L252" s="51"/>
      <c r="M252" s="52"/>
    </row>
    <row r="253" spans="2:13" s="25" customFormat="1" ht="30" customHeight="1" outlineLevel="1">
      <c r="B253" s="61" t="s">
        <v>539</v>
      </c>
      <c r="C253" s="62" t="s">
        <v>26</v>
      </c>
      <c r="D253" s="63" t="s">
        <v>540</v>
      </c>
      <c r="E253" s="64" t="str">
        <f>IFERROR(UPPER(IF(C253="CPU",VLOOKUP(D253,#REF!,2,0),IF(C253="SINAPI",VLOOKUP(D253,#REF!,2,0),IF(C253="EDIF",VLOOKUP(D253,#REF!,2,0),IF(C253="CDHU",VLOOKUP(D253,#REF!,2,0),IF(C253="FDE",VLOOKUP(D253,'FDE 10-23 '!$A$4:$E$3180,2,0),IF(C253="INFRA",VLOOKUP(D253,#REF!,2,0),""))))))),"")</f>
        <v>LAVATORIO DE LOUCA BRANCA SEM COLUNA C/ TORNEIRA DE FECHAM AUTOMATICO</v>
      </c>
      <c r="F253" s="65" t="str">
        <f>VLOOKUP(D253,'FDE 10-23 '!$A$4:$E$3180,3,0)</f>
        <v>UN</v>
      </c>
      <c r="G253" s="66">
        <f>VLOOKUP(B253,Planilha17!$A$8:$F$1259,6,0)</f>
        <v>1</v>
      </c>
      <c r="H253" s="67">
        <f>VLOOKUP(D253,'FDE 10-23 '!$A$4:$E$3180,5,0)</f>
        <v>1009.44</v>
      </c>
      <c r="I253" s="68">
        <f t="shared" si="42"/>
        <v>0.23</v>
      </c>
      <c r="J253" s="67">
        <f t="shared" si="43"/>
        <v>1241.6099999999999</v>
      </c>
      <c r="K253" s="69">
        <f t="shared" si="44"/>
        <v>1241.6099999999999</v>
      </c>
      <c r="L253" s="51"/>
      <c r="M253" s="52"/>
    </row>
    <row r="254" spans="2:13" s="25" customFormat="1" ht="30" customHeight="1" outlineLevel="1">
      <c r="B254" s="61" t="s">
        <v>541</v>
      </c>
      <c r="C254" s="62" t="s">
        <v>26</v>
      </c>
      <c r="D254" s="63" t="s">
        <v>542</v>
      </c>
      <c r="E254" s="64" t="str">
        <f>IFERROR(UPPER(IF(C254="CPU",VLOOKUP(D254,#REF!,2,0),IF(C254="SINAPI",VLOOKUP(D254,#REF!,2,0),IF(C254="EDIF",VLOOKUP(D254,#REF!,2,0),IF(C254="CDHU",VLOOKUP(D254,#REF!,2,0),IF(C254="FDE",VLOOKUP(D254,'FDE 10-23 '!$A$4:$E$3180,2,0),IF(C254="INFRA",VLOOKUP(D254,#REF!,2,0),""))))))),"")</f>
        <v>TANQUE DE LOUCA BRANCA,PEQUENO C/COLUNA</v>
      </c>
      <c r="F254" s="65" t="str">
        <f>VLOOKUP(D254,'FDE 10-23 '!$A$4:$E$3180,3,0)</f>
        <v>UN</v>
      </c>
      <c r="G254" s="66">
        <f>VLOOKUP(B254,Planilha17!$A$8:$F$1259,6,0)</f>
        <v>1</v>
      </c>
      <c r="H254" s="67">
        <f>VLOOKUP(D254,'FDE 10-23 '!$A$4:$E$3180,5,0)</f>
        <v>1002.61</v>
      </c>
      <c r="I254" s="68">
        <f t="shared" si="42"/>
        <v>0.23</v>
      </c>
      <c r="J254" s="67">
        <f t="shared" si="43"/>
        <v>1233.21</v>
      </c>
      <c r="K254" s="69">
        <f t="shared" si="44"/>
        <v>1233.21</v>
      </c>
      <c r="L254" s="51"/>
      <c r="M254" s="52"/>
    </row>
    <row r="255" spans="2:13" s="25" customFormat="1" ht="30" customHeight="1" outlineLevel="1">
      <c r="B255" s="61" t="s">
        <v>543</v>
      </c>
      <c r="C255" s="62" t="s">
        <v>26</v>
      </c>
      <c r="D255" s="63" t="s">
        <v>544</v>
      </c>
      <c r="E255" s="64" t="str">
        <f>IFERROR(UPPER(IF(C255="CPU",VLOOKUP(D255,#REF!,2,0),IF(C255="SINAPI",VLOOKUP(D255,#REF!,2,0),IF(C255="EDIF",VLOOKUP(D255,#REF!,2,0),IF(C255="CDHU",VLOOKUP(D255,#REF!,2,0),IF(C255="FDE",VLOOKUP(D255,'FDE 10-23 '!$A$4:$E$3180,2,0),IF(C255="INFRA",VLOOKUP(D255,#REF!,2,0),""))))))),"")</f>
        <v>SABONETEIRA DE LOUCA BRANCA DE 15X15 CM</v>
      </c>
      <c r="F255" s="65" t="str">
        <f>VLOOKUP(D255,'FDE 10-23 '!$A$4:$E$3180,3,0)</f>
        <v>UN</v>
      </c>
      <c r="G255" s="66">
        <f>VLOOKUP(B255,Planilha17!$A$8:$F$1259,6,0)</f>
        <v>6</v>
      </c>
      <c r="H255" s="67">
        <f>VLOOKUP(D255,'FDE 10-23 '!$A$4:$E$3180,5,0)</f>
        <v>92.2</v>
      </c>
      <c r="I255" s="68">
        <f t="shared" si="42"/>
        <v>0.23</v>
      </c>
      <c r="J255" s="67">
        <f t="shared" si="43"/>
        <v>113.41</v>
      </c>
      <c r="K255" s="69">
        <f t="shared" si="44"/>
        <v>680.46</v>
      </c>
      <c r="L255" s="51"/>
      <c r="M255" s="52"/>
    </row>
    <row r="256" spans="2:13" s="25" customFormat="1" ht="30" customHeight="1" outlineLevel="1">
      <c r="B256" s="61" t="s">
        <v>545</v>
      </c>
      <c r="C256" s="62" t="s">
        <v>26</v>
      </c>
      <c r="D256" s="63" t="s">
        <v>546</v>
      </c>
      <c r="E256" s="64" t="str">
        <f>IFERROR(UPPER(IF(C256="CPU",VLOOKUP(D256,#REF!,2,0),IF(C256="SINAPI",VLOOKUP(D256,#REF!,2,0),IF(C256="EDIF",VLOOKUP(D256,#REF!,2,0),IF(C256="CDHU",VLOOKUP(D256,#REF!,2,0),IF(C256="FDE",VLOOKUP(D256,'FDE 10-23 '!$A$4:$E$3180,2,0),IF(C256="INFRA",VLOOKUP(D256,#REF!,2,0),""))))))),"")</f>
        <v>PAPELEIRA DE LOUCA BRANCA DE 15X15CM</v>
      </c>
      <c r="F256" s="65" t="str">
        <f>VLOOKUP(D256,'FDE 10-23 '!$A$4:$E$3180,3,0)</f>
        <v>UN</v>
      </c>
      <c r="G256" s="66">
        <f>VLOOKUP(B256,Planilha17!$A$8:$F$1259,6,0)</f>
        <v>17</v>
      </c>
      <c r="H256" s="67">
        <f>VLOOKUP(D256,'FDE 10-23 '!$A$4:$E$3180,5,0)</f>
        <v>97.28</v>
      </c>
      <c r="I256" s="68">
        <f t="shared" si="42"/>
        <v>0.23</v>
      </c>
      <c r="J256" s="67">
        <f t="shared" si="43"/>
        <v>119.65</v>
      </c>
      <c r="K256" s="69">
        <f t="shared" si="44"/>
        <v>2034.0500000000002</v>
      </c>
      <c r="L256" s="51"/>
      <c r="M256" s="52"/>
    </row>
    <row r="257" spans="2:13" s="25" customFormat="1" ht="30" customHeight="1" outlineLevel="1">
      <c r="B257" s="61" t="s">
        <v>547</v>
      </c>
      <c r="C257" s="62" t="s">
        <v>26</v>
      </c>
      <c r="D257" s="63" t="s">
        <v>548</v>
      </c>
      <c r="E257" s="64" t="str">
        <f>IFERROR(UPPER(IF(C257="CPU",VLOOKUP(D257,#REF!,2,0),IF(C257="SINAPI",VLOOKUP(D257,#REF!,2,0),IF(C257="EDIF",VLOOKUP(D257,#REF!,2,0),IF(C257="CDHU",VLOOKUP(D257,#REF!,2,0),IF(C257="FDE",VLOOKUP(D257,'FDE 10-23 '!$A$4:$E$3180,2,0),IF(C257="INFRA",VLOOKUP(D257,#REF!,2,0),""))))))),"")</f>
        <v>CABIDE DE LOUCA BRANCA COM 2 GANCHOS</v>
      </c>
      <c r="F257" s="65" t="str">
        <f>VLOOKUP(D257,'FDE 10-23 '!$A$4:$E$3180,3,0)</f>
        <v>UN</v>
      </c>
      <c r="G257" s="66">
        <f>VLOOKUP(B257,Planilha17!$A$8:$F$1259,6,0)</f>
        <v>6</v>
      </c>
      <c r="H257" s="67">
        <f>VLOOKUP(D257,'FDE 10-23 '!$A$4:$E$3180,5,0)</f>
        <v>45.8</v>
      </c>
      <c r="I257" s="68">
        <f t="shared" si="42"/>
        <v>0.23</v>
      </c>
      <c r="J257" s="67">
        <f t="shared" si="43"/>
        <v>56.33</v>
      </c>
      <c r="K257" s="69">
        <f t="shared" si="44"/>
        <v>337.98</v>
      </c>
      <c r="L257" s="51"/>
      <c r="M257" s="52"/>
    </row>
    <row r="258" spans="2:13" s="25" customFormat="1" ht="30" customHeight="1" outlineLevel="1">
      <c r="B258" s="61" t="s">
        <v>549</v>
      </c>
      <c r="C258" s="62" t="s">
        <v>26</v>
      </c>
      <c r="D258" s="63" t="s">
        <v>550</v>
      </c>
      <c r="E258" s="64" t="str">
        <f>IFERROR(UPPER(IF(C258="CPU",VLOOKUP(D258,#REF!,2,0),IF(C258="SINAPI",VLOOKUP(D258,#REF!,2,0),IF(C258="EDIF",VLOOKUP(D258,#REF!,2,0),IF(C258="CDHU",VLOOKUP(D258,#REF!,2,0),IF(C258="FDE",VLOOKUP(D258,'FDE 10-23 '!$A$4:$E$3180,2,0),IF(C258="INFRA",VLOOKUP(D258,#REF!,2,0),""))))))),"")</f>
        <v>VA-01 VARAL/TOALHEIRO</v>
      </c>
      <c r="F258" s="65" t="str">
        <f>VLOOKUP(D258,'FDE 10-23 '!$A$4:$E$3180,3,0)</f>
        <v>UN</v>
      </c>
      <c r="G258" s="66">
        <f>VLOOKUP(B258,Planilha17!$A$8:$F$1259,6,0)</f>
        <v>2</v>
      </c>
      <c r="H258" s="67">
        <f>VLOOKUP(D258,'FDE 10-23 '!$A$4:$E$3180,5,0)</f>
        <v>456.79</v>
      </c>
      <c r="I258" s="68">
        <f t="shared" si="42"/>
        <v>0.23</v>
      </c>
      <c r="J258" s="67">
        <f t="shared" si="43"/>
        <v>561.85</v>
      </c>
      <c r="K258" s="69">
        <f t="shared" si="44"/>
        <v>1123.7</v>
      </c>
      <c r="L258" s="51"/>
      <c r="M258" s="52"/>
    </row>
    <row r="259" spans="2:13" s="25" customFormat="1" ht="30" customHeight="1" outlineLevel="1">
      <c r="B259" s="61" t="s">
        <v>551</v>
      </c>
      <c r="C259" s="62" t="s">
        <v>26</v>
      </c>
      <c r="D259" s="63" t="s">
        <v>552</v>
      </c>
      <c r="E259" s="64" t="str">
        <f>IFERROR(UPPER(IF(C259="CPU",VLOOKUP(D259,#REF!,2,0),IF(C259="SINAPI",VLOOKUP(D259,#REF!,2,0),IF(C259="EDIF",VLOOKUP(D259,#REF!,2,0),IF(C259="CDHU",VLOOKUP(D259,#REF!,2,0),IF(C259="FDE",VLOOKUP(D259,'FDE 10-23 '!$A$4:$E$3180,2,0),IF(C259="INFRA",VLOOKUP(D259,#REF!,2,0),""))))))),"")</f>
        <v>BR-01 BACIA P/ SANITARIO ACESSIVEL</v>
      </c>
      <c r="F259" s="65" t="str">
        <f>VLOOKUP(D259,'FDE 10-23 '!$A$4:$E$3180,3,0)</f>
        <v>CJ</v>
      </c>
      <c r="G259" s="66">
        <f>VLOOKUP(B259,Planilha17!$A$8:$F$1259,6,0)</f>
        <v>1</v>
      </c>
      <c r="H259" s="67">
        <f>VLOOKUP(D259,'FDE 10-23 '!$A$4:$E$3180,5,0)</f>
        <v>3026.01</v>
      </c>
      <c r="I259" s="68">
        <f t="shared" si="42"/>
        <v>0.23</v>
      </c>
      <c r="J259" s="67">
        <f t="shared" si="43"/>
        <v>3721.99</v>
      </c>
      <c r="K259" s="69">
        <f t="shared" si="44"/>
        <v>3721.99</v>
      </c>
      <c r="L259" s="51"/>
      <c r="M259" s="52"/>
    </row>
    <row r="260" spans="2:13" s="25" customFormat="1" ht="30" customHeight="1" outlineLevel="1">
      <c r="B260" s="61" t="s">
        <v>553</v>
      </c>
      <c r="C260" s="62" t="s">
        <v>26</v>
      </c>
      <c r="D260" s="63" t="s">
        <v>554</v>
      </c>
      <c r="E260" s="64" t="str">
        <f>IFERROR(UPPER(IF(C260="CPU",VLOOKUP(D260,#REF!,2,0),IF(C260="SINAPI",VLOOKUP(D260,#REF!,2,0),IF(C260="EDIF",VLOOKUP(D260,#REF!,2,0),IF(C260="CDHU",VLOOKUP(D260,#REF!,2,0),IF(C260="FDE",VLOOKUP(D260,'FDE 10-23 '!$A$4:$E$3180,2,0),IF(C260="INFRA",VLOOKUP(D260,#REF!,2,0),""))))))),"")</f>
        <v>BR-02 LAVATORIO  PARA SANITARIO ACESSIVEL</v>
      </c>
      <c r="F260" s="65" t="str">
        <f>VLOOKUP(D260,'FDE 10-23 '!$A$4:$E$3180,3,0)</f>
        <v>CJ</v>
      </c>
      <c r="G260" s="66">
        <f>VLOOKUP(B260,Planilha17!$A$8:$F$1259,6,0)</f>
        <v>1</v>
      </c>
      <c r="H260" s="67">
        <f>VLOOKUP(D260,'FDE 10-23 '!$A$4:$E$3180,5,0)</f>
        <v>1563.31</v>
      </c>
      <c r="I260" s="68">
        <f t="shared" si="42"/>
        <v>0.23</v>
      </c>
      <c r="J260" s="67">
        <f t="shared" si="43"/>
        <v>1922.87</v>
      </c>
      <c r="K260" s="69">
        <f t="shared" si="44"/>
        <v>1922.87</v>
      </c>
      <c r="L260" s="51"/>
      <c r="M260" s="52"/>
    </row>
    <row r="261" spans="2:13" s="25" customFormat="1" ht="30" customHeight="1" outlineLevel="1">
      <c r="B261" s="61" t="s">
        <v>555</v>
      </c>
      <c r="C261" s="62" t="s">
        <v>26</v>
      </c>
      <c r="D261" s="63" t="s">
        <v>556</v>
      </c>
      <c r="E261" s="64" t="str">
        <f>IFERROR(UPPER(IF(C261="CPU",VLOOKUP(D261,#REF!,2,0),IF(C261="SINAPI",VLOOKUP(D261,#REF!,2,0),IF(C261="EDIF",VLOOKUP(D261,#REF!,2,0),IF(C261="CDHU",VLOOKUP(D261,#REF!,2,0),IF(C261="FDE",VLOOKUP(D261,'FDE 10-23 '!$A$4:$E$3180,2,0),IF(C261="INFRA",VLOOKUP(D261,#REF!,2,0),""))))))),"")</f>
        <v>BR-03  CONJUNTO LAVATORIO E BACIA ACESSIVEIS</v>
      </c>
      <c r="F261" s="65" t="str">
        <f>VLOOKUP(D261,'FDE 10-23 '!$A$4:$E$3180,3,0)</f>
        <v>CJ</v>
      </c>
      <c r="G261" s="66">
        <f>VLOOKUP(B261,Planilha17!$A$8:$F$1259,6,0)</f>
        <v>2</v>
      </c>
      <c r="H261" s="67">
        <f>VLOOKUP(D261,'FDE 10-23 '!$A$4:$E$3180,5,0)</f>
        <v>3407.66</v>
      </c>
      <c r="I261" s="68">
        <f t="shared" si="42"/>
        <v>0.23</v>
      </c>
      <c r="J261" s="67">
        <f t="shared" si="43"/>
        <v>4191.42</v>
      </c>
      <c r="K261" s="69">
        <f t="shared" si="44"/>
        <v>8382.84</v>
      </c>
      <c r="L261" s="51"/>
      <c r="M261" s="52"/>
    </row>
    <row r="262" spans="2:13" s="25" customFormat="1" ht="30" customHeight="1" outlineLevel="1">
      <c r="B262" s="61" t="s">
        <v>557</v>
      </c>
      <c r="C262" s="62" t="s">
        <v>26</v>
      </c>
      <c r="D262" s="63" t="s">
        <v>558</v>
      </c>
      <c r="E262" s="64" t="str">
        <f>IFERROR(UPPER(IF(C262="CPU",VLOOKUP(D262,#REF!,2,0),IF(C262="SINAPI",VLOOKUP(D262,#REF!,2,0),IF(C262="EDIF",VLOOKUP(D262,#REF!,2,0),IF(C262="CDHU",VLOOKUP(D262,#REF!,2,0),IF(C262="FDE",VLOOKUP(D262,'FDE 10-23 '!$A$4:$E$3180,2,0),IF(C262="INFRA",VLOOKUP(D262,#REF!,2,0),""))))))),"")</f>
        <v>BR-04 BARRA DE APOIO COM FIXAÇÃO LATERAL</v>
      </c>
      <c r="F262" s="65" t="str">
        <f>VLOOKUP(D262,'FDE 10-23 '!$A$4:$E$3180,3,0)</f>
        <v>UN</v>
      </c>
      <c r="G262" s="66">
        <f>VLOOKUP(B262,Planilha17!$A$8:$F$1259,6,0)</f>
        <v>4</v>
      </c>
      <c r="H262" s="67">
        <f>VLOOKUP(D262,'FDE 10-23 '!$A$4:$E$3180,5,0)</f>
        <v>359.52</v>
      </c>
      <c r="I262" s="68">
        <f t="shared" si="42"/>
        <v>0.23</v>
      </c>
      <c r="J262" s="67">
        <f t="shared" si="43"/>
        <v>442.21</v>
      </c>
      <c r="K262" s="69">
        <f t="shared" si="44"/>
        <v>1768.84</v>
      </c>
      <c r="L262" s="51"/>
      <c r="M262" s="52"/>
    </row>
    <row r="263" spans="2:13" s="25" customFormat="1" ht="30" customHeight="1" outlineLevel="1">
      <c r="B263" s="61" t="s">
        <v>559</v>
      </c>
      <c r="C263" s="62" t="s">
        <v>26</v>
      </c>
      <c r="D263" s="63" t="s">
        <v>560</v>
      </c>
      <c r="E263" s="64" t="str">
        <f>IFERROR(UPPER(IF(C263="CPU",VLOOKUP(D263,#REF!,2,0),IF(C263="SINAPI",VLOOKUP(D263,#REF!,2,0),IF(C263="EDIF",VLOOKUP(D263,#REF!,2,0),IF(C263="CDHU",VLOOKUP(D263,#REF!,2,0),IF(C263="FDE",VLOOKUP(D263,'FDE 10-23 '!$A$4:$E$3180,2,0),IF(C263="INFRA",VLOOKUP(D263,#REF!,2,0),""))))))),"")</f>
        <v>BR-05 TROCADOR ACESSÍVEL</v>
      </c>
      <c r="F263" s="65" t="str">
        <f>VLOOKUP(D263,'FDE 10-23 '!$A$4:$E$3180,3,0)</f>
        <v>UN</v>
      </c>
      <c r="G263" s="66">
        <f>VLOOKUP(B263,Planilha17!$A$8:$F$1259,6,0)</f>
        <v>3</v>
      </c>
      <c r="H263" s="67">
        <f>VLOOKUP(D263,'FDE 10-23 '!$A$4:$E$3180,5,0)</f>
        <v>3333.92</v>
      </c>
      <c r="I263" s="68">
        <f t="shared" si="42"/>
        <v>0.23</v>
      </c>
      <c r="J263" s="67">
        <f t="shared" si="43"/>
        <v>4100.72</v>
      </c>
      <c r="K263" s="69">
        <f t="shared" si="44"/>
        <v>12302.16</v>
      </c>
      <c r="L263" s="51"/>
      <c r="M263" s="52"/>
    </row>
    <row r="264" spans="2:13" s="25" customFormat="1" ht="30" customHeight="1" outlineLevel="1">
      <c r="B264" s="61" t="s">
        <v>561</v>
      </c>
      <c r="C264" s="62" t="s">
        <v>26</v>
      </c>
      <c r="D264" s="63" t="s">
        <v>562</v>
      </c>
      <c r="E264" s="64" t="str">
        <f>IFERROR(UPPER(IF(C264="CPU",VLOOKUP(D264,#REF!,2,0),IF(C264="SINAPI",VLOOKUP(D264,#REF!,2,0),IF(C264="EDIF",VLOOKUP(D264,#REF!,2,0),IF(C264="CDHU",VLOOKUP(D264,#REF!,2,0),IF(C264="FDE",VLOOKUP(D264,'FDE 10-23 '!$A$4:$E$3180,2,0),IF(C264="INFRA",VLOOKUP(D264,#REF!,2,0),""))))))),"")</f>
        <v>BR-06 CHUVEIRO ACESSIVEL</v>
      </c>
      <c r="F264" s="65" t="str">
        <f>VLOOKUP(D264,'FDE 10-23 '!$A$4:$E$3180,3,0)</f>
        <v>CJ</v>
      </c>
      <c r="G264" s="66">
        <f>VLOOKUP(B264,Planilha17!$A$8:$F$1259,6,0)</f>
        <v>1</v>
      </c>
      <c r="H264" s="67">
        <f>VLOOKUP(D264,'FDE 10-23 '!$A$4:$E$3180,5,0)</f>
        <v>2542.37</v>
      </c>
      <c r="I264" s="68">
        <f t="shared" si="42"/>
        <v>0.23</v>
      </c>
      <c r="J264" s="67">
        <f t="shared" si="43"/>
        <v>3127.12</v>
      </c>
      <c r="K264" s="69">
        <f t="shared" si="44"/>
        <v>3127.12</v>
      </c>
      <c r="L264" s="51"/>
      <c r="M264" s="52"/>
    </row>
    <row r="265" spans="2:13" s="25" customFormat="1" ht="30" customHeight="1" outlineLevel="1">
      <c r="B265" s="53" t="s">
        <v>563</v>
      </c>
      <c r="C265" s="54"/>
      <c r="D265" s="54" t="s">
        <v>564</v>
      </c>
      <c r="E265" s="55" t="s">
        <v>565</v>
      </c>
      <c r="F265" s="56" t="str">
        <f>IFERROR(UPPER(IF(C265="CPU",VLOOKUP(D265,#REF!,3,0),IF(C265="SINAPI",VLOOKUP(D265,#REF!,3,0),IF(C265="EDIF",VLOOKUP(D265,#REF!,3,0),IF(C265="CDHU",VLOOKUP(D265,#REF!,3,0),IF(C265="FDE",VLOOKUP(D265,#REF!,3,0),IF(C265="INFRA",VLOOKUP(D265,#REF!,3,0),""))))))),"")</f>
        <v/>
      </c>
      <c r="G265" s="57"/>
      <c r="H26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65" s="59"/>
      <c r="J265" s="59"/>
      <c r="K265" s="60">
        <f>SUBTOTAL(9,K266:K269)</f>
        <v>12412.149999999998</v>
      </c>
      <c r="L265" s="51"/>
      <c r="M265" s="52"/>
    </row>
    <row r="266" spans="2:13" s="25" customFormat="1" ht="30" customHeight="1" outlineLevel="1">
      <c r="B266" s="61" t="s">
        <v>566</v>
      </c>
      <c r="C266" s="62" t="s">
        <v>26</v>
      </c>
      <c r="D266" s="63" t="s">
        <v>567</v>
      </c>
      <c r="E266" s="64" t="str">
        <f>IFERROR(UPPER(IF(C266="CPU",VLOOKUP(D266,#REF!,2,0),IF(C266="SINAPI",VLOOKUP(D266,#REF!,2,0),IF(C266="EDIF",VLOOKUP(D266,#REF!,2,0),IF(C266="CDHU",VLOOKUP(D266,#REF!,2,0),IF(C266="FDE",VLOOKUP(D266,'FDE 10-23 '!$A$4:$E$3180,2,0),IF(C266="INFRA",VLOOKUP(D266,#REF!,2,0),""))))))),"")</f>
        <v>CHUVEIRO ANTIVANDALISMO</v>
      </c>
      <c r="F266" s="65" t="str">
        <f>VLOOKUP(D266,'FDE 10-23 '!$A$4:$E$3180,3,0)</f>
        <v>UN</v>
      </c>
      <c r="G266" s="66">
        <f>VLOOKUP(B266,Planilha17!$A$8:$F$1259,6,0)</f>
        <v>6</v>
      </c>
      <c r="H266" s="67">
        <f>VLOOKUP(D266,'FDE 10-23 '!$A$4:$E$3180,5,0)</f>
        <v>1087.44</v>
      </c>
      <c r="I266" s="68">
        <f>$L$10</f>
        <v>0.23</v>
      </c>
      <c r="J266" s="67">
        <f>ROUND(H266*(1+I266),2)</f>
        <v>1337.55</v>
      </c>
      <c r="K266" s="69">
        <f>SUM(G266*J266)</f>
        <v>8025.2999999999993</v>
      </c>
      <c r="L266" s="51"/>
      <c r="M266" s="52"/>
    </row>
    <row r="267" spans="2:13" s="25" customFormat="1" ht="30" customHeight="1" outlineLevel="1">
      <c r="B267" s="61" t="s">
        <v>568</v>
      </c>
      <c r="C267" s="62" t="s">
        <v>26</v>
      </c>
      <c r="D267" s="63" t="s">
        <v>569</v>
      </c>
      <c r="E267" s="64" t="str">
        <f>IFERROR(UPPER(IF(C267="CPU",VLOOKUP(D267,#REF!,2,0),IF(C267="SINAPI",VLOOKUP(D267,#REF!,2,0),IF(C267="EDIF",VLOOKUP(D267,#REF!,2,0),IF(C267="CDHU",VLOOKUP(D267,#REF!,2,0),IF(C267="FDE",VLOOKUP(D267,'FDE 10-23 '!$A$4:$E$3180,2,0),IF(C267="INFRA",VLOOKUP(D267,#REF!,2,0),""))))))),"")</f>
        <v>FT-02 FILTRO PARA AGUA POTAVEL</v>
      </c>
      <c r="F267" s="65" t="str">
        <f>VLOOKUP(D267,'FDE 10-23 '!$A$4:$E$3180,3,0)</f>
        <v>UN</v>
      </c>
      <c r="G267" s="66">
        <f>VLOOKUP(B267,Planilha17!$A$8:$F$1259,6,0)</f>
        <v>5</v>
      </c>
      <c r="H267" s="67">
        <f>VLOOKUP(D267,'FDE 10-23 '!$A$4:$E$3180,5,0)</f>
        <v>536.36</v>
      </c>
      <c r="I267" s="68">
        <f>$L$10</f>
        <v>0.23</v>
      </c>
      <c r="J267" s="67">
        <f>ROUND(H267*(1+I267),2)</f>
        <v>659.72</v>
      </c>
      <c r="K267" s="69">
        <f>SUM(G267*J267)</f>
        <v>3298.6000000000004</v>
      </c>
      <c r="L267" s="51"/>
      <c r="M267" s="52"/>
    </row>
    <row r="268" spans="2:13" s="25" customFormat="1" ht="30" customHeight="1" outlineLevel="1">
      <c r="B268" s="61" t="s">
        <v>570</v>
      </c>
      <c r="C268" s="62" t="s">
        <v>26</v>
      </c>
      <c r="D268" s="63" t="s">
        <v>571</v>
      </c>
      <c r="E268" s="64" t="str">
        <f>IFERROR(UPPER(IF(C268="CPU",VLOOKUP(D268,#REF!,2,0),IF(C268="SINAPI",VLOOKUP(D268,#REF!,2,0),IF(C268="EDIF",VLOOKUP(D268,#REF!,2,0),IF(C268="CDHU",VLOOKUP(D268,#REF!,2,0),IF(C268="FDE",VLOOKUP(D268,'FDE 10-23 '!$A$4:$E$3180,2,0),IF(C268="INFRA",VLOOKUP(D268,#REF!,2,0),""))))))),"")</f>
        <v>TORNEIRA DE LAVAGEM COM CANOPLA DE 1/2"</v>
      </c>
      <c r="F268" s="65" t="str">
        <f>VLOOKUP(D268,'FDE 10-23 '!$A$4:$E$3180,3,0)</f>
        <v>UN</v>
      </c>
      <c r="G268" s="66">
        <f>VLOOKUP(B268,Planilha17!$A$8:$F$1259,6,0)</f>
        <v>6</v>
      </c>
      <c r="H268" s="67">
        <f>VLOOKUP(D268,'FDE 10-23 '!$A$4:$E$3180,5,0)</f>
        <v>65.78</v>
      </c>
      <c r="I268" s="68">
        <f>$L$10</f>
        <v>0.23</v>
      </c>
      <c r="J268" s="67">
        <f>ROUND(H268*(1+I268),2)</f>
        <v>80.91</v>
      </c>
      <c r="K268" s="69">
        <f>SUM(G268*J268)</f>
        <v>485.46</v>
      </c>
      <c r="L268" s="51"/>
      <c r="M268" s="52"/>
    </row>
    <row r="269" spans="2:13" s="25" customFormat="1" ht="30" customHeight="1" outlineLevel="1">
      <c r="B269" s="61" t="s">
        <v>572</v>
      </c>
      <c r="C269" s="62" t="s">
        <v>26</v>
      </c>
      <c r="D269" s="63" t="s">
        <v>573</v>
      </c>
      <c r="E269" s="64" t="str">
        <f>IFERROR(UPPER(IF(C269="CPU",VLOOKUP(D269,#REF!,2,0),IF(C269="SINAPI",VLOOKUP(D269,#REF!,2,0),IF(C269="EDIF",VLOOKUP(D269,#REF!,2,0),IF(C269="CDHU",VLOOKUP(D269,#REF!,2,0),IF(C269="FDE",VLOOKUP(D269,'FDE 10-23 '!$A$4:$E$3180,2,0),IF(C269="INFRA",VLOOKUP(D269,#REF!,2,0),""))))))),"")</f>
        <v>TJ-03 TORNEIRA DE JARDIM</v>
      </c>
      <c r="F269" s="65" t="str">
        <f>VLOOKUP(D269,'FDE 10-23 '!$A$4:$E$3180,3,0)</f>
        <v>UN</v>
      </c>
      <c r="G269" s="66">
        <f>VLOOKUP(B269,Planilha17!$A$8:$F$1259,6,0)</f>
        <v>1</v>
      </c>
      <c r="H269" s="67">
        <f>VLOOKUP(D269,'FDE 10-23 '!$A$4:$E$3180,5,0)</f>
        <v>490.07</v>
      </c>
      <c r="I269" s="68">
        <f>$L$10</f>
        <v>0.23</v>
      </c>
      <c r="J269" s="67">
        <f>ROUND(H269*(1+I269),2)</f>
        <v>602.79</v>
      </c>
      <c r="K269" s="69">
        <f>SUM(G269*J269)</f>
        <v>602.79</v>
      </c>
      <c r="L269" s="51"/>
      <c r="M269" s="52"/>
    </row>
    <row r="270" spans="2:13" s="25" customFormat="1" ht="30" customHeight="1">
      <c r="B270" s="43">
        <v>9</v>
      </c>
      <c r="C270" s="44"/>
      <c r="D270" s="44" t="s">
        <v>574</v>
      </c>
      <c r="E270" s="45" t="s">
        <v>575</v>
      </c>
      <c r="F270" s="46" t="str">
        <f>IFERROR(UPPER(IF(C270="CPU",VLOOKUP(D270,#REF!,3,0),IF(C270="SINAPI",VLOOKUP(D270,#REF!,3,0),IF(C270="EDIF",VLOOKUP(D270,#REF!,3,0),IF(C270="CDHU",VLOOKUP(D270,#REF!,3,0),IF(C270="FDE",VLOOKUP(D270,#REF!,3,0),IF(C270="INFRA",VLOOKUP(D270,#REF!,3,0),""))))))),"")</f>
        <v/>
      </c>
      <c r="G270" s="47"/>
      <c r="H270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70" s="49"/>
      <c r="J270" s="49"/>
      <c r="K270" s="50">
        <f>SUBTOTAL(9,K271:K377)</f>
        <v>606019.2106600001</v>
      </c>
      <c r="L270" s="51"/>
      <c r="M270" s="52"/>
    </row>
    <row r="271" spans="2:13" s="25" customFormat="1" ht="30" customHeight="1" outlineLevel="1">
      <c r="B271" s="53" t="s">
        <v>576</v>
      </c>
      <c r="C271" s="54"/>
      <c r="D271" s="54" t="s">
        <v>577</v>
      </c>
      <c r="E271" s="55" t="s">
        <v>578</v>
      </c>
      <c r="F271" s="56" t="str">
        <f>IFERROR(UPPER(IF(C271="CPU",VLOOKUP(D271,#REF!,3,0),IF(C271="SINAPI",VLOOKUP(D271,#REF!,3,0),IF(C271="EDIF",VLOOKUP(D271,#REF!,3,0),IF(C271="CDHU",VLOOKUP(D271,#REF!,3,0),IF(C271="FDE",VLOOKUP(D271,#REF!,3,0),IF(C271="INFRA",VLOOKUP(D271,#REF!,3,0),""))))))),"")</f>
        <v/>
      </c>
      <c r="G271" s="57"/>
      <c r="H271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71" s="59"/>
      <c r="J271" s="59"/>
      <c r="K271" s="60">
        <f>SUBTOTAL(9,K272:K278)</f>
        <v>14279.974460000001</v>
      </c>
      <c r="L271" s="51"/>
      <c r="M271" s="52"/>
    </row>
    <row r="272" spans="2:13" s="25" customFormat="1" ht="30" customHeight="1" outlineLevel="1">
      <c r="B272" s="61" t="s">
        <v>579</v>
      </c>
      <c r="C272" s="62" t="s">
        <v>26</v>
      </c>
      <c r="D272" s="63" t="s">
        <v>580</v>
      </c>
      <c r="E272" s="64" t="str">
        <f>IFERROR(UPPER(IF(C272="CPU",VLOOKUP(D272,#REF!,2,0),IF(C272="SINAPI",VLOOKUP(D272,#REF!,2,0),IF(C272="EDIF",VLOOKUP(D272,#REF!,2,0),IF(C272="CDHU",VLOOKUP(D272,#REF!,2,0),IF(C272="FDE",VLOOKUP(D272,'FDE 10-23 '!$A$4:$E$3180,2,0),IF(C272="INFRA",VLOOKUP(D272,#REF!,2,0),""))))))),"")</f>
        <v>AT-01 ENTRADA AEREA PARA TELEFONE</v>
      </c>
      <c r="F272" s="65" t="str">
        <f>VLOOKUP(D272,'FDE 10-23 '!$A$4:$E$3180,3,0)</f>
        <v>UN</v>
      </c>
      <c r="G272" s="66">
        <f>VLOOKUP(B272,Planilha17!$A$8:$F$1259,6,0)</f>
        <v>0.89100000000000001</v>
      </c>
      <c r="H272" s="67">
        <f>VLOOKUP(D272,'FDE 10-23 '!$A$4:$E$3180,5,0)</f>
        <v>1666.15</v>
      </c>
      <c r="I272" s="68">
        <f t="shared" ref="I272:I278" si="45">$L$10</f>
        <v>0.23</v>
      </c>
      <c r="J272" s="67">
        <f t="shared" ref="J272:J278" si="46">ROUND(H272*(1+I272),2)</f>
        <v>2049.36</v>
      </c>
      <c r="K272" s="69">
        <f t="shared" ref="K272:K278" si="47">SUM(G272*J272)</f>
        <v>1825.9797600000002</v>
      </c>
      <c r="L272" s="51"/>
      <c r="M272" s="52"/>
    </row>
    <row r="273" spans="2:13" s="25" customFormat="1" ht="30" customHeight="1" outlineLevel="1">
      <c r="B273" s="61" t="s">
        <v>581</v>
      </c>
      <c r="C273" s="62" t="s">
        <v>26</v>
      </c>
      <c r="D273" s="63" t="s">
        <v>582</v>
      </c>
      <c r="E273" s="64" t="str">
        <f>IFERROR(UPPER(IF(C273="CPU",VLOOKUP(D273,#REF!,2,0),IF(C273="SINAPI",VLOOKUP(D273,#REF!,2,0),IF(C273="EDIF",VLOOKUP(D273,#REF!,2,0),IF(C273="CDHU",VLOOKUP(D273,#REF!,2,0),IF(C273="FDE",VLOOKUP(D273,'FDE 10-23 '!$A$4:$E$3180,2,0),IF(C273="INFRA",VLOOKUP(D273,#REF!,2,0),""))))))),"")</f>
        <v>DPS - DISPOSITIVO PROTECAO CONTRA SURTOS (ENERGIA)</v>
      </c>
      <c r="F273" s="65" t="str">
        <f>VLOOKUP(D273,'FDE 10-23 '!$A$4:$E$3180,3,0)</f>
        <v>UN</v>
      </c>
      <c r="G273" s="66">
        <f>VLOOKUP(B273,Planilha17!$A$8:$F$1259,6,0)</f>
        <v>4</v>
      </c>
      <c r="H273" s="67">
        <f>VLOOKUP(D273,'FDE 10-23 '!$A$4:$E$3180,5,0)</f>
        <v>210.26</v>
      </c>
      <c r="I273" s="68">
        <f t="shared" si="45"/>
        <v>0.23</v>
      </c>
      <c r="J273" s="67">
        <f t="shared" si="46"/>
        <v>258.62</v>
      </c>
      <c r="K273" s="69">
        <f t="shared" si="47"/>
        <v>1034.48</v>
      </c>
      <c r="L273" s="51"/>
      <c r="M273" s="52"/>
    </row>
    <row r="274" spans="2:13" s="25" customFormat="1" ht="30" customHeight="1" outlineLevel="1">
      <c r="B274" s="61" t="s">
        <v>583</v>
      </c>
      <c r="C274" s="62" t="s">
        <v>26</v>
      </c>
      <c r="D274" s="63" t="s">
        <v>584</v>
      </c>
      <c r="E274" s="64" t="str">
        <f>IFERROR(UPPER(IF(C274="CPU",VLOOKUP(D274,#REF!,2,0),IF(C274="SINAPI",VLOOKUP(D274,#REF!,2,0),IF(C274="EDIF",VLOOKUP(D274,#REF!,2,0),IF(C274="CDHU",VLOOKUP(D274,#REF!,2,0),IF(C274="FDE",VLOOKUP(D274,'FDE 10-23 '!$A$4:$E$3180,2,0),IF(C274="INFRA",VLOOKUP(D274,#REF!,2,0),""))))))),"")</f>
        <v>AE-21 ABRIGO E ENTRADA DE ENERGIA (CAIXA M OU H): AES ELETROP/BANDEIRANTE/ELEKTRO/CPFL</v>
      </c>
      <c r="F274" s="65" t="str">
        <f>VLOOKUP(D274,'FDE 10-23 '!$A$4:$E$3180,3,0)</f>
        <v>UN</v>
      </c>
      <c r="G274" s="66">
        <f>VLOOKUP(B274,Planilha17!$A$8:$F$1259,6,0)</f>
        <v>0.77</v>
      </c>
      <c r="H274" s="67">
        <f>VLOOKUP(D274,'FDE 10-23 '!$A$4:$E$3180,5,0)</f>
        <v>5764.32</v>
      </c>
      <c r="I274" s="68">
        <f t="shared" si="45"/>
        <v>0.23</v>
      </c>
      <c r="J274" s="67">
        <f t="shared" si="46"/>
        <v>7090.11</v>
      </c>
      <c r="K274" s="69">
        <f t="shared" si="47"/>
        <v>5459.3846999999996</v>
      </c>
      <c r="L274" s="51"/>
      <c r="M274" s="52"/>
    </row>
    <row r="275" spans="2:13" s="25" customFormat="1" ht="30" customHeight="1" outlineLevel="1">
      <c r="B275" s="61" t="s">
        <v>585</v>
      </c>
      <c r="C275" s="62" t="s">
        <v>26</v>
      </c>
      <c r="D275" s="63" t="s">
        <v>586</v>
      </c>
      <c r="E275" s="64" t="str">
        <f>IFERROR(UPPER(IF(C275="CPU",VLOOKUP(D275,#REF!,2,0),IF(C275="SINAPI",VLOOKUP(D275,#REF!,2,0),IF(C275="EDIF",VLOOKUP(D275,#REF!,2,0),IF(C275="CDHU",VLOOKUP(D275,#REF!,2,0),IF(C275="FDE",VLOOKUP(D275,'FDE 10-23 '!$A$4:$E$3180,2,0),IF(C275="INFRA",VLOOKUP(D275,#REF!,2,0),""))))))),"")</f>
        <v>CONJ 4 CABOS P/ ENTRADA ENERGIA SECCAO 95MM2 C/ ELETRODUTOS</v>
      </c>
      <c r="F275" s="65" t="str">
        <f>VLOOKUP(D275,'FDE 10-23 '!$A$4:$E$3180,3,0)</f>
        <v>UN</v>
      </c>
      <c r="G275" s="66">
        <f>VLOOKUP(B275,Planilha17!$A$8:$F$1259,6,0)</f>
        <v>1</v>
      </c>
      <c r="H275" s="67">
        <f>VLOOKUP(D275,'FDE 10-23 '!$A$4:$E$3180,5,0)</f>
        <v>3660.7</v>
      </c>
      <c r="I275" s="68">
        <f t="shared" si="45"/>
        <v>0.23</v>
      </c>
      <c r="J275" s="67">
        <f t="shared" si="46"/>
        <v>4502.66</v>
      </c>
      <c r="K275" s="69">
        <f t="shared" si="47"/>
        <v>4502.66</v>
      </c>
      <c r="L275" s="51"/>
      <c r="M275" s="52"/>
    </row>
    <row r="276" spans="2:13" s="25" customFormat="1" ht="30" customHeight="1" outlineLevel="1">
      <c r="B276" s="61" t="s">
        <v>587</v>
      </c>
      <c r="C276" s="62" t="s">
        <v>26</v>
      </c>
      <c r="D276" s="63" t="s">
        <v>588</v>
      </c>
      <c r="E276" s="64" t="str">
        <f>IFERROR(UPPER(IF(C276="CPU",VLOOKUP(D276,#REF!,2,0),IF(C276="SINAPI",VLOOKUP(D276,#REF!,2,0),IF(C276="EDIF",VLOOKUP(D276,#REF!,2,0),IF(C276="CDHU",VLOOKUP(D276,#REF!,2,0),IF(C276="FDE",VLOOKUP(D276,'FDE 10-23 '!$A$4:$E$3180,2,0),IF(C276="INFRA",VLOOKUP(D276,#REF!,2,0),""))))))),"")</f>
        <v>DISJUNTOR TRIPOLAR TERMOMAGNETICO 3X10A A 3X50A</v>
      </c>
      <c r="F276" s="65" t="str">
        <f>VLOOKUP(D276,'FDE 10-23 '!$A$4:$E$3180,3,0)</f>
        <v>UN</v>
      </c>
      <c r="G276" s="66">
        <f>VLOOKUP(B276,Planilha17!$A$8:$F$1259,6,0)</f>
        <v>1</v>
      </c>
      <c r="H276" s="67">
        <f>VLOOKUP(D276,'FDE 10-23 '!$A$4:$E$3180,5,0)</f>
        <v>101.58</v>
      </c>
      <c r="I276" s="68">
        <f t="shared" si="45"/>
        <v>0.23</v>
      </c>
      <c r="J276" s="67">
        <f t="shared" si="46"/>
        <v>124.94</v>
      </c>
      <c r="K276" s="69">
        <f t="shared" si="47"/>
        <v>124.94</v>
      </c>
      <c r="L276" s="51"/>
      <c r="M276" s="52"/>
    </row>
    <row r="277" spans="2:13" s="25" customFormat="1" ht="30" customHeight="1" outlineLevel="1">
      <c r="B277" s="61" t="s">
        <v>589</v>
      </c>
      <c r="C277" s="62" t="s">
        <v>26</v>
      </c>
      <c r="D277" s="63" t="s">
        <v>590</v>
      </c>
      <c r="E277" s="64" t="str">
        <f>IFERROR(UPPER(IF(C277="CPU",VLOOKUP(D277,#REF!,2,0),IF(C277="SINAPI",VLOOKUP(D277,#REF!,2,0),IF(C277="EDIF",VLOOKUP(D277,#REF!,2,0),IF(C277="CDHU",VLOOKUP(D277,#REF!,2,0),IF(C277="FDE",VLOOKUP(D277,'FDE 10-23 '!$A$4:$E$3180,2,0),IF(C277="INFRA",VLOOKUP(D277,#REF!,2,0),""))))))),"")</f>
        <v>DISJUNTOR TRIPOLAR TERMOMAGNETICO 3X125A A 3X225A</v>
      </c>
      <c r="F277" s="65" t="str">
        <f>VLOOKUP(D277,'FDE 10-23 '!$A$4:$E$3180,3,0)</f>
        <v>UN</v>
      </c>
      <c r="G277" s="66">
        <f>VLOOKUP(B277,Planilha17!$A$8:$F$1259,6,0)</f>
        <v>1</v>
      </c>
      <c r="H277" s="67">
        <f>VLOOKUP(D277,'FDE 10-23 '!$A$4:$E$3180,5,0)</f>
        <v>462.87</v>
      </c>
      <c r="I277" s="68">
        <f t="shared" si="45"/>
        <v>0.23</v>
      </c>
      <c r="J277" s="67">
        <f t="shared" si="46"/>
        <v>569.33000000000004</v>
      </c>
      <c r="K277" s="69">
        <f t="shared" si="47"/>
        <v>569.33000000000004</v>
      </c>
      <c r="L277" s="51"/>
      <c r="M277" s="52"/>
    </row>
    <row r="278" spans="2:13" s="25" customFormat="1" ht="30" customHeight="1" outlineLevel="1">
      <c r="B278" s="61" t="s">
        <v>591</v>
      </c>
      <c r="C278" s="62" t="s">
        <v>26</v>
      </c>
      <c r="D278" s="63" t="s">
        <v>592</v>
      </c>
      <c r="E278" s="64" t="str">
        <f>IFERROR(UPPER(IF(C278="CPU",VLOOKUP(D278,#REF!,2,0),IF(C278="SINAPI",VLOOKUP(D278,#REF!,2,0),IF(C278="EDIF",VLOOKUP(D278,#REF!,2,0),IF(C278="CDHU",VLOOKUP(D278,#REF!,2,0),IF(C278="FDE",VLOOKUP(D278,'FDE 10-23 '!$A$4:$E$3180,2,0),IF(C278="INFRA",VLOOKUP(D278,#REF!,2,0),""))))))),"")</f>
        <v>CONJUNTO PARA ENTRADA DE TELEFONE  NA ENTRADA DE ENERGIA</v>
      </c>
      <c r="F278" s="65" t="str">
        <f>VLOOKUP(D278,'FDE 10-23 '!$A$4:$E$3180,3,0)</f>
        <v>UN</v>
      </c>
      <c r="G278" s="66">
        <f>VLOOKUP(B278,Planilha17!$A$8:$F$1259,6,0)</f>
        <v>1</v>
      </c>
      <c r="H278" s="67">
        <f>VLOOKUP(D278,'FDE 10-23 '!$A$4:$E$3180,5,0)</f>
        <v>620.49</v>
      </c>
      <c r="I278" s="68">
        <f t="shared" si="45"/>
        <v>0.23</v>
      </c>
      <c r="J278" s="67">
        <f t="shared" si="46"/>
        <v>763.2</v>
      </c>
      <c r="K278" s="69">
        <f t="shared" si="47"/>
        <v>763.2</v>
      </c>
      <c r="L278" s="51"/>
      <c r="M278" s="52"/>
    </row>
    <row r="279" spans="2:13" s="25" customFormat="1" ht="30" customHeight="1" outlineLevel="1">
      <c r="B279" s="53" t="s">
        <v>593</v>
      </c>
      <c r="C279" s="54"/>
      <c r="D279" s="54" t="s">
        <v>594</v>
      </c>
      <c r="E279" s="55" t="s">
        <v>595</v>
      </c>
      <c r="F279" s="56" t="str">
        <f>IFERROR(UPPER(IF(C279="CPU",VLOOKUP(D279,#REF!,3,0),IF(C279="SINAPI",VLOOKUP(D279,#REF!,3,0),IF(C279="EDIF",VLOOKUP(D279,#REF!,3,0),IF(C279="CDHU",VLOOKUP(D279,#REF!,3,0),IF(C279="FDE",VLOOKUP(D279,#REF!,3,0),IF(C279="INFRA",VLOOKUP(D279,#REF!,3,0),""))))))),"")</f>
        <v/>
      </c>
      <c r="G279" s="57"/>
      <c r="H279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79" s="59"/>
      <c r="J279" s="59"/>
      <c r="K279" s="60">
        <f>SUBTOTAL(9,K280:K287)</f>
        <v>32376.339999999993</v>
      </c>
      <c r="L279" s="51"/>
      <c r="M279" s="52"/>
    </row>
    <row r="280" spans="2:13" s="25" customFormat="1" ht="30" customHeight="1" outlineLevel="1">
      <c r="B280" s="61" t="s">
        <v>596</v>
      </c>
      <c r="C280" s="62" t="s">
        <v>26</v>
      </c>
      <c r="D280" s="63" t="s">
        <v>597</v>
      </c>
      <c r="E280" s="64" t="str">
        <f>IFERROR(UPPER(IF(C280="CPU",VLOOKUP(D280,#REF!,2,0),IF(C280="SINAPI",VLOOKUP(D280,#REF!,2,0),IF(C280="EDIF",VLOOKUP(D280,#REF!,2,0),IF(C280="CDHU",VLOOKUP(D280,#REF!,2,0),IF(C280="FDE",VLOOKUP(D280,'FDE 10-23 '!$A$4:$E$3180,2,0),IF(C280="INFRA",VLOOKUP(D280,#REF!,2,0),""))))))),"")</f>
        <v>CABO DE 50 MM2 - 750 V DE ISOLACAO</v>
      </c>
      <c r="F280" s="65" t="str">
        <f>VLOOKUP(D280,'FDE 10-23 '!$A$4:$E$3180,3,0)</f>
        <v>M</v>
      </c>
      <c r="G280" s="66">
        <f>VLOOKUP(B280,Planilha17!$A$8:$F$1259,6,0)</f>
        <v>45</v>
      </c>
      <c r="H280" s="67">
        <f>VLOOKUP(D280,'FDE 10-23 '!$A$4:$E$3180,5,0)</f>
        <v>59.96</v>
      </c>
      <c r="I280" s="68">
        <f t="shared" ref="I280:I287" si="48">$L$10</f>
        <v>0.23</v>
      </c>
      <c r="J280" s="67">
        <f t="shared" ref="J280:J287" si="49">ROUND(H280*(1+I280),2)</f>
        <v>73.75</v>
      </c>
      <c r="K280" s="69">
        <f t="shared" ref="K280:K287" si="50">SUM(G280*J280)</f>
        <v>3318.75</v>
      </c>
      <c r="L280" s="51"/>
      <c r="M280" s="52"/>
    </row>
    <row r="281" spans="2:13" s="25" customFormat="1" ht="30" customHeight="1" outlineLevel="1">
      <c r="B281" s="61" t="s">
        <v>598</v>
      </c>
      <c r="C281" s="62" t="s">
        <v>26</v>
      </c>
      <c r="D281" s="63" t="s">
        <v>599</v>
      </c>
      <c r="E281" s="64" t="str">
        <f>IFERROR(UPPER(IF(C281="CPU",VLOOKUP(D281,#REF!,2,0),IF(C281="SINAPI",VLOOKUP(D281,#REF!,2,0),IF(C281="EDIF",VLOOKUP(D281,#REF!,2,0),IF(C281="CDHU",VLOOKUP(D281,#REF!,2,0),IF(C281="FDE",VLOOKUP(D281,'FDE 10-23 '!$A$4:$E$3180,2,0),IF(C281="INFRA",VLOOKUP(D281,#REF!,2,0),""))))))),"")</f>
        <v>CABO DE 95 MM2 - 750 V DE ISOLACAO</v>
      </c>
      <c r="F281" s="65" t="str">
        <f>VLOOKUP(D281,'FDE 10-23 '!$A$4:$E$3180,3,0)</f>
        <v>M</v>
      </c>
      <c r="G281" s="66">
        <f>VLOOKUP(B281,Planilha17!$A$8:$F$1259,6,0)</f>
        <v>180</v>
      </c>
      <c r="H281" s="67">
        <f>VLOOKUP(D281,'FDE 10-23 '!$A$4:$E$3180,5,0)</f>
        <v>105.93</v>
      </c>
      <c r="I281" s="68">
        <f t="shared" si="48"/>
        <v>0.23</v>
      </c>
      <c r="J281" s="67">
        <f t="shared" si="49"/>
        <v>130.29</v>
      </c>
      <c r="K281" s="69">
        <f t="shared" si="50"/>
        <v>23452.199999999997</v>
      </c>
      <c r="L281" s="51"/>
      <c r="M281" s="52"/>
    </row>
    <row r="282" spans="2:13" s="25" customFormat="1" ht="30" customHeight="1" outlineLevel="1">
      <c r="B282" s="61" t="s">
        <v>600</v>
      </c>
      <c r="C282" s="62" t="s">
        <v>26</v>
      </c>
      <c r="D282" s="63" t="s">
        <v>601</v>
      </c>
      <c r="E282" s="64" t="str">
        <f>IFERROR(UPPER(IF(C282="CPU",VLOOKUP(D282,#REF!,2,0),IF(C282="SINAPI",VLOOKUP(D282,#REF!,2,0),IF(C282="EDIF",VLOOKUP(D282,#REF!,2,0),IF(C282="CDHU",VLOOKUP(D282,#REF!,2,0),IF(C282="FDE",VLOOKUP(D282,'FDE 10-23 '!$A$4:$E$3180,2,0),IF(C282="INFRA",VLOOKUP(D282,#REF!,2,0),""))))))),"")</f>
        <v>CABO DE 10 MM2 - 750V DE ISOLAÇÃO</v>
      </c>
      <c r="F282" s="65" t="str">
        <f>VLOOKUP(D282,'FDE 10-23 '!$A$4:$E$3180,3,0)</f>
        <v>M</v>
      </c>
      <c r="G282" s="66">
        <f>VLOOKUP(B282,Planilha17!$A$8:$F$1259,6,0)</f>
        <v>8</v>
      </c>
      <c r="H282" s="67">
        <f>VLOOKUP(D282,'FDE 10-23 '!$A$4:$E$3180,5,0)</f>
        <v>10.53</v>
      </c>
      <c r="I282" s="68">
        <f t="shared" si="48"/>
        <v>0.23</v>
      </c>
      <c r="J282" s="67">
        <f t="shared" si="49"/>
        <v>12.95</v>
      </c>
      <c r="K282" s="69">
        <f t="shared" si="50"/>
        <v>103.6</v>
      </c>
      <c r="L282" s="51"/>
      <c r="M282" s="52"/>
    </row>
    <row r="283" spans="2:13" s="25" customFormat="1" ht="30" customHeight="1" outlineLevel="1">
      <c r="B283" s="61" t="s">
        <v>602</v>
      </c>
      <c r="C283" s="62" t="s">
        <v>26</v>
      </c>
      <c r="D283" s="63" t="s">
        <v>603</v>
      </c>
      <c r="E283" s="64" t="str">
        <f>IFERROR(UPPER(IF(C283="CPU",VLOOKUP(D283,#REF!,2,0),IF(C283="SINAPI",VLOOKUP(D283,#REF!,2,0),IF(C283="EDIF",VLOOKUP(D283,#REF!,2,0),IF(C283="CDHU",VLOOKUP(D283,#REF!,2,0),IF(C283="FDE",VLOOKUP(D283,'FDE 10-23 '!$A$4:$E$3180,2,0),IF(C283="INFRA",VLOOKUP(D283,#REF!,2,0),""))))))),"")</f>
        <v>ELETRODUTO DE PVC RIGIDO ROSCAVEL DE 25MM - INCL CONEXOES</v>
      </c>
      <c r="F283" s="65" t="str">
        <f>VLOOKUP(D283,'FDE 10-23 '!$A$4:$E$3180,3,0)</f>
        <v>M</v>
      </c>
      <c r="G283" s="66">
        <f>VLOOKUP(B283,Planilha17!$A$8:$F$1259,6,0)</f>
        <v>14</v>
      </c>
      <c r="H283" s="67">
        <f>VLOOKUP(D283,'FDE 10-23 '!$A$4:$E$3180,5,0)</f>
        <v>23.74</v>
      </c>
      <c r="I283" s="68">
        <f t="shared" si="48"/>
        <v>0.23</v>
      </c>
      <c r="J283" s="67">
        <f t="shared" si="49"/>
        <v>29.2</v>
      </c>
      <c r="K283" s="69">
        <f t="shared" si="50"/>
        <v>408.8</v>
      </c>
      <c r="L283" s="51"/>
      <c r="M283" s="52"/>
    </row>
    <row r="284" spans="2:13" s="25" customFormat="1" ht="30" customHeight="1" outlineLevel="1">
      <c r="B284" s="61" t="s">
        <v>604</v>
      </c>
      <c r="C284" s="62" t="s">
        <v>26</v>
      </c>
      <c r="D284" s="63" t="s">
        <v>605</v>
      </c>
      <c r="E284" s="64" t="str">
        <f>IFERROR(UPPER(IF(C284="CPU",VLOOKUP(D284,#REF!,2,0),IF(C284="SINAPI",VLOOKUP(D284,#REF!,2,0),IF(C284="EDIF",VLOOKUP(D284,#REF!,2,0),IF(C284="CDHU",VLOOKUP(D284,#REF!,2,0),IF(C284="FDE",VLOOKUP(D284,'FDE 10-23 '!$A$4:$E$3180,2,0),IF(C284="INFRA",VLOOKUP(D284,#REF!,2,0),""))))))),"")</f>
        <v>ELETRODUTO DE PVC RIGIDO ROSCAVEL DE 32MM - INCL CONEXOES</v>
      </c>
      <c r="F284" s="65" t="str">
        <f>VLOOKUP(D284,'FDE 10-23 '!$A$4:$E$3180,3,0)</f>
        <v>M</v>
      </c>
      <c r="G284" s="66">
        <f>VLOOKUP(B284,Planilha17!$A$8:$F$1259,6,0)</f>
        <v>5</v>
      </c>
      <c r="H284" s="67">
        <f>VLOOKUP(D284,'FDE 10-23 '!$A$4:$E$3180,5,0)</f>
        <v>30.18</v>
      </c>
      <c r="I284" s="68">
        <f t="shared" si="48"/>
        <v>0.23</v>
      </c>
      <c r="J284" s="67">
        <f t="shared" si="49"/>
        <v>37.119999999999997</v>
      </c>
      <c r="K284" s="69">
        <f t="shared" si="50"/>
        <v>185.6</v>
      </c>
      <c r="L284" s="51"/>
      <c r="M284" s="52"/>
    </row>
    <row r="285" spans="2:13" s="25" customFormat="1" ht="30" customHeight="1" outlineLevel="1">
      <c r="B285" s="61" t="s">
        <v>606</v>
      </c>
      <c r="C285" s="62" t="s">
        <v>26</v>
      </c>
      <c r="D285" s="63" t="s">
        <v>607</v>
      </c>
      <c r="E285" s="64" t="str">
        <f>IFERROR(UPPER(IF(C285="CPU",VLOOKUP(D285,#REF!,2,0),IF(C285="SINAPI",VLOOKUP(D285,#REF!,2,0),IF(C285="EDIF",VLOOKUP(D285,#REF!,2,0),IF(C285="CDHU",VLOOKUP(D285,#REF!,2,0),IF(C285="FDE",VLOOKUP(D285,'FDE 10-23 '!$A$4:$E$3180,2,0),IF(C285="INFRA",VLOOKUP(D285,#REF!,2,0),""))))))),"")</f>
        <v>ELETRODUTO DE PVC RIGIDO ROSCAVEL DE 40MM - INCL CONEXOES</v>
      </c>
      <c r="F285" s="65" t="str">
        <f>VLOOKUP(D285,'FDE 10-23 '!$A$4:$E$3180,3,0)</f>
        <v>M</v>
      </c>
      <c r="G285" s="66">
        <f>VLOOKUP(B285,Planilha17!$A$8:$F$1259,6,0)</f>
        <v>2</v>
      </c>
      <c r="H285" s="67">
        <f>VLOOKUP(D285,'FDE 10-23 '!$A$4:$E$3180,5,0)</f>
        <v>38.21</v>
      </c>
      <c r="I285" s="68">
        <f t="shared" si="48"/>
        <v>0.23</v>
      </c>
      <c r="J285" s="67">
        <f t="shared" si="49"/>
        <v>47</v>
      </c>
      <c r="K285" s="69">
        <f t="shared" si="50"/>
        <v>94</v>
      </c>
      <c r="L285" s="51"/>
      <c r="M285" s="52"/>
    </row>
    <row r="286" spans="2:13" s="25" customFormat="1" ht="30" customHeight="1" outlineLevel="1">
      <c r="B286" s="61" t="s">
        <v>608</v>
      </c>
      <c r="C286" s="62" t="s">
        <v>26</v>
      </c>
      <c r="D286" s="63" t="s">
        <v>609</v>
      </c>
      <c r="E286" s="64" t="str">
        <f>IFERROR(UPPER(IF(C286="CPU",VLOOKUP(D286,#REF!,2,0),IF(C286="SINAPI",VLOOKUP(D286,#REF!,2,0),IF(C286="EDIF",VLOOKUP(D286,#REF!,2,0),IF(C286="CDHU",VLOOKUP(D286,#REF!,2,0),IF(C286="FDE",VLOOKUP(D286,'FDE 10-23 '!$A$4:$E$3180,2,0),IF(C286="INFRA",VLOOKUP(D286,#REF!,2,0),""))))))),"")</f>
        <v>ELETRODUTO DE PVC RIGIDO ROSCAVEL DE 50MM - INCL CONEXOES</v>
      </c>
      <c r="F286" s="65" t="str">
        <f>VLOOKUP(D286,'FDE 10-23 '!$A$4:$E$3180,3,0)</f>
        <v>M</v>
      </c>
      <c r="G286" s="66">
        <f>VLOOKUP(B286,Planilha17!$A$8:$F$1259,6,0)</f>
        <v>8</v>
      </c>
      <c r="H286" s="67">
        <f>VLOOKUP(D286,'FDE 10-23 '!$A$4:$E$3180,5,0)</f>
        <v>41.04</v>
      </c>
      <c r="I286" s="68">
        <f t="shared" si="48"/>
        <v>0.23</v>
      </c>
      <c r="J286" s="67">
        <f t="shared" si="49"/>
        <v>50.48</v>
      </c>
      <c r="K286" s="69">
        <f t="shared" si="50"/>
        <v>403.84</v>
      </c>
      <c r="L286" s="51"/>
      <c r="M286" s="52"/>
    </row>
    <row r="287" spans="2:13" s="25" customFormat="1" ht="30" customHeight="1" outlineLevel="1">
      <c r="B287" s="61" t="s">
        <v>610</v>
      </c>
      <c r="C287" s="62" t="s">
        <v>26</v>
      </c>
      <c r="D287" s="63" t="s">
        <v>611</v>
      </c>
      <c r="E287" s="64" t="str">
        <f>IFERROR(UPPER(IF(C287="CPU",VLOOKUP(D287,#REF!,2,0),IF(C287="SINAPI",VLOOKUP(D287,#REF!,2,0),IF(C287="EDIF",VLOOKUP(D287,#REF!,2,0),IF(C287="CDHU",VLOOKUP(D287,#REF!,2,0),IF(C287="FDE",VLOOKUP(D287,'FDE 10-23 '!$A$4:$E$3180,2,0),IF(C287="INFRA",VLOOKUP(D287,#REF!,2,0),""))))))),"")</f>
        <v>ELETRODUTO DE PVC RIGIDO ROSCAVEL DE 85MM - INCL CONEXOES</v>
      </c>
      <c r="F287" s="65" t="str">
        <f>VLOOKUP(D287,'FDE 10-23 '!$A$4:$E$3180,3,0)</f>
        <v>M</v>
      </c>
      <c r="G287" s="66">
        <f>VLOOKUP(B287,Planilha17!$A$8:$F$1259,6,0)</f>
        <v>45</v>
      </c>
      <c r="H287" s="67">
        <f>VLOOKUP(D287,'FDE 10-23 '!$A$4:$E$3180,5,0)</f>
        <v>79.67</v>
      </c>
      <c r="I287" s="68">
        <f t="shared" si="48"/>
        <v>0.23</v>
      </c>
      <c r="J287" s="67">
        <f t="shared" si="49"/>
        <v>97.99</v>
      </c>
      <c r="K287" s="69">
        <f t="shared" si="50"/>
        <v>4409.55</v>
      </c>
      <c r="L287" s="51"/>
      <c r="M287" s="52"/>
    </row>
    <row r="288" spans="2:13" s="25" customFormat="1" ht="30" customHeight="1" outlineLevel="1">
      <c r="B288" s="53" t="s">
        <v>612</v>
      </c>
      <c r="C288" s="54"/>
      <c r="D288" s="54" t="s">
        <v>613</v>
      </c>
      <c r="E288" s="55" t="s">
        <v>614</v>
      </c>
      <c r="F288" s="56" t="str">
        <f>IFERROR(UPPER(IF(C288="CPU",VLOOKUP(D288,#REF!,3,0),IF(C288="SINAPI",VLOOKUP(D288,#REF!,3,0),IF(C288="EDIF",VLOOKUP(D288,#REF!,3,0),IF(C288="CDHU",VLOOKUP(D288,#REF!,3,0),IF(C288="FDE",VLOOKUP(D288,#REF!,3,0),IF(C288="INFRA",VLOOKUP(D288,#REF!,3,0),""))))))),"")</f>
        <v/>
      </c>
      <c r="G288" s="57"/>
      <c r="H288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88" s="59"/>
      <c r="J288" s="59"/>
      <c r="K288" s="60">
        <f>SUBTOTAL(9,K289:K296)</f>
        <v>7925.3262000000004</v>
      </c>
      <c r="L288" s="51"/>
      <c r="M288" s="52"/>
    </row>
    <row r="289" spans="2:13" s="25" customFormat="1" ht="30" customHeight="1" outlineLevel="1">
      <c r="B289" s="61" t="s">
        <v>615</v>
      </c>
      <c r="C289" s="62" t="s">
        <v>26</v>
      </c>
      <c r="D289" s="63" t="s">
        <v>616</v>
      </c>
      <c r="E289" s="64" t="str">
        <f>IFERROR(UPPER(IF(C289="CPU",VLOOKUP(D289,#REF!,2,0),IF(C289="SINAPI",VLOOKUP(D289,#REF!,2,0),IF(C289="EDIF",VLOOKUP(D289,#REF!,2,0),IF(C289="CDHU",VLOOKUP(D289,#REF!,2,0),IF(C289="FDE",VLOOKUP(D289,'FDE 10-23 '!$A$4:$E$3180,2,0),IF(C289="INFRA",VLOOKUP(D289,#REF!,2,0),""))))))),"")</f>
        <v>CAIXA EM CHAPA DE AÇO 16 COM PORTA E FECHO</v>
      </c>
      <c r="F289" s="65" t="str">
        <f>VLOOKUP(D289,'FDE 10-23 '!$A$4:$E$3180,3,0)</f>
        <v>M2</v>
      </c>
      <c r="G289" s="66">
        <f>VLOOKUP(B289,Planilha17!$A$8:$F$1259,6,0)</f>
        <v>1.44</v>
      </c>
      <c r="H289" s="67">
        <f>VLOOKUP(D289,'FDE 10-23 '!$A$4:$E$3180,5,0)</f>
        <v>1349.05</v>
      </c>
      <c r="I289" s="68">
        <f t="shared" ref="I289:I296" si="51">$L$10</f>
        <v>0.23</v>
      </c>
      <c r="J289" s="67">
        <f t="shared" ref="J289:J296" si="52">ROUND(H289*(1+I289),2)</f>
        <v>1659.33</v>
      </c>
      <c r="K289" s="69">
        <f t="shared" ref="K289:K296" si="53">SUM(G289*J289)</f>
        <v>2389.4351999999999</v>
      </c>
      <c r="L289" s="51"/>
      <c r="M289" s="52"/>
    </row>
    <row r="290" spans="2:13" s="25" customFormat="1" ht="30" customHeight="1" outlineLevel="1">
      <c r="B290" s="61" t="s">
        <v>617</v>
      </c>
      <c r="C290" s="62" t="s">
        <v>26</v>
      </c>
      <c r="D290" s="63" t="s">
        <v>618</v>
      </c>
      <c r="E290" s="64" t="str">
        <f>IFERROR(UPPER(IF(C290="CPU",VLOOKUP(D290,#REF!,2,0),IF(C290="SINAPI",VLOOKUP(D290,#REF!,2,0),IF(C290="EDIF",VLOOKUP(D290,#REF!,2,0),IF(C290="CDHU",VLOOKUP(D290,#REF!,2,0),IF(C290="FDE",VLOOKUP(D290,'FDE 10-23 '!$A$4:$E$3180,2,0),IF(C290="INFRA",VLOOKUP(D290,#REF!,2,0),""))))))),"")</f>
        <v>QUADRO GERAL - DISJUNTOR TERMOMAGNETICO 3X10A A 3X50A</v>
      </c>
      <c r="F290" s="65" t="str">
        <f>VLOOKUP(D290,'FDE 10-23 '!$A$4:$E$3180,3,0)</f>
        <v>UN</v>
      </c>
      <c r="G290" s="66">
        <f>VLOOKUP(B290,Planilha17!$A$8:$F$1259,6,0)</f>
        <v>25</v>
      </c>
      <c r="H290" s="67">
        <f>VLOOKUP(D290,'FDE 10-23 '!$A$4:$E$3180,5,0)</f>
        <v>101.58</v>
      </c>
      <c r="I290" s="68">
        <f t="shared" si="51"/>
        <v>0.23</v>
      </c>
      <c r="J290" s="67">
        <f t="shared" si="52"/>
        <v>124.94</v>
      </c>
      <c r="K290" s="69">
        <f t="shared" si="53"/>
        <v>3123.5</v>
      </c>
      <c r="L290" s="51"/>
      <c r="M290" s="52"/>
    </row>
    <row r="291" spans="2:13" s="25" customFormat="1" ht="30" customHeight="1" outlineLevel="1">
      <c r="B291" s="61" t="s">
        <v>619</v>
      </c>
      <c r="C291" s="62" t="s">
        <v>26</v>
      </c>
      <c r="D291" s="63" t="s">
        <v>620</v>
      </c>
      <c r="E291" s="64" t="str">
        <f>IFERROR(UPPER(IF(C291="CPU",VLOOKUP(D291,#REF!,2,0),IF(C291="SINAPI",VLOOKUP(D291,#REF!,2,0),IF(C291="EDIF",VLOOKUP(D291,#REF!,2,0),IF(C291="CDHU",VLOOKUP(D291,#REF!,2,0),IF(C291="FDE",VLOOKUP(D291,'FDE 10-23 '!$A$4:$E$3180,2,0),IF(C291="INFRA",VLOOKUP(D291,#REF!,2,0),""))))))),"")</f>
        <v>QUADRO GERAL - DISJUNTOR TERMOMAGNETICO 3X60A A 3X100A</v>
      </c>
      <c r="F291" s="65" t="str">
        <f>VLOOKUP(D291,'FDE 10-23 '!$A$4:$E$3180,3,0)</f>
        <v>UN</v>
      </c>
      <c r="G291" s="66">
        <f>VLOOKUP(B291,Planilha17!$A$8:$F$1259,6,0)</f>
        <v>2</v>
      </c>
      <c r="H291" s="67">
        <f>VLOOKUP(D291,'FDE 10-23 '!$A$4:$E$3180,5,0)</f>
        <v>130.57</v>
      </c>
      <c r="I291" s="68">
        <f t="shared" si="51"/>
        <v>0.23</v>
      </c>
      <c r="J291" s="67">
        <f t="shared" si="52"/>
        <v>160.6</v>
      </c>
      <c r="K291" s="69">
        <f t="shared" si="53"/>
        <v>321.2</v>
      </c>
      <c r="L291" s="51"/>
      <c r="M291" s="52"/>
    </row>
    <row r="292" spans="2:13" s="25" customFormat="1" ht="30" customHeight="1" outlineLevel="1">
      <c r="B292" s="61" t="s">
        <v>621</v>
      </c>
      <c r="C292" s="62" t="s">
        <v>26</v>
      </c>
      <c r="D292" s="63" t="s">
        <v>622</v>
      </c>
      <c r="E292" s="64" t="str">
        <f>IFERROR(UPPER(IF(C292="CPU",VLOOKUP(D292,#REF!,2,0),IF(C292="SINAPI",VLOOKUP(D292,#REF!,2,0),IF(C292="EDIF",VLOOKUP(D292,#REF!,2,0),IF(C292="CDHU",VLOOKUP(D292,#REF!,2,0),IF(C292="FDE",VLOOKUP(D292,'FDE 10-23 '!$A$4:$E$3180,2,0),IF(C292="INFRA",VLOOKUP(D292,#REF!,2,0),""))))))),"")</f>
        <v>QUADRO GERAL - DISJUNTOR TERMO MAGNETICO 3X200A</v>
      </c>
      <c r="F292" s="65" t="str">
        <f>VLOOKUP(D292,'FDE 10-23 '!$A$4:$E$3180,3,0)</f>
        <v>UN</v>
      </c>
      <c r="G292" s="66">
        <f>VLOOKUP(B292,Planilha17!$A$8:$F$1259,6,0)</f>
        <v>2</v>
      </c>
      <c r="H292" s="67">
        <f>VLOOKUP(D292,'FDE 10-23 '!$A$4:$E$3180,5,0)</f>
        <v>527.98</v>
      </c>
      <c r="I292" s="68">
        <f t="shared" si="51"/>
        <v>0.23</v>
      </c>
      <c r="J292" s="67">
        <f t="shared" si="52"/>
        <v>649.41999999999996</v>
      </c>
      <c r="K292" s="69">
        <f t="shared" si="53"/>
        <v>1298.8399999999999</v>
      </c>
      <c r="L292" s="51"/>
      <c r="M292" s="52"/>
    </row>
    <row r="293" spans="2:13" s="25" customFormat="1" ht="30" customHeight="1" outlineLevel="1">
      <c r="B293" s="61" t="s">
        <v>623</v>
      </c>
      <c r="C293" s="62" t="s">
        <v>26</v>
      </c>
      <c r="D293" s="63" t="s">
        <v>624</v>
      </c>
      <c r="E293" s="64" t="str">
        <f>IFERROR(UPPER(IF(C293="CPU",VLOOKUP(D293,#REF!,2,0),IF(C293="SINAPI",VLOOKUP(D293,#REF!,2,0),IF(C293="EDIF",VLOOKUP(D293,#REF!,2,0),IF(C293="CDHU",VLOOKUP(D293,#REF!,2,0),IF(C293="FDE",VLOOKUP(D293,'FDE 10-23 '!$A$4:$E$3180,2,0),IF(C293="INFRA",VLOOKUP(D293,#REF!,2,0),""))))))),"")</f>
        <v>QUADRO GERAL-BARRAMENTO DE 60 A</v>
      </c>
      <c r="F293" s="65" t="str">
        <f>VLOOKUP(D293,'FDE 10-23 '!$A$4:$E$3180,3,0)</f>
        <v>M</v>
      </c>
      <c r="G293" s="66">
        <f>VLOOKUP(B293,Planilha17!$A$8:$F$1259,6,0)</f>
        <v>8</v>
      </c>
      <c r="H293" s="67">
        <f>VLOOKUP(D293,'FDE 10-23 '!$A$4:$E$3180,5,0)</f>
        <v>19.37</v>
      </c>
      <c r="I293" s="68">
        <f t="shared" si="51"/>
        <v>0.23</v>
      </c>
      <c r="J293" s="67">
        <f t="shared" si="52"/>
        <v>23.83</v>
      </c>
      <c r="K293" s="69">
        <f t="shared" si="53"/>
        <v>190.64</v>
      </c>
      <c r="L293" s="51"/>
      <c r="M293" s="52"/>
    </row>
    <row r="294" spans="2:13" s="25" customFormat="1" ht="30" customHeight="1" outlineLevel="1">
      <c r="B294" s="61" t="s">
        <v>625</v>
      </c>
      <c r="C294" s="62" t="s">
        <v>26</v>
      </c>
      <c r="D294" s="63" t="s">
        <v>626</v>
      </c>
      <c r="E294" s="64" t="str">
        <f>IFERROR(UPPER(IF(C294="CPU",VLOOKUP(D294,#REF!,2,0),IF(C294="SINAPI",VLOOKUP(D294,#REF!,2,0),IF(C294="EDIF",VLOOKUP(D294,#REF!,2,0),IF(C294="CDHU",VLOOKUP(D294,#REF!,2,0),IF(C294="FDE",VLOOKUP(D294,'FDE 10-23 '!$A$4:$E$3180,2,0),IF(C294="INFRA",VLOOKUP(D294,#REF!,2,0),""))))))),"")</f>
        <v>QUADRO GERAL-BARRAMENTO DE 100 A</v>
      </c>
      <c r="F294" s="65" t="str">
        <f>VLOOKUP(D294,'FDE 10-23 '!$A$4:$E$3180,3,0)</f>
        <v>M</v>
      </c>
      <c r="G294" s="66">
        <f>VLOOKUP(B294,Planilha17!$A$8:$F$1259,6,0)</f>
        <v>5.5</v>
      </c>
      <c r="H294" s="67">
        <f>VLOOKUP(D294,'FDE 10-23 '!$A$4:$E$3180,5,0)</f>
        <v>34.14</v>
      </c>
      <c r="I294" s="68">
        <f t="shared" si="51"/>
        <v>0.23</v>
      </c>
      <c r="J294" s="67">
        <f t="shared" si="52"/>
        <v>41.99</v>
      </c>
      <c r="K294" s="69">
        <f t="shared" si="53"/>
        <v>230.94500000000002</v>
      </c>
      <c r="L294" s="51"/>
      <c r="M294" s="52"/>
    </row>
    <row r="295" spans="2:13" s="25" customFormat="1" ht="30" customHeight="1" outlineLevel="1">
      <c r="B295" s="61" t="s">
        <v>627</v>
      </c>
      <c r="C295" s="62" t="s">
        <v>26</v>
      </c>
      <c r="D295" s="63" t="s">
        <v>628</v>
      </c>
      <c r="E295" s="64" t="str">
        <f>IFERROR(UPPER(IF(C295="CPU",VLOOKUP(D295,#REF!,2,0),IF(C295="SINAPI",VLOOKUP(D295,#REF!,2,0),IF(C295="EDIF",VLOOKUP(D295,#REF!,2,0),IF(C295="CDHU",VLOOKUP(D295,#REF!,2,0),IF(C295="FDE",VLOOKUP(D295,'FDE 10-23 '!$A$4:$E$3180,2,0),IF(C295="INFRA",VLOOKUP(D295,#REF!,2,0),""))))))),"")</f>
        <v>QUADRO GERAL-BARRAMENTO DE 200 A</v>
      </c>
      <c r="F295" s="65" t="str">
        <f>VLOOKUP(D295,'FDE 10-23 '!$A$4:$E$3180,3,0)</f>
        <v>M</v>
      </c>
      <c r="G295" s="66">
        <f>VLOOKUP(B295,Planilha17!$A$8:$F$1259,6,0)</f>
        <v>3.6</v>
      </c>
      <c r="H295" s="67">
        <f>VLOOKUP(D295,'FDE 10-23 '!$A$4:$E$3180,5,0)</f>
        <v>65.58</v>
      </c>
      <c r="I295" s="68">
        <f t="shared" si="51"/>
        <v>0.23</v>
      </c>
      <c r="J295" s="67">
        <f t="shared" si="52"/>
        <v>80.66</v>
      </c>
      <c r="K295" s="69">
        <f t="shared" si="53"/>
        <v>290.37599999999998</v>
      </c>
      <c r="L295" s="51"/>
      <c r="M295" s="52"/>
    </row>
    <row r="296" spans="2:13" s="25" customFormat="1" ht="30" customHeight="1" outlineLevel="1">
      <c r="B296" s="61" t="s">
        <v>629</v>
      </c>
      <c r="C296" s="62" t="s">
        <v>26</v>
      </c>
      <c r="D296" s="63" t="s">
        <v>630</v>
      </c>
      <c r="E296" s="64" t="str">
        <f>IFERROR(UPPER(IF(C296="CPU",VLOOKUP(D296,#REF!,2,0),IF(C296="SINAPI",VLOOKUP(D296,#REF!,2,0),IF(C296="EDIF",VLOOKUP(D296,#REF!,2,0),IF(C296="CDHU",VLOOKUP(D296,#REF!,2,0),IF(C296="FDE",VLOOKUP(D296,'FDE 10-23 '!$A$4:$E$3180,2,0),IF(C296="INFRA",VLOOKUP(D296,#REF!,2,0),""))))))),"")</f>
        <v>DISJUNTOR BIPOLAR TERMOMAGNETICO 2X10A A 2X50A</v>
      </c>
      <c r="F296" s="65" t="str">
        <f>VLOOKUP(D296,'FDE 10-23 '!$A$4:$E$3180,3,0)</f>
        <v>UN</v>
      </c>
      <c r="G296" s="66">
        <f>VLOOKUP(B296,Planilha17!$A$8:$F$1259,6,0)</f>
        <v>1</v>
      </c>
      <c r="H296" s="67">
        <f>VLOOKUP(D296,'FDE 10-23 '!$A$4:$E$3180,5,0)</f>
        <v>65.36</v>
      </c>
      <c r="I296" s="68">
        <f t="shared" si="51"/>
        <v>0.23</v>
      </c>
      <c r="J296" s="67">
        <f t="shared" si="52"/>
        <v>80.39</v>
      </c>
      <c r="K296" s="69">
        <f t="shared" si="53"/>
        <v>80.39</v>
      </c>
      <c r="L296" s="51"/>
      <c r="M296" s="52"/>
    </row>
    <row r="297" spans="2:13" s="25" customFormat="1" ht="30" customHeight="1" outlineLevel="1">
      <c r="B297" s="53" t="s">
        <v>631</v>
      </c>
      <c r="C297" s="54"/>
      <c r="D297" s="54" t="s">
        <v>632</v>
      </c>
      <c r="E297" s="55" t="s">
        <v>633</v>
      </c>
      <c r="F297" s="56" t="str">
        <f>IFERROR(UPPER(IF(C297="CPU",VLOOKUP(D297,#REF!,3,0),IF(C297="SINAPI",VLOOKUP(D297,#REF!,3,0),IF(C297="EDIF",VLOOKUP(D297,#REF!,3,0),IF(C297="CDHU",VLOOKUP(D297,#REF!,3,0),IF(C297="FDE",VLOOKUP(D297,#REF!,3,0),IF(C297="INFRA",VLOOKUP(D297,#REF!,3,0),""))))))),"")</f>
        <v/>
      </c>
      <c r="G297" s="57"/>
      <c r="H29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97" s="59"/>
      <c r="J297" s="59"/>
      <c r="K297" s="60">
        <f>SUBTOTAL(9,K298:K319)</f>
        <v>126046.26999999999</v>
      </c>
      <c r="L297" s="51"/>
      <c r="M297" s="52"/>
    </row>
    <row r="298" spans="2:13" s="25" customFormat="1" ht="30" customHeight="1" outlineLevel="1">
      <c r="B298" s="61" t="s">
        <v>634</v>
      </c>
      <c r="C298" s="62" t="s">
        <v>26</v>
      </c>
      <c r="D298" s="63" t="s">
        <v>635</v>
      </c>
      <c r="E298" s="64" t="str">
        <f>IFERROR(UPPER(IF(C298="CPU",VLOOKUP(D298,#REF!,2,0),IF(C298="SINAPI",VLOOKUP(D298,#REF!,2,0),IF(C298="EDIF",VLOOKUP(D298,#REF!,2,0),IF(C298="CDHU",VLOOKUP(D298,#REF!,2,0),IF(C298="FDE",VLOOKUP(D298,'FDE 10-23 '!$A$4:$E$3180,2,0),IF(C298="INFRA",VLOOKUP(D298,#REF!,2,0),""))))))),"")</f>
        <v>ELETROD ACO GALV QUENTE (NBR 5624) 20 MM (3/4") - INCL CONEXOES</v>
      </c>
      <c r="F298" s="65" t="str">
        <f>VLOOKUP(D298,'FDE 10-23 '!$A$4:$E$3180,3,0)</f>
        <v>M</v>
      </c>
      <c r="G298" s="66">
        <f>VLOOKUP(B298,Planilha17!$A$8:$F$1259,6,0)</f>
        <v>71</v>
      </c>
      <c r="H298" s="67">
        <f>VLOOKUP(D298,'FDE 10-23 '!$A$4:$E$3180,5,0)</f>
        <v>43.07</v>
      </c>
      <c r="I298" s="68">
        <f t="shared" ref="I298:I319" si="54">$L$10</f>
        <v>0.23</v>
      </c>
      <c r="J298" s="67">
        <f t="shared" ref="J298:J319" si="55">ROUND(H298*(1+I298),2)</f>
        <v>52.98</v>
      </c>
      <c r="K298" s="69">
        <f t="shared" ref="K298:K319" si="56">SUM(G298*J298)</f>
        <v>3761.58</v>
      </c>
      <c r="L298" s="51"/>
      <c r="M298" s="52"/>
    </row>
    <row r="299" spans="2:13" s="25" customFormat="1" ht="30" customHeight="1" outlineLevel="1">
      <c r="B299" s="61" t="s">
        <v>636</v>
      </c>
      <c r="C299" s="62" t="s">
        <v>26</v>
      </c>
      <c r="D299" s="63" t="s">
        <v>637</v>
      </c>
      <c r="E299" s="64" t="str">
        <f>IFERROR(UPPER(IF(C299="CPU",VLOOKUP(D299,#REF!,2,0),IF(C299="SINAPI",VLOOKUP(D299,#REF!,2,0),IF(C299="EDIF",VLOOKUP(D299,#REF!,2,0),IF(C299="CDHU",VLOOKUP(D299,#REF!,2,0),IF(C299="FDE",VLOOKUP(D299,'FDE 10-23 '!$A$4:$E$3180,2,0),IF(C299="INFRA",VLOOKUP(D299,#REF!,2,0),""))))))),"")</f>
        <v>ELETROD ACO GALV QUENTE (NBR 5624) 25 MM (1") - INCL CONEXOES</v>
      </c>
      <c r="F299" s="65" t="str">
        <f>VLOOKUP(D299,'FDE 10-23 '!$A$4:$E$3180,3,0)</f>
        <v>M</v>
      </c>
      <c r="G299" s="66">
        <f>VLOOKUP(B299,Planilha17!$A$8:$F$1259,6,0)</f>
        <v>290</v>
      </c>
      <c r="H299" s="67">
        <f>VLOOKUP(D299,'FDE 10-23 '!$A$4:$E$3180,5,0)</f>
        <v>52.89</v>
      </c>
      <c r="I299" s="68">
        <f t="shared" si="54"/>
        <v>0.23</v>
      </c>
      <c r="J299" s="67">
        <f t="shared" si="55"/>
        <v>65.05</v>
      </c>
      <c r="K299" s="69">
        <f t="shared" si="56"/>
        <v>18864.5</v>
      </c>
      <c r="L299" s="51"/>
      <c r="M299" s="52"/>
    </row>
    <row r="300" spans="2:13" s="25" customFormat="1" ht="30" customHeight="1" outlineLevel="1">
      <c r="B300" s="61" t="s">
        <v>638</v>
      </c>
      <c r="C300" s="62" t="s">
        <v>26</v>
      </c>
      <c r="D300" s="63" t="s">
        <v>639</v>
      </c>
      <c r="E300" s="64" t="str">
        <f>IFERROR(UPPER(IF(C300="CPU",VLOOKUP(D300,#REF!,2,0),IF(C300="SINAPI",VLOOKUP(D300,#REF!,2,0),IF(C300="EDIF",VLOOKUP(D300,#REF!,2,0),IF(C300="CDHU",VLOOKUP(D300,#REF!,2,0),IF(C300="FDE",VLOOKUP(D300,'FDE 10-23 '!$A$4:$E$3180,2,0),IF(C300="INFRA",VLOOKUP(D300,#REF!,2,0),""))))))),"")</f>
        <v>ELETROD ACO GALV QUENTE (NBR 5624) 32 MM (1 1/4") - INCL CONEXOES</v>
      </c>
      <c r="F300" s="65" t="str">
        <f>VLOOKUP(D300,'FDE 10-23 '!$A$4:$E$3180,3,0)</f>
        <v>M</v>
      </c>
      <c r="G300" s="66">
        <f>VLOOKUP(B300,Planilha17!$A$8:$F$1259,6,0)</f>
        <v>118</v>
      </c>
      <c r="H300" s="67">
        <f>VLOOKUP(D300,'FDE 10-23 '!$A$4:$E$3180,5,0)</f>
        <v>72.27</v>
      </c>
      <c r="I300" s="68">
        <f t="shared" si="54"/>
        <v>0.23</v>
      </c>
      <c r="J300" s="67">
        <f t="shared" si="55"/>
        <v>88.89</v>
      </c>
      <c r="K300" s="69">
        <f t="shared" si="56"/>
        <v>10489.02</v>
      </c>
      <c r="L300" s="51"/>
      <c r="M300" s="52"/>
    </row>
    <row r="301" spans="2:13" s="25" customFormat="1" ht="30" customHeight="1" outlineLevel="1">
      <c r="B301" s="61" t="s">
        <v>640</v>
      </c>
      <c r="C301" s="62" t="s">
        <v>26</v>
      </c>
      <c r="D301" s="63" t="s">
        <v>641</v>
      </c>
      <c r="E301" s="64" t="str">
        <f>IFERROR(UPPER(IF(C301="CPU",VLOOKUP(D301,#REF!,2,0),IF(C301="SINAPI",VLOOKUP(D301,#REF!,2,0),IF(C301="EDIF",VLOOKUP(D301,#REF!,2,0),IF(C301="CDHU",VLOOKUP(D301,#REF!,2,0),IF(C301="FDE",VLOOKUP(D301,'FDE 10-23 '!$A$4:$E$3180,2,0),IF(C301="INFRA",VLOOKUP(D301,#REF!,2,0),""))))))),"")</f>
        <v>ELETROD ACO GALV QUENTE (NBR 5624) 40 MM (1 1/2") - INCL CONEXOES</v>
      </c>
      <c r="F301" s="65" t="str">
        <f>VLOOKUP(D301,'FDE 10-23 '!$A$4:$E$3180,3,0)</f>
        <v>M</v>
      </c>
      <c r="G301" s="66">
        <f>VLOOKUP(B301,Planilha17!$A$8:$F$1259,6,0)</f>
        <v>75</v>
      </c>
      <c r="H301" s="67">
        <f>VLOOKUP(D301,'FDE 10-23 '!$A$4:$E$3180,5,0)</f>
        <v>84.55</v>
      </c>
      <c r="I301" s="68">
        <f t="shared" si="54"/>
        <v>0.23</v>
      </c>
      <c r="J301" s="67">
        <f t="shared" si="55"/>
        <v>104</v>
      </c>
      <c r="K301" s="69">
        <f t="shared" si="56"/>
        <v>7800</v>
      </c>
      <c r="L301" s="51"/>
      <c r="M301" s="52"/>
    </row>
    <row r="302" spans="2:13" s="25" customFormat="1" ht="30" customHeight="1" outlineLevel="1">
      <c r="B302" s="61" t="s">
        <v>642</v>
      </c>
      <c r="C302" s="62" t="s">
        <v>26</v>
      </c>
      <c r="D302" s="63" t="s">
        <v>643</v>
      </c>
      <c r="E302" s="64" t="str">
        <f>IFERROR(UPPER(IF(C302="CPU",VLOOKUP(D302,#REF!,2,0),IF(C302="SINAPI",VLOOKUP(D302,#REF!,2,0),IF(C302="EDIF",VLOOKUP(D302,#REF!,2,0),IF(C302="CDHU",VLOOKUP(D302,#REF!,2,0),IF(C302="FDE",VLOOKUP(D302,'FDE 10-23 '!$A$4:$E$3180,2,0),IF(C302="INFRA",VLOOKUP(D302,#REF!,2,0),""))))))),"")</f>
        <v>ELETROD ACO GALV QUENTE (NBR 5624) 50 MM (2") - INCL CONEXOES</v>
      </c>
      <c r="F302" s="65" t="str">
        <f>VLOOKUP(D302,'FDE 10-23 '!$A$4:$E$3180,3,0)</f>
        <v>M</v>
      </c>
      <c r="G302" s="66">
        <f>VLOOKUP(B302,Planilha17!$A$8:$F$1259,6,0)</f>
        <v>6</v>
      </c>
      <c r="H302" s="67">
        <f>VLOOKUP(D302,'FDE 10-23 '!$A$4:$E$3180,5,0)</f>
        <v>102.06</v>
      </c>
      <c r="I302" s="68">
        <f t="shared" si="54"/>
        <v>0.23</v>
      </c>
      <c r="J302" s="67">
        <f t="shared" si="55"/>
        <v>125.53</v>
      </c>
      <c r="K302" s="69">
        <f t="shared" si="56"/>
        <v>753.18000000000006</v>
      </c>
      <c r="L302" s="51"/>
      <c r="M302" s="52"/>
    </row>
    <row r="303" spans="2:13" s="25" customFormat="1" ht="30" customHeight="1" outlineLevel="1">
      <c r="B303" s="61" t="s">
        <v>644</v>
      </c>
      <c r="C303" s="62" t="s">
        <v>26</v>
      </c>
      <c r="D303" s="63" t="s">
        <v>645</v>
      </c>
      <c r="E303" s="64" t="str">
        <f>IFERROR(UPPER(IF(C303="CPU",VLOOKUP(D303,#REF!,2,0),IF(C303="SINAPI",VLOOKUP(D303,#REF!,2,0),IF(C303="EDIF",VLOOKUP(D303,#REF!,2,0),IF(C303="CDHU",VLOOKUP(D303,#REF!,2,0),IF(C303="FDE",VLOOKUP(D303,'FDE 10-23 '!$A$4:$E$3180,2,0),IF(C303="INFRA",VLOOKUP(D303,#REF!,2,0),""))))))),"")</f>
        <v>ELETRODUTO DE PVC RIGIDO ROSCAVEL DE 25MM - INCL CONEXOES</v>
      </c>
      <c r="F303" s="65" t="str">
        <f>VLOOKUP(D303,'FDE 10-23 '!$A$4:$E$3180,3,0)</f>
        <v>M</v>
      </c>
      <c r="G303" s="66">
        <f>VLOOKUP(B303,Planilha17!$A$8:$F$1259,6,0)</f>
        <v>516</v>
      </c>
      <c r="H303" s="67">
        <f>VLOOKUP(D303,'FDE 10-23 '!$A$4:$E$3180,5,0)</f>
        <v>23.74</v>
      </c>
      <c r="I303" s="68">
        <f t="shared" si="54"/>
        <v>0.23</v>
      </c>
      <c r="J303" s="67">
        <f t="shared" si="55"/>
        <v>29.2</v>
      </c>
      <c r="K303" s="69">
        <f t="shared" si="56"/>
        <v>15067.199999999999</v>
      </c>
      <c r="L303" s="51"/>
      <c r="M303" s="52"/>
    </row>
    <row r="304" spans="2:13" s="25" customFormat="1" ht="30" customHeight="1" outlineLevel="1">
      <c r="B304" s="61" t="s">
        <v>646</v>
      </c>
      <c r="C304" s="62" t="s">
        <v>26</v>
      </c>
      <c r="D304" s="63" t="s">
        <v>647</v>
      </c>
      <c r="E304" s="64" t="str">
        <f>IFERROR(UPPER(IF(C304="CPU",VLOOKUP(D304,#REF!,2,0),IF(C304="SINAPI",VLOOKUP(D304,#REF!,2,0),IF(C304="EDIF",VLOOKUP(D304,#REF!,2,0),IF(C304="CDHU",VLOOKUP(D304,#REF!,2,0),IF(C304="FDE",VLOOKUP(D304,'FDE 10-23 '!$A$4:$E$3180,2,0),IF(C304="INFRA",VLOOKUP(D304,#REF!,2,0),""))))))),"")</f>
        <v>ELETRODUTO DE PVC RIGIDO ROSCAVEL DE 32MM - INCL CONEXOES</v>
      </c>
      <c r="F304" s="65" t="str">
        <f>VLOOKUP(D304,'FDE 10-23 '!$A$4:$E$3180,3,0)</f>
        <v>M</v>
      </c>
      <c r="G304" s="66">
        <f>VLOOKUP(B304,Planilha17!$A$8:$F$1259,6,0)</f>
        <v>512</v>
      </c>
      <c r="H304" s="67">
        <f>VLOOKUP(D304,'FDE 10-23 '!$A$4:$E$3180,5,0)</f>
        <v>30.18</v>
      </c>
      <c r="I304" s="68">
        <f t="shared" si="54"/>
        <v>0.23</v>
      </c>
      <c r="J304" s="67">
        <f t="shared" si="55"/>
        <v>37.119999999999997</v>
      </c>
      <c r="K304" s="69">
        <f t="shared" si="56"/>
        <v>19005.439999999999</v>
      </c>
      <c r="L304" s="51"/>
      <c r="M304" s="52"/>
    </row>
    <row r="305" spans="2:13" s="25" customFormat="1" ht="30" customHeight="1" outlineLevel="1">
      <c r="B305" s="61" t="s">
        <v>648</v>
      </c>
      <c r="C305" s="62" t="s">
        <v>26</v>
      </c>
      <c r="D305" s="63" t="s">
        <v>649</v>
      </c>
      <c r="E305" s="64" t="str">
        <f>IFERROR(UPPER(IF(C305="CPU",VLOOKUP(D305,#REF!,2,0),IF(C305="SINAPI",VLOOKUP(D305,#REF!,2,0),IF(C305="EDIF",VLOOKUP(D305,#REF!,2,0),IF(C305="CDHU",VLOOKUP(D305,#REF!,2,0),IF(C305="FDE",VLOOKUP(D305,'FDE 10-23 '!$A$4:$E$3180,2,0),IF(C305="INFRA",VLOOKUP(D305,#REF!,2,0),""))))))),"")</f>
        <v>ELETRODUTO DE PVC RIGIDO ROSCAVEL DE 40MM - INCL CONEXOES</v>
      </c>
      <c r="F305" s="65" t="str">
        <f>VLOOKUP(D305,'FDE 10-23 '!$A$4:$E$3180,3,0)</f>
        <v>M</v>
      </c>
      <c r="G305" s="66">
        <f>VLOOKUP(B305,Planilha17!$A$8:$F$1259,6,0)</f>
        <v>297</v>
      </c>
      <c r="H305" s="67">
        <f>VLOOKUP(D305,'FDE 10-23 '!$A$4:$E$3180,5,0)</f>
        <v>38.21</v>
      </c>
      <c r="I305" s="68">
        <f t="shared" si="54"/>
        <v>0.23</v>
      </c>
      <c r="J305" s="67">
        <f t="shared" si="55"/>
        <v>47</v>
      </c>
      <c r="K305" s="69">
        <f t="shared" si="56"/>
        <v>13959</v>
      </c>
      <c r="L305" s="51"/>
      <c r="M305" s="52"/>
    </row>
    <row r="306" spans="2:13" s="25" customFormat="1" ht="30" customHeight="1" outlineLevel="1">
      <c r="B306" s="61" t="s">
        <v>650</v>
      </c>
      <c r="C306" s="62" t="s">
        <v>26</v>
      </c>
      <c r="D306" s="63" t="s">
        <v>651</v>
      </c>
      <c r="E306" s="64" t="str">
        <f>IFERROR(UPPER(IF(C306="CPU",VLOOKUP(D306,#REF!,2,0),IF(C306="SINAPI",VLOOKUP(D306,#REF!,2,0),IF(C306="EDIF",VLOOKUP(D306,#REF!,2,0),IF(C306="CDHU",VLOOKUP(D306,#REF!,2,0),IF(C306="FDE",VLOOKUP(D306,'FDE 10-23 '!$A$4:$E$3180,2,0),IF(C306="INFRA",VLOOKUP(D306,#REF!,2,0),""))))))),"")</f>
        <v>ELETRODUTO DE PVC RIGIDO ROSCAVEL DE 50MM - INCL CONEXOES</v>
      </c>
      <c r="F306" s="65" t="str">
        <f>VLOOKUP(D306,'FDE 10-23 '!$A$4:$E$3180,3,0)</f>
        <v>M</v>
      </c>
      <c r="G306" s="66">
        <f>VLOOKUP(B306,Planilha17!$A$8:$F$1259,6,0)</f>
        <v>45</v>
      </c>
      <c r="H306" s="67">
        <f>VLOOKUP(D306,'FDE 10-23 '!$A$4:$E$3180,5,0)</f>
        <v>41.04</v>
      </c>
      <c r="I306" s="68">
        <f t="shared" si="54"/>
        <v>0.23</v>
      </c>
      <c r="J306" s="67">
        <f t="shared" si="55"/>
        <v>50.48</v>
      </c>
      <c r="K306" s="69">
        <f t="shared" si="56"/>
        <v>2271.6</v>
      </c>
      <c r="L306" s="51"/>
      <c r="M306" s="52"/>
    </row>
    <row r="307" spans="2:13" s="25" customFormat="1" ht="30" customHeight="1" outlineLevel="1">
      <c r="B307" s="61" t="s">
        <v>652</v>
      </c>
      <c r="C307" s="62" t="s">
        <v>26</v>
      </c>
      <c r="D307" s="63" t="s">
        <v>653</v>
      </c>
      <c r="E307" s="64" t="str">
        <f>IFERROR(UPPER(IF(C307="CPU",VLOOKUP(D307,#REF!,2,0),IF(C307="SINAPI",VLOOKUP(D307,#REF!,2,0),IF(C307="EDIF",VLOOKUP(D307,#REF!,2,0),IF(C307="CDHU",VLOOKUP(D307,#REF!,2,0),IF(C307="FDE",VLOOKUP(D307,'FDE 10-23 '!$A$4:$E$3180,2,0),IF(C307="INFRA",VLOOKUP(D307,#REF!,2,0),""))))))),"")</f>
        <v>ENVELOPE DE CONCRETO PARA DUTOS</v>
      </c>
      <c r="F307" s="65" t="str">
        <f>VLOOKUP(D307,'FDE 10-23 '!$A$4:$E$3180,3,0)</f>
        <v>M</v>
      </c>
      <c r="G307" s="66">
        <f>VLOOKUP(B307,Planilha17!$A$8:$F$1259,6,0)</f>
        <v>414</v>
      </c>
      <c r="H307" s="67">
        <f>VLOOKUP(D307,'FDE 10-23 '!$A$4:$E$3180,5,0)</f>
        <v>16.23</v>
      </c>
      <c r="I307" s="68">
        <f t="shared" si="54"/>
        <v>0.23</v>
      </c>
      <c r="J307" s="67">
        <f t="shared" si="55"/>
        <v>19.96</v>
      </c>
      <c r="K307" s="69">
        <f t="shared" si="56"/>
        <v>8263.44</v>
      </c>
      <c r="L307" s="51"/>
      <c r="M307" s="52"/>
    </row>
    <row r="308" spans="2:13" s="25" customFormat="1" ht="30" customHeight="1" outlineLevel="1">
      <c r="B308" s="61" t="s">
        <v>654</v>
      </c>
      <c r="C308" s="62" t="s">
        <v>26</v>
      </c>
      <c r="D308" s="63" t="s">
        <v>655</v>
      </c>
      <c r="E308" s="64" t="str">
        <f>IFERROR(UPPER(IF(C308="CPU",VLOOKUP(D308,#REF!,2,0),IF(C308="SINAPI",VLOOKUP(D308,#REF!,2,0),IF(C308="EDIF",VLOOKUP(D308,#REF!,2,0),IF(C308="CDHU",VLOOKUP(D308,#REF!,2,0),IF(C308="FDE",VLOOKUP(D308,'FDE 10-23 '!$A$4:$E$3180,2,0),IF(C308="INFRA",VLOOKUP(D308,#REF!,2,0),""))))))),"")</f>
        <v>QUADRO DISTRIBUICAO, DISJ. GERAL 30A P/ 4 A 8 DISJS.</v>
      </c>
      <c r="F308" s="65" t="str">
        <f>VLOOKUP(D308,'FDE 10-23 '!$A$4:$E$3180,3,0)</f>
        <v>UN</v>
      </c>
      <c r="G308" s="66">
        <f>VLOOKUP(B308,Planilha17!$A$8:$F$1259,6,0)</f>
        <v>3</v>
      </c>
      <c r="H308" s="67">
        <f>VLOOKUP(D308,'FDE 10-23 '!$A$4:$E$3180,5,0)</f>
        <v>340.62</v>
      </c>
      <c r="I308" s="68">
        <f t="shared" si="54"/>
        <v>0.23</v>
      </c>
      <c r="J308" s="67">
        <f t="shared" si="55"/>
        <v>418.96</v>
      </c>
      <c r="K308" s="69">
        <f t="shared" si="56"/>
        <v>1256.8799999999999</v>
      </c>
      <c r="L308" s="51"/>
      <c r="M308" s="52"/>
    </row>
    <row r="309" spans="2:13" s="25" customFormat="1" ht="30" customHeight="1" outlineLevel="1">
      <c r="B309" s="61" t="s">
        <v>656</v>
      </c>
      <c r="C309" s="62" t="s">
        <v>26</v>
      </c>
      <c r="D309" s="63" t="s">
        <v>657</v>
      </c>
      <c r="E309" s="64" t="str">
        <f>IFERROR(UPPER(IF(C309="CPU",VLOOKUP(D309,#REF!,2,0),IF(C309="SINAPI",VLOOKUP(D309,#REF!,2,0),IF(C309="EDIF",VLOOKUP(D309,#REF!,2,0),IF(C309="CDHU",VLOOKUP(D309,#REF!,2,0),IF(C309="FDE",VLOOKUP(D309,'FDE 10-23 '!$A$4:$E$3180,2,0),IF(C309="INFRA",VLOOKUP(D309,#REF!,2,0),""))))))),"")</f>
        <v>QUADRO DISTRIBUICAO, DISJ. GERAL 50A P/ 10 A 12 DISJS.</v>
      </c>
      <c r="F309" s="65" t="str">
        <f>VLOOKUP(D309,'FDE 10-23 '!$A$4:$E$3180,3,0)</f>
        <v>UN</v>
      </c>
      <c r="G309" s="66">
        <f>VLOOKUP(B309,Planilha17!$A$8:$F$1259,6,0)</f>
        <v>8</v>
      </c>
      <c r="H309" s="67">
        <f>VLOOKUP(D309,'FDE 10-23 '!$A$4:$E$3180,5,0)</f>
        <v>408.72</v>
      </c>
      <c r="I309" s="68">
        <f t="shared" si="54"/>
        <v>0.23</v>
      </c>
      <c r="J309" s="67">
        <f t="shared" si="55"/>
        <v>502.73</v>
      </c>
      <c r="K309" s="69">
        <f t="shared" si="56"/>
        <v>4021.84</v>
      </c>
      <c r="L309" s="51"/>
      <c r="M309" s="52"/>
    </row>
    <row r="310" spans="2:13" s="25" customFormat="1" ht="30" customHeight="1" outlineLevel="1">
      <c r="B310" s="61" t="s">
        <v>658</v>
      </c>
      <c r="C310" s="62" t="s">
        <v>26</v>
      </c>
      <c r="D310" s="63" t="s">
        <v>659</v>
      </c>
      <c r="E310" s="64" t="str">
        <f>IFERROR(UPPER(IF(C310="CPU",VLOOKUP(D310,#REF!,2,0),IF(C310="SINAPI",VLOOKUP(D310,#REF!,2,0),IF(C310="EDIF",VLOOKUP(D310,#REF!,2,0),IF(C310="CDHU",VLOOKUP(D310,#REF!,2,0),IF(C310="FDE",VLOOKUP(D310,'FDE 10-23 '!$A$4:$E$3180,2,0),IF(C310="INFRA",VLOOKUP(D310,#REF!,2,0),""))))))),"")</f>
        <v>QUADRO DISTRIBUICAO, DISJ. GERAL 60A P/ 14 A 20 DISJS.</v>
      </c>
      <c r="F310" s="65" t="str">
        <f>VLOOKUP(D310,'FDE 10-23 '!$A$4:$E$3180,3,0)</f>
        <v>UN</v>
      </c>
      <c r="G310" s="66">
        <f>VLOOKUP(B310,Planilha17!$A$8:$F$1259,6,0)</f>
        <v>3</v>
      </c>
      <c r="H310" s="67">
        <f>VLOOKUP(D310,'FDE 10-23 '!$A$4:$E$3180,5,0)</f>
        <v>579.51</v>
      </c>
      <c r="I310" s="68">
        <f t="shared" si="54"/>
        <v>0.23</v>
      </c>
      <c r="J310" s="67">
        <f t="shared" si="55"/>
        <v>712.8</v>
      </c>
      <c r="K310" s="69">
        <f t="shared" si="56"/>
        <v>2138.3999999999996</v>
      </c>
      <c r="L310" s="51"/>
      <c r="M310" s="52"/>
    </row>
    <row r="311" spans="2:13" s="25" customFormat="1" ht="30" customHeight="1" outlineLevel="1">
      <c r="B311" s="61" t="s">
        <v>660</v>
      </c>
      <c r="C311" s="62" t="s">
        <v>26</v>
      </c>
      <c r="D311" s="63" t="s">
        <v>661</v>
      </c>
      <c r="E311" s="64" t="str">
        <f>IFERROR(UPPER(IF(C311="CPU",VLOOKUP(D311,#REF!,2,0),IF(C311="SINAPI",VLOOKUP(D311,#REF!,2,0),IF(C311="EDIF",VLOOKUP(D311,#REF!,2,0),IF(C311="CDHU",VLOOKUP(D311,#REF!,2,0),IF(C311="FDE",VLOOKUP(D311,'FDE 10-23 '!$A$4:$E$3180,2,0),IF(C311="INFRA",VLOOKUP(D311,#REF!,2,0),""))))))),"")</f>
        <v>INTERRUPTOR TIPO AUTOMÁTICO DE BÓIA</v>
      </c>
      <c r="F311" s="65" t="str">
        <f>VLOOKUP(D311,'FDE 10-23 '!$A$4:$E$3180,3,0)</f>
        <v>UN</v>
      </c>
      <c r="G311" s="66">
        <f>VLOOKUP(B311,Planilha17!$A$8:$F$1259,6,0)</f>
        <v>3</v>
      </c>
      <c r="H311" s="67">
        <f>VLOOKUP(D311,'FDE 10-23 '!$A$4:$E$3180,5,0)</f>
        <v>78.28</v>
      </c>
      <c r="I311" s="68">
        <f t="shared" si="54"/>
        <v>0.23</v>
      </c>
      <c r="J311" s="67">
        <f t="shared" si="55"/>
        <v>96.28</v>
      </c>
      <c r="K311" s="69">
        <f t="shared" si="56"/>
        <v>288.84000000000003</v>
      </c>
      <c r="L311" s="51"/>
      <c r="M311" s="52"/>
    </row>
    <row r="312" spans="2:13" s="25" customFormat="1" ht="30" customHeight="1" outlineLevel="1">
      <c r="B312" s="61" t="s">
        <v>662</v>
      </c>
      <c r="C312" s="62" t="s">
        <v>26</v>
      </c>
      <c r="D312" s="63" t="s">
        <v>663</v>
      </c>
      <c r="E312" s="64" t="str">
        <f>IFERROR(UPPER(IF(C312="CPU",VLOOKUP(D312,#REF!,2,0),IF(C312="SINAPI",VLOOKUP(D312,#REF!,2,0),IF(C312="EDIF",VLOOKUP(D312,#REF!,2,0),IF(C312="CDHU",VLOOKUP(D312,#REF!,2,0),IF(C312="FDE",VLOOKUP(D312,'FDE 10-23 '!$A$4:$E$3180,2,0),IF(C312="INFRA",VLOOKUP(D312,#REF!,2,0),""))))))),"")</f>
        <v>DISJUNTOR BIPOLAR TERMOMAGNETICO 2X10A A 2X50A</v>
      </c>
      <c r="F312" s="65" t="str">
        <f>VLOOKUP(D312,'FDE 10-23 '!$A$4:$E$3180,3,0)</f>
        <v>UN</v>
      </c>
      <c r="G312" s="66">
        <f>VLOOKUP(B312,Planilha17!$A$8:$F$1259,6,0)</f>
        <v>45</v>
      </c>
      <c r="H312" s="67">
        <f>VLOOKUP(D312,'FDE 10-23 '!$A$4:$E$3180,5,0)</f>
        <v>77.3</v>
      </c>
      <c r="I312" s="68">
        <f t="shared" si="54"/>
        <v>0.23</v>
      </c>
      <c r="J312" s="67">
        <f t="shared" si="55"/>
        <v>95.08</v>
      </c>
      <c r="K312" s="69">
        <f t="shared" si="56"/>
        <v>4278.6000000000004</v>
      </c>
      <c r="L312" s="51"/>
      <c r="M312" s="52"/>
    </row>
    <row r="313" spans="2:13" s="25" customFormat="1" ht="30" customHeight="1" outlineLevel="1">
      <c r="B313" s="61" t="s">
        <v>664</v>
      </c>
      <c r="C313" s="62" t="s">
        <v>26</v>
      </c>
      <c r="D313" s="63" t="s">
        <v>665</v>
      </c>
      <c r="E313" s="64" t="str">
        <f>IFERROR(UPPER(IF(C313="CPU",VLOOKUP(D313,#REF!,2,0),IF(C313="SINAPI",VLOOKUP(D313,#REF!,2,0),IF(C313="EDIF",VLOOKUP(D313,#REF!,2,0),IF(C313="CDHU",VLOOKUP(D313,#REF!,2,0),IF(C313="FDE",VLOOKUP(D313,'FDE 10-23 '!$A$4:$E$3180,2,0),IF(C313="INFRA",VLOOKUP(D313,#REF!,2,0),""))))))),"")</f>
        <v>DISJUNTOR UNIPOLAR TERMOMAGNETICO 1X10A A 1X30A</v>
      </c>
      <c r="F313" s="65" t="str">
        <f>VLOOKUP(D313,'FDE 10-23 '!$A$4:$E$3180,3,0)</f>
        <v>UN</v>
      </c>
      <c r="G313" s="66">
        <f>VLOOKUP(B313,Planilha17!$A$8:$F$1259,6,0)</f>
        <v>53</v>
      </c>
      <c r="H313" s="67">
        <f>VLOOKUP(D313,'FDE 10-23 '!$A$4:$E$3180,5,0)</f>
        <v>20.79</v>
      </c>
      <c r="I313" s="68">
        <f t="shared" si="54"/>
        <v>0.23</v>
      </c>
      <c r="J313" s="67">
        <f t="shared" si="55"/>
        <v>25.57</v>
      </c>
      <c r="K313" s="69">
        <f t="shared" si="56"/>
        <v>1355.21</v>
      </c>
      <c r="L313" s="51"/>
      <c r="M313" s="52"/>
    </row>
    <row r="314" spans="2:13" s="25" customFormat="1" ht="30" customHeight="1" outlineLevel="1">
      <c r="B314" s="61" t="s">
        <v>666</v>
      </c>
      <c r="C314" s="62" t="s">
        <v>26</v>
      </c>
      <c r="D314" s="63" t="s">
        <v>667</v>
      </c>
      <c r="E314" s="64" t="str">
        <f>IFERROR(UPPER(IF(C314="CPU",VLOOKUP(D314,#REF!,2,0),IF(C314="SINAPI",VLOOKUP(D314,#REF!,2,0),IF(C314="EDIF",VLOOKUP(D314,#REF!,2,0),IF(C314="CDHU",VLOOKUP(D314,#REF!,2,0),IF(C314="FDE",VLOOKUP(D314,'FDE 10-23 '!$A$4:$E$3180,2,0),IF(C314="INFRA",VLOOKUP(D314,#REF!,2,0),""))))))),"")</f>
        <v>DISJUNTOR TRIPOLAR TERMOMAGNETICO 3X10A A 3X50A</v>
      </c>
      <c r="F314" s="65" t="str">
        <f>VLOOKUP(D314,'FDE 10-23 '!$A$4:$E$3180,3,0)</f>
        <v>UN</v>
      </c>
      <c r="G314" s="66">
        <f>VLOOKUP(B314,Planilha17!$A$8:$F$1259,6,0)</f>
        <v>16</v>
      </c>
      <c r="H314" s="67">
        <f>VLOOKUP(D314,'FDE 10-23 '!$A$4:$E$3180,5,0)</f>
        <v>101.58</v>
      </c>
      <c r="I314" s="68">
        <f t="shared" si="54"/>
        <v>0.23</v>
      </c>
      <c r="J314" s="67">
        <f t="shared" si="55"/>
        <v>124.94</v>
      </c>
      <c r="K314" s="69">
        <f t="shared" si="56"/>
        <v>1999.04</v>
      </c>
      <c r="L314" s="51"/>
      <c r="M314" s="52"/>
    </row>
    <row r="315" spans="2:13" s="25" customFormat="1" ht="30" customHeight="1" outlineLevel="1">
      <c r="B315" s="61" t="s">
        <v>668</v>
      </c>
      <c r="C315" s="62" t="s">
        <v>26</v>
      </c>
      <c r="D315" s="63" t="s">
        <v>669</v>
      </c>
      <c r="E315" s="64" t="str">
        <f>IFERROR(UPPER(IF(C315="CPU",VLOOKUP(D315,#REF!,2,0),IF(C315="SINAPI",VLOOKUP(D315,#REF!,2,0),IF(C315="EDIF",VLOOKUP(D315,#REF!,2,0),IF(C315="CDHU",VLOOKUP(D315,#REF!,2,0),IF(C315="FDE",VLOOKUP(D315,'FDE 10-23 '!$A$4:$E$3180,2,0),IF(C315="INFRA",VLOOKUP(D315,#REF!,2,0),""))))))),"")</f>
        <v>QUADRO COMANDO PARA CONJUNTO MOTOR BOMBA TRIFASICO DE 1 1/2 A 2 HP</v>
      </c>
      <c r="F315" s="65" t="str">
        <f>VLOOKUP(D315,'FDE 10-23 '!$A$4:$E$3180,3,0)</f>
        <v>UN</v>
      </c>
      <c r="G315" s="66">
        <f>VLOOKUP(B315,Planilha17!$A$8:$F$1259,6,0)</f>
        <v>2</v>
      </c>
      <c r="H315" s="67">
        <f>VLOOKUP(D315,'FDE 10-23 '!$A$4:$E$3180,5,0)</f>
        <v>1606.2</v>
      </c>
      <c r="I315" s="68">
        <f t="shared" si="54"/>
        <v>0.23</v>
      </c>
      <c r="J315" s="67">
        <f t="shared" si="55"/>
        <v>1975.63</v>
      </c>
      <c r="K315" s="69">
        <f t="shared" si="56"/>
        <v>3951.26</v>
      </c>
      <c r="L315" s="51"/>
      <c r="M315" s="52"/>
    </row>
    <row r="316" spans="2:13" s="25" customFormat="1" ht="30" customHeight="1" outlineLevel="1">
      <c r="B316" s="61" t="s">
        <v>670</v>
      </c>
      <c r="C316" s="62" t="s">
        <v>26</v>
      </c>
      <c r="D316" s="63" t="s">
        <v>671</v>
      </c>
      <c r="E316" s="64" t="str">
        <f>IFERROR(UPPER(IF(C316="CPU",VLOOKUP(D316,#REF!,2,0),IF(C316="SINAPI",VLOOKUP(D316,#REF!,2,0),IF(C316="EDIF",VLOOKUP(D316,#REF!,2,0),IF(C316="CDHU",VLOOKUP(D316,#REF!,2,0),IF(C316="FDE",VLOOKUP(D316,'FDE 10-23 '!$A$4:$E$3180,2,0),IF(C316="INFRA",VLOOKUP(D316,#REF!,2,0),""))))))),"")</f>
        <v>QUADRO COMANDO PARA BOMBA DE INCENDIO TRIFASICO DE 5 HP</v>
      </c>
      <c r="F316" s="65" t="str">
        <f>VLOOKUP(D316,'FDE 10-23 '!$A$4:$E$3180,3,0)</f>
        <v>UN</v>
      </c>
      <c r="G316" s="66">
        <f>VLOOKUP(B316,Planilha17!$A$8:$F$1259,6,0)</f>
        <v>1</v>
      </c>
      <c r="H316" s="67">
        <f>VLOOKUP(D316,'FDE 10-23 '!$A$4:$E$3180,5,0)</f>
        <v>802.99</v>
      </c>
      <c r="I316" s="68">
        <f t="shared" si="54"/>
        <v>0.23</v>
      </c>
      <c r="J316" s="67">
        <f t="shared" si="55"/>
        <v>987.68</v>
      </c>
      <c r="K316" s="69">
        <f t="shared" si="56"/>
        <v>987.68</v>
      </c>
      <c r="L316" s="51"/>
      <c r="M316" s="52"/>
    </row>
    <row r="317" spans="2:13" s="25" customFormat="1" ht="30" customHeight="1" outlineLevel="1">
      <c r="B317" s="61" t="s">
        <v>672</v>
      </c>
      <c r="C317" s="62" t="s">
        <v>26</v>
      </c>
      <c r="D317" s="63" t="s">
        <v>673</v>
      </c>
      <c r="E317" s="64" t="str">
        <f>IFERROR(UPPER(IF(C317="CPU",VLOOKUP(D317,#REF!,2,0),IF(C317="SINAPI",VLOOKUP(D317,#REF!,2,0),IF(C317="EDIF",VLOOKUP(D317,#REF!,2,0),IF(C317="CDHU",VLOOKUP(D317,#REF!,2,0),IF(C317="FDE",VLOOKUP(D317,'FDE 10-23 '!$A$4:$E$3180,2,0),IF(C317="INFRA",VLOOKUP(D317,#REF!,2,0),""))))))),"")</f>
        <v>INTERRUPTOR AUTOMATICO DIFERENCIAL (DISPOSITIVO DR) 40A/30 MA</v>
      </c>
      <c r="F317" s="65" t="str">
        <f>VLOOKUP(D317,'FDE 10-23 '!$A$4:$E$3180,3,0)</f>
        <v>UN</v>
      </c>
      <c r="G317" s="66">
        <f>VLOOKUP(B317,Planilha17!$A$8:$F$1259,6,0)</f>
        <v>3</v>
      </c>
      <c r="H317" s="67">
        <f>VLOOKUP(D317,'FDE 10-23 '!$A$4:$E$3180,5,0)</f>
        <v>478.19</v>
      </c>
      <c r="I317" s="68">
        <f t="shared" si="54"/>
        <v>0.23</v>
      </c>
      <c r="J317" s="67">
        <f t="shared" si="55"/>
        <v>588.16999999999996</v>
      </c>
      <c r="K317" s="69">
        <f t="shared" si="56"/>
        <v>1764.5099999999998</v>
      </c>
      <c r="L317" s="51"/>
      <c r="M317" s="52"/>
    </row>
    <row r="318" spans="2:13" s="25" customFormat="1" ht="30" customHeight="1" outlineLevel="1">
      <c r="B318" s="61" t="s">
        <v>674</v>
      </c>
      <c r="C318" s="62" t="s">
        <v>26</v>
      </c>
      <c r="D318" s="63" t="s">
        <v>675</v>
      </c>
      <c r="E318" s="64" t="str">
        <f>IFERROR(UPPER(IF(C318="CPU",VLOOKUP(D318,#REF!,2,0),IF(C318="SINAPI",VLOOKUP(D318,#REF!,2,0),IF(C318="EDIF",VLOOKUP(D318,#REF!,2,0),IF(C318="CDHU",VLOOKUP(D318,#REF!,2,0),IF(C318="FDE",VLOOKUP(D318,'FDE 10-23 '!$A$4:$E$3180,2,0),IF(C318="INFRA",VLOOKUP(D318,#REF!,2,0),""))))))),"")</f>
        <v>INTERRUPTOR AUTOMATICO DIFERENCIAL (DISPOSITIVO DR) 63A/30 MA</v>
      </c>
      <c r="F318" s="65" t="str">
        <f>VLOOKUP(D318,'FDE 10-23 '!$A$4:$E$3180,3,0)</f>
        <v>UN</v>
      </c>
      <c r="G318" s="66">
        <f>VLOOKUP(B318,Planilha17!$A$8:$F$1259,6,0)</f>
        <v>3</v>
      </c>
      <c r="H318" s="67">
        <f>VLOOKUP(D318,'FDE 10-23 '!$A$4:$E$3180,5,0)</f>
        <v>533.94000000000005</v>
      </c>
      <c r="I318" s="68">
        <f t="shared" si="54"/>
        <v>0.23</v>
      </c>
      <c r="J318" s="67">
        <f t="shared" si="55"/>
        <v>656.75</v>
      </c>
      <c r="K318" s="69">
        <f t="shared" si="56"/>
        <v>1970.25</v>
      </c>
      <c r="L318" s="51"/>
      <c r="M318" s="52"/>
    </row>
    <row r="319" spans="2:13" s="25" customFormat="1" ht="30" customHeight="1" outlineLevel="1">
      <c r="B319" s="61" t="s">
        <v>676</v>
      </c>
      <c r="C319" s="62" t="s">
        <v>26</v>
      </c>
      <c r="D319" s="63" t="s">
        <v>677</v>
      </c>
      <c r="E319" s="64" t="str">
        <f>IFERROR(UPPER(IF(C319="CPU",VLOOKUP(D319,#REF!,2,0),IF(C319="SINAPI",VLOOKUP(D319,#REF!,2,0),IF(C319="EDIF",VLOOKUP(D319,#REF!,2,0),IF(C319="CDHU",VLOOKUP(D319,#REF!,2,0),IF(C319="FDE",VLOOKUP(D319,'FDE 10-23 '!$A$4:$E$3180,2,0),IF(C319="INFRA",VLOOKUP(D319,#REF!,2,0),""))))))),"")</f>
        <v>CENTRAL DE SISTEMA DE ALARME ATÉ 12 ENDEREÇOS</v>
      </c>
      <c r="F319" s="65" t="str">
        <f>VLOOKUP(D319,'FDE 10-23 '!$A$4:$E$3180,3,0)</f>
        <v>UN</v>
      </c>
      <c r="G319" s="66">
        <f>VLOOKUP(B319,Planilha17!$A$8:$F$1259,6,0)</f>
        <v>2</v>
      </c>
      <c r="H319" s="67">
        <f>VLOOKUP(D319,'FDE 10-23 '!$A$4:$E$3180,5,0)</f>
        <v>731.22</v>
      </c>
      <c r="I319" s="68">
        <f t="shared" si="54"/>
        <v>0.23</v>
      </c>
      <c r="J319" s="67">
        <f t="shared" si="55"/>
        <v>899.4</v>
      </c>
      <c r="K319" s="69">
        <f t="shared" si="56"/>
        <v>1798.8</v>
      </c>
      <c r="L319" s="51"/>
      <c r="M319" s="52"/>
    </row>
    <row r="320" spans="2:13" s="25" customFormat="1" ht="30" customHeight="1" outlineLevel="1">
      <c r="B320" s="53" t="s">
        <v>678</v>
      </c>
      <c r="C320" s="54"/>
      <c r="D320" s="54" t="s">
        <v>679</v>
      </c>
      <c r="E320" s="55" t="s">
        <v>680</v>
      </c>
      <c r="F320" s="56" t="str">
        <f>IFERROR(UPPER(IF(C320="CPU",VLOOKUP(D320,#REF!,3,0),IF(C320="SINAPI",VLOOKUP(D320,#REF!,3,0),IF(C320="EDIF",VLOOKUP(D320,#REF!,3,0),IF(C320="CDHU",VLOOKUP(D320,#REF!,3,0),IF(C320="FDE",VLOOKUP(D320,#REF!,3,0),IF(C320="INFRA",VLOOKUP(D320,#REF!,3,0),""))))))),"")</f>
        <v/>
      </c>
      <c r="G320" s="57"/>
      <c r="H32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20" s="59"/>
      <c r="J320" s="59"/>
      <c r="K320" s="60">
        <f>SUBTOTAL(9,K321:K326)</f>
        <v>10080.870000000001</v>
      </c>
      <c r="L320" s="51"/>
      <c r="M320" s="52"/>
    </row>
    <row r="321" spans="2:13" s="25" customFormat="1" ht="30" customHeight="1" outlineLevel="1">
      <c r="B321" s="61" t="s">
        <v>681</v>
      </c>
      <c r="C321" s="62" t="s">
        <v>26</v>
      </c>
      <c r="D321" s="63" t="s">
        <v>682</v>
      </c>
      <c r="E321" s="64" t="str">
        <f>IFERROR(UPPER(IF(C321="CPU",VLOOKUP(D321,#REF!,2,0),IF(C321="SINAPI",VLOOKUP(D321,#REF!,2,0),IF(C321="EDIF",VLOOKUP(D321,#REF!,2,0),IF(C321="CDHU",VLOOKUP(D321,#REF!,2,0),IF(C321="FDE",VLOOKUP(D321,'FDE 10-23 '!$A$4:$E$3180,2,0),IF(C321="INFRA",VLOOKUP(D321,#REF!,2,0),""))))))),"")</f>
        <v>CAIXA DE PASSAGEM ESTAMPADA COM TAMPA PLASTICA DE 4"X4"</v>
      </c>
      <c r="F321" s="65" t="str">
        <f>VLOOKUP(D321,'FDE 10-23 '!$A$4:$E$3180,3,0)</f>
        <v>UN</v>
      </c>
      <c r="G321" s="66">
        <f>VLOOKUP(B321,Planilha17!$A$8:$F$1259,6,0)</f>
        <v>41</v>
      </c>
      <c r="H321" s="67">
        <f>VLOOKUP(D321,'FDE 10-23 '!$A$4:$E$3180,5,0)</f>
        <v>30.71</v>
      </c>
      <c r="I321" s="68">
        <f t="shared" ref="I321:I326" si="57">$L$10</f>
        <v>0.23</v>
      </c>
      <c r="J321" s="67">
        <f t="shared" ref="J321:J326" si="58">ROUND(H321*(1+I321),2)</f>
        <v>37.770000000000003</v>
      </c>
      <c r="K321" s="69">
        <f t="shared" ref="K321:K326" si="59">SUM(G321*J321)</f>
        <v>1548.5700000000002</v>
      </c>
      <c r="L321" s="51"/>
      <c r="M321" s="52"/>
    </row>
    <row r="322" spans="2:13" s="25" customFormat="1" ht="30" customHeight="1" outlineLevel="1">
      <c r="B322" s="61" t="s">
        <v>683</v>
      </c>
      <c r="C322" s="62" t="s">
        <v>26</v>
      </c>
      <c r="D322" s="63" t="s">
        <v>684</v>
      </c>
      <c r="E322" s="64" t="str">
        <f>IFERROR(UPPER(IF(C322="CPU",VLOOKUP(D322,#REF!,2,0),IF(C322="SINAPI",VLOOKUP(D322,#REF!,2,0),IF(C322="EDIF",VLOOKUP(D322,#REF!,2,0),IF(C322="CDHU",VLOOKUP(D322,#REF!,2,0),IF(C322="FDE",VLOOKUP(D322,'FDE 10-23 '!$A$4:$E$3180,2,0),IF(C322="INFRA",VLOOKUP(D322,#REF!,2,0),""))))))),"")</f>
        <v>CAIXA DE PASSAGEM CHAPA TAMPA PARAFUSADA DE 20X20X10 CM</v>
      </c>
      <c r="F322" s="65" t="str">
        <f>VLOOKUP(D322,'FDE 10-23 '!$A$4:$E$3180,3,0)</f>
        <v>UN</v>
      </c>
      <c r="G322" s="66">
        <f>VLOOKUP(B322,Planilha17!$A$8:$F$1259,6,0)</f>
        <v>9</v>
      </c>
      <c r="H322" s="67">
        <f>VLOOKUP(D322,'FDE 10-23 '!$A$4:$E$3180,5,0)</f>
        <v>49.7</v>
      </c>
      <c r="I322" s="68">
        <f t="shared" si="57"/>
        <v>0.23</v>
      </c>
      <c r="J322" s="67">
        <f t="shared" si="58"/>
        <v>61.13</v>
      </c>
      <c r="K322" s="69">
        <f t="shared" si="59"/>
        <v>550.17000000000007</v>
      </c>
      <c r="L322" s="51"/>
      <c r="M322" s="52"/>
    </row>
    <row r="323" spans="2:13" s="25" customFormat="1" ht="30" customHeight="1" outlineLevel="1">
      <c r="B323" s="61" t="s">
        <v>685</v>
      </c>
      <c r="C323" s="62" t="s">
        <v>26</v>
      </c>
      <c r="D323" s="63" t="s">
        <v>686</v>
      </c>
      <c r="E323" s="64" t="str">
        <f>IFERROR(UPPER(IF(C323="CPU",VLOOKUP(D323,#REF!,2,0),IF(C323="SINAPI",VLOOKUP(D323,#REF!,2,0),IF(C323="EDIF",VLOOKUP(D323,#REF!,2,0),IF(C323="CDHU",VLOOKUP(D323,#REF!,2,0),IF(C323="FDE",VLOOKUP(D323,'FDE 10-23 '!$A$4:$E$3180,2,0),IF(C323="INFRA",VLOOKUP(D323,#REF!,2,0),""))))))),"")</f>
        <v>CAIXA DE PASSAGEM CHAPA TAMPA PARAFUSADA DE 40X40X15 CM</v>
      </c>
      <c r="F323" s="65" t="str">
        <f>VLOOKUP(D323,'FDE 10-23 '!$A$4:$E$3180,3,0)</f>
        <v>UN</v>
      </c>
      <c r="G323" s="66">
        <f>VLOOKUP(B323,Planilha17!$A$8:$F$1259,6,0)</f>
        <v>4</v>
      </c>
      <c r="H323" s="67">
        <f>VLOOKUP(D323,'FDE 10-23 '!$A$4:$E$3180,5,0)</f>
        <v>111.43</v>
      </c>
      <c r="I323" s="68">
        <f t="shared" si="57"/>
        <v>0.23</v>
      </c>
      <c r="J323" s="67">
        <f t="shared" si="58"/>
        <v>137.06</v>
      </c>
      <c r="K323" s="69">
        <f t="shared" si="59"/>
        <v>548.24</v>
      </c>
      <c r="L323" s="51"/>
      <c r="M323" s="52"/>
    </row>
    <row r="324" spans="2:13" s="25" customFormat="1" ht="30" customHeight="1" outlineLevel="1">
      <c r="B324" s="61" t="s">
        <v>687</v>
      </c>
      <c r="C324" s="62" t="s">
        <v>26</v>
      </c>
      <c r="D324" s="63" t="s">
        <v>688</v>
      </c>
      <c r="E324" s="64" t="str">
        <f>IFERROR(UPPER(IF(C324="CPU",VLOOKUP(D324,#REF!,2,0),IF(C324="SINAPI",VLOOKUP(D324,#REF!,2,0),IF(C324="EDIF",VLOOKUP(D324,#REF!,2,0),IF(C324="CDHU",VLOOKUP(D324,#REF!,2,0),IF(C324="FDE",VLOOKUP(D324,'FDE 10-23 '!$A$4:$E$3180,2,0),IF(C324="INFRA",VLOOKUP(D324,#REF!,2,0),""))))))),"")</f>
        <v>CAIXA DE PASSAGEM EM ALVENARIA DE 0,40X0,40X0,40 M</v>
      </c>
      <c r="F324" s="65" t="str">
        <f>VLOOKUP(D324,'FDE 10-23 '!$A$4:$E$3180,3,0)</f>
        <v>UN</v>
      </c>
      <c r="G324" s="66">
        <f>VLOOKUP(B324,Planilha17!$A$8:$F$1259,6,0)</f>
        <v>29</v>
      </c>
      <c r="H324" s="67">
        <f>VLOOKUP(D324,'FDE 10-23 '!$A$4:$E$3180,5,0)</f>
        <v>189.05</v>
      </c>
      <c r="I324" s="68">
        <f t="shared" si="57"/>
        <v>0.23</v>
      </c>
      <c r="J324" s="67">
        <f t="shared" si="58"/>
        <v>232.53</v>
      </c>
      <c r="K324" s="69">
        <f t="shared" si="59"/>
        <v>6743.37</v>
      </c>
      <c r="L324" s="51"/>
      <c r="M324" s="52"/>
    </row>
    <row r="325" spans="2:13" s="25" customFormat="1" ht="30" customHeight="1" outlineLevel="1">
      <c r="B325" s="61" t="s">
        <v>689</v>
      </c>
      <c r="C325" s="62" t="s">
        <v>26</v>
      </c>
      <c r="D325" s="63" t="s">
        <v>690</v>
      </c>
      <c r="E325" s="64" t="str">
        <f>IFERROR(UPPER(IF(C325="CPU",VLOOKUP(D325,#REF!,2,0),IF(C325="SINAPI",VLOOKUP(D325,#REF!,2,0),IF(C325="EDIF",VLOOKUP(D325,#REF!,2,0),IF(C325="CDHU",VLOOKUP(D325,#REF!,2,0),IF(C325="FDE",VLOOKUP(D325,'FDE 10-23 '!$A$4:$E$3180,2,0),IF(C325="INFRA",VLOOKUP(D325,#REF!,2,0),""))))))),"")</f>
        <v>CAIXA DE PASSAGEM A PROVA DE UMIDADE EM ALUMINIO 15X15X10CM</v>
      </c>
      <c r="F325" s="65" t="str">
        <f>VLOOKUP(D325,'FDE 10-23 '!$A$4:$E$3180,3,0)</f>
        <v>UN</v>
      </c>
      <c r="G325" s="66">
        <f>VLOOKUP(B325,Planilha17!$A$8:$F$1259,6,0)</f>
        <v>2</v>
      </c>
      <c r="H325" s="67">
        <f>VLOOKUP(D325,'FDE 10-23 '!$A$4:$E$3180,5,0)</f>
        <v>93.49</v>
      </c>
      <c r="I325" s="68">
        <f t="shared" si="57"/>
        <v>0.23</v>
      </c>
      <c r="J325" s="67">
        <f t="shared" si="58"/>
        <v>114.99</v>
      </c>
      <c r="K325" s="69">
        <f t="shared" si="59"/>
        <v>229.98</v>
      </c>
      <c r="L325" s="51"/>
      <c r="M325" s="52"/>
    </row>
    <row r="326" spans="2:13" s="25" customFormat="1" ht="30" customHeight="1" outlineLevel="1">
      <c r="B326" s="61" t="s">
        <v>691</v>
      </c>
      <c r="C326" s="62" t="s">
        <v>26</v>
      </c>
      <c r="D326" s="63" t="s">
        <v>692</v>
      </c>
      <c r="E326" s="64" t="str">
        <f>IFERROR(UPPER(IF(C326="CPU",VLOOKUP(D326,#REF!,2,0),IF(C326="SINAPI",VLOOKUP(D326,#REF!,2,0),IF(C326="EDIF",VLOOKUP(D326,#REF!,2,0),IF(C326="CDHU",VLOOKUP(D326,#REF!,2,0),IF(C326="FDE",VLOOKUP(D326,'FDE 10-23 '!$A$4:$E$3180,2,0),IF(C326="INFRA",VLOOKUP(D326,#REF!,2,0),""))))))),"")</f>
        <v>QUADRO EM CHAPA COM PORTA E FECHADURA (TELEBRAS) DE 40X40X12CM</v>
      </c>
      <c r="F326" s="65" t="str">
        <f>VLOOKUP(D326,'FDE 10-23 '!$A$4:$E$3180,3,0)</f>
        <v>UN</v>
      </c>
      <c r="G326" s="66">
        <f>VLOOKUP(B326,Planilha17!$A$8:$F$1259,6,0)</f>
        <v>2</v>
      </c>
      <c r="H326" s="67">
        <f>VLOOKUP(D326,'FDE 10-23 '!$A$4:$E$3180,5,0)</f>
        <v>187.21</v>
      </c>
      <c r="I326" s="68">
        <f t="shared" si="57"/>
        <v>0.23</v>
      </c>
      <c r="J326" s="67">
        <f t="shared" si="58"/>
        <v>230.27</v>
      </c>
      <c r="K326" s="69">
        <f t="shared" si="59"/>
        <v>460.54</v>
      </c>
      <c r="L326" s="51"/>
      <c r="M326" s="52"/>
    </row>
    <row r="327" spans="2:13" s="25" customFormat="1" ht="30" customHeight="1" outlineLevel="1">
      <c r="B327" s="53" t="s">
        <v>693</v>
      </c>
      <c r="C327" s="54"/>
      <c r="D327" s="54" t="s">
        <v>694</v>
      </c>
      <c r="E327" s="55" t="s">
        <v>695</v>
      </c>
      <c r="F327" s="56" t="str">
        <f>IFERROR(UPPER(IF(C327="CPU",VLOOKUP(D327,#REF!,3,0),IF(C327="SINAPI",VLOOKUP(D327,#REF!,3,0),IF(C327="EDIF",VLOOKUP(D327,#REF!,3,0),IF(C327="CDHU",VLOOKUP(D327,#REF!,3,0),IF(C327="FDE",VLOOKUP(D327,#REF!,3,0),IF(C327="INFRA",VLOOKUP(D327,#REF!,3,0),""))))))),"")</f>
        <v/>
      </c>
      <c r="G327" s="57"/>
      <c r="H32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27" s="59"/>
      <c r="J327" s="59"/>
      <c r="K327" s="60">
        <f>SUBTOTAL(9,K328:K333)</f>
        <v>104019.69</v>
      </c>
      <c r="L327" s="51"/>
      <c r="M327" s="52"/>
    </row>
    <row r="328" spans="2:13" s="25" customFormat="1" ht="30" customHeight="1" outlineLevel="1">
      <c r="B328" s="61" t="s">
        <v>696</v>
      </c>
      <c r="C328" s="62" t="s">
        <v>26</v>
      </c>
      <c r="D328" s="63" t="s">
        <v>697</v>
      </c>
      <c r="E328" s="64" t="str">
        <f>IFERROR(UPPER(IF(C328="CPU",VLOOKUP(D328,#REF!,2,0),IF(C328="SINAPI",VLOOKUP(D328,#REF!,2,0),IF(C328="EDIF",VLOOKUP(D328,#REF!,2,0),IF(C328="CDHU",VLOOKUP(D328,#REF!,2,0),IF(C328="FDE",VLOOKUP(D328,'FDE 10-23 '!$A$4:$E$3180,2,0),IF(C328="INFRA",VLOOKUP(D328,#REF!,2,0),""))))))),"")</f>
        <v>FIO DE 1,50 MM2 - 750 V DE ISOLACAO</v>
      </c>
      <c r="F328" s="65" t="str">
        <f>VLOOKUP(D328,'FDE 10-23 '!$A$4:$E$3180,3,0)</f>
        <v>M</v>
      </c>
      <c r="G328" s="66">
        <f>VLOOKUP(B328,Planilha17!$A$8:$F$1259,6,0)</f>
        <v>453</v>
      </c>
      <c r="H328" s="67">
        <f>VLOOKUP(D328,'FDE 10-23 '!$A$4:$E$3180,5,0)</f>
        <v>2.46</v>
      </c>
      <c r="I328" s="68">
        <f t="shared" ref="I328:I333" si="60">$L$10</f>
        <v>0.23</v>
      </c>
      <c r="J328" s="67">
        <f t="shared" ref="J328:J333" si="61">ROUND(H328*(1+I328),2)</f>
        <v>3.03</v>
      </c>
      <c r="K328" s="69">
        <f t="shared" ref="K328:K333" si="62">SUM(G328*J328)</f>
        <v>1372.59</v>
      </c>
      <c r="L328" s="51"/>
      <c r="M328" s="52"/>
    </row>
    <row r="329" spans="2:13" s="25" customFormat="1" ht="30" customHeight="1" outlineLevel="1">
      <c r="B329" s="61" t="s">
        <v>698</v>
      </c>
      <c r="C329" s="62" t="s">
        <v>26</v>
      </c>
      <c r="D329" s="63" t="s">
        <v>699</v>
      </c>
      <c r="E329" s="64" t="str">
        <f>IFERROR(UPPER(IF(C329="CPU",VLOOKUP(D329,#REF!,2,0),IF(C329="SINAPI",VLOOKUP(D329,#REF!,2,0),IF(C329="EDIF",VLOOKUP(D329,#REF!,2,0),IF(C329="CDHU",VLOOKUP(D329,#REF!,2,0),IF(C329="FDE",VLOOKUP(D329,'FDE 10-23 '!$A$4:$E$3180,2,0),IF(C329="INFRA",VLOOKUP(D329,#REF!,2,0),""))))))),"")</f>
        <v>FIO DE 2,50 MM2 - 750 V DE ISOLACAO</v>
      </c>
      <c r="F329" s="65" t="str">
        <f>VLOOKUP(D329,'FDE 10-23 '!$A$4:$E$3180,3,0)</f>
        <v>M</v>
      </c>
      <c r="G329" s="66">
        <f>VLOOKUP(B329,Planilha17!$A$8:$F$1259,6,0)</f>
        <v>12600</v>
      </c>
      <c r="H329" s="67">
        <f>VLOOKUP(D329,'FDE 10-23 '!$A$4:$E$3180,5,0)</f>
        <v>3.31</v>
      </c>
      <c r="I329" s="68">
        <f t="shared" si="60"/>
        <v>0.23</v>
      </c>
      <c r="J329" s="67">
        <f t="shared" si="61"/>
        <v>4.07</v>
      </c>
      <c r="K329" s="69">
        <f t="shared" si="62"/>
        <v>51282</v>
      </c>
      <c r="L329" s="51"/>
      <c r="M329" s="52"/>
    </row>
    <row r="330" spans="2:13" s="25" customFormat="1" ht="30" customHeight="1" outlineLevel="1">
      <c r="B330" s="61" t="s">
        <v>700</v>
      </c>
      <c r="C330" s="62" t="s">
        <v>26</v>
      </c>
      <c r="D330" s="63" t="s">
        <v>701</v>
      </c>
      <c r="E330" s="64" t="str">
        <f>IFERROR(UPPER(IF(C330="CPU",VLOOKUP(D330,#REF!,2,0),IF(C330="SINAPI",VLOOKUP(D330,#REF!,2,0),IF(C330="EDIF",VLOOKUP(D330,#REF!,2,0),IF(C330="CDHU",VLOOKUP(D330,#REF!,2,0),IF(C330="FDE",VLOOKUP(D330,'FDE 10-23 '!$A$4:$E$3180,2,0),IF(C330="INFRA",VLOOKUP(D330,#REF!,2,0),""))))))),"")</f>
        <v>FIO DE 6 MM2 - 750 V DE ISOLACAO</v>
      </c>
      <c r="F330" s="65" t="str">
        <f>VLOOKUP(D330,'FDE 10-23 '!$A$4:$E$3180,3,0)</f>
        <v>M</v>
      </c>
      <c r="G330" s="66">
        <f>VLOOKUP(B330,Planilha17!$A$8:$F$1259,6,0)</f>
        <v>3670</v>
      </c>
      <c r="H330" s="67">
        <f>VLOOKUP(D330,'FDE 10-23 '!$A$4:$E$3180,5,0)</f>
        <v>6.28</v>
      </c>
      <c r="I330" s="68">
        <f t="shared" si="60"/>
        <v>0.23</v>
      </c>
      <c r="J330" s="67">
        <f t="shared" si="61"/>
        <v>7.72</v>
      </c>
      <c r="K330" s="69">
        <f t="shared" si="62"/>
        <v>28332.399999999998</v>
      </c>
      <c r="L330" s="51"/>
      <c r="M330" s="52"/>
    </row>
    <row r="331" spans="2:13" s="25" customFormat="1" ht="30" customHeight="1" outlineLevel="1">
      <c r="B331" s="61" t="s">
        <v>702</v>
      </c>
      <c r="C331" s="62" t="s">
        <v>26</v>
      </c>
      <c r="D331" s="63" t="s">
        <v>703</v>
      </c>
      <c r="E331" s="64" t="str">
        <f>IFERROR(UPPER(IF(C331="CPU",VLOOKUP(D331,#REF!,2,0),IF(C331="SINAPI",VLOOKUP(D331,#REF!,2,0),IF(C331="EDIF",VLOOKUP(D331,#REF!,2,0),IF(C331="CDHU",VLOOKUP(D331,#REF!,2,0),IF(C331="FDE",VLOOKUP(D331,'FDE 10-23 '!$A$4:$E$3180,2,0),IF(C331="INFRA",VLOOKUP(D331,#REF!,2,0),""))))))),"")</f>
        <v>CABO DE 10 MM2 - 750 V DE ISOLACAO</v>
      </c>
      <c r="F331" s="65" t="str">
        <f>VLOOKUP(D331,'FDE 10-23 '!$A$4:$E$3180,3,0)</f>
        <v>M</v>
      </c>
      <c r="G331" s="66">
        <f>VLOOKUP(B331,Planilha17!$A$8:$F$1259,6,0)</f>
        <v>1708</v>
      </c>
      <c r="H331" s="67">
        <f>VLOOKUP(D331,'FDE 10-23 '!$A$4:$E$3180,5,0)</f>
        <v>10.53</v>
      </c>
      <c r="I331" s="68">
        <f t="shared" si="60"/>
        <v>0.23</v>
      </c>
      <c r="J331" s="67">
        <f t="shared" si="61"/>
        <v>12.95</v>
      </c>
      <c r="K331" s="69">
        <f t="shared" si="62"/>
        <v>22118.6</v>
      </c>
      <c r="L331" s="51"/>
      <c r="M331" s="52"/>
    </row>
    <row r="332" spans="2:13" s="25" customFormat="1" ht="30" customHeight="1" outlineLevel="1">
      <c r="B332" s="61" t="s">
        <v>704</v>
      </c>
      <c r="C332" s="62" t="s">
        <v>26</v>
      </c>
      <c r="D332" s="63" t="s">
        <v>705</v>
      </c>
      <c r="E332" s="64" t="str">
        <f>IFERROR(UPPER(IF(C332="CPU",VLOOKUP(D332,#REF!,2,0),IF(C332="SINAPI",VLOOKUP(D332,#REF!,2,0),IF(C332="EDIF",VLOOKUP(D332,#REF!,2,0),IF(C332="CDHU",VLOOKUP(D332,#REF!,2,0),IF(C332="FDE",VLOOKUP(D332,'FDE 10-23 '!$A$4:$E$3180,2,0),IF(C332="INFRA",VLOOKUP(D332,#REF!,2,0),""))))))),"")</f>
        <v>CABO DE 16 MM2 - 750 V DE ISOLACAO</v>
      </c>
      <c r="F332" s="65" t="str">
        <f>VLOOKUP(D332,'FDE 10-23 '!$A$4:$E$3180,3,0)</f>
        <v>M</v>
      </c>
      <c r="G332" s="66">
        <f>VLOOKUP(B332,Planilha17!$A$8:$F$1259,6,0)</f>
        <v>6</v>
      </c>
      <c r="H332" s="67">
        <f>VLOOKUP(D332,'FDE 10-23 '!$A$4:$E$3180,5,0)</f>
        <v>16.25</v>
      </c>
      <c r="I332" s="68">
        <f t="shared" si="60"/>
        <v>0.23</v>
      </c>
      <c r="J332" s="67">
        <f t="shared" si="61"/>
        <v>19.989999999999998</v>
      </c>
      <c r="K332" s="69">
        <f t="shared" si="62"/>
        <v>119.94</v>
      </c>
      <c r="L332" s="51"/>
      <c r="M332" s="52"/>
    </row>
    <row r="333" spans="2:13" s="25" customFormat="1" ht="30" customHeight="1" outlineLevel="1">
      <c r="B333" s="61" t="s">
        <v>706</v>
      </c>
      <c r="C333" s="62" t="s">
        <v>26</v>
      </c>
      <c r="D333" s="63" t="s">
        <v>707</v>
      </c>
      <c r="E333" s="64" t="str">
        <f>IFERROR(UPPER(IF(C333="CPU",VLOOKUP(D333,#REF!,2,0),IF(C333="SINAPI",VLOOKUP(D333,#REF!,2,0),IF(C333="EDIF",VLOOKUP(D333,#REF!,2,0),IF(C333="CDHU",VLOOKUP(D333,#REF!,2,0),IF(C333="FDE",VLOOKUP(D333,'FDE 10-23 '!$A$4:$E$3180,2,0),IF(C333="INFRA",VLOOKUP(D333,#REF!,2,0),""))))))),"")</f>
        <v>CABO DE 25 MM2 - 750 V DE ISOLACAO</v>
      </c>
      <c r="F333" s="65" t="str">
        <f>VLOOKUP(D333,'FDE 10-23 '!$A$4:$E$3180,3,0)</f>
        <v>M</v>
      </c>
      <c r="G333" s="66">
        <f>VLOOKUP(B333,Planilha17!$A$8:$F$1259,6,0)</f>
        <v>24</v>
      </c>
      <c r="H333" s="67">
        <f>VLOOKUP(D333,'FDE 10-23 '!$A$4:$E$3180,5,0)</f>
        <v>26.9</v>
      </c>
      <c r="I333" s="68">
        <f t="shared" si="60"/>
        <v>0.23</v>
      </c>
      <c r="J333" s="67">
        <f t="shared" si="61"/>
        <v>33.090000000000003</v>
      </c>
      <c r="K333" s="69">
        <f t="shared" si="62"/>
        <v>794.16000000000008</v>
      </c>
      <c r="L333" s="51"/>
      <c r="M333" s="52"/>
    </row>
    <row r="334" spans="2:13" s="25" customFormat="1" ht="30" customHeight="1" outlineLevel="1">
      <c r="B334" s="53" t="s">
        <v>708</v>
      </c>
      <c r="C334" s="54"/>
      <c r="D334" s="54" t="s">
        <v>709</v>
      </c>
      <c r="E334" s="55" t="s">
        <v>710</v>
      </c>
      <c r="F334" s="56" t="str">
        <f>IFERROR(UPPER(IF(C334="CPU",VLOOKUP(D334,#REF!,3,0),IF(C334="SINAPI",VLOOKUP(D334,#REF!,3,0),IF(C334="EDIF",VLOOKUP(D334,#REF!,3,0),IF(C334="CDHU",VLOOKUP(D334,#REF!,3,0),IF(C334="FDE",VLOOKUP(D334,#REF!,3,0),IF(C334="INFRA",VLOOKUP(D334,#REF!,3,0),""))))))),"")</f>
        <v/>
      </c>
      <c r="G334" s="57"/>
      <c r="H334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34" s="59"/>
      <c r="J334" s="59"/>
      <c r="K334" s="60">
        <f>SUBTOTAL(9,K335:K346)</f>
        <v>58668.569999999992</v>
      </c>
      <c r="L334" s="51"/>
      <c r="M334" s="52"/>
    </row>
    <row r="335" spans="2:13" s="25" customFormat="1" ht="30" customHeight="1" outlineLevel="1">
      <c r="B335" s="61" t="s">
        <v>711</v>
      </c>
      <c r="C335" s="62" t="s">
        <v>26</v>
      </c>
      <c r="D335" s="63" t="s">
        <v>712</v>
      </c>
      <c r="E335" s="64" t="str">
        <f>IFERROR(UPPER(IF(C335="CPU",VLOOKUP(D335,#REF!,2,0),IF(C335="SINAPI",VLOOKUP(D335,#REF!,2,0),IF(C335="EDIF",VLOOKUP(D335,#REF!,2,0),IF(C335="CDHU",VLOOKUP(D335,#REF!,2,0),IF(C335="FDE",VLOOKUP(D335,'FDE 10-23 '!$A$4:$E$3180,2,0),IF(C335="INFRA",VLOOKUP(D335,#REF!,2,0),""))))))),"")</f>
        <v>BOTOEIRA PARA ACIONAMENTO DA BOMBA DE INCENDIO</v>
      </c>
      <c r="F335" s="65" t="str">
        <f>VLOOKUP(D335,'FDE 10-23 '!$A$4:$E$3180,3,0)</f>
        <v>UN</v>
      </c>
      <c r="G335" s="66">
        <f>VLOOKUP(B335,Planilha17!$A$8:$F$1259,6,0)</f>
        <v>2</v>
      </c>
      <c r="H335" s="67">
        <f>VLOOKUP(D335,'FDE 10-23 '!$A$4:$E$3180,5,0)</f>
        <v>349.42</v>
      </c>
      <c r="I335" s="68">
        <f t="shared" ref="I335:I346" si="63">$L$10</f>
        <v>0.23</v>
      </c>
      <c r="J335" s="67">
        <f t="shared" ref="J335:J346" si="64">ROUND(H335*(1+I335),2)</f>
        <v>429.79</v>
      </c>
      <c r="K335" s="69">
        <f t="shared" ref="K335:K346" si="65">SUM(G335*J335)</f>
        <v>859.58</v>
      </c>
      <c r="L335" s="51"/>
      <c r="M335" s="52"/>
    </row>
    <row r="336" spans="2:13" s="25" customFormat="1" ht="30" customHeight="1" outlineLevel="1">
      <c r="B336" s="61" t="s">
        <v>713</v>
      </c>
      <c r="C336" s="62" t="s">
        <v>26</v>
      </c>
      <c r="D336" s="63" t="s">
        <v>714</v>
      </c>
      <c r="E336" s="64" t="str">
        <f>IFERROR(UPPER(IF(C336="CPU",VLOOKUP(D336,#REF!,2,0),IF(C336="SINAPI",VLOOKUP(D336,#REF!,2,0),IF(C336="EDIF",VLOOKUP(D336,#REF!,2,0),IF(C336="CDHU",VLOOKUP(D336,#REF!,2,0),IF(C336="FDE",VLOOKUP(D336,'FDE 10-23 '!$A$4:$E$3180,2,0),IF(C336="INFRA",VLOOKUP(D336,#REF!,2,0),""))))))),"")</f>
        <v>INTERRUPTOR 1 TECLA BIPOLAR SIMPLES CAIXA 4"X2"- ELETR PVC RIGIDO</v>
      </c>
      <c r="F336" s="65" t="str">
        <f>VLOOKUP(D336,'FDE 10-23 '!$A$4:$E$3180,3,0)</f>
        <v>UN</v>
      </c>
      <c r="G336" s="66">
        <f>VLOOKUP(B336,Planilha17!$A$8:$F$1259,6,0)</f>
        <v>12</v>
      </c>
      <c r="H336" s="67">
        <f>VLOOKUP(D336,'FDE 10-23 '!$A$4:$E$3180,5,0)</f>
        <v>145.65</v>
      </c>
      <c r="I336" s="68">
        <f t="shared" si="63"/>
        <v>0.23</v>
      </c>
      <c r="J336" s="67">
        <f t="shared" si="64"/>
        <v>179.15</v>
      </c>
      <c r="K336" s="69">
        <f t="shared" si="65"/>
        <v>2149.8000000000002</v>
      </c>
      <c r="L336" s="51"/>
      <c r="M336" s="52"/>
    </row>
    <row r="337" spans="2:13" s="25" customFormat="1" ht="30" customHeight="1" outlineLevel="1">
      <c r="B337" s="61" t="s">
        <v>715</v>
      </c>
      <c r="C337" s="62" t="s">
        <v>26</v>
      </c>
      <c r="D337" s="63" t="s">
        <v>716</v>
      </c>
      <c r="E337" s="64" t="str">
        <f>IFERROR(UPPER(IF(C337="CPU",VLOOKUP(D337,#REF!,2,0),IF(C337="SINAPI",VLOOKUP(D337,#REF!,2,0),IF(C337="EDIF",VLOOKUP(D337,#REF!,2,0),IF(C337="CDHU",VLOOKUP(D337,#REF!,2,0),IF(C337="FDE",VLOOKUP(D337,'FDE 10-23 '!$A$4:$E$3180,2,0),IF(C337="INFRA",VLOOKUP(D337,#REF!,2,0),""))))))),"")</f>
        <v>2 INTERRUPTORES 1 TECLA BIPOLAR SIMPLES CAIXA 4"X4"-ELETR PVC RIGIDO</v>
      </c>
      <c r="F337" s="65" t="str">
        <f>VLOOKUP(D337,'FDE 10-23 '!$A$4:$E$3180,3,0)</f>
        <v>UN</v>
      </c>
      <c r="G337" s="66">
        <f>VLOOKUP(B337,Planilha17!$A$8:$F$1259,6,0)</f>
        <v>10</v>
      </c>
      <c r="H337" s="67">
        <f>VLOOKUP(D337,'FDE 10-23 '!$A$4:$E$3180,5,0)</f>
        <v>226.31</v>
      </c>
      <c r="I337" s="68">
        <f t="shared" si="63"/>
        <v>0.23</v>
      </c>
      <c r="J337" s="67">
        <f t="shared" si="64"/>
        <v>278.36</v>
      </c>
      <c r="K337" s="69">
        <f t="shared" si="65"/>
        <v>2783.6000000000004</v>
      </c>
      <c r="L337" s="51"/>
      <c r="M337" s="52"/>
    </row>
    <row r="338" spans="2:13" s="25" customFormat="1" ht="30" customHeight="1" outlineLevel="1">
      <c r="B338" s="61" t="s">
        <v>717</v>
      </c>
      <c r="C338" s="62" t="s">
        <v>26</v>
      </c>
      <c r="D338" s="63" t="s">
        <v>718</v>
      </c>
      <c r="E338" s="64" t="str">
        <f>IFERROR(UPPER(IF(C338="CPU",VLOOKUP(D338,#REF!,2,0),IF(C338="SINAPI",VLOOKUP(D338,#REF!,2,0),IF(C338="EDIF",VLOOKUP(D338,#REF!,2,0),IF(C338="CDHU",VLOOKUP(D338,#REF!,2,0),IF(C338="FDE",VLOOKUP(D338,'FDE 10-23 '!$A$4:$E$3180,2,0),IF(C338="INFRA",VLOOKUP(D338,#REF!,2,0),""))))))),"")</f>
        <v>3 INTERRUPTORES DE 1 TECLA BIPOLAR EM CAIXA 4"X4"-ELETRODUTO DE PVC</v>
      </c>
      <c r="F338" s="65" t="str">
        <f>VLOOKUP(D338,'FDE 10-23 '!$A$4:$E$3180,3,0)</f>
        <v>UN</v>
      </c>
      <c r="G338" s="66">
        <f>VLOOKUP(B338,Planilha17!$A$8:$F$1259,6,0)</f>
        <v>5</v>
      </c>
      <c r="H338" s="67">
        <f>VLOOKUP(D338,'FDE 10-23 '!$A$4:$E$3180,5,0)</f>
        <v>232.89</v>
      </c>
      <c r="I338" s="68">
        <f t="shared" si="63"/>
        <v>0.23</v>
      </c>
      <c r="J338" s="67">
        <f t="shared" si="64"/>
        <v>286.45</v>
      </c>
      <c r="K338" s="69">
        <f t="shared" si="65"/>
        <v>1432.25</v>
      </c>
      <c r="L338" s="51"/>
      <c r="M338" s="52"/>
    </row>
    <row r="339" spans="2:13" s="25" customFormat="1" ht="30" customHeight="1" outlineLevel="1">
      <c r="B339" s="61" t="s">
        <v>719</v>
      </c>
      <c r="C339" s="62" t="s">
        <v>26</v>
      </c>
      <c r="D339" s="63" t="s">
        <v>720</v>
      </c>
      <c r="E339" s="64" t="str">
        <f>IFERROR(UPPER(IF(C339="CPU",VLOOKUP(D339,#REF!,2,0),IF(C339="SINAPI",VLOOKUP(D339,#REF!,2,0),IF(C339="EDIF",VLOOKUP(D339,#REF!,2,0),IF(C339="CDHU",VLOOKUP(D339,#REF!,2,0),IF(C339="FDE",VLOOKUP(D339,'FDE 10-23 '!$A$4:$E$3180,2,0),IF(C339="INFRA",VLOOKUP(D339,#REF!,2,0),""))))))),"")</f>
        <v>INTERRUPTOR 1 TECLA SIMPLES/TOMADA 2P+T PADRÃO NBR 14136 CORRENTE 10A ELETROD.PVC RIGIDO</v>
      </c>
      <c r="F339" s="65" t="str">
        <f>VLOOKUP(D339,'FDE 10-23 '!$A$4:$E$3180,3,0)</f>
        <v>UN</v>
      </c>
      <c r="G339" s="66">
        <f>VLOOKUP(B339,Planilha17!$A$8:$F$1259,6,0)</f>
        <v>2</v>
      </c>
      <c r="H339" s="67">
        <f>VLOOKUP(D339,'FDE 10-23 '!$A$4:$E$3180,5,0)</f>
        <v>129.35</v>
      </c>
      <c r="I339" s="68">
        <f t="shared" si="63"/>
        <v>0.23</v>
      </c>
      <c r="J339" s="67">
        <f t="shared" si="64"/>
        <v>159.1</v>
      </c>
      <c r="K339" s="69">
        <f t="shared" si="65"/>
        <v>318.2</v>
      </c>
      <c r="L339" s="51"/>
      <c r="M339" s="52"/>
    </row>
    <row r="340" spans="2:13" s="25" customFormat="1" ht="30" customHeight="1" outlineLevel="1">
      <c r="B340" s="61" t="s">
        <v>721</v>
      </c>
      <c r="C340" s="62" t="s">
        <v>26</v>
      </c>
      <c r="D340" s="63" t="s">
        <v>722</v>
      </c>
      <c r="E340" s="64" t="str">
        <f>IFERROR(UPPER(IF(C340="CPU",VLOOKUP(D340,#REF!,2,0),IF(C340="SINAPI",VLOOKUP(D340,#REF!,2,0),IF(C340="EDIF",VLOOKUP(D340,#REF!,2,0),IF(C340="CDHU",VLOOKUP(D340,#REF!,2,0),IF(C340="FDE",VLOOKUP(D340,'FDE 10-23 '!$A$4:$E$3180,2,0),IF(C340="INFRA",VLOOKUP(D340,#REF!,2,0),""))))))),"")</f>
        <v>TOMADA 2P+T PADRAO NBR 14136 CORRENTE 10A-250V-ELETR. PVC RÍGIDO</v>
      </c>
      <c r="F340" s="65" t="str">
        <f>VLOOKUP(D340,'FDE 10-23 '!$A$4:$E$3180,3,0)</f>
        <v>UN</v>
      </c>
      <c r="G340" s="66">
        <f>VLOOKUP(B340,Planilha17!$A$8:$F$1259,6,0)</f>
        <v>233</v>
      </c>
      <c r="H340" s="67">
        <f>VLOOKUP(D340,'FDE 10-23 '!$A$4:$E$3180,5,0)</f>
        <v>126.05</v>
      </c>
      <c r="I340" s="68">
        <f t="shared" si="63"/>
        <v>0.23</v>
      </c>
      <c r="J340" s="67">
        <f t="shared" si="64"/>
        <v>155.04</v>
      </c>
      <c r="K340" s="69">
        <f t="shared" si="65"/>
        <v>36124.32</v>
      </c>
      <c r="L340" s="51"/>
      <c r="M340" s="52"/>
    </row>
    <row r="341" spans="2:13" s="25" customFormat="1" ht="30" customHeight="1" outlineLevel="1">
      <c r="B341" s="61" t="s">
        <v>723</v>
      </c>
      <c r="C341" s="62" t="s">
        <v>26</v>
      </c>
      <c r="D341" s="63" t="s">
        <v>724</v>
      </c>
      <c r="E341" s="64" t="str">
        <f>IFERROR(UPPER(IF(C341="CPU",VLOOKUP(D341,#REF!,2,0),IF(C341="SINAPI",VLOOKUP(D341,#REF!,2,0),IF(C341="EDIF",VLOOKUP(D341,#REF!,2,0),IF(C341="CDHU",VLOOKUP(D341,#REF!,2,0),IF(C341="FDE",VLOOKUP(D341,'FDE 10-23 '!$A$4:$E$3180,2,0),IF(C341="INFRA",VLOOKUP(D341,#REF!,2,0),""))))))),"")</f>
        <v>PONTO SECO PARA TELEFONE-ELETRODUTO DE PVC</v>
      </c>
      <c r="F341" s="65" t="str">
        <f>VLOOKUP(D341,'FDE 10-23 '!$A$4:$E$3180,3,0)</f>
        <v>UN</v>
      </c>
      <c r="G341" s="66">
        <f>VLOOKUP(B341,Planilha17!$A$8:$F$1259,6,0)</f>
        <v>6</v>
      </c>
      <c r="H341" s="67">
        <f>VLOOKUP(D341,'FDE 10-23 '!$A$4:$E$3180,5,0)</f>
        <v>103.06</v>
      </c>
      <c r="I341" s="68">
        <f t="shared" si="63"/>
        <v>0.23</v>
      </c>
      <c r="J341" s="67">
        <f t="shared" si="64"/>
        <v>126.76</v>
      </c>
      <c r="K341" s="69">
        <f t="shared" si="65"/>
        <v>760.56000000000006</v>
      </c>
      <c r="L341" s="51"/>
      <c r="M341" s="52"/>
    </row>
    <row r="342" spans="2:13" s="25" customFormat="1" ht="30" customHeight="1" outlineLevel="1">
      <c r="B342" s="61" t="s">
        <v>725</v>
      </c>
      <c r="C342" s="62" t="s">
        <v>26</v>
      </c>
      <c r="D342" s="63" t="s">
        <v>726</v>
      </c>
      <c r="E342" s="64" t="str">
        <f>IFERROR(UPPER(IF(C342="CPU",VLOOKUP(D342,#REF!,2,0),IF(C342="SINAPI",VLOOKUP(D342,#REF!,2,0),IF(C342="EDIF",VLOOKUP(D342,#REF!,2,0),IF(C342="CDHU",VLOOKUP(D342,#REF!,2,0),IF(C342="FDE",VLOOKUP(D342,'FDE 10-23 '!$A$4:$E$3180,2,0),IF(C342="INFRA",VLOOKUP(D342,#REF!,2,0),""))))))),"")</f>
        <v>BOTAO PARA CIGARRA - ELETRODUTO DE PVC</v>
      </c>
      <c r="F342" s="65" t="str">
        <f>VLOOKUP(D342,'FDE 10-23 '!$A$4:$E$3180,3,0)</f>
        <v>UN</v>
      </c>
      <c r="G342" s="66">
        <f>VLOOKUP(B342,Planilha17!$A$8:$F$1259,6,0)</f>
        <v>1</v>
      </c>
      <c r="H342" s="67">
        <f>VLOOKUP(D342,'FDE 10-23 '!$A$4:$E$3180,5,0)</f>
        <v>126.22</v>
      </c>
      <c r="I342" s="68">
        <f t="shared" si="63"/>
        <v>0.23</v>
      </c>
      <c r="J342" s="67">
        <f t="shared" si="64"/>
        <v>155.25</v>
      </c>
      <c r="K342" s="69">
        <f t="shared" si="65"/>
        <v>155.25</v>
      </c>
      <c r="L342" s="51"/>
      <c r="M342" s="52"/>
    </row>
    <row r="343" spans="2:13" s="25" customFormat="1" ht="30" customHeight="1" outlineLevel="1">
      <c r="B343" s="61" t="s">
        <v>727</v>
      </c>
      <c r="C343" s="62" t="s">
        <v>26</v>
      </c>
      <c r="D343" s="63" t="s">
        <v>728</v>
      </c>
      <c r="E343" s="64" t="str">
        <f>IFERROR(UPPER(IF(C343="CPU",VLOOKUP(D343,#REF!,2,0),IF(C343="SINAPI",VLOOKUP(D343,#REF!,2,0),IF(C343="EDIF",VLOOKUP(D343,#REF!,2,0),IF(C343="CDHU",VLOOKUP(D343,#REF!,2,0),IF(C343="FDE",VLOOKUP(D343,'FDE 10-23 '!$A$4:$E$3180,2,0),IF(C343="INFRA",VLOOKUP(D343,#REF!,2,0),""))))))),"")</f>
        <v>CIGARRA PARA CHAMADA DE AULA - ELETRODUTO DE PVC</v>
      </c>
      <c r="F343" s="65" t="str">
        <f>VLOOKUP(D343,'FDE 10-23 '!$A$4:$E$3180,3,0)</f>
        <v>UN</v>
      </c>
      <c r="G343" s="66">
        <f>VLOOKUP(B343,Planilha17!$A$8:$F$1259,6,0)</f>
        <v>3</v>
      </c>
      <c r="H343" s="67">
        <f>VLOOKUP(D343,'FDE 10-23 '!$A$4:$E$3180,5,0)</f>
        <v>221.36</v>
      </c>
      <c r="I343" s="68">
        <f t="shared" si="63"/>
        <v>0.23</v>
      </c>
      <c r="J343" s="67">
        <f t="shared" si="64"/>
        <v>272.27</v>
      </c>
      <c r="K343" s="69">
        <f t="shared" si="65"/>
        <v>816.81</v>
      </c>
      <c r="L343" s="51"/>
      <c r="M343" s="52"/>
    </row>
    <row r="344" spans="2:13" s="25" customFormat="1" ht="30" customHeight="1" outlineLevel="1">
      <c r="B344" s="61" t="s">
        <v>729</v>
      </c>
      <c r="C344" s="62" t="s">
        <v>26</v>
      </c>
      <c r="D344" s="63" t="s">
        <v>730</v>
      </c>
      <c r="E344" s="64" t="str">
        <f>IFERROR(UPPER(IF(C344="CPU",VLOOKUP(D344,#REF!,2,0),IF(C344="SINAPI",VLOOKUP(D344,#REF!,2,0),IF(C344="EDIF",VLOOKUP(D344,#REF!,2,0),IF(C344="CDHU",VLOOKUP(D344,#REF!,2,0),IF(C344="FDE",VLOOKUP(D344,'FDE 10-23 '!$A$4:$E$3180,2,0),IF(C344="INFRA",VLOOKUP(D344,#REF!,2,0),""))))))),"")</f>
        <v>PONTO SECO P/INSTALACAO DE SOM/TV/ALARME/LOGICA - ELETRODUTO PVC</v>
      </c>
      <c r="F344" s="65" t="str">
        <f>VLOOKUP(D344,'FDE 10-23 '!$A$4:$E$3180,3,0)</f>
        <v>UN</v>
      </c>
      <c r="G344" s="66">
        <f>VLOOKUP(B344,Planilha17!$A$8:$F$1259,6,0)</f>
        <v>93</v>
      </c>
      <c r="H344" s="67">
        <f>VLOOKUP(D344,'FDE 10-23 '!$A$4:$E$3180,5,0)</f>
        <v>103.06</v>
      </c>
      <c r="I344" s="68">
        <f t="shared" si="63"/>
        <v>0.23</v>
      </c>
      <c r="J344" s="67">
        <f t="shared" si="64"/>
        <v>126.76</v>
      </c>
      <c r="K344" s="69">
        <f t="shared" si="65"/>
        <v>11788.68</v>
      </c>
      <c r="L344" s="51"/>
      <c r="M344" s="52"/>
    </row>
    <row r="345" spans="2:13" s="25" customFormat="1" ht="30" customHeight="1" outlineLevel="1">
      <c r="B345" s="61" t="s">
        <v>731</v>
      </c>
      <c r="C345" s="62" t="s">
        <v>26</v>
      </c>
      <c r="D345" s="63" t="s">
        <v>732</v>
      </c>
      <c r="E345" s="64" t="str">
        <f>IFERROR(UPPER(IF(C345="CPU",VLOOKUP(D345,#REF!,2,0),IF(C345="SINAPI",VLOOKUP(D345,#REF!,2,0),IF(C345="EDIF",VLOOKUP(D345,#REF!,2,0),IF(C345="CDHU",VLOOKUP(D345,#REF!,2,0),IF(C345="FDE",VLOOKUP(D345,'FDE 10-23 '!$A$4:$E$3180,2,0),IF(C345="INFRA",VLOOKUP(D345,#REF!,2,0),""))))))),"")</f>
        <v>ACIONADOR DO ALARME DE INCENDIO</v>
      </c>
      <c r="F345" s="65" t="str">
        <f>VLOOKUP(D345,'FDE 10-23 '!$A$4:$E$3180,3,0)</f>
        <v>UN</v>
      </c>
      <c r="G345" s="66">
        <f>VLOOKUP(B345,Planilha17!$A$8:$F$1259,6,0)</f>
        <v>4</v>
      </c>
      <c r="H345" s="67">
        <f>VLOOKUP(D345,'FDE 10-23 '!$A$4:$E$3180,5,0)</f>
        <v>196.99</v>
      </c>
      <c r="I345" s="68">
        <f t="shared" si="63"/>
        <v>0.23</v>
      </c>
      <c r="J345" s="67">
        <f t="shared" si="64"/>
        <v>242.3</v>
      </c>
      <c r="K345" s="69">
        <f t="shared" si="65"/>
        <v>969.2</v>
      </c>
      <c r="L345" s="51"/>
      <c r="M345" s="52"/>
    </row>
    <row r="346" spans="2:13" s="25" customFormat="1" ht="30" customHeight="1" outlineLevel="1">
      <c r="B346" s="61" t="s">
        <v>733</v>
      </c>
      <c r="C346" s="62" t="s">
        <v>26</v>
      </c>
      <c r="D346" s="63" t="s">
        <v>734</v>
      </c>
      <c r="E346" s="64" t="str">
        <f>IFERROR(UPPER(IF(C346="CPU",VLOOKUP(D346,#REF!,2,0),IF(C346="SINAPI",VLOOKUP(D346,#REF!,2,0),IF(C346="EDIF",VLOOKUP(D346,#REF!,2,0),IF(C346="CDHU",VLOOKUP(D346,#REF!,2,0),IF(C346="FDE",VLOOKUP(D346,'FDE 10-23 '!$A$4:$E$3180,2,0),IF(C346="INFRA",VLOOKUP(D346,#REF!,2,0),""))))))),"")</f>
        <v>SIRENE PARA ALARME DE EMERGENCIA- ELETRODUTO DE PVC</v>
      </c>
      <c r="F346" s="65" t="str">
        <f>VLOOKUP(D346,'FDE 10-23 '!$A$4:$E$3180,3,0)</f>
        <v>UN</v>
      </c>
      <c r="G346" s="66">
        <f>VLOOKUP(B346,Planilha17!$A$8:$F$1259,6,0)</f>
        <v>4</v>
      </c>
      <c r="H346" s="67">
        <f>VLOOKUP(D346,'FDE 10-23 '!$A$4:$E$3180,5,0)</f>
        <v>103.72</v>
      </c>
      <c r="I346" s="68">
        <f t="shared" si="63"/>
        <v>0.23</v>
      </c>
      <c r="J346" s="67">
        <f t="shared" si="64"/>
        <v>127.58</v>
      </c>
      <c r="K346" s="69">
        <f t="shared" si="65"/>
        <v>510.32</v>
      </c>
      <c r="L346" s="51"/>
      <c r="M346" s="52"/>
    </row>
    <row r="347" spans="2:13" s="25" customFormat="1" ht="30" customHeight="1" outlineLevel="1">
      <c r="B347" s="53" t="s">
        <v>735</v>
      </c>
      <c r="C347" s="54"/>
      <c r="D347" s="54" t="s">
        <v>736</v>
      </c>
      <c r="E347" s="55" t="s">
        <v>737</v>
      </c>
      <c r="F347" s="56" t="str">
        <f>IFERROR(UPPER(IF(C347="CPU",VLOOKUP(D347,#REF!,3,0),IF(C347="SINAPI",VLOOKUP(D347,#REF!,3,0),IF(C347="EDIF",VLOOKUP(D347,#REF!,3,0),IF(C347="CDHU",VLOOKUP(D347,#REF!,3,0),IF(C347="FDE",VLOOKUP(D347,#REF!,3,0),IF(C347="INFRA",VLOOKUP(D347,#REF!,3,0),""))))))),"")</f>
        <v/>
      </c>
      <c r="G347" s="57"/>
      <c r="H34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47" s="59"/>
      <c r="J347" s="59"/>
      <c r="K347" s="60">
        <f>SUBTOTAL(9,K348:K359)</f>
        <v>97206.43</v>
      </c>
      <c r="L347" s="51"/>
      <c r="M347" s="52"/>
    </row>
    <row r="348" spans="2:13" s="25" customFormat="1" ht="30" customHeight="1" outlineLevel="1">
      <c r="B348" s="61" t="s">
        <v>738</v>
      </c>
      <c r="C348" s="62" t="s">
        <v>26</v>
      </c>
      <c r="D348" s="63" t="s">
        <v>739</v>
      </c>
      <c r="E348" s="64" t="str">
        <f>IFERROR(UPPER(IF(C348="CPU",VLOOKUP(D348,#REF!,2,0),IF(C348="SINAPI",VLOOKUP(D348,#REF!,2,0),IF(C348="EDIF",VLOOKUP(D348,#REF!,2,0),IF(C348="CDHU",VLOOKUP(D348,#REF!,2,0),IF(C348="FDE",VLOOKUP(D348,'FDE 10-23 '!$A$4:$E$3180,2,0),IF(C348="INFRA",VLOOKUP(D348,#REF!,2,0),""))))))),"")</f>
        <v>IL-42 LUMINARIA C/ DIFUSOR TRANSPARENTE P/ LAMPADA FLUOR (2X32W)</v>
      </c>
      <c r="F348" s="65" t="str">
        <f>VLOOKUP(D348,'FDE 10-23 '!$A$4:$E$3180,3,0)</f>
        <v>UN</v>
      </c>
      <c r="G348" s="66">
        <f>VLOOKUP(B348,Planilha17!$A$8:$F$1259,6,0)</f>
        <v>23</v>
      </c>
      <c r="H348" s="67">
        <f>VLOOKUP(D348,'FDE 10-23 '!$A$4:$E$3180,5,0)</f>
        <v>242.91</v>
      </c>
      <c r="I348" s="68">
        <f t="shared" ref="I348:I359" si="66">$L$10</f>
        <v>0.23</v>
      </c>
      <c r="J348" s="67">
        <f t="shared" ref="J348:J359" si="67">ROUND(H348*(1+I348),2)</f>
        <v>298.77999999999997</v>
      </c>
      <c r="K348" s="69">
        <f t="shared" ref="K348:K359" si="68">SUM(G348*J348)</f>
        <v>6871.94</v>
      </c>
      <c r="L348" s="51"/>
      <c r="M348" s="52"/>
    </row>
    <row r="349" spans="2:13" s="25" customFormat="1" ht="30" customHeight="1" outlineLevel="1">
      <c r="B349" s="61" t="s">
        <v>740</v>
      </c>
      <c r="C349" s="62" t="s">
        <v>26</v>
      </c>
      <c r="D349" s="63" t="s">
        <v>741</v>
      </c>
      <c r="E349" s="64" t="str">
        <f>IFERROR(UPPER(IF(C349="CPU",VLOOKUP(D349,#REF!,2,0),IF(C349="SINAPI",VLOOKUP(D349,#REF!,2,0),IF(C349="EDIF",VLOOKUP(D349,#REF!,2,0),IF(C349="CDHU",VLOOKUP(D349,#REF!,2,0),IF(C349="FDE",VLOOKUP(D349,'FDE 10-23 '!$A$4:$E$3180,2,0),IF(C349="INFRA",VLOOKUP(D349,#REF!,2,0),""))))))),"")</f>
        <v>IL-57 REFLETOR C/ GRADE P/ VAPOR MET 150W</v>
      </c>
      <c r="F349" s="65" t="str">
        <f>VLOOKUP(D349,'FDE 10-23 '!$A$4:$E$3180,3,0)</f>
        <v>UN</v>
      </c>
      <c r="G349" s="66">
        <f>VLOOKUP(B349,Planilha17!$A$8:$F$1259,6,0)</f>
        <v>7</v>
      </c>
      <c r="H349" s="67">
        <f>VLOOKUP(D349,'FDE 10-23 '!$A$4:$E$3180,5,0)</f>
        <v>795.39</v>
      </c>
      <c r="I349" s="68">
        <f t="shared" si="66"/>
        <v>0.23</v>
      </c>
      <c r="J349" s="67">
        <f t="shared" si="67"/>
        <v>978.33</v>
      </c>
      <c r="K349" s="69">
        <f t="shared" si="68"/>
        <v>6848.31</v>
      </c>
      <c r="L349" s="51"/>
      <c r="M349" s="52"/>
    </row>
    <row r="350" spans="2:13" s="25" customFormat="1" ht="30" customHeight="1" outlineLevel="1">
      <c r="B350" s="61" t="s">
        <v>742</v>
      </c>
      <c r="C350" s="62" t="s">
        <v>26</v>
      </c>
      <c r="D350" s="63" t="s">
        <v>743</v>
      </c>
      <c r="E350" s="64" t="str">
        <f>IFERROR(UPPER(IF(C350="CPU",VLOOKUP(D350,#REF!,2,0),IF(C350="SINAPI",VLOOKUP(D350,#REF!,2,0),IF(C350="EDIF",VLOOKUP(D350,#REF!,2,0),IF(C350="CDHU",VLOOKUP(D350,#REF!,2,0),IF(C350="FDE",VLOOKUP(D350,'FDE 10-23 '!$A$4:$E$3180,2,0),IF(C350="INFRA",VLOOKUP(D350,#REF!,2,0),""))))))),"")</f>
        <v>IL-58 ILUMINACAO P/ QUADRA DE ESP. COB. LAMP. VAPOR METALICO (1X250W)</v>
      </c>
      <c r="F350" s="65" t="str">
        <f>VLOOKUP(D350,'FDE 10-23 '!$A$4:$E$3180,3,0)</f>
        <v>UN</v>
      </c>
      <c r="G350" s="66">
        <f>VLOOKUP(B350,Planilha17!$A$8:$F$1259,6,0)</f>
        <v>8</v>
      </c>
      <c r="H350" s="67">
        <f>VLOOKUP(D350,'FDE 10-23 '!$A$4:$E$3180,5,0)</f>
        <v>855.75</v>
      </c>
      <c r="I350" s="68">
        <f t="shared" si="66"/>
        <v>0.23</v>
      </c>
      <c r="J350" s="67">
        <f t="shared" si="67"/>
        <v>1052.57</v>
      </c>
      <c r="K350" s="69">
        <f t="shared" si="68"/>
        <v>8420.56</v>
      </c>
      <c r="L350" s="51"/>
      <c r="M350" s="52"/>
    </row>
    <row r="351" spans="2:13" s="25" customFormat="1" ht="30" customHeight="1" outlineLevel="1">
      <c r="B351" s="61" t="s">
        <v>744</v>
      </c>
      <c r="C351" s="62" t="s">
        <v>26</v>
      </c>
      <c r="D351" s="63" t="s">
        <v>745</v>
      </c>
      <c r="E351" s="64" t="str">
        <f>IFERROR(UPPER(IF(C351="CPU",VLOOKUP(D351,#REF!,2,0),IF(C351="SINAPI",VLOOKUP(D351,#REF!,2,0),IF(C351="EDIF",VLOOKUP(D351,#REF!,2,0),IF(C351="CDHU",VLOOKUP(D351,#REF!,2,0),IF(C351="FDE",VLOOKUP(D351,'FDE 10-23 '!$A$4:$E$3180,2,0),IF(C351="INFRA",VLOOKUP(D351,#REF!,2,0),""))))))),"")</f>
        <v>IL-05 ARANDELA BLINDADA</v>
      </c>
      <c r="F351" s="65" t="str">
        <f>VLOOKUP(D351,'FDE 10-23 '!$A$4:$E$3180,3,0)</f>
        <v>UN</v>
      </c>
      <c r="G351" s="66">
        <f>VLOOKUP(B351,Planilha17!$A$8:$F$1259,6,0)</f>
        <v>1</v>
      </c>
      <c r="H351" s="67">
        <f>VLOOKUP(D351,'FDE 10-23 '!$A$4:$E$3180,5,0)</f>
        <v>338.83</v>
      </c>
      <c r="I351" s="68">
        <f t="shared" si="66"/>
        <v>0.23</v>
      </c>
      <c r="J351" s="67">
        <f t="shared" si="67"/>
        <v>416.76</v>
      </c>
      <c r="K351" s="69">
        <f t="shared" si="68"/>
        <v>416.76</v>
      </c>
      <c r="L351" s="51"/>
      <c r="M351" s="52"/>
    </row>
    <row r="352" spans="2:13" s="25" customFormat="1" ht="30" customHeight="1" outlineLevel="1">
      <c r="B352" s="61" t="s">
        <v>746</v>
      </c>
      <c r="C352" s="62" t="s">
        <v>26</v>
      </c>
      <c r="D352" s="63" t="s">
        <v>747</v>
      </c>
      <c r="E352" s="64" t="str">
        <f>IFERROR(UPPER(IF(C352="CPU",VLOOKUP(D352,#REF!,2,0),IF(C352="SINAPI",VLOOKUP(D352,#REF!,2,0),IF(C352="EDIF",VLOOKUP(D352,#REF!,2,0),IF(C352="CDHU",VLOOKUP(D352,#REF!,2,0),IF(C352="FDE",VLOOKUP(D352,'FDE 10-23 '!$A$4:$E$3180,2,0),IF(C352="INFRA",VLOOKUP(D352,#REF!,2,0),""))))))),"")</f>
        <v>IL-59 ILUMINAÇÃO P/PASSAGEM COBERTA E CIRCULAÇÕES</v>
      </c>
      <c r="F352" s="65" t="str">
        <f>VLOOKUP(D352,'FDE 10-23 '!$A$4:$E$3180,3,0)</f>
        <v>UN</v>
      </c>
      <c r="G352" s="66">
        <f>VLOOKUP(B352,Planilha17!$A$8:$F$1259,6,0)</f>
        <v>4</v>
      </c>
      <c r="H352" s="67">
        <f>VLOOKUP(D352,'FDE 10-23 '!$A$4:$E$3180,5,0)</f>
        <v>193.39</v>
      </c>
      <c r="I352" s="68">
        <f t="shared" si="66"/>
        <v>0.23</v>
      </c>
      <c r="J352" s="67">
        <f t="shared" si="67"/>
        <v>237.87</v>
      </c>
      <c r="K352" s="69">
        <f t="shared" si="68"/>
        <v>951.48</v>
      </c>
      <c r="L352" s="51"/>
      <c r="M352" s="52"/>
    </row>
    <row r="353" spans="2:13" s="25" customFormat="1" ht="30" customHeight="1" outlineLevel="1">
      <c r="B353" s="61" t="s">
        <v>748</v>
      </c>
      <c r="C353" s="62" t="s">
        <v>26</v>
      </c>
      <c r="D353" s="63" t="s">
        <v>749</v>
      </c>
      <c r="E353" s="64" t="str">
        <f>IFERROR(UPPER(IF(C353="CPU",VLOOKUP(D353,#REF!,2,0),IF(C353="SINAPI",VLOOKUP(D353,#REF!,2,0),IF(C353="EDIF",VLOOKUP(D353,#REF!,2,0),IF(C353="CDHU",VLOOKUP(D353,#REF!,2,0),IF(C353="FDE",VLOOKUP(D353,'FDE 10-23 '!$A$4:$E$3180,2,0),IF(C353="INFRA",VLOOKUP(D353,#REF!,2,0),""))))))),"")</f>
        <v>IL-44 LUMINARIA PARA LAMPADA FLUORESCENTE (1X32W)</v>
      </c>
      <c r="F353" s="65" t="str">
        <f>VLOOKUP(D353,'FDE 10-23 '!$A$4:$E$3180,3,0)</f>
        <v>UN</v>
      </c>
      <c r="G353" s="66">
        <f>VLOOKUP(B353,Planilha17!$A$8:$F$1259,6,0)</f>
        <v>4</v>
      </c>
      <c r="H353" s="67">
        <f>VLOOKUP(D353,'FDE 10-23 '!$A$4:$E$3180,5,0)</f>
        <v>163.6</v>
      </c>
      <c r="I353" s="68">
        <f t="shared" si="66"/>
        <v>0.23</v>
      </c>
      <c r="J353" s="67">
        <f t="shared" si="67"/>
        <v>201.23</v>
      </c>
      <c r="K353" s="69">
        <f t="shared" si="68"/>
        <v>804.92</v>
      </c>
      <c r="L353" s="51"/>
      <c r="M353" s="52"/>
    </row>
    <row r="354" spans="2:13" s="25" customFormat="1" ht="30" customHeight="1" outlineLevel="1">
      <c r="B354" s="61" t="s">
        <v>750</v>
      </c>
      <c r="C354" s="62" t="s">
        <v>26</v>
      </c>
      <c r="D354" s="63" t="s">
        <v>751</v>
      </c>
      <c r="E354" s="64" t="str">
        <f>IFERROR(UPPER(IF(C354="CPU",VLOOKUP(D354,#REF!,2,0),IF(C354="SINAPI",VLOOKUP(D354,#REF!,2,0),IF(C354="EDIF",VLOOKUP(D354,#REF!,2,0),IF(C354="CDHU",VLOOKUP(D354,#REF!,2,0),IF(C354="FDE",VLOOKUP(D354,'FDE 10-23 '!$A$4:$E$3180,2,0),IF(C354="INFRA",VLOOKUP(D354,#REF!,2,0),""))))))),"")</f>
        <v>IL-45 LUMINARIA PARA LAMPADA FLUORESCENTE (2X32W)</v>
      </c>
      <c r="F354" s="65" t="str">
        <f>VLOOKUP(D354,'FDE 10-23 '!$A$4:$E$3180,3,0)</f>
        <v>UN</v>
      </c>
      <c r="G354" s="66">
        <f>VLOOKUP(B354,Planilha17!$A$8:$F$1259,6,0)</f>
        <v>51</v>
      </c>
      <c r="H354" s="67">
        <f>VLOOKUP(D354,'FDE 10-23 '!$A$4:$E$3180,5,0)</f>
        <v>227.56</v>
      </c>
      <c r="I354" s="68">
        <f t="shared" si="66"/>
        <v>0.23</v>
      </c>
      <c r="J354" s="67">
        <f t="shared" si="67"/>
        <v>279.89999999999998</v>
      </c>
      <c r="K354" s="69">
        <f t="shared" si="68"/>
        <v>14274.9</v>
      </c>
      <c r="L354" s="51"/>
      <c r="M354" s="52"/>
    </row>
    <row r="355" spans="2:13" s="25" customFormat="1" ht="30" customHeight="1" outlineLevel="1">
      <c r="B355" s="61" t="s">
        <v>752</v>
      </c>
      <c r="C355" s="62" t="s">
        <v>26</v>
      </c>
      <c r="D355" s="63" t="s">
        <v>753</v>
      </c>
      <c r="E355" s="64" t="str">
        <f>IFERROR(UPPER(IF(C355="CPU",VLOOKUP(D355,#REF!,2,0),IF(C355="SINAPI",VLOOKUP(D355,#REF!,2,0),IF(C355="EDIF",VLOOKUP(D355,#REF!,2,0),IF(C355="CDHU",VLOOKUP(D355,#REF!,2,0),IF(C355="FDE",VLOOKUP(D355,'FDE 10-23 '!$A$4:$E$3180,2,0),IF(C355="INFRA",VLOOKUP(D355,#REF!,2,0),""))))))),"")</f>
        <v>IL-60 LUMINARIA DE SOBREPOR C/REFLETOR E ALETAS P/LAMP.FLUORESCENTE (2X32W)</v>
      </c>
      <c r="F355" s="65" t="str">
        <f>VLOOKUP(D355,'FDE 10-23 '!$A$4:$E$3180,3,0)</f>
        <v>UN</v>
      </c>
      <c r="G355" s="66">
        <f>VLOOKUP(B355,Planilha17!$A$8:$F$1259,6,0)</f>
        <v>20</v>
      </c>
      <c r="H355" s="67">
        <f>VLOOKUP(D355,'FDE 10-23 '!$A$4:$E$3180,5,0)</f>
        <v>323.27</v>
      </c>
      <c r="I355" s="68">
        <f t="shared" si="66"/>
        <v>0.23</v>
      </c>
      <c r="J355" s="67">
        <f t="shared" si="67"/>
        <v>397.62</v>
      </c>
      <c r="K355" s="69">
        <f t="shared" si="68"/>
        <v>7952.4</v>
      </c>
      <c r="L355" s="51"/>
      <c r="M355" s="52"/>
    </row>
    <row r="356" spans="2:13" s="25" customFormat="1" ht="30" customHeight="1" outlineLevel="1">
      <c r="B356" s="61" t="s">
        <v>754</v>
      </c>
      <c r="C356" s="62" t="s">
        <v>26</v>
      </c>
      <c r="D356" s="63" t="s">
        <v>755</v>
      </c>
      <c r="E356" s="64" t="str">
        <f>IFERROR(UPPER(IF(C356="CPU",VLOOKUP(D356,#REF!,2,0),IF(C356="SINAPI",VLOOKUP(D356,#REF!,2,0),IF(C356="EDIF",VLOOKUP(D356,#REF!,2,0),IF(C356="CDHU",VLOOKUP(D356,#REF!,2,0),IF(C356="FDE",VLOOKUP(D356,'FDE 10-23 '!$A$4:$E$3180,2,0),IF(C356="INFRA",VLOOKUP(D356,#REF!,2,0),""))))))),"")</f>
        <v>IL-61 LUMINARIA DE EMBUTIR C/ REFLETOR E ALETAS P/ LAMP. FLUORESCENTE (2X32W)</v>
      </c>
      <c r="F356" s="65" t="str">
        <f>VLOOKUP(D356,'FDE 10-23 '!$A$4:$E$3180,3,0)</f>
        <v>UN</v>
      </c>
      <c r="G356" s="66">
        <f>VLOOKUP(B356,Planilha17!$A$8:$F$1259,6,0)</f>
        <v>48</v>
      </c>
      <c r="H356" s="67">
        <f>VLOOKUP(D356,'FDE 10-23 '!$A$4:$E$3180,5,0)</f>
        <v>276.58999999999997</v>
      </c>
      <c r="I356" s="68">
        <f t="shared" si="66"/>
        <v>0.23</v>
      </c>
      <c r="J356" s="67">
        <f t="shared" si="67"/>
        <v>340.21</v>
      </c>
      <c r="K356" s="69">
        <f t="shared" si="68"/>
        <v>16330.079999999998</v>
      </c>
      <c r="L356" s="51"/>
      <c r="M356" s="52"/>
    </row>
    <row r="357" spans="2:13" s="25" customFormat="1" ht="30" customHeight="1" outlineLevel="1">
      <c r="B357" s="61" t="s">
        <v>756</v>
      </c>
      <c r="C357" s="62" t="s">
        <v>26</v>
      </c>
      <c r="D357" s="63" t="s">
        <v>757</v>
      </c>
      <c r="E357" s="64" t="str">
        <f>IFERROR(UPPER(IF(C357="CPU",VLOOKUP(D357,#REF!,2,0),IF(C357="SINAPI",VLOOKUP(D357,#REF!,2,0),IF(C357="EDIF",VLOOKUP(D357,#REF!,2,0),IF(C357="CDHU",VLOOKUP(D357,#REF!,2,0),IF(C357="FDE",VLOOKUP(D357,'FDE 10-23 '!$A$4:$E$3180,2,0),IF(C357="INFRA",VLOOKUP(D357,#REF!,2,0),""))))))),"")</f>
        <v>IL-67 LUMINÁRIA DE EMBUTIR C/REFLETOR SEM ALETAS (2X32W)</v>
      </c>
      <c r="F357" s="65" t="str">
        <f>VLOOKUP(D357,'FDE 10-23 '!$A$4:$E$3180,3,0)</f>
        <v>UN</v>
      </c>
      <c r="G357" s="66">
        <f>VLOOKUP(B357,Planilha17!$A$8:$F$1259,6,0)</f>
        <v>96</v>
      </c>
      <c r="H357" s="67">
        <f>VLOOKUP(D357,'FDE 10-23 '!$A$4:$E$3180,5,0)</f>
        <v>272.11</v>
      </c>
      <c r="I357" s="68">
        <f t="shared" si="66"/>
        <v>0.23</v>
      </c>
      <c r="J357" s="67">
        <f t="shared" si="67"/>
        <v>334.7</v>
      </c>
      <c r="K357" s="69">
        <f t="shared" si="68"/>
        <v>32131.199999999997</v>
      </c>
      <c r="L357" s="51"/>
      <c r="M357" s="52"/>
    </row>
    <row r="358" spans="2:13" s="25" customFormat="1" ht="30" customHeight="1" outlineLevel="1">
      <c r="B358" s="61" t="s">
        <v>758</v>
      </c>
      <c r="C358" s="62" t="s">
        <v>26</v>
      </c>
      <c r="D358" s="63" t="s">
        <v>759</v>
      </c>
      <c r="E358" s="64" t="str">
        <f>IFERROR(UPPER(IF(C358="CPU",VLOOKUP(D358,#REF!,2,0),IF(C358="SINAPI",VLOOKUP(D358,#REF!,2,0),IF(C358="EDIF",VLOOKUP(D358,#REF!,2,0),IF(C358="CDHU",VLOOKUP(D358,#REF!,2,0),IF(C358="FDE",VLOOKUP(D358,'FDE 10-23 '!$A$4:$E$3180,2,0),IF(C358="INFRA",VLOOKUP(D358,#REF!,2,0),""))))))),"")</f>
        <v>IL-74 LUMINARIA ABERTA C/REFLETOR P/LAMPADAS FLUOR. (2X28W)</v>
      </c>
      <c r="F358" s="65" t="str">
        <f>VLOOKUP(D358,'FDE 10-23 '!$A$4:$E$3180,3,0)</f>
        <v>UN</v>
      </c>
      <c r="G358" s="66">
        <f>VLOOKUP(B358,Planilha17!$A$8:$F$1259,6,0)</f>
        <v>3</v>
      </c>
      <c r="H358" s="67">
        <f>VLOOKUP(D358,'FDE 10-23 '!$A$4:$E$3180,5,0)</f>
        <v>270.14</v>
      </c>
      <c r="I358" s="68">
        <f t="shared" si="66"/>
        <v>0.23</v>
      </c>
      <c r="J358" s="67">
        <f t="shared" si="67"/>
        <v>332.27</v>
      </c>
      <c r="K358" s="69">
        <f t="shared" si="68"/>
        <v>996.81</v>
      </c>
      <c r="L358" s="51"/>
      <c r="M358" s="52"/>
    </row>
    <row r="359" spans="2:13" s="25" customFormat="1" ht="30" customHeight="1" outlineLevel="1">
      <c r="B359" s="61" t="s">
        <v>760</v>
      </c>
      <c r="C359" s="62" t="s">
        <v>26</v>
      </c>
      <c r="D359" s="63" t="s">
        <v>761</v>
      </c>
      <c r="E359" s="64" t="str">
        <f>IFERROR(UPPER(IF(C359="CPU",VLOOKUP(D359,#REF!,2,0),IF(C359="SINAPI",VLOOKUP(D359,#REF!,2,0),IF(C359="EDIF",VLOOKUP(D359,#REF!,2,0),IF(C359="CDHU",VLOOKUP(D359,#REF!,2,0),IF(C359="FDE",VLOOKUP(D359,'FDE 10-23 '!$A$4:$E$3180,2,0),IF(C359="INFRA",VLOOKUP(D359,#REF!,2,0),""))))))),"")</f>
        <v>IL-83 ILUMINAÇÃO AUTONOMA DE EMERGÊNCIA - LED</v>
      </c>
      <c r="F359" s="65" t="str">
        <f>VLOOKUP(D359,'FDE 10-23 '!$A$4:$E$3180,3,0)</f>
        <v>UN</v>
      </c>
      <c r="G359" s="66">
        <f>VLOOKUP(B359,Planilha17!$A$8:$F$1259,6,0)</f>
        <v>19</v>
      </c>
      <c r="H359" s="67">
        <f>VLOOKUP(D359,'FDE 10-23 '!$A$4:$E$3180,5,0)</f>
        <v>51.65</v>
      </c>
      <c r="I359" s="68">
        <f t="shared" si="66"/>
        <v>0.23</v>
      </c>
      <c r="J359" s="67">
        <f t="shared" si="67"/>
        <v>63.53</v>
      </c>
      <c r="K359" s="69">
        <f t="shared" si="68"/>
        <v>1207.07</v>
      </c>
      <c r="L359" s="51"/>
      <c r="M359" s="52"/>
    </row>
    <row r="360" spans="2:13" s="25" customFormat="1" ht="30" customHeight="1" outlineLevel="1">
      <c r="B360" s="53" t="s">
        <v>762</v>
      </c>
      <c r="C360" s="54"/>
      <c r="D360" s="54" t="s">
        <v>763</v>
      </c>
      <c r="E360" s="55" t="s">
        <v>764</v>
      </c>
      <c r="F360" s="56" t="str">
        <f>IFERROR(UPPER(IF(C360="CPU",VLOOKUP(D360,#REF!,3,0),IF(C360="SINAPI",VLOOKUP(D360,#REF!,3,0),IF(C360="EDIF",VLOOKUP(D360,#REF!,3,0),IF(C360="CDHU",VLOOKUP(D360,#REF!,3,0),IF(C360="FDE",VLOOKUP(D360,#REF!,3,0),IF(C360="INFRA",VLOOKUP(D360,#REF!,3,0),""))))))),"")</f>
        <v/>
      </c>
      <c r="G360" s="57"/>
      <c r="H36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60" s="59"/>
      <c r="J360" s="59"/>
      <c r="K360" s="60">
        <f>SUBTOTAL(9,K361:K362)</f>
        <v>70027.290000000008</v>
      </c>
      <c r="L360" s="51"/>
      <c r="M360" s="52"/>
    </row>
    <row r="361" spans="2:13" s="25" customFormat="1" ht="30" customHeight="1" outlineLevel="1">
      <c r="B361" s="61" t="s">
        <v>765</v>
      </c>
      <c r="C361" s="62" t="s">
        <v>26</v>
      </c>
      <c r="D361" s="63" t="s">
        <v>766</v>
      </c>
      <c r="E361" s="64" t="str">
        <f>IFERROR(UPPER(IF(C361="CPU",VLOOKUP(D361,#REF!,2,0),IF(C361="SINAPI",VLOOKUP(D361,#REF!,2,0),IF(C361="EDIF",VLOOKUP(D361,#REF!,2,0),IF(C361="CDHU",VLOOKUP(D361,#REF!,2,0),IF(C361="FDE",VLOOKUP(D361,'FDE 10-23 '!$A$4:$E$3180,2,0),IF(C361="INFRA",VLOOKUP(D361,#REF!,2,0),""))))))),"")</f>
        <v>CENTRO DE LUZ EM CAIXA FM ELETRODUTO DE PVC</v>
      </c>
      <c r="F361" s="65" t="str">
        <f>VLOOKUP(D361,'FDE 10-23 '!$A$4:$E$3180,3,0)</f>
        <v>UN</v>
      </c>
      <c r="G361" s="66">
        <f>VLOOKUP(B361,Planilha17!$A$8:$F$1259,6,0)</f>
        <v>15</v>
      </c>
      <c r="H361" s="67">
        <f>VLOOKUP(D361,'FDE 10-23 '!$A$4:$E$3180,5,0)</f>
        <v>191.98</v>
      </c>
      <c r="I361" s="68">
        <f>$L$10</f>
        <v>0.23</v>
      </c>
      <c r="J361" s="67">
        <f>ROUND(H361*(1+I361),2)</f>
        <v>236.14</v>
      </c>
      <c r="K361" s="69">
        <f>SUM(G361*J361)</f>
        <v>3542.1</v>
      </c>
      <c r="L361" s="51"/>
      <c r="M361" s="52"/>
    </row>
    <row r="362" spans="2:13" s="25" customFormat="1" ht="30" customHeight="1" outlineLevel="1">
      <c r="B362" s="61" t="s">
        <v>767</v>
      </c>
      <c r="C362" s="62" t="s">
        <v>26</v>
      </c>
      <c r="D362" s="63" t="s">
        <v>768</v>
      </c>
      <c r="E362" s="64" t="str">
        <f>IFERROR(UPPER(IF(C362="CPU",VLOOKUP(D362,#REF!,2,0),IF(C362="SINAPI",VLOOKUP(D362,#REF!,2,0),IF(C362="EDIF",VLOOKUP(D362,#REF!,2,0),IF(C362="CDHU",VLOOKUP(D362,#REF!,2,0),IF(C362="FDE",VLOOKUP(D362,'FDE 10-23 '!$A$4:$E$3180,2,0),IF(C362="INFRA",VLOOKUP(D362,#REF!,2,0),""))))))),"")</f>
        <v>CENTRO DE LUZ EM CONDULETE-ELETRODUTO DE PVC</v>
      </c>
      <c r="F362" s="65" t="str">
        <f>VLOOKUP(D362,'FDE 10-23 '!$A$4:$E$3180,3,0)</f>
        <v>UN</v>
      </c>
      <c r="G362" s="66">
        <f>VLOOKUP(B362,Planilha17!$A$8:$F$1259,6,0)</f>
        <v>283</v>
      </c>
      <c r="H362" s="67">
        <f>VLOOKUP(D362,'FDE 10-23 '!$A$4:$E$3180,5,0)</f>
        <v>191</v>
      </c>
      <c r="I362" s="68">
        <f>$L$10</f>
        <v>0.23</v>
      </c>
      <c r="J362" s="67">
        <f>ROUND(H362*(1+I362),2)</f>
        <v>234.93</v>
      </c>
      <c r="K362" s="69">
        <f>SUM(G362*J362)</f>
        <v>66485.19</v>
      </c>
      <c r="L362" s="51"/>
      <c r="M362" s="52"/>
    </row>
    <row r="363" spans="2:13" s="25" customFormat="1" ht="30" customHeight="1" outlineLevel="1">
      <c r="B363" s="53" t="s">
        <v>769</v>
      </c>
      <c r="C363" s="54"/>
      <c r="D363" s="54" t="s">
        <v>770</v>
      </c>
      <c r="E363" s="55" t="s">
        <v>771</v>
      </c>
      <c r="F363" s="56" t="str">
        <f>IFERROR(UPPER(IF(C363="CPU",VLOOKUP(D363,#REF!,3,0),IF(C363="SINAPI",VLOOKUP(D363,#REF!,3,0),IF(C363="EDIF",VLOOKUP(D363,#REF!,3,0),IF(C363="CDHU",VLOOKUP(D363,#REF!,3,0),IF(C363="FDE",VLOOKUP(D363,#REF!,3,0),IF(C363="INFRA",VLOOKUP(D363,#REF!,3,0),""))))))),"")</f>
        <v/>
      </c>
      <c r="G363" s="57"/>
      <c r="H363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63" s="59"/>
      <c r="J363" s="59"/>
      <c r="K363" s="60">
        <f>SUBTOTAL(9,K364:K366)</f>
        <v>29896.369999999995</v>
      </c>
      <c r="L363" s="51"/>
      <c r="M363" s="52"/>
    </row>
    <row r="364" spans="2:13" s="25" customFormat="1" ht="30" customHeight="1" outlineLevel="1">
      <c r="B364" s="61" t="s">
        <v>772</v>
      </c>
      <c r="C364" s="62" t="s">
        <v>26</v>
      </c>
      <c r="D364" s="63" t="s">
        <v>773</v>
      </c>
      <c r="E364" s="64" t="str">
        <f>IFERROR(UPPER(IF(C364="CPU",VLOOKUP(D364,#REF!,2,0),IF(C364="SINAPI",VLOOKUP(D364,#REF!,2,0),IF(C364="EDIF",VLOOKUP(D364,#REF!,2,0),IF(C364="CDHU",VLOOKUP(D364,#REF!,2,0),IF(C364="FDE",VLOOKUP(D364,'FDE 10-23 '!$A$4:$E$3180,2,0),IF(C364="INFRA",VLOOKUP(D364,#REF!,2,0),""))))))),"")</f>
        <v>IL-06 LUZ DE OBSTACULO COM LAMPADA</v>
      </c>
      <c r="F364" s="65" t="str">
        <f>VLOOKUP(D364,'FDE 10-23 '!$A$4:$E$3180,3,0)</f>
        <v>UN</v>
      </c>
      <c r="G364" s="66">
        <f>VLOOKUP(B364,Planilha17!$A$8:$F$1259,6,0)</f>
        <v>1</v>
      </c>
      <c r="H364" s="67">
        <f>VLOOKUP(D364,'FDE 10-23 '!$A$4:$E$3180,5,0)</f>
        <v>333.36</v>
      </c>
      <c r="I364" s="68">
        <f>$L$10</f>
        <v>0.23</v>
      </c>
      <c r="J364" s="67">
        <f>ROUND(H364*(1+I364),2)</f>
        <v>410.03</v>
      </c>
      <c r="K364" s="69">
        <f>SUM(G364*J364)</f>
        <v>410.03</v>
      </c>
      <c r="L364" s="51"/>
      <c r="M364" s="52"/>
    </row>
    <row r="365" spans="2:13" s="25" customFormat="1" ht="30" customHeight="1" outlineLevel="1">
      <c r="B365" s="61" t="s">
        <v>774</v>
      </c>
      <c r="C365" s="62" t="s">
        <v>26</v>
      </c>
      <c r="D365" s="63" t="s">
        <v>775</v>
      </c>
      <c r="E365" s="64" t="str">
        <f>IFERROR(UPPER(IF(C365="CPU",VLOOKUP(D365,#REF!,2,0),IF(C365="SINAPI",VLOOKUP(D365,#REF!,2,0),IF(C365="EDIF",VLOOKUP(D365,#REF!,2,0),IF(C365="CDHU",VLOOKUP(D365,#REF!,2,0),IF(C365="FDE",VLOOKUP(D365,'FDE 10-23 '!$A$4:$E$3180,2,0),IF(C365="INFRA",VLOOKUP(D365,#REF!,2,0),""))))))),"")</f>
        <v>IL-53 LUMINARIA P/ VAPOR DE SODIO 1X150W EM POSTE 6M</v>
      </c>
      <c r="F365" s="65" t="str">
        <f>VLOOKUP(D365,'FDE 10-23 '!$A$4:$E$3180,3,0)</f>
        <v>UN</v>
      </c>
      <c r="G365" s="66">
        <f>VLOOKUP(B365,Planilha17!$A$8:$F$1259,6,0)</f>
        <v>6</v>
      </c>
      <c r="H365" s="67">
        <f>VLOOKUP(D365,'FDE 10-23 '!$A$4:$E$3180,5,0)</f>
        <v>2934.92</v>
      </c>
      <c r="I365" s="68">
        <f>$L$10</f>
        <v>0.23</v>
      </c>
      <c r="J365" s="67">
        <f>ROUND(H365*(1+I365),2)</f>
        <v>3609.95</v>
      </c>
      <c r="K365" s="69">
        <f>SUM(G365*J365)</f>
        <v>21659.699999999997</v>
      </c>
      <c r="L365" s="51"/>
      <c r="M365" s="52"/>
    </row>
    <row r="366" spans="2:13" s="25" customFormat="1" ht="30" customHeight="1" outlineLevel="1">
      <c r="B366" s="61" t="s">
        <v>776</v>
      </c>
      <c r="C366" s="62" t="s">
        <v>26</v>
      </c>
      <c r="D366" s="63" t="s">
        <v>741</v>
      </c>
      <c r="E366" s="64" t="str">
        <f>IFERROR(UPPER(IF(C366="CPU",VLOOKUP(D366,#REF!,2,0),IF(C366="SINAPI",VLOOKUP(D366,#REF!,2,0),IF(C366="EDIF",VLOOKUP(D366,#REF!,2,0),IF(C366="CDHU",VLOOKUP(D366,#REF!,2,0),IF(C366="FDE",VLOOKUP(D366,'FDE 10-23 '!$A$4:$E$3180,2,0),IF(C366="INFRA",VLOOKUP(D366,#REF!,2,0),""))))))),"")</f>
        <v>IL-57 REFLETOR C/ GRADE P/ VAPOR MET 150W</v>
      </c>
      <c r="F366" s="65" t="str">
        <f>VLOOKUP(D366,'FDE 10-23 '!$A$4:$E$3180,3,0)</f>
        <v>UN</v>
      </c>
      <c r="G366" s="66">
        <f>VLOOKUP(B366,Planilha17!$A$8:$F$1259,6,0)</f>
        <v>8</v>
      </c>
      <c r="H366" s="67">
        <f>VLOOKUP(D366,'FDE 10-23 '!$A$4:$E$3180,5,0)</f>
        <v>795.39</v>
      </c>
      <c r="I366" s="68">
        <f>$L$10</f>
        <v>0.23</v>
      </c>
      <c r="J366" s="67">
        <f>ROUND(H366*(1+I366),2)</f>
        <v>978.33</v>
      </c>
      <c r="K366" s="69">
        <f>SUM(G366*J366)</f>
        <v>7826.64</v>
      </c>
      <c r="L366" s="51"/>
      <c r="M366" s="52"/>
    </row>
    <row r="367" spans="2:13" s="25" customFormat="1" ht="30" customHeight="1" outlineLevel="1">
      <c r="B367" s="53" t="s">
        <v>777</v>
      </c>
      <c r="C367" s="54"/>
      <c r="D367" s="54" t="s">
        <v>778</v>
      </c>
      <c r="E367" s="55" t="s">
        <v>779</v>
      </c>
      <c r="F367" s="56" t="str">
        <f>IFERROR(UPPER(IF(C367="CPU",VLOOKUP(D367,#REF!,3,0),IF(C367="SINAPI",VLOOKUP(D367,#REF!,3,0),IF(C367="EDIF",VLOOKUP(D367,#REF!,3,0),IF(C367="CDHU",VLOOKUP(D367,#REF!,3,0),IF(C367="FDE",VLOOKUP(D367,#REF!,3,0),IF(C367="INFRA",VLOOKUP(D367,#REF!,3,0),""))))))),"")</f>
        <v/>
      </c>
      <c r="G367" s="57"/>
      <c r="H36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67" s="59"/>
      <c r="J367" s="59"/>
      <c r="K367" s="60">
        <f>SUBTOTAL(9,K368)</f>
        <v>1925.21</v>
      </c>
      <c r="L367" s="51"/>
      <c r="M367" s="52"/>
    </row>
    <row r="368" spans="2:13" s="25" customFormat="1" ht="30" customHeight="1" outlineLevel="1">
      <c r="B368" s="61" t="s">
        <v>780</v>
      </c>
      <c r="C368" s="62" t="s">
        <v>26</v>
      </c>
      <c r="D368" s="63" t="s">
        <v>781</v>
      </c>
      <c r="E368" s="64" t="str">
        <f>IFERROR(UPPER(IF(C368="CPU",VLOOKUP(D368,#REF!,2,0),IF(C368="SINAPI",VLOOKUP(D368,#REF!,2,0),IF(C368="EDIF",VLOOKUP(D368,#REF!,2,0),IF(C368="CDHU",VLOOKUP(D368,#REF!,2,0),IF(C368="FDE",VLOOKUP(D368,'FDE 10-23 '!$A$4:$E$3180,2,0),IF(C368="INFRA",VLOOKUP(D368,#REF!,2,0),""))))))),"")</f>
        <v>EX-01 EXAUSTOR AXIAL DN 40CM</v>
      </c>
      <c r="F368" s="65" t="str">
        <f>VLOOKUP(D368,'FDE 10-23 '!$A$4:$E$3180,3,0)</f>
        <v>UN</v>
      </c>
      <c r="G368" s="66">
        <f>VLOOKUP(B368,Planilha17!$A$8:$F$1259,6,0)</f>
        <v>1</v>
      </c>
      <c r="H368" s="67">
        <f>VLOOKUP(D368,'FDE 10-23 '!$A$4:$E$3180,5,0)</f>
        <v>1565.21</v>
      </c>
      <c r="I368" s="68">
        <f>$L$10</f>
        <v>0.23</v>
      </c>
      <c r="J368" s="67">
        <f>ROUND(H368*(1+I368),2)</f>
        <v>1925.21</v>
      </c>
      <c r="K368" s="69">
        <f>SUM(G368*J368)</f>
        <v>1925.21</v>
      </c>
      <c r="L368" s="51"/>
      <c r="M368" s="52"/>
    </row>
    <row r="369" spans="2:13" s="25" customFormat="1" ht="30" customHeight="1" outlineLevel="1">
      <c r="B369" s="53" t="s">
        <v>782</v>
      </c>
      <c r="C369" s="54"/>
      <c r="D369" s="54" t="s">
        <v>783</v>
      </c>
      <c r="E369" s="55" t="s">
        <v>784</v>
      </c>
      <c r="F369" s="56" t="str">
        <f>IFERROR(UPPER(IF(C369="CPU",VLOOKUP(D369,#REF!,3,0),IF(C369="SINAPI",VLOOKUP(D369,#REF!,3,0),IF(C369="EDIF",VLOOKUP(D369,#REF!,3,0),IF(C369="CDHU",VLOOKUP(D369,#REF!,3,0),IF(C369="FDE",VLOOKUP(D369,#REF!,3,0),IF(C369="INFRA",VLOOKUP(D369,#REF!,3,0),""))))))),"")</f>
        <v/>
      </c>
      <c r="G369" s="57"/>
      <c r="H369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69" s="59"/>
      <c r="J369" s="59"/>
      <c r="K369" s="60">
        <f>SUBTOTAL(9,K370:K377)</f>
        <v>53566.87</v>
      </c>
      <c r="L369" s="51"/>
      <c r="M369" s="52"/>
    </row>
    <row r="370" spans="2:13" s="25" customFormat="1" ht="30" customHeight="1" outlineLevel="1">
      <c r="B370" s="61" t="s">
        <v>785</v>
      </c>
      <c r="C370" s="62" t="s">
        <v>26</v>
      </c>
      <c r="D370" s="63" t="s">
        <v>786</v>
      </c>
      <c r="E370" s="64" t="str">
        <f>IFERROR(UPPER(IF(C370="CPU",VLOOKUP(D370,#REF!,2,0),IF(C370="SINAPI",VLOOKUP(D370,#REF!,2,0),IF(C370="EDIF",VLOOKUP(D370,#REF!,2,0),IF(C370="CDHU",VLOOKUP(D370,#REF!,2,0),IF(C370="FDE",VLOOKUP(D370,'FDE 10-23 '!$A$4:$E$3180,2,0),IF(C370="INFRA",VLOOKUP(D370,#REF!,2,0),""))))))),"")</f>
        <v>PP-02 PARA RAIOS FRANKLIN COM MASTRO AÇO GALVANIZADO 02" X 3,00M</v>
      </c>
      <c r="F370" s="65" t="str">
        <f>VLOOKUP(D370,'FDE 10-23 '!$A$4:$E$3180,3,0)</f>
        <v>UN</v>
      </c>
      <c r="G370" s="66">
        <f>VLOOKUP(B370,Planilha17!$A$8:$F$1259,6,0)</f>
        <v>1</v>
      </c>
      <c r="H370" s="67">
        <f>VLOOKUP(D370,'FDE 10-23 '!$A$4:$E$3180,5,0)</f>
        <v>964.07</v>
      </c>
      <c r="I370" s="68">
        <f t="shared" ref="I370:I377" si="69">$L$10</f>
        <v>0.23</v>
      </c>
      <c r="J370" s="67">
        <f t="shared" ref="J370:J377" si="70">ROUND(H370*(1+I370),2)</f>
        <v>1185.81</v>
      </c>
      <c r="K370" s="69">
        <f t="shared" ref="K370:K377" si="71">SUM(G370*J370)</f>
        <v>1185.81</v>
      </c>
      <c r="L370" s="51"/>
      <c r="M370" s="52"/>
    </row>
    <row r="371" spans="2:13" s="25" customFormat="1" ht="30" customHeight="1" outlineLevel="1">
      <c r="B371" s="61" t="s">
        <v>787</v>
      </c>
      <c r="C371" s="62" t="s">
        <v>26</v>
      </c>
      <c r="D371" s="63" t="s">
        <v>788</v>
      </c>
      <c r="E371" s="64" t="str">
        <f>IFERROR(UPPER(IF(C371="CPU",VLOOKUP(D371,#REF!,2,0),IF(C371="SINAPI",VLOOKUP(D371,#REF!,2,0),IF(C371="EDIF",VLOOKUP(D371,#REF!,2,0),IF(C371="CDHU",VLOOKUP(D371,#REF!,2,0),IF(C371="FDE",VLOOKUP(D371,'FDE 10-23 '!$A$4:$E$3180,2,0),IF(C371="INFRA",VLOOKUP(D371,#REF!,2,0),""))))))),"")</f>
        <v>CORDOALHA DE AÇO GALV. A QUENTE 80MM2 (7/16") SOB A TERRA</v>
      </c>
      <c r="F371" s="65" t="str">
        <f>VLOOKUP(D371,'FDE 10-23 '!$A$4:$E$3180,3,0)</f>
        <v>M</v>
      </c>
      <c r="G371" s="66">
        <f>VLOOKUP(B371,Planilha17!$A$8:$F$1259,6,0)</f>
        <v>366</v>
      </c>
      <c r="H371" s="67">
        <f>VLOOKUP(D371,'FDE 10-23 '!$A$4:$E$3180,5,0)</f>
        <v>33.75</v>
      </c>
      <c r="I371" s="68">
        <f t="shared" si="69"/>
        <v>0.23</v>
      </c>
      <c r="J371" s="67">
        <f t="shared" si="70"/>
        <v>41.51</v>
      </c>
      <c r="K371" s="69">
        <f t="shared" si="71"/>
        <v>15192.66</v>
      </c>
      <c r="L371" s="51"/>
      <c r="M371" s="52"/>
    </row>
    <row r="372" spans="2:13" s="25" customFormat="1" ht="30" customHeight="1" outlineLevel="1">
      <c r="B372" s="61" t="s">
        <v>789</v>
      </c>
      <c r="C372" s="62" t="s">
        <v>26</v>
      </c>
      <c r="D372" s="63" t="s">
        <v>790</v>
      </c>
      <c r="E372" s="64" t="str">
        <f>IFERROR(UPPER(IF(C372="CPU",VLOOKUP(D372,#REF!,2,0),IF(C372="SINAPI",VLOOKUP(D372,#REF!,2,0),IF(C372="EDIF",VLOOKUP(D372,#REF!,2,0),IF(C372="CDHU",VLOOKUP(D372,#REF!,2,0),IF(C372="FDE",VLOOKUP(D372,'FDE 10-23 '!$A$4:$E$3180,2,0),IF(C372="INFRA",VLOOKUP(D372,#REF!,2,0),""))))))),"")</f>
        <v>TERRA SIMPLES - 1 HASTE COM CAIXA DE INSPEÇÃO E TAMPA DE CONCRETO</v>
      </c>
      <c r="F372" s="65" t="str">
        <f>VLOOKUP(D372,'FDE 10-23 '!$A$4:$E$3180,3,0)</f>
        <v>UN</v>
      </c>
      <c r="G372" s="66">
        <f>VLOOKUP(B372,Planilha17!$A$8:$F$1259,6,0)</f>
        <v>24</v>
      </c>
      <c r="H372" s="67">
        <f>VLOOKUP(D372,'FDE 10-23 '!$A$4:$E$3180,5,0)</f>
        <v>352.49</v>
      </c>
      <c r="I372" s="68">
        <f t="shared" si="69"/>
        <v>0.23</v>
      </c>
      <c r="J372" s="67">
        <f t="shared" si="70"/>
        <v>433.56</v>
      </c>
      <c r="K372" s="69">
        <f t="shared" si="71"/>
        <v>10405.44</v>
      </c>
      <c r="L372" s="51"/>
      <c r="M372" s="52"/>
    </row>
    <row r="373" spans="2:13" s="25" customFormat="1" ht="30" customHeight="1" outlineLevel="1">
      <c r="B373" s="61" t="s">
        <v>791</v>
      </c>
      <c r="C373" s="62" t="s">
        <v>26</v>
      </c>
      <c r="D373" s="63" t="s">
        <v>792</v>
      </c>
      <c r="E373" s="64" t="str">
        <f>IFERROR(UPPER(IF(C373="CPU",VLOOKUP(D373,#REF!,2,0),IF(C373="SINAPI",VLOOKUP(D373,#REF!,2,0),IF(C373="EDIF",VLOOKUP(D373,#REF!,2,0),IF(C373="CDHU",VLOOKUP(D373,#REF!,2,0),IF(C373="FDE",VLOOKUP(D373,'FDE 10-23 '!$A$4:$E$3180,2,0),IF(C373="INFRA",VLOOKUP(D373,#REF!,2,0),""))))))),"")</f>
        <v>CONEXAO EXOTERMICA CABO/CABO</v>
      </c>
      <c r="F373" s="65" t="str">
        <f>VLOOKUP(D373,'FDE 10-23 '!$A$4:$E$3180,3,0)</f>
        <v>UN</v>
      </c>
      <c r="G373" s="66">
        <f>VLOOKUP(B373,Planilha17!$A$8:$F$1259,6,0)</f>
        <v>16</v>
      </c>
      <c r="H373" s="67">
        <f>VLOOKUP(D373,'FDE 10-23 '!$A$4:$E$3180,5,0)</f>
        <v>50.29</v>
      </c>
      <c r="I373" s="68">
        <f t="shared" si="69"/>
        <v>0.23</v>
      </c>
      <c r="J373" s="67">
        <f t="shared" si="70"/>
        <v>61.86</v>
      </c>
      <c r="K373" s="69">
        <f t="shared" si="71"/>
        <v>989.76</v>
      </c>
      <c r="L373" s="51"/>
      <c r="M373" s="52"/>
    </row>
    <row r="374" spans="2:13" s="25" customFormat="1" ht="30" customHeight="1" outlineLevel="1">
      <c r="B374" s="61" t="s">
        <v>793</v>
      </c>
      <c r="C374" s="62" t="s">
        <v>26</v>
      </c>
      <c r="D374" s="63" t="s">
        <v>794</v>
      </c>
      <c r="E374" s="64" t="str">
        <f>IFERROR(UPPER(IF(C374="CPU",VLOOKUP(D374,#REF!,2,0),IF(C374="SINAPI",VLOOKUP(D374,#REF!,2,0),IF(C374="EDIF",VLOOKUP(D374,#REF!,2,0),IF(C374="CDHU",VLOOKUP(D374,#REF!,2,0),IF(C374="FDE",VLOOKUP(D374,'FDE 10-23 '!$A$4:$E$3180,2,0),IF(C374="INFRA",VLOOKUP(D374,#REF!,2,0),""))))))),"")</f>
        <v>CONEXAO EXOTERMICA CABO/HASTE</v>
      </c>
      <c r="F374" s="65" t="str">
        <f>VLOOKUP(D374,'FDE 10-23 '!$A$4:$E$3180,3,0)</f>
        <v>UN</v>
      </c>
      <c r="G374" s="66">
        <f>VLOOKUP(B374,Planilha17!$A$8:$F$1259,6,0)</f>
        <v>25</v>
      </c>
      <c r="H374" s="67">
        <f>VLOOKUP(D374,'FDE 10-23 '!$A$4:$E$3180,5,0)</f>
        <v>50.49</v>
      </c>
      <c r="I374" s="68">
        <f t="shared" si="69"/>
        <v>0.23</v>
      </c>
      <c r="J374" s="67">
        <f t="shared" si="70"/>
        <v>62.1</v>
      </c>
      <c r="K374" s="69">
        <f t="shared" si="71"/>
        <v>1552.5</v>
      </c>
      <c r="L374" s="51"/>
      <c r="M374" s="52"/>
    </row>
    <row r="375" spans="2:13" s="25" customFormat="1" ht="30" customHeight="1" outlineLevel="1">
      <c r="B375" s="61" t="s">
        <v>795</v>
      </c>
      <c r="C375" s="62" t="s">
        <v>26</v>
      </c>
      <c r="D375" s="63" t="s">
        <v>796</v>
      </c>
      <c r="E375" s="64" t="str">
        <f>IFERROR(UPPER(IF(C375="CPU",VLOOKUP(D375,#REF!,2,0),IF(C375="SINAPI",VLOOKUP(D375,#REF!,2,0),IF(C375="EDIF",VLOOKUP(D375,#REF!,2,0),IF(C375="CDHU",VLOOKUP(D375,#REF!,2,0),IF(C375="FDE",VLOOKUP(D375,'FDE 10-23 '!$A$4:$E$3180,2,0),IF(C375="INFRA",VLOOKUP(D375,#REF!,2,0),""))))))),"")</f>
        <v>CONEXAO EXOTERMICA EM ESTRUTURA METALICA</v>
      </c>
      <c r="F375" s="65" t="str">
        <f>VLOOKUP(D375,'FDE 10-23 '!$A$4:$E$3180,3,0)</f>
        <v>UN</v>
      </c>
      <c r="G375" s="66">
        <f>VLOOKUP(B375,Planilha17!$A$8:$F$1259,6,0)</f>
        <v>14</v>
      </c>
      <c r="H375" s="67">
        <f>VLOOKUP(D375,'FDE 10-23 '!$A$4:$E$3180,5,0)</f>
        <v>38.700000000000003</v>
      </c>
      <c r="I375" s="68">
        <f t="shared" si="69"/>
        <v>0.23</v>
      </c>
      <c r="J375" s="67">
        <f t="shared" si="70"/>
        <v>47.6</v>
      </c>
      <c r="K375" s="69">
        <f t="shared" si="71"/>
        <v>666.4</v>
      </c>
      <c r="L375" s="51"/>
      <c r="M375" s="52"/>
    </row>
    <row r="376" spans="2:13" s="25" customFormat="1" ht="30" customHeight="1" outlineLevel="1">
      <c r="B376" s="61" t="s">
        <v>797</v>
      </c>
      <c r="C376" s="62" t="s">
        <v>26</v>
      </c>
      <c r="D376" s="63" t="s">
        <v>798</v>
      </c>
      <c r="E376" s="64" t="str">
        <f>IFERROR(UPPER(IF(C376="CPU",VLOOKUP(D376,#REF!,2,0),IF(C376="SINAPI",VLOOKUP(D376,#REF!,2,0),IF(C376="EDIF",VLOOKUP(D376,#REF!,2,0),IF(C376="CDHU",VLOOKUP(D376,#REF!,2,0),IF(C376="FDE",VLOOKUP(D376,'FDE 10-23 '!$A$4:$E$3180,2,0),IF(C376="INFRA",VLOOKUP(D376,#REF!,2,0),""))))))),"")</f>
        <v>TUBO DE PVC Ø 2'' X 3,00M PARA PROTEÇAO  DESCIDA DE CORDOALHA</v>
      </c>
      <c r="F376" s="65" t="str">
        <f>VLOOKUP(D376,'FDE 10-23 '!$A$4:$E$3180,3,0)</f>
        <v>UN</v>
      </c>
      <c r="G376" s="66">
        <f>VLOOKUP(B376,Planilha17!$A$8:$F$1259,6,0)</f>
        <v>16</v>
      </c>
      <c r="H376" s="67">
        <f>VLOOKUP(D376,'FDE 10-23 '!$A$4:$E$3180,5,0)</f>
        <v>93.27</v>
      </c>
      <c r="I376" s="68">
        <f t="shared" si="69"/>
        <v>0.23</v>
      </c>
      <c r="J376" s="67">
        <f t="shared" si="70"/>
        <v>114.72</v>
      </c>
      <c r="K376" s="69">
        <f t="shared" si="71"/>
        <v>1835.52</v>
      </c>
      <c r="L376" s="51"/>
      <c r="M376" s="52"/>
    </row>
    <row r="377" spans="2:13" s="25" customFormat="1" ht="30" customHeight="1" outlineLevel="1">
      <c r="B377" s="61" t="s">
        <v>799</v>
      </c>
      <c r="C377" s="62" t="s">
        <v>26</v>
      </c>
      <c r="D377" s="63" t="s">
        <v>800</v>
      </c>
      <c r="E377" s="64" t="str">
        <f>IFERROR(UPPER(IF(C377="CPU",VLOOKUP(D377,#REF!,2,0),IF(C377="SINAPI",VLOOKUP(D377,#REF!,2,0),IF(C377="EDIF",VLOOKUP(D377,#REF!,2,0),IF(C377="CDHU",VLOOKUP(D377,#REF!,2,0),IF(C377="FDE",VLOOKUP(D377,'FDE 10-23 '!$A$4:$E$3180,2,0),IF(C377="INFRA",VLOOKUP(D377,#REF!,2,0),""))))))),"")</f>
        <v>CORDOALHA DE AÇO GALV. A QUENTE 50 MM2 (3/8") C/SUPORTE.DE FIXAÇÃO.</v>
      </c>
      <c r="F377" s="65" t="str">
        <f>VLOOKUP(D377,'FDE 10-23 '!$A$4:$E$3180,3,0)</f>
        <v>M</v>
      </c>
      <c r="G377" s="66">
        <f>VLOOKUP(B377,Planilha17!$A$8:$F$1259,6,0)</f>
        <v>497</v>
      </c>
      <c r="H377" s="67">
        <f>VLOOKUP(D377,'FDE 10-23 '!$A$4:$E$3180,5,0)</f>
        <v>35.56</v>
      </c>
      <c r="I377" s="68">
        <f t="shared" si="69"/>
        <v>0.23</v>
      </c>
      <c r="J377" s="67">
        <f t="shared" si="70"/>
        <v>43.74</v>
      </c>
      <c r="K377" s="69">
        <f t="shared" si="71"/>
        <v>21738.780000000002</v>
      </c>
      <c r="L377" s="51"/>
      <c r="M377" s="52"/>
    </row>
    <row r="378" spans="2:13" s="25" customFormat="1" ht="30" customHeight="1">
      <c r="B378" s="43">
        <v>10</v>
      </c>
      <c r="C378" s="44"/>
      <c r="D378" s="44" t="s">
        <v>801</v>
      </c>
      <c r="E378" s="45" t="s">
        <v>802</v>
      </c>
      <c r="F378" s="46" t="str">
        <f>IFERROR(UPPER(IF(C378="CPU",VLOOKUP(D378,#REF!,3,0),IF(C378="SINAPI",VLOOKUP(D378,#REF!,3,0),IF(C378="EDIF",VLOOKUP(D378,#REF!,3,0),IF(C378="CDHU",VLOOKUP(D378,#REF!,3,0),IF(C378="FDE",VLOOKUP(D378,#REF!,3,0),IF(C378="INFRA",VLOOKUP(D378,#REF!,3,0),""))))))),"")</f>
        <v/>
      </c>
      <c r="G378" s="47"/>
      <c r="H378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78" s="49"/>
      <c r="J378" s="49"/>
      <c r="K378" s="50">
        <f>SUBTOTAL(9,K379:K380)</f>
        <v>146927.28820000001</v>
      </c>
      <c r="L378" s="51"/>
      <c r="M378" s="52"/>
    </row>
    <row r="379" spans="2:13" s="25" customFormat="1" ht="30" customHeight="1" outlineLevel="1">
      <c r="B379" s="53" t="s">
        <v>803</v>
      </c>
      <c r="C379" s="54"/>
      <c r="D379" s="54" t="s">
        <v>804</v>
      </c>
      <c r="E379" s="55" t="s">
        <v>802</v>
      </c>
      <c r="F379" s="56" t="str">
        <f>IFERROR(UPPER(IF(C379="CPU",VLOOKUP(D379,#REF!,3,0),IF(C379="SINAPI",VLOOKUP(D379,#REF!,3,0),IF(C379="EDIF",VLOOKUP(D379,#REF!,3,0),IF(C379="CDHU",VLOOKUP(D379,#REF!,3,0),IF(C379="FDE",VLOOKUP(D379,#REF!,3,0),IF(C379="INFRA",VLOOKUP(D379,#REF!,3,0),""))))))),"")</f>
        <v/>
      </c>
      <c r="G379" s="57"/>
      <c r="H379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79" s="59"/>
      <c r="J379" s="59"/>
      <c r="K379" s="60">
        <f>SUBTOTAL(9,K380)</f>
        <v>146927.28820000001</v>
      </c>
      <c r="L379" s="51"/>
      <c r="M379" s="52"/>
    </row>
    <row r="380" spans="2:13" s="25" customFormat="1" ht="30" customHeight="1" outlineLevel="1">
      <c r="B380" s="61" t="s">
        <v>805</v>
      </c>
      <c r="C380" s="62" t="s">
        <v>26</v>
      </c>
      <c r="D380" s="63" t="s">
        <v>806</v>
      </c>
      <c r="E380" s="64" t="str">
        <f>IFERROR(UPPER(IF(C380="CPU",VLOOKUP(D380,#REF!,2,0),IF(C380="SINAPI",VLOOKUP(D380,#REF!,2,0),IF(C380="EDIF",VLOOKUP(D380,#REF!,2,0),IF(C380="CDHU",VLOOKUP(D380,#REF!,2,0),IF(C380="FDE",VLOOKUP(D380,'FDE 10-23 '!$A$4:$E$3180,2,0),IF(C380="INFRA",VLOOKUP(D380,#REF!,2,0),""))))))),"")</f>
        <v>FORRO PLACA MINERAL NRC 0,70 MP COMPLETE INCL.PERFIS FORNEC/INST.</v>
      </c>
      <c r="F380" s="65" t="str">
        <f>VLOOKUP(D380,'FDE 10-23 '!$A$4:$E$3180,3,0)</f>
        <v>M2</v>
      </c>
      <c r="G380" s="66">
        <f>VLOOKUP(B380,Planilha17!$A$8:$F$1259,6,0)</f>
        <v>736.33</v>
      </c>
      <c r="H380" s="67">
        <f>VLOOKUP(D380,'FDE 10-23 '!$A$4:$E$3180,5,0)</f>
        <v>162.22999999999999</v>
      </c>
      <c r="I380" s="68">
        <f>$L$10</f>
        <v>0.23</v>
      </c>
      <c r="J380" s="67">
        <f>ROUND(H380*(1+I380),2)</f>
        <v>199.54</v>
      </c>
      <c r="K380" s="69">
        <f>SUM(G380*J380)</f>
        <v>146927.28820000001</v>
      </c>
      <c r="L380" s="51"/>
      <c r="M380" s="52"/>
    </row>
    <row r="381" spans="2:13" s="25" customFormat="1" ht="30" customHeight="1">
      <c r="B381" s="43">
        <v>11</v>
      </c>
      <c r="C381" s="44"/>
      <c r="D381" s="44" t="s">
        <v>807</v>
      </c>
      <c r="E381" s="45" t="s">
        <v>808</v>
      </c>
      <c r="F381" s="46" t="str">
        <f>IFERROR(UPPER(IF(C381="CPU",VLOOKUP(D381,#REF!,3,0),IF(C381="SINAPI",VLOOKUP(D381,#REF!,3,0),IF(C381="EDIF",VLOOKUP(D381,#REF!,3,0),IF(C381="CDHU",VLOOKUP(D381,#REF!,3,0),IF(C381="FDE",VLOOKUP(D381,#REF!,3,0),IF(C381="INFRA",VLOOKUP(D381,#REF!,3,0),""))))))),"")</f>
        <v/>
      </c>
      <c r="G381" s="47"/>
      <c r="H381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81" s="49"/>
      <c r="J381" s="49"/>
      <c r="K381" s="50">
        <f>SUBTOTAL(9,K382:K390)</f>
        <v>30931.815800000004</v>
      </c>
      <c r="L381" s="51"/>
      <c r="M381" s="52"/>
    </row>
    <row r="382" spans="2:13" s="25" customFormat="1" ht="30" customHeight="1" outlineLevel="1">
      <c r="B382" s="53" t="s">
        <v>809</v>
      </c>
      <c r="C382" s="54"/>
      <c r="D382" s="54" t="s">
        <v>810</v>
      </c>
      <c r="E382" s="55" t="s">
        <v>811</v>
      </c>
      <c r="F382" s="56" t="str">
        <f>IFERROR(UPPER(IF(C382="CPU",VLOOKUP(D382,#REF!,3,0),IF(C382="SINAPI",VLOOKUP(D382,#REF!,3,0),IF(C382="EDIF",VLOOKUP(D382,#REF!,3,0),IF(C382="CDHU",VLOOKUP(D382,#REF!,3,0),IF(C382="FDE",VLOOKUP(D382,#REF!,3,0),IF(C382="INFRA",VLOOKUP(D382,#REF!,3,0),""))))))),"")</f>
        <v/>
      </c>
      <c r="G382" s="57"/>
      <c r="H382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82" s="59"/>
      <c r="J382" s="59"/>
      <c r="K382" s="60">
        <f>SUBTOTAL(9,K383:K385)</f>
        <v>20903.248800000001</v>
      </c>
      <c r="L382" s="51"/>
      <c r="M382" s="52"/>
    </row>
    <row r="383" spans="2:13" s="25" customFormat="1" ht="30" customHeight="1" outlineLevel="1">
      <c r="B383" s="61" t="s">
        <v>812</v>
      </c>
      <c r="C383" s="62" t="s">
        <v>26</v>
      </c>
      <c r="D383" s="63" t="s">
        <v>813</v>
      </c>
      <c r="E383" s="64" t="str">
        <f>IFERROR(UPPER(IF(C383="CPU",VLOOKUP(D383,#REF!,2,0),IF(C383="SINAPI",VLOOKUP(D383,#REF!,2,0),IF(C383="EDIF",VLOOKUP(D383,#REF!,2,0),IF(C383="CDHU",VLOOKUP(D383,#REF!,2,0),IF(C383="FDE",VLOOKUP(D383,'FDE 10-23 '!$A$4:$E$3180,2,0),IF(C383="INFRA",VLOOKUP(D383,#REF!,2,0),""))))))),"")</f>
        <v>IMPERM C/ EMULSAO ACRILICA ESTRUT C/ VEU DE POLIESTER-6 DEMAOS / 2 EST</v>
      </c>
      <c r="F383" s="65" t="str">
        <f>VLOOKUP(D383,'FDE 10-23 '!$A$4:$E$3180,3,0)</f>
        <v>M2</v>
      </c>
      <c r="G383" s="66">
        <f>VLOOKUP(B383,Planilha17!$A$8:$F$1259,6,0)</f>
        <v>255.6</v>
      </c>
      <c r="H383" s="67">
        <f>VLOOKUP(D383,'FDE 10-23 '!$A$4:$E$3180,5,0)</f>
        <v>59.64</v>
      </c>
      <c r="I383" s="68">
        <f>$L$10</f>
        <v>0.23</v>
      </c>
      <c r="J383" s="67">
        <f>ROUND(H383*(1+I383),2)</f>
        <v>73.36</v>
      </c>
      <c r="K383" s="69">
        <f>SUM(G383*J383)</f>
        <v>18750.815999999999</v>
      </c>
      <c r="L383" s="51"/>
      <c r="M383" s="52"/>
    </row>
    <row r="384" spans="2:13" s="25" customFormat="1" ht="30" customHeight="1" outlineLevel="1">
      <c r="B384" s="61" t="s">
        <v>814</v>
      </c>
      <c r="C384" s="62" t="s">
        <v>26</v>
      </c>
      <c r="D384" s="63" t="s">
        <v>815</v>
      </c>
      <c r="E384" s="64" t="str">
        <f>IFERROR(UPPER(IF(C384="CPU",VLOOKUP(D384,#REF!,2,0),IF(C384="SINAPI",VLOOKUP(D384,#REF!,2,0),IF(C384="EDIF",VLOOKUP(D384,#REF!,2,0),IF(C384="CDHU",VLOOKUP(D384,#REF!,2,0),IF(C384="FDE",VLOOKUP(D384,'FDE 10-23 '!$A$4:$E$3180,2,0),IF(C384="INFRA",VLOOKUP(D384,#REF!,2,0),""))))))),"")</f>
        <v>REGULARIZACAO DE SUPERFICIE P/ PREPARO IMPERM 1:3 E=2,5CM</v>
      </c>
      <c r="F384" s="65" t="str">
        <f>VLOOKUP(D384,'FDE 10-23 '!$A$4:$E$3180,3,0)</f>
        <v>M2</v>
      </c>
      <c r="G384" s="66">
        <f>VLOOKUP(B384,Planilha17!$A$8:$F$1259,6,0)</f>
        <v>45.36</v>
      </c>
      <c r="H384" s="67">
        <f>VLOOKUP(D384,'FDE 10-23 '!$A$4:$E$3180,5,0)</f>
        <v>25.91</v>
      </c>
      <c r="I384" s="68">
        <f>$L$10</f>
        <v>0.23</v>
      </c>
      <c r="J384" s="67">
        <f>ROUND(H384*(1+I384),2)</f>
        <v>31.87</v>
      </c>
      <c r="K384" s="69">
        <f>SUM(G384*J384)</f>
        <v>1445.6232</v>
      </c>
      <c r="L384" s="51"/>
      <c r="M384" s="52"/>
    </row>
    <row r="385" spans="2:13" s="25" customFormat="1" ht="30" customHeight="1" outlineLevel="1">
      <c r="B385" s="61" t="s">
        <v>816</v>
      </c>
      <c r="C385" s="62" t="s">
        <v>26</v>
      </c>
      <c r="D385" s="63" t="s">
        <v>817</v>
      </c>
      <c r="E385" s="64" t="str">
        <f>IFERROR(UPPER(IF(C385="CPU",VLOOKUP(D385,#REF!,2,0),IF(C385="SINAPI",VLOOKUP(D385,#REF!,2,0),IF(C385="EDIF",VLOOKUP(D385,#REF!,2,0),IF(C385="CDHU",VLOOKUP(D385,#REF!,2,0),IF(C385="FDE",VLOOKUP(D385,'FDE 10-23 '!$A$4:$E$3180,2,0),IF(C385="INFRA",VLOOKUP(D385,#REF!,2,0),""))))))),"")</f>
        <v>ARGAMASSA PARA PROTEÇAO MECANICA SOBRE SUPERFICIE IMPERMEABILIZADA TRAÇO 1:4  ESPESSURA 3CM</v>
      </c>
      <c r="F385" s="65" t="str">
        <f>VLOOKUP(D385,'FDE 10-23 '!$A$4:$E$3180,3,0)</f>
        <v>M2</v>
      </c>
      <c r="G385" s="66">
        <f>VLOOKUP(B385,Planilha17!$A$8:$F$1259,6,0)</f>
        <v>20.16</v>
      </c>
      <c r="H385" s="67">
        <f>VLOOKUP(D385,'FDE 10-23 '!$A$4:$E$3180,5,0)</f>
        <v>28.5</v>
      </c>
      <c r="I385" s="68">
        <f>$L$10</f>
        <v>0.23</v>
      </c>
      <c r="J385" s="67">
        <f>ROUND(H385*(1+I385),2)</f>
        <v>35.06</v>
      </c>
      <c r="K385" s="69">
        <f>SUM(G385*J385)</f>
        <v>706.80960000000005</v>
      </c>
      <c r="L385" s="51"/>
      <c r="M385" s="52"/>
    </row>
    <row r="386" spans="2:13" s="25" customFormat="1" ht="30" customHeight="1" outlineLevel="1">
      <c r="B386" s="53" t="s">
        <v>818</v>
      </c>
      <c r="C386" s="54"/>
      <c r="D386" s="54" t="s">
        <v>819</v>
      </c>
      <c r="E386" s="55" t="s">
        <v>820</v>
      </c>
      <c r="F386" s="56" t="str">
        <f>IFERROR(UPPER(IF(C386="CPU",VLOOKUP(D386,#REF!,3,0),IF(C386="SINAPI",VLOOKUP(D386,#REF!,3,0),IF(C386="EDIF",VLOOKUP(D386,#REF!,3,0),IF(C386="CDHU",VLOOKUP(D386,#REF!,3,0),IF(C386="FDE",VLOOKUP(D386,#REF!,3,0),IF(C386="INFRA",VLOOKUP(D386,#REF!,3,0),""))))))),"")</f>
        <v/>
      </c>
      <c r="G386" s="57"/>
      <c r="H386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86" s="59"/>
      <c r="J386" s="59"/>
      <c r="K386" s="60">
        <f>SUBTOTAL(9,K387:K388)</f>
        <v>2502.1669999999999</v>
      </c>
      <c r="L386" s="51"/>
      <c r="M386" s="52"/>
    </row>
    <row r="387" spans="2:13" s="25" customFormat="1" ht="30" customHeight="1" outlineLevel="1">
      <c r="B387" s="61" t="s">
        <v>821</v>
      </c>
      <c r="C387" s="62" t="s">
        <v>26</v>
      </c>
      <c r="D387" s="63" t="s">
        <v>822</v>
      </c>
      <c r="E387" s="64" t="str">
        <f>IFERROR(UPPER(IF(C387="CPU",VLOOKUP(D387,#REF!,2,0),IF(C387="SINAPI",VLOOKUP(D387,#REF!,2,0),IF(C387="EDIF",VLOOKUP(D387,#REF!,2,0),IF(C387="CDHU",VLOOKUP(D387,#REF!,2,0),IF(C387="FDE",VLOOKUP(D387,'FDE 10-23 '!$A$4:$E$3180,2,0),IF(C387="INFRA",VLOOKUP(D387,#REF!,2,0),""))))))),"")</f>
        <v>IMPERMEABIL RESERV.ENTERRADO COM ARGAMASSA POLIMERICA SEMIFLEXIVEL COM APLICAÇÃO 4 DEMÃOS</v>
      </c>
      <c r="F387" s="65" t="str">
        <f>VLOOKUP(D387,'FDE 10-23 '!$A$4:$E$3180,3,0)</f>
        <v>M2</v>
      </c>
      <c r="G387" s="66">
        <f>VLOOKUP(B387,Planilha17!$A$8:$F$1259,6,0)</f>
        <v>86.78</v>
      </c>
      <c r="H387" s="67">
        <f>VLOOKUP(D387,'FDE 10-23 '!$A$4:$E$3180,5,0)</f>
        <v>22.48</v>
      </c>
      <c r="I387" s="68">
        <f>$L$10</f>
        <v>0.23</v>
      </c>
      <c r="J387" s="67">
        <f>ROUND(H387*(1+I387),2)</f>
        <v>27.65</v>
      </c>
      <c r="K387" s="69">
        <f>SUM(G387*J387)</f>
        <v>2399.4670000000001</v>
      </c>
      <c r="L387" s="51"/>
      <c r="M387" s="52"/>
    </row>
    <row r="388" spans="2:13" s="25" customFormat="1" ht="30" customHeight="1" outlineLevel="1">
      <c r="B388" s="61" t="s">
        <v>823</v>
      </c>
      <c r="C388" s="62" t="s">
        <v>26</v>
      </c>
      <c r="D388" s="63" t="s">
        <v>824</v>
      </c>
      <c r="E388" s="64" t="str">
        <f>IFERROR(UPPER(IF(C388="CPU",VLOOKUP(D388,#REF!,2,0),IF(C388="SINAPI",VLOOKUP(D388,#REF!,2,0),IF(C388="EDIF",VLOOKUP(D388,#REF!,2,0),IF(C388="CDHU",VLOOKUP(D388,#REF!,2,0),IF(C388="FDE",VLOOKUP(D388,'FDE 10-23 '!$A$4:$E$3180,2,0),IF(C388="INFRA",VLOOKUP(D388,#REF!,2,0),""))))))),"")</f>
        <v>COM TINTA BETUMINOSA (APLICACAO EXTERNA)</v>
      </c>
      <c r="F388" s="65" t="str">
        <f>VLOOKUP(D388,'FDE 10-23 '!$A$4:$E$3180,3,0)</f>
        <v>M2</v>
      </c>
      <c r="G388" s="66">
        <f>VLOOKUP(B388,Planilha17!$A$8:$F$1259,6,0)</f>
        <v>5</v>
      </c>
      <c r="H388" s="67">
        <f>VLOOKUP(D388,'FDE 10-23 '!$A$4:$E$3180,5,0)</f>
        <v>16.7</v>
      </c>
      <c r="I388" s="68">
        <f>$L$10</f>
        <v>0.23</v>
      </c>
      <c r="J388" s="67">
        <f>ROUND(H388*(1+I388),2)</f>
        <v>20.54</v>
      </c>
      <c r="K388" s="69">
        <f>SUM(G388*J388)</f>
        <v>102.69999999999999</v>
      </c>
      <c r="L388" s="51"/>
      <c r="M388" s="52"/>
    </row>
    <row r="389" spans="2:13" s="25" customFormat="1" ht="30" customHeight="1" outlineLevel="1">
      <c r="B389" s="53" t="s">
        <v>825</v>
      </c>
      <c r="C389" s="54"/>
      <c r="D389" s="54" t="s">
        <v>826</v>
      </c>
      <c r="E389" s="55" t="s">
        <v>827</v>
      </c>
      <c r="F389" s="56" t="str">
        <f>IFERROR(UPPER(IF(C389="CPU",VLOOKUP(D389,#REF!,3,0),IF(C389="SINAPI",VLOOKUP(D389,#REF!,3,0),IF(C389="EDIF",VLOOKUP(D389,#REF!,3,0),IF(C389="CDHU",VLOOKUP(D389,#REF!,3,0),IF(C389="FDE",VLOOKUP(D389,#REF!,3,0),IF(C389="INFRA",VLOOKUP(D389,#REF!,3,0),""))))))),"")</f>
        <v/>
      </c>
      <c r="G389" s="57"/>
      <c r="H389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89" s="59"/>
      <c r="J389" s="59"/>
      <c r="K389" s="60">
        <f>SUBTOTAL(9,K390)</f>
        <v>7526.4000000000005</v>
      </c>
      <c r="L389" s="51"/>
      <c r="M389" s="52"/>
    </row>
    <row r="390" spans="2:13" s="25" customFormat="1" ht="30" customHeight="1" outlineLevel="1">
      <c r="B390" s="61" t="s">
        <v>828</v>
      </c>
      <c r="C390" s="62" t="s">
        <v>26</v>
      </c>
      <c r="D390" s="63" t="s">
        <v>829</v>
      </c>
      <c r="E390" s="64" t="str">
        <f>IFERROR(UPPER(IF(C390="CPU",VLOOKUP(D390,#REF!,2,0),IF(C390="SINAPI",VLOOKUP(D390,#REF!,2,0),IF(C390="EDIF",VLOOKUP(D390,#REF!,2,0),IF(C390="CDHU",VLOOKUP(D390,#REF!,2,0),IF(C390="FDE",VLOOKUP(D390,'FDE 10-23 '!$A$4:$E$3180,2,0),IF(C390="INFRA",VLOOKUP(D390,#REF!,2,0),""))))))),"")</f>
        <v>JUNTAS DE DILATACAO/MASTIQUE ELASTICO OU POLIURETANO</v>
      </c>
      <c r="F390" s="65" t="str">
        <f>VLOOKUP(D390,'FDE 10-23 '!$A$4:$E$3180,3,0)</f>
        <v>C3</v>
      </c>
      <c r="G390" s="66">
        <f>VLOOKUP(B390,Planilha17!$A$8:$F$1259,6,0)</f>
        <v>26880</v>
      </c>
      <c r="H390" s="67">
        <f>VLOOKUP(D390,'FDE 10-23 '!$A$4:$E$3180,5,0)</f>
        <v>0.23</v>
      </c>
      <c r="I390" s="68">
        <f>$L$10</f>
        <v>0.23</v>
      </c>
      <c r="J390" s="67">
        <f>ROUND(H390*(1+I390),2)</f>
        <v>0.28000000000000003</v>
      </c>
      <c r="K390" s="69">
        <f>SUM(G390*J390)</f>
        <v>7526.4000000000005</v>
      </c>
      <c r="L390" s="51"/>
      <c r="M390" s="52"/>
    </row>
    <row r="391" spans="2:13" s="25" customFormat="1" ht="30" customHeight="1">
      <c r="B391" s="43">
        <v>12</v>
      </c>
      <c r="C391" s="44"/>
      <c r="D391" s="44" t="s">
        <v>830</v>
      </c>
      <c r="E391" s="45" t="s">
        <v>831</v>
      </c>
      <c r="F391" s="46" t="str">
        <f>IFERROR(UPPER(IF(C391="CPU",VLOOKUP(D391,#REF!,3,0),IF(C391="SINAPI",VLOOKUP(D391,#REF!,3,0),IF(C391="EDIF",VLOOKUP(D391,#REF!,3,0),IF(C391="CDHU",VLOOKUP(D391,#REF!,3,0),IF(C391="FDE",VLOOKUP(D391,#REF!,3,0),IF(C391="INFRA",VLOOKUP(D391,#REF!,3,0),""))))))),"")</f>
        <v/>
      </c>
      <c r="G391" s="47"/>
      <c r="H391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91" s="49"/>
      <c r="J391" s="49"/>
      <c r="K391" s="50">
        <f>SUBTOTAL(9,K392:K404)</f>
        <v>194066.50240999999</v>
      </c>
      <c r="L391" s="51"/>
      <c r="M391" s="52"/>
    </row>
    <row r="392" spans="2:13" s="25" customFormat="1" ht="30" customHeight="1" outlineLevel="1">
      <c r="B392" s="53" t="s">
        <v>832</v>
      </c>
      <c r="C392" s="54"/>
      <c r="D392" s="54" t="s">
        <v>833</v>
      </c>
      <c r="E392" s="55" t="s">
        <v>834</v>
      </c>
      <c r="F392" s="56" t="str">
        <f>IFERROR(UPPER(IF(C392="CPU",VLOOKUP(D392,#REF!,3,0),IF(C392="SINAPI",VLOOKUP(D392,#REF!,3,0),IF(C392="EDIF",VLOOKUP(D392,#REF!,3,0),IF(C392="CDHU",VLOOKUP(D392,#REF!,3,0),IF(C392="FDE",VLOOKUP(D392,#REF!,3,0),IF(C392="INFRA",VLOOKUP(D392,#REF!,3,0),""))))))),"")</f>
        <v/>
      </c>
      <c r="G392" s="57"/>
      <c r="H392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92" s="59"/>
      <c r="J392" s="59"/>
      <c r="K392" s="60">
        <f>SUBTOTAL(9,K393:K394)</f>
        <v>460.67599999999993</v>
      </c>
      <c r="L392" s="51"/>
      <c r="M392" s="52"/>
    </row>
    <row r="393" spans="2:13" s="25" customFormat="1" ht="30" customHeight="1" outlineLevel="1">
      <c r="B393" s="61" t="s">
        <v>835</v>
      </c>
      <c r="C393" s="62" t="s">
        <v>26</v>
      </c>
      <c r="D393" s="63" t="s">
        <v>836</v>
      </c>
      <c r="E393" s="64" t="str">
        <f>IFERROR(UPPER(IF(C393="CPU",VLOOKUP(D393,#REF!,2,0),IF(C393="SINAPI",VLOOKUP(D393,#REF!,2,0),IF(C393="EDIF",VLOOKUP(D393,#REF!,2,0),IF(C393="CDHU",VLOOKUP(D393,#REF!,2,0),IF(C393="FDE",VLOOKUP(D393,'FDE 10-23 '!$A$4:$E$3180,2,0),IF(C393="INFRA",VLOOKUP(D393,#REF!,2,0),""))))))),"")</f>
        <v>CHAPISCO</v>
      </c>
      <c r="F393" s="65" t="str">
        <f>VLOOKUP(D393,'FDE 10-23 '!$A$4:$E$3180,3,0)</f>
        <v>M2</v>
      </c>
      <c r="G393" s="66">
        <f>VLOOKUP(B393,Planilha17!$A$8:$F$1259,6,0)</f>
        <v>8.1999999999999993</v>
      </c>
      <c r="H393" s="67">
        <f>VLOOKUP(D393,'FDE 10-23 '!$A$4:$E$3180,5,0)</f>
        <v>10.06</v>
      </c>
      <c r="I393" s="68">
        <f>$L$10</f>
        <v>0.23</v>
      </c>
      <c r="J393" s="67">
        <f>ROUND(H393*(1+I393),2)</f>
        <v>12.37</v>
      </c>
      <c r="K393" s="69">
        <f>SUM(G393*J393)</f>
        <v>101.43399999999998</v>
      </c>
      <c r="L393" s="51"/>
      <c r="M393" s="52"/>
    </row>
    <row r="394" spans="2:13" s="25" customFormat="1" ht="30" customHeight="1" outlineLevel="1">
      <c r="B394" s="61" t="s">
        <v>837</v>
      </c>
      <c r="C394" s="62" t="s">
        <v>26</v>
      </c>
      <c r="D394" s="63" t="s">
        <v>838</v>
      </c>
      <c r="E394" s="64" t="str">
        <f>IFERROR(UPPER(IF(C394="CPU",VLOOKUP(D394,#REF!,2,0),IF(C394="SINAPI",VLOOKUP(D394,#REF!,2,0),IF(C394="EDIF",VLOOKUP(D394,#REF!,2,0),IF(C394="CDHU",VLOOKUP(D394,#REF!,2,0),IF(C394="FDE",VLOOKUP(D394,'FDE 10-23 '!$A$4:$E$3180,2,0),IF(C394="INFRA",VLOOKUP(D394,#REF!,2,0),""))))))),"")</f>
        <v>EMBOCO DESEMPENADO</v>
      </c>
      <c r="F394" s="65" t="str">
        <f>VLOOKUP(D394,'FDE 10-23 '!$A$4:$E$3180,3,0)</f>
        <v>M2</v>
      </c>
      <c r="G394" s="66">
        <f>VLOOKUP(B394,Planilha17!$A$8:$F$1259,6,0)</f>
        <v>8.1999999999999993</v>
      </c>
      <c r="H394" s="67">
        <f>VLOOKUP(D394,'FDE 10-23 '!$A$4:$E$3180,5,0)</f>
        <v>35.619999999999997</v>
      </c>
      <c r="I394" s="68">
        <f>$L$10</f>
        <v>0.23</v>
      </c>
      <c r="J394" s="67">
        <f>ROUND(H394*(1+I394),2)</f>
        <v>43.81</v>
      </c>
      <c r="K394" s="69">
        <f>SUM(G394*J394)</f>
        <v>359.24199999999996</v>
      </c>
      <c r="L394" s="51"/>
      <c r="M394" s="52"/>
    </row>
    <row r="395" spans="2:13" s="25" customFormat="1" ht="30" customHeight="1" outlineLevel="1">
      <c r="B395" s="53" t="s">
        <v>839</v>
      </c>
      <c r="C395" s="54"/>
      <c r="D395" s="54" t="s">
        <v>840</v>
      </c>
      <c r="E395" s="55" t="s">
        <v>841</v>
      </c>
      <c r="F395" s="56" t="str">
        <f>IFERROR(UPPER(IF(C395="CPU",VLOOKUP(D395,#REF!,3,0),IF(C395="SINAPI",VLOOKUP(D395,#REF!,3,0),IF(C395="EDIF",VLOOKUP(D395,#REF!,3,0),IF(C395="CDHU",VLOOKUP(D395,#REF!,3,0),IF(C395="FDE",VLOOKUP(D395,#REF!,3,0),IF(C395="INFRA",VLOOKUP(D395,#REF!,3,0),""))))))),"")</f>
        <v/>
      </c>
      <c r="G395" s="57"/>
      <c r="H39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95" s="59"/>
      <c r="J395" s="59"/>
      <c r="K395" s="60">
        <f>SUBTOTAL(9,K396:K401)</f>
        <v>169211.49280999997</v>
      </c>
      <c r="L395" s="51"/>
      <c r="M395" s="52"/>
    </row>
    <row r="396" spans="2:13" s="25" customFormat="1" ht="30" customHeight="1" outlineLevel="1">
      <c r="B396" s="61" t="s">
        <v>842</v>
      </c>
      <c r="C396" s="62" t="s">
        <v>26</v>
      </c>
      <c r="D396" s="63" t="s">
        <v>843</v>
      </c>
      <c r="E396" s="64" t="str">
        <f>IFERROR(UPPER(IF(C396="CPU",VLOOKUP(D396,#REF!,2,0),IF(C396="SINAPI",VLOOKUP(D396,#REF!,2,0),IF(C396="EDIF",VLOOKUP(D396,#REF!,2,0),IF(C396="CDHU",VLOOKUP(D396,#REF!,2,0),IF(C396="FDE",VLOOKUP(D396,'FDE 10-23 '!$A$4:$E$3180,2,0),IF(C396="INFRA",VLOOKUP(D396,#REF!,2,0),""))))))),"")</f>
        <v>CHAPISCO</v>
      </c>
      <c r="F396" s="65" t="str">
        <f>VLOOKUP(D396,'FDE 10-23 '!$A$4:$E$3180,3,0)</f>
        <v>M2</v>
      </c>
      <c r="G396" s="66">
        <f>VLOOKUP(B396,Planilha17!$A$8:$F$1259,6,0)</f>
        <v>1473.7</v>
      </c>
      <c r="H396" s="67">
        <f>VLOOKUP(D396,'FDE 10-23 '!$A$4:$E$3180,5,0)</f>
        <v>5.71</v>
      </c>
      <c r="I396" s="68">
        <f t="shared" ref="I396:I401" si="72">$L$10</f>
        <v>0.23</v>
      </c>
      <c r="J396" s="67">
        <f t="shared" ref="J396:J401" si="73">ROUND(H396*(1+I396),2)</f>
        <v>7.02</v>
      </c>
      <c r="K396" s="69">
        <f t="shared" ref="K396:K401" si="74">SUM(G396*J396)</f>
        <v>10345.374</v>
      </c>
      <c r="L396" s="51"/>
      <c r="M396" s="52"/>
    </row>
    <row r="397" spans="2:13" s="25" customFormat="1" ht="30" customHeight="1" outlineLevel="1">
      <c r="B397" s="61" t="s">
        <v>844</v>
      </c>
      <c r="C397" s="62" t="s">
        <v>26</v>
      </c>
      <c r="D397" s="63" t="s">
        <v>845</v>
      </c>
      <c r="E397" s="64" t="str">
        <f>IFERROR(UPPER(IF(C397="CPU",VLOOKUP(D397,#REF!,2,0),IF(C397="SINAPI",VLOOKUP(D397,#REF!,2,0),IF(C397="EDIF",VLOOKUP(D397,#REF!,2,0),IF(C397="CDHU",VLOOKUP(D397,#REF!,2,0),IF(C397="FDE",VLOOKUP(D397,'FDE 10-23 '!$A$4:$E$3180,2,0),IF(C397="INFRA",VLOOKUP(D397,#REF!,2,0),""))))))),"")</f>
        <v>EMBOCO</v>
      </c>
      <c r="F397" s="65" t="str">
        <f>VLOOKUP(D397,'FDE 10-23 '!$A$4:$E$3180,3,0)</f>
        <v>M2</v>
      </c>
      <c r="G397" s="66">
        <f>VLOOKUP(B397,Planilha17!$A$8:$F$1259,6,0)</f>
        <v>558.53</v>
      </c>
      <c r="H397" s="67">
        <f>VLOOKUP(D397,'FDE 10-23 '!$A$4:$E$3180,5,0)</f>
        <v>29.62</v>
      </c>
      <c r="I397" s="68">
        <f t="shared" si="72"/>
        <v>0.23</v>
      </c>
      <c r="J397" s="67">
        <f t="shared" si="73"/>
        <v>36.43</v>
      </c>
      <c r="K397" s="69">
        <f t="shared" si="74"/>
        <v>20347.247899999998</v>
      </c>
      <c r="L397" s="51"/>
      <c r="M397" s="52"/>
    </row>
    <row r="398" spans="2:13" s="25" customFormat="1" ht="30" customHeight="1" outlineLevel="1">
      <c r="B398" s="61" t="s">
        <v>846</v>
      </c>
      <c r="C398" s="62" t="s">
        <v>26</v>
      </c>
      <c r="D398" s="63" t="s">
        <v>847</v>
      </c>
      <c r="E398" s="64" t="str">
        <f>IFERROR(UPPER(IF(C398="CPU",VLOOKUP(D398,#REF!,2,0),IF(C398="SINAPI",VLOOKUP(D398,#REF!,2,0),IF(C398="EDIF",VLOOKUP(D398,#REF!,2,0),IF(C398="CDHU",VLOOKUP(D398,#REF!,2,0),IF(C398="FDE",VLOOKUP(D398,'FDE 10-23 '!$A$4:$E$3180,2,0),IF(C398="INFRA",VLOOKUP(D398,#REF!,2,0),""))))))),"")</f>
        <v>EMBOCO DESEMPENADO</v>
      </c>
      <c r="F398" s="65" t="str">
        <f>VLOOKUP(D398,'FDE 10-23 '!$A$4:$E$3180,3,0)</f>
        <v>M2</v>
      </c>
      <c r="G398" s="66">
        <f>VLOOKUP(B398,Planilha17!$A$8:$F$1259,6,0)</f>
        <v>915.22</v>
      </c>
      <c r="H398" s="67">
        <f>VLOOKUP(D398,'FDE 10-23 '!$A$4:$E$3180,5,0)</f>
        <v>35.880000000000003</v>
      </c>
      <c r="I398" s="68">
        <f t="shared" si="72"/>
        <v>0.23</v>
      </c>
      <c r="J398" s="67">
        <f t="shared" si="73"/>
        <v>44.13</v>
      </c>
      <c r="K398" s="69">
        <f t="shared" si="74"/>
        <v>40388.658600000002</v>
      </c>
      <c r="L398" s="51"/>
      <c r="M398" s="52"/>
    </row>
    <row r="399" spans="2:13" s="25" customFormat="1" ht="30" customHeight="1" outlineLevel="1">
      <c r="B399" s="61" t="s">
        <v>848</v>
      </c>
      <c r="C399" s="62" t="s">
        <v>26</v>
      </c>
      <c r="D399" s="63" t="s">
        <v>849</v>
      </c>
      <c r="E399" s="64" t="str">
        <f>IFERROR(UPPER(IF(C399="CPU",VLOOKUP(D399,#REF!,2,0),IF(C399="SINAPI",VLOOKUP(D399,#REF!,2,0),IF(C399="EDIF",VLOOKUP(D399,#REF!,2,0),IF(C399="CDHU",VLOOKUP(D399,#REF!,2,0),IF(C399="FDE",VLOOKUP(D399,'FDE 10-23 '!$A$4:$E$3180,2,0),IF(C399="INFRA",VLOOKUP(D399,#REF!,2,0),""))))))),"")</f>
        <v>REVESTIMENTO COM GESSO</v>
      </c>
      <c r="F399" s="65" t="str">
        <f>VLOOKUP(D399,'FDE 10-23 '!$A$4:$E$3180,3,0)</f>
        <v>M2</v>
      </c>
      <c r="G399" s="66">
        <f>VLOOKUP(B399,Planilha17!$A$8:$F$1259,6,0)</f>
        <v>1272.5</v>
      </c>
      <c r="H399" s="67">
        <f>VLOOKUP(D399,'FDE 10-23 '!$A$4:$E$3180,5,0)</f>
        <v>18.010000000000002</v>
      </c>
      <c r="I399" s="68">
        <f t="shared" si="72"/>
        <v>0.23</v>
      </c>
      <c r="J399" s="67">
        <f t="shared" si="73"/>
        <v>22.15</v>
      </c>
      <c r="K399" s="69">
        <f t="shared" si="74"/>
        <v>28185.875</v>
      </c>
      <c r="L399" s="51"/>
      <c r="M399" s="52"/>
    </row>
    <row r="400" spans="2:13" s="25" customFormat="1" ht="30" customHeight="1" outlineLevel="1">
      <c r="B400" s="61" t="s">
        <v>850</v>
      </c>
      <c r="C400" s="62" t="s">
        <v>26</v>
      </c>
      <c r="D400" s="63" t="s">
        <v>851</v>
      </c>
      <c r="E400" s="64" t="str">
        <f>IFERROR(UPPER(IF(C400="CPU",VLOOKUP(D400,#REF!,2,0),IF(C400="SINAPI",VLOOKUP(D400,#REF!,2,0),IF(C400="EDIF",VLOOKUP(D400,#REF!,2,0),IF(C400="CDHU",VLOOKUP(D400,#REF!,2,0),IF(C400="FDE",VLOOKUP(D400,'FDE 10-23 '!$A$4:$E$3180,2,0),IF(C400="INFRA",VLOOKUP(D400,#REF!,2,0),""))))))),"")</f>
        <v>REVESTIMENTO COM AZULEJOS  RETIFICADOS LISOS BRANCO BRILHANTE</v>
      </c>
      <c r="F400" s="65" t="str">
        <f>VLOOKUP(D400,'FDE 10-23 '!$A$4:$E$3180,3,0)</f>
        <v>M2</v>
      </c>
      <c r="G400" s="66">
        <f>VLOOKUP(B400,Planilha17!$A$8:$F$1259,6,0)</f>
        <v>567.70299999999986</v>
      </c>
      <c r="H400" s="67">
        <f>VLOOKUP(D400,'FDE 10-23 '!$A$4:$E$3180,5,0)</f>
        <v>99.81</v>
      </c>
      <c r="I400" s="68">
        <f t="shared" si="72"/>
        <v>0.23</v>
      </c>
      <c r="J400" s="67">
        <f t="shared" si="73"/>
        <v>122.77</v>
      </c>
      <c r="K400" s="69">
        <f t="shared" si="74"/>
        <v>69696.897309999986</v>
      </c>
      <c r="L400" s="51"/>
      <c r="M400" s="52"/>
    </row>
    <row r="401" spans="2:13" s="25" customFormat="1" ht="30" customHeight="1" outlineLevel="1">
      <c r="B401" s="61" t="s">
        <v>852</v>
      </c>
      <c r="C401" s="62" t="s">
        <v>26</v>
      </c>
      <c r="D401" s="63" t="s">
        <v>853</v>
      </c>
      <c r="E401" s="64" t="str">
        <f>IFERROR(UPPER(IF(C401="CPU",VLOOKUP(D401,#REF!,2,0),IF(C401="SINAPI",VLOOKUP(D401,#REF!,2,0),IF(C401="EDIF",VLOOKUP(D401,#REF!,2,0),IF(C401="CDHU",VLOOKUP(D401,#REF!,2,0),IF(C401="FDE",VLOOKUP(D401,'FDE 10-23 '!$A$4:$E$3180,2,0),IF(C401="INFRA",VLOOKUP(D401,#REF!,2,0),""))))))),"")</f>
        <v>PERFIL SEXTAVADO EM ALUMINIO PARA AZULEJO</v>
      </c>
      <c r="F401" s="65" t="str">
        <f>VLOOKUP(D401,'FDE 10-23 '!$A$4:$E$3180,3,0)</f>
        <v>M</v>
      </c>
      <c r="G401" s="66">
        <f>VLOOKUP(B401,Planilha17!$A$8:$F$1259,6,0)</f>
        <v>24</v>
      </c>
      <c r="H401" s="67">
        <f>VLOOKUP(D401,'FDE 10-23 '!$A$4:$E$3180,5,0)</f>
        <v>8.3800000000000008</v>
      </c>
      <c r="I401" s="68">
        <f t="shared" si="72"/>
        <v>0.23</v>
      </c>
      <c r="J401" s="67">
        <f t="shared" si="73"/>
        <v>10.31</v>
      </c>
      <c r="K401" s="69">
        <f t="shared" si="74"/>
        <v>247.44</v>
      </c>
      <c r="L401" s="51"/>
      <c r="M401" s="52"/>
    </row>
    <row r="402" spans="2:13" s="25" customFormat="1" ht="30" customHeight="1" outlineLevel="1">
      <c r="B402" s="53" t="s">
        <v>854</v>
      </c>
      <c r="C402" s="54"/>
      <c r="D402" s="54" t="s">
        <v>855</v>
      </c>
      <c r="E402" s="55" t="s">
        <v>856</v>
      </c>
      <c r="F402" s="56" t="str">
        <f>IFERROR(UPPER(IF(C402="CPU",VLOOKUP(D402,#REF!,3,0),IF(C402="SINAPI",VLOOKUP(D402,#REF!,3,0),IF(C402="EDIF",VLOOKUP(D402,#REF!,3,0),IF(C402="CDHU",VLOOKUP(D402,#REF!,3,0),IF(C402="FDE",VLOOKUP(D402,#REF!,3,0),IF(C402="INFRA",VLOOKUP(D402,#REF!,3,0),""))))))),"")</f>
        <v/>
      </c>
      <c r="G402" s="57"/>
      <c r="H402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02" s="59"/>
      <c r="J402" s="59"/>
      <c r="K402" s="60">
        <f>SUBTOTAL(9,K403:K404)</f>
        <v>24394.333600000002</v>
      </c>
      <c r="L402" s="51"/>
      <c r="M402" s="52"/>
    </row>
    <row r="403" spans="2:13" s="25" customFormat="1" ht="30" customHeight="1" outlineLevel="1">
      <c r="B403" s="61" t="s">
        <v>857</v>
      </c>
      <c r="C403" s="62" t="s">
        <v>26</v>
      </c>
      <c r="D403" s="63" t="s">
        <v>858</v>
      </c>
      <c r="E403" s="64" t="str">
        <f>IFERROR(UPPER(IF(C403="CPU",VLOOKUP(D403,#REF!,2,0),IF(C403="SINAPI",VLOOKUP(D403,#REF!,2,0),IF(C403="EDIF",VLOOKUP(D403,#REF!,2,0),IF(C403="CDHU",VLOOKUP(D403,#REF!,2,0),IF(C403="FDE",VLOOKUP(D403,'FDE 10-23 '!$A$4:$E$3180,2,0),IF(C403="INFRA",VLOOKUP(D403,#REF!,2,0),""))))))),"")</f>
        <v>CHAPISCO</v>
      </c>
      <c r="F403" s="65" t="str">
        <f>VLOOKUP(D403,'FDE 10-23 '!$A$4:$E$3180,3,0)</f>
        <v>M2</v>
      </c>
      <c r="G403" s="66">
        <f>VLOOKUP(B403,Planilha17!$A$8:$F$1259,6,0)</f>
        <v>479.92</v>
      </c>
      <c r="H403" s="67">
        <f>VLOOKUP(D403,'FDE 10-23 '!$A$4:$E$3180,5,0)</f>
        <v>5.71</v>
      </c>
      <c r="I403" s="68">
        <f>$L$10</f>
        <v>0.23</v>
      </c>
      <c r="J403" s="67">
        <f>ROUND(H403*(1+I403),2)</f>
        <v>7.02</v>
      </c>
      <c r="K403" s="69">
        <f>SUM(G403*J403)</f>
        <v>3369.0383999999999</v>
      </c>
      <c r="L403" s="51"/>
      <c r="M403" s="52"/>
    </row>
    <row r="404" spans="2:13" s="25" customFormat="1" ht="30" customHeight="1" outlineLevel="1">
      <c r="B404" s="61" t="s">
        <v>859</v>
      </c>
      <c r="C404" s="62" t="s">
        <v>26</v>
      </c>
      <c r="D404" s="63" t="s">
        <v>860</v>
      </c>
      <c r="E404" s="64" t="str">
        <f>IFERROR(UPPER(IF(C404="CPU",VLOOKUP(D404,#REF!,2,0),IF(C404="SINAPI",VLOOKUP(D404,#REF!,2,0),IF(C404="EDIF",VLOOKUP(D404,#REF!,2,0),IF(C404="CDHU",VLOOKUP(D404,#REF!,2,0),IF(C404="FDE",VLOOKUP(D404,'FDE 10-23 '!$A$4:$E$3180,2,0),IF(C404="INFRA",VLOOKUP(D404,#REF!,2,0),""))))))),"")</f>
        <v>EMBOCO DESEMPENADO</v>
      </c>
      <c r="F404" s="65" t="str">
        <f>VLOOKUP(D404,'FDE 10-23 '!$A$4:$E$3180,3,0)</f>
        <v>M2</v>
      </c>
      <c r="G404" s="66">
        <f>VLOOKUP(B404,Planilha17!$A$8:$F$1259,6,0)</f>
        <v>479.92</v>
      </c>
      <c r="H404" s="67">
        <f>VLOOKUP(D404,'FDE 10-23 '!$A$4:$E$3180,5,0)</f>
        <v>35.619999999999997</v>
      </c>
      <c r="I404" s="68">
        <f>$L$10</f>
        <v>0.23</v>
      </c>
      <c r="J404" s="67">
        <f>ROUND(H404*(1+I404),2)</f>
        <v>43.81</v>
      </c>
      <c r="K404" s="69">
        <f>SUM(G404*J404)</f>
        <v>21025.2952</v>
      </c>
      <c r="L404" s="51"/>
      <c r="M404" s="52"/>
    </row>
    <row r="405" spans="2:13" s="25" customFormat="1" ht="30" customHeight="1">
      <c r="B405" s="43">
        <v>13</v>
      </c>
      <c r="C405" s="44"/>
      <c r="D405" s="44" t="s">
        <v>861</v>
      </c>
      <c r="E405" s="45" t="s">
        <v>862</v>
      </c>
      <c r="F405" s="46" t="str">
        <f>IFERROR(UPPER(IF(C405="CPU",VLOOKUP(D405,#REF!,3,0),IF(C405="SINAPI",VLOOKUP(D405,#REF!,3,0),IF(C405="EDIF",VLOOKUP(D405,#REF!,3,0),IF(C405="CDHU",VLOOKUP(D405,#REF!,3,0),IF(C405="FDE",VLOOKUP(D405,#REF!,3,0),IF(C405="INFRA",VLOOKUP(D405,#REF!,3,0),""))))))),"")</f>
        <v/>
      </c>
      <c r="G405" s="47"/>
      <c r="H405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05" s="49"/>
      <c r="J405" s="49"/>
      <c r="K405" s="50">
        <f>SUBTOTAL(9,K406:K425)</f>
        <v>755041.24360000005</v>
      </c>
      <c r="L405" s="51"/>
      <c r="M405" s="52"/>
    </row>
    <row r="406" spans="2:13" s="25" customFormat="1" ht="30" customHeight="1" outlineLevel="1">
      <c r="B406" s="53" t="s">
        <v>863</v>
      </c>
      <c r="C406" s="54"/>
      <c r="D406" s="54" t="s">
        <v>864</v>
      </c>
      <c r="E406" s="55" t="s">
        <v>865</v>
      </c>
      <c r="F406" s="56" t="str">
        <f>IFERROR(UPPER(IF(C406="CPU",VLOOKUP(D406,#REF!,3,0),IF(C406="SINAPI",VLOOKUP(D406,#REF!,3,0),IF(C406="EDIF",VLOOKUP(D406,#REF!,3,0),IF(C406="CDHU",VLOOKUP(D406,#REF!,3,0),IF(C406="FDE",VLOOKUP(D406,#REF!,3,0),IF(C406="INFRA",VLOOKUP(D406,#REF!,3,0),""))))))),"")</f>
        <v/>
      </c>
      <c r="G406" s="57"/>
      <c r="H406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06" s="59"/>
      <c r="J406" s="59"/>
      <c r="K406" s="60">
        <f>SUBTOTAL(9,K407:K409)</f>
        <v>149487.356</v>
      </c>
      <c r="L406" s="51"/>
      <c r="M406" s="52"/>
    </row>
    <row r="407" spans="2:13" s="25" customFormat="1" ht="30" customHeight="1" outlineLevel="1">
      <c r="B407" s="61" t="s">
        <v>866</v>
      </c>
      <c r="C407" s="62" t="s">
        <v>26</v>
      </c>
      <c r="D407" s="63" t="s">
        <v>867</v>
      </c>
      <c r="E407" s="64" t="str">
        <f>IFERROR(UPPER(IF(C407="CPU",VLOOKUP(D407,#REF!,2,0),IF(C407="SINAPI",VLOOKUP(D407,#REF!,2,0),IF(C407="EDIF",VLOOKUP(D407,#REF!,2,0),IF(C407="CDHU",VLOOKUP(D407,#REF!,2,0),IF(C407="FDE",VLOOKUP(D407,'FDE 10-23 '!$A$4:$E$3180,2,0),IF(C407="INFRA",VLOOKUP(D407,#REF!,2,0),""))))))),"")</f>
        <v>LASTRO DE CONCRETO C/ HIDROFUGO E=5CM</v>
      </c>
      <c r="F407" s="65" t="str">
        <f>VLOOKUP(D407,'FDE 10-23 '!$A$4:$E$3180,3,0)</f>
        <v>M2</v>
      </c>
      <c r="G407" s="66">
        <f>VLOOKUP(B407,Planilha17!$A$8:$F$1259,6,0)</f>
        <v>1357.6</v>
      </c>
      <c r="H407" s="67">
        <f>VLOOKUP(D407,'FDE 10-23 '!$A$4:$E$3180,5,0)</f>
        <v>35.770000000000003</v>
      </c>
      <c r="I407" s="68">
        <f>$L$10</f>
        <v>0.23</v>
      </c>
      <c r="J407" s="67">
        <f>ROUND(H407*(1+I407),2)</f>
        <v>44</v>
      </c>
      <c r="K407" s="69">
        <f>SUM(G407*J407)</f>
        <v>59734.399999999994</v>
      </c>
      <c r="L407" s="51"/>
      <c r="M407" s="52"/>
    </row>
    <row r="408" spans="2:13" s="25" customFormat="1" ht="30" customHeight="1" outlineLevel="1">
      <c r="B408" s="61" t="s">
        <v>868</v>
      </c>
      <c r="C408" s="62" t="s">
        <v>26</v>
      </c>
      <c r="D408" s="63" t="s">
        <v>869</v>
      </c>
      <c r="E408" s="64" t="str">
        <f>IFERROR(UPPER(IF(C408="CPU",VLOOKUP(D408,#REF!,2,0),IF(C408="SINAPI",VLOOKUP(D408,#REF!,2,0),IF(C408="EDIF",VLOOKUP(D408,#REF!,2,0),IF(C408="CDHU",VLOOKUP(D408,#REF!,2,0),IF(C408="FDE",VLOOKUP(D408,'FDE 10-23 '!$A$4:$E$3180,2,0),IF(C408="INFRA",VLOOKUP(D408,#REF!,2,0),""))))))),"")</f>
        <v>LASTRO DE PEDRA BRITADA - 5CM</v>
      </c>
      <c r="F408" s="65" t="str">
        <f>VLOOKUP(D408,'FDE 10-23 '!$A$4:$E$3180,3,0)</f>
        <v>M2</v>
      </c>
      <c r="G408" s="66">
        <f>VLOOKUP(B408,Planilha17!$A$8:$F$1259,6,0)</f>
        <v>1357.6</v>
      </c>
      <c r="H408" s="67">
        <f>VLOOKUP(D408,'FDE 10-23 '!$A$4:$E$3180,5,0)</f>
        <v>9.7100000000000009</v>
      </c>
      <c r="I408" s="68">
        <f>$L$10</f>
        <v>0.23</v>
      </c>
      <c r="J408" s="67">
        <f>ROUND(H408*(1+I408),2)</f>
        <v>11.94</v>
      </c>
      <c r="K408" s="69">
        <f>SUM(G408*J408)</f>
        <v>16209.743999999999</v>
      </c>
      <c r="L408" s="51"/>
      <c r="M408" s="52"/>
    </row>
    <row r="409" spans="2:13" s="25" customFormat="1" ht="30" customHeight="1" outlineLevel="1">
      <c r="B409" s="61" t="s">
        <v>870</v>
      </c>
      <c r="C409" s="62" t="s">
        <v>26</v>
      </c>
      <c r="D409" s="63" t="s">
        <v>871</v>
      </c>
      <c r="E409" s="64" t="str">
        <f>IFERROR(UPPER(IF(C409="CPU",VLOOKUP(D409,#REF!,2,0),IF(C409="SINAPI",VLOOKUP(D409,#REF!,2,0),IF(C409="EDIF",VLOOKUP(D409,#REF!,2,0),IF(C409="CDHU",VLOOKUP(D409,#REF!,2,0),IF(C409="FDE",VLOOKUP(D409,'FDE 10-23 '!$A$4:$E$3180,2,0),IF(C409="INFRA",VLOOKUP(D409,#REF!,2,0),""))))))),"")</f>
        <v>ARGAMASSA DE REGULARIZACAO CIM/AREIA 1:3 ESP=2,50CM</v>
      </c>
      <c r="F409" s="65" t="str">
        <f>VLOOKUP(D409,'FDE 10-23 '!$A$4:$E$3180,3,0)</f>
        <v>M2</v>
      </c>
      <c r="G409" s="66">
        <f>VLOOKUP(B409,Planilha17!$A$8:$F$1259,6,0)</f>
        <v>2307.6</v>
      </c>
      <c r="H409" s="67">
        <f>VLOOKUP(D409,'FDE 10-23 '!$A$4:$E$3180,5,0)</f>
        <v>25.91</v>
      </c>
      <c r="I409" s="68">
        <f>$L$10</f>
        <v>0.23</v>
      </c>
      <c r="J409" s="67">
        <f>ROUND(H409*(1+I409),2)</f>
        <v>31.87</v>
      </c>
      <c r="K409" s="69">
        <f>SUM(G409*J409)</f>
        <v>73543.212</v>
      </c>
      <c r="L409" s="51"/>
      <c r="M409" s="52"/>
    </row>
    <row r="410" spans="2:13" s="25" customFormat="1" ht="30" customHeight="1" outlineLevel="1">
      <c r="B410" s="53" t="s">
        <v>872</v>
      </c>
      <c r="C410" s="54"/>
      <c r="D410" s="54" t="s">
        <v>873</v>
      </c>
      <c r="E410" s="55" t="s">
        <v>874</v>
      </c>
      <c r="F410" s="56" t="str">
        <f>IFERROR(UPPER(IF(C410="CPU",VLOOKUP(D410,#REF!,3,0),IF(C410="SINAPI",VLOOKUP(D410,#REF!,3,0),IF(C410="EDIF",VLOOKUP(D410,#REF!,3,0),IF(C410="CDHU",VLOOKUP(D410,#REF!,3,0),IF(C410="FDE",VLOOKUP(D410,#REF!,3,0),IF(C410="INFRA",VLOOKUP(D410,#REF!,3,0),""))))))),"")</f>
        <v/>
      </c>
      <c r="G410" s="57"/>
      <c r="H41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10" s="59"/>
      <c r="J410" s="59"/>
      <c r="K410" s="60">
        <f>SUBTOTAL(9,K411:K414)</f>
        <v>555122.57160000002</v>
      </c>
      <c r="L410" s="51"/>
      <c r="M410" s="52"/>
    </row>
    <row r="411" spans="2:13" s="25" customFormat="1" ht="30" customHeight="1" outlineLevel="1">
      <c r="B411" s="61" t="s">
        <v>875</v>
      </c>
      <c r="C411" s="62" t="s">
        <v>26</v>
      </c>
      <c r="D411" s="63" t="s">
        <v>876</v>
      </c>
      <c r="E411" s="64" t="str">
        <f>IFERROR(UPPER(IF(C411="CPU",VLOOKUP(D411,#REF!,2,0),IF(C411="SINAPI",VLOOKUP(D411,#REF!,2,0),IF(C411="EDIF",VLOOKUP(D411,#REF!,2,0),IF(C411="CDHU",VLOOKUP(D411,#REF!,2,0),IF(C411="FDE",VLOOKUP(D411,'FDE 10-23 '!$A$4:$E$3180,2,0),IF(C411="INFRA",VLOOKUP(D411,#REF!,2,0),""))))))),"")</f>
        <v>CIMENTADO DESEMPENADO ALISADO E=3,50CM INCL ARG REG</v>
      </c>
      <c r="F411" s="65" t="str">
        <f>VLOOKUP(D411,'FDE 10-23 '!$A$4:$E$3180,3,0)</f>
        <v>M2</v>
      </c>
      <c r="G411" s="66">
        <f>VLOOKUP(B411,Planilha17!$A$8:$F$1259,6,0)</f>
        <v>113.75</v>
      </c>
      <c r="H411" s="67">
        <f>VLOOKUP(D411,'FDE 10-23 '!$A$4:$E$3180,5,0)</f>
        <v>52.28</v>
      </c>
      <c r="I411" s="68">
        <f>$L$10</f>
        <v>0.23</v>
      </c>
      <c r="J411" s="67">
        <f>ROUND(H411*(1+I411),2)</f>
        <v>64.3</v>
      </c>
      <c r="K411" s="69">
        <f>SUM(G411*J411)</f>
        <v>7314.125</v>
      </c>
      <c r="L411" s="51"/>
      <c r="M411" s="52"/>
    </row>
    <row r="412" spans="2:13" s="25" customFormat="1" ht="30" customHeight="1" outlineLevel="1">
      <c r="B412" s="61" t="s">
        <v>877</v>
      </c>
      <c r="C412" s="62" t="s">
        <v>26</v>
      </c>
      <c r="D412" s="63" t="s">
        <v>878</v>
      </c>
      <c r="E412" s="64" t="str">
        <f>IFERROR(UPPER(IF(C412="CPU",VLOOKUP(D412,#REF!,2,0),IF(C412="SINAPI",VLOOKUP(D412,#REF!,2,0),IF(C412="EDIF",VLOOKUP(D412,#REF!,2,0),IF(C412="CDHU",VLOOKUP(D412,#REF!,2,0),IF(C412="FDE",VLOOKUP(D412,'FDE 10-23 '!$A$4:$E$3180,2,0),IF(C412="INFRA",VLOOKUP(D412,#REF!,2,0),""))))))),"")</f>
        <v>BORRACHA COLADA - PISO TATIL DIRECIONAL</v>
      </c>
      <c r="F412" s="65" t="str">
        <f>VLOOKUP(D412,'FDE 10-23 '!$A$4:$E$3180,3,0)</f>
        <v>M2</v>
      </c>
      <c r="G412" s="66">
        <f>VLOOKUP(B412,Planilha17!$A$8:$F$1259,6,0)</f>
        <v>15.94</v>
      </c>
      <c r="H412" s="67">
        <f>VLOOKUP(D412,'FDE 10-23 '!$A$4:$E$3180,5,0)</f>
        <v>201.37</v>
      </c>
      <c r="I412" s="68">
        <f>$L$10</f>
        <v>0.23</v>
      </c>
      <c r="J412" s="67">
        <f>ROUND(H412*(1+I412),2)</f>
        <v>247.69</v>
      </c>
      <c r="K412" s="69">
        <f>SUM(G412*J412)</f>
        <v>3948.1785999999997</v>
      </c>
      <c r="L412" s="51"/>
      <c r="M412" s="52"/>
    </row>
    <row r="413" spans="2:13" s="25" customFormat="1" ht="30" customHeight="1" outlineLevel="1">
      <c r="B413" s="61" t="s">
        <v>879</v>
      </c>
      <c r="C413" s="62" t="s">
        <v>26</v>
      </c>
      <c r="D413" s="63" t="s">
        <v>880</v>
      </c>
      <c r="E413" s="64" t="str">
        <f>IFERROR(UPPER(IF(C413="CPU",VLOOKUP(D413,#REF!,2,0),IF(C413="SINAPI",VLOOKUP(D413,#REF!,2,0),IF(C413="EDIF",VLOOKUP(D413,#REF!,2,0),IF(C413="CDHU",VLOOKUP(D413,#REF!,2,0),IF(C413="FDE",VLOOKUP(D413,'FDE 10-23 '!$A$4:$E$3180,2,0),IF(C413="INFRA",VLOOKUP(D413,#REF!,2,0),""))))))),"")</f>
        <v>SINALIZAÇÃO VISUAL DE DEGRAUS FITA ADESIVA COR AMARELA 25X200MM (2 FAIXAS)</v>
      </c>
      <c r="F413" s="65" t="str">
        <f>VLOOKUP(D413,'FDE 10-23 '!$A$4:$E$3180,3,0)</f>
        <v>CJ</v>
      </c>
      <c r="G413" s="66">
        <f>VLOOKUP(B413,Planilha17!$A$8:$F$1259,6,0)</f>
        <v>40</v>
      </c>
      <c r="H413" s="67">
        <f>VLOOKUP(D413,'FDE 10-23 '!$A$4:$E$3180,5,0)</f>
        <v>11.83</v>
      </c>
      <c r="I413" s="68">
        <f>$L$10</f>
        <v>0.23</v>
      </c>
      <c r="J413" s="67">
        <f>ROUND(H413*(1+I413),2)</f>
        <v>14.55</v>
      </c>
      <c r="K413" s="69">
        <f>SUM(G413*J413)</f>
        <v>582</v>
      </c>
      <c r="L413" s="51"/>
      <c r="M413" s="52"/>
    </row>
    <row r="414" spans="2:13" s="25" customFormat="1" ht="30" customHeight="1" outlineLevel="1">
      <c r="B414" s="61" t="s">
        <v>881</v>
      </c>
      <c r="C414" s="62" t="s">
        <v>26</v>
      </c>
      <c r="D414" s="63" t="s">
        <v>882</v>
      </c>
      <c r="E414" s="64" t="str">
        <f>IFERROR(UPPER(IF(C414="CPU",VLOOKUP(D414,#REF!,2,0),IF(C414="SINAPI",VLOOKUP(D414,#REF!,2,0),IF(C414="EDIF",VLOOKUP(D414,#REF!,2,0),IF(C414="CDHU",VLOOKUP(D414,#REF!,2,0),IF(C414="FDE",VLOOKUP(D414,'FDE 10-23 '!$A$4:$E$3180,2,0),IF(C414="INFRA",VLOOKUP(D414,#REF!,2,0),""))))))),"")</f>
        <v>PORCELANATO ESMALTADO</v>
      </c>
      <c r="F414" s="65" t="str">
        <f>VLOOKUP(D414,'FDE 10-23 '!$A$4:$E$3180,3,0)</f>
        <v>M2</v>
      </c>
      <c r="G414" s="66">
        <f>VLOOKUP(B414,Planilha17!$A$8:$F$1259,6,0)</f>
        <v>2307.6</v>
      </c>
      <c r="H414" s="67">
        <f>VLOOKUP(D414,'FDE 10-23 '!$A$4:$E$3180,5,0)</f>
        <v>191.41</v>
      </c>
      <c r="I414" s="68">
        <f>$L$10</f>
        <v>0.23</v>
      </c>
      <c r="J414" s="67">
        <f>ROUND(H414*(1+I414),2)</f>
        <v>235.43</v>
      </c>
      <c r="K414" s="69">
        <f>SUM(G414*J414)</f>
        <v>543278.26800000004</v>
      </c>
      <c r="L414" s="51"/>
      <c r="M414" s="52"/>
    </row>
    <row r="415" spans="2:13" s="25" customFormat="1" ht="30" customHeight="1" outlineLevel="1">
      <c r="B415" s="53" t="s">
        <v>883</v>
      </c>
      <c r="C415" s="54"/>
      <c r="D415" s="54" t="s">
        <v>884</v>
      </c>
      <c r="E415" s="55" t="s">
        <v>885</v>
      </c>
      <c r="F415" s="56" t="str">
        <f>IFERROR(UPPER(IF(C415="CPU",VLOOKUP(D415,#REF!,3,0),IF(C415="SINAPI",VLOOKUP(D415,#REF!,3,0),IF(C415="EDIF",VLOOKUP(D415,#REF!,3,0),IF(C415="CDHU",VLOOKUP(D415,#REF!,3,0),IF(C415="FDE",VLOOKUP(D415,#REF!,3,0),IF(C415="INFRA",VLOOKUP(D415,#REF!,3,0),""))))))),"")</f>
        <v/>
      </c>
      <c r="G415" s="57"/>
      <c r="H41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15" s="59"/>
      <c r="J415" s="59"/>
      <c r="K415" s="60">
        <f>SUBTOTAL(9,K416)</f>
        <v>1930.7800000000002</v>
      </c>
      <c r="L415" s="51"/>
      <c r="M415" s="52"/>
    </row>
    <row r="416" spans="2:13" s="25" customFormat="1" ht="30" customHeight="1" outlineLevel="1">
      <c r="B416" s="61" t="s">
        <v>886</v>
      </c>
      <c r="C416" s="62" t="s">
        <v>26</v>
      </c>
      <c r="D416" s="63" t="s">
        <v>887</v>
      </c>
      <c r="E416" s="64" t="str">
        <f>IFERROR(UPPER(IF(C416="CPU",VLOOKUP(D416,#REF!,2,0),IF(C416="SINAPI",VLOOKUP(D416,#REF!,2,0),IF(C416="EDIF",VLOOKUP(D416,#REF!,2,0),IF(C416="CDHU",VLOOKUP(D416,#REF!,2,0),IF(C416="FDE",VLOOKUP(D416,'FDE 10-23 '!$A$4:$E$3180,2,0),IF(C416="INFRA",VLOOKUP(D416,#REF!,2,0),""))))))),"")</f>
        <v>DEGRAUS EM ARGAMASSA DE CIMENTO E AREIA 1:3 ESPESSURA DE 2 CM</v>
      </c>
      <c r="F416" s="65" t="str">
        <f>VLOOKUP(D416,'FDE 10-23 '!$A$4:$E$3180,3,0)</f>
        <v>M</v>
      </c>
      <c r="G416" s="66">
        <f>VLOOKUP(B416,Planilha17!$A$8:$F$1259,6,0)</f>
        <v>38</v>
      </c>
      <c r="H416" s="67">
        <f>VLOOKUP(D416,'FDE 10-23 '!$A$4:$E$3180,5,0)</f>
        <v>41.31</v>
      </c>
      <c r="I416" s="68">
        <f>$L$10</f>
        <v>0.23</v>
      </c>
      <c r="J416" s="67">
        <f>ROUND(H416*(1+I416),2)</f>
        <v>50.81</v>
      </c>
      <c r="K416" s="69">
        <f>SUM(G416*J416)</f>
        <v>1930.7800000000002</v>
      </c>
      <c r="L416" s="51"/>
      <c r="M416" s="52"/>
    </row>
    <row r="417" spans="2:13" s="25" customFormat="1" ht="30" customHeight="1" outlineLevel="1">
      <c r="B417" s="53" t="s">
        <v>888</v>
      </c>
      <c r="C417" s="54"/>
      <c r="D417" s="54" t="s">
        <v>889</v>
      </c>
      <c r="E417" s="55" t="s">
        <v>890</v>
      </c>
      <c r="F417" s="56" t="str">
        <f>IFERROR(UPPER(IF(C417="CPU",VLOOKUP(D417,#REF!,3,0),IF(C417="SINAPI",VLOOKUP(D417,#REF!,3,0),IF(C417="EDIF",VLOOKUP(D417,#REF!,3,0),IF(C417="CDHU",VLOOKUP(D417,#REF!,3,0),IF(C417="FDE",VLOOKUP(D417,#REF!,3,0),IF(C417="INFRA",VLOOKUP(D417,#REF!,3,0),""))))))),"")</f>
        <v/>
      </c>
      <c r="G417" s="57"/>
      <c r="H41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17" s="59"/>
      <c r="J417" s="59"/>
      <c r="K417" s="60">
        <f>SUBTOTAL(9,K418:K420)</f>
        <v>28296.002999999997</v>
      </c>
      <c r="L417" s="51"/>
      <c r="M417" s="52"/>
    </row>
    <row r="418" spans="2:13" s="25" customFormat="1" ht="30" customHeight="1" outlineLevel="1">
      <c r="B418" s="61" t="s">
        <v>891</v>
      </c>
      <c r="C418" s="62" t="s">
        <v>26</v>
      </c>
      <c r="D418" s="63" t="s">
        <v>892</v>
      </c>
      <c r="E418" s="64" t="str">
        <f>IFERROR(UPPER(IF(C418="CPU",VLOOKUP(D418,#REF!,2,0),IF(C418="SINAPI",VLOOKUP(D418,#REF!,2,0),IF(C418="EDIF",VLOOKUP(D418,#REF!,2,0),IF(C418="CDHU",VLOOKUP(D418,#REF!,2,0),IF(C418="FDE",VLOOKUP(D418,'FDE 10-23 '!$A$4:$E$3180,2,0),IF(C418="INFRA",VLOOKUP(D418,#REF!,2,0),""))))))),"")</f>
        <v>RODAPE DE ARGAMASSA DE CIM/AREIA 1:3 PARA ESCADA</v>
      </c>
      <c r="F418" s="65" t="str">
        <f>VLOOKUP(D418,'FDE 10-23 '!$A$4:$E$3180,3,0)</f>
        <v>M</v>
      </c>
      <c r="G418" s="66">
        <f>VLOOKUP(B418,Planilha17!$A$8:$F$1259,6,0)</f>
        <v>10.8</v>
      </c>
      <c r="H418" s="67">
        <f>VLOOKUP(D418,'FDE 10-23 '!$A$4:$E$3180,5,0)</f>
        <v>31.3</v>
      </c>
      <c r="I418" s="68">
        <f>$L$10</f>
        <v>0.23</v>
      </c>
      <c r="J418" s="67">
        <f>ROUND(H418*(1+I418),2)</f>
        <v>38.5</v>
      </c>
      <c r="K418" s="69">
        <f>SUM(G418*J418)</f>
        <v>415.8</v>
      </c>
      <c r="L418" s="51"/>
      <c r="M418" s="52"/>
    </row>
    <row r="419" spans="2:13" s="25" customFormat="1" ht="30" customHeight="1" outlineLevel="1">
      <c r="B419" s="61" t="s">
        <v>893</v>
      </c>
      <c r="C419" s="62" t="s">
        <v>26</v>
      </c>
      <c r="D419" s="63" t="s">
        <v>894</v>
      </c>
      <c r="E419" s="64" t="str">
        <f>IFERROR(UPPER(IF(C419="CPU",VLOOKUP(D419,#REF!,2,0),IF(C419="SINAPI",VLOOKUP(D419,#REF!,2,0),IF(C419="EDIF",VLOOKUP(D419,#REF!,2,0),IF(C419="CDHU",VLOOKUP(D419,#REF!,2,0),IF(C419="FDE",VLOOKUP(D419,'FDE 10-23 '!$A$4:$E$3180,2,0),IF(C419="INFRA",VLOOKUP(D419,#REF!,2,0),""))))))),"")</f>
        <v>RODAPÉ DE ARGAMASSA CIMENTO E AREIA 1:3 ESPESSURA 1,5CM X ALTURA DE 7CM</v>
      </c>
      <c r="F419" s="65" t="str">
        <f>VLOOKUP(D419,'FDE 10-23 '!$A$4:$E$3180,3,0)</f>
        <v>M</v>
      </c>
      <c r="G419" s="66">
        <f>VLOOKUP(B419,Planilha17!$A$8:$F$1259,6,0)</f>
        <v>103.4</v>
      </c>
      <c r="H419" s="67">
        <f>VLOOKUP(D419,'FDE 10-23 '!$A$4:$E$3180,5,0)</f>
        <v>19.05</v>
      </c>
      <c r="I419" s="68">
        <f>$L$10</f>
        <v>0.23</v>
      </c>
      <c r="J419" s="67">
        <f>ROUND(H419*(1+I419),2)</f>
        <v>23.43</v>
      </c>
      <c r="K419" s="69">
        <f>SUM(G419*J419)</f>
        <v>2422.6620000000003</v>
      </c>
      <c r="L419" s="51"/>
      <c r="M419" s="52"/>
    </row>
    <row r="420" spans="2:13" s="25" customFormat="1" ht="30" customHeight="1" outlineLevel="1">
      <c r="B420" s="61" t="s">
        <v>895</v>
      </c>
      <c r="C420" s="62" t="s">
        <v>26</v>
      </c>
      <c r="D420" s="63" t="s">
        <v>896</v>
      </c>
      <c r="E420" s="64" t="str">
        <f>IFERROR(UPPER(IF(C420="CPU",VLOOKUP(D420,#REF!,2,0),IF(C420="SINAPI",VLOOKUP(D420,#REF!,2,0),IF(C420="EDIF",VLOOKUP(D420,#REF!,2,0),IF(C420="CDHU",VLOOKUP(D420,#REF!,2,0),IF(C420="FDE",VLOOKUP(D420,'FDE 10-23 '!$A$4:$E$3180,2,0),IF(C420="INFRA",VLOOKUP(D420,#REF!,2,0),""))))))),"")</f>
        <v>RODAPE PORCELANATO ESMALTADO 7CM</v>
      </c>
      <c r="F420" s="65" t="str">
        <f>VLOOKUP(D420,'FDE 10-23 '!$A$4:$E$3180,3,0)</f>
        <v>M</v>
      </c>
      <c r="G420" s="66">
        <f>VLOOKUP(B420,Planilha17!$A$8:$F$1259,6,0)</f>
        <v>1026.0999999999999</v>
      </c>
      <c r="H420" s="67">
        <f>VLOOKUP(D420,'FDE 10-23 '!$A$4:$E$3180,5,0)</f>
        <v>20.170000000000002</v>
      </c>
      <c r="I420" s="68">
        <f>$L$10</f>
        <v>0.23</v>
      </c>
      <c r="J420" s="67">
        <f>ROUND(H420*(1+I420),2)</f>
        <v>24.81</v>
      </c>
      <c r="K420" s="69">
        <f>SUM(G420*J420)</f>
        <v>25457.540999999997</v>
      </c>
      <c r="L420" s="51"/>
      <c r="M420" s="52"/>
    </row>
    <row r="421" spans="2:13" s="25" customFormat="1" ht="30" customHeight="1" outlineLevel="1">
      <c r="B421" s="53" t="s">
        <v>897</v>
      </c>
      <c r="C421" s="54"/>
      <c r="D421" s="54" t="s">
        <v>898</v>
      </c>
      <c r="E421" s="55" t="s">
        <v>899</v>
      </c>
      <c r="F421" s="56" t="str">
        <f>IFERROR(UPPER(IF(C421="CPU",VLOOKUP(D421,#REF!,3,0),IF(C421="SINAPI",VLOOKUP(D421,#REF!,3,0),IF(C421="EDIF",VLOOKUP(D421,#REF!,3,0),IF(C421="CDHU",VLOOKUP(D421,#REF!,3,0),IF(C421="FDE",VLOOKUP(D421,#REF!,3,0),IF(C421="INFRA",VLOOKUP(D421,#REF!,3,0),""))))))),"")</f>
        <v/>
      </c>
      <c r="G421" s="57"/>
      <c r="H421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21" s="59"/>
      <c r="J421" s="59"/>
      <c r="K421" s="60">
        <f>SUBTOTAL(9,K422:K423)</f>
        <v>3306.5730000000003</v>
      </c>
      <c r="L421" s="51"/>
      <c r="M421" s="52"/>
    </row>
    <row r="422" spans="2:13" s="25" customFormat="1" ht="30" customHeight="1" outlineLevel="1">
      <c r="B422" s="61" t="s">
        <v>900</v>
      </c>
      <c r="C422" s="62" t="s">
        <v>26</v>
      </c>
      <c r="D422" s="63" t="s">
        <v>901</v>
      </c>
      <c r="E422" s="64" t="str">
        <f>IFERROR(UPPER(IF(C422="CPU",VLOOKUP(D422,#REF!,2,0),IF(C422="SINAPI",VLOOKUP(D422,#REF!,2,0),IF(C422="EDIF",VLOOKUP(D422,#REF!,2,0),IF(C422="CDHU",VLOOKUP(D422,#REF!,2,0),IF(C422="FDE",VLOOKUP(D422,'FDE 10-23 '!$A$4:$E$3180,2,0),IF(C422="INFRA",VLOOKUP(D422,#REF!,2,0),""))))))),"")</f>
        <v>SO-15 SOLEIRA RAMPADA DESNIVEL ATE 2CM (CIMENTADO / ALVENARIA 22CM)</v>
      </c>
      <c r="F422" s="65" t="str">
        <f>VLOOKUP(D422,'FDE 10-23 '!$A$4:$E$3180,3,0)</f>
        <v>M</v>
      </c>
      <c r="G422" s="66">
        <f>VLOOKUP(B422,Planilha17!$A$8:$F$1259,6,0)</f>
        <v>17</v>
      </c>
      <c r="H422" s="67">
        <f>VLOOKUP(D422,'FDE 10-23 '!$A$4:$E$3180,5,0)</f>
        <v>118.16</v>
      </c>
      <c r="I422" s="68">
        <f>$L$10</f>
        <v>0.23</v>
      </c>
      <c r="J422" s="67">
        <f>ROUND(H422*(1+I422),2)</f>
        <v>145.34</v>
      </c>
      <c r="K422" s="69">
        <f>SUM(G422*J422)</f>
        <v>2470.7800000000002</v>
      </c>
      <c r="L422" s="51"/>
      <c r="M422" s="52"/>
    </row>
    <row r="423" spans="2:13" s="25" customFormat="1" ht="30" customHeight="1" outlineLevel="1">
      <c r="B423" s="61" t="s">
        <v>902</v>
      </c>
      <c r="C423" s="62" t="s">
        <v>26</v>
      </c>
      <c r="D423" s="63" t="s">
        <v>903</v>
      </c>
      <c r="E423" s="64" t="str">
        <f>IFERROR(UPPER(IF(C423="CPU",VLOOKUP(D423,#REF!,2,0),IF(C423="SINAPI",VLOOKUP(D423,#REF!,2,0),IF(C423="EDIF",VLOOKUP(D423,#REF!,2,0),IF(C423="CDHU",VLOOKUP(D423,#REF!,2,0),IF(C423="FDE",VLOOKUP(D423,'FDE 10-23 '!$A$4:$E$3180,2,0),IF(C423="INFRA",VLOOKUP(D423,#REF!,2,0),""))))))),"")</f>
        <v>SO-23 SOLEIRA DE GRANITO EM NIVEL 1 PEÇA (L=19 A 22CM)</v>
      </c>
      <c r="F423" s="65" t="str">
        <f>VLOOKUP(D423,'FDE 10-23 '!$A$4:$E$3180,3,0)</f>
        <v>M</v>
      </c>
      <c r="G423" s="66">
        <f>VLOOKUP(B423,Planilha17!$A$8:$F$1259,6,0)</f>
        <v>3.7</v>
      </c>
      <c r="H423" s="67">
        <f>VLOOKUP(D423,'FDE 10-23 '!$A$4:$E$3180,5,0)</f>
        <v>183.65</v>
      </c>
      <c r="I423" s="68">
        <f>$L$10</f>
        <v>0.23</v>
      </c>
      <c r="J423" s="67">
        <f>ROUND(H423*(1+I423),2)</f>
        <v>225.89</v>
      </c>
      <c r="K423" s="69">
        <f>SUM(G423*J423)</f>
        <v>835.79300000000001</v>
      </c>
      <c r="L423" s="51"/>
      <c r="M423" s="52"/>
    </row>
    <row r="424" spans="2:13" s="25" customFormat="1" ht="30" customHeight="1" outlineLevel="1">
      <c r="B424" s="53" t="s">
        <v>904</v>
      </c>
      <c r="C424" s="54"/>
      <c r="D424" s="54" t="s">
        <v>905</v>
      </c>
      <c r="E424" s="55" t="s">
        <v>906</v>
      </c>
      <c r="F424" s="56" t="str">
        <f>IFERROR(UPPER(IF(C424="CPU",VLOOKUP(D424,#REF!,3,0),IF(C424="SINAPI",VLOOKUP(D424,#REF!,3,0),IF(C424="EDIF",VLOOKUP(D424,#REF!,3,0),IF(C424="CDHU",VLOOKUP(D424,#REF!,3,0),IF(C424="FDE",VLOOKUP(D424,#REF!,3,0),IF(C424="INFRA",VLOOKUP(D424,#REF!,3,0),""))))))),"")</f>
        <v/>
      </c>
      <c r="G424" s="57"/>
      <c r="H424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24" s="59"/>
      <c r="J424" s="59"/>
      <c r="K424" s="60">
        <f>SUBTOTAL(9,K425)</f>
        <v>16897.96</v>
      </c>
      <c r="L424" s="51"/>
      <c r="M424" s="52"/>
    </row>
    <row r="425" spans="2:13" s="25" customFormat="1" ht="30" customHeight="1" outlineLevel="1">
      <c r="B425" s="61" t="s">
        <v>907</v>
      </c>
      <c r="C425" s="62" t="s">
        <v>26</v>
      </c>
      <c r="D425" s="63" t="s">
        <v>908</v>
      </c>
      <c r="E425" s="64" t="str">
        <f>IFERROR(UPPER(IF(C425="CPU",VLOOKUP(D425,#REF!,2,0),IF(C425="SINAPI",VLOOKUP(D425,#REF!,2,0),IF(C425="EDIF",VLOOKUP(D425,#REF!,2,0),IF(C425="CDHU",VLOOKUP(D425,#REF!,2,0),IF(C425="FDE",VLOOKUP(D425,'FDE 10-23 '!$A$4:$E$3180,2,0),IF(C425="INFRA",VLOOKUP(D425,#REF!,2,0),""))))))),"")</f>
        <v>PE-02 PEITORIL</v>
      </c>
      <c r="F425" s="65" t="str">
        <f>VLOOKUP(D425,'FDE 10-23 '!$A$4:$E$3180,3,0)</f>
        <v>M</v>
      </c>
      <c r="G425" s="66">
        <f>VLOOKUP(B425,Planilha17!$A$8:$F$1259,6,0)</f>
        <v>191.5</v>
      </c>
      <c r="H425" s="67">
        <f>VLOOKUP(D425,'FDE 10-23 '!$A$4:$E$3180,5,0)</f>
        <v>71.739999999999995</v>
      </c>
      <c r="I425" s="68">
        <f>$L$10</f>
        <v>0.23</v>
      </c>
      <c r="J425" s="67">
        <f>ROUND(H425*(1+I425),2)</f>
        <v>88.24</v>
      </c>
      <c r="K425" s="69">
        <f>SUM(G425*J425)</f>
        <v>16897.96</v>
      </c>
      <c r="L425" s="51"/>
      <c r="M425" s="52"/>
    </row>
    <row r="426" spans="2:13" s="25" customFormat="1" ht="30" customHeight="1">
      <c r="B426" s="43">
        <v>14</v>
      </c>
      <c r="C426" s="44"/>
      <c r="D426" s="44" t="s">
        <v>909</v>
      </c>
      <c r="E426" s="45" t="s">
        <v>910</v>
      </c>
      <c r="F426" s="46" t="str">
        <f>IFERROR(UPPER(IF(C426="CPU",VLOOKUP(D426,#REF!,3,0),IF(C426="SINAPI",VLOOKUP(D426,#REF!,3,0),IF(C426="EDIF",VLOOKUP(D426,#REF!,3,0),IF(C426="CDHU",VLOOKUP(D426,#REF!,3,0),IF(C426="FDE",VLOOKUP(D426,#REF!,3,0),IF(C426="INFRA",VLOOKUP(D426,#REF!,3,0),""))))))),"")</f>
        <v/>
      </c>
      <c r="G426" s="47"/>
      <c r="H426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26" s="49"/>
      <c r="J426" s="49"/>
      <c r="K426" s="50">
        <f>SUBTOTAL(9,K427:K431)</f>
        <v>61802.564300000005</v>
      </c>
      <c r="L426" s="51"/>
      <c r="M426" s="52"/>
    </row>
    <row r="427" spans="2:13" s="25" customFormat="1" ht="30" customHeight="1" outlineLevel="1">
      <c r="B427" s="53" t="s">
        <v>911</v>
      </c>
      <c r="C427" s="54"/>
      <c r="D427" s="54" t="s">
        <v>912</v>
      </c>
      <c r="E427" s="55" t="s">
        <v>910</v>
      </c>
      <c r="F427" s="56" t="str">
        <f>IFERROR(UPPER(IF(C427="CPU",VLOOKUP(D427,#REF!,3,0),IF(C427="SINAPI",VLOOKUP(D427,#REF!,3,0),IF(C427="EDIF",VLOOKUP(D427,#REF!,3,0),IF(C427="CDHU",VLOOKUP(D427,#REF!,3,0),IF(C427="FDE",VLOOKUP(D427,#REF!,3,0),IF(C427="INFRA",VLOOKUP(D427,#REF!,3,0),""))))))),"")</f>
        <v/>
      </c>
      <c r="G427" s="57"/>
      <c r="H42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27" s="59"/>
      <c r="J427" s="59"/>
      <c r="K427" s="60">
        <f>SUBTOTAL(9,K428:K429)</f>
        <v>50533.764300000003</v>
      </c>
      <c r="L427" s="51"/>
      <c r="M427" s="52"/>
    </row>
    <row r="428" spans="2:13" s="25" customFormat="1" ht="30" customHeight="1" outlineLevel="1">
      <c r="B428" s="61" t="s">
        <v>913</v>
      </c>
      <c r="C428" s="62" t="s">
        <v>26</v>
      </c>
      <c r="D428" s="63" t="s">
        <v>914</v>
      </c>
      <c r="E428" s="64" t="str">
        <f>IFERROR(UPPER(IF(C428="CPU",VLOOKUP(D428,#REF!,2,0),IF(C428="SINAPI",VLOOKUP(D428,#REF!,2,0),IF(C428="EDIF",VLOOKUP(D428,#REF!,2,0),IF(C428="CDHU",VLOOKUP(D428,#REF!,2,0),IF(C428="FDE",VLOOKUP(D428,'FDE 10-23 '!$A$4:$E$3180,2,0),IF(C428="INFRA",VLOOKUP(D428,#REF!,2,0),""))))))),"")</f>
        <v>VIDRO LISO COMUM INCOLOR DE 3MM</v>
      </c>
      <c r="F428" s="65" t="str">
        <f>VLOOKUP(D428,'FDE 10-23 '!$A$4:$E$3180,3,0)</f>
        <v>M2</v>
      </c>
      <c r="G428" s="66">
        <f>VLOOKUP(B428,Planilha17!$A$8:$F$1259,6,0)</f>
        <v>462.32</v>
      </c>
      <c r="H428" s="67">
        <f>VLOOKUP(D428,'FDE 10-23 '!$A$4:$E$3180,5,0)</f>
        <v>82.93</v>
      </c>
      <c r="I428" s="68">
        <f>$L$10</f>
        <v>0.23</v>
      </c>
      <c r="J428" s="67">
        <f>ROUND(H428*(1+I428),2)</f>
        <v>102</v>
      </c>
      <c r="K428" s="69">
        <f>SUM(G428*J428)</f>
        <v>47156.639999999999</v>
      </c>
      <c r="L428" s="51"/>
      <c r="M428" s="52"/>
    </row>
    <row r="429" spans="2:13" s="25" customFormat="1" ht="30" customHeight="1" outlineLevel="1">
      <c r="B429" s="61" t="s">
        <v>915</v>
      </c>
      <c r="C429" s="62" t="s">
        <v>26</v>
      </c>
      <c r="D429" s="63" t="s">
        <v>916</v>
      </c>
      <c r="E429" s="64" t="str">
        <f>IFERROR(UPPER(IF(C429="CPU",VLOOKUP(D429,#REF!,2,0),IF(C429="SINAPI",VLOOKUP(D429,#REF!,2,0),IF(C429="EDIF",VLOOKUP(D429,#REF!,2,0),IF(C429="CDHU",VLOOKUP(D429,#REF!,2,0),IF(C429="FDE",VLOOKUP(D429,'FDE 10-23 '!$A$4:$E$3180,2,0),IF(C429="INFRA",VLOOKUP(D429,#REF!,2,0),""))))))),"")</f>
        <v>VIDRO IMPRESSO INCOLOR (E=4MM)</v>
      </c>
      <c r="F429" s="65" t="str">
        <f>VLOOKUP(D429,'FDE 10-23 '!$A$4:$E$3180,3,0)</f>
        <v>M2</v>
      </c>
      <c r="G429" s="66">
        <f>VLOOKUP(B429,Planilha17!$A$8:$F$1259,6,0)</f>
        <v>20.73</v>
      </c>
      <c r="H429" s="67">
        <f>VLOOKUP(D429,'FDE 10-23 '!$A$4:$E$3180,5,0)</f>
        <v>132.44999999999999</v>
      </c>
      <c r="I429" s="68">
        <f>$L$10</f>
        <v>0.23</v>
      </c>
      <c r="J429" s="67">
        <f>ROUND(H429*(1+I429),2)</f>
        <v>162.91</v>
      </c>
      <c r="K429" s="69">
        <f>SUM(G429*J429)</f>
        <v>3377.1242999999999</v>
      </c>
      <c r="L429" s="51"/>
      <c r="M429" s="52"/>
    </row>
    <row r="430" spans="2:13" s="25" customFormat="1" ht="30" customHeight="1" outlineLevel="1">
      <c r="B430" s="53" t="s">
        <v>917</v>
      </c>
      <c r="C430" s="54"/>
      <c r="D430" s="54" t="s">
        <v>918</v>
      </c>
      <c r="E430" s="55" t="s">
        <v>919</v>
      </c>
      <c r="F430" s="56" t="str">
        <f>IFERROR(UPPER(IF(C430="CPU",VLOOKUP(D430,#REF!,3,0),IF(C430="SINAPI",VLOOKUP(D430,#REF!,3,0),IF(C430="EDIF",VLOOKUP(D430,#REF!,3,0),IF(C430="CDHU",VLOOKUP(D430,#REF!,3,0),IF(C430="FDE",VLOOKUP(D430,#REF!,3,0),IF(C430="INFRA",VLOOKUP(D430,#REF!,3,0),""))))))),"")</f>
        <v/>
      </c>
      <c r="G430" s="57"/>
      <c r="H43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30" s="59"/>
      <c r="J430" s="59"/>
      <c r="K430" s="60">
        <f>SUBTOTAL(9,K431)</f>
        <v>11268.800000000001</v>
      </c>
      <c r="L430" s="51"/>
      <c r="M430" s="52"/>
    </row>
    <row r="431" spans="2:13" s="25" customFormat="1" ht="30" customHeight="1" outlineLevel="1">
      <c r="B431" s="61" t="s">
        <v>920</v>
      </c>
      <c r="C431" s="62" t="s">
        <v>26</v>
      </c>
      <c r="D431" s="63" t="s">
        <v>921</v>
      </c>
      <c r="E431" s="64" t="str">
        <f>IFERROR(UPPER(IF(C431="CPU",VLOOKUP(D431,#REF!,2,0),IF(C431="SINAPI",VLOOKUP(D431,#REF!,2,0),IF(C431="EDIF",VLOOKUP(D431,#REF!,2,0),IF(C431="CDHU",VLOOKUP(D431,#REF!,2,0),IF(C431="FDE",VLOOKUP(D431,'FDE 10-23 '!$A$4:$E$3180,2,0),IF(C431="INFRA",VLOOKUP(D431,#REF!,2,0),""))))))),"")</f>
        <v>EP-01 ESPELHO</v>
      </c>
      <c r="F431" s="65" t="str">
        <f>VLOOKUP(D431,'FDE 10-23 '!$A$4:$E$3180,3,0)</f>
        <v>UN</v>
      </c>
      <c r="G431" s="66">
        <f>VLOOKUP(B431,Planilha17!$A$8:$F$1259,6,0)</f>
        <v>20</v>
      </c>
      <c r="H431" s="67">
        <f>VLOOKUP(D431,'FDE 10-23 '!$A$4:$E$3180,5,0)</f>
        <v>458.08</v>
      </c>
      <c r="I431" s="68">
        <f>$L$10</f>
        <v>0.23</v>
      </c>
      <c r="J431" s="67">
        <f>ROUND(H431*(1+I431),2)</f>
        <v>563.44000000000005</v>
      </c>
      <c r="K431" s="69">
        <f>SUM(G431*J431)</f>
        <v>11268.800000000001</v>
      </c>
      <c r="L431" s="51"/>
      <c r="M431" s="52"/>
    </row>
    <row r="432" spans="2:13" s="25" customFormat="1" ht="30" customHeight="1">
      <c r="B432" s="43">
        <v>15</v>
      </c>
      <c r="C432" s="44"/>
      <c r="D432" s="44" t="s">
        <v>922</v>
      </c>
      <c r="E432" s="45" t="s">
        <v>923</v>
      </c>
      <c r="F432" s="46" t="str">
        <f>IFERROR(UPPER(IF(C432="CPU",VLOOKUP(D432,#REF!,3,0),IF(C432="SINAPI",VLOOKUP(D432,#REF!,3,0),IF(C432="EDIF",VLOOKUP(D432,#REF!,3,0),IF(C432="CDHU",VLOOKUP(D432,#REF!,3,0),IF(C432="FDE",VLOOKUP(D432,#REF!,3,0),IF(C432="INFRA",VLOOKUP(D432,#REF!,3,0),""))))))),"")</f>
        <v/>
      </c>
      <c r="G432" s="47"/>
      <c r="H432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32" s="49"/>
      <c r="J432" s="49"/>
      <c r="K432" s="50">
        <f>SUBTOTAL(9,K433:K443)</f>
        <v>228853.29639999999</v>
      </c>
      <c r="L432" s="51"/>
      <c r="M432" s="52"/>
    </row>
    <row r="433" spans="2:13" s="25" customFormat="1" ht="30" customHeight="1" outlineLevel="1">
      <c r="B433" s="53" t="s">
        <v>924</v>
      </c>
      <c r="C433" s="54"/>
      <c r="D433" s="54" t="s">
        <v>925</v>
      </c>
      <c r="E433" s="55" t="s">
        <v>926</v>
      </c>
      <c r="F433" s="56" t="str">
        <f>IFERROR(UPPER(IF(C433="CPU",VLOOKUP(D433,#REF!,3,0),IF(C433="SINAPI",VLOOKUP(D433,#REF!,3,0),IF(C433="EDIF",VLOOKUP(D433,#REF!,3,0),IF(C433="CDHU",VLOOKUP(D433,#REF!,3,0),IF(C433="FDE",VLOOKUP(D433,#REF!,3,0),IF(C433="INFRA",VLOOKUP(D433,#REF!,3,0),""))))))),"")</f>
        <v/>
      </c>
      <c r="G433" s="57"/>
      <c r="H433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33" s="59"/>
      <c r="J433" s="59"/>
      <c r="K433" s="60">
        <f>SUBTOTAL(9,K434)</f>
        <v>29051.37</v>
      </c>
      <c r="L433" s="51"/>
      <c r="M433" s="52"/>
    </row>
    <row r="434" spans="2:13" s="25" customFormat="1" ht="30" customHeight="1" outlineLevel="1">
      <c r="B434" s="61" t="s">
        <v>927</v>
      </c>
      <c r="C434" s="62" t="s">
        <v>26</v>
      </c>
      <c r="D434" s="63" t="s">
        <v>928</v>
      </c>
      <c r="E434" s="64" t="str">
        <f>IFERROR(UPPER(IF(C434="CPU",VLOOKUP(D434,#REF!,2,0),IF(C434="SINAPI",VLOOKUP(D434,#REF!,2,0),IF(C434="EDIF",VLOOKUP(D434,#REF!,2,0),IF(C434="CDHU",VLOOKUP(D434,#REF!,2,0),IF(C434="FDE",VLOOKUP(D434,'FDE 10-23 '!$A$4:$E$3180,2,0),IF(C434="INFRA",VLOOKUP(D434,#REF!,2,0),""))))))),"")</f>
        <v>ESMALTE EM ESTRUTURA METALICA</v>
      </c>
      <c r="F434" s="65" t="str">
        <f>VLOOKUP(D434,'FDE 10-23 '!$A$4:$E$3180,3,0)</f>
        <v>M2</v>
      </c>
      <c r="G434" s="66">
        <f>VLOOKUP(B434,Planilha17!$A$8:$F$1259,6,0)</f>
        <v>1574.6</v>
      </c>
      <c r="H434" s="67">
        <f>VLOOKUP(D434,'FDE 10-23 '!$A$4:$E$3180,5,0)</f>
        <v>15</v>
      </c>
      <c r="I434" s="68">
        <f>$L$10</f>
        <v>0.23</v>
      </c>
      <c r="J434" s="67">
        <f>ROUND(H434*(1+I434),2)</f>
        <v>18.45</v>
      </c>
      <c r="K434" s="69">
        <f>SUM(G434*J434)</f>
        <v>29051.37</v>
      </c>
      <c r="L434" s="51"/>
      <c r="M434" s="52"/>
    </row>
    <row r="435" spans="2:13" s="25" customFormat="1" ht="30" customHeight="1" outlineLevel="1">
      <c r="B435" s="53" t="s">
        <v>929</v>
      </c>
      <c r="C435" s="54"/>
      <c r="D435" s="54" t="s">
        <v>930</v>
      </c>
      <c r="E435" s="55" t="s">
        <v>931</v>
      </c>
      <c r="F435" s="56" t="str">
        <f>IFERROR(UPPER(IF(C435="CPU",VLOOKUP(D435,#REF!,3,0),IF(C435="SINAPI",VLOOKUP(D435,#REF!,3,0),IF(C435="EDIF",VLOOKUP(D435,#REF!,3,0),IF(C435="CDHU",VLOOKUP(D435,#REF!,3,0),IF(C435="FDE",VLOOKUP(D435,#REF!,3,0),IF(C435="INFRA",VLOOKUP(D435,#REF!,3,0),""))))))),"")</f>
        <v/>
      </c>
      <c r="G435" s="57"/>
      <c r="H43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35" s="59"/>
      <c r="J435" s="59"/>
      <c r="K435" s="60">
        <f>SUBTOTAL(9,K436:K437)</f>
        <v>136569.90100000001</v>
      </c>
      <c r="L435" s="51"/>
      <c r="M435" s="52"/>
    </row>
    <row r="436" spans="2:13" s="25" customFormat="1" ht="30" customHeight="1" outlineLevel="1">
      <c r="B436" s="61" t="s">
        <v>932</v>
      </c>
      <c r="C436" s="62" t="s">
        <v>26</v>
      </c>
      <c r="D436" s="63" t="s">
        <v>933</v>
      </c>
      <c r="E436" s="64" t="str">
        <f>IFERROR(UPPER(IF(C436="CPU",VLOOKUP(D436,#REF!,2,0),IF(C436="SINAPI",VLOOKUP(D436,#REF!,2,0),IF(C436="EDIF",VLOOKUP(D436,#REF!,2,0),IF(C436="CDHU",VLOOKUP(D436,#REF!,2,0),IF(C436="FDE",VLOOKUP(D436,'FDE 10-23 '!$A$4:$E$3180,2,0),IF(C436="INFRA",VLOOKUP(D436,#REF!,2,0),""))))))),"")</f>
        <v>TINTA LATEX ECONOMICA</v>
      </c>
      <c r="F436" s="65" t="str">
        <f>VLOOKUP(D436,'FDE 10-23 '!$A$4:$E$3180,3,0)</f>
        <v>M2</v>
      </c>
      <c r="G436" s="66">
        <f>VLOOKUP(B436,Planilha17!$A$8:$F$1259,6,0)</f>
        <v>1532</v>
      </c>
      <c r="H436" s="67">
        <f>VLOOKUP(D436,'FDE 10-23 '!$A$4:$E$3180,5,0)</f>
        <v>27.6</v>
      </c>
      <c r="I436" s="68">
        <f>$L$10</f>
        <v>0.23</v>
      </c>
      <c r="J436" s="67">
        <f>ROUND(H436*(1+I436),2)</f>
        <v>33.950000000000003</v>
      </c>
      <c r="K436" s="69">
        <f>SUM(G436*J436)</f>
        <v>52011.4</v>
      </c>
      <c r="L436" s="51"/>
      <c r="M436" s="52"/>
    </row>
    <row r="437" spans="2:13" s="25" customFormat="1" ht="30" customHeight="1" outlineLevel="1">
      <c r="B437" s="61" t="s">
        <v>934</v>
      </c>
      <c r="C437" s="62" t="s">
        <v>26</v>
      </c>
      <c r="D437" s="63" t="s">
        <v>935</v>
      </c>
      <c r="E437" s="64" t="str">
        <f>IFERROR(UPPER(IF(C437="CPU",VLOOKUP(D437,#REF!,2,0),IF(C437="SINAPI",VLOOKUP(D437,#REF!,2,0),IF(C437="EDIF",VLOOKUP(D437,#REF!,2,0),IF(C437="CDHU",VLOOKUP(D437,#REF!,2,0),IF(C437="FDE",VLOOKUP(D437,'FDE 10-23 '!$A$4:$E$3180,2,0),IF(C437="INFRA",VLOOKUP(D437,#REF!,2,0),""))))))),"")</f>
        <v>ESMALTE</v>
      </c>
      <c r="F437" s="65" t="str">
        <f>VLOOKUP(D437,'FDE 10-23 '!$A$4:$E$3180,3,0)</f>
        <v>M2</v>
      </c>
      <c r="G437" s="66">
        <f>VLOOKUP(B437,Planilha17!$A$8:$F$1259,6,0)</f>
        <v>2617.1</v>
      </c>
      <c r="H437" s="67">
        <f>VLOOKUP(D437,'FDE 10-23 '!$A$4:$E$3180,5,0)</f>
        <v>26.27</v>
      </c>
      <c r="I437" s="68">
        <f>$L$10</f>
        <v>0.23</v>
      </c>
      <c r="J437" s="67">
        <f>ROUND(H437*(1+I437),2)</f>
        <v>32.31</v>
      </c>
      <c r="K437" s="69">
        <f>SUM(G437*J437)</f>
        <v>84558.501000000004</v>
      </c>
      <c r="L437" s="51"/>
      <c r="M437" s="52"/>
    </row>
    <row r="438" spans="2:13" s="25" customFormat="1" ht="30" customHeight="1" outlineLevel="1">
      <c r="B438" s="53" t="s">
        <v>936</v>
      </c>
      <c r="C438" s="54"/>
      <c r="D438" s="54" t="s">
        <v>937</v>
      </c>
      <c r="E438" s="55" t="s">
        <v>938</v>
      </c>
      <c r="F438" s="56" t="str">
        <f>IFERROR(UPPER(IF(C438="CPU",VLOOKUP(D438,#REF!,3,0),IF(C438="SINAPI",VLOOKUP(D438,#REF!,3,0),IF(C438="EDIF",VLOOKUP(D438,#REF!,3,0),IF(C438="CDHU",VLOOKUP(D438,#REF!,3,0),IF(C438="FDE",VLOOKUP(D438,#REF!,3,0),IF(C438="INFRA",VLOOKUP(D438,#REF!,3,0),""))))))),"")</f>
        <v/>
      </c>
      <c r="G438" s="57"/>
      <c r="H438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38" s="59"/>
      <c r="J438" s="59"/>
      <c r="K438" s="60">
        <f>SUBTOTAL(9,K439:K441)</f>
        <v>38681.465400000001</v>
      </c>
      <c r="L438" s="51"/>
      <c r="M438" s="52"/>
    </row>
    <row r="439" spans="2:13" s="25" customFormat="1" ht="30" customHeight="1" outlineLevel="1">
      <c r="B439" s="61" t="s">
        <v>939</v>
      </c>
      <c r="C439" s="62" t="s">
        <v>26</v>
      </c>
      <c r="D439" s="63" t="s">
        <v>940</v>
      </c>
      <c r="E439" s="64" t="str">
        <f>IFERROR(UPPER(IF(C439="CPU",VLOOKUP(D439,#REF!,2,0),IF(C439="SINAPI",VLOOKUP(D439,#REF!,2,0),IF(C439="EDIF",VLOOKUP(D439,#REF!,2,0),IF(C439="CDHU",VLOOKUP(D439,#REF!,2,0),IF(C439="FDE",VLOOKUP(D439,'FDE 10-23 '!$A$4:$E$3180,2,0),IF(C439="INFRA",VLOOKUP(D439,#REF!,2,0),""))))))),"")</f>
        <v>ESMALTE COM MASSA NIVELADORA EM ESQUADRIAS DE MADEIRA</v>
      </c>
      <c r="F439" s="65" t="str">
        <f>VLOOKUP(D439,'FDE 10-23 '!$A$4:$E$3180,3,0)</f>
        <v>M2</v>
      </c>
      <c r="G439" s="66">
        <f>VLOOKUP(B439,Planilha17!$A$8:$F$1259,6,0)</f>
        <v>190.49</v>
      </c>
      <c r="H439" s="67">
        <f>VLOOKUP(D439,'FDE 10-23 '!$A$4:$E$3180,5,0)</f>
        <v>53.31</v>
      </c>
      <c r="I439" s="68">
        <f>$L$10</f>
        <v>0.23</v>
      </c>
      <c r="J439" s="67">
        <f>ROUND(H439*(1+I439),2)</f>
        <v>65.569999999999993</v>
      </c>
      <c r="K439" s="69">
        <f>SUM(G439*J439)</f>
        <v>12490.4293</v>
      </c>
      <c r="L439" s="51"/>
      <c r="M439" s="52"/>
    </row>
    <row r="440" spans="2:13" s="25" customFormat="1" ht="30" customHeight="1" outlineLevel="1">
      <c r="B440" s="61" t="s">
        <v>941</v>
      </c>
      <c r="C440" s="62" t="s">
        <v>26</v>
      </c>
      <c r="D440" s="63" t="s">
        <v>942</v>
      </c>
      <c r="E440" s="64" t="str">
        <f>IFERROR(UPPER(IF(C440="CPU",VLOOKUP(D440,#REF!,2,0),IF(C440="SINAPI",VLOOKUP(D440,#REF!,2,0),IF(C440="EDIF",VLOOKUP(D440,#REF!,2,0),IF(C440="CDHU",VLOOKUP(D440,#REF!,2,0),IF(C440="FDE",VLOOKUP(D440,'FDE 10-23 '!$A$4:$E$3180,2,0),IF(C440="INFRA",VLOOKUP(D440,#REF!,2,0),""))))))),"")</f>
        <v>ESMALTE EM ESQUADRIAS DE FERRO</v>
      </c>
      <c r="F440" s="65" t="str">
        <f>VLOOKUP(D440,'FDE 10-23 '!$A$4:$E$3180,3,0)</f>
        <v>M2</v>
      </c>
      <c r="G440" s="66">
        <f>VLOOKUP(B440,Planilha17!$A$8:$F$1259,6,0)</f>
        <v>611.01</v>
      </c>
      <c r="H440" s="67">
        <f>VLOOKUP(D440,'FDE 10-23 '!$A$4:$E$3180,5,0)</f>
        <v>26.51</v>
      </c>
      <c r="I440" s="68">
        <f>$L$10</f>
        <v>0.23</v>
      </c>
      <c r="J440" s="67">
        <f>ROUND(H440*(1+I440),2)</f>
        <v>32.61</v>
      </c>
      <c r="K440" s="69">
        <f>SUM(G440*J440)</f>
        <v>19925.036100000001</v>
      </c>
      <c r="L440" s="51"/>
      <c r="M440" s="52"/>
    </row>
    <row r="441" spans="2:13" s="25" customFormat="1" ht="30" customHeight="1" outlineLevel="1">
      <c r="B441" s="61" t="s">
        <v>943</v>
      </c>
      <c r="C441" s="62" t="s">
        <v>26</v>
      </c>
      <c r="D441" s="63" t="s">
        <v>944</v>
      </c>
      <c r="E441" s="64" t="str">
        <f>IFERROR(UPPER(IF(C441="CPU",VLOOKUP(D441,#REF!,2,0),IF(C441="SINAPI",VLOOKUP(D441,#REF!,2,0),IF(C441="EDIF",VLOOKUP(D441,#REF!,2,0),IF(C441="CDHU",VLOOKUP(D441,#REF!,2,0),IF(C441="FDE",VLOOKUP(D441,'FDE 10-23 '!$A$4:$E$3180,2,0),IF(C441="INFRA",VLOOKUP(D441,#REF!,2,0),""))))))),"")</f>
        <v>FACE EXTERNA DE CALHAS/CONDUTORES COM TINTA SINTETICA (ESMALTE)</v>
      </c>
      <c r="F441" s="65" t="str">
        <f>VLOOKUP(D441,'FDE 10-23 '!$A$4:$E$3180,3,0)</f>
        <v>M</v>
      </c>
      <c r="G441" s="66">
        <f>VLOOKUP(B441,Planilha17!$A$8:$F$1259,6,0)</f>
        <v>385.6</v>
      </c>
      <c r="H441" s="67">
        <f>VLOOKUP(D441,'FDE 10-23 '!$A$4:$E$3180,5,0)</f>
        <v>13.21</v>
      </c>
      <c r="I441" s="68">
        <f>$L$10</f>
        <v>0.23</v>
      </c>
      <c r="J441" s="67">
        <f>ROUND(H441*(1+I441),2)</f>
        <v>16.25</v>
      </c>
      <c r="K441" s="69">
        <f>SUM(G441*J441)</f>
        <v>6266</v>
      </c>
      <c r="L441" s="51"/>
      <c r="M441" s="52"/>
    </row>
    <row r="442" spans="2:13" s="25" customFormat="1" ht="30" customHeight="1" outlineLevel="1">
      <c r="B442" s="53" t="s">
        <v>945</v>
      </c>
      <c r="C442" s="54"/>
      <c r="D442" s="54" t="s">
        <v>946</v>
      </c>
      <c r="E442" s="55" t="s">
        <v>947</v>
      </c>
      <c r="F442" s="56" t="str">
        <f>IFERROR(UPPER(IF(C442="CPU",VLOOKUP(D442,#REF!,3,0),IF(C442="SINAPI",VLOOKUP(D442,#REF!,3,0),IF(C442="EDIF",VLOOKUP(D442,#REF!,3,0),IF(C442="CDHU",VLOOKUP(D442,#REF!,3,0),IF(C442="FDE",VLOOKUP(D442,#REF!,3,0),IF(C442="INFRA",VLOOKUP(D442,#REF!,3,0),""))))))),"")</f>
        <v/>
      </c>
      <c r="G442" s="57"/>
      <c r="H442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42" s="59"/>
      <c r="J442" s="59"/>
      <c r="K442" s="60">
        <f>SUBTOTAL(9,K443)</f>
        <v>24550.559999999998</v>
      </c>
      <c r="L442" s="51"/>
      <c r="M442" s="52"/>
    </row>
    <row r="443" spans="2:13" s="25" customFormat="1" ht="30" customHeight="1" outlineLevel="1">
      <c r="B443" s="61" t="s">
        <v>948</v>
      </c>
      <c r="C443" s="62" t="s">
        <v>26</v>
      </c>
      <c r="D443" s="63" t="s">
        <v>949</v>
      </c>
      <c r="E443" s="64" t="str">
        <f>IFERROR(UPPER(IF(C443="CPU",VLOOKUP(D443,#REF!,2,0),IF(C443="SINAPI",VLOOKUP(D443,#REF!,2,0),IF(C443="EDIF",VLOOKUP(D443,#REF!,2,0),IF(C443="CDHU",VLOOKUP(D443,#REF!,2,0),IF(C443="FDE",VLOOKUP(D443,'FDE 10-23 '!$A$4:$E$3180,2,0),IF(C443="INFRA",VLOOKUP(D443,#REF!,2,0),""))))))),"")</f>
        <v>TINTA LATEX STANDARD</v>
      </c>
      <c r="F443" s="65" t="str">
        <f>VLOOKUP(D443,'FDE 10-23 '!$A$4:$E$3180,3,0)</f>
        <v>M2</v>
      </c>
      <c r="G443" s="66">
        <f>VLOOKUP(B443,Planilha17!$A$8:$F$1259,6,0)</f>
        <v>909.28</v>
      </c>
      <c r="H443" s="67">
        <f>VLOOKUP(D443,'FDE 10-23 '!$A$4:$E$3180,5,0)</f>
        <v>21.95</v>
      </c>
      <c r="I443" s="68">
        <f>$L$10</f>
        <v>0.23</v>
      </c>
      <c r="J443" s="67">
        <f>ROUND(H443*(1+I443),2)</f>
        <v>27</v>
      </c>
      <c r="K443" s="69">
        <f>SUM(G443*J443)</f>
        <v>24550.559999999998</v>
      </c>
      <c r="L443" s="51"/>
      <c r="M443" s="52"/>
    </row>
    <row r="444" spans="2:13" s="25" customFormat="1" ht="30" customHeight="1">
      <c r="B444" s="43">
        <v>16</v>
      </c>
      <c r="C444" s="44"/>
      <c r="D444" s="44" t="s">
        <v>950</v>
      </c>
      <c r="E444" s="45" t="s">
        <v>951</v>
      </c>
      <c r="F444" s="46" t="str">
        <f>IFERROR(UPPER(IF(C444="CPU",VLOOKUP(D444,#REF!,3,0),IF(C444="SINAPI",VLOOKUP(D444,#REF!,3,0),IF(C444="EDIF",VLOOKUP(D444,#REF!,3,0),IF(C444="CDHU",VLOOKUP(D444,#REF!,3,0),IF(C444="FDE",VLOOKUP(D444,#REF!,3,0),IF(C444="INFRA",VLOOKUP(D444,#REF!,3,0),""))))))),"")</f>
        <v/>
      </c>
      <c r="G444" s="47"/>
      <c r="H444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44" s="49"/>
      <c r="J444" s="49"/>
      <c r="K444" s="50">
        <f>SUBTOTAL(9,K445:K530)</f>
        <v>722307.86259999976</v>
      </c>
      <c r="L444" s="51"/>
      <c r="M444" s="52"/>
    </row>
    <row r="445" spans="2:13" s="25" customFormat="1" ht="30" customHeight="1" outlineLevel="1">
      <c r="B445" s="53" t="s">
        <v>952</v>
      </c>
      <c r="C445" s="54"/>
      <c r="D445" s="54" t="s">
        <v>953</v>
      </c>
      <c r="E445" s="55" t="s">
        <v>954</v>
      </c>
      <c r="F445" s="56" t="str">
        <f>IFERROR(UPPER(IF(C445="CPU",VLOOKUP(D445,#REF!,3,0),IF(C445="SINAPI",VLOOKUP(D445,#REF!,3,0),IF(C445="EDIF",VLOOKUP(D445,#REF!,3,0),IF(C445="CDHU",VLOOKUP(D445,#REF!,3,0),IF(C445="FDE",VLOOKUP(D445,#REF!,3,0),IF(C445="INFRA",VLOOKUP(D445,#REF!,3,0),""))))))),"")</f>
        <v/>
      </c>
      <c r="G445" s="57"/>
      <c r="H44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45" s="59"/>
      <c r="J445" s="59"/>
      <c r="K445" s="60">
        <f>SUBTOTAL(9,K446:K451)</f>
        <v>85410.754000000015</v>
      </c>
      <c r="L445" s="51"/>
      <c r="M445" s="52"/>
    </row>
    <row r="446" spans="2:13" s="25" customFormat="1" ht="30" customHeight="1" outlineLevel="1">
      <c r="B446" s="61" t="s">
        <v>955</v>
      </c>
      <c r="C446" s="62" t="s">
        <v>26</v>
      </c>
      <c r="D446" s="63" t="s">
        <v>956</v>
      </c>
      <c r="E446" s="64" t="str">
        <f>IFERROR(UPPER(IF(C446="CPU",VLOOKUP(D446,#REF!,2,0),IF(C446="SINAPI",VLOOKUP(D446,#REF!,2,0),IF(C446="EDIF",VLOOKUP(D446,#REF!,2,0),IF(C446="CDHU",VLOOKUP(D446,#REF!,2,0),IF(C446="FDE",VLOOKUP(D446,'FDE 10-23 '!$A$4:$E$3180,2,0),IF(C446="INFRA",VLOOKUP(D446,#REF!,2,0),""))))))),"")</f>
        <v>FD-16 FECHAMENTO DIVISA/BL CONCRETO/REVEST CHAPISCO FINO H=235CM/BROCA</v>
      </c>
      <c r="F446" s="65" t="str">
        <f>VLOOKUP(D446,'FDE 10-23 '!$A$4:$E$3180,3,0)</f>
        <v>M</v>
      </c>
      <c r="G446" s="66"/>
      <c r="H446" s="67">
        <f>VLOOKUP(D446,'FDE 10-23 '!$A$4:$E$3180,5,0)</f>
        <v>704.05</v>
      </c>
      <c r="I446" s="68">
        <f t="shared" ref="I446:I451" si="75">$L$10</f>
        <v>0.23</v>
      </c>
      <c r="J446" s="67">
        <f t="shared" ref="J446:J451" si="76">ROUND(H446*(1+I446),2)</f>
        <v>865.98</v>
      </c>
      <c r="K446" s="69">
        <f t="shared" ref="K446:K451" si="77">SUM(G446*J446)</f>
        <v>0</v>
      </c>
      <c r="L446" s="51"/>
      <c r="M446" s="52"/>
    </row>
    <row r="447" spans="2:13" s="25" customFormat="1" ht="30" customHeight="1" outlineLevel="1">
      <c r="B447" s="61" t="s">
        <v>957</v>
      </c>
      <c r="C447" s="62" t="s">
        <v>26</v>
      </c>
      <c r="D447" s="63" t="s">
        <v>958</v>
      </c>
      <c r="E447" s="64" t="str">
        <f>IFERROR(UPPER(IF(C447="CPU",VLOOKUP(D447,#REF!,2,0),IF(C447="SINAPI",VLOOKUP(D447,#REF!,2,0),IF(C447="EDIF",VLOOKUP(D447,#REF!,2,0),IF(C447="CDHU",VLOOKUP(D447,#REF!,2,0),IF(C447="FDE",VLOOKUP(D447,'FDE 10-23 '!$A$4:$E$3180,2,0),IF(C447="INFRA",VLOOKUP(D447,#REF!,2,0),""))))))),"")</f>
        <v>FD-24 FECHAMENTO DE DIVISA COM GRADIL ELETROFUNDIDO / BROCA (H=235CM)</v>
      </c>
      <c r="F447" s="65" t="str">
        <f>VLOOKUP(D447,'FDE 10-23 '!$A$4:$E$3180,3,0)</f>
        <v>M</v>
      </c>
      <c r="G447" s="66">
        <f>VLOOKUP(B447,Planilha17!$A$8:$F$1259,6,0)</f>
        <v>16</v>
      </c>
      <c r="H447" s="67">
        <f>VLOOKUP(D447,'FDE 10-23 '!$A$4:$E$3180,5,0)</f>
        <v>936.52</v>
      </c>
      <c r="I447" s="68">
        <f t="shared" si="75"/>
        <v>0.23</v>
      </c>
      <c r="J447" s="67">
        <f t="shared" si="76"/>
        <v>1151.92</v>
      </c>
      <c r="K447" s="69">
        <f t="shared" si="77"/>
        <v>18430.72</v>
      </c>
      <c r="L447" s="51"/>
      <c r="M447" s="52"/>
    </row>
    <row r="448" spans="2:13" s="25" customFormat="1" ht="30" customHeight="1" outlineLevel="1">
      <c r="B448" s="61" t="s">
        <v>959</v>
      </c>
      <c r="C448" s="62" t="s">
        <v>26</v>
      </c>
      <c r="D448" s="63" t="s">
        <v>960</v>
      </c>
      <c r="E448" s="64" t="str">
        <f>IFERROR(UPPER(IF(C448="CPU",VLOOKUP(D448,#REF!,2,0),IF(C448="SINAPI",VLOOKUP(D448,#REF!,2,0),IF(C448="EDIF",VLOOKUP(D448,#REF!,2,0),IF(C448="CDHU",VLOOKUP(D448,#REF!,2,0),IF(C448="FDE",VLOOKUP(D448,'FDE 10-23 '!$A$4:$E$3180,2,0),IF(C448="INFRA",VLOOKUP(D448,#REF!,2,0),""))))))),"")</f>
        <v>PT-41 PORTAO EM CHAPA DE ACO (300X235CM)</v>
      </c>
      <c r="F448" s="65" t="str">
        <f>VLOOKUP(D448,'FDE 10-23 '!$A$4:$E$3180,3,0)</f>
        <v>UN</v>
      </c>
      <c r="G448" s="66">
        <f>VLOOKUP(B448,Planilha17!$A$8:$F$1259,6,0)</f>
        <v>2</v>
      </c>
      <c r="H448" s="67">
        <f>VLOOKUP(D448,'FDE 10-23 '!$A$4:$E$3180,5,0)</f>
        <v>9783.4</v>
      </c>
      <c r="I448" s="68">
        <f t="shared" si="75"/>
        <v>0.23</v>
      </c>
      <c r="J448" s="67">
        <f t="shared" si="76"/>
        <v>12033.58</v>
      </c>
      <c r="K448" s="69">
        <f t="shared" si="77"/>
        <v>24067.16</v>
      </c>
      <c r="L448" s="51"/>
      <c r="M448" s="52"/>
    </row>
    <row r="449" spans="2:13" s="25" customFormat="1" ht="30" customHeight="1" outlineLevel="1">
      <c r="B449" s="61" t="s">
        <v>961</v>
      </c>
      <c r="C449" s="62" t="s">
        <v>26</v>
      </c>
      <c r="D449" s="63" t="s">
        <v>962</v>
      </c>
      <c r="E449" s="64" t="str">
        <f>IFERROR(UPPER(IF(C449="CPU",VLOOKUP(D449,#REF!,2,0),IF(C449="SINAPI",VLOOKUP(D449,#REF!,2,0),IF(C449="EDIF",VLOOKUP(D449,#REF!,2,0),IF(C449="CDHU",VLOOKUP(D449,#REF!,2,0),IF(C449="FDE",VLOOKUP(D449,'FDE 10-23 '!$A$4:$E$3180,2,0),IF(C449="INFRA",VLOOKUP(D449,#REF!,2,0),""))))))),"")</f>
        <v>FE-02  FECHAMENTO PARA SETORIZAÇAO (GRADIL ELETROFUNDIDO)</v>
      </c>
      <c r="F449" s="65" t="str">
        <f>VLOOKUP(D449,'FDE 10-23 '!$A$4:$E$3180,3,0)</f>
        <v>M2</v>
      </c>
      <c r="G449" s="66">
        <f>VLOOKUP(B449,Planilha17!$A$8:$F$1259,6,0)</f>
        <v>92.05</v>
      </c>
      <c r="H449" s="67">
        <f>VLOOKUP(D449,'FDE 10-23 '!$A$4:$E$3180,5,0)</f>
        <v>279.19</v>
      </c>
      <c r="I449" s="68">
        <f t="shared" si="75"/>
        <v>0.23</v>
      </c>
      <c r="J449" s="67">
        <f t="shared" si="76"/>
        <v>343.4</v>
      </c>
      <c r="K449" s="69">
        <f t="shared" si="77"/>
        <v>31609.969999999998</v>
      </c>
      <c r="L449" s="51"/>
      <c r="M449" s="52"/>
    </row>
    <row r="450" spans="2:13" s="25" customFormat="1" ht="30" customHeight="1" outlineLevel="1">
      <c r="B450" s="61" t="s">
        <v>963</v>
      </c>
      <c r="C450" s="62" t="s">
        <v>26</v>
      </c>
      <c r="D450" s="63" t="s">
        <v>964</v>
      </c>
      <c r="E450" s="64" t="str">
        <f>IFERROR(UPPER(IF(C450="CPU",VLOOKUP(D450,#REF!,2,0),IF(C450="SINAPI",VLOOKUP(D450,#REF!,2,0),IF(C450="EDIF",VLOOKUP(D450,#REF!,2,0),IF(C450="CDHU",VLOOKUP(D450,#REF!,2,0),IF(C450="FDE",VLOOKUP(D450,'FDE 10-23 '!$A$4:$E$3180,2,0),IF(C450="INFRA",VLOOKUP(D450,#REF!,2,0),""))))))),"")</f>
        <v>PT-50 PORTAO DE TELA PARA SETORIZAÇAO 120&lt;H&lt;200 CM</v>
      </c>
      <c r="F450" s="65" t="str">
        <f>VLOOKUP(D450,'FDE 10-23 '!$A$4:$E$3180,3,0)</f>
        <v>M2</v>
      </c>
      <c r="G450" s="66">
        <f>VLOOKUP(B450,Planilha17!$A$8:$F$1259,6,0)</f>
        <v>2.4</v>
      </c>
      <c r="H450" s="67">
        <f>VLOOKUP(D450,'FDE 10-23 '!$A$4:$E$3180,5,0)</f>
        <v>1103.9100000000001</v>
      </c>
      <c r="I450" s="68">
        <f t="shared" si="75"/>
        <v>0.23</v>
      </c>
      <c r="J450" s="67">
        <f t="shared" si="76"/>
        <v>1357.81</v>
      </c>
      <c r="K450" s="69">
        <f t="shared" si="77"/>
        <v>3258.7439999999997</v>
      </c>
      <c r="L450" s="51"/>
      <c r="M450" s="52"/>
    </row>
    <row r="451" spans="2:13" s="25" customFormat="1" ht="30" customHeight="1" outlineLevel="1">
      <c r="B451" s="61" t="s">
        <v>965</v>
      </c>
      <c r="C451" s="62" t="s">
        <v>26</v>
      </c>
      <c r="D451" s="63" t="s">
        <v>966</v>
      </c>
      <c r="E451" s="64" t="str">
        <f>IFERROR(UPPER(IF(C451="CPU",VLOOKUP(D451,#REF!,2,0),IF(C451="SINAPI",VLOOKUP(D451,#REF!,2,0),IF(C451="EDIF",VLOOKUP(D451,#REF!,2,0),IF(C451="CDHU",VLOOKUP(D451,#REF!,2,0),IF(C451="FDE",VLOOKUP(D451,'FDE 10-23 '!$A$4:$E$3180,2,0),IF(C451="INFRA",VLOOKUP(D451,#REF!,2,0),""))))))),"")</f>
        <v>PT-35 PORTAO GRADIL ELETROFUNDIDO / PILARETE METALICO (300X235CM)</v>
      </c>
      <c r="F451" s="65" t="str">
        <f>VLOOKUP(D451,'FDE 10-23 '!$A$4:$E$3180,3,0)</f>
        <v>UN</v>
      </c>
      <c r="G451" s="66">
        <f>VLOOKUP(B451,Planilha17!$A$8:$F$1259,6,0)</f>
        <v>1</v>
      </c>
      <c r="H451" s="67">
        <f>VLOOKUP(D451,'FDE 10-23 '!$A$4:$E$3180,5,0)</f>
        <v>6539.97</v>
      </c>
      <c r="I451" s="68">
        <f t="shared" si="75"/>
        <v>0.23</v>
      </c>
      <c r="J451" s="67">
        <f t="shared" si="76"/>
        <v>8044.16</v>
      </c>
      <c r="K451" s="69">
        <f t="shared" si="77"/>
        <v>8044.16</v>
      </c>
      <c r="L451" s="51"/>
      <c r="M451" s="52"/>
    </row>
    <row r="452" spans="2:13" s="25" customFormat="1" ht="30" customHeight="1" outlineLevel="1">
      <c r="B452" s="53" t="s">
        <v>967</v>
      </c>
      <c r="C452" s="54"/>
      <c r="D452" s="54" t="s">
        <v>968</v>
      </c>
      <c r="E452" s="55" t="s">
        <v>969</v>
      </c>
      <c r="F452" s="56" t="str">
        <f>IFERROR(UPPER(IF(C452="CPU",VLOOKUP(D452,#REF!,3,0),IF(C452="SINAPI",VLOOKUP(D452,#REF!,3,0),IF(C452="EDIF",VLOOKUP(D452,#REF!,3,0),IF(C452="CDHU",VLOOKUP(D452,#REF!,3,0),IF(C452="FDE",VLOOKUP(D452,#REF!,3,0),IF(C452="INFRA",VLOOKUP(D452,#REF!,3,0),""))))))),"")</f>
        <v/>
      </c>
      <c r="G452" s="57"/>
      <c r="H452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52" s="59"/>
      <c r="J452" s="59"/>
      <c r="K452" s="60">
        <f>SUBTOTAL(9,K453:K459)</f>
        <v>122793.88459999999</v>
      </c>
      <c r="L452" s="51"/>
      <c r="M452" s="52"/>
    </row>
    <row r="453" spans="2:13" s="25" customFormat="1" ht="30" customHeight="1" outlineLevel="1">
      <c r="B453" s="61" t="s">
        <v>970</v>
      </c>
      <c r="C453" s="62" t="s">
        <v>26</v>
      </c>
      <c r="D453" s="63" t="s">
        <v>971</v>
      </c>
      <c r="E453" s="64" t="str">
        <f>IFERROR(UPPER(IF(C453="CPU",VLOOKUP(D453,#REF!,2,0),IF(C453="SINAPI",VLOOKUP(D453,#REF!,2,0),IF(C453="EDIF",VLOOKUP(D453,#REF!,2,0),IF(C453="CDHU",VLOOKUP(D453,#REF!,2,0),IF(C453="FDE",VLOOKUP(D453,'FDE 10-23 '!$A$4:$E$3180,2,0),IF(C453="INFRA",VLOOKUP(D453,#REF!,2,0),""))))))),"")</f>
        <v>BORRACHA ASSENTADA C/ ARGAMASSA - PISO TATIL DIRECIONAL</v>
      </c>
      <c r="F453" s="65" t="str">
        <f>VLOOKUP(D453,'FDE 10-23 '!$A$4:$E$3180,3,0)</f>
        <v>M2</v>
      </c>
      <c r="G453" s="66">
        <f>VLOOKUP(B453,Planilha17!$A$8:$F$1259,6,0)</f>
        <v>2.56</v>
      </c>
      <c r="H453" s="67">
        <f>VLOOKUP(D453,'FDE 10-23 '!$A$4:$E$3180,5,0)</f>
        <v>429.95</v>
      </c>
      <c r="I453" s="68">
        <f t="shared" ref="I453:I459" si="78">$L$10</f>
        <v>0.23</v>
      </c>
      <c r="J453" s="67">
        <f t="shared" ref="J453:J459" si="79">ROUND(H453*(1+I453),2)</f>
        <v>528.84</v>
      </c>
      <c r="K453" s="69">
        <f t="shared" ref="K453:K459" si="80">SUM(G453*J453)</f>
        <v>1353.8304000000001</v>
      </c>
      <c r="L453" s="51"/>
      <c r="M453" s="52"/>
    </row>
    <row r="454" spans="2:13" s="25" customFormat="1" ht="30" customHeight="1" outlineLevel="1">
      <c r="B454" s="61" t="s">
        <v>972</v>
      </c>
      <c r="C454" s="62" t="s">
        <v>26</v>
      </c>
      <c r="D454" s="63" t="s">
        <v>973</v>
      </c>
      <c r="E454" s="64" t="str">
        <f>IFERROR(UPPER(IF(C454="CPU",VLOOKUP(D454,#REF!,2,0),IF(C454="SINAPI",VLOOKUP(D454,#REF!,2,0),IF(C454="EDIF",VLOOKUP(D454,#REF!,2,0),IF(C454="CDHU",VLOOKUP(D454,#REF!,2,0),IF(C454="FDE",VLOOKUP(D454,'FDE 10-23 '!$A$4:$E$3180,2,0),IF(C454="INFRA",VLOOKUP(D454,#REF!,2,0),""))))))),"")</f>
        <v>PAVIMENTACAO COM PEDRISCO COM ESPESS DE 5 CM</v>
      </c>
      <c r="F454" s="65" t="str">
        <f>VLOOKUP(D454,'FDE 10-23 '!$A$4:$E$3180,3,0)</f>
        <v>M2</v>
      </c>
      <c r="G454" s="66">
        <f>VLOOKUP(B454,Planilha17!$A$8:$F$1259,6,0)</f>
        <v>354.38</v>
      </c>
      <c r="H454" s="67">
        <f>VLOOKUP(D454,'FDE 10-23 '!$A$4:$E$3180,5,0)</f>
        <v>12.14</v>
      </c>
      <c r="I454" s="68">
        <f t="shared" si="78"/>
        <v>0.23</v>
      </c>
      <c r="J454" s="67">
        <f t="shared" si="79"/>
        <v>14.93</v>
      </c>
      <c r="K454" s="69">
        <f t="shared" si="80"/>
        <v>5290.8933999999999</v>
      </c>
      <c r="L454" s="51"/>
      <c r="M454" s="52"/>
    </row>
    <row r="455" spans="2:13" s="25" customFormat="1" ht="30" customHeight="1" outlineLevel="1">
      <c r="B455" s="61" t="s">
        <v>974</v>
      </c>
      <c r="C455" s="62" t="s">
        <v>26</v>
      </c>
      <c r="D455" s="63" t="s">
        <v>975</v>
      </c>
      <c r="E455" s="64" t="str">
        <f>IFERROR(UPPER(IF(C455="CPU",VLOOKUP(D455,#REF!,2,0),IF(C455="SINAPI",VLOOKUP(D455,#REF!,2,0),IF(C455="EDIF",VLOOKUP(D455,#REF!,2,0),IF(C455="CDHU",VLOOKUP(D455,#REF!,2,0),IF(C455="FDE",VLOOKUP(D455,'FDE 10-23 '!$A$4:$E$3180,2,0),IF(C455="INFRA",VLOOKUP(D455,#REF!,2,0),""))))))),"")</f>
        <v>GA-01 GUIA LEVE OU SEPARADOR DE PISOS</v>
      </c>
      <c r="F455" s="65" t="str">
        <f>VLOOKUP(D455,'FDE 10-23 '!$A$4:$E$3180,3,0)</f>
        <v>M</v>
      </c>
      <c r="G455" s="66">
        <f>VLOOKUP(B455,Planilha17!$A$8:$F$1259,6,0)</f>
        <v>16</v>
      </c>
      <c r="H455" s="67">
        <f>VLOOKUP(D455,'FDE 10-23 '!$A$4:$E$3180,5,0)</f>
        <v>47.13</v>
      </c>
      <c r="I455" s="68">
        <f t="shared" si="78"/>
        <v>0.23</v>
      </c>
      <c r="J455" s="67">
        <f t="shared" si="79"/>
        <v>57.97</v>
      </c>
      <c r="K455" s="69">
        <f t="shared" si="80"/>
        <v>927.52</v>
      </c>
      <c r="L455" s="51"/>
      <c r="M455" s="52"/>
    </row>
    <row r="456" spans="2:13" s="25" customFormat="1" ht="30" customHeight="1" outlineLevel="1">
      <c r="B456" s="61" t="s">
        <v>976</v>
      </c>
      <c r="C456" s="62" t="s">
        <v>26</v>
      </c>
      <c r="D456" s="63" t="s">
        <v>977</v>
      </c>
      <c r="E456" s="64" t="str">
        <f>IFERROR(UPPER(IF(C456="CPU",VLOOKUP(D456,#REF!,2,0),IF(C456="SINAPI",VLOOKUP(D456,#REF!,2,0),IF(C456="EDIF",VLOOKUP(D456,#REF!,2,0),IF(C456="CDHU",VLOOKUP(D456,#REF!,2,0),IF(C456="FDE",VLOOKUP(D456,'FDE 10-23 '!$A$4:$E$3180,2,0),IF(C456="INFRA",VLOOKUP(D456,#REF!,2,0),""))))))),"")</f>
        <v>PISO DE CONCRETO FCK 25MPA DESEMPENAMENTO MECÂNICO E=8CM</v>
      </c>
      <c r="F456" s="65" t="str">
        <f>VLOOKUP(D456,'FDE 10-23 '!$A$4:$E$3180,3,0)</f>
        <v>M2</v>
      </c>
      <c r="G456" s="66">
        <f>VLOOKUP(B456,Planilha17!$A$8:$F$1259,6,0)</f>
        <v>1202.5999999999999</v>
      </c>
      <c r="H456" s="67">
        <f>VLOOKUP(D456,'FDE 10-23 '!$A$4:$E$3180,5,0)</f>
        <v>65.88</v>
      </c>
      <c r="I456" s="68">
        <f t="shared" si="78"/>
        <v>0.23</v>
      </c>
      <c r="J456" s="67">
        <f t="shared" si="79"/>
        <v>81.03</v>
      </c>
      <c r="K456" s="69">
        <f t="shared" si="80"/>
        <v>97446.678</v>
      </c>
      <c r="L456" s="51"/>
      <c r="M456" s="52"/>
    </row>
    <row r="457" spans="2:13" s="25" customFormat="1" ht="30" customHeight="1" outlineLevel="1">
      <c r="B457" s="61" t="s">
        <v>978</v>
      </c>
      <c r="C457" s="62" t="s">
        <v>26</v>
      </c>
      <c r="D457" s="63" t="s">
        <v>979</v>
      </c>
      <c r="E457" s="64" t="str">
        <f>IFERROR(UPPER(IF(C457="CPU",VLOOKUP(D457,#REF!,2,0),IF(C457="SINAPI",VLOOKUP(D457,#REF!,2,0),IF(C457="EDIF",VLOOKUP(D457,#REF!,2,0),IF(C457="CDHU",VLOOKUP(D457,#REF!,2,0),IF(C457="FDE",VLOOKUP(D457,'FDE 10-23 '!$A$4:$E$3180,2,0),IF(C457="INFRA",VLOOKUP(D457,#REF!,2,0),""))))))),"")</f>
        <v>PISO DE CONCRETO ARMADO FCK 25MPA DESEMPENAMENTO MECÂNICO  E=10CM</v>
      </c>
      <c r="F457" s="65" t="str">
        <f>VLOOKUP(D457,'FDE 10-23 '!$A$4:$E$3180,3,0)</f>
        <v>M2</v>
      </c>
      <c r="G457" s="66"/>
      <c r="H457" s="67">
        <f>VLOOKUP(D457,'FDE 10-23 '!$A$4:$E$3180,5,0)</f>
        <v>102.82</v>
      </c>
      <c r="I457" s="68">
        <f t="shared" si="78"/>
        <v>0.23</v>
      </c>
      <c r="J457" s="67">
        <f t="shared" si="79"/>
        <v>126.47</v>
      </c>
      <c r="K457" s="69">
        <f t="shared" si="80"/>
        <v>0</v>
      </c>
      <c r="L457" s="51"/>
      <c r="M457" s="52"/>
    </row>
    <row r="458" spans="2:13" s="25" customFormat="1" ht="30" customHeight="1" outlineLevel="1">
      <c r="B458" s="61" t="s">
        <v>980</v>
      </c>
      <c r="C458" s="62" t="s">
        <v>26</v>
      </c>
      <c r="D458" s="63" t="s">
        <v>981</v>
      </c>
      <c r="E458" s="64" t="str">
        <f>IFERROR(UPPER(IF(C458="CPU",VLOOKUP(D458,#REF!,2,0),IF(C458="SINAPI",VLOOKUP(D458,#REF!,2,0),IF(C458="EDIF",VLOOKUP(D458,#REF!,2,0),IF(C458="CDHU",VLOOKUP(D458,#REF!,2,0),IF(C458="FDE",VLOOKUP(D458,'FDE 10-23 '!$A$4:$E$3180,2,0),IF(C458="INFRA",VLOOKUP(D458,#REF!,2,0),""))))))),"")</f>
        <v>DEGRAU DE CONCRETO ARMADO FCK 25MPA DESEMPENADO E=6CM  INCLUSIVE LASTRO DE BRITA</v>
      </c>
      <c r="F458" s="65" t="str">
        <f>VLOOKUP(D458,'FDE 10-23 '!$A$4:$E$3180,3,0)</f>
        <v>M</v>
      </c>
      <c r="G458" s="66">
        <f>VLOOKUP(B458,Planilha17!$A$8:$F$1259,6,0)</f>
        <v>48</v>
      </c>
      <c r="H458" s="67">
        <f>VLOOKUP(D458,'FDE 10-23 '!$A$4:$E$3180,5,0)</f>
        <v>57.85</v>
      </c>
      <c r="I458" s="68">
        <f t="shared" si="78"/>
        <v>0.23</v>
      </c>
      <c r="J458" s="67">
        <f t="shared" si="79"/>
        <v>71.16</v>
      </c>
      <c r="K458" s="69">
        <f t="shared" si="80"/>
        <v>3415.68</v>
      </c>
      <c r="L458" s="51"/>
      <c r="M458" s="52"/>
    </row>
    <row r="459" spans="2:13" s="25" customFormat="1" ht="30" customHeight="1" outlineLevel="1">
      <c r="B459" s="61" t="s">
        <v>982</v>
      </c>
      <c r="C459" s="62" t="s">
        <v>26</v>
      </c>
      <c r="D459" s="63" t="s">
        <v>983</v>
      </c>
      <c r="E459" s="64" t="str">
        <f>IFERROR(UPPER(IF(C459="CPU",VLOOKUP(D459,#REF!,2,0),IF(C459="SINAPI",VLOOKUP(D459,#REF!,2,0),IF(C459="EDIF",VLOOKUP(D459,#REF!,2,0),IF(C459="CDHU",VLOOKUP(D459,#REF!,2,0),IF(C459="FDE",VLOOKUP(D459,'FDE 10-23 '!$A$4:$E$3180,2,0),IF(C459="INFRA",VLOOKUP(D459,#REF!,2,0),""))))))),"")</f>
        <v>LASTRO DE PEDRA BRITADA - 5CM</v>
      </c>
      <c r="F459" s="65" t="str">
        <f>VLOOKUP(D459,'FDE 10-23 '!$A$4:$E$3180,3,0)</f>
        <v>M2</v>
      </c>
      <c r="G459" s="66">
        <f>VLOOKUP(B459,Planilha17!$A$8:$F$1259,6,0)</f>
        <v>1202.6199999999999</v>
      </c>
      <c r="H459" s="67">
        <f>VLOOKUP(D459,'FDE 10-23 '!$A$4:$E$3180,5,0)</f>
        <v>9.7100000000000009</v>
      </c>
      <c r="I459" s="68">
        <f t="shared" si="78"/>
        <v>0.23</v>
      </c>
      <c r="J459" s="67">
        <f t="shared" si="79"/>
        <v>11.94</v>
      </c>
      <c r="K459" s="69">
        <f t="shared" si="80"/>
        <v>14359.282799999997</v>
      </c>
      <c r="L459" s="51"/>
      <c r="M459" s="52"/>
    </row>
    <row r="460" spans="2:13" s="25" customFormat="1" ht="30" customHeight="1" outlineLevel="1">
      <c r="B460" s="53" t="s">
        <v>984</v>
      </c>
      <c r="C460" s="54"/>
      <c r="D460" s="54" t="s">
        <v>985</v>
      </c>
      <c r="E460" s="55" t="s">
        <v>986</v>
      </c>
      <c r="F460" s="56" t="str">
        <f>IFERROR(UPPER(IF(C460="CPU",VLOOKUP(D460,#REF!,3,0),IF(C460="SINAPI",VLOOKUP(D460,#REF!,3,0),IF(C460="EDIF",VLOOKUP(D460,#REF!,3,0),IF(C460="CDHU",VLOOKUP(D460,#REF!,3,0),IF(C460="FDE",VLOOKUP(D460,#REF!,3,0),IF(C460="INFRA",VLOOKUP(D460,#REF!,3,0),""))))))),"")</f>
        <v/>
      </c>
      <c r="G460" s="57"/>
      <c r="H46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60" s="59"/>
      <c r="J460" s="59"/>
      <c r="K460" s="60">
        <f>SUBTOTAL(9,K461:K464)</f>
        <v>108071.91700000002</v>
      </c>
      <c r="L460" s="51"/>
      <c r="M460" s="52"/>
    </row>
    <row r="461" spans="2:13" s="25" customFormat="1" ht="30" customHeight="1" outlineLevel="1">
      <c r="B461" s="61" t="s">
        <v>987</v>
      </c>
      <c r="C461" s="62" t="s">
        <v>26</v>
      </c>
      <c r="D461" s="63" t="s">
        <v>988</v>
      </c>
      <c r="E461" s="64" t="str">
        <f>IFERROR(UPPER(IF(C461="CPU",VLOOKUP(D461,#REF!,2,0),IF(C461="SINAPI",VLOOKUP(D461,#REF!,2,0),IF(C461="EDIF",VLOOKUP(D461,#REF!,2,0),IF(C461="CDHU",VLOOKUP(D461,#REF!,2,0),IF(C461="FDE",VLOOKUP(D461,'FDE 10-23 '!$A$4:$E$3180,2,0),IF(C461="INFRA",VLOOKUP(D461,#REF!,2,0),""))))))),"")</f>
        <v>GRAMA SAO CARLOS EM PLACAS</v>
      </c>
      <c r="F461" s="65" t="str">
        <f>VLOOKUP(D461,'FDE 10-23 '!$A$4:$E$3180,3,0)</f>
        <v>M2</v>
      </c>
      <c r="G461" s="66">
        <f>VLOOKUP(B461,Planilha17!$A$8:$F$1259,6,0)</f>
        <v>4037.7</v>
      </c>
      <c r="H461" s="67">
        <f>VLOOKUP(D461,'FDE 10-23 '!$A$4:$E$3180,5,0)</f>
        <v>20.329999999999998</v>
      </c>
      <c r="I461" s="68">
        <f>$L$10</f>
        <v>0.23</v>
      </c>
      <c r="J461" s="67">
        <f>ROUND(H461*(1+I461),2)</f>
        <v>25.01</v>
      </c>
      <c r="K461" s="69">
        <f>SUM(G461*J461)</f>
        <v>100982.87700000001</v>
      </c>
      <c r="L461" s="51"/>
      <c r="M461" s="52"/>
    </row>
    <row r="462" spans="2:13" s="25" customFormat="1" ht="30" customHeight="1" outlineLevel="1">
      <c r="B462" s="61" t="s">
        <v>989</v>
      </c>
      <c r="C462" s="62" t="s">
        <v>26</v>
      </c>
      <c r="D462" s="63" t="s">
        <v>990</v>
      </c>
      <c r="E462" s="64" t="str">
        <f>IFERROR(UPPER(IF(C462="CPU",VLOOKUP(D462,#REF!,2,0),IF(C462="SINAPI",VLOOKUP(D462,#REF!,2,0),IF(C462="EDIF",VLOOKUP(D462,#REF!,2,0),IF(C462="CDHU",VLOOKUP(D462,#REF!,2,0),IF(C462="FDE",VLOOKUP(D462,'FDE 10-23 '!$A$4:$E$3180,2,0),IF(C462="INFRA",VLOOKUP(D462,#REF!,2,0),""))))))),"")</f>
        <v>AP-02 PROTETOR PARA ARVORES</v>
      </c>
      <c r="F462" s="65" t="str">
        <f>VLOOKUP(D462,'FDE 10-23 '!$A$4:$E$3180,3,0)</f>
        <v>UN</v>
      </c>
      <c r="G462" s="66">
        <f>VLOOKUP(B462,Planilha17!$A$8:$F$1259,6,0)</f>
        <v>14</v>
      </c>
      <c r="H462" s="67">
        <f>VLOOKUP(D462,'FDE 10-23 '!$A$4:$E$3180,5,0)</f>
        <v>114.06</v>
      </c>
      <c r="I462" s="68">
        <f>$L$10</f>
        <v>0.23</v>
      </c>
      <c r="J462" s="67">
        <f>ROUND(H462*(1+I462),2)</f>
        <v>140.29</v>
      </c>
      <c r="K462" s="69">
        <f>SUM(G462*J462)</f>
        <v>1964.06</v>
      </c>
      <c r="L462" s="51"/>
      <c r="M462" s="52"/>
    </row>
    <row r="463" spans="2:13" s="25" customFormat="1" ht="30" customHeight="1" outlineLevel="1">
      <c r="B463" s="61" t="s">
        <v>991</v>
      </c>
      <c r="C463" s="62" t="s">
        <v>26</v>
      </c>
      <c r="D463" s="63" t="s">
        <v>992</v>
      </c>
      <c r="E463" s="64" t="str">
        <f>IFERROR(UPPER(IF(C463="CPU",VLOOKUP(D463,#REF!,2,0),IF(C463="SINAPI",VLOOKUP(D463,#REF!,2,0),IF(C463="EDIF",VLOOKUP(D463,#REF!,2,0),IF(C463="CDHU",VLOOKUP(D463,#REF!,2,0),IF(C463="FDE",VLOOKUP(D463,'FDE 10-23 '!$A$4:$E$3180,2,0),IF(C463="INFRA",VLOOKUP(D463,#REF!,2,0),""))))))),"")</f>
        <v>FRUTÍFERA PITANGUEIRA H=2,00M</v>
      </c>
      <c r="F463" s="65" t="str">
        <f>VLOOKUP(D463,'FDE 10-23 '!$A$4:$E$3180,3,0)</f>
        <v>UN</v>
      </c>
      <c r="G463" s="66">
        <f>VLOOKUP(B463,Planilha17!$A$8:$F$1259,6,0)</f>
        <v>5</v>
      </c>
      <c r="H463" s="67">
        <f>VLOOKUP(D463,'FDE 10-23 '!$A$4:$E$3180,5,0)</f>
        <v>417.62</v>
      </c>
      <c r="I463" s="68">
        <f>$L$10</f>
        <v>0.23</v>
      </c>
      <c r="J463" s="67">
        <f>ROUND(H463*(1+I463),2)</f>
        <v>513.66999999999996</v>
      </c>
      <c r="K463" s="69">
        <f>SUM(G463*J463)</f>
        <v>2568.35</v>
      </c>
      <c r="L463" s="51"/>
      <c r="M463" s="52"/>
    </row>
    <row r="464" spans="2:13" s="25" customFormat="1" ht="30" customHeight="1" outlineLevel="1">
      <c r="B464" s="61" t="s">
        <v>993</v>
      </c>
      <c r="C464" s="62" t="s">
        <v>26</v>
      </c>
      <c r="D464" s="63" t="s">
        <v>994</v>
      </c>
      <c r="E464" s="64" t="str">
        <f>IFERROR(UPPER(IF(C464="CPU",VLOOKUP(D464,#REF!,2,0),IF(C464="SINAPI",VLOOKUP(D464,#REF!,2,0),IF(C464="EDIF",VLOOKUP(D464,#REF!,2,0),IF(C464="CDHU",VLOOKUP(D464,#REF!,2,0),IF(C464="FDE",VLOOKUP(D464,'FDE 10-23 '!$A$4:$E$3180,2,0),IF(C464="INFRA",VLOOKUP(D464,#REF!,2,0),""))))))),"")</f>
        <v>ÁRVORE ORNAMENTAL PAU-BRASIL  H=2,00M</v>
      </c>
      <c r="F464" s="65" t="str">
        <f>VLOOKUP(D464,'FDE 10-23 '!$A$4:$E$3180,3,0)</f>
        <v>UN</v>
      </c>
      <c r="G464" s="66">
        <f>VLOOKUP(B464,Planilha17!$A$8:$F$1259,6,0)</f>
        <v>9</v>
      </c>
      <c r="H464" s="67">
        <f>VLOOKUP(D464,'FDE 10-23 '!$A$4:$E$3180,5,0)</f>
        <v>230.95</v>
      </c>
      <c r="I464" s="68">
        <f>$L$10</f>
        <v>0.23</v>
      </c>
      <c r="J464" s="67">
        <f>ROUND(H464*(1+I464),2)</f>
        <v>284.07</v>
      </c>
      <c r="K464" s="69">
        <f>SUM(G464*J464)</f>
        <v>2556.63</v>
      </c>
      <c r="L464" s="51"/>
      <c r="M464" s="52"/>
    </row>
    <row r="465" spans="2:13" s="25" customFormat="1" ht="30" customHeight="1" outlineLevel="1">
      <c r="B465" s="53" t="s">
        <v>995</v>
      </c>
      <c r="C465" s="54"/>
      <c r="D465" s="54" t="s">
        <v>996</v>
      </c>
      <c r="E465" s="55" t="s">
        <v>997</v>
      </c>
      <c r="F465" s="56" t="str">
        <f>IFERROR(UPPER(IF(C465="CPU",VLOOKUP(D465,#REF!,3,0),IF(C465="SINAPI",VLOOKUP(D465,#REF!,3,0),IF(C465="EDIF",VLOOKUP(D465,#REF!,3,0),IF(C465="CDHU",VLOOKUP(D465,#REF!,3,0),IF(C465="FDE",VLOOKUP(D465,#REF!,3,0),IF(C465="INFRA",VLOOKUP(D465,#REF!,3,0),""))))))),"")</f>
        <v/>
      </c>
      <c r="G465" s="57"/>
      <c r="H46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65" s="59"/>
      <c r="J465" s="59"/>
      <c r="K465" s="60">
        <f>SUBTOTAL(9,K466:K479)</f>
        <v>226298.00940000004</v>
      </c>
      <c r="L465" s="51"/>
      <c r="M465" s="52"/>
    </row>
    <row r="466" spans="2:13" s="25" customFormat="1" ht="30" customHeight="1" outlineLevel="1">
      <c r="B466" s="61" t="s">
        <v>998</v>
      </c>
      <c r="C466" s="62" t="s">
        <v>26</v>
      </c>
      <c r="D466" s="63" t="s">
        <v>999</v>
      </c>
      <c r="E466" s="64" t="str">
        <f>IFERROR(UPPER(IF(C466="CPU",VLOOKUP(D466,#REF!,2,0),IF(C466="SINAPI",VLOOKUP(D466,#REF!,2,0),IF(C466="EDIF",VLOOKUP(D466,#REF!,2,0),IF(C466="CDHU",VLOOKUP(D466,#REF!,2,0),IF(C466="FDE",VLOOKUP(D466,'FDE 10-23 '!$A$4:$E$3180,2,0),IF(C466="INFRA",VLOOKUP(D466,#REF!,2,0),""))))))),"")</f>
        <v>CA-05 CANALETA P/ AGUAS PLUVIAIS (L=60CM)</v>
      </c>
      <c r="F466" s="65" t="str">
        <f>VLOOKUP(D466,'FDE 10-23 '!$A$4:$E$3180,3,0)</f>
        <v>M</v>
      </c>
      <c r="G466" s="66">
        <f>VLOOKUP(B466,Planilha17!$A$8:$F$1259,6,0)</f>
        <v>128</v>
      </c>
      <c r="H466" s="67">
        <f>VLOOKUP(D466,'FDE 10-23 '!$A$4:$E$3180,5,0)</f>
        <v>42.9</v>
      </c>
      <c r="I466" s="68">
        <f t="shared" ref="I466:I479" si="81">$L$10</f>
        <v>0.23</v>
      </c>
      <c r="J466" s="67">
        <f t="shared" ref="J466:J479" si="82">ROUND(H466*(1+I466),2)</f>
        <v>52.77</v>
      </c>
      <c r="K466" s="69">
        <f t="shared" ref="K466:K479" si="83">SUM(G466*J466)</f>
        <v>6754.56</v>
      </c>
      <c r="L466" s="51"/>
      <c r="M466" s="52"/>
    </row>
    <row r="467" spans="2:13" s="25" customFormat="1" ht="30" customHeight="1" outlineLevel="1">
      <c r="B467" s="61" t="s">
        <v>1000</v>
      </c>
      <c r="C467" s="62" t="s">
        <v>26</v>
      </c>
      <c r="D467" s="63" t="s">
        <v>1001</v>
      </c>
      <c r="E467" s="64" t="str">
        <f>IFERROR(UPPER(IF(C467="CPU",VLOOKUP(D467,#REF!,2,0),IF(C467="SINAPI",VLOOKUP(D467,#REF!,2,0),IF(C467="EDIF",VLOOKUP(D467,#REF!,2,0),IF(C467="CDHU",VLOOKUP(D467,#REF!,2,0),IF(C467="FDE",VLOOKUP(D467,'FDE 10-23 '!$A$4:$E$3180,2,0),IF(C467="INFRA",VLOOKUP(D467,#REF!,2,0),""))))))),"")</f>
        <v>CA-11 CAIXA DE AREIA COM GRELHA</v>
      </c>
      <c r="F467" s="65" t="str">
        <f>VLOOKUP(D467,'FDE 10-23 '!$A$4:$E$3180,3,0)</f>
        <v>UN</v>
      </c>
      <c r="G467" s="66">
        <f>VLOOKUP(B467,Planilha17!$A$8:$F$1259,6,0)</f>
        <v>3</v>
      </c>
      <c r="H467" s="67">
        <f>VLOOKUP(D467,'FDE 10-23 '!$A$4:$E$3180,5,0)</f>
        <v>547.94000000000005</v>
      </c>
      <c r="I467" s="68">
        <f t="shared" si="81"/>
        <v>0.23</v>
      </c>
      <c r="J467" s="67">
        <f t="shared" si="82"/>
        <v>673.97</v>
      </c>
      <c r="K467" s="69">
        <f t="shared" si="83"/>
        <v>2021.91</v>
      </c>
      <c r="L467" s="51"/>
      <c r="M467" s="52"/>
    </row>
    <row r="468" spans="2:13" s="25" customFormat="1" ht="30" customHeight="1" outlineLevel="1">
      <c r="B468" s="61" t="s">
        <v>1002</v>
      </c>
      <c r="C468" s="62" t="s">
        <v>26</v>
      </c>
      <c r="D468" s="63" t="s">
        <v>1003</v>
      </c>
      <c r="E468" s="64" t="str">
        <f>IFERROR(UPPER(IF(C468="CPU",VLOOKUP(D468,#REF!,2,0),IF(C468="SINAPI",VLOOKUP(D468,#REF!,2,0),IF(C468="EDIF",VLOOKUP(D468,#REF!,2,0),IF(C468="CDHU",VLOOKUP(D468,#REF!,2,0),IF(C468="FDE",VLOOKUP(D468,'FDE 10-23 '!$A$4:$E$3180,2,0),IF(C468="INFRA",VLOOKUP(D468,#REF!,2,0),""))))))),"")</f>
        <v>CA-22 CANALETA DE AGUAS PLUVIAIS EM CONCRETO (30CM)</v>
      </c>
      <c r="F468" s="65" t="str">
        <f>VLOOKUP(D468,'FDE 10-23 '!$A$4:$E$3180,3,0)</f>
        <v>M</v>
      </c>
      <c r="G468" s="66">
        <f>VLOOKUP(B468,Planilha17!$A$8:$F$1259,6,0)</f>
        <v>31</v>
      </c>
      <c r="H468" s="67">
        <f>VLOOKUP(D468,'FDE 10-23 '!$A$4:$E$3180,5,0)</f>
        <v>144.15</v>
      </c>
      <c r="I468" s="68">
        <f t="shared" si="81"/>
        <v>0.23</v>
      </c>
      <c r="J468" s="67">
        <f t="shared" si="82"/>
        <v>177.3</v>
      </c>
      <c r="K468" s="69">
        <f t="shared" si="83"/>
        <v>5496.3</v>
      </c>
      <c r="L468" s="51"/>
      <c r="M468" s="52"/>
    </row>
    <row r="469" spans="2:13" s="25" customFormat="1" ht="30" customHeight="1" outlineLevel="1">
      <c r="B469" s="61" t="s">
        <v>1004</v>
      </c>
      <c r="C469" s="62" t="s">
        <v>26</v>
      </c>
      <c r="D469" s="63" t="s">
        <v>1005</v>
      </c>
      <c r="E469" s="64" t="str">
        <f>IFERROR(UPPER(IF(C469="CPU",VLOOKUP(D469,#REF!,2,0),IF(C469="SINAPI",VLOOKUP(D469,#REF!,2,0),IF(C469="EDIF",VLOOKUP(D469,#REF!,2,0),IF(C469="CDHU",VLOOKUP(D469,#REF!,2,0),IF(C469="FDE",VLOOKUP(D469,'FDE 10-23 '!$A$4:$E$3180,2,0),IF(C469="INFRA",VLOOKUP(D469,#REF!,2,0),""))))))),"")</f>
        <v>CANALETA DE CONCRETO 1/2 CANA DN 30CM P/ AGUAS PLUVIAIS</v>
      </c>
      <c r="F469" s="65" t="str">
        <f>VLOOKUP(D469,'FDE 10-23 '!$A$4:$E$3180,3,0)</f>
        <v>M</v>
      </c>
      <c r="G469" s="66">
        <f>VLOOKUP(B469,Planilha17!$A$8:$F$1259,6,0)</f>
        <v>116</v>
      </c>
      <c r="H469" s="67">
        <f>VLOOKUP(D469,'FDE 10-23 '!$A$4:$E$3180,5,0)</f>
        <v>57.99</v>
      </c>
      <c r="I469" s="68">
        <f t="shared" si="81"/>
        <v>0.23</v>
      </c>
      <c r="J469" s="67">
        <f t="shared" si="82"/>
        <v>71.33</v>
      </c>
      <c r="K469" s="69">
        <f t="shared" si="83"/>
        <v>8274.2800000000007</v>
      </c>
      <c r="L469" s="51"/>
      <c r="M469" s="52"/>
    </row>
    <row r="470" spans="2:13" s="25" customFormat="1" ht="30" customHeight="1" outlineLevel="1">
      <c r="B470" s="61" t="s">
        <v>1006</v>
      </c>
      <c r="C470" s="62" t="s">
        <v>26</v>
      </c>
      <c r="D470" s="63" t="s">
        <v>1007</v>
      </c>
      <c r="E470" s="64" t="str">
        <f>IFERROR(UPPER(IF(C470="CPU",VLOOKUP(D470,#REF!,2,0),IF(C470="SINAPI",VLOOKUP(D470,#REF!,2,0),IF(C470="EDIF",VLOOKUP(D470,#REF!,2,0),IF(C470="CDHU",VLOOKUP(D470,#REF!,2,0),IF(C470="FDE",VLOOKUP(D470,'FDE 10-23 '!$A$4:$E$3180,2,0),IF(C470="INFRA",VLOOKUP(D470,#REF!,2,0),""))))))),"")</f>
        <v>TC-08 TAMPA EM GRELHA DE FERRO GALVANIZADO P/ CANALETA (35CM)</v>
      </c>
      <c r="F470" s="65" t="str">
        <f>VLOOKUP(D470,'FDE 10-23 '!$A$4:$E$3180,3,0)</f>
        <v>M</v>
      </c>
      <c r="G470" s="66">
        <f>VLOOKUP(B470,Planilha17!$A$8:$F$1259,6,0)</f>
        <v>18</v>
      </c>
      <c r="H470" s="67">
        <f>VLOOKUP(D470,'FDE 10-23 '!$A$4:$E$3180,5,0)</f>
        <v>794.59</v>
      </c>
      <c r="I470" s="68">
        <f t="shared" si="81"/>
        <v>0.23</v>
      </c>
      <c r="J470" s="67">
        <f t="shared" si="82"/>
        <v>977.35</v>
      </c>
      <c r="K470" s="69">
        <f t="shared" si="83"/>
        <v>17592.3</v>
      </c>
      <c r="L470" s="51"/>
      <c r="M470" s="52"/>
    </row>
    <row r="471" spans="2:13" s="25" customFormat="1" ht="30" customHeight="1" outlineLevel="1">
      <c r="B471" s="61" t="s">
        <v>1008</v>
      </c>
      <c r="C471" s="62" t="s">
        <v>26</v>
      </c>
      <c r="D471" s="63" t="s">
        <v>1009</v>
      </c>
      <c r="E471" s="64" t="str">
        <f>IFERROR(UPPER(IF(C471="CPU",VLOOKUP(D471,#REF!,2,0),IF(C471="SINAPI",VLOOKUP(D471,#REF!,2,0),IF(C471="EDIF",VLOOKUP(D471,#REF!,2,0),IF(C471="CDHU",VLOOKUP(D471,#REF!,2,0),IF(C471="FDE",VLOOKUP(D471,'FDE 10-23 '!$A$4:$E$3180,2,0),IF(C471="INFRA",VLOOKUP(D471,#REF!,2,0),""))))))),"")</f>
        <v>TC-11 TAMPA DE CONCRETO PRE-MOLDADA PERF. P/ CANALETA L=35CM</v>
      </c>
      <c r="F471" s="65" t="str">
        <f>VLOOKUP(D471,'FDE 10-23 '!$A$4:$E$3180,3,0)</f>
        <v>M</v>
      </c>
      <c r="G471" s="66">
        <f>VLOOKUP(B471,Planilha17!$A$8:$F$1259,6,0)</f>
        <v>13</v>
      </c>
      <c r="H471" s="67">
        <f>VLOOKUP(D471,'FDE 10-23 '!$A$4:$E$3180,5,0)</f>
        <v>170.79</v>
      </c>
      <c r="I471" s="68">
        <f t="shared" si="81"/>
        <v>0.23</v>
      </c>
      <c r="J471" s="67">
        <f t="shared" si="82"/>
        <v>210.07</v>
      </c>
      <c r="K471" s="69">
        <f t="shared" si="83"/>
        <v>2730.91</v>
      </c>
      <c r="L471" s="51"/>
      <c r="M471" s="52"/>
    </row>
    <row r="472" spans="2:13" s="25" customFormat="1" ht="30" customHeight="1" outlineLevel="1">
      <c r="B472" s="61" t="s">
        <v>1010</v>
      </c>
      <c r="C472" s="62" t="s">
        <v>26</v>
      </c>
      <c r="D472" s="63" t="s">
        <v>1011</v>
      </c>
      <c r="E472" s="64" t="str">
        <f>IFERROR(UPPER(IF(C472="CPU",VLOOKUP(D472,#REF!,2,0),IF(C472="SINAPI",VLOOKUP(D472,#REF!,2,0),IF(C472="EDIF",VLOOKUP(D472,#REF!,2,0),IF(C472="CDHU",VLOOKUP(D472,#REF!,2,0),IF(C472="FDE",VLOOKUP(D472,'FDE 10-23 '!$A$4:$E$3180,2,0),IF(C472="INFRA",VLOOKUP(D472,#REF!,2,0),""))))))),"")</f>
        <v>TAMPA PRÉ-MOLDADA Ø 2,50M PARA POÇO DE RETENÇÃO DE A.P. COM TAMPA DE INSPEÇÃO Ø 0,60M</v>
      </c>
      <c r="F472" s="65" t="str">
        <f>VLOOKUP(D472,'FDE 10-23 '!$A$4:$E$3180,3,0)</f>
        <v>UN</v>
      </c>
      <c r="G472" s="66">
        <f>VLOOKUP(B472,Planilha17!$A$8:$F$1259,6,0)</f>
        <v>5</v>
      </c>
      <c r="H472" s="67">
        <f>VLOOKUP(D472,'FDE 10-23 '!$A$4:$E$3180,5,0)</f>
        <v>847.02</v>
      </c>
      <c r="I472" s="68">
        <f t="shared" si="81"/>
        <v>0.23</v>
      </c>
      <c r="J472" s="67">
        <f t="shared" si="82"/>
        <v>1041.83</v>
      </c>
      <c r="K472" s="69">
        <f t="shared" si="83"/>
        <v>5209.1499999999996</v>
      </c>
      <c r="L472" s="51"/>
      <c r="M472" s="52"/>
    </row>
    <row r="473" spans="2:13" s="25" customFormat="1" ht="30" customHeight="1" outlineLevel="1">
      <c r="B473" s="61" t="s">
        <v>1012</v>
      </c>
      <c r="C473" s="62" t="s">
        <v>26</v>
      </c>
      <c r="D473" s="63" t="s">
        <v>1013</v>
      </c>
      <c r="E473" s="64" t="str">
        <f>IFERROR(UPPER(IF(C473="CPU",VLOOKUP(D473,#REF!,2,0),IF(C473="SINAPI",VLOOKUP(D473,#REF!,2,0),IF(C473="EDIF",VLOOKUP(D473,#REF!,2,0),IF(C473="CDHU",VLOOKUP(D473,#REF!,2,0),IF(C473="FDE",VLOOKUP(D473,'FDE 10-23 '!$A$4:$E$3180,2,0),IF(C473="INFRA",VLOOKUP(D473,#REF!,2,0),""))))))),"")</f>
        <v>POÇO DE RETENÇÃO DE ÁGUA PLUVIAL Ø 2,50M COM FUNDO DE CONCRETO</v>
      </c>
      <c r="F473" s="65" t="str">
        <f>VLOOKUP(D473,'FDE 10-23 '!$A$4:$E$3180,3,0)</f>
        <v>M</v>
      </c>
      <c r="G473" s="66">
        <f>VLOOKUP(B473,Planilha17!$A$8:$F$1259,6,0)</f>
        <v>15.8</v>
      </c>
      <c r="H473" s="67">
        <f>VLOOKUP(D473,'FDE 10-23 '!$A$4:$E$3180,5,0)</f>
        <v>3512.82</v>
      </c>
      <c r="I473" s="68">
        <f t="shared" si="81"/>
        <v>0.23</v>
      </c>
      <c r="J473" s="67">
        <f t="shared" si="82"/>
        <v>4320.7700000000004</v>
      </c>
      <c r="K473" s="69">
        <f t="shared" si="83"/>
        <v>68268.166000000012</v>
      </c>
      <c r="L473" s="51"/>
      <c r="M473" s="52"/>
    </row>
    <row r="474" spans="2:13" s="25" customFormat="1" ht="30" customHeight="1" outlineLevel="1">
      <c r="B474" s="61" t="s">
        <v>1014</v>
      </c>
      <c r="C474" s="62" t="s">
        <v>26</v>
      </c>
      <c r="D474" s="63" t="s">
        <v>1015</v>
      </c>
      <c r="E474" s="64" t="str">
        <f>IFERROR(UPPER(IF(C474="CPU",VLOOKUP(D474,#REF!,2,0),IF(C474="SINAPI",VLOOKUP(D474,#REF!,2,0),IF(C474="EDIF",VLOOKUP(D474,#REF!,2,0),IF(C474="CDHU",VLOOKUP(D474,#REF!,2,0),IF(C474="FDE",VLOOKUP(D474,'FDE 10-23 '!$A$4:$E$3180,2,0),IF(C474="INFRA",VLOOKUP(D474,#REF!,2,0),""))))))),"")</f>
        <v>TUBO PVC OCRE JUNTA ELASTICA DN 100 INCLUSIVE CONEXOES  -  ENTERRADO</v>
      </c>
      <c r="F474" s="65" t="str">
        <f>VLOOKUP(D474,'FDE 10-23 '!$A$4:$E$3180,3,0)</f>
        <v>M</v>
      </c>
      <c r="G474" s="66">
        <f>VLOOKUP(B474,Planilha17!$A$8:$F$1259,6,0)</f>
        <v>30</v>
      </c>
      <c r="H474" s="67">
        <f>VLOOKUP(D474,'FDE 10-23 '!$A$4:$E$3180,5,0)</f>
        <v>70.989999999999995</v>
      </c>
      <c r="I474" s="68">
        <f t="shared" si="81"/>
        <v>0.23</v>
      </c>
      <c r="J474" s="67">
        <f t="shared" si="82"/>
        <v>87.32</v>
      </c>
      <c r="K474" s="69">
        <f t="shared" si="83"/>
        <v>2619.6</v>
      </c>
      <c r="L474" s="51"/>
      <c r="M474" s="52"/>
    </row>
    <row r="475" spans="2:13" s="25" customFormat="1" ht="30" customHeight="1" outlineLevel="1">
      <c r="B475" s="61" t="s">
        <v>1016</v>
      </c>
      <c r="C475" s="62" t="s">
        <v>26</v>
      </c>
      <c r="D475" s="63" t="s">
        <v>1017</v>
      </c>
      <c r="E475" s="64" t="str">
        <f>IFERROR(UPPER(IF(C475="CPU",VLOOKUP(D475,#REF!,2,0),IF(C475="SINAPI",VLOOKUP(D475,#REF!,2,0),IF(C475="EDIF",VLOOKUP(D475,#REF!,2,0),IF(C475="CDHU",VLOOKUP(D475,#REF!,2,0),IF(C475="FDE",VLOOKUP(D475,'FDE 10-23 '!$A$4:$E$3180,2,0),IF(C475="INFRA",VLOOKUP(D475,#REF!,2,0),""))))))),"")</f>
        <v>TUBO PVC OCRE JUNTA ELASTICA DN 150 INCLUSIVE CONEXOES  -  ENTERRADO</v>
      </c>
      <c r="F475" s="65" t="str">
        <f>VLOOKUP(D475,'FDE 10-23 '!$A$4:$E$3180,3,0)</f>
        <v>M</v>
      </c>
      <c r="G475" s="66">
        <f>VLOOKUP(B475,Planilha17!$A$8:$F$1259,6,0)</f>
        <v>100</v>
      </c>
      <c r="H475" s="67">
        <f>VLOOKUP(D475,'FDE 10-23 '!$A$4:$E$3180,5,0)</f>
        <v>105.21</v>
      </c>
      <c r="I475" s="68">
        <f t="shared" si="81"/>
        <v>0.23</v>
      </c>
      <c r="J475" s="67">
        <f t="shared" si="82"/>
        <v>129.41</v>
      </c>
      <c r="K475" s="69">
        <f t="shared" si="83"/>
        <v>12941</v>
      </c>
      <c r="L475" s="51"/>
      <c r="M475" s="52"/>
    </row>
    <row r="476" spans="2:13" s="25" customFormat="1" ht="30" customHeight="1" outlineLevel="1">
      <c r="B476" s="61" t="s">
        <v>1018</v>
      </c>
      <c r="C476" s="62" t="s">
        <v>26</v>
      </c>
      <c r="D476" s="63" t="s">
        <v>1019</v>
      </c>
      <c r="E476" s="64" t="str">
        <f>IFERROR(UPPER(IF(C476="CPU",VLOOKUP(D476,#REF!,2,0),IF(C476="SINAPI",VLOOKUP(D476,#REF!,2,0),IF(C476="EDIF",VLOOKUP(D476,#REF!,2,0),IF(C476="CDHU",VLOOKUP(D476,#REF!,2,0),IF(C476="FDE",VLOOKUP(D476,'FDE 10-23 '!$A$4:$E$3180,2,0),IF(C476="INFRA",VLOOKUP(D476,#REF!,2,0),""))))))),"")</f>
        <v>TUBO PVC OCRE JUNTA ELASTICA DN 200 INCLUSIVE CONEXOES  -  ENTERRADO</v>
      </c>
      <c r="F476" s="65" t="str">
        <f>VLOOKUP(D476,'FDE 10-23 '!$A$4:$E$3180,3,0)</f>
        <v>M</v>
      </c>
      <c r="G476" s="66">
        <f>VLOOKUP(B476,Planilha17!$A$8:$F$1259,6,0)</f>
        <v>65</v>
      </c>
      <c r="H476" s="67">
        <f>VLOOKUP(D476,'FDE 10-23 '!$A$4:$E$3180,5,0)</f>
        <v>198.58</v>
      </c>
      <c r="I476" s="68">
        <f t="shared" si="81"/>
        <v>0.23</v>
      </c>
      <c r="J476" s="67">
        <f t="shared" si="82"/>
        <v>244.25</v>
      </c>
      <c r="K476" s="69">
        <f t="shared" si="83"/>
        <v>15876.25</v>
      </c>
      <c r="L476" s="51"/>
      <c r="M476" s="52"/>
    </row>
    <row r="477" spans="2:13" s="25" customFormat="1" ht="30" customHeight="1" outlineLevel="1">
      <c r="B477" s="61" t="s">
        <v>1020</v>
      </c>
      <c r="C477" s="62" t="s">
        <v>26</v>
      </c>
      <c r="D477" s="63" t="s">
        <v>1021</v>
      </c>
      <c r="E477" s="64" t="str">
        <f>IFERROR(UPPER(IF(C477="CPU",VLOOKUP(D477,#REF!,2,0),IF(C477="SINAPI",VLOOKUP(D477,#REF!,2,0),IF(C477="EDIF",VLOOKUP(D477,#REF!,2,0),IF(C477="CDHU",VLOOKUP(D477,#REF!,2,0),IF(C477="FDE",VLOOKUP(D477,'FDE 10-23 '!$A$4:$E$3180,2,0),IF(C477="INFRA",VLOOKUP(D477,#REF!,2,0),""))))))),"")</f>
        <v>TUBO PVC OCRE JUNTA ELASTICA DN 250 INCLUSIVE CONEXOES  -  ENTERRADO</v>
      </c>
      <c r="F477" s="65" t="str">
        <f>VLOOKUP(D477,'FDE 10-23 '!$A$4:$E$3180,3,0)</f>
        <v>M</v>
      </c>
      <c r="G477" s="66">
        <f>VLOOKUP(B477,Planilha17!$A$8:$F$1259,6,0)</f>
        <v>114</v>
      </c>
      <c r="H477" s="67">
        <f>VLOOKUP(D477,'FDE 10-23 '!$A$4:$E$3180,5,0)</f>
        <v>270.23</v>
      </c>
      <c r="I477" s="68">
        <f t="shared" si="81"/>
        <v>0.23</v>
      </c>
      <c r="J477" s="67">
        <f t="shared" si="82"/>
        <v>332.38</v>
      </c>
      <c r="K477" s="69">
        <f t="shared" si="83"/>
        <v>37891.32</v>
      </c>
      <c r="L477" s="51"/>
      <c r="M477" s="52"/>
    </row>
    <row r="478" spans="2:13" s="25" customFormat="1" ht="30" customHeight="1" outlineLevel="1">
      <c r="B478" s="61" t="s">
        <v>1022</v>
      </c>
      <c r="C478" s="62" t="s">
        <v>26</v>
      </c>
      <c r="D478" s="63" t="s">
        <v>1023</v>
      </c>
      <c r="E478" s="64" t="str">
        <f>IFERROR(UPPER(IF(C478="CPU",VLOOKUP(D478,#REF!,2,0),IF(C478="SINAPI",VLOOKUP(D478,#REF!,2,0),IF(C478="EDIF",VLOOKUP(D478,#REF!,2,0),IF(C478="CDHU",VLOOKUP(D478,#REF!,2,0),IF(C478="FDE",VLOOKUP(D478,'FDE 10-23 '!$A$4:$E$3180,2,0),IF(C478="INFRA",VLOOKUP(D478,#REF!,2,0),""))))))),"")</f>
        <v>CA-10 CAIXA DE AREIA 50X50 CM PARA AGUAS PLUVIAIS</v>
      </c>
      <c r="F478" s="65" t="str">
        <f>VLOOKUP(D478,'FDE 10-23 '!$A$4:$E$3180,3,0)</f>
        <v>UN</v>
      </c>
      <c r="G478" s="66">
        <f>VLOOKUP(B478,Planilha17!$A$8:$F$1259,6,0)</f>
        <v>28</v>
      </c>
      <c r="H478" s="67">
        <f>VLOOKUP(D478,'FDE 10-23 '!$A$4:$E$3180,5,0)</f>
        <v>323</v>
      </c>
      <c r="I478" s="68">
        <f t="shared" si="81"/>
        <v>0.23</v>
      </c>
      <c r="J478" s="67">
        <f t="shared" si="82"/>
        <v>397.29</v>
      </c>
      <c r="K478" s="69">
        <f t="shared" si="83"/>
        <v>11124.12</v>
      </c>
      <c r="L478" s="51"/>
      <c r="M478" s="52"/>
    </row>
    <row r="479" spans="2:13" s="25" customFormat="1" ht="30" customHeight="1" outlineLevel="1">
      <c r="B479" s="61" t="s">
        <v>1024</v>
      </c>
      <c r="C479" s="62" t="s">
        <v>26</v>
      </c>
      <c r="D479" s="63" t="s">
        <v>1025</v>
      </c>
      <c r="E479" s="64" t="str">
        <f>IFERROR(UPPER(IF(C479="CPU",VLOOKUP(D479,#REF!,2,0),IF(C479="SINAPI",VLOOKUP(D479,#REF!,2,0),IF(C479="EDIF",VLOOKUP(D479,#REF!,2,0),IF(C479="CDHU",VLOOKUP(D479,#REF!,2,0),IF(C479="FDE",VLOOKUP(D479,'FDE 10-23 '!$A$4:$E$3180,2,0),IF(C479="INFRA",VLOOKUP(D479,#REF!,2,0),""))))))),"")</f>
        <v>ÁGUAS PLUVIAIS E DRENAGEM DE ACABAMENTO</v>
      </c>
      <c r="F479" s="65" t="str">
        <f>VLOOKUP(D479,'FDE 10-23 '!$A$4:$E$3180,3,0)</f>
        <v>MV</v>
      </c>
      <c r="G479" s="66">
        <f>VLOOKUP(B479,Planilha17!$A$8:$F$1259,6,0)</f>
        <v>44.99</v>
      </c>
      <c r="H479" s="67">
        <f>VLOOKUP(D479,'FDE 10-23 '!$A$4:$E$3180,5,0)</f>
        <v>533.05999999999995</v>
      </c>
      <c r="I479" s="68">
        <f t="shared" si="81"/>
        <v>0.23</v>
      </c>
      <c r="J479" s="67">
        <f t="shared" si="82"/>
        <v>655.66</v>
      </c>
      <c r="K479" s="69">
        <f t="shared" si="83"/>
        <v>29498.143400000001</v>
      </c>
      <c r="L479" s="51"/>
      <c r="M479" s="52"/>
    </row>
    <row r="480" spans="2:13" s="25" customFormat="1" ht="30" customHeight="1" outlineLevel="1">
      <c r="B480" s="53" t="s">
        <v>1026</v>
      </c>
      <c r="C480" s="54"/>
      <c r="D480" s="54" t="s">
        <v>1027</v>
      </c>
      <c r="E480" s="55" t="s">
        <v>1028</v>
      </c>
      <c r="F480" s="56" t="str">
        <f>IFERROR(UPPER(IF(C480="CPU",VLOOKUP(D480,#REF!,3,0),IF(C480="SINAPI",VLOOKUP(D480,#REF!,3,0),IF(C480="EDIF",VLOOKUP(D480,#REF!,3,0),IF(C480="CDHU",VLOOKUP(D480,#REF!,3,0),IF(C480="FDE",VLOOKUP(D480,#REF!,3,0),IF(C480="INFRA",VLOOKUP(D480,#REF!,3,0),""))))))),"")</f>
        <v/>
      </c>
      <c r="G480" s="57"/>
      <c r="H48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80" s="59"/>
      <c r="J480" s="59"/>
      <c r="K480" s="60">
        <f>SUBTOTAL(9,K481:K493)</f>
        <v>49688.603599999995</v>
      </c>
      <c r="L480" s="51"/>
      <c r="M480" s="52"/>
    </row>
    <row r="481" spans="2:13" s="25" customFormat="1" ht="30" customHeight="1" outlineLevel="1">
      <c r="B481" s="61" t="s">
        <v>1029</v>
      </c>
      <c r="C481" s="62" t="s">
        <v>26</v>
      </c>
      <c r="D481" s="63" t="s">
        <v>1030</v>
      </c>
      <c r="E481" s="64" t="str">
        <f>IFERROR(UPPER(IF(C481="CPU",VLOOKUP(D481,#REF!,2,0),IF(C481="SINAPI",VLOOKUP(D481,#REF!,2,0),IF(C481="EDIF",VLOOKUP(D481,#REF!,2,0),IF(C481="CDHU",VLOOKUP(D481,#REF!,2,0),IF(C481="FDE",VLOOKUP(D481,'FDE 10-23 '!$A$4:$E$3180,2,0),IF(C481="INFRA",VLOOKUP(D481,#REF!,2,0),""))))))),"")</f>
        <v>MB-03 MASTRO PARA BANDEIRAS</v>
      </c>
      <c r="F481" s="65" t="str">
        <f>VLOOKUP(D481,'FDE 10-23 '!$A$4:$E$3180,3,0)</f>
        <v>CJ</v>
      </c>
      <c r="G481" s="66">
        <f>VLOOKUP(B481,Planilha17!$A$8:$F$1259,6,0)</f>
        <v>1</v>
      </c>
      <c r="H481" s="67">
        <f>VLOOKUP(D481,'FDE 10-23 '!$A$4:$E$3180,5,0)</f>
        <v>10553.06</v>
      </c>
      <c r="I481" s="68">
        <f t="shared" ref="I481:I493" si="84">$L$10</f>
        <v>0.23</v>
      </c>
      <c r="J481" s="67">
        <f t="shared" ref="J481:J493" si="85">ROUND(H481*(1+I481),2)</f>
        <v>12980.26</v>
      </c>
      <c r="K481" s="69">
        <f t="shared" ref="K481:K493" si="86">SUM(G481*J481)</f>
        <v>12980.26</v>
      </c>
      <c r="L481" s="51"/>
      <c r="M481" s="52"/>
    </row>
    <row r="482" spans="2:13" s="25" customFormat="1" ht="30" customHeight="1" outlineLevel="1">
      <c r="B482" s="61" t="s">
        <v>1031</v>
      </c>
      <c r="C482" s="62" t="s">
        <v>26</v>
      </c>
      <c r="D482" s="63" t="s">
        <v>1032</v>
      </c>
      <c r="E482" s="64" t="str">
        <f>IFERROR(UPPER(IF(C482="CPU",VLOOKUP(D482,#REF!,2,0),IF(C482="SINAPI",VLOOKUP(D482,#REF!,2,0),IF(C482="EDIF",VLOOKUP(D482,#REF!,2,0),IF(C482="CDHU",VLOOKUP(D482,#REF!,2,0),IF(C482="FDE",VLOOKUP(D482,'FDE 10-23 '!$A$4:$E$3180,2,0),IF(C482="INFRA",VLOOKUP(D482,#REF!,2,0),""))))))),"")</f>
        <v>AL-01 ABRIGO PARA LIXO</v>
      </c>
      <c r="F482" s="65" t="str">
        <f>VLOOKUP(D482,'FDE 10-23 '!$A$4:$E$3180,3,0)</f>
        <v>UN</v>
      </c>
      <c r="G482" s="66">
        <f>VLOOKUP(B482,Planilha17!$A$8:$F$1259,6,0)</f>
        <v>0.61</v>
      </c>
      <c r="H482" s="67">
        <f>VLOOKUP(D482,'FDE 10-23 '!$A$4:$E$3180,5,0)</f>
        <v>5544.85</v>
      </c>
      <c r="I482" s="68">
        <f t="shared" si="84"/>
        <v>0.23</v>
      </c>
      <c r="J482" s="67">
        <f t="shared" si="85"/>
        <v>6820.17</v>
      </c>
      <c r="K482" s="69">
        <f t="shared" si="86"/>
        <v>4160.3037000000004</v>
      </c>
      <c r="L482" s="51"/>
      <c r="M482" s="52"/>
    </row>
    <row r="483" spans="2:13" s="25" customFormat="1" ht="30" customHeight="1" outlineLevel="1">
      <c r="B483" s="61" t="s">
        <v>1033</v>
      </c>
      <c r="C483" s="62" t="s">
        <v>26</v>
      </c>
      <c r="D483" s="63" t="s">
        <v>1034</v>
      </c>
      <c r="E483" s="64" t="str">
        <f>IFERROR(UPPER(IF(C483="CPU",VLOOKUP(D483,#REF!,2,0),IF(C483="SINAPI",VLOOKUP(D483,#REF!,2,0),IF(C483="EDIF",VLOOKUP(D483,#REF!,2,0),IF(C483="CDHU",VLOOKUP(D483,#REF!,2,0),IF(C483="FDE",VLOOKUP(D483,'FDE 10-23 '!$A$4:$E$3180,2,0),IF(C483="INFRA",VLOOKUP(D483,#REF!,2,0),""))))))),"")</f>
        <v>AL-02 ABRIGO PARA RESÍDUOS RECICLÁVEIS</v>
      </c>
      <c r="F483" s="65" t="str">
        <f>VLOOKUP(D483,'FDE 10-23 '!$A$4:$E$3180,3,0)</f>
        <v>UN</v>
      </c>
      <c r="G483" s="66">
        <f>VLOOKUP(B483,Planilha17!$A$8:$F$1259,6,0)</f>
        <v>0.61</v>
      </c>
      <c r="H483" s="67">
        <f>VLOOKUP(D483,'FDE 10-23 '!$A$4:$E$3180,5,0)</f>
        <v>5544.85</v>
      </c>
      <c r="I483" s="68">
        <f t="shared" si="84"/>
        <v>0.23</v>
      </c>
      <c r="J483" s="67">
        <f t="shared" si="85"/>
        <v>6820.17</v>
      </c>
      <c r="K483" s="69">
        <f t="shared" si="86"/>
        <v>4160.3037000000004</v>
      </c>
      <c r="L483" s="51"/>
      <c r="M483" s="52"/>
    </row>
    <row r="484" spans="2:13" s="25" customFormat="1" ht="30" customHeight="1" outlineLevel="1">
      <c r="B484" s="61" t="s">
        <v>1035</v>
      </c>
      <c r="C484" s="62" t="s">
        <v>26</v>
      </c>
      <c r="D484" s="63" t="s">
        <v>1036</v>
      </c>
      <c r="E484" s="64" t="str">
        <f>IFERROR(UPPER(IF(C484="CPU",VLOOKUP(D484,#REF!,2,0),IF(C484="SINAPI",VLOOKUP(D484,#REF!,2,0),IF(C484="EDIF",VLOOKUP(D484,#REF!,2,0),IF(C484="CDHU",VLOOKUP(D484,#REF!,2,0),IF(C484="FDE",VLOOKUP(D484,'FDE 10-23 '!$A$4:$E$3180,2,0),IF(C484="INFRA",VLOOKUP(D484,#REF!,2,0),""))))))),"")</f>
        <v>CANTEIRO DE OBRAS - LARG 3.30M</v>
      </c>
      <c r="F484" s="65" t="str">
        <f>VLOOKUP(D484,'FDE 10-23 '!$A$4:$E$3180,3,0)</f>
        <v>M2</v>
      </c>
      <c r="G484" s="66">
        <f>VLOOKUP(B484,Planilha17!$A$8:$F$1259,6,0)</f>
        <v>47.19</v>
      </c>
      <c r="H484" s="67">
        <f>VLOOKUP(D484,'FDE 10-23 '!$A$4:$E$3180,5,0)</f>
        <v>427.63</v>
      </c>
      <c r="I484" s="68">
        <f t="shared" si="84"/>
        <v>0.23</v>
      </c>
      <c r="J484" s="67">
        <f t="shared" si="85"/>
        <v>525.98</v>
      </c>
      <c r="K484" s="69">
        <f t="shared" si="86"/>
        <v>24820.996200000001</v>
      </c>
      <c r="L484" s="51"/>
      <c r="M484" s="52"/>
    </row>
    <row r="485" spans="2:13" s="25" customFormat="1" ht="30" customHeight="1" outlineLevel="1">
      <c r="B485" s="61" t="s">
        <v>1037</v>
      </c>
      <c r="C485" s="62" t="s">
        <v>26</v>
      </c>
      <c r="D485" s="63" t="s">
        <v>1038</v>
      </c>
      <c r="E485" s="64" t="str">
        <f>IFERROR(UPPER(IF(C485="CPU",VLOOKUP(D485,#REF!,2,0),IF(C485="SINAPI",VLOOKUP(D485,#REF!,2,0),IF(C485="EDIF",VLOOKUP(D485,#REF!,2,0),IF(C485="CDHU",VLOOKUP(D485,#REF!,2,0),IF(C485="FDE",VLOOKUP(D485,'FDE 10-23 '!$A$4:$E$3180,2,0),IF(C485="INFRA",VLOOKUP(D485,#REF!,2,0),""))))))),"")</f>
        <v>INSTALAÇÃO CH-01 CHUVEIRO E LAVA OLHOS / FACE</v>
      </c>
      <c r="F485" s="65" t="str">
        <f>VLOOKUP(D485,'FDE 10-23 '!$A$4:$E$3180,3,0)</f>
        <v>UN</v>
      </c>
      <c r="G485" s="66">
        <f>VLOOKUP(B485,Planilha17!$A$8:$F$1259,6,0)</f>
        <v>1</v>
      </c>
      <c r="H485" s="67">
        <f>VLOOKUP(D485,'FDE 10-23 '!$A$4:$E$3180,5,0)</f>
        <v>24.14</v>
      </c>
      <c r="I485" s="68">
        <f t="shared" si="84"/>
        <v>0.23</v>
      </c>
      <c r="J485" s="67">
        <f t="shared" si="85"/>
        <v>29.69</v>
      </c>
      <c r="K485" s="69">
        <f t="shared" si="86"/>
        <v>29.69</v>
      </c>
      <c r="L485" s="51"/>
      <c r="M485" s="52"/>
    </row>
    <row r="486" spans="2:13" s="25" customFormat="1" ht="30" customHeight="1" outlineLevel="1">
      <c r="B486" s="61" t="s">
        <v>1039</v>
      </c>
      <c r="C486" s="62" t="s">
        <v>26</v>
      </c>
      <c r="D486" s="63" t="s">
        <v>1040</v>
      </c>
      <c r="E486" s="64" t="str">
        <f>IFERROR(UPPER(IF(C486="CPU",VLOOKUP(D486,#REF!,2,0),IF(C486="SINAPI",VLOOKUP(D486,#REF!,2,0),IF(C486="EDIF",VLOOKUP(D486,#REF!,2,0),IF(C486="CDHU",VLOOKUP(D486,#REF!,2,0),IF(C486="FDE",VLOOKUP(D486,'FDE 10-23 '!$A$4:$E$3180,2,0),IF(C486="INFRA",VLOOKUP(D486,#REF!,2,0),""))))))),"")</f>
        <v>INSTALAÇÃO DE QUADRO BRANCO (QB-01)</v>
      </c>
      <c r="F486" s="65" t="str">
        <f>VLOOKUP(D486,'FDE 10-23 '!$A$4:$E$3180,3,0)</f>
        <v>UN</v>
      </c>
      <c r="G486" s="66">
        <f>VLOOKUP(B486,Planilha17!$A$8:$F$1259,6,0)</f>
        <v>118</v>
      </c>
      <c r="H486" s="67">
        <f>VLOOKUP(D486,'FDE 10-23 '!$A$4:$E$3180,5,0)</f>
        <v>17.05</v>
      </c>
      <c r="I486" s="68">
        <f t="shared" si="84"/>
        <v>0.23</v>
      </c>
      <c r="J486" s="67">
        <f t="shared" si="85"/>
        <v>20.97</v>
      </c>
      <c r="K486" s="69">
        <f t="shared" si="86"/>
        <v>2474.46</v>
      </c>
      <c r="L486" s="51"/>
      <c r="M486" s="52"/>
    </row>
    <row r="487" spans="2:13" s="25" customFormat="1" ht="30" customHeight="1" outlineLevel="1">
      <c r="B487" s="61" t="s">
        <v>1041</v>
      </c>
      <c r="C487" s="62" t="s">
        <v>26</v>
      </c>
      <c r="D487" s="63" t="s">
        <v>1042</v>
      </c>
      <c r="E487" s="64" t="str">
        <f>IFERROR(UPPER(IF(C487="CPU",VLOOKUP(D487,#REF!,2,0),IF(C487="SINAPI",VLOOKUP(D487,#REF!,2,0),IF(C487="EDIF",VLOOKUP(D487,#REF!,2,0),IF(C487="CDHU",VLOOKUP(D487,#REF!,2,0),IF(C487="FDE",VLOOKUP(D487,'FDE 10-23 '!$A$4:$E$3180,2,0),IF(C487="INFRA",VLOOKUP(D487,#REF!,2,0),""))))))),"")</f>
        <v>INSTALACÃO DE FAIXAS DE PROTECAO (FP-03/FP-04) POR REGUA</v>
      </c>
      <c r="F487" s="65" t="str">
        <f>VLOOKUP(D487,'FDE 10-23 '!$A$4:$E$3180,3,0)</f>
        <v>UN</v>
      </c>
      <c r="G487" s="66">
        <f>VLOOKUP(B487,Planilha17!$A$8:$F$1259,6,0)</f>
        <v>42</v>
      </c>
      <c r="H487" s="67">
        <f>VLOOKUP(D487,'FDE 10-23 '!$A$4:$E$3180,5,0)</f>
        <v>6.82</v>
      </c>
      <c r="I487" s="68">
        <f t="shared" si="84"/>
        <v>0.23</v>
      </c>
      <c r="J487" s="67">
        <f t="shared" si="85"/>
        <v>8.39</v>
      </c>
      <c r="K487" s="69">
        <f t="shared" si="86"/>
        <v>352.38</v>
      </c>
      <c r="L487" s="51"/>
      <c r="M487" s="52"/>
    </row>
    <row r="488" spans="2:13" s="25" customFormat="1" ht="30" customHeight="1" outlineLevel="1">
      <c r="B488" s="61" t="s">
        <v>1043</v>
      </c>
      <c r="C488" s="62" t="s">
        <v>26</v>
      </c>
      <c r="D488" s="63" t="s">
        <v>1044</v>
      </c>
      <c r="E488" s="64" t="str">
        <f>IFERROR(UPPER(IF(C488="CPU",VLOOKUP(D488,#REF!,2,0),IF(C488="SINAPI",VLOOKUP(D488,#REF!,2,0),IF(C488="EDIF",VLOOKUP(D488,#REF!,2,0),IF(C488="CDHU",VLOOKUP(D488,#REF!,2,0),IF(C488="FDE",VLOOKUP(D488,'FDE 10-23 '!$A$4:$E$3180,2,0),IF(C488="INFRA",VLOOKUP(D488,#REF!,2,0),""))))))),"")</f>
        <v>INSTALACÃO DE LOUSA (LG-07)</v>
      </c>
      <c r="F488" s="65" t="str">
        <f>VLOOKUP(D488,'FDE 10-23 '!$A$4:$E$3180,3,0)</f>
        <v>UN</v>
      </c>
      <c r="G488" s="66">
        <f>VLOOKUP(B488,Planilha17!$A$8:$F$1259,6,0)</f>
        <v>9</v>
      </c>
      <c r="H488" s="67">
        <f>VLOOKUP(D488,'FDE 10-23 '!$A$4:$E$3180,5,0)</f>
        <v>34.11</v>
      </c>
      <c r="I488" s="68">
        <f t="shared" si="84"/>
        <v>0.23</v>
      </c>
      <c r="J488" s="67">
        <f t="shared" si="85"/>
        <v>41.96</v>
      </c>
      <c r="K488" s="69">
        <f t="shared" si="86"/>
        <v>377.64</v>
      </c>
      <c r="L488" s="51"/>
      <c r="M488" s="52"/>
    </row>
    <row r="489" spans="2:13" s="25" customFormat="1" ht="30" customHeight="1" outlineLevel="1">
      <c r="B489" s="61" t="s">
        <v>1045</v>
      </c>
      <c r="C489" s="62" t="s">
        <v>26</v>
      </c>
      <c r="D489" s="63" t="s">
        <v>1046</v>
      </c>
      <c r="E489" s="64" t="str">
        <f>IFERROR(UPPER(IF(C489="CPU",VLOOKUP(D489,#REF!,2,0),IF(C489="SINAPI",VLOOKUP(D489,#REF!,2,0),IF(C489="EDIF",VLOOKUP(D489,#REF!,2,0),IF(C489="CDHU",VLOOKUP(D489,#REF!,2,0),IF(C489="FDE",VLOOKUP(D489,'FDE 10-23 '!$A$4:$E$3180,2,0),IF(C489="INFRA",VLOOKUP(D489,#REF!,2,0),""))))))),"")</f>
        <v>INSTALACÃO DE MURAL (MR-02)</v>
      </c>
      <c r="F489" s="65" t="str">
        <f>VLOOKUP(D489,'FDE 10-23 '!$A$4:$E$3180,3,0)</f>
        <v>UN</v>
      </c>
      <c r="G489" s="66">
        <f>VLOOKUP(B489,Planilha17!$A$8:$F$1259,6,0)</f>
        <v>17</v>
      </c>
      <c r="H489" s="67">
        <f>VLOOKUP(D489,'FDE 10-23 '!$A$4:$E$3180,5,0)</f>
        <v>8.5299999999999994</v>
      </c>
      <c r="I489" s="68">
        <f t="shared" si="84"/>
        <v>0.23</v>
      </c>
      <c r="J489" s="67">
        <f t="shared" si="85"/>
        <v>10.49</v>
      </c>
      <c r="K489" s="69">
        <f t="shared" si="86"/>
        <v>178.33</v>
      </c>
      <c r="L489" s="51"/>
      <c r="M489" s="52"/>
    </row>
    <row r="490" spans="2:13" s="25" customFormat="1" ht="30" customHeight="1" outlineLevel="1">
      <c r="B490" s="61" t="s">
        <v>1047</v>
      </c>
      <c r="C490" s="62" t="s">
        <v>26</v>
      </c>
      <c r="D490" s="63" t="s">
        <v>1048</v>
      </c>
      <c r="E490" s="64" t="str">
        <f>IFERROR(UPPER(IF(C490="CPU",VLOOKUP(D490,#REF!,2,0),IF(C490="SINAPI",VLOOKUP(D490,#REF!,2,0),IF(C490="EDIF",VLOOKUP(D490,#REF!,2,0),IF(C490="CDHU",VLOOKUP(D490,#REF!,2,0),IF(C490="FDE",VLOOKUP(D490,'FDE 10-23 '!$A$4:$E$3180,2,0),IF(C490="INFRA",VLOOKUP(D490,#REF!,2,0),""))))))),"")</f>
        <v>INSTALACÃO DE FOGAO INDUSTRIAL</v>
      </c>
      <c r="F490" s="65" t="str">
        <f>VLOOKUP(D490,'FDE 10-23 '!$A$4:$E$3180,3,0)</f>
        <v>UN</v>
      </c>
      <c r="G490" s="66">
        <f>VLOOKUP(B490,Planilha17!$A$8:$F$1259,6,0)</f>
        <v>1</v>
      </c>
      <c r="H490" s="67">
        <f>VLOOKUP(D490,'FDE 10-23 '!$A$4:$E$3180,5,0)</f>
        <v>17.05</v>
      </c>
      <c r="I490" s="68">
        <f t="shared" si="84"/>
        <v>0.23</v>
      </c>
      <c r="J490" s="67">
        <f t="shared" si="85"/>
        <v>20.97</v>
      </c>
      <c r="K490" s="69">
        <f t="shared" si="86"/>
        <v>20.97</v>
      </c>
      <c r="L490" s="51"/>
      <c r="M490" s="52"/>
    </row>
    <row r="491" spans="2:13" s="25" customFormat="1" ht="30" customHeight="1" outlineLevel="1">
      <c r="B491" s="61" t="s">
        <v>1049</v>
      </c>
      <c r="C491" s="62" t="s">
        <v>26</v>
      </c>
      <c r="D491" s="63" t="s">
        <v>1050</v>
      </c>
      <c r="E491" s="64" t="str">
        <f>IFERROR(UPPER(IF(C491="CPU",VLOOKUP(D491,#REF!,2,0),IF(C491="SINAPI",VLOOKUP(D491,#REF!,2,0),IF(C491="EDIF",VLOOKUP(D491,#REF!,2,0),IF(C491="CDHU",VLOOKUP(D491,#REF!,2,0),IF(C491="FDE",VLOOKUP(D491,'FDE 10-23 '!$A$4:$E$3180,2,0),IF(C491="INFRA",VLOOKUP(D491,#REF!,2,0),""))))))),"")</f>
        <v>INSTALACÃO DE SUPORTE TV/VIDEO</v>
      </c>
      <c r="F491" s="65" t="str">
        <f>VLOOKUP(D491,'FDE 10-23 '!$A$4:$E$3180,3,0)</f>
        <v>UN</v>
      </c>
      <c r="G491" s="66">
        <f>VLOOKUP(B491,Planilha17!$A$8:$F$1259,6,0)</f>
        <v>1</v>
      </c>
      <c r="H491" s="67">
        <f>VLOOKUP(D491,'FDE 10-23 '!$A$4:$E$3180,5,0)</f>
        <v>8.5299999999999994</v>
      </c>
      <c r="I491" s="68">
        <f t="shared" si="84"/>
        <v>0.23</v>
      </c>
      <c r="J491" s="67">
        <f t="shared" si="85"/>
        <v>10.49</v>
      </c>
      <c r="K491" s="69">
        <f t="shared" si="86"/>
        <v>10.49</v>
      </c>
      <c r="L491" s="51"/>
      <c r="M491" s="52"/>
    </row>
    <row r="492" spans="2:13" s="25" customFormat="1" ht="30" customHeight="1" outlineLevel="1">
      <c r="B492" s="61" t="s">
        <v>1051</v>
      </c>
      <c r="C492" s="62" t="s">
        <v>26</v>
      </c>
      <c r="D492" s="63" t="s">
        <v>1052</v>
      </c>
      <c r="E492" s="64" t="str">
        <f>IFERROR(UPPER(IF(C492="CPU",VLOOKUP(D492,#REF!,2,0),IF(C492="SINAPI",VLOOKUP(D492,#REF!,2,0),IF(C492="EDIF",VLOOKUP(D492,#REF!,2,0),IF(C492="CDHU",VLOOKUP(D492,#REF!,2,0),IF(C492="FDE",VLOOKUP(D492,'FDE 10-23 '!$A$4:$E$3180,2,0),IF(C492="INFRA",VLOOKUP(D492,#REF!,2,0),""))))))),"")</f>
        <v>INSTALAÇÃO DE VENTILADOR DE PAREDE VN-02</v>
      </c>
      <c r="F492" s="65" t="str">
        <f>VLOOKUP(D492,'FDE 10-23 '!$A$4:$E$3180,3,0)</f>
        <v>UN</v>
      </c>
      <c r="G492" s="66">
        <f>VLOOKUP(B492,Planilha17!$A$8:$F$1259,6,0)</f>
        <v>6</v>
      </c>
      <c r="H492" s="67">
        <f>VLOOKUP(D492,'FDE 10-23 '!$A$4:$E$3180,5,0)</f>
        <v>8.5299999999999994</v>
      </c>
      <c r="I492" s="68">
        <f t="shared" si="84"/>
        <v>0.23</v>
      </c>
      <c r="J492" s="67">
        <f t="shared" si="85"/>
        <v>10.49</v>
      </c>
      <c r="K492" s="69">
        <f t="shared" si="86"/>
        <v>62.94</v>
      </c>
      <c r="L492" s="51"/>
      <c r="M492" s="52"/>
    </row>
    <row r="493" spans="2:13" s="25" customFormat="1" ht="30" customHeight="1" outlineLevel="1">
      <c r="B493" s="61" t="s">
        <v>1053</v>
      </c>
      <c r="C493" s="62" t="s">
        <v>26</v>
      </c>
      <c r="D493" s="63" t="s">
        <v>1054</v>
      </c>
      <c r="E493" s="64" t="str">
        <f>IFERROR(UPPER(IF(C493="CPU",VLOOKUP(D493,#REF!,2,0),IF(C493="SINAPI",VLOOKUP(D493,#REF!,2,0),IF(C493="EDIF",VLOOKUP(D493,#REF!,2,0),IF(C493="CDHU",VLOOKUP(D493,#REF!,2,0),IF(C493="FDE",VLOOKUP(D493,'FDE 10-23 '!$A$4:$E$3180,2,0),IF(C493="INFRA",VLOOKUP(D493,#REF!,2,0),""))))))),"")</f>
        <v>INSTALAÇÃO DO BALCAO TERMICO  BT-02</v>
      </c>
      <c r="F493" s="65" t="str">
        <f>VLOOKUP(D493,'FDE 10-23 '!$A$4:$E$3180,3,0)</f>
        <v>UN</v>
      </c>
      <c r="G493" s="66">
        <f>VLOOKUP(B493,Planilha17!$A$8:$F$1259,6,0)</f>
        <v>1</v>
      </c>
      <c r="H493" s="67">
        <f>VLOOKUP(D493,'FDE 10-23 '!$A$4:$E$3180,5,0)</f>
        <v>48.65</v>
      </c>
      <c r="I493" s="68">
        <f t="shared" si="84"/>
        <v>0.23</v>
      </c>
      <c r="J493" s="67">
        <f t="shared" si="85"/>
        <v>59.84</v>
      </c>
      <c r="K493" s="69">
        <f t="shared" si="86"/>
        <v>59.84</v>
      </c>
      <c r="L493" s="51"/>
      <c r="M493" s="52"/>
    </row>
    <row r="494" spans="2:13" s="25" customFormat="1" ht="30" customHeight="1" outlineLevel="1">
      <c r="B494" s="53" t="s">
        <v>1055</v>
      </c>
      <c r="C494" s="54"/>
      <c r="D494" s="54" t="s">
        <v>1056</v>
      </c>
      <c r="E494" s="55" t="s">
        <v>1057</v>
      </c>
      <c r="F494" s="56" t="str">
        <f>IFERROR(UPPER(IF(C494="CPU",VLOOKUP(D494,#REF!,3,0),IF(C494="SINAPI",VLOOKUP(D494,#REF!,3,0),IF(C494="EDIF",VLOOKUP(D494,#REF!,3,0),IF(C494="CDHU",VLOOKUP(D494,#REF!,3,0),IF(C494="FDE",VLOOKUP(D494,#REF!,3,0),IF(C494="INFRA",VLOOKUP(D494,#REF!,3,0),""))))))),"")</f>
        <v/>
      </c>
      <c r="G494" s="57"/>
      <c r="H494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94" s="59"/>
      <c r="J494" s="59"/>
      <c r="K494" s="60">
        <f>SUBTOTAL(9,K495:K496)</f>
        <v>17908.677</v>
      </c>
      <c r="L494" s="51"/>
      <c r="M494" s="52"/>
    </row>
    <row r="495" spans="2:13" s="25" customFormat="1" ht="30" customHeight="1" outlineLevel="1">
      <c r="B495" s="61" t="s">
        <v>1058</v>
      </c>
      <c r="C495" s="62" t="s">
        <v>26</v>
      </c>
      <c r="D495" s="63" t="s">
        <v>1059</v>
      </c>
      <c r="E495" s="64" t="str">
        <f>IFERROR(UPPER(IF(C495="CPU",VLOOKUP(D495,#REF!,2,0),IF(C495="SINAPI",VLOOKUP(D495,#REF!,2,0),IF(C495="EDIF",VLOOKUP(D495,#REF!,2,0),IF(C495="CDHU",VLOOKUP(D495,#REF!,2,0),IF(C495="FDE",VLOOKUP(D495,'FDE 10-23 '!$A$4:$E$3180,2,0),IF(C495="INFRA",VLOOKUP(D495,#REF!,2,0),""))))))),"")</f>
        <v>BL-02 BICICLETÁRIO SOBRE CIMENTADO OU BLOCO INTERTRAVADO</v>
      </c>
      <c r="F495" s="65" t="str">
        <f>VLOOKUP(D495,'FDE 10-23 '!$A$4:$E$3180,3,0)</f>
        <v>UN</v>
      </c>
      <c r="G495" s="66">
        <f>VLOOKUP(B495,Planilha17!$A$8:$F$1259,6,0)</f>
        <v>6</v>
      </c>
      <c r="H495" s="67">
        <f>VLOOKUP(D495,'FDE 10-23 '!$A$4:$E$3180,5,0)</f>
        <v>1498.73</v>
      </c>
      <c r="I495" s="68">
        <f>$L$10</f>
        <v>0.23</v>
      </c>
      <c r="J495" s="67">
        <f>ROUND(H495*(1+I495),2)</f>
        <v>1843.44</v>
      </c>
      <c r="K495" s="69">
        <f>SUM(G495*J495)</f>
        <v>11060.64</v>
      </c>
      <c r="L495" s="51"/>
      <c r="M495" s="52"/>
    </row>
    <row r="496" spans="2:13" s="25" customFormat="1" ht="30" customHeight="1" outlineLevel="1">
      <c r="B496" s="61" t="s">
        <v>1060</v>
      </c>
      <c r="C496" s="62" t="s">
        <v>26</v>
      </c>
      <c r="D496" s="63" t="s">
        <v>1061</v>
      </c>
      <c r="E496" s="64" t="str">
        <f>IFERROR(UPPER(IF(C496="CPU",VLOOKUP(D496,#REF!,2,0),IF(C496="SINAPI",VLOOKUP(D496,#REF!,2,0),IF(C496="EDIF",VLOOKUP(D496,#REF!,2,0),IF(C496="CDHU",VLOOKUP(D496,#REF!,2,0),IF(C496="FDE",VLOOKUP(D496,'FDE 10-23 '!$A$4:$E$3180,2,0),IF(C496="INFRA",VLOOKUP(D496,#REF!,2,0),""))))))),"")</f>
        <v>BANCO COM ASSENTO DE CONCRETO ARMADO LISO DESEMPENADO COM PINTURA VERNIZ ACRÍLICO  FUNDAÇÃO SAPATA ISOLADA E PILARETE BLOCO CONCRETO REVESTIDO</v>
      </c>
      <c r="F496" s="65" t="str">
        <f>VLOOKUP(D496,'FDE 10-23 '!$A$4:$E$3180,3,0)</f>
        <v>M</v>
      </c>
      <c r="G496" s="66">
        <f>VLOOKUP(B496,Planilha17!$A$8:$F$1259,6,0)</f>
        <v>18.899999999999999</v>
      </c>
      <c r="H496" s="67">
        <f>VLOOKUP(D496,'FDE 10-23 '!$A$4:$E$3180,5,0)</f>
        <v>294.58</v>
      </c>
      <c r="I496" s="68">
        <f>$L$10</f>
        <v>0.23</v>
      </c>
      <c r="J496" s="67">
        <f>ROUND(H496*(1+I496),2)</f>
        <v>362.33</v>
      </c>
      <c r="K496" s="69">
        <f>SUM(G496*J496)</f>
        <v>6848.0369999999994</v>
      </c>
      <c r="L496" s="51"/>
      <c r="M496" s="52"/>
    </row>
    <row r="497" spans="1:15" s="25" customFormat="1" ht="30" customHeight="1" outlineLevel="1">
      <c r="B497" s="53" t="s">
        <v>1062</v>
      </c>
      <c r="C497" s="54"/>
      <c r="D497" s="54" t="s">
        <v>1063</v>
      </c>
      <c r="E497" s="55" t="s">
        <v>1064</v>
      </c>
      <c r="F497" s="56" t="str">
        <f>IFERROR(UPPER(IF(C497="CPU",VLOOKUP(D497,#REF!,3,0),IF(C497="SINAPI",VLOOKUP(D497,#REF!,3,0),IF(C497="EDIF",VLOOKUP(D497,#REF!,3,0),IF(C497="CDHU",VLOOKUP(D497,#REF!,3,0),IF(C497="FDE",VLOOKUP(D497,#REF!,3,0),IF(C497="INFRA",VLOOKUP(D497,#REF!,3,0),""))))))),"")</f>
        <v/>
      </c>
      <c r="G497" s="57"/>
      <c r="H49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97" s="59"/>
      <c r="J497" s="59"/>
      <c r="K497" s="60">
        <f>SUBTOTAL(9,K498:K504)</f>
        <v>25405.387000000002</v>
      </c>
      <c r="L497" s="51"/>
      <c r="M497" s="52"/>
    </row>
    <row r="498" spans="1:15" s="25" customFormat="1" ht="30" customHeight="1" outlineLevel="1">
      <c r="B498" s="61" t="s">
        <v>1065</v>
      </c>
      <c r="C498" s="62" t="s">
        <v>26</v>
      </c>
      <c r="D498" s="63" t="s">
        <v>1066</v>
      </c>
      <c r="E498" s="64" t="str">
        <f>IFERROR(UPPER(IF(C498="CPU",VLOOKUP(D498,#REF!,2,0),IF(C498="SINAPI",VLOOKUP(D498,#REF!,2,0),IF(C498="EDIF",VLOOKUP(D498,#REF!,2,0),IF(C498="CDHU",VLOOKUP(D498,#REF!,2,0),IF(C498="FDE",VLOOKUP(D498,'FDE 10-23 '!$A$4:$E$3180,2,0),IF(C498="INFRA",VLOOKUP(D498,#REF!,2,0),""))))))),"")</f>
        <v>CI-02 CAIXA DE INSPEÇÃO 80X80CM PARA ESGOTO</v>
      </c>
      <c r="F498" s="65" t="str">
        <f>VLOOKUP(D498,'FDE 10-23 '!$A$4:$E$3180,3,0)</f>
        <v>UN</v>
      </c>
      <c r="G498" s="66">
        <f>VLOOKUP(B498,Planilha17!$A$8:$F$1259,6,0)</f>
        <v>11</v>
      </c>
      <c r="H498" s="67">
        <f>VLOOKUP(D498,'FDE 10-23 '!$A$4:$E$3180,5,0)</f>
        <v>1012.74</v>
      </c>
      <c r="I498" s="68">
        <f t="shared" ref="I498:I504" si="87">$L$10</f>
        <v>0.23</v>
      </c>
      <c r="J498" s="67">
        <f t="shared" ref="J498:J504" si="88">ROUND(H498*(1+I498),2)</f>
        <v>1245.67</v>
      </c>
      <c r="K498" s="69">
        <f t="shared" ref="K498:K504" si="89">SUM(G498*J498)</f>
        <v>13702.37</v>
      </c>
      <c r="L498" s="51"/>
      <c r="M498" s="52"/>
    </row>
    <row r="499" spans="1:15" s="25" customFormat="1" ht="30" customHeight="1" outlineLevel="1">
      <c r="B499" s="61" t="s">
        <v>1067</v>
      </c>
      <c r="C499" s="62" t="s">
        <v>26</v>
      </c>
      <c r="D499" s="63" t="s">
        <v>1068</v>
      </c>
      <c r="E499" s="64" t="str">
        <f>IFERROR(UPPER(IF(C499="CPU",VLOOKUP(D499,#REF!,2,0),IF(C499="SINAPI",VLOOKUP(D499,#REF!,2,0),IF(C499="EDIF",VLOOKUP(D499,#REF!,2,0),IF(C499="CDHU",VLOOKUP(D499,#REF!,2,0),IF(C499="FDE",VLOOKUP(D499,'FDE 10-23 '!$A$4:$E$3180,2,0),IF(C499="INFRA",VLOOKUP(D499,#REF!,2,0),""))))))),"")</f>
        <v>CG-01 CAIXA DE GORDURA EM ALVENARIA</v>
      </c>
      <c r="F499" s="65" t="str">
        <f>VLOOKUP(D499,'FDE 10-23 '!$A$4:$E$3180,3,0)</f>
        <v>UN</v>
      </c>
      <c r="G499" s="66">
        <f>VLOOKUP(B499,Planilha17!$A$8:$F$1259,6,0)</f>
        <v>5</v>
      </c>
      <c r="H499" s="67">
        <f>VLOOKUP(D499,'FDE 10-23 '!$A$4:$E$3180,5,0)</f>
        <v>1368.63</v>
      </c>
      <c r="I499" s="68">
        <f t="shared" si="87"/>
        <v>0.23</v>
      </c>
      <c r="J499" s="67">
        <f t="shared" si="88"/>
        <v>1683.41</v>
      </c>
      <c r="K499" s="69">
        <f t="shared" si="89"/>
        <v>8417.0500000000011</v>
      </c>
      <c r="L499" s="51"/>
      <c r="M499" s="52"/>
    </row>
    <row r="500" spans="1:15" ht="30" customHeight="1" outlineLevel="1">
      <c r="A500" s="25"/>
      <c r="B500" s="61" t="s">
        <v>1069</v>
      </c>
      <c r="C500" s="62" t="s">
        <v>26</v>
      </c>
      <c r="D500" s="63" t="s">
        <v>1070</v>
      </c>
      <c r="E500" s="64" t="str">
        <f>IFERROR(UPPER(IF(C500="CPU",VLOOKUP(D500,#REF!,2,0),IF(C500="SINAPI",VLOOKUP(D500,#REF!,2,0),IF(C500="EDIF",VLOOKUP(D500,#REF!,2,0),IF(C500="CDHU",VLOOKUP(D500,#REF!,2,0),IF(C500="FDE",VLOOKUP(D500,'FDE 10-23 '!$A$4:$E$3180,2,0),IF(C500="INFRA",VLOOKUP(D500,#REF!,2,0),""))))))),"")</f>
        <v>CI-01 CAIXA DE INSPECAO 60X60CM PARA ESGOTO</v>
      </c>
      <c r="F500" s="65" t="str">
        <f>VLOOKUP(D500,'FDE 10-23 '!$A$4:$E$3180,3,0)</f>
        <v>UN</v>
      </c>
      <c r="G500" s="66">
        <f>VLOOKUP(B500,Planilha17!$A$8:$F$1259,6,0)</f>
        <v>4</v>
      </c>
      <c r="H500" s="67">
        <f>VLOOKUP(D500,'FDE 10-23 '!$A$4:$E$3180,5,0)</f>
        <v>535.05999999999995</v>
      </c>
      <c r="I500" s="68">
        <f t="shared" si="87"/>
        <v>0.23</v>
      </c>
      <c r="J500" s="67">
        <f t="shared" si="88"/>
        <v>658.12</v>
      </c>
      <c r="K500" s="69">
        <f t="shared" si="89"/>
        <v>2632.48</v>
      </c>
      <c r="L500" s="51"/>
      <c r="M500" s="52"/>
      <c r="N500" s="25"/>
      <c r="O500" s="25"/>
    </row>
    <row r="501" spans="1:15" ht="30" customHeight="1" outlineLevel="1">
      <c r="A501" s="25"/>
      <c r="B501" s="61" t="s">
        <v>1071</v>
      </c>
      <c r="C501" s="62" t="s">
        <v>26</v>
      </c>
      <c r="D501" s="63" t="s">
        <v>1072</v>
      </c>
      <c r="E501" s="64" t="str">
        <f>IFERROR(UPPER(IF(C501="CPU",VLOOKUP(D501,#REF!,2,0),IF(C501="SINAPI",VLOOKUP(D501,#REF!,2,0),IF(C501="EDIF",VLOOKUP(D501,#REF!,2,0),IF(C501="CDHU",VLOOKUP(D501,#REF!,2,0),IF(C501="FDE",VLOOKUP(D501,'FDE 10-23 '!$A$4:$E$3180,2,0),IF(C501="INFRA",VLOOKUP(D501,#REF!,2,0),""))))))),"")</f>
        <v>CAIXA DE ALVENARIA - ESCAVACAO MANUAL COM APILOAMENTO DO FUNDO</v>
      </c>
      <c r="F501" s="65" t="str">
        <f>VLOOKUP(D501,'FDE 10-23 '!$A$4:$E$3180,3,0)</f>
        <v>M3</v>
      </c>
      <c r="G501" s="66">
        <f>VLOOKUP(B501,Planilha17!$A$8:$F$1259,6,0)</f>
        <v>0.3</v>
      </c>
      <c r="H501" s="67">
        <f>VLOOKUP(D501,'FDE 10-23 '!$A$4:$E$3180,5,0)</f>
        <v>76.98</v>
      </c>
      <c r="I501" s="68">
        <f t="shared" si="87"/>
        <v>0.23</v>
      </c>
      <c r="J501" s="67">
        <f t="shared" si="88"/>
        <v>94.69</v>
      </c>
      <c r="K501" s="69">
        <f t="shared" si="89"/>
        <v>28.407</v>
      </c>
      <c r="L501" s="51"/>
      <c r="M501" s="52"/>
      <c r="N501" s="25"/>
      <c r="O501" s="25"/>
    </row>
    <row r="502" spans="1:15" ht="30" customHeight="1" outlineLevel="1">
      <c r="A502" s="25"/>
      <c r="B502" s="61" t="s">
        <v>1073</v>
      </c>
      <c r="C502" s="62" t="s">
        <v>26</v>
      </c>
      <c r="D502" s="63" t="s">
        <v>1074</v>
      </c>
      <c r="E502" s="64" t="str">
        <f>IFERROR(UPPER(IF(C502="CPU",VLOOKUP(D502,#REF!,2,0),IF(C502="SINAPI",VLOOKUP(D502,#REF!,2,0),IF(C502="EDIF",VLOOKUP(D502,#REF!,2,0),IF(C502="CDHU",VLOOKUP(D502,#REF!,2,0),IF(C502="FDE",VLOOKUP(D502,'FDE 10-23 '!$A$4:$E$3180,2,0),IF(C502="INFRA",VLOOKUP(D502,#REF!,2,0),""))))))),"")</f>
        <v>CAIXA DE ALVENARIA - LASTRO DE CONCRETO</v>
      </c>
      <c r="F502" s="65" t="str">
        <f>VLOOKUP(D502,'FDE 10-23 '!$A$4:$E$3180,3,0)</f>
        <v>M3</v>
      </c>
      <c r="G502" s="66">
        <f>VLOOKUP(B502,Planilha17!$A$8:$F$1259,6,0)</f>
        <v>0.15</v>
      </c>
      <c r="H502" s="67">
        <f>VLOOKUP(D502,'FDE 10-23 '!$A$4:$E$3180,5,0)</f>
        <v>737.41</v>
      </c>
      <c r="I502" s="68">
        <f t="shared" si="87"/>
        <v>0.23</v>
      </c>
      <c r="J502" s="67">
        <f t="shared" si="88"/>
        <v>907.01</v>
      </c>
      <c r="K502" s="69">
        <f t="shared" si="89"/>
        <v>136.0515</v>
      </c>
      <c r="L502" s="51"/>
      <c r="M502" s="52"/>
      <c r="N502" s="25"/>
      <c r="O502" s="25"/>
    </row>
    <row r="503" spans="1:15" ht="30" customHeight="1" outlineLevel="1">
      <c r="A503" s="25"/>
      <c r="B503" s="61" t="s">
        <v>1075</v>
      </c>
      <c r="C503" s="62" t="s">
        <v>26</v>
      </c>
      <c r="D503" s="63" t="s">
        <v>1076</v>
      </c>
      <c r="E503" s="64" t="str">
        <f>IFERROR(UPPER(IF(C503="CPU",VLOOKUP(D503,#REF!,2,0),IF(C503="SINAPI",VLOOKUP(D503,#REF!,2,0),IF(C503="EDIF",VLOOKUP(D503,#REF!,2,0),IF(C503="CDHU",VLOOKUP(D503,#REF!,2,0),IF(C503="FDE",VLOOKUP(D503,'FDE 10-23 '!$A$4:$E$3180,2,0),IF(C503="INFRA",VLOOKUP(D503,#REF!,2,0),""))))))),"")</f>
        <v>CAIXA DE ALVENARIA - PAREDE DE 1 TIJOLO REVESTIDO</v>
      </c>
      <c r="F503" s="65" t="str">
        <f>VLOOKUP(D503,'FDE 10-23 '!$A$4:$E$3180,3,0)</f>
        <v>M2</v>
      </c>
      <c r="G503" s="66">
        <f>VLOOKUP(B503,Planilha17!$A$8:$F$1259,6,0)</f>
        <v>0.45</v>
      </c>
      <c r="H503" s="67">
        <f>VLOOKUP(D503,'FDE 10-23 '!$A$4:$E$3180,5,0)</f>
        <v>307.02</v>
      </c>
      <c r="I503" s="68">
        <f t="shared" si="87"/>
        <v>0.23</v>
      </c>
      <c r="J503" s="67">
        <f t="shared" si="88"/>
        <v>377.63</v>
      </c>
      <c r="K503" s="69">
        <f t="shared" si="89"/>
        <v>169.93350000000001</v>
      </c>
      <c r="L503" s="51"/>
      <c r="M503" s="52"/>
      <c r="N503" s="25"/>
      <c r="O503" s="25"/>
    </row>
    <row r="504" spans="1:15" ht="30" customHeight="1" outlineLevel="1">
      <c r="A504" s="25"/>
      <c r="B504" s="61" t="s">
        <v>1077</v>
      </c>
      <c r="C504" s="62" t="s">
        <v>26</v>
      </c>
      <c r="D504" s="63" t="s">
        <v>1078</v>
      </c>
      <c r="E504" s="64" t="str">
        <f>IFERROR(UPPER(IF(C504="CPU",VLOOKUP(D504,#REF!,2,0),IF(C504="SINAPI",VLOOKUP(D504,#REF!,2,0),IF(C504="EDIF",VLOOKUP(D504,#REF!,2,0),IF(C504="CDHU",VLOOKUP(D504,#REF!,2,0),IF(C504="FDE",VLOOKUP(D504,'FDE 10-23 '!$A$4:$E$3180,2,0),IF(C504="INFRA",VLOOKUP(D504,#REF!,2,0),""))))))),"")</f>
        <v>CAIXA DE ALVENARIA - TAMPA DE CONCRETO</v>
      </c>
      <c r="F504" s="65" t="str">
        <f>VLOOKUP(D504,'FDE 10-23 '!$A$4:$E$3180,3,0)</f>
        <v>M2</v>
      </c>
      <c r="G504" s="66">
        <f>VLOOKUP(B504,Planilha17!$A$8:$F$1259,6,0)</f>
        <v>1.5</v>
      </c>
      <c r="H504" s="67">
        <f>VLOOKUP(D504,'FDE 10-23 '!$A$4:$E$3180,5,0)</f>
        <v>172.95</v>
      </c>
      <c r="I504" s="68">
        <f t="shared" si="87"/>
        <v>0.23</v>
      </c>
      <c r="J504" s="67">
        <f t="shared" si="88"/>
        <v>212.73</v>
      </c>
      <c r="K504" s="69">
        <f t="shared" si="89"/>
        <v>319.09499999999997</v>
      </c>
      <c r="L504" s="51"/>
      <c r="M504" s="52"/>
      <c r="N504" s="25"/>
      <c r="O504" s="25"/>
    </row>
    <row r="505" spans="1:15" ht="30" customHeight="1" outlineLevel="1">
      <c r="A505" s="25"/>
      <c r="B505" s="53" t="s">
        <v>1079</v>
      </c>
      <c r="C505" s="54"/>
      <c r="D505" s="54" t="s">
        <v>1080</v>
      </c>
      <c r="E505" s="55" t="s">
        <v>1081</v>
      </c>
      <c r="F505" s="56" t="str">
        <f>IFERROR(UPPER(IF(C505="CPU",VLOOKUP(D505,#REF!,3,0),IF(C505="SINAPI",VLOOKUP(D505,#REF!,3,0),IF(C505="EDIF",VLOOKUP(D505,#REF!,3,0),IF(C505="CDHU",VLOOKUP(D505,#REF!,3,0),IF(C505="FDE",VLOOKUP(D505,#REF!,3,0),IF(C505="INFRA",VLOOKUP(D505,#REF!,3,0),""))))))),"")</f>
        <v/>
      </c>
      <c r="G505" s="57"/>
      <c r="H50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505" s="59"/>
      <c r="J505" s="59"/>
      <c r="K505" s="60">
        <f>SUBTOTAL(9,K506)</f>
        <v>42264.850000000006</v>
      </c>
      <c r="L505" s="51"/>
      <c r="M505" s="52"/>
      <c r="N505" s="25"/>
      <c r="O505" s="25"/>
    </row>
    <row r="506" spans="1:15" ht="30" customHeight="1" outlineLevel="1">
      <c r="A506" s="25"/>
      <c r="B506" s="61" t="s">
        <v>1082</v>
      </c>
      <c r="C506" s="62" t="s">
        <v>26</v>
      </c>
      <c r="D506" s="63" t="s">
        <v>1083</v>
      </c>
      <c r="E506" s="64" t="str">
        <f>IFERROR(UPPER(IF(C506="CPU",VLOOKUP(D506,#REF!,2,0),IF(C506="SINAPI",VLOOKUP(D506,#REF!,2,0),IF(C506="EDIF",VLOOKUP(D506,#REF!,2,0),IF(C506="CDHU",VLOOKUP(D506,#REF!,2,0),IF(C506="FDE",VLOOKUP(D506,'FDE 10-23 '!$A$4:$E$3180,2,0),IF(C506="INFRA",VLOOKUP(D506,#REF!,2,0),""))))))),"")</f>
        <v>LIMPEZA DA OBRA</v>
      </c>
      <c r="F506" s="65" t="str">
        <f>VLOOKUP(D506,'FDE 10-23 '!$A$4:$E$3180,3,0)</f>
        <v>M2</v>
      </c>
      <c r="G506" s="66">
        <f>VLOOKUP(B506,Planilha17!$A$8:$F$1259,6,0)</f>
        <v>3189.8</v>
      </c>
      <c r="H506" s="67">
        <f>VLOOKUP(D506,'FDE 10-23 '!$A$4:$E$3180,5,0)</f>
        <v>10.77</v>
      </c>
      <c r="I506" s="68">
        <f>$L$10</f>
        <v>0.23</v>
      </c>
      <c r="J506" s="67">
        <f>ROUND(H506*(1+I506),2)</f>
        <v>13.25</v>
      </c>
      <c r="K506" s="69">
        <f>SUM(G506*J506)</f>
        <v>42264.850000000006</v>
      </c>
      <c r="L506" s="51"/>
      <c r="M506" s="52"/>
      <c r="N506" s="25"/>
      <c r="O506" s="25"/>
    </row>
    <row r="507" spans="1:15" ht="30" customHeight="1" outlineLevel="1">
      <c r="A507" s="25"/>
      <c r="B507" s="53" t="s">
        <v>1084</v>
      </c>
      <c r="C507" s="54"/>
      <c r="D507" s="54" t="s">
        <v>1085</v>
      </c>
      <c r="E507" s="55" t="s">
        <v>1086</v>
      </c>
      <c r="F507" s="56" t="str">
        <f>IFERROR(UPPER(IF(C507="CPU",VLOOKUP(D507,#REF!,3,0),IF(C507="SINAPI",VLOOKUP(D507,#REF!,3,0),IF(C507="EDIF",VLOOKUP(D507,#REF!,3,0),IF(C507="CDHU",VLOOKUP(D507,#REF!,3,0),IF(C507="FDE",VLOOKUP(D507,#REF!,3,0),IF(C507="INFRA",VLOOKUP(D507,#REF!,3,0),""))))))),"")</f>
        <v/>
      </c>
      <c r="G507" s="57"/>
      <c r="H50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507" s="59"/>
      <c r="J507" s="59"/>
      <c r="K507" s="60">
        <f>SUBTOTAL(9,K508:K512)</f>
        <v>0</v>
      </c>
      <c r="L507" s="51"/>
      <c r="M507" s="52"/>
      <c r="N507" s="25"/>
      <c r="O507" s="25"/>
    </row>
    <row r="508" spans="1:15" ht="30" customHeight="1" outlineLevel="1">
      <c r="A508" s="25"/>
      <c r="B508" s="61" t="s">
        <v>1087</v>
      </c>
      <c r="C508" s="62" t="s">
        <v>26</v>
      </c>
      <c r="D508" s="63" t="s">
        <v>1088</v>
      </c>
      <c r="E508" s="64" t="str">
        <f>IFERROR(UPPER(IF(C508="CPU",VLOOKUP(D508,#REF!,2,0),IF(C508="SINAPI",VLOOKUP(D508,#REF!,2,0),IF(C508="EDIF",VLOOKUP(D508,#REF!,2,0),IF(C508="CDHU",VLOOKUP(D508,#REF!,2,0),IF(C508="FDE",VLOOKUP(D508,'FDE 10-23 '!$A$4:$E$3180,2,0),IF(C508="INFRA",VLOOKUP(D508,#REF!,2,0),""))))))),"")</f>
        <v>ESCAVACAO MANUAL - PROFUNDIDADE ATE 1.80 M</v>
      </c>
      <c r="F508" s="65" t="str">
        <f>VLOOKUP(D508,'FDE 10-23 '!$A$4:$E$3180,3,0)</f>
        <v>M3</v>
      </c>
      <c r="G508" s="66"/>
      <c r="H508" s="67">
        <f>VLOOKUP(D508,'FDE 10-23 '!$A$4:$E$3180,5,0)</f>
        <v>61.58</v>
      </c>
      <c r="I508" s="68">
        <f>$L$10</f>
        <v>0.23</v>
      </c>
      <c r="J508" s="67">
        <f>ROUND(H508*(1+I508),2)</f>
        <v>75.739999999999995</v>
      </c>
      <c r="K508" s="69">
        <f>SUM(G508*J508)</f>
        <v>0</v>
      </c>
      <c r="L508" s="51"/>
      <c r="M508" s="52"/>
      <c r="N508" s="25"/>
      <c r="O508" s="25"/>
    </row>
    <row r="509" spans="1:15" ht="30" customHeight="1" outlineLevel="1">
      <c r="A509" s="25"/>
      <c r="B509" s="61" t="s">
        <v>1089</v>
      </c>
      <c r="C509" s="62" t="s">
        <v>26</v>
      </c>
      <c r="D509" s="63" t="s">
        <v>1090</v>
      </c>
      <c r="E509" s="64" t="str">
        <f>IFERROR(UPPER(IF(C509="CPU",VLOOKUP(D509,#REF!,2,0),IF(C509="SINAPI",VLOOKUP(D509,#REF!,2,0),IF(C509="EDIF",VLOOKUP(D509,#REF!,2,0),IF(C509="CDHU",VLOOKUP(D509,#REF!,2,0),IF(C509="FDE",VLOOKUP(D509,'FDE 10-23 '!$A$4:$E$3180,2,0),IF(C509="INFRA",VLOOKUP(D509,#REF!,2,0),""))))))),"")</f>
        <v>APILOAMENTO PARA SIMPLES REGULARIZACAO</v>
      </c>
      <c r="F509" s="65" t="str">
        <f>VLOOKUP(D509,'FDE 10-23 '!$A$4:$E$3180,3,0)</f>
        <v>M2</v>
      </c>
      <c r="G509" s="66"/>
      <c r="H509" s="67">
        <f>VLOOKUP(D509,'FDE 10-23 '!$A$4:$E$3180,5,0)</f>
        <v>6.15</v>
      </c>
      <c r="I509" s="68">
        <f>$L$10</f>
        <v>0.23</v>
      </c>
      <c r="J509" s="67">
        <f>ROUND(H509*(1+I509),2)</f>
        <v>7.56</v>
      </c>
      <c r="K509" s="69">
        <f>SUM(G509*J509)</f>
        <v>0</v>
      </c>
      <c r="L509" s="51"/>
      <c r="M509" s="52"/>
      <c r="N509" s="25"/>
      <c r="O509" s="25"/>
    </row>
    <row r="510" spans="1:15" ht="30" customHeight="1" outlineLevel="1">
      <c r="A510" s="25"/>
      <c r="B510" s="61" t="s">
        <v>1091</v>
      </c>
      <c r="C510" s="62" t="s">
        <v>26</v>
      </c>
      <c r="D510" s="63" t="s">
        <v>1092</v>
      </c>
      <c r="E510" s="64" t="str">
        <f>IFERROR(UPPER(IF(C510="CPU",VLOOKUP(D510,#REF!,2,0),IF(C510="SINAPI",VLOOKUP(D510,#REF!,2,0),IF(C510="EDIF",VLOOKUP(D510,#REF!,2,0),IF(C510="CDHU",VLOOKUP(D510,#REF!,2,0),IF(C510="FDE",VLOOKUP(D510,'FDE 10-23 '!$A$4:$E$3180,2,0),IF(C510="INFRA",VLOOKUP(D510,#REF!,2,0),""))))))),"")</f>
        <v>REATERRO INTERNO APILOADO</v>
      </c>
      <c r="F510" s="65" t="str">
        <f>VLOOKUP(D510,'FDE 10-23 '!$A$4:$E$3180,3,0)</f>
        <v>M3</v>
      </c>
      <c r="G510" s="66"/>
      <c r="H510" s="67">
        <f>VLOOKUP(D510,'FDE 10-23 '!$A$4:$E$3180,5,0)</f>
        <v>53.88</v>
      </c>
      <c r="I510" s="68">
        <f>$L$10</f>
        <v>0.23</v>
      </c>
      <c r="J510" s="67">
        <f>ROUND(H510*(1+I510),2)</f>
        <v>66.27</v>
      </c>
      <c r="K510" s="69">
        <f>SUM(G510*J510)</f>
        <v>0</v>
      </c>
      <c r="L510" s="51"/>
      <c r="M510" s="52"/>
      <c r="N510" s="25"/>
      <c r="O510" s="25"/>
    </row>
    <row r="511" spans="1:15" ht="30" customHeight="1" outlineLevel="1">
      <c r="A511" s="25"/>
      <c r="B511" s="61" t="s">
        <v>1093</v>
      </c>
      <c r="C511" s="62" t="s">
        <v>26</v>
      </c>
      <c r="D511" s="63" t="s">
        <v>1094</v>
      </c>
      <c r="E511" s="64" t="str">
        <f>IFERROR(UPPER(IF(C511="CPU",VLOOKUP(D511,#REF!,2,0),IF(C511="SINAPI",VLOOKUP(D511,#REF!,2,0),IF(C511="EDIF",VLOOKUP(D511,#REF!,2,0),IF(C511="CDHU",VLOOKUP(D511,#REF!,2,0),IF(C511="FDE",VLOOKUP(D511,'FDE 10-23 '!$A$4:$E$3180,2,0),IF(C511="INFRA",VLOOKUP(D511,#REF!,2,0),""))))))),"")</f>
        <v>LASTRO DE CONCRETO - 5CM</v>
      </c>
      <c r="F511" s="65" t="str">
        <f>VLOOKUP(D511,'FDE 10-23 '!$A$4:$E$3180,3,0)</f>
        <v>M2</v>
      </c>
      <c r="G511" s="66"/>
      <c r="H511" s="67">
        <f>VLOOKUP(D511,'FDE 10-23 '!$A$4:$E$3180,5,0)</f>
        <v>33.81</v>
      </c>
      <c r="I511" s="68">
        <f>$L$10</f>
        <v>0.23</v>
      </c>
      <c r="J511" s="67">
        <f>ROUND(H511*(1+I511),2)</f>
        <v>41.59</v>
      </c>
      <c r="K511" s="69">
        <f>SUM(G511*J511)</f>
        <v>0</v>
      </c>
      <c r="L511" s="51"/>
      <c r="M511" s="52"/>
      <c r="N511" s="25"/>
      <c r="O511" s="25"/>
    </row>
    <row r="512" spans="1:15" ht="30" customHeight="1" outlineLevel="1">
      <c r="A512" s="25"/>
      <c r="B512" s="61" t="s">
        <v>1095</v>
      </c>
      <c r="C512" s="62" t="s">
        <v>26</v>
      </c>
      <c r="D512" s="63" t="s">
        <v>1096</v>
      </c>
      <c r="E512" s="64" t="str">
        <f>IFERROR(UPPER(IF(C512="CPU",VLOOKUP(D512,#REF!,2,0),IF(C512="SINAPI",VLOOKUP(D512,#REF!,2,0),IF(C512="EDIF",VLOOKUP(D512,#REF!,2,0),IF(C512="CDHU",VLOOKUP(D512,#REF!,2,0),IF(C512="FDE",VLOOKUP(D512,'FDE 10-23 '!$A$4:$E$3180,2,0),IF(C512="INFRA",VLOOKUP(D512,#REF!,2,0),""))))))),"")</f>
        <v>LASTRO DE PEDRA BRITADA - 5CM</v>
      </c>
      <c r="F512" s="65" t="str">
        <f>VLOOKUP(D512,'FDE 10-23 '!$A$4:$E$3180,3,0)</f>
        <v>M2</v>
      </c>
      <c r="G512" s="66"/>
      <c r="H512" s="67">
        <f>VLOOKUP(D512,'FDE 10-23 '!$A$4:$E$3180,5,0)</f>
        <v>9.7100000000000009</v>
      </c>
      <c r="I512" s="68">
        <f>$L$10</f>
        <v>0.23</v>
      </c>
      <c r="J512" s="67">
        <f>ROUND(H512*(1+I512),2)</f>
        <v>11.94</v>
      </c>
      <c r="K512" s="69">
        <f>SUM(G512*J512)</f>
        <v>0</v>
      </c>
      <c r="L512" s="51"/>
      <c r="M512" s="52"/>
      <c r="N512" s="25"/>
      <c r="O512" s="25"/>
    </row>
    <row r="513" spans="1:15" ht="30" customHeight="1" outlineLevel="1">
      <c r="A513" s="25"/>
      <c r="B513" s="53" t="s">
        <v>1097</v>
      </c>
      <c r="C513" s="54"/>
      <c r="D513" s="54" t="s">
        <v>1098</v>
      </c>
      <c r="E513" s="55" t="s">
        <v>1099</v>
      </c>
      <c r="F513" s="56" t="str">
        <f>IFERROR(UPPER(IF(C513="CPU",VLOOKUP(D513,#REF!,3,0),IF(C513="SINAPI",VLOOKUP(D513,#REF!,3,0),IF(C513="EDIF",VLOOKUP(D513,#REF!,3,0),IF(C513="CDHU",VLOOKUP(D513,#REF!,3,0),IF(C513="FDE",VLOOKUP(D513,#REF!,3,0),IF(C513="INFRA",VLOOKUP(D513,#REF!,3,0),""))))))),"")</f>
        <v/>
      </c>
      <c r="G513" s="57"/>
      <c r="H513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513" s="59"/>
      <c r="J513" s="59"/>
      <c r="K513" s="60">
        <f>SUBTOTAL(9,K514:K518)</f>
        <v>0</v>
      </c>
      <c r="L513" s="51"/>
      <c r="M513" s="52"/>
      <c r="N513" s="25"/>
      <c r="O513" s="25"/>
    </row>
    <row r="514" spans="1:15" ht="30" customHeight="1" outlineLevel="1">
      <c r="A514" s="25"/>
      <c r="B514" s="61" t="s">
        <v>1100</v>
      </c>
      <c r="C514" s="62" t="s">
        <v>26</v>
      </c>
      <c r="D514" s="63" t="s">
        <v>1101</v>
      </c>
      <c r="E514" s="64" t="str">
        <f>IFERROR(UPPER(IF(C514="CPU",VLOOKUP(D514,#REF!,2,0),IF(C514="SINAPI",VLOOKUP(D514,#REF!,2,0),IF(C514="EDIF",VLOOKUP(D514,#REF!,2,0),IF(C514="CDHU",VLOOKUP(D514,#REF!,2,0),IF(C514="FDE",VLOOKUP(D514,'FDE 10-23 '!$A$4:$E$3180,2,0),IF(C514="INFRA",VLOOKUP(D514,#REF!,2,0),""))))))),"")</f>
        <v>FORMAS DE MADEIRA MACICA</v>
      </c>
      <c r="F514" s="65" t="str">
        <f>VLOOKUP(D514,'FDE 10-23 '!$A$4:$E$3180,3,0)</f>
        <v>M2</v>
      </c>
      <c r="G514" s="66"/>
      <c r="H514" s="67">
        <f>VLOOKUP(D514,'FDE 10-23 '!$A$4:$E$3180,5,0)</f>
        <v>110.26</v>
      </c>
      <c r="I514" s="68">
        <f>$L$10</f>
        <v>0.23</v>
      </c>
      <c r="J514" s="67">
        <f>ROUND(H514*(1+I514),2)</f>
        <v>135.62</v>
      </c>
      <c r="K514" s="69">
        <f>SUM(G514*J514)</f>
        <v>0</v>
      </c>
      <c r="L514" s="51"/>
      <c r="M514" s="52"/>
      <c r="N514" s="25"/>
      <c r="O514" s="25"/>
    </row>
    <row r="515" spans="1:15" ht="30" customHeight="1" outlineLevel="1">
      <c r="A515" s="25"/>
      <c r="B515" s="61" t="s">
        <v>1102</v>
      </c>
      <c r="C515" s="62" t="s">
        <v>26</v>
      </c>
      <c r="D515" s="63" t="s">
        <v>1103</v>
      </c>
      <c r="E515" s="64" t="str">
        <f>IFERROR(UPPER(IF(C515="CPU",VLOOKUP(D515,#REF!,2,0),IF(C515="SINAPI",VLOOKUP(D515,#REF!,2,0),IF(C515="EDIF",VLOOKUP(D515,#REF!,2,0),IF(C515="CDHU",VLOOKUP(D515,#REF!,2,0),IF(C515="FDE",VLOOKUP(D515,'FDE 10-23 '!$A$4:$E$3180,2,0),IF(C515="INFRA",VLOOKUP(D515,#REF!,2,0),""))))))),"")</f>
        <v>ACO CA 50 (A OU B) FYK = 500 M PA</v>
      </c>
      <c r="F515" s="65" t="str">
        <f>VLOOKUP(D515,'FDE 10-23 '!$A$4:$E$3180,3,0)</f>
        <v>KG</v>
      </c>
      <c r="G515" s="66"/>
      <c r="H515" s="67">
        <f>VLOOKUP(D515,'FDE 10-23 '!$A$4:$E$3180,5,0)</f>
        <v>12.18</v>
      </c>
      <c r="I515" s="68">
        <f>$L$10</f>
        <v>0.23</v>
      </c>
      <c r="J515" s="67">
        <f>ROUND(H515*(1+I515),2)</f>
        <v>14.98</v>
      </c>
      <c r="K515" s="69">
        <f>SUM(G515*J515)</f>
        <v>0</v>
      </c>
      <c r="L515" s="51"/>
      <c r="M515" s="52"/>
      <c r="N515" s="25"/>
      <c r="O515" s="25"/>
    </row>
    <row r="516" spans="1:15" ht="30" customHeight="1" outlineLevel="1">
      <c r="A516" s="25"/>
      <c r="B516" s="61" t="s">
        <v>1104</v>
      </c>
      <c r="C516" s="62" t="s">
        <v>26</v>
      </c>
      <c r="D516" s="63" t="s">
        <v>1105</v>
      </c>
      <c r="E516" s="64" t="str">
        <f>IFERROR(UPPER(IF(C516="CPU",VLOOKUP(D516,#REF!,2,0),IF(C516="SINAPI",VLOOKUP(D516,#REF!,2,0),IF(C516="EDIF",VLOOKUP(D516,#REF!,2,0),IF(C516="CDHU",VLOOKUP(D516,#REF!,2,0),IF(C516="FDE",VLOOKUP(D516,'FDE 10-23 '!$A$4:$E$3180,2,0),IF(C516="INFRA",VLOOKUP(D516,#REF!,2,0),""))))))),"")</f>
        <v>ACO CA 60 (A OU B) FYK = 600 M PA</v>
      </c>
      <c r="F516" s="65" t="str">
        <f>VLOOKUP(D516,'FDE 10-23 '!$A$4:$E$3180,3,0)</f>
        <v>KG</v>
      </c>
      <c r="G516" s="66"/>
      <c r="H516" s="67">
        <f>VLOOKUP(D516,'FDE 10-23 '!$A$4:$E$3180,5,0)</f>
        <v>12.58</v>
      </c>
      <c r="I516" s="68">
        <f>$L$10</f>
        <v>0.23</v>
      </c>
      <c r="J516" s="67">
        <f>ROUND(H516*(1+I516),2)</f>
        <v>15.47</v>
      </c>
      <c r="K516" s="69">
        <f>SUM(G516*J516)</f>
        <v>0</v>
      </c>
      <c r="L516" s="51"/>
      <c r="M516" s="52"/>
      <c r="N516" s="25"/>
      <c r="O516" s="25"/>
    </row>
    <row r="517" spans="1:15" ht="30" customHeight="1" outlineLevel="1">
      <c r="A517" s="25"/>
      <c r="B517" s="61" t="s">
        <v>1106</v>
      </c>
      <c r="C517" s="62" t="s">
        <v>26</v>
      </c>
      <c r="D517" s="63" t="s">
        <v>1107</v>
      </c>
      <c r="E517" s="64" t="str">
        <f>IFERROR(UPPER(IF(C517="CPU",VLOOKUP(D517,#REF!,2,0),IF(C517="SINAPI",VLOOKUP(D517,#REF!,2,0),IF(C517="EDIF",VLOOKUP(D517,#REF!,2,0),IF(C517="CDHU",VLOOKUP(D517,#REF!,2,0),IF(C517="FDE",VLOOKUP(D517,'FDE 10-23 '!$A$4:$E$3180,2,0),IF(C517="INFRA",VLOOKUP(D517,#REF!,2,0),""))))))),"")</f>
        <v>CONCRETO DOSADO E LANCADO FCK=25 MPA</v>
      </c>
      <c r="F517" s="65" t="str">
        <f>VLOOKUP(D517,'FDE 10-23 '!$A$4:$E$3180,3,0)</f>
        <v>M3</v>
      </c>
      <c r="G517" s="66"/>
      <c r="H517" s="67">
        <f>VLOOKUP(D517,'FDE 10-23 '!$A$4:$E$3180,5,0)</f>
        <v>523.76</v>
      </c>
      <c r="I517" s="68">
        <f>$L$10</f>
        <v>0.23</v>
      </c>
      <c r="J517" s="67">
        <f>ROUND(H517*(1+I517),2)</f>
        <v>644.22</v>
      </c>
      <c r="K517" s="69">
        <f>SUM(G517*J517)</f>
        <v>0</v>
      </c>
      <c r="L517" s="51"/>
      <c r="M517" s="52"/>
      <c r="N517" s="25"/>
      <c r="O517" s="25"/>
    </row>
    <row r="518" spans="1:15" ht="30" customHeight="1" outlineLevel="1">
      <c r="A518" s="25"/>
      <c r="B518" s="61" t="s">
        <v>1108</v>
      </c>
      <c r="C518" s="62" t="s">
        <v>26</v>
      </c>
      <c r="D518" s="63" t="s">
        <v>1109</v>
      </c>
      <c r="E518" s="64" t="str">
        <f>IFERROR(UPPER(IF(C518="CPU",VLOOKUP(D518,#REF!,2,0),IF(C518="SINAPI",VLOOKUP(D518,#REF!,2,0),IF(C518="EDIF",VLOOKUP(D518,#REF!,2,0),IF(C518="CDHU",VLOOKUP(D518,#REF!,2,0),IF(C518="FDE",VLOOKUP(D518,'FDE 10-23 '!$A$4:$E$3180,2,0),IF(C518="INFRA",VLOOKUP(D518,#REF!,2,0),""))))))),"")</f>
        <v>CONCRETO GROUT, PREPARADO NO LOCAL, LANÇADO E ADENSADO</v>
      </c>
      <c r="F518" s="65" t="str">
        <f>VLOOKUP(D518,'FDE 10-23 '!$A$4:$E$3180,3,0)</f>
        <v>M3</v>
      </c>
      <c r="G518" s="66"/>
      <c r="H518" s="67">
        <f>VLOOKUP(D518,'FDE 10-23 '!$A$4:$E$3180,5,0)</f>
        <v>485.76</v>
      </c>
      <c r="I518" s="68">
        <f>$L$10</f>
        <v>0.23</v>
      </c>
      <c r="J518" s="67">
        <f>ROUND(H518*(1+I518),2)</f>
        <v>597.48</v>
      </c>
      <c r="K518" s="69">
        <f>SUM(G518*J518)</f>
        <v>0</v>
      </c>
      <c r="L518" s="51"/>
      <c r="M518" s="52"/>
      <c r="N518" s="25"/>
      <c r="O518" s="25"/>
    </row>
    <row r="519" spans="1:15" ht="30" customHeight="1" outlineLevel="1">
      <c r="A519" s="25"/>
      <c r="B519" s="53" t="s">
        <v>1110</v>
      </c>
      <c r="C519" s="54"/>
      <c r="D519" s="54" t="s">
        <v>1111</v>
      </c>
      <c r="E519" s="55" t="s">
        <v>1112</v>
      </c>
      <c r="F519" s="56" t="str">
        <f>IFERROR(UPPER(IF(C519="CPU",VLOOKUP(D519,#REF!,3,0),IF(C519="SINAPI",VLOOKUP(D519,#REF!,3,0),IF(C519="EDIF",VLOOKUP(D519,#REF!,3,0),IF(C519="CDHU",VLOOKUP(D519,#REF!,3,0),IF(C519="FDE",VLOOKUP(D519,#REF!,3,0),IF(C519="INFRA",VLOOKUP(D519,#REF!,3,0),""))))))),"")</f>
        <v/>
      </c>
      <c r="G519" s="57"/>
      <c r="H519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519" s="59"/>
      <c r="J519" s="59"/>
      <c r="K519" s="60">
        <f>SUBTOTAL(9,K520:K521)</f>
        <v>0</v>
      </c>
      <c r="L519" s="51"/>
      <c r="M519" s="52"/>
      <c r="N519" s="25"/>
      <c r="O519" s="25"/>
    </row>
    <row r="520" spans="1:15" ht="30" customHeight="1" outlineLevel="1">
      <c r="A520" s="25"/>
      <c r="B520" s="61" t="s">
        <v>1113</v>
      </c>
      <c r="C520" s="62" t="s">
        <v>26</v>
      </c>
      <c r="D520" s="63" t="s">
        <v>1114</v>
      </c>
      <c r="E520" s="64" t="str">
        <f>IFERROR(UPPER(IF(C520="CPU",VLOOKUP(D520,#REF!,2,0),IF(C520="SINAPI",VLOOKUP(D520,#REF!,2,0),IF(C520="EDIF",VLOOKUP(D520,#REF!,2,0),IF(C520="CDHU",VLOOKUP(D520,#REF!,2,0),IF(C520="FDE",VLOOKUP(D520,'FDE 10-23 '!$A$4:$E$3180,2,0),IF(C520="INFRA",VLOOKUP(D520,#REF!,2,0),""))))))),"")</f>
        <v>ALVENARIA AUTO PORTANTE BLOCO DE CONCRETO ESTRUTURAL DE 19X19X39 CM CLASSE A</v>
      </c>
      <c r="F520" s="65" t="str">
        <f>VLOOKUP(D520,'FDE 10-23 '!$A$4:$E$3180,3,0)</f>
        <v>M2</v>
      </c>
      <c r="G520" s="66"/>
      <c r="H520" s="67">
        <f>VLOOKUP(D520,'FDE 10-23 '!$A$4:$E$3180,5,0)</f>
        <v>114.13</v>
      </c>
      <c r="I520" s="68">
        <f>$L$10</f>
        <v>0.23</v>
      </c>
      <c r="J520" s="67">
        <f>ROUND(H520*(1+I520),2)</f>
        <v>140.38</v>
      </c>
      <c r="K520" s="69">
        <f>SUM(G520*J520)</f>
        <v>0</v>
      </c>
      <c r="L520" s="51"/>
      <c r="M520" s="52"/>
      <c r="N520" s="25"/>
      <c r="O520" s="25"/>
    </row>
    <row r="521" spans="1:15" ht="30" customHeight="1" outlineLevel="1">
      <c r="A521" s="25"/>
      <c r="B521" s="61" t="s">
        <v>1115</v>
      </c>
      <c r="C521" s="62" t="s">
        <v>26</v>
      </c>
      <c r="D521" s="63" t="s">
        <v>1116</v>
      </c>
      <c r="E521" s="64" t="str">
        <f>IFERROR(UPPER(IF(C521="CPU",VLOOKUP(D521,#REF!,2,0),IF(C521="SINAPI",VLOOKUP(D521,#REF!,2,0),IF(C521="EDIF",VLOOKUP(D521,#REF!,2,0),IF(C521="CDHU",VLOOKUP(D521,#REF!,2,0),IF(C521="FDE",VLOOKUP(D521,'FDE 10-23 '!$A$4:$E$3180,2,0),IF(C521="INFRA",VLOOKUP(D521,#REF!,2,0),""))))))),"")</f>
        <v>IMPERMEABILIZACAO POR CRISTALIZACAO - MUROS DE ARRIMO</v>
      </c>
      <c r="F521" s="65" t="str">
        <f>VLOOKUP(D521,'FDE 10-23 '!$A$4:$E$3180,3,0)</f>
        <v>M2</v>
      </c>
      <c r="G521" s="66"/>
      <c r="H521" s="67">
        <f>VLOOKUP(D521,'FDE 10-23 '!$A$4:$E$3180,5,0)</f>
        <v>11</v>
      </c>
      <c r="I521" s="68">
        <f>$L$10</f>
        <v>0.23</v>
      </c>
      <c r="J521" s="67">
        <f>ROUND(H521*(1+I521),2)</f>
        <v>13.53</v>
      </c>
      <c r="K521" s="69">
        <f>SUM(G521*J521)</f>
        <v>0</v>
      </c>
      <c r="L521" s="51"/>
      <c r="M521" s="52"/>
      <c r="N521" s="25"/>
      <c r="O521" s="25"/>
    </row>
    <row r="522" spans="1:15" ht="30" customHeight="1" outlineLevel="1">
      <c r="A522" s="25"/>
      <c r="B522" s="53" t="s">
        <v>1117</v>
      </c>
      <c r="C522" s="54"/>
      <c r="D522" s="54" t="s">
        <v>1118</v>
      </c>
      <c r="E522" s="55" t="s">
        <v>1119</v>
      </c>
      <c r="F522" s="56" t="str">
        <f>IFERROR(UPPER(IF(C522="CPU",VLOOKUP(D522,#REF!,3,0),IF(C522="SINAPI",VLOOKUP(D522,#REF!,3,0),IF(C522="EDIF",VLOOKUP(D522,#REF!,3,0),IF(C522="CDHU",VLOOKUP(D522,#REF!,3,0),IF(C522="FDE",VLOOKUP(D522,#REF!,3,0),IF(C522="INFRA",VLOOKUP(D522,#REF!,3,0),""))))))),"")</f>
        <v/>
      </c>
      <c r="G522" s="57"/>
      <c r="H522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522" s="59"/>
      <c r="J522" s="59"/>
      <c r="K522" s="60">
        <f>SUBTOTAL(9,K523:K526)</f>
        <v>22605.769999999997</v>
      </c>
      <c r="L522" s="51"/>
      <c r="M522" s="52"/>
      <c r="N522" s="25"/>
      <c r="O522" s="25"/>
    </row>
    <row r="523" spans="1:15" ht="30" customHeight="1" outlineLevel="1">
      <c r="A523" s="25"/>
      <c r="B523" s="61" t="s">
        <v>1120</v>
      </c>
      <c r="C523" s="62" t="s">
        <v>26</v>
      </c>
      <c r="D523" s="63" t="s">
        <v>1121</v>
      </c>
      <c r="E523" s="64" t="str">
        <f>IFERROR(UPPER(IF(C523="CPU",VLOOKUP(D523,#REF!,2,0),IF(C523="SINAPI",VLOOKUP(D523,#REF!,2,0),IF(C523="EDIF",VLOOKUP(D523,#REF!,2,0),IF(C523="CDHU",VLOOKUP(D523,#REF!,2,0),IF(C523="FDE",VLOOKUP(D523,'FDE 10-23 '!$A$4:$E$3180,2,0),IF(C523="INFRA",VLOOKUP(D523,#REF!,2,0),""))))))),"")</f>
        <v>SI-01 PLACA DE SINALIZAÇÃO DE AMBIENTE 200X200MM (PORTA)</v>
      </c>
      <c r="F523" s="65" t="str">
        <f>VLOOKUP(D523,'FDE 10-23 '!$A$4:$E$3180,3,0)</f>
        <v>UN</v>
      </c>
      <c r="G523" s="66">
        <f>VLOOKUP(B523,Planilha17!$A$8:$F$1259,6,0)</f>
        <v>43</v>
      </c>
      <c r="H523" s="67">
        <f>VLOOKUP(D523,'FDE 10-23 '!$A$4:$E$3180,5,0)</f>
        <v>94.3</v>
      </c>
      <c r="I523" s="68">
        <f>$L$10</f>
        <v>0.23</v>
      </c>
      <c r="J523" s="67">
        <f>ROUND(H523*(1+I523),2)</f>
        <v>115.99</v>
      </c>
      <c r="K523" s="69">
        <f>SUM(G523*J523)</f>
        <v>4987.57</v>
      </c>
      <c r="L523" s="51"/>
      <c r="M523" s="52"/>
      <c r="N523" s="25"/>
      <c r="O523" s="25"/>
    </row>
    <row r="524" spans="1:15" ht="30" customHeight="1" outlineLevel="1">
      <c r="A524" s="25"/>
      <c r="B524" s="61" t="s">
        <v>1122</v>
      </c>
      <c r="C524" s="62" t="s">
        <v>26</v>
      </c>
      <c r="D524" s="63" t="s">
        <v>1123</v>
      </c>
      <c r="E524" s="64" t="str">
        <f>IFERROR(UPPER(IF(C524="CPU",VLOOKUP(D524,#REF!,2,0),IF(C524="SINAPI",VLOOKUP(D524,#REF!,2,0),IF(C524="EDIF",VLOOKUP(D524,#REF!,2,0),IF(C524="CDHU",VLOOKUP(D524,#REF!,2,0),IF(C524="FDE",VLOOKUP(D524,'FDE 10-23 '!$A$4:$E$3180,2,0),IF(C524="INFRA",VLOOKUP(D524,#REF!,2,0),""))))))),"")</f>
        <v>SI-03 PLACA DE SINALIZAÇÃO DE AMBIENTE 200X200MM (PAREDE INTERNA)</v>
      </c>
      <c r="F524" s="65" t="str">
        <f>VLOOKUP(D524,'FDE 10-23 '!$A$4:$E$3180,3,0)</f>
        <v>UN</v>
      </c>
      <c r="G524" s="66">
        <f>VLOOKUP(B524,Planilha17!$A$8:$F$1259,6,0)</f>
        <v>12</v>
      </c>
      <c r="H524" s="67">
        <f>VLOOKUP(D524,'FDE 10-23 '!$A$4:$E$3180,5,0)</f>
        <v>141.96</v>
      </c>
      <c r="I524" s="68">
        <f>$L$10</f>
        <v>0.23</v>
      </c>
      <c r="J524" s="67">
        <f>ROUND(H524*(1+I524),2)</f>
        <v>174.61</v>
      </c>
      <c r="K524" s="69">
        <f>SUM(G524*J524)</f>
        <v>2095.3200000000002</v>
      </c>
      <c r="L524" s="51"/>
      <c r="M524" s="52"/>
      <c r="N524" s="25"/>
      <c r="O524" s="25"/>
    </row>
    <row r="525" spans="1:15" ht="30" customHeight="1" outlineLevel="1">
      <c r="A525" s="25"/>
      <c r="B525" s="61" t="s">
        <v>1124</v>
      </c>
      <c r="C525" s="62" t="s">
        <v>26</v>
      </c>
      <c r="D525" s="63" t="s">
        <v>1125</v>
      </c>
      <c r="E525" s="64" t="str">
        <f>IFERROR(UPPER(IF(C525="CPU",VLOOKUP(D525,#REF!,2,0),IF(C525="SINAPI",VLOOKUP(D525,#REF!,2,0),IF(C525="EDIF",VLOOKUP(D525,#REF!,2,0),IF(C525="CDHU",VLOOKUP(D525,#REF!,2,0),IF(C525="FDE",VLOOKUP(D525,'FDE 10-23 '!$A$4:$E$3180,2,0),IF(C525="INFRA",VLOOKUP(D525,#REF!,2,0),""))))))),"")</f>
        <v>SI-11 SINALIZAÇÃO HORIZONTAL PARA VAGA ACESSIVEL</v>
      </c>
      <c r="F525" s="65" t="str">
        <f>VLOOKUP(D525,'FDE 10-23 '!$A$4:$E$3180,3,0)</f>
        <v>UN</v>
      </c>
      <c r="G525" s="66">
        <f>VLOOKUP(B525,Planilha17!$A$8:$F$1259,6,0)</f>
        <v>2</v>
      </c>
      <c r="H525" s="67">
        <f>VLOOKUP(D525,'FDE 10-23 '!$A$4:$E$3180,5,0)</f>
        <v>333.97</v>
      </c>
      <c r="I525" s="68">
        <f>$L$10</f>
        <v>0.23</v>
      </c>
      <c r="J525" s="67">
        <f>ROUND(H525*(1+I525),2)</f>
        <v>410.78</v>
      </c>
      <c r="K525" s="69">
        <f>SUM(G525*J525)</f>
        <v>821.56</v>
      </c>
      <c r="L525" s="51"/>
      <c r="M525" s="52"/>
      <c r="N525" s="25"/>
      <c r="O525" s="25"/>
    </row>
    <row r="526" spans="1:15" ht="30" customHeight="1" outlineLevel="1">
      <c r="A526" s="25"/>
      <c r="B526" s="61" t="s">
        <v>1126</v>
      </c>
      <c r="C526" s="62" t="s">
        <v>26</v>
      </c>
      <c r="D526" s="63" t="s">
        <v>1127</v>
      </c>
      <c r="E526" s="64" t="str">
        <f>IFERROR(UPPER(IF(C526="CPU",VLOOKUP(D526,#REF!,2,0),IF(C526="SINAPI",VLOOKUP(D526,#REF!,2,0),IF(C526="EDIF",VLOOKUP(D526,#REF!,2,0),IF(C526="CDHU",VLOOKUP(D526,#REF!,2,0),IF(C526="FDE",VLOOKUP(D526,'FDE 10-23 '!$A$4:$E$3180,2,0),IF(C526="INFRA",VLOOKUP(D526,#REF!,2,0),""))))))),"")</f>
        <v>SI-12 TOTEM DE IDENTIFICAÇÃO</v>
      </c>
      <c r="F526" s="65" t="str">
        <f>VLOOKUP(D526,'FDE 10-23 '!$A$4:$E$3180,3,0)</f>
        <v>UN</v>
      </c>
      <c r="G526" s="66">
        <f>VLOOKUP(B526,Planilha17!$A$8:$F$1259,6,0)</f>
        <v>1</v>
      </c>
      <c r="H526" s="67">
        <f>VLOOKUP(D526,'FDE 10-23 '!$A$4:$E$3180,5,0)</f>
        <v>11952.29</v>
      </c>
      <c r="I526" s="68">
        <f>$L$10</f>
        <v>0.23</v>
      </c>
      <c r="J526" s="67">
        <f>ROUND(H526*(1+I526),2)</f>
        <v>14701.32</v>
      </c>
      <c r="K526" s="69">
        <f>SUM(G526*J526)</f>
        <v>14701.32</v>
      </c>
      <c r="L526" s="51"/>
      <c r="M526" s="52"/>
      <c r="N526" s="25"/>
      <c r="O526" s="25"/>
    </row>
    <row r="527" spans="1:15" ht="30" customHeight="1" outlineLevel="1">
      <c r="A527" s="25"/>
      <c r="B527" s="53" t="s">
        <v>1128</v>
      </c>
      <c r="C527" s="54"/>
      <c r="D527" s="54" t="s">
        <v>1129</v>
      </c>
      <c r="E527" s="55" t="s">
        <v>1130</v>
      </c>
      <c r="F527" s="56" t="str">
        <f>IFERROR(UPPER(IF(C527="CPU",VLOOKUP(D527,#REF!,3,0),IF(C527="SINAPI",VLOOKUP(D527,#REF!,3,0),IF(C527="EDIF",VLOOKUP(D527,#REF!,3,0),IF(C527="CDHU",VLOOKUP(D527,#REF!,3,0),IF(C527="FDE",VLOOKUP(D527,#REF!,3,0),IF(C527="INFRA",VLOOKUP(D527,#REF!,3,0),""))))))),"")</f>
        <v/>
      </c>
      <c r="G527" s="57"/>
      <c r="H52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527" s="59"/>
      <c r="J527" s="59"/>
      <c r="K527" s="60">
        <f>SUBTOTAL(9,K528)</f>
        <v>3790.08</v>
      </c>
      <c r="L527" s="51"/>
      <c r="M527" s="52"/>
      <c r="N527" s="25"/>
      <c r="O527" s="25"/>
    </row>
    <row r="528" spans="1:15" ht="30" customHeight="1" outlineLevel="1">
      <c r="A528" s="25"/>
      <c r="B528" s="61" t="s">
        <v>1131</v>
      </c>
      <c r="C528" s="62" t="s">
        <v>26</v>
      </c>
      <c r="D528" s="63" t="s">
        <v>1132</v>
      </c>
      <c r="E528" s="64" t="str">
        <f>IFERROR(UPPER(IF(C528="CPU",VLOOKUP(D528,#REF!,2,0),IF(C528="SINAPI",VLOOKUP(D528,#REF!,2,0),IF(C528="EDIF",VLOOKUP(D528,#REF!,2,0),IF(C528="CDHU",VLOOKUP(D528,#REF!,2,0),IF(C528="FDE",VLOOKUP(D528,'FDE 10-23 '!$A$4:$E$3180,2,0),IF(C528="INFRA",VLOOKUP(D528,#REF!,2,0),""))))))),"")</f>
        <v>FUROS EM CONCRETO COM D=3/4" E PROFUNDIDADE 15CM</v>
      </c>
      <c r="F528" s="65" t="str">
        <f>VLOOKUP(D528,'FDE 10-23 '!$A$4:$E$3180,3,0)</f>
        <v>UN</v>
      </c>
      <c r="G528" s="66">
        <f>VLOOKUP(B528,Planilha17!$A$8:$F$1259,6,0)</f>
        <v>128</v>
      </c>
      <c r="H528" s="67">
        <f>VLOOKUP(D528,'FDE 10-23 '!$A$4:$E$3180,5,0)</f>
        <v>24.07</v>
      </c>
      <c r="I528" s="68">
        <f>$L$10</f>
        <v>0.23</v>
      </c>
      <c r="J528" s="67">
        <f>ROUND(H528*(1+I528),2)</f>
        <v>29.61</v>
      </c>
      <c r="K528" s="69">
        <f>SUM(G528*J528)</f>
        <v>3790.08</v>
      </c>
      <c r="L528" s="51"/>
      <c r="M528" s="52"/>
      <c r="N528" s="25"/>
      <c r="O528" s="25"/>
    </row>
    <row r="529" spans="1:15" ht="30" customHeight="1" outlineLevel="1">
      <c r="A529" s="25"/>
      <c r="B529" s="53" t="s">
        <v>1133</v>
      </c>
      <c r="C529" s="54"/>
      <c r="D529" s="54" t="s">
        <v>1134</v>
      </c>
      <c r="E529" s="55" t="s">
        <v>1135</v>
      </c>
      <c r="F529" s="56" t="str">
        <f>IFERROR(UPPER(IF(C529="CPU",VLOOKUP(D529,#REF!,3,0),IF(C529="SINAPI",VLOOKUP(D529,#REF!,3,0),IF(C529="EDIF",VLOOKUP(D529,#REF!,3,0),IF(C529="CDHU",VLOOKUP(D529,#REF!,3,0),IF(C529="FDE",VLOOKUP(D529,#REF!,3,0),IF(C529="INFRA",VLOOKUP(D529,#REF!,3,0),""))))))),"")</f>
        <v/>
      </c>
      <c r="G529" s="57"/>
      <c r="H529" s="58"/>
      <c r="I529" s="59"/>
      <c r="J529" s="59"/>
      <c r="K529" s="60">
        <f>SUBTOTAL(9,K530)</f>
        <v>18069.93</v>
      </c>
      <c r="L529" s="51"/>
      <c r="M529" s="52"/>
      <c r="N529" s="25"/>
      <c r="O529" s="25"/>
    </row>
    <row r="530" spans="1:15" ht="30" customHeight="1" outlineLevel="1">
      <c r="A530" s="25"/>
      <c r="B530" s="61" t="s">
        <v>1136</v>
      </c>
      <c r="C530" s="62" t="s">
        <v>26</v>
      </c>
      <c r="D530" s="63" t="s">
        <v>1137</v>
      </c>
      <c r="E530" s="64" t="str">
        <f>IFERROR(UPPER(IF(C530="CPU",VLOOKUP(D530,#REF!,2,0),IF(C530="SINAPI",VLOOKUP(D530,#REF!,2,0),IF(C530="EDIF",VLOOKUP(D530,#REF!,2,0),IF(C530="CDHU",VLOOKUP(D530,#REF!,2,0),IF(C530="FDE",VLOOKUP(D530,'FDE 10-23 '!$A$4:$E$3180,2,0),IF(C530="INFRA",VLOOKUP(D530,#REF!,2,0),""))))))),"")</f>
        <v>APARELHO DE APOIO DE NEOPRENE FRETADO</v>
      </c>
      <c r="F530" s="65" t="str">
        <f>VLOOKUP(D530,'FDE 10-23 '!$A$4:$E$3180,3,0)</f>
        <v>D3</v>
      </c>
      <c r="G530" s="66">
        <f>VLOOKUP(B530,Planilha17!$A$8:$F$1259,6,0)</f>
        <v>83</v>
      </c>
      <c r="H530" s="67">
        <f>VLOOKUP(D530,'FDE 10-23 '!$A$4:$E$3180,5,0)</f>
        <v>177</v>
      </c>
      <c r="I530" s="68">
        <f>$L$10</f>
        <v>0.23</v>
      </c>
      <c r="J530" s="67">
        <f>ROUND(H530*(1+I530),2)</f>
        <v>217.71</v>
      </c>
      <c r="K530" s="69">
        <f>SUM(G530*J530)</f>
        <v>18069.93</v>
      </c>
      <c r="L530" s="51"/>
      <c r="M530" s="52"/>
      <c r="N530" s="25"/>
      <c r="O530" s="25"/>
    </row>
    <row r="531" spans="1:15" ht="30" customHeight="1" outlineLevel="1">
      <c r="A531" s="25"/>
      <c r="B531" s="61"/>
      <c r="C531" s="62"/>
      <c r="D531" s="63"/>
      <c r="E531" s="64"/>
      <c r="F531" s="65"/>
      <c r="G531" s="66"/>
      <c r="H531" s="67"/>
      <c r="I531" s="67"/>
      <c r="J531" s="67"/>
      <c r="K531" s="71"/>
      <c r="L531" s="51"/>
      <c r="M531" s="52"/>
      <c r="N531" s="25"/>
      <c r="O531" s="25"/>
    </row>
    <row r="532" spans="1:15" ht="36.75" customHeight="1">
      <c r="B532" s="72" t="str">
        <f>IFERROR(UPPER(IF(C532="CPU",VLOOKUP(D532,#REF!,2,0),IF(C532="SINAPI",VLOOKUP(D532,#REF!,2,0),IF(C532="EDIF",VLOOKUP(D532,#REF!,2,0),IF(C532="CPOS",VLOOKUP(D532,#REF!,3,0),IF(C532="FDE",VLOOKUP(D532,#REF!,2,0),IF(C532="INFRA",VLOOKUP(D532,#REF!,2,0),""))))))),"")</f>
        <v/>
      </c>
      <c r="C532" s="73"/>
      <c r="D532" s="73"/>
      <c r="E532" s="73"/>
      <c r="F532" s="73"/>
      <c r="G532" s="74"/>
      <c r="H532" s="75" t="s">
        <v>1138</v>
      </c>
      <c r="I532" s="76"/>
      <c r="J532" s="76"/>
      <c r="K532" s="77">
        <f>K534/1.23</f>
        <v>8516544.8257544804</v>
      </c>
    </row>
    <row r="533" spans="1:15" ht="36.75" customHeight="1">
      <c r="B533" s="7" t="str">
        <f>IFERROR(UPPER(IF(C533="CPU",VLOOKUP(D533,#REF!,2,0),IF(C533="SINAPI",VLOOKUP(D533,#REF!,2,0),IF(C533="EDIF",VLOOKUP(D533,#REF!,2,0),IF(C533="CPOS",VLOOKUP(D533,#REF!,3,0),IF(C533="FDE",VLOOKUP(D533,#REF!,2,0),IF(C533="INFRA",VLOOKUP(D533,#REF!,2,0),""))))))),"")</f>
        <v/>
      </c>
      <c r="C533" s="7"/>
      <c r="D533" s="7"/>
      <c r="E533" s="7"/>
      <c r="F533" s="7"/>
      <c r="G533" s="7"/>
      <c r="H533" s="75" t="s">
        <v>1139</v>
      </c>
      <c r="I533" s="76"/>
      <c r="J533" s="76"/>
      <c r="K533" s="77">
        <f>K534-K532</f>
        <v>1958805.3099235296</v>
      </c>
    </row>
    <row r="534" spans="1:15" ht="36.75" customHeight="1">
      <c r="B534" s="7" t="str">
        <f>IFERROR(UPPER(IF(C534="CPU",VLOOKUP(D534,#REF!,2,0),IF(C534="SINAPI",VLOOKUP(D534,#REF!,2,0),IF(C534="EDIF",VLOOKUP(D534,#REF!,2,0),IF(C534="CPOS",VLOOKUP(D534,#REF!,3,0),IF(C534="FDE",VLOOKUP(D534,#REF!,2,0),IF(C534="INFRA",VLOOKUP(D534,#REF!,2,0),""))))))),"")</f>
        <v/>
      </c>
      <c r="C534" s="7"/>
      <c r="D534" s="7"/>
      <c r="E534" s="7"/>
      <c r="F534" s="7"/>
      <c r="G534" s="7"/>
      <c r="H534" s="75" t="s">
        <v>1140</v>
      </c>
      <c r="I534" s="76"/>
      <c r="J534" s="76"/>
      <c r="K534" s="77">
        <f>SUBTOTAL(9,K11:K531)</f>
        <v>10475350.13567801</v>
      </c>
    </row>
    <row r="535" spans="1:15" ht="11.4">
      <c r="C535" s="16" t="s">
        <v>1141</v>
      </c>
      <c r="D535" s="79">
        <f ca="1">TODAY()</f>
        <v>45436</v>
      </c>
      <c r="H535" s="16"/>
      <c r="I535" s="16"/>
      <c r="J535" s="17"/>
      <c r="K535" s="16"/>
    </row>
    <row r="536" spans="1:15" ht="11.4">
      <c r="H536" s="16"/>
      <c r="I536" s="6" t="s">
        <v>1142</v>
      </c>
      <c r="J536" s="6"/>
      <c r="K536" s="16"/>
    </row>
    <row r="537" spans="1:15" ht="11.4">
      <c r="H537" s="16"/>
      <c r="I537" s="6" t="s">
        <v>1143</v>
      </c>
      <c r="J537" s="6"/>
      <c r="K537" s="16"/>
    </row>
    <row r="538" spans="1:15" ht="11.4">
      <c r="H538" s="16"/>
      <c r="I538" s="6" t="s">
        <v>1144</v>
      </c>
      <c r="J538" s="6"/>
      <c r="K538" s="16"/>
    </row>
    <row r="539" spans="1:15">
      <c r="C539" s="6"/>
      <c r="D539" s="6"/>
      <c r="I539" s="80"/>
      <c r="J539" s="80"/>
    </row>
    <row r="540" spans="1:15">
      <c r="C540" s="17"/>
      <c r="I540" s="6" t="s">
        <v>1145</v>
      </c>
      <c r="J540" s="6"/>
    </row>
    <row r="541" spans="1:15" ht="11.4">
      <c r="C541" s="17"/>
      <c r="H541" s="16"/>
      <c r="I541" s="6" t="s">
        <v>1146</v>
      </c>
      <c r="J541" s="6"/>
      <c r="K541" s="16"/>
    </row>
    <row r="542" spans="1:15" ht="11.4">
      <c r="H542" s="16"/>
      <c r="I542" s="6" t="s">
        <v>1145</v>
      </c>
      <c r="J542" s="6"/>
      <c r="K542" s="16"/>
    </row>
    <row r="543" spans="1:15" ht="11.4">
      <c r="H543" s="16"/>
      <c r="I543" s="17"/>
      <c r="J543" s="17"/>
      <c r="K543" s="16"/>
    </row>
    <row r="544" spans="1:15" ht="11.4">
      <c r="H544" s="16"/>
      <c r="I544" s="17"/>
      <c r="J544" s="17"/>
      <c r="K544" s="16"/>
    </row>
    <row r="545" spans="11:11">
      <c r="K545" s="20">
        <v>10616148.3036</v>
      </c>
    </row>
    <row r="546" spans="11:11">
      <c r="K546" s="20">
        <f>K545-K534</f>
        <v>140798.16792199016</v>
      </c>
    </row>
  </sheetData>
  <autoFilter ref="B10:K533" xr:uid="{00000000-0009-0000-0000-000000000000}"/>
  <mergeCells count="20">
    <mergeCell ref="C539:D539"/>
    <mergeCell ref="I540:J540"/>
    <mergeCell ref="I541:J541"/>
    <mergeCell ref="I542:J542"/>
    <mergeCell ref="B533:G533"/>
    <mergeCell ref="B534:G534"/>
    <mergeCell ref="I536:J536"/>
    <mergeCell ref="I537:J537"/>
    <mergeCell ref="I538:J538"/>
    <mergeCell ref="B6:C6"/>
    <mergeCell ref="D6:K6"/>
    <mergeCell ref="B7:C7"/>
    <mergeCell ref="D7:K7"/>
    <mergeCell ref="B8:C8"/>
    <mergeCell ref="D8:K8"/>
    <mergeCell ref="B1:K3"/>
    <mergeCell ref="B4:C4"/>
    <mergeCell ref="D4:K4"/>
    <mergeCell ref="B5:C5"/>
    <mergeCell ref="D5:K5"/>
  </mergeCells>
  <printOptions horizontalCentered="1" verticalCentered="1"/>
  <pageMargins left="0.27569444444444402" right="0.27569444444444402" top="0.59027777777777801" bottom="0.86597222222222203" header="0.511811023622047" footer="0.196527777777778"/>
  <pageSetup paperSize="9" scale="66" fitToHeight="35" orientation="landscape" horizontalDpi="300" verticalDpi="300" r:id="rId1"/>
  <headerFooter>
    <oddFooter>&amp;C&amp;P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66CC"/>
    <pageSetUpPr fitToPage="1"/>
  </sheetPr>
  <dimension ref="A1:O538"/>
  <sheetViews>
    <sheetView view="pageBreakPreview" topLeftCell="A516" zoomScale="90" zoomScaleNormal="80" zoomScalePageLayoutView="90" workbookViewId="0">
      <selection activeCell="E17" sqref="E17"/>
    </sheetView>
  </sheetViews>
  <sheetFormatPr defaultColWidth="11.88671875" defaultRowHeight="13.2" outlineLevelRow="1"/>
  <cols>
    <col min="1" max="1" width="11.88671875" style="15"/>
    <col min="2" max="2" width="10" style="16" customWidth="1"/>
    <col min="3" max="3" width="15.33203125" style="16" customWidth="1"/>
    <col min="4" max="4" width="11.33203125" style="17" customWidth="1"/>
    <col min="5" max="5" width="71.6640625" style="16" customWidth="1"/>
    <col min="6" max="6" width="11.44140625" style="18" customWidth="1"/>
    <col min="7" max="7" width="15.5546875" style="19" customWidth="1"/>
    <col min="8" max="8" width="21" style="20" customWidth="1"/>
    <col min="9" max="9" width="12.88671875" style="20" customWidth="1"/>
    <col min="10" max="11" width="21" style="20" customWidth="1"/>
    <col min="12" max="12" width="20.5546875" style="21" customWidth="1"/>
    <col min="13" max="13" width="20.109375" style="15" customWidth="1"/>
    <col min="14" max="14" width="15.5546875" style="22" customWidth="1"/>
    <col min="15" max="15" width="14.33203125" style="15" customWidth="1"/>
    <col min="16" max="16384" width="11.88671875" style="15"/>
  </cols>
  <sheetData>
    <row r="1" spans="1:15" customFormat="1" ht="22.5" customHeight="1">
      <c r="B1" s="14" t="s">
        <v>0</v>
      </c>
      <c r="C1" s="14"/>
      <c r="D1" s="14"/>
      <c r="E1" s="14"/>
      <c r="F1" s="14"/>
      <c r="G1" s="14"/>
      <c r="H1" s="14"/>
      <c r="I1" s="14"/>
      <c r="J1" s="14"/>
      <c r="K1" s="14"/>
    </row>
    <row r="2" spans="1:15" customFormat="1"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5" customFormat="1" ht="56.25" customHeight="1">
      <c r="B3" s="14"/>
      <c r="C3" s="14"/>
      <c r="D3" s="14"/>
      <c r="E3" s="14"/>
      <c r="F3" s="14"/>
      <c r="G3" s="14"/>
      <c r="H3" s="14"/>
      <c r="I3" s="14"/>
      <c r="J3" s="14"/>
      <c r="K3" s="14"/>
    </row>
    <row r="4" spans="1:15" customFormat="1" ht="29.25" customHeight="1">
      <c r="B4" s="13" t="s">
        <v>1</v>
      </c>
      <c r="C4" s="13"/>
      <c r="D4" s="12" t="s">
        <v>2</v>
      </c>
      <c r="E4" s="12"/>
      <c r="F4" s="12"/>
      <c r="G4" s="12"/>
      <c r="H4" s="12"/>
      <c r="I4" s="12"/>
      <c r="J4" s="12"/>
      <c r="K4" s="12"/>
      <c r="L4" s="23"/>
    </row>
    <row r="5" spans="1:15" customFormat="1" ht="29.25" customHeight="1">
      <c r="B5" s="13" t="s">
        <v>3</v>
      </c>
      <c r="C5" s="13"/>
      <c r="D5" s="11" t="s">
        <v>4</v>
      </c>
      <c r="E5" s="11"/>
      <c r="F5" s="11"/>
      <c r="G5" s="11"/>
      <c r="H5" s="11"/>
      <c r="I5" s="11"/>
      <c r="J5" s="11"/>
      <c r="K5" s="11"/>
      <c r="L5" s="23"/>
    </row>
    <row r="6" spans="1:15" customFormat="1" ht="29.25" customHeight="1">
      <c r="B6" s="10" t="s">
        <v>5</v>
      </c>
      <c r="C6" s="10"/>
      <c r="D6" s="11" t="s">
        <v>6</v>
      </c>
      <c r="E6" s="11"/>
      <c r="F6" s="11"/>
      <c r="G6" s="11"/>
      <c r="H6" s="11"/>
      <c r="I6" s="11"/>
      <c r="J6" s="11"/>
      <c r="K6" s="11"/>
      <c r="L6" s="23"/>
    </row>
    <row r="7" spans="1:15" s="24" customFormat="1" ht="29.25" customHeight="1">
      <c r="A7"/>
      <c r="B7" s="10" t="s">
        <v>7</v>
      </c>
      <c r="C7" s="10"/>
      <c r="D7" s="9" t="s">
        <v>8</v>
      </c>
      <c r="E7" s="9"/>
      <c r="F7" s="9"/>
      <c r="G7" s="9"/>
      <c r="H7" s="9"/>
      <c r="I7" s="9"/>
      <c r="J7" s="9"/>
      <c r="K7" s="9"/>
      <c r="L7" s="23"/>
      <c r="M7"/>
      <c r="N7"/>
      <c r="O7"/>
    </row>
    <row r="8" spans="1:15" s="25" customFormat="1" ht="29.25" customHeight="1">
      <c r="A8"/>
      <c r="B8" s="10" t="s">
        <v>9</v>
      </c>
      <c r="C8" s="10"/>
      <c r="D8" s="8">
        <v>0.23</v>
      </c>
      <c r="E8" s="8"/>
      <c r="F8" s="8"/>
      <c r="G8" s="8"/>
      <c r="H8" s="8"/>
      <c r="I8" s="8"/>
      <c r="J8" s="8"/>
      <c r="K8" s="8"/>
      <c r="L8" s="23"/>
      <c r="M8"/>
      <c r="N8"/>
      <c r="O8"/>
    </row>
    <row r="9" spans="1:15" s="25" customFormat="1" ht="29.25" customHeight="1">
      <c r="A9"/>
      <c r="B9" s="26"/>
      <c r="C9" s="27"/>
      <c r="D9" s="28"/>
      <c r="E9" s="29"/>
      <c r="F9" s="29"/>
      <c r="G9" s="29"/>
      <c r="H9" s="30"/>
      <c r="I9" s="30"/>
      <c r="J9" s="30"/>
      <c r="K9" s="31"/>
      <c r="L9" s="23"/>
      <c r="M9"/>
      <c r="N9"/>
      <c r="O9"/>
    </row>
    <row r="10" spans="1:15" s="25" customFormat="1" ht="50.25" customHeight="1">
      <c r="A10" s="24"/>
      <c r="B10" s="32" t="s">
        <v>10</v>
      </c>
      <c r="C10" s="33" t="s">
        <v>11</v>
      </c>
      <c r="D10" s="34" t="s">
        <v>12</v>
      </c>
      <c r="E10" s="35" t="s">
        <v>13</v>
      </c>
      <c r="F10" s="36" t="s">
        <v>14</v>
      </c>
      <c r="G10" s="37" t="s">
        <v>15</v>
      </c>
      <c r="H10" s="38" t="s">
        <v>16</v>
      </c>
      <c r="I10" s="39" t="s">
        <v>17</v>
      </c>
      <c r="J10" s="38" t="s">
        <v>18</v>
      </c>
      <c r="K10" s="40" t="s">
        <v>19</v>
      </c>
      <c r="L10" s="41">
        <v>0.23</v>
      </c>
      <c r="M10" s="24"/>
      <c r="N10" s="42"/>
      <c r="O10" s="24"/>
    </row>
    <row r="11" spans="1:15" s="25" customFormat="1" ht="30" customHeight="1">
      <c r="B11" s="43">
        <v>1</v>
      </c>
      <c r="C11" s="44"/>
      <c r="D11" s="44" t="s">
        <v>20</v>
      </c>
      <c r="E11" s="45" t="s">
        <v>21</v>
      </c>
      <c r="F11" s="46"/>
      <c r="G11" s="47"/>
      <c r="H11" s="48"/>
      <c r="I11" s="49"/>
      <c r="J11" s="49"/>
      <c r="K11" s="81">
        <f>SUBTOTAL(9,K12:K17)</f>
        <v>0</v>
      </c>
      <c r="L11" s="51"/>
      <c r="M11" s="52"/>
    </row>
    <row r="12" spans="1:15" s="25" customFormat="1" ht="30" customHeight="1" outlineLevel="1">
      <c r="B12" s="53" t="s">
        <v>22</v>
      </c>
      <c r="C12" s="54"/>
      <c r="D12" s="54" t="s">
        <v>23</v>
      </c>
      <c r="E12" s="55" t="s">
        <v>24</v>
      </c>
      <c r="F12" s="56"/>
      <c r="G12" s="57"/>
      <c r="H12" s="58"/>
      <c r="I12" s="59"/>
      <c r="J12" s="59"/>
      <c r="K12" s="82">
        <f>SUBTOTAL(9,K13)</f>
        <v>0</v>
      </c>
      <c r="L12" s="51"/>
      <c r="M12" s="52"/>
    </row>
    <row r="13" spans="1:15" s="25" customFormat="1" ht="30" customHeight="1" outlineLevel="1">
      <c r="B13" s="61" t="s">
        <v>25</v>
      </c>
      <c r="C13" s="62" t="s">
        <v>26</v>
      </c>
      <c r="D13" s="63" t="s">
        <v>27</v>
      </c>
      <c r="E13" s="64" t="str">
        <f>IFERROR(UPPER(IF(C13="CPU",VLOOKUP(D13,#REF!,2,0),IF(C13="SINAPI",VLOOKUP(D13,#REF!,2,0),IF(C13="EDIF",VLOOKUP(D13,#REF!,2,0),IF(C13="CDHU",VLOOKUP(D13,#REF!,2,0),IF(C13="FDE",VLOOKUP(D13,'FDE 10-23 '!$A$4:$E$3180,2,0),IF(C13="INFRA",VLOOKUP(D13,#REF!,2,0),""))))))),"")</f>
        <v>RETIRANDO A VEGETACAO, TRONCOS ATE 5CM DE DIAMETRO E RASPAGEM.</v>
      </c>
      <c r="F13" s="65" t="str">
        <f>VLOOKUP(D13,'FDE 10-23 '!$A$4:$E$3180,3,0)</f>
        <v>M2</v>
      </c>
      <c r="G13" s="66"/>
      <c r="H13" s="67">
        <f>VLOOKUP(D13,'FDE 10-23 '!$A$4:$E$3180,5,0)</f>
        <v>3.07</v>
      </c>
      <c r="I13" s="68">
        <f>$L$10</f>
        <v>0.23</v>
      </c>
      <c r="J13" s="67">
        <f>ROUND(H13*(1+I13),2)</f>
        <v>3.78</v>
      </c>
      <c r="K13" s="71">
        <f>SUM(G13*J13)</f>
        <v>0</v>
      </c>
      <c r="L13" s="51"/>
      <c r="M13" s="52"/>
    </row>
    <row r="14" spans="1:15" s="25" customFormat="1" ht="30" customHeight="1" outlineLevel="1">
      <c r="B14" s="53" t="s">
        <v>28</v>
      </c>
      <c r="C14" s="54"/>
      <c r="D14" s="54" t="s">
        <v>29</v>
      </c>
      <c r="E14" s="55" t="s">
        <v>30</v>
      </c>
      <c r="F14" s="56"/>
      <c r="G14" s="57"/>
      <c r="H14" s="58"/>
      <c r="I14" s="59"/>
      <c r="J14" s="59"/>
      <c r="K14" s="82">
        <f>SUBTOTAL(9,K15:K17)</f>
        <v>0</v>
      </c>
      <c r="L14" s="51"/>
      <c r="M14" s="52"/>
    </row>
    <row r="15" spans="1:15" s="25" customFormat="1" ht="30" customHeight="1" outlineLevel="1">
      <c r="B15" s="61" t="s">
        <v>31</v>
      </c>
      <c r="C15" s="62" t="s">
        <v>26</v>
      </c>
      <c r="D15" s="63" t="s">
        <v>32</v>
      </c>
      <c r="E15" s="64" t="str">
        <f>IFERROR(UPPER(IF(C15="CPU",VLOOKUP(D15,#REF!,2,0),IF(C15="SINAPI",VLOOKUP(D15,#REF!,2,0),IF(C15="EDIF",VLOOKUP(D15,#REF!,2,0),IF(C15="CDHU",VLOOKUP(D15,#REF!,2,0),IF(C15="FDE",VLOOKUP(D15,'FDE 10-23 '!$A$4:$E$3180,2,0),IF(C15="INFRA",VLOOKUP(D15,#REF!,2,0),""))))))),"")</f>
        <v>CORTE E ATERRO DENTRO DA OBRA COM TRANSPORTE INTERNO</v>
      </c>
      <c r="F15" s="65" t="str">
        <f>VLOOKUP(D15,'FDE 10-23 '!$A$4:$E$3180,3,0)</f>
        <v>M3</v>
      </c>
      <c r="G15" s="66"/>
      <c r="H15" s="67">
        <f>VLOOKUP(D15,'FDE 10-23 '!$A$4:$E$3180,5,0)</f>
        <v>9.0299999999999994</v>
      </c>
      <c r="I15" s="68">
        <f>$L$10</f>
        <v>0.23</v>
      </c>
      <c r="J15" s="67">
        <f>ROUND(H15*(1+I15),2)</f>
        <v>11.11</v>
      </c>
      <c r="K15" s="71">
        <f>SUM(G15*J15)</f>
        <v>0</v>
      </c>
      <c r="L15" s="51"/>
      <c r="M15" s="52"/>
    </row>
    <row r="16" spans="1:15" s="25" customFormat="1" ht="30" customHeight="1" outlineLevel="1">
      <c r="B16" s="61" t="s">
        <v>33</v>
      </c>
      <c r="C16" s="62" t="s">
        <v>26</v>
      </c>
      <c r="D16" s="63" t="s">
        <v>34</v>
      </c>
      <c r="E16" s="64" t="str">
        <f>IFERROR(UPPER(IF(C16="CPU",VLOOKUP(D16,#REF!,2,0),IF(C16="SINAPI",VLOOKUP(D16,#REF!,2,0),IF(C16="EDIF",VLOOKUP(D16,#REF!,2,0),IF(C16="CDHU",VLOOKUP(D16,#REF!,2,0),IF(C16="FDE",VLOOKUP(D16,'FDE 10-23 '!$A$4:$E$3180,2,0),IF(C16="INFRA",VLOOKUP(D16,#REF!,2,0),""))))))),"")</f>
        <v>CORTE COM RETIRADA POR CAMINHAO NOS PRIMEIROS 100 M</v>
      </c>
      <c r="F16" s="65" t="str">
        <f>VLOOKUP(D16,'FDE 10-23 '!$A$4:$E$3180,3,0)</f>
        <v>M3</v>
      </c>
      <c r="G16" s="66"/>
      <c r="H16" s="67">
        <f>VLOOKUP(D16,'FDE 10-23 '!$A$4:$E$3180,5,0)</f>
        <v>25.05</v>
      </c>
      <c r="I16" s="68">
        <f>$L$10</f>
        <v>0.23</v>
      </c>
      <c r="J16" s="67">
        <f>ROUND(H16*(1+I16),2)</f>
        <v>30.81</v>
      </c>
      <c r="K16" s="71">
        <f>SUM(G16*J16)</f>
        <v>0</v>
      </c>
      <c r="L16" s="51"/>
      <c r="M16" s="52"/>
    </row>
    <row r="17" spans="2:13" s="25" customFormat="1" ht="30" customHeight="1" outlineLevel="1">
      <c r="B17" s="61" t="s">
        <v>35</v>
      </c>
      <c r="C17" s="62" t="s">
        <v>26</v>
      </c>
      <c r="D17" s="63" t="s">
        <v>36</v>
      </c>
      <c r="E17" s="64" t="str">
        <f>IFERROR(UPPER(IF(C17="CPU",VLOOKUP(D17,#REF!,2,0),IF(C17="SINAPI",VLOOKUP(D17,#REF!,2,0),IF(C17="EDIF",VLOOKUP(D17,#REF!,2,0),IF(C17="CDHU",VLOOKUP(D17,#REF!,2,0),IF(C17="FDE",VLOOKUP(D17,'FDE 10-23 '!$A$4:$E$3180,2,0),IF(C17="INFRA",VLOOKUP(D17,#REF!,2,0),""))))))),"")</f>
        <v>TRANSPORTE POR CAMINHAO                                                 M3X</v>
      </c>
      <c r="F17" s="65" t="str">
        <f>VLOOKUP(D17,'FDE 10-23 '!$A$4:$E$3180,3,0)</f>
        <v>KM</v>
      </c>
      <c r="G17" s="66"/>
      <c r="H17" s="67">
        <f>VLOOKUP(D17,'FDE 10-23 '!$A$4:$E$3180,5,0)</f>
        <v>2.69</v>
      </c>
      <c r="I17" s="68">
        <f>$L$10</f>
        <v>0.23</v>
      </c>
      <c r="J17" s="67">
        <f>ROUND(H17*(1+I17),2)</f>
        <v>3.31</v>
      </c>
      <c r="K17" s="71">
        <f>SUM(G17*J17)</f>
        <v>0</v>
      </c>
      <c r="L17" s="51"/>
      <c r="M17" s="52"/>
    </row>
    <row r="18" spans="2:13" s="25" customFormat="1" ht="30" customHeight="1">
      <c r="B18" s="43">
        <v>2</v>
      </c>
      <c r="C18" s="44"/>
      <c r="D18" s="44" t="s">
        <v>37</v>
      </c>
      <c r="E18" s="45" t="s">
        <v>38</v>
      </c>
      <c r="F18" s="46"/>
      <c r="G18" s="47"/>
      <c r="H18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8" s="49"/>
      <c r="J18" s="49"/>
      <c r="K18" s="81">
        <f>SUBTOTAL(9,K19:K43)</f>
        <v>97651.561000000002</v>
      </c>
      <c r="L18" s="51"/>
      <c r="M18" s="52"/>
    </row>
    <row r="19" spans="2:13" s="25" customFormat="1" ht="30" customHeight="1" outlineLevel="1">
      <c r="B19" s="53" t="s">
        <v>39</v>
      </c>
      <c r="C19" s="54"/>
      <c r="D19" s="54" t="s">
        <v>40</v>
      </c>
      <c r="E19" s="55" t="s">
        <v>41</v>
      </c>
      <c r="F19" s="56"/>
      <c r="G19" s="57"/>
      <c r="H19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9" s="59"/>
      <c r="J19" s="59"/>
      <c r="K19" s="82">
        <f>SUBTOTAL(9,K20:K24)</f>
        <v>10948.634</v>
      </c>
      <c r="L19" s="51"/>
      <c r="M19" s="52"/>
    </row>
    <row r="20" spans="2:13" s="25" customFormat="1" ht="30" customHeight="1" outlineLevel="1">
      <c r="B20" s="61" t="s">
        <v>42</v>
      </c>
      <c r="C20" s="62" t="s">
        <v>26</v>
      </c>
      <c r="D20" s="63" t="s">
        <v>43</v>
      </c>
      <c r="E20" s="64" t="str">
        <f>IFERROR(UPPER(IF(C20="CPU",VLOOKUP(D20,#REF!,2,0),IF(C20="SINAPI",VLOOKUP(D20,#REF!,2,0),IF(C20="EDIF",VLOOKUP(D20,#REF!,2,0),IF(C20="CDHU",VLOOKUP(D20,#REF!,2,0),IF(C20="FDE",VLOOKUP(D20,'FDE 10-23 '!$A$4:$E$3180,2,0),IF(C20="INFRA",VLOOKUP(D20,#REF!,2,0),""))))))),"")</f>
        <v>ESCAVACAO MANUAL - PROFUNDIDADE ATE 1.80 M</v>
      </c>
      <c r="F20" s="65" t="str">
        <f>VLOOKUP(D20,'FDE 10-23 '!$A$4:$E$3180,3,0)</f>
        <v>M3</v>
      </c>
      <c r="G20" s="66">
        <v>15</v>
      </c>
      <c r="H20" s="67">
        <f>VLOOKUP(D20,'FDE 10-23 '!$A$4:$E$3180,5,0)</f>
        <v>61.58</v>
      </c>
      <c r="I20" s="68">
        <f>$L$10</f>
        <v>0.23</v>
      </c>
      <c r="J20" s="67">
        <f>ROUND(H20*(1+I20),2)</f>
        <v>75.739999999999995</v>
      </c>
      <c r="K20" s="71">
        <f>SUM(G20*J20)</f>
        <v>1136.0999999999999</v>
      </c>
      <c r="L20" s="51"/>
      <c r="M20" s="52"/>
    </row>
    <row r="21" spans="2:13" s="25" customFormat="1" ht="30" customHeight="1" outlineLevel="1">
      <c r="B21" s="61" t="s">
        <v>44</v>
      </c>
      <c r="C21" s="62" t="s">
        <v>26</v>
      </c>
      <c r="D21" s="63" t="s">
        <v>45</v>
      </c>
      <c r="E21" s="64" t="str">
        <f>IFERROR(UPPER(IF(C21="CPU",VLOOKUP(D21,#REF!,2,0),IF(C21="SINAPI",VLOOKUP(D21,#REF!,2,0),IF(C21="EDIF",VLOOKUP(D21,#REF!,2,0),IF(C21="CDHU",VLOOKUP(D21,#REF!,2,0),IF(C21="FDE",VLOOKUP(D21,'FDE 10-23 '!$A$4:$E$3180,2,0),IF(C21="INFRA",VLOOKUP(D21,#REF!,2,0),""))))))),"")</f>
        <v>APILOAMENTO PARA SIMPLES REGULARIZACAO</v>
      </c>
      <c r="F21" s="65" t="str">
        <f>VLOOKUP(D21,'FDE 10-23 '!$A$4:$E$3180,3,0)</f>
        <v>M2</v>
      </c>
      <c r="G21" s="66">
        <v>20.6</v>
      </c>
      <c r="H21" s="67">
        <f>VLOOKUP(D21,'FDE 10-23 '!$A$4:$E$3180,5,0)</f>
        <v>6.15</v>
      </c>
      <c r="I21" s="68">
        <f>$L$10</f>
        <v>0.23</v>
      </c>
      <c r="J21" s="67">
        <f>ROUND(H21*(1+I21),2)</f>
        <v>7.56</v>
      </c>
      <c r="K21" s="71">
        <f>SUM(G21*J21)</f>
        <v>155.73599999999999</v>
      </c>
      <c r="L21" s="51"/>
      <c r="M21" s="52"/>
    </row>
    <row r="22" spans="2:13" s="25" customFormat="1" ht="30" customHeight="1" outlineLevel="1">
      <c r="B22" s="61" t="s">
        <v>46</v>
      </c>
      <c r="C22" s="62" t="s">
        <v>26</v>
      </c>
      <c r="D22" s="63" t="s">
        <v>47</v>
      </c>
      <c r="E22" s="64" t="str">
        <f>IFERROR(UPPER(IF(C22="CPU",VLOOKUP(D22,#REF!,2,0),IF(C22="SINAPI",VLOOKUP(D22,#REF!,2,0),IF(C22="EDIF",VLOOKUP(D22,#REF!,2,0),IF(C22="CDHU",VLOOKUP(D22,#REF!,2,0),IF(C22="FDE",VLOOKUP(D22,'FDE 10-23 '!$A$4:$E$3180,2,0),IF(C22="INFRA",VLOOKUP(D22,#REF!,2,0),""))))))),"")</f>
        <v>LASTRO DE PEDRA BRITADA - 5CM</v>
      </c>
      <c r="F22" s="65" t="str">
        <f>VLOOKUP(D22,'FDE 10-23 '!$A$4:$E$3180,3,0)</f>
        <v>M2</v>
      </c>
      <c r="G22" s="66">
        <v>20.6</v>
      </c>
      <c r="H22" s="67">
        <f>VLOOKUP(D22,'FDE 10-23 '!$A$4:$E$3180,5,0)</f>
        <v>9.7100000000000009</v>
      </c>
      <c r="I22" s="68">
        <f>$L$10</f>
        <v>0.23</v>
      </c>
      <c r="J22" s="67">
        <f>ROUND(H22*(1+I22),2)</f>
        <v>11.94</v>
      </c>
      <c r="K22" s="71">
        <f>SUM(G22*J22)</f>
        <v>245.964</v>
      </c>
      <c r="L22" s="51"/>
      <c r="M22" s="52"/>
    </row>
    <row r="23" spans="2:13" s="25" customFormat="1" ht="30" customHeight="1" outlineLevel="1">
      <c r="B23" s="61" t="s">
        <v>48</v>
      </c>
      <c r="C23" s="62" t="s">
        <v>26</v>
      </c>
      <c r="D23" s="63" t="s">
        <v>49</v>
      </c>
      <c r="E23" s="64" t="str">
        <f>IFERROR(UPPER(IF(C23="CPU",VLOOKUP(D23,#REF!,2,0),IF(C23="SINAPI",VLOOKUP(D23,#REF!,2,0),IF(C23="EDIF",VLOOKUP(D23,#REF!,2,0),IF(C23="CDHU",VLOOKUP(D23,#REF!,2,0),IF(C23="FDE",VLOOKUP(D23,'FDE 10-23 '!$A$4:$E$3180,2,0),IF(C23="INFRA",VLOOKUP(D23,#REF!,2,0),""))))))),"")</f>
        <v>LASTRO DE CONCRETO - 5 CM</v>
      </c>
      <c r="F23" s="65" t="str">
        <f>VLOOKUP(D23,'FDE 10-23 '!$A$4:$E$3180,3,0)</f>
        <v>M2</v>
      </c>
      <c r="G23" s="66">
        <v>20.6</v>
      </c>
      <c r="H23" s="67">
        <f>VLOOKUP(D23,'FDE 10-23 '!$A$4:$E$3180,5,0)</f>
        <v>33.81</v>
      </c>
      <c r="I23" s="68">
        <f>$L$10</f>
        <v>0.23</v>
      </c>
      <c r="J23" s="67">
        <f>ROUND(H23*(1+I23),2)</f>
        <v>41.59</v>
      </c>
      <c r="K23" s="71">
        <f>SUM(G23*J23)</f>
        <v>856.75400000000013</v>
      </c>
      <c r="L23" s="51"/>
      <c r="M23" s="52"/>
    </row>
    <row r="24" spans="2:13" s="25" customFormat="1" ht="30" customHeight="1" outlineLevel="1">
      <c r="B24" s="61" t="s">
        <v>50</v>
      </c>
      <c r="C24" s="62" t="s">
        <v>26</v>
      </c>
      <c r="D24" s="63" t="s">
        <v>51</v>
      </c>
      <c r="E24" s="64" t="str">
        <f>IFERROR(UPPER(IF(C24="CPU",VLOOKUP(D24,#REF!,2,0),IF(C24="SINAPI",VLOOKUP(D24,#REF!,2,0),IF(C24="EDIF",VLOOKUP(D24,#REF!,2,0),IF(C24="CDHU",VLOOKUP(D24,#REF!,2,0),IF(C24="FDE",VLOOKUP(D24,'FDE 10-23 '!$A$4:$E$3180,2,0),IF(C24="INFRA",VLOOKUP(D24,#REF!,2,0),""))))))),"")</f>
        <v>REATERRO INTERNO APILOADO</v>
      </c>
      <c r="F24" s="65" t="str">
        <f>VLOOKUP(D24,'FDE 10-23 '!$A$4:$E$3180,3,0)</f>
        <v>M3</v>
      </c>
      <c r="G24" s="66">
        <v>150.6</v>
      </c>
      <c r="H24" s="67">
        <f>VLOOKUP(D24,'FDE 10-23 '!$A$4:$E$3180,5,0)</f>
        <v>46.18</v>
      </c>
      <c r="I24" s="68">
        <f>$L$10</f>
        <v>0.23</v>
      </c>
      <c r="J24" s="67">
        <f>ROUND(H24*(1+I24),2)</f>
        <v>56.8</v>
      </c>
      <c r="K24" s="71">
        <f>SUM(G24*J24)</f>
        <v>8554.08</v>
      </c>
      <c r="L24" s="51"/>
      <c r="M24" s="52"/>
    </row>
    <row r="25" spans="2:13" s="25" customFormat="1" ht="30" customHeight="1" outlineLevel="1">
      <c r="B25" s="53" t="s">
        <v>52</v>
      </c>
      <c r="C25" s="54"/>
      <c r="D25" s="54" t="s">
        <v>53</v>
      </c>
      <c r="E25" s="55" t="s">
        <v>54</v>
      </c>
      <c r="F25" s="56"/>
      <c r="G25" s="57"/>
      <c r="H2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5" s="59"/>
      <c r="J25" s="59"/>
      <c r="K25" s="82">
        <f>SUBTOTAL(9,K26:K31)</f>
        <v>0</v>
      </c>
      <c r="L25" s="51"/>
      <c r="M25" s="52"/>
    </row>
    <row r="26" spans="2:13" s="25" customFormat="1" ht="30" customHeight="1" outlineLevel="1">
      <c r="B26" s="61" t="s">
        <v>55</v>
      </c>
      <c r="C26" s="62" t="s">
        <v>26</v>
      </c>
      <c r="D26" s="63" t="s">
        <v>56</v>
      </c>
      <c r="E26" s="64" t="str">
        <f>IFERROR(UPPER(IF(C26="CPU",VLOOKUP(D26,#REF!,2,0),IF(C26="SINAPI",VLOOKUP(D26,#REF!,2,0),IF(C26="EDIF",VLOOKUP(D26,#REF!,2,0),IF(C26="CDHU",VLOOKUP(D26,#REF!,2,0),IF(C26="FDE",VLOOKUP(D26,'FDE 10-23 '!$A$4:$E$3180,2,0),IF(C26="INFRA",VLOOKUP(D26,#REF!,2,0),""))))))),"")</f>
        <v>ACO CA-50 (A OU B) FYK = 500 MPA</v>
      </c>
      <c r="F26" s="65" t="str">
        <f>VLOOKUP(D26,'FDE 10-23 '!$A$4:$E$3180,3,0)</f>
        <v>KG</v>
      </c>
      <c r="G26" s="66"/>
      <c r="H26" s="67">
        <f>VLOOKUP(D26,'FDE 10-23 '!$A$4:$E$3180,5,0)</f>
        <v>12.18</v>
      </c>
      <c r="I26" s="68">
        <f t="shared" ref="I26:I31" si="0">$L$10</f>
        <v>0.23</v>
      </c>
      <c r="J26" s="67">
        <f t="shared" ref="J26:J31" si="1">ROUND(H26*(1+I26),2)</f>
        <v>14.98</v>
      </c>
      <c r="K26" s="71">
        <f t="shared" ref="K26:K31" si="2">SUM(G26*J26)</f>
        <v>0</v>
      </c>
      <c r="L26" s="51"/>
      <c r="M26" s="52"/>
    </row>
    <row r="27" spans="2:13" s="25" customFormat="1" ht="30" customHeight="1" outlineLevel="1">
      <c r="B27" s="61" t="s">
        <v>57</v>
      </c>
      <c r="C27" s="62" t="s">
        <v>26</v>
      </c>
      <c r="D27" s="63" t="s">
        <v>58</v>
      </c>
      <c r="E27" s="64" t="str">
        <f>IFERROR(UPPER(IF(C27="CPU",VLOOKUP(D27,#REF!,2,0),IF(C27="SINAPI",VLOOKUP(D27,#REF!,2,0),IF(C27="EDIF",VLOOKUP(D27,#REF!,2,0),IF(C27="CDHU",VLOOKUP(D27,#REF!,2,0),IF(C27="FDE",VLOOKUP(D27,'FDE 10-23 '!$A$4:$E$3180,2,0),IF(C27="INFRA",VLOOKUP(D27,#REF!,2,0),""))))))),"")</f>
        <v>BROCA DE CONCRETO DE DIAMETRO 25CM - INCL ARRANQUES</v>
      </c>
      <c r="F27" s="65" t="str">
        <f>VLOOKUP(D27,'FDE 10-23 '!$A$4:$E$3180,3,0)</f>
        <v>M</v>
      </c>
      <c r="G27" s="66"/>
      <c r="H27" s="67">
        <f>VLOOKUP(D27,'FDE 10-23 '!$A$4:$E$3180,5,0)</f>
        <v>71.069999999999993</v>
      </c>
      <c r="I27" s="68">
        <f t="shared" si="0"/>
        <v>0.23</v>
      </c>
      <c r="J27" s="67">
        <f t="shared" si="1"/>
        <v>87.42</v>
      </c>
      <c r="K27" s="71">
        <f t="shared" si="2"/>
        <v>0</v>
      </c>
      <c r="L27" s="51"/>
      <c r="M27" s="52"/>
    </row>
    <row r="28" spans="2:13" s="25" customFormat="1" ht="30" customHeight="1" outlineLevel="1">
      <c r="B28" s="61" t="s">
        <v>59</v>
      </c>
      <c r="C28" s="62" t="s">
        <v>26</v>
      </c>
      <c r="D28" s="63" t="s">
        <v>60</v>
      </c>
      <c r="E28" s="64" t="str">
        <f>IFERROR(UPPER(IF(C28="CPU",VLOOKUP(D28,#REF!,2,0),IF(C28="SINAPI",VLOOKUP(D28,#REF!,2,0),IF(C28="EDIF",VLOOKUP(D28,#REF!,2,0),IF(C28="CDHU",VLOOKUP(D28,#REF!,2,0),IF(C28="FDE",VLOOKUP(D28,'FDE 10-23 '!$A$4:$E$3180,2,0),IF(C28="INFRA",VLOOKUP(D28,#REF!,2,0),""))))))),"")</f>
        <v>ESTACA TIPO HELICE DN 25CM</v>
      </c>
      <c r="F28" s="65" t="str">
        <f>VLOOKUP(D28,'FDE 10-23 '!$A$4:$E$3180,3,0)</f>
        <v>M</v>
      </c>
      <c r="G28" s="66"/>
      <c r="H28" s="67">
        <f>VLOOKUP(D28,'FDE 10-23 '!$A$4:$E$3180,5,0)</f>
        <v>62.61</v>
      </c>
      <c r="I28" s="68">
        <f t="shared" si="0"/>
        <v>0.23</v>
      </c>
      <c r="J28" s="67">
        <f t="shared" si="1"/>
        <v>77.010000000000005</v>
      </c>
      <c r="K28" s="71">
        <f t="shared" si="2"/>
        <v>0</v>
      </c>
      <c r="L28" s="51"/>
      <c r="M28" s="52"/>
    </row>
    <row r="29" spans="2:13" s="25" customFormat="1" ht="30" customHeight="1" outlineLevel="1">
      <c r="B29" s="61" t="s">
        <v>61</v>
      </c>
      <c r="C29" s="62" t="s">
        <v>26</v>
      </c>
      <c r="D29" s="63" t="s">
        <v>62</v>
      </c>
      <c r="E29" s="64" t="str">
        <f>IFERROR(UPPER(IF(C29="CPU",VLOOKUP(D29,#REF!,2,0),IF(C29="SINAPI",VLOOKUP(D29,#REF!,2,0),IF(C29="EDIF",VLOOKUP(D29,#REF!,2,0),IF(C29="CDHU",VLOOKUP(D29,#REF!,2,0),IF(C29="FDE",VLOOKUP(D29,'FDE 10-23 '!$A$4:$E$3180,2,0),IF(C29="INFRA",VLOOKUP(D29,#REF!,2,0),""))))))),"")</f>
        <v>ESTACA TIPO HELICE DN 30CM</v>
      </c>
      <c r="F29" s="65" t="str">
        <f>VLOOKUP(D29,'FDE 10-23 '!$A$4:$E$3180,3,0)</f>
        <v>M</v>
      </c>
      <c r="G29" s="66"/>
      <c r="H29" s="67">
        <f>VLOOKUP(D29,'FDE 10-23 '!$A$4:$E$3180,5,0)</f>
        <v>80.69</v>
      </c>
      <c r="I29" s="68">
        <f t="shared" si="0"/>
        <v>0.23</v>
      </c>
      <c r="J29" s="67">
        <f t="shared" si="1"/>
        <v>99.25</v>
      </c>
      <c r="K29" s="71">
        <f t="shared" si="2"/>
        <v>0</v>
      </c>
      <c r="L29" s="51"/>
      <c r="M29" s="52"/>
    </row>
    <row r="30" spans="2:13" s="25" customFormat="1" ht="30" customHeight="1" outlineLevel="1">
      <c r="B30" s="61" t="s">
        <v>63</v>
      </c>
      <c r="C30" s="62" t="s">
        <v>26</v>
      </c>
      <c r="D30" s="63" t="s">
        <v>64</v>
      </c>
      <c r="E30" s="64" t="str">
        <f>IFERROR(UPPER(IF(C30="CPU",VLOOKUP(D30,#REF!,2,0),IF(C30="SINAPI",VLOOKUP(D30,#REF!,2,0),IF(C30="EDIF",VLOOKUP(D30,#REF!,2,0),IF(C30="CDHU",VLOOKUP(D30,#REF!,2,0),IF(C30="FDE",VLOOKUP(D30,'FDE 10-23 '!$A$4:$E$3180,2,0),IF(C30="INFRA",VLOOKUP(D30,#REF!,2,0),""))))))),"")</f>
        <v>ESTACA TIPO HELICE DN 35CM</v>
      </c>
      <c r="F30" s="65" t="str">
        <f>VLOOKUP(D30,'FDE 10-23 '!$A$4:$E$3180,3,0)</f>
        <v>M</v>
      </c>
      <c r="G30" s="66"/>
      <c r="H30" s="67">
        <f>VLOOKUP(D30,'FDE 10-23 '!$A$4:$E$3180,5,0)</f>
        <v>101.64</v>
      </c>
      <c r="I30" s="68">
        <f t="shared" si="0"/>
        <v>0.23</v>
      </c>
      <c r="J30" s="67">
        <f t="shared" si="1"/>
        <v>125.02</v>
      </c>
      <c r="K30" s="71">
        <f t="shared" si="2"/>
        <v>0</v>
      </c>
      <c r="L30" s="51"/>
      <c r="M30" s="52"/>
    </row>
    <row r="31" spans="2:13" s="25" customFormat="1" ht="30" customHeight="1" outlineLevel="1">
      <c r="B31" s="61" t="s">
        <v>65</v>
      </c>
      <c r="C31" s="62" t="s">
        <v>26</v>
      </c>
      <c r="D31" s="63" t="s">
        <v>66</v>
      </c>
      <c r="E31" s="64" t="str">
        <f>IFERROR(UPPER(IF(C31="CPU",VLOOKUP(D31,#REF!,2,0),IF(C31="SINAPI",VLOOKUP(D31,#REF!,2,0),IF(C31="EDIF",VLOOKUP(D31,#REF!,2,0),IF(C31="CDHU",VLOOKUP(D31,#REF!,2,0),IF(C31="FDE",VLOOKUP(D31,'FDE 10-23 '!$A$4:$E$3180,2,0),IF(C31="INFRA",VLOOKUP(D31,#REF!,2,0),""))))))),"")</f>
        <v>TRANSPORTE E ATERRO INTERNO DE MATERIAL ESCAVADO DE FUNDAÇÃO-ESTACA-TUBULÃO</v>
      </c>
      <c r="F31" s="65" t="str">
        <f>VLOOKUP(D31,'FDE 10-23 '!$A$4:$E$3180,3,0)</f>
        <v>M3</v>
      </c>
      <c r="G31" s="66"/>
      <c r="H31" s="67">
        <f>VLOOKUP(D31,'FDE 10-23 '!$A$4:$E$3180,5,0)</f>
        <v>56.96</v>
      </c>
      <c r="I31" s="68">
        <f t="shared" si="0"/>
        <v>0.23</v>
      </c>
      <c r="J31" s="67">
        <f t="shared" si="1"/>
        <v>70.06</v>
      </c>
      <c r="K31" s="71">
        <f t="shared" si="2"/>
        <v>0</v>
      </c>
      <c r="L31" s="51"/>
      <c r="M31" s="52"/>
    </row>
    <row r="32" spans="2:13" s="25" customFormat="1" ht="30" customHeight="1" outlineLevel="1">
      <c r="B32" s="53" t="s">
        <v>67</v>
      </c>
      <c r="C32" s="54"/>
      <c r="D32" s="54" t="s">
        <v>68</v>
      </c>
      <c r="E32" s="55" t="s">
        <v>69</v>
      </c>
      <c r="F32" s="56"/>
      <c r="G32" s="57"/>
      <c r="H32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2" s="59"/>
      <c r="J32" s="59"/>
      <c r="K32" s="82">
        <f>SUBTOTAL(9,K33)</f>
        <v>15146.088</v>
      </c>
      <c r="L32" s="51"/>
      <c r="M32" s="52"/>
    </row>
    <row r="33" spans="2:13" s="25" customFormat="1" ht="30" customHeight="1" outlineLevel="1">
      <c r="B33" s="61" t="s">
        <v>70</v>
      </c>
      <c r="C33" s="62" t="s">
        <v>26</v>
      </c>
      <c r="D33" s="63" t="s">
        <v>71</v>
      </c>
      <c r="E33" s="64" t="str">
        <f>IFERROR(UPPER(IF(C33="CPU",VLOOKUP(D33,#REF!,2,0),IF(C33="SINAPI",VLOOKUP(D33,#REF!,2,0),IF(C33="EDIF",VLOOKUP(D33,#REF!,2,0),IF(C33="CDHU",VLOOKUP(D33,#REF!,2,0),IF(C33="FDE",VLOOKUP(D33,'FDE 10-23 '!$A$4:$E$3180,2,0),IF(C33="INFRA",VLOOKUP(D33,#REF!,2,0),""))))))),"")</f>
        <v>FORMA DE MADEIRA MACICA</v>
      </c>
      <c r="F33" s="65" t="str">
        <f>VLOOKUP(D33,'FDE 10-23 '!$A$4:$E$3180,3,0)</f>
        <v>M2</v>
      </c>
      <c r="G33" s="66">
        <v>163.6</v>
      </c>
      <c r="H33" s="67">
        <f>VLOOKUP(D33,'FDE 10-23 '!$A$4:$E$3180,5,0)</f>
        <v>75.27</v>
      </c>
      <c r="I33" s="68">
        <f>$L$10</f>
        <v>0.23</v>
      </c>
      <c r="J33" s="67">
        <f>ROUND(H33*(1+I33),2)</f>
        <v>92.58</v>
      </c>
      <c r="K33" s="71">
        <f>SUM(G33*J33)</f>
        <v>15146.088</v>
      </c>
      <c r="L33" s="51"/>
      <c r="M33" s="52"/>
    </row>
    <row r="34" spans="2:13" s="25" customFormat="1" ht="30" customHeight="1" outlineLevel="1">
      <c r="B34" s="53" t="s">
        <v>72</v>
      </c>
      <c r="C34" s="54"/>
      <c r="D34" s="54" t="s">
        <v>73</v>
      </c>
      <c r="E34" s="55" t="s">
        <v>74</v>
      </c>
      <c r="F34" s="56"/>
      <c r="G34" s="57"/>
      <c r="H34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4" s="59"/>
      <c r="J34" s="59"/>
      <c r="K34" s="82">
        <f>SUBTOTAL(9,K35:K36)</f>
        <v>9229.8080000000009</v>
      </c>
      <c r="L34" s="51"/>
      <c r="M34" s="52"/>
    </row>
    <row r="35" spans="2:13" s="25" customFormat="1" ht="30" customHeight="1" outlineLevel="1">
      <c r="B35" s="61" t="s">
        <v>75</v>
      </c>
      <c r="C35" s="62" t="s">
        <v>26</v>
      </c>
      <c r="D35" s="63" t="s">
        <v>76</v>
      </c>
      <c r="E35" s="64" t="str">
        <f>IFERROR(UPPER(IF(C35="CPU",VLOOKUP(D35,#REF!,2,0),IF(C35="SINAPI",VLOOKUP(D35,#REF!,2,0),IF(C35="EDIF",VLOOKUP(D35,#REF!,2,0),IF(C35="CDHU",VLOOKUP(D35,#REF!,2,0),IF(C35="FDE",VLOOKUP(D35,'FDE 10-23 '!$A$4:$E$3180,2,0),IF(C35="INFRA",VLOOKUP(D35,#REF!,2,0),""))))))),"")</f>
        <v>ACO CA 50 (A OU B) FYK= 500 M PA</v>
      </c>
      <c r="F35" s="65" t="str">
        <f>VLOOKUP(D35,'FDE 10-23 '!$A$4:$E$3180,3,0)</f>
        <v>KG</v>
      </c>
      <c r="G35" s="66">
        <v>520.1</v>
      </c>
      <c r="H35" s="67">
        <f>VLOOKUP(D35,'FDE 10-23 '!$A$4:$E$3180,5,0)</f>
        <v>12.18</v>
      </c>
      <c r="I35" s="68">
        <f>$L$10</f>
        <v>0.23</v>
      </c>
      <c r="J35" s="67">
        <f>ROUND(H35*(1+I35),2)</f>
        <v>14.98</v>
      </c>
      <c r="K35" s="71">
        <f>SUM(G35*J35)</f>
        <v>7791.0980000000009</v>
      </c>
      <c r="L35" s="51"/>
      <c r="M35" s="52"/>
    </row>
    <row r="36" spans="2:13" s="25" customFormat="1" ht="30" customHeight="1" outlineLevel="1">
      <c r="B36" s="61" t="s">
        <v>77</v>
      </c>
      <c r="C36" s="62" t="s">
        <v>26</v>
      </c>
      <c r="D36" s="63" t="s">
        <v>78</v>
      </c>
      <c r="E36" s="64" t="str">
        <f>IFERROR(UPPER(IF(C36="CPU",VLOOKUP(D36,#REF!,2,0),IF(C36="SINAPI",VLOOKUP(D36,#REF!,2,0),IF(C36="EDIF",VLOOKUP(D36,#REF!,2,0),IF(C36="CDHU",VLOOKUP(D36,#REF!,2,0),IF(C36="FDE",VLOOKUP(D36,'FDE 10-23 '!$A$4:$E$3180,2,0),IF(C36="INFRA",VLOOKUP(D36,#REF!,2,0),""))))))),"")</f>
        <v>ACO CA 60 (A OU B) FYK= 600 M PA</v>
      </c>
      <c r="F36" s="65" t="str">
        <f>VLOOKUP(D36,'FDE 10-23 '!$A$4:$E$3180,3,0)</f>
        <v>KG</v>
      </c>
      <c r="G36" s="66">
        <v>93</v>
      </c>
      <c r="H36" s="67">
        <f>VLOOKUP(D36,'FDE 10-23 '!$A$4:$E$3180,5,0)</f>
        <v>12.58</v>
      </c>
      <c r="I36" s="68">
        <f>$L$10</f>
        <v>0.23</v>
      </c>
      <c r="J36" s="67">
        <f>ROUND(H36*(1+I36),2)</f>
        <v>15.47</v>
      </c>
      <c r="K36" s="71">
        <f>SUM(G36*J36)</f>
        <v>1438.71</v>
      </c>
      <c r="L36" s="51"/>
      <c r="M36" s="52"/>
    </row>
    <row r="37" spans="2:13" s="25" customFormat="1" ht="30" customHeight="1" outlineLevel="1">
      <c r="B37" s="53" t="s">
        <v>79</v>
      </c>
      <c r="C37" s="54"/>
      <c r="D37" s="54" t="s">
        <v>80</v>
      </c>
      <c r="E37" s="55" t="s">
        <v>81</v>
      </c>
      <c r="F37" s="56"/>
      <c r="G37" s="57"/>
      <c r="H3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7" s="59"/>
      <c r="J37" s="59"/>
      <c r="K37" s="82">
        <f>SUBTOTAL(9,K38:K39)</f>
        <v>18225.342000000001</v>
      </c>
      <c r="L37" s="51"/>
      <c r="M37" s="52"/>
    </row>
    <row r="38" spans="2:13" s="25" customFormat="1" ht="30" customHeight="1" outlineLevel="1">
      <c r="B38" s="61" t="s">
        <v>82</v>
      </c>
      <c r="C38" s="62" t="s">
        <v>26</v>
      </c>
      <c r="D38" s="63" t="s">
        <v>83</v>
      </c>
      <c r="E38" s="64" t="str">
        <f>IFERROR(UPPER(IF(C38="CPU",VLOOKUP(D38,#REF!,2,0),IF(C38="SINAPI",VLOOKUP(D38,#REF!,2,0),IF(C38="EDIF",VLOOKUP(D38,#REF!,2,0),IF(C38="CDHU",VLOOKUP(D38,#REF!,2,0),IF(C38="FDE",VLOOKUP(D38,'FDE 10-23 '!$A$4:$E$3180,2,0),IF(C38="INFRA",VLOOKUP(D38,#REF!,2,0),""))))))),"")</f>
        <v>CONCRETO DOSADO E LANCADO FCK=25MPA</v>
      </c>
      <c r="F38" s="65" t="str">
        <f>VLOOKUP(D38,'FDE 10-23 '!$A$4:$E$3180,3,0)</f>
        <v>M3</v>
      </c>
      <c r="G38" s="66">
        <v>20.5</v>
      </c>
      <c r="H38" s="67">
        <f>VLOOKUP(D38,'FDE 10-23 '!$A$4:$E$3180,5,0)</f>
        <v>523.76</v>
      </c>
      <c r="I38" s="68">
        <f>$L$10</f>
        <v>0.23</v>
      </c>
      <c r="J38" s="67">
        <f>ROUND(H38*(1+I38),2)</f>
        <v>644.22</v>
      </c>
      <c r="K38" s="71">
        <f>SUM(G38*J38)</f>
        <v>13206.51</v>
      </c>
      <c r="L38" s="51"/>
      <c r="M38" s="52"/>
    </row>
    <row r="39" spans="2:13" s="25" customFormat="1" ht="30" customHeight="1" outlineLevel="1">
      <c r="B39" s="61" t="s">
        <v>84</v>
      </c>
      <c r="C39" s="62" t="s">
        <v>26</v>
      </c>
      <c r="D39" s="63" t="s">
        <v>85</v>
      </c>
      <c r="E39" s="64" t="str">
        <f>IFERROR(UPPER(IF(C39="CPU",VLOOKUP(D39,#REF!,2,0),IF(C39="SINAPI",VLOOKUP(D39,#REF!,2,0),IF(C39="EDIF",VLOOKUP(D39,#REF!,2,0),IF(C39="CDHU",VLOOKUP(D39,#REF!,2,0),IF(C39="FDE",VLOOKUP(D39,'FDE 10-23 '!$A$4:$E$3180,2,0),IF(C39="INFRA",VLOOKUP(D39,#REF!,2,0),""))))))),"")</f>
        <v>CONCRETO GROUT, PREPARADO NO LOCAL, LANÇADO E ADENSADO</v>
      </c>
      <c r="F39" s="65" t="str">
        <f>VLOOKUP(D39,'FDE 10-23 '!$A$4:$E$3180,3,0)</f>
        <v>M3</v>
      </c>
      <c r="G39" s="66">
        <v>8.4</v>
      </c>
      <c r="H39" s="67">
        <f>VLOOKUP(D39,'FDE 10-23 '!$A$4:$E$3180,5,0)</f>
        <v>485.76</v>
      </c>
      <c r="I39" s="68">
        <f>$L$10</f>
        <v>0.23</v>
      </c>
      <c r="J39" s="67">
        <f>ROUND(H39*(1+I39),2)</f>
        <v>597.48</v>
      </c>
      <c r="K39" s="71">
        <f>SUM(G39*J39)</f>
        <v>5018.8320000000003</v>
      </c>
      <c r="L39" s="51"/>
      <c r="M39" s="52"/>
    </row>
    <row r="40" spans="2:13" s="25" customFormat="1" ht="30" customHeight="1" outlineLevel="1">
      <c r="B40" s="53" t="s">
        <v>86</v>
      </c>
      <c r="C40" s="54"/>
      <c r="D40" s="54" t="s">
        <v>87</v>
      </c>
      <c r="E40" s="55" t="s">
        <v>88</v>
      </c>
      <c r="F40" s="56"/>
      <c r="G40" s="57"/>
      <c r="H4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0" s="59"/>
      <c r="J40" s="59"/>
      <c r="K40" s="82">
        <f>SUBTOTAL(9,K41)</f>
        <v>24210.536999999997</v>
      </c>
      <c r="L40" s="51"/>
      <c r="M40" s="52"/>
    </row>
    <row r="41" spans="2:13" s="25" customFormat="1" ht="30" customHeight="1" outlineLevel="1">
      <c r="B41" s="61" t="s">
        <v>89</v>
      </c>
      <c r="C41" s="62" t="s">
        <v>26</v>
      </c>
      <c r="D41" s="63" t="s">
        <v>90</v>
      </c>
      <c r="E41" s="64" t="str">
        <f>IFERROR(UPPER(IF(C41="CPU",VLOOKUP(D41,#REF!,2,0),IF(C41="SINAPI",VLOOKUP(D41,#REF!,2,0),IF(C41="EDIF",VLOOKUP(D41,#REF!,2,0),IF(C41="CDHU",VLOOKUP(D41,#REF!,2,0),IF(C41="FDE",VLOOKUP(D41,'FDE 10-23 '!$A$4:$E$3180,2,0),IF(C41="INFRA",VLOOKUP(D41,#REF!,2,0),""))))))),"")</f>
        <v>ALVENARIA EMBASAMENTO TIJOLO BARRO MACIÇO E = 1 TIJOLO</v>
      </c>
      <c r="F41" s="65" t="str">
        <f>VLOOKUP(D41,'FDE 10-23 '!$A$4:$E$3180,3,0)</f>
        <v>M2</v>
      </c>
      <c r="G41" s="66">
        <v>104.1</v>
      </c>
      <c r="H41" s="67">
        <f>VLOOKUP(D41,'FDE 10-23 '!$A$4:$E$3180,5,0)</f>
        <v>189.08</v>
      </c>
      <c r="I41" s="68">
        <f>$L$10</f>
        <v>0.23</v>
      </c>
      <c r="J41" s="67">
        <f>ROUND(H41*(1+I41),2)</f>
        <v>232.57</v>
      </c>
      <c r="K41" s="71">
        <f>SUM(G41*J41)</f>
        <v>24210.536999999997</v>
      </c>
      <c r="L41" s="51"/>
      <c r="M41" s="52"/>
    </row>
    <row r="42" spans="2:13" s="25" customFormat="1" ht="30" customHeight="1" outlineLevel="1">
      <c r="B42" s="53" t="s">
        <v>91</v>
      </c>
      <c r="C42" s="54"/>
      <c r="D42" s="54" t="s">
        <v>92</v>
      </c>
      <c r="E42" s="55" t="s">
        <v>93</v>
      </c>
      <c r="F42" s="56"/>
      <c r="G42" s="57"/>
      <c r="H42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2" s="59"/>
      <c r="J42" s="59"/>
      <c r="K42" s="82">
        <f>SUBTOTAL(9,K43)</f>
        <v>19891.151999999998</v>
      </c>
      <c r="L42" s="51"/>
      <c r="M42" s="52"/>
    </row>
    <row r="43" spans="2:13" s="25" customFormat="1" ht="30" customHeight="1" outlineLevel="1">
      <c r="B43" s="61" t="s">
        <v>94</v>
      </c>
      <c r="C43" s="62" t="s">
        <v>26</v>
      </c>
      <c r="D43" s="63" t="s">
        <v>95</v>
      </c>
      <c r="E43" s="64" t="str">
        <f>IFERROR(UPPER(IF(C43="CPU",VLOOKUP(D43,#REF!,2,0),IF(C43="SINAPI",VLOOKUP(D43,#REF!,2,0),IF(C43="EDIF",VLOOKUP(D43,#REF!,2,0),IF(C43="CDHU",VLOOKUP(D43,#REF!,2,0),IF(C43="FDE",VLOOKUP(D43,'FDE 10-23 '!$A$4:$E$3180,2,0),IF(C43="INFRA",VLOOKUP(D43,#REF!,2,0),""))))))),"")</f>
        <v>IMPERM RESP ALV EMBAS COM ARGAM CIM-AREIA 1:3 CONTENDO HIDROFUGO</v>
      </c>
      <c r="F43" s="65" t="str">
        <f>VLOOKUP(D43,'FDE 10-23 '!$A$4:$E$3180,3,0)</f>
        <v>M2</v>
      </c>
      <c r="G43" s="66">
        <v>338.4</v>
      </c>
      <c r="H43" s="67">
        <f>VLOOKUP(D43,'FDE 10-23 '!$A$4:$E$3180,5,0)</f>
        <v>47.79</v>
      </c>
      <c r="I43" s="68">
        <f>$L$10</f>
        <v>0.23</v>
      </c>
      <c r="J43" s="67">
        <f>ROUND(H43*(1+I43),2)</f>
        <v>58.78</v>
      </c>
      <c r="K43" s="71">
        <f>SUM(G43*J43)</f>
        <v>19891.151999999998</v>
      </c>
      <c r="L43" s="51"/>
      <c r="M43" s="52"/>
    </row>
    <row r="44" spans="2:13" s="25" customFormat="1" ht="30" customHeight="1">
      <c r="B44" s="43">
        <v>3</v>
      </c>
      <c r="C44" s="44"/>
      <c r="D44" s="44" t="s">
        <v>96</v>
      </c>
      <c r="E44" s="45" t="s">
        <v>97</v>
      </c>
      <c r="F44" s="46"/>
      <c r="G44" s="47"/>
      <c r="H44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4" s="49"/>
      <c r="J44" s="49"/>
      <c r="K44" s="81">
        <f>SUBTOTAL(9,K45:K61)</f>
        <v>3314123.1360000004</v>
      </c>
      <c r="L44" s="51"/>
      <c r="M44" s="52"/>
    </row>
    <row r="45" spans="2:13" s="25" customFormat="1" ht="30" customHeight="1" outlineLevel="1">
      <c r="B45" s="53" t="s">
        <v>98</v>
      </c>
      <c r="C45" s="54"/>
      <c r="D45" s="54" t="s">
        <v>99</v>
      </c>
      <c r="E45" s="55" t="s">
        <v>69</v>
      </c>
      <c r="F45" s="56"/>
      <c r="G45" s="57"/>
      <c r="H4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5" s="59"/>
      <c r="J45" s="59"/>
      <c r="K45" s="82">
        <f>SUBTOTAL(9,K46)</f>
        <v>1278.2979999999998</v>
      </c>
      <c r="L45" s="51"/>
      <c r="M45" s="52"/>
    </row>
    <row r="46" spans="2:13" s="25" customFormat="1" ht="30" customHeight="1" outlineLevel="1">
      <c r="B46" s="61" t="s">
        <v>100</v>
      </c>
      <c r="C46" s="62" t="s">
        <v>26</v>
      </c>
      <c r="D46" s="63" t="s">
        <v>101</v>
      </c>
      <c r="E46" s="64" t="str">
        <f>IFERROR(UPPER(IF(C46="CPU",VLOOKUP(D46,#REF!,2,0),IF(C46="SINAPI",VLOOKUP(D46,#REF!,2,0),IF(C46="EDIF",VLOOKUP(D46,#REF!,2,0),IF(C46="CDHU",VLOOKUP(D46,#REF!,2,0),IF(C46="FDE",VLOOKUP(D46,'FDE 10-23 '!$A$4:$E$3180,2,0),IF(C46="INFRA",VLOOKUP(D46,#REF!,2,0),""))))))),"")</f>
        <v>FORMAS PLANAS PLASTIFICADA PARA CONCRETO APARENTE</v>
      </c>
      <c r="F46" s="65" t="str">
        <f>VLOOKUP(D46,'FDE 10-23 '!$A$4:$E$3180,3,0)</f>
        <v>M2</v>
      </c>
      <c r="G46" s="66">
        <v>8.1999999999999993</v>
      </c>
      <c r="H46" s="67">
        <f>VLOOKUP(D46,'FDE 10-23 '!$A$4:$E$3180,5,0)</f>
        <v>126.74</v>
      </c>
      <c r="I46" s="68">
        <f>$L$10</f>
        <v>0.23</v>
      </c>
      <c r="J46" s="67">
        <f>ROUND(H46*(1+I46),2)</f>
        <v>155.88999999999999</v>
      </c>
      <c r="K46" s="71">
        <f>SUM(G46*J46)</f>
        <v>1278.2979999999998</v>
      </c>
      <c r="L46" s="51"/>
      <c r="M46" s="52"/>
    </row>
    <row r="47" spans="2:13" s="25" customFormat="1" ht="30" customHeight="1" outlineLevel="1">
      <c r="B47" s="53" t="s">
        <v>102</v>
      </c>
      <c r="C47" s="54"/>
      <c r="D47" s="54" t="s">
        <v>103</v>
      </c>
      <c r="E47" s="55" t="s">
        <v>74</v>
      </c>
      <c r="F47" s="56"/>
      <c r="G47" s="57"/>
      <c r="H4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7" s="59"/>
      <c r="J47" s="59"/>
      <c r="K47" s="82">
        <f>SUBTOTAL(9,K48:K52)</f>
        <v>255624.486</v>
      </c>
      <c r="L47" s="51"/>
      <c r="M47" s="52"/>
    </row>
    <row r="48" spans="2:13" s="25" customFormat="1" ht="30" customHeight="1" outlineLevel="1">
      <c r="B48" s="61" t="s">
        <v>104</v>
      </c>
      <c r="C48" s="62" t="s">
        <v>26</v>
      </c>
      <c r="D48" s="63" t="s">
        <v>105</v>
      </c>
      <c r="E48" s="64" t="str">
        <f>IFERROR(UPPER(IF(C48="CPU",VLOOKUP(D48,#REF!,2,0),IF(C48="SINAPI",VLOOKUP(D48,#REF!,2,0),IF(C48="EDIF",VLOOKUP(D48,#REF!,2,0),IF(C48="CDHU",VLOOKUP(D48,#REF!,2,0),IF(C48="FDE",VLOOKUP(D48,'FDE 10-23 '!$A$4:$E$3180,2,0),IF(C48="INFRA",VLOOKUP(D48,#REF!,2,0),""))))))),"")</f>
        <v>ACO CA 50 (A OU B) FYK= 500 M PA</v>
      </c>
      <c r="F48" s="65" t="str">
        <f>VLOOKUP(D48,'FDE 10-23 '!$A$4:$E$3180,3,0)</f>
        <v>KG</v>
      </c>
      <c r="G48" s="66">
        <v>4608</v>
      </c>
      <c r="H48" s="67">
        <f>VLOOKUP(D48,'FDE 10-23 '!$A$4:$E$3180,5,0)</f>
        <v>12.18</v>
      </c>
      <c r="I48" s="68">
        <f>$L$10</f>
        <v>0.23</v>
      </c>
      <c r="J48" s="67">
        <f>ROUND(H48*(1+I48),2)</f>
        <v>14.98</v>
      </c>
      <c r="K48" s="71">
        <f>SUM(G48*J48)</f>
        <v>69027.839999999997</v>
      </c>
      <c r="L48" s="51"/>
      <c r="M48" s="52"/>
    </row>
    <row r="49" spans="2:13" s="25" customFormat="1" ht="30" customHeight="1" outlineLevel="1">
      <c r="B49" s="61" t="s">
        <v>106</v>
      </c>
      <c r="C49" s="62" t="s">
        <v>26</v>
      </c>
      <c r="D49" s="63" t="s">
        <v>107</v>
      </c>
      <c r="E49" s="64" t="str">
        <f>IFERROR(UPPER(IF(C49="CPU",VLOOKUP(D49,#REF!,2,0),IF(C49="SINAPI",VLOOKUP(D49,#REF!,2,0),IF(C49="EDIF",VLOOKUP(D49,#REF!,2,0),IF(C49="CDHU",VLOOKUP(D49,#REF!,2,0),IF(C49="FDE",VLOOKUP(D49,'FDE 10-23 '!$A$4:$E$3180,2,0),IF(C49="INFRA",VLOOKUP(D49,#REF!,2,0),""))))))),"")</f>
        <v>TELA ARMADURA (MALHA ACO CA 60 FYK= 600 M PA)</v>
      </c>
      <c r="F49" s="65" t="str">
        <f>VLOOKUP(D49,'FDE 10-23 '!$A$4:$E$3180,3,0)</f>
        <v>KG</v>
      </c>
      <c r="G49" s="66">
        <v>6456</v>
      </c>
      <c r="H49" s="67">
        <f>VLOOKUP(D49,'FDE 10-23 '!$A$4:$E$3180,5,0)</f>
        <v>11.44</v>
      </c>
      <c r="I49" s="68">
        <f>$L$10</f>
        <v>0.23</v>
      </c>
      <c r="J49" s="67">
        <f>ROUND(H49*(1+I49),2)</f>
        <v>14.07</v>
      </c>
      <c r="K49" s="71">
        <f>SUM(G49*J49)</f>
        <v>90835.92</v>
      </c>
      <c r="L49" s="51"/>
      <c r="M49" s="52"/>
    </row>
    <row r="50" spans="2:13" s="25" customFormat="1" ht="30" customHeight="1" outlineLevel="1">
      <c r="B50" s="61" t="s">
        <v>108</v>
      </c>
      <c r="C50" s="62" t="s">
        <v>26</v>
      </c>
      <c r="D50" s="63" t="s">
        <v>109</v>
      </c>
      <c r="E50" s="64" t="str">
        <f>IFERROR(UPPER(IF(C50="CPU",VLOOKUP(D50,#REF!,2,0),IF(C50="SINAPI",VLOOKUP(D50,#REF!,2,0),IF(C50="EDIF",VLOOKUP(D50,#REF!,2,0),IF(C50="CDHU",VLOOKUP(D50,#REF!,2,0),IF(C50="FDE",VLOOKUP(D50,'FDE 10-23 '!$A$4:$E$3180,2,0),IF(C50="INFRA",VLOOKUP(D50,#REF!,2,0),""))))))),"")</f>
        <v>INSERTS EM CANTONEIRAS OU CHAPA AÇO A-36 P/SOLIDARIZAÇÃO DE VIGAS E PILARES</v>
      </c>
      <c r="F50" s="65" t="str">
        <f>VLOOKUP(D50,'FDE 10-23 '!$A$4:$E$3180,3,0)</f>
        <v>KG</v>
      </c>
      <c r="G50" s="66">
        <v>885.9</v>
      </c>
      <c r="H50" s="67">
        <f>VLOOKUP(D50,'FDE 10-23 '!$A$4:$E$3180,5,0)</f>
        <v>60.44</v>
      </c>
      <c r="I50" s="68">
        <f>$L$10</f>
        <v>0.23</v>
      </c>
      <c r="J50" s="67">
        <f>ROUND(H50*(1+I50),2)</f>
        <v>74.34</v>
      </c>
      <c r="K50" s="71">
        <f>SUM(G50*J50)</f>
        <v>65857.805999999997</v>
      </c>
      <c r="L50" s="51"/>
      <c r="M50" s="52"/>
    </row>
    <row r="51" spans="2:13" s="25" customFormat="1" ht="30" customHeight="1" outlineLevel="1">
      <c r="B51" s="61" t="s">
        <v>110</v>
      </c>
      <c r="C51" s="62" t="s">
        <v>26</v>
      </c>
      <c r="D51" s="63" t="s">
        <v>111</v>
      </c>
      <c r="E51" s="64" t="str">
        <f>IFERROR(UPPER(IF(C51="CPU",VLOOKUP(D51,#REF!,2,0),IF(C51="SINAPI",VLOOKUP(D51,#REF!,2,0),IF(C51="EDIF",VLOOKUP(D51,#REF!,2,0),IF(C51="CDHU",VLOOKUP(D51,#REF!,2,0),IF(C51="FDE",VLOOKUP(D51,'FDE 10-23 '!$A$4:$E$3180,2,0),IF(C51="INFRA",VLOOKUP(D51,#REF!,2,0),""))))))),"")</f>
        <v>CONJUNTO DE LUVAS E PINO ROSCAVEL DN 12,5MM P/SOLIDARIZAÇÃO DE VIGA FORNEC. E INST.</v>
      </c>
      <c r="F51" s="65" t="str">
        <f>VLOOKUP(D51,'FDE 10-23 '!$A$4:$E$3180,3,0)</f>
        <v>UN</v>
      </c>
      <c r="G51" s="66">
        <v>24</v>
      </c>
      <c r="H51" s="67">
        <f>VLOOKUP(D51,'FDE 10-23 '!$A$4:$E$3180,5,0)</f>
        <v>88.07</v>
      </c>
      <c r="I51" s="68">
        <f>$L$10</f>
        <v>0.23</v>
      </c>
      <c r="J51" s="67">
        <f>ROUND(H51*(1+I51),2)</f>
        <v>108.33</v>
      </c>
      <c r="K51" s="71">
        <f>SUM(G51*J51)</f>
        <v>2599.92</v>
      </c>
      <c r="L51" s="51"/>
      <c r="M51" s="52"/>
    </row>
    <row r="52" spans="2:13" s="25" customFormat="1" ht="30" customHeight="1" outlineLevel="1">
      <c r="B52" s="61" t="s">
        <v>112</v>
      </c>
      <c r="C52" s="62" t="s">
        <v>26</v>
      </c>
      <c r="D52" s="63" t="s">
        <v>113</v>
      </c>
      <c r="E52" s="64" t="str">
        <f>IFERROR(UPPER(IF(C52="CPU",VLOOKUP(D52,#REF!,2,0),IF(C52="SINAPI",VLOOKUP(D52,#REF!,2,0),IF(C52="EDIF",VLOOKUP(D52,#REF!,2,0),IF(C52="CDHU",VLOOKUP(D52,#REF!,2,0),IF(C52="FDE",VLOOKUP(D52,'FDE 10-23 '!$A$4:$E$3180,2,0),IF(C52="INFRA",VLOOKUP(D52,#REF!,2,0),""))))))),"")</f>
        <v>CONJUNTO DE LUVAS E PINO ROSCAVEL DN 20MM P/SOLIDARIZAÇÃO DE VIGA FORNEC. E INST.</v>
      </c>
      <c r="F52" s="65" t="str">
        <f>VLOOKUP(D52,'FDE 10-23 '!$A$4:$E$3180,3,0)</f>
        <v>UN</v>
      </c>
      <c r="G52" s="66">
        <v>150</v>
      </c>
      <c r="H52" s="67">
        <f>VLOOKUP(D52,'FDE 10-23 '!$A$4:$E$3180,5,0)</f>
        <v>147.97999999999999</v>
      </c>
      <c r="I52" s="68">
        <f>$L$10</f>
        <v>0.23</v>
      </c>
      <c r="J52" s="67">
        <f>ROUND(H52*(1+I52),2)</f>
        <v>182.02</v>
      </c>
      <c r="K52" s="71">
        <f>SUM(G52*J52)</f>
        <v>27303</v>
      </c>
      <c r="L52" s="51"/>
      <c r="M52" s="52"/>
    </row>
    <row r="53" spans="2:13" s="25" customFormat="1" ht="30" customHeight="1" outlineLevel="1">
      <c r="B53" s="53" t="s">
        <v>114</v>
      </c>
      <c r="C53" s="54"/>
      <c r="D53" s="54" t="s">
        <v>115</v>
      </c>
      <c r="E53" s="55" t="s">
        <v>81</v>
      </c>
      <c r="F53" s="56"/>
      <c r="G53" s="57"/>
      <c r="H53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53" s="59"/>
      <c r="J53" s="59"/>
      <c r="K53" s="82">
        <f>SUBTOTAL(9,K54:K59)</f>
        <v>2900403.7119999998</v>
      </c>
      <c r="L53" s="51"/>
      <c r="M53" s="52"/>
    </row>
    <row r="54" spans="2:13" s="25" customFormat="1" ht="30" customHeight="1" outlineLevel="1">
      <c r="B54" s="61" t="s">
        <v>116</v>
      </c>
      <c r="C54" s="62" t="s">
        <v>26</v>
      </c>
      <c r="D54" s="63" t="s">
        <v>117</v>
      </c>
      <c r="E54" s="64" t="str">
        <f>IFERROR(UPPER(IF(C54="CPU",VLOOKUP(D54,#REF!,2,0),IF(C54="SINAPI",VLOOKUP(D54,#REF!,2,0),IF(C54="EDIF",VLOOKUP(D54,#REF!,2,0),IF(C54="CDHU",VLOOKUP(D54,#REF!,2,0),IF(C54="FDE",VLOOKUP(D54,'FDE 10-23 '!$A$4:$E$3180,2,0),IF(C54="INFRA",VLOOKUP(D54,#REF!,2,0),""))))))),"")</f>
        <v>CONCRETO DOSADO,BOMBEADO E LANCADO FCK 25 MPA</v>
      </c>
      <c r="F54" s="65" t="str">
        <f>VLOOKUP(D54,'FDE 10-23 '!$A$4:$E$3180,3,0)</f>
        <v>M3</v>
      </c>
      <c r="G54" s="66">
        <v>37.799999999999997</v>
      </c>
      <c r="H54" s="67">
        <f>VLOOKUP(D54,'FDE 10-23 '!$A$4:$E$3180,5,0)</f>
        <v>563.26</v>
      </c>
      <c r="I54" s="68">
        <f t="shared" ref="I54:I59" si="3">$L$10</f>
        <v>0.23</v>
      </c>
      <c r="J54" s="67">
        <f t="shared" ref="J54:J59" si="4">ROUND(H54*(1+I54),2)</f>
        <v>692.81</v>
      </c>
      <c r="K54" s="71">
        <f t="shared" ref="K54:K59" si="5">SUM(G54*J54)</f>
        <v>26188.217999999997</v>
      </c>
      <c r="L54" s="51"/>
      <c r="M54" s="52"/>
    </row>
    <row r="55" spans="2:13" s="25" customFormat="1" ht="30" customHeight="1" outlineLevel="1">
      <c r="B55" s="61" t="s">
        <v>118</v>
      </c>
      <c r="C55" s="62" t="s">
        <v>26</v>
      </c>
      <c r="D55" s="63" t="s">
        <v>119</v>
      </c>
      <c r="E55" s="64" t="str">
        <f>IFERROR(UPPER(IF(C55="CPU",VLOOKUP(D55,#REF!,2,0),IF(C55="SINAPI",VLOOKUP(D55,#REF!,2,0),IF(C55="EDIF",VLOOKUP(D55,#REF!,2,0),IF(C55="CDHU",VLOOKUP(D55,#REF!,2,0),IF(C55="FDE",VLOOKUP(D55,'FDE 10-23 '!$A$4:$E$3180,2,0),IF(C55="INFRA",VLOOKUP(D55,#REF!,2,0),""))))))),"")</f>
        <v>LAJE PRE-FABRICADA PAINEL ALVEOLAR CONCRETO PROTENDIDO H15-100KGF/M2</v>
      </c>
      <c r="F55" s="65" t="str">
        <f>VLOOKUP(D55,'FDE 10-23 '!$A$4:$E$3180,3,0)</f>
        <v>M2</v>
      </c>
      <c r="G55" s="66">
        <v>1360.8</v>
      </c>
      <c r="H55" s="67">
        <f>VLOOKUP(D55,'FDE 10-23 '!$A$4:$E$3180,5,0)</f>
        <v>303.82</v>
      </c>
      <c r="I55" s="68">
        <f t="shared" si="3"/>
        <v>0.23</v>
      </c>
      <c r="J55" s="67">
        <f t="shared" si="4"/>
        <v>373.7</v>
      </c>
      <c r="K55" s="71">
        <f t="shared" si="5"/>
        <v>508530.95999999996</v>
      </c>
      <c r="L55" s="51"/>
      <c r="M55" s="52"/>
    </row>
    <row r="56" spans="2:13" s="25" customFormat="1" ht="30" customHeight="1" outlineLevel="1">
      <c r="B56" s="61" t="s">
        <v>120</v>
      </c>
      <c r="C56" s="62" t="s">
        <v>26</v>
      </c>
      <c r="D56" s="63" t="s">
        <v>121</v>
      </c>
      <c r="E56" s="64" t="str">
        <f>IFERROR(UPPER(IF(C56="CPU",VLOOKUP(D56,#REF!,2,0),IF(C56="SINAPI",VLOOKUP(D56,#REF!,2,0),IF(C56="EDIF",VLOOKUP(D56,#REF!,2,0),IF(C56="CDHU",VLOOKUP(D56,#REF!,2,0),IF(C56="FDE",VLOOKUP(D56,'FDE 10-23 '!$A$4:$E$3180,2,0),IF(C56="INFRA",VLOOKUP(D56,#REF!,2,0),""))))))),"")</f>
        <v>LAJE PRE-FABRICADA PAINEL ALVEOLAR CONCRETO PROTENDIDO H15-300KGF/M2</v>
      </c>
      <c r="F56" s="65" t="str">
        <f>VLOOKUP(D56,'FDE 10-23 '!$A$4:$E$3180,3,0)</f>
        <v>M2</v>
      </c>
      <c r="G56" s="66">
        <v>794</v>
      </c>
      <c r="H56" s="67">
        <f>VLOOKUP(D56,'FDE 10-23 '!$A$4:$E$3180,5,0)</f>
        <v>301.29000000000002</v>
      </c>
      <c r="I56" s="68">
        <f t="shared" si="3"/>
        <v>0.23</v>
      </c>
      <c r="J56" s="67">
        <f t="shared" si="4"/>
        <v>370.59</v>
      </c>
      <c r="K56" s="71">
        <f t="shared" si="5"/>
        <v>294248.45999999996</v>
      </c>
      <c r="L56" s="51"/>
      <c r="M56" s="52"/>
    </row>
    <row r="57" spans="2:13" s="25" customFormat="1" ht="30" customHeight="1" outlineLevel="1">
      <c r="B57" s="61" t="s">
        <v>122</v>
      </c>
      <c r="C57" s="62" t="s">
        <v>26</v>
      </c>
      <c r="D57" s="63" t="s">
        <v>123</v>
      </c>
      <c r="E57" s="64" t="str">
        <f>IFERROR(UPPER(IF(C57="CPU",VLOOKUP(D57,#REF!,2,0),IF(C57="SINAPI",VLOOKUP(D57,#REF!,2,0),IF(C57="EDIF",VLOOKUP(D57,#REF!,2,0),IF(C57="CDHU",VLOOKUP(D57,#REF!,2,0),IF(C57="FDE",VLOOKUP(D57,'FDE 10-23 '!$A$4:$E$3180,2,0),IF(C57="INFRA",VLOOKUP(D57,#REF!,2,0),""))))))),"")</f>
        <v>LAJE PRE-FABRICADA PAINEL ALVEOLAR CONCRETO PROTENDIDO H15-500KGF/M2</v>
      </c>
      <c r="F57" s="65" t="str">
        <f>VLOOKUP(D57,'FDE 10-23 '!$A$4:$E$3180,3,0)</f>
        <v>M2</v>
      </c>
      <c r="G57" s="66">
        <v>290.2</v>
      </c>
      <c r="H57" s="67">
        <f>VLOOKUP(D57,'FDE 10-23 '!$A$4:$E$3180,5,0)</f>
        <v>307.3</v>
      </c>
      <c r="I57" s="68">
        <f t="shared" si="3"/>
        <v>0.23</v>
      </c>
      <c r="J57" s="67">
        <f t="shared" si="4"/>
        <v>377.98</v>
      </c>
      <c r="K57" s="71">
        <f t="shared" si="5"/>
        <v>109689.796</v>
      </c>
      <c r="L57" s="51"/>
      <c r="M57" s="52"/>
    </row>
    <row r="58" spans="2:13" s="25" customFormat="1" ht="30" customHeight="1" outlineLevel="1">
      <c r="B58" s="61" t="s">
        <v>124</v>
      </c>
      <c r="C58" s="62" t="s">
        <v>26</v>
      </c>
      <c r="D58" s="63" t="s">
        <v>125</v>
      </c>
      <c r="E58" s="64" t="str">
        <f>IFERROR(UPPER(IF(C58="CPU",VLOOKUP(D58,#REF!,2,0),IF(C58="SINAPI",VLOOKUP(D58,#REF!,2,0),IF(C58="EDIF",VLOOKUP(D58,#REF!,2,0),IF(C58="CDHU",VLOOKUP(D58,#REF!,2,0),IF(C58="FDE",VLOOKUP(D58,'FDE 10-23 '!$A$4:$E$3180,2,0),IF(C58="INFRA",VLOOKUP(D58,#REF!,2,0),""))))))),"")</f>
        <v>FORNEC. E MONTAGEM DE VIGA PROTENDIDA PRÉ-MOLDADA DE CONCRETO</v>
      </c>
      <c r="F58" s="65" t="str">
        <f>VLOOKUP(D58,'FDE 10-23 '!$A$4:$E$3180,3,0)</f>
        <v>M3</v>
      </c>
      <c r="G58" s="66">
        <v>72.2</v>
      </c>
      <c r="H58" s="67">
        <f>VLOOKUP(D58,'FDE 10-23 '!$A$4:$E$3180,5,0)</f>
        <v>6119.1</v>
      </c>
      <c r="I58" s="68">
        <f t="shared" si="3"/>
        <v>0.23</v>
      </c>
      <c r="J58" s="67">
        <f t="shared" si="4"/>
        <v>7526.49</v>
      </c>
      <c r="K58" s="71">
        <f t="shared" si="5"/>
        <v>543412.57799999998</v>
      </c>
      <c r="L58" s="51"/>
      <c r="M58" s="52"/>
    </row>
    <row r="59" spans="2:13" s="25" customFormat="1" ht="30" customHeight="1" outlineLevel="1">
      <c r="B59" s="61" t="s">
        <v>126</v>
      </c>
      <c r="C59" s="62" t="s">
        <v>26</v>
      </c>
      <c r="D59" s="63" t="s">
        <v>127</v>
      </c>
      <c r="E59" s="64" t="str">
        <f>IFERROR(UPPER(IF(C59="CPU",VLOOKUP(D59,#REF!,2,0),IF(C59="SINAPI",VLOOKUP(D59,#REF!,2,0),IF(C59="EDIF",VLOOKUP(D59,#REF!,2,0),IF(C59="CDHU",VLOOKUP(D59,#REF!,2,0),IF(C59="FDE",VLOOKUP(D59,'FDE 10-23 '!$A$4:$E$3180,2,0),IF(C59="INFRA",VLOOKUP(D59,#REF!,2,0),""))))))),"")</f>
        <v>FORNECIMENTO E MONTAGEM DE ESTRUTURA PRE-MOLDADA DE CONCRETO</v>
      </c>
      <c r="F59" s="65" t="str">
        <f>VLOOKUP(D59,'FDE 10-23 '!$A$4:$E$3180,3,0)</f>
        <v>M3</v>
      </c>
      <c r="G59" s="66">
        <v>210</v>
      </c>
      <c r="H59" s="67">
        <f>VLOOKUP(D59,'FDE 10-23 '!$A$4:$E$3180,5,0)</f>
        <v>5491.03</v>
      </c>
      <c r="I59" s="68">
        <f t="shared" si="3"/>
        <v>0.23</v>
      </c>
      <c r="J59" s="67">
        <f t="shared" si="4"/>
        <v>6753.97</v>
      </c>
      <c r="K59" s="71">
        <f t="shared" si="5"/>
        <v>1418333.7</v>
      </c>
      <c r="L59" s="51"/>
      <c r="M59" s="52"/>
    </row>
    <row r="60" spans="2:13" s="25" customFormat="1" ht="30" customHeight="1" outlineLevel="1">
      <c r="B60" s="53" t="s">
        <v>128</v>
      </c>
      <c r="C60" s="54"/>
      <c r="D60" s="54" t="s">
        <v>129</v>
      </c>
      <c r="E60" s="55" t="s">
        <v>130</v>
      </c>
      <c r="F60" s="56" t="str">
        <f>IFERROR(UPPER(IF(C60="CPU",VLOOKUP(D60,#REF!,3,0),IF(C60="SINAPI",VLOOKUP(D60,#REF!,3,0),IF(C60="EDIF",VLOOKUP(D60,#REF!,3,0),IF(C60="CDHU",VLOOKUP(D60,#REF!,3,0),IF(C60="FDE",VLOOKUP(D60,#REF!,3,0),IF(C60="INFRA",VLOOKUP(D60,#REF!,3,0),""))))))),"")</f>
        <v/>
      </c>
      <c r="G60" s="57"/>
      <c r="H6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60" s="59"/>
      <c r="J60" s="59"/>
      <c r="K60" s="82">
        <f>SUBTOTAL(9,K61)</f>
        <v>156816.64000000001</v>
      </c>
      <c r="L60" s="51"/>
      <c r="M60" s="52"/>
    </row>
    <row r="61" spans="2:13" s="25" customFormat="1" ht="30" customHeight="1" outlineLevel="1">
      <c r="B61" s="61" t="s">
        <v>131</v>
      </c>
      <c r="C61" s="62" t="s">
        <v>26</v>
      </c>
      <c r="D61" s="63" t="s">
        <v>132</v>
      </c>
      <c r="E61" s="64" t="str">
        <f>IFERROR(UPPER(IF(C61="CPU",VLOOKUP(D61,#REF!,2,0),IF(C61="SINAPI",VLOOKUP(D61,#REF!,2,0),IF(C61="EDIF",VLOOKUP(D61,#REF!,2,0),IF(C61="CDHU",VLOOKUP(D61,#REF!,2,0),IF(C61="FDE",VLOOKUP(D61,'FDE 10-23 '!$A$4:$E$3180,2,0),IF(C61="INFRA",VLOOKUP(D61,#REF!,2,0),""))))))),"")</f>
        <v>FORNECIMENTO E MONTAGEM DE ESTRUTURA METALICA COM AÇO NAO PATINAVE (ASTM A36/A570)</v>
      </c>
      <c r="F61" s="65" t="str">
        <f>VLOOKUP(D61,'FDE 10-23 '!$A$4:$E$3180,3,0)</f>
        <v>KG</v>
      </c>
      <c r="G61" s="66">
        <v>4852</v>
      </c>
      <c r="H61" s="67">
        <f>VLOOKUP(D61,'FDE 10-23 '!$A$4:$E$3180,5,0)</f>
        <v>26.28</v>
      </c>
      <c r="I61" s="68">
        <f>$L$10</f>
        <v>0.23</v>
      </c>
      <c r="J61" s="67">
        <f>ROUND(H61*(1+I61),2)</f>
        <v>32.32</v>
      </c>
      <c r="K61" s="71">
        <f>SUM(G61*J61)</f>
        <v>156816.64000000001</v>
      </c>
      <c r="L61" s="51"/>
      <c r="M61" s="52"/>
    </row>
    <row r="62" spans="2:13" s="25" customFormat="1" ht="30" customHeight="1">
      <c r="B62" s="43">
        <v>4</v>
      </c>
      <c r="C62" s="44"/>
      <c r="D62" s="44" t="s">
        <v>133</v>
      </c>
      <c r="E62" s="45" t="s">
        <v>134</v>
      </c>
      <c r="F62" s="46" t="str">
        <f>IFERROR(UPPER(IF(C62="CPU",VLOOKUP(D62,#REF!,3,0),IF(C62="SINAPI",VLOOKUP(D62,#REF!,3,0),IF(C62="EDIF",VLOOKUP(D62,#REF!,3,0),IF(C62="CDHU",VLOOKUP(D62,#REF!,3,0),IF(C62="FDE",VLOOKUP(D62,#REF!,3,0),IF(C62="INFRA",VLOOKUP(D62,#REF!,3,0),""))))))),"")</f>
        <v/>
      </c>
      <c r="G62" s="47"/>
      <c r="H62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62" s="49"/>
      <c r="J62" s="49"/>
      <c r="K62" s="81">
        <f>SUBTOTAL(9,K63:K75)</f>
        <v>289471.52030000003</v>
      </c>
      <c r="L62" s="51"/>
      <c r="M62" s="52"/>
    </row>
    <row r="63" spans="2:13" s="25" customFormat="1" ht="30" customHeight="1" outlineLevel="1">
      <c r="B63" s="53" t="s">
        <v>135</v>
      </c>
      <c r="C63" s="54"/>
      <c r="D63" s="54" t="s">
        <v>136</v>
      </c>
      <c r="E63" s="55" t="s">
        <v>137</v>
      </c>
      <c r="F63" s="56" t="str">
        <f>IFERROR(UPPER(IF(C63="CPU",VLOOKUP(D63,#REF!,3,0),IF(C63="SINAPI",VLOOKUP(D63,#REF!,3,0),IF(C63="EDIF",VLOOKUP(D63,#REF!,3,0),IF(C63="CDHU",VLOOKUP(D63,#REF!,3,0),IF(C63="FDE",VLOOKUP(D63,#REF!,3,0),IF(C63="INFRA",VLOOKUP(D63,#REF!,3,0),""))))))),"")</f>
        <v/>
      </c>
      <c r="G63" s="57"/>
      <c r="H63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63" s="59"/>
      <c r="J63" s="59"/>
      <c r="K63" s="82">
        <f>SUBTOTAL(9,K64:K69)</f>
        <v>248071.20529999997</v>
      </c>
      <c r="L63" s="51"/>
      <c r="M63" s="52"/>
    </row>
    <row r="64" spans="2:13" s="25" customFormat="1" ht="30" customHeight="1" outlineLevel="1">
      <c r="B64" s="61" t="s">
        <v>138</v>
      </c>
      <c r="C64" s="62" t="s">
        <v>26</v>
      </c>
      <c r="D64" s="63" t="s">
        <v>139</v>
      </c>
      <c r="E64" s="64" t="str">
        <f>IFERROR(UPPER(IF(C64="CPU",VLOOKUP(D64,#REF!,2,0),IF(C64="SINAPI",VLOOKUP(D64,#REF!,2,0),IF(C64="EDIF",VLOOKUP(D64,#REF!,2,0),IF(C64="CDHU",VLOOKUP(D64,#REF!,2,0),IF(C64="FDE",VLOOKUP(D64,'FDE 10-23 '!$A$4:$E$3180,2,0),IF(C64="INFRA",VLOOKUP(D64,#REF!,2,0),""))))))),"")</f>
        <v>ALVENARIA DE BLOCO DE CONCRETO 14X19X39 CM CLASSE C</v>
      </c>
      <c r="F64" s="65" t="str">
        <f>VLOOKUP(D64,'FDE 10-23 '!$A$4:$E$3180,3,0)</f>
        <v>M2</v>
      </c>
      <c r="G64" s="66">
        <v>268.73</v>
      </c>
      <c r="H64" s="67">
        <f>VLOOKUP(D64,'FDE 10-23 '!$A$4:$E$3180,5,0)</f>
        <v>79.31</v>
      </c>
      <c r="I64" s="68">
        <f t="shared" ref="I64:I69" si="6">$L$10</f>
        <v>0.23</v>
      </c>
      <c r="J64" s="67">
        <f t="shared" ref="J64:J69" si="7">ROUND(H64*(1+I64),2)</f>
        <v>97.55</v>
      </c>
      <c r="K64" s="71">
        <f t="shared" ref="K64:K69" si="8">SUM(G64*J64)</f>
        <v>26214.611500000003</v>
      </c>
      <c r="L64" s="51"/>
      <c r="M64" s="52"/>
    </row>
    <row r="65" spans="2:13" s="25" customFormat="1" ht="30" customHeight="1" outlineLevel="1">
      <c r="B65" s="61" t="s">
        <v>140</v>
      </c>
      <c r="C65" s="62" t="s">
        <v>26</v>
      </c>
      <c r="D65" s="63" t="s">
        <v>141</v>
      </c>
      <c r="E65" s="64" t="str">
        <f>IFERROR(UPPER(IF(C65="CPU",VLOOKUP(D65,#REF!,2,0),IF(C65="SINAPI",VLOOKUP(D65,#REF!,2,0),IF(C65="EDIF",VLOOKUP(D65,#REF!,2,0),IF(C65="CDHU",VLOOKUP(D65,#REF!,2,0),IF(C65="FDE",VLOOKUP(D65,'FDE 10-23 '!$A$4:$E$3180,2,0),IF(C65="INFRA",VLOOKUP(D65,#REF!,2,0),""))))))),"")</f>
        <v>ALVENARIA DE BLOCO DE CONCRETO 19X19X39 CM CLASSE C</v>
      </c>
      <c r="F65" s="65" t="str">
        <f>VLOOKUP(D65,'FDE 10-23 '!$A$4:$E$3180,3,0)</f>
        <v>M2</v>
      </c>
      <c r="G65" s="66">
        <v>1743.8</v>
      </c>
      <c r="H65" s="67">
        <f>VLOOKUP(D65,'FDE 10-23 '!$A$4:$E$3180,5,0)</f>
        <v>96.19</v>
      </c>
      <c r="I65" s="68">
        <f t="shared" si="6"/>
        <v>0.23</v>
      </c>
      <c r="J65" s="67">
        <f t="shared" si="7"/>
        <v>118.31</v>
      </c>
      <c r="K65" s="71">
        <f t="shared" si="8"/>
        <v>206308.978</v>
      </c>
      <c r="L65" s="51"/>
      <c r="M65" s="52"/>
    </row>
    <row r="66" spans="2:13" s="25" customFormat="1" ht="30" customHeight="1" outlineLevel="1">
      <c r="B66" s="61" t="s">
        <v>142</v>
      </c>
      <c r="C66" s="62" t="s">
        <v>26</v>
      </c>
      <c r="D66" s="63" t="s">
        <v>143</v>
      </c>
      <c r="E66" s="64" t="str">
        <f>IFERROR(UPPER(IF(C66="CPU",VLOOKUP(D66,#REF!,2,0),IF(C66="SINAPI",VLOOKUP(D66,#REF!,2,0),IF(C66="EDIF",VLOOKUP(D66,#REF!,2,0),IF(C66="CDHU",VLOOKUP(D66,#REF!,2,0),IF(C66="FDE",VLOOKUP(D66,'FDE 10-23 '!$A$4:$E$3180,2,0),IF(C66="INFRA",VLOOKUP(D66,#REF!,2,0),""))))))),"")</f>
        <v>CONCRETO GROUT, PREPARADO NO LOCAL, LANÇADO E ADENSADO</v>
      </c>
      <c r="F66" s="65" t="str">
        <f>VLOOKUP(D66,'FDE 10-23 '!$A$4:$E$3180,3,0)</f>
        <v>M3</v>
      </c>
      <c r="G66" s="66">
        <v>7</v>
      </c>
      <c r="H66" s="67">
        <f>VLOOKUP(D66,'FDE 10-23 '!$A$4:$E$3180,5,0)</f>
        <v>485.76</v>
      </c>
      <c r="I66" s="68">
        <f t="shared" si="6"/>
        <v>0.23</v>
      </c>
      <c r="J66" s="67">
        <f t="shared" si="7"/>
        <v>597.48</v>
      </c>
      <c r="K66" s="71">
        <f t="shared" si="8"/>
        <v>4182.3600000000006</v>
      </c>
      <c r="L66" s="51"/>
      <c r="M66" s="52"/>
    </row>
    <row r="67" spans="2:13" s="25" customFormat="1" ht="30" customHeight="1" outlineLevel="1">
      <c r="B67" s="61" t="s">
        <v>144</v>
      </c>
      <c r="C67" s="62" t="s">
        <v>26</v>
      </c>
      <c r="D67" s="63" t="s">
        <v>145</v>
      </c>
      <c r="E67" s="64" t="str">
        <f>IFERROR(UPPER(IF(C67="CPU",VLOOKUP(D67,#REF!,2,0),IF(C67="SINAPI",VLOOKUP(D67,#REF!,2,0),IF(C67="EDIF",VLOOKUP(D67,#REF!,2,0),IF(C67="CDHU",VLOOKUP(D67,#REF!,2,0),IF(C67="FDE",VLOOKUP(D67,'FDE 10-23 '!$A$4:$E$3180,2,0),IF(C67="INFRA",VLOOKUP(D67,#REF!,2,0),""))))))),"")</f>
        <v>ARMADURA CA 50 PARA PAREDE AUTO-PORTANTE</v>
      </c>
      <c r="F67" s="65" t="str">
        <f>VLOOKUP(D67,'FDE 10-23 '!$A$4:$E$3180,3,0)</f>
        <v>KG</v>
      </c>
      <c r="G67" s="66">
        <v>446</v>
      </c>
      <c r="H67" s="67">
        <f>VLOOKUP(D67,'FDE 10-23 '!$A$4:$E$3180,5,0)</f>
        <v>12.18</v>
      </c>
      <c r="I67" s="68">
        <f t="shared" si="6"/>
        <v>0.23</v>
      </c>
      <c r="J67" s="67">
        <f t="shared" si="7"/>
        <v>14.98</v>
      </c>
      <c r="K67" s="71">
        <f t="shared" si="8"/>
        <v>6681.08</v>
      </c>
      <c r="L67" s="51"/>
      <c r="M67" s="52"/>
    </row>
    <row r="68" spans="2:13" s="25" customFormat="1" ht="30" customHeight="1" outlineLevel="1">
      <c r="B68" s="61" t="s">
        <v>146</v>
      </c>
      <c r="C68" s="62" t="s">
        <v>26</v>
      </c>
      <c r="D68" s="63" t="s">
        <v>147</v>
      </c>
      <c r="E68" s="64" t="str">
        <f>IFERROR(UPPER(IF(C68="CPU",VLOOKUP(D68,#REF!,2,0),IF(C68="SINAPI",VLOOKUP(D68,#REF!,2,0),IF(C68="EDIF",VLOOKUP(D68,#REF!,2,0),IF(C68="CDHU",VLOOKUP(D68,#REF!,2,0),IF(C68="FDE",VLOOKUP(D68,'FDE 10-23 '!$A$4:$E$3180,2,0),IF(C68="INFRA",VLOOKUP(D68,#REF!,2,0),""))))))),"")</f>
        <v>ALVENARIA AUTO-PORTANTE: BLOCO CONCRETO ESTRUTURAL DE 19X19X19CM CLASSE B</v>
      </c>
      <c r="F68" s="65" t="str">
        <f>VLOOKUP(D68,'FDE 10-23 '!$A$4:$E$3180,3,0)</f>
        <v>M2</v>
      </c>
      <c r="G68" s="66">
        <v>16.8</v>
      </c>
      <c r="H68" s="67">
        <f>VLOOKUP(D68,'FDE 10-23 '!$A$4:$E$3180,5,0)</f>
        <v>140.87</v>
      </c>
      <c r="I68" s="68">
        <f t="shared" si="6"/>
        <v>0.23</v>
      </c>
      <c r="J68" s="67">
        <f t="shared" si="7"/>
        <v>173.27</v>
      </c>
      <c r="K68" s="71">
        <f t="shared" si="8"/>
        <v>2910.9360000000001</v>
      </c>
      <c r="L68" s="51"/>
      <c r="M68" s="52"/>
    </row>
    <row r="69" spans="2:13" s="25" customFormat="1" ht="30" customHeight="1" outlineLevel="1">
      <c r="B69" s="61" t="s">
        <v>148</v>
      </c>
      <c r="C69" s="62" t="s">
        <v>26</v>
      </c>
      <c r="D69" s="63" t="s">
        <v>149</v>
      </c>
      <c r="E69" s="64" t="str">
        <f>IFERROR(UPPER(IF(C69="CPU",VLOOKUP(D69,#REF!,2,0),IF(C69="SINAPI",VLOOKUP(D69,#REF!,2,0),IF(C69="EDIF",VLOOKUP(D69,#REF!,2,0),IF(C69="CDHU",VLOOKUP(D69,#REF!,2,0),IF(C69="FDE",VLOOKUP(D69,'FDE 10-23 '!$A$4:$E$3180,2,0),IF(C69="INFRA",VLOOKUP(D69,#REF!,2,0),""))))))),"")</f>
        <v>ALVENARIA DE CONCRETO CELULAR - BLOCOS E=10CM</v>
      </c>
      <c r="F69" s="65" t="str">
        <f>VLOOKUP(D69,'FDE 10-23 '!$A$4:$E$3180,3,0)</f>
        <v>M2</v>
      </c>
      <c r="G69" s="66">
        <v>10.73</v>
      </c>
      <c r="H69" s="67">
        <f>VLOOKUP(D69,'FDE 10-23 '!$A$4:$E$3180,5,0)</f>
        <v>134.36000000000001</v>
      </c>
      <c r="I69" s="68">
        <f t="shared" si="6"/>
        <v>0.23</v>
      </c>
      <c r="J69" s="67">
        <f t="shared" si="7"/>
        <v>165.26</v>
      </c>
      <c r="K69" s="71">
        <f t="shared" si="8"/>
        <v>1773.2398000000001</v>
      </c>
      <c r="L69" s="51"/>
      <c r="M69" s="52"/>
    </row>
    <row r="70" spans="2:13" s="25" customFormat="1" ht="30" customHeight="1" outlineLevel="1">
      <c r="B70" s="53" t="s">
        <v>150</v>
      </c>
      <c r="C70" s="54"/>
      <c r="D70" s="54" t="s">
        <v>151</v>
      </c>
      <c r="E70" s="55" t="s">
        <v>152</v>
      </c>
      <c r="F70" s="56" t="str">
        <f>IFERROR(UPPER(IF(C70="CPU",VLOOKUP(D70,#REF!,3,0),IF(C70="SINAPI",VLOOKUP(D70,#REF!,3,0),IF(C70="EDIF",VLOOKUP(D70,#REF!,3,0),IF(C70="CDHU",VLOOKUP(D70,#REF!,3,0),IF(C70="FDE",VLOOKUP(D70,#REF!,3,0),IF(C70="INFRA",VLOOKUP(D70,#REF!,3,0),""))))))),"")</f>
        <v/>
      </c>
      <c r="G70" s="57"/>
      <c r="H7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70" s="59"/>
      <c r="J70" s="59"/>
      <c r="K70" s="82">
        <f>SUBTOTAL(9,K71:K75)</f>
        <v>41400.315000000002</v>
      </c>
      <c r="L70" s="51"/>
      <c r="M70" s="52"/>
    </row>
    <row r="71" spans="2:13" s="25" customFormat="1" ht="30" customHeight="1" outlineLevel="1">
      <c r="B71" s="61" t="s">
        <v>153</v>
      </c>
      <c r="C71" s="62" t="s">
        <v>26</v>
      </c>
      <c r="D71" s="63" t="s">
        <v>154</v>
      </c>
      <c r="E71" s="64" t="str">
        <f>IFERROR(UPPER(IF(C71="CPU",VLOOKUP(D71,#REF!,2,0),IF(C71="SINAPI",VLOOKUP(D71,#REF!,2,0),IF(C71="EDIF",VLOOKUP(D71,#REF!,2,0),IF(C71="CDHU",VLOOKUP(D71,#REF!,2,0),IF(C71="FDE",VLOOKUP(D71,'FDE 10-23 '!$A$4:$E$3180,2,0),IF(C71="INFRA",VLOOKUP(D71,#REF!,2,0),""))))))),"")</f>
        <v>DV-01 DIVISORIA DE GRANILITE - LATERAL ABERTA</v>
      </c>
      <c r="F71" s="65" t="str">
        <f>VLOOKUP(D71,'FDE 10-23 '!$A$4:$E$3180,3,0)</f>
        <v>M</v>
      </c>
      <c r="G71" s="66">
        <v>15.2</v>
      </c>
      <c r="H71" s="67">
        <f>VLOOKUP(D71,'FDE 10-23 '!$A$4:$E$3180,5,0)</f>
        <v>527.53</v>
      </c>
      <c r="I71" s="68">
        <f>$L$10</f>
        <v>0.23</v>
      </c>
      <c r="J71" s="67">
        <f>ROUND(H71*(1+I71),2)</f>
        <v>648.86</v>
      </c>
      <c r="K71" s="71">
        <f>SUM(G71*J71)</f>
        <v>9862.6720000000005</v>
      </c>
      <c r="L71" s="51"/>
      <c r="M71" s="52"/>
    </row>
    <row r="72" spans="2:13" s="25" customFormat="1" ht="30" customHeight="1" outlineLevel="1">
      <c r="B72" s="61" t="s">
        <v>155</v>
      </c>
      <c r="C72" s="62" t="s">
        <v>26</v>
      </c>
      <c r="D72" s="63" t="s">
        <v>156</v>
      </c>
      <c r="E72" s="64" t="str">
        <f>IFERROR(UPPER(IF(C72="CPU",VLOOKUP(D72,#REF!,2,0),IF(C72="SINAPI",VLOOKUP(D72,#REF!,2,0),IF(C72="EDIF",VLOOKUP(D72,#REF!,2,0),IF(C72="CDHU",VLOOKUP(D72,#REF!,2,0),IF(C72="FDE",VLOOKUP(D72,'FDE 10-23 '!$A$4:$E$3180,2,0),IF(C72="INFRA",VLOOKUP(D72,#REF!,2,0),""))))))),"")</f>
        <v>DV-02 DIVISORIA DE GRANILITE - LATERAL FECHADA</v>
      </c>
      <c r="F72" s="65" t="str">
        <f>VLOOKUP(D72,'FDE 10-23 '!$A$4:$E$3180,3,0)</f>
        <v>M</v>
      </c>
      <c r="G72" s="66">
        <v>13.8</v>
      </c>
      <c r="H72" s="67">
        <f>VLOOKUP(D72,'FDE 10-23 '!$A$4:$E$3180,5,0)</f>
        <v>527.53</v>
      </c>
      <c r="I72" s="68">
        <f>$L$10</f>
        <v>0.23</v>
      </c>
      <c r="J72" s="67">
        <f>ROUND(H72*(1+I72),2)</f>
        <v>648.86</v>
      </c>
      <c r="K72" s="71">
        <f>SUM(G72*J72)</f>
        <v>8954.268</v>
      </c>
      <c r="L72" s="51"/>
      <c r="M72" s="52"/>
    </row>
    <row r="73" spans="2:13" s="25" customFormat="1" ht="30" customHeight="1" outlineLevel="1">
      <c r="B73" s="61" t="s">
        <v>157</v>
      </c>
      <c r="C73" s="62" t="s">
        <v>26</v>
      </c>
      <c r="D73" s="63" t="s">
        <v>158</v>
      </c>
      <c r="E73" s="64" t="str">
        <f>IFERROR(UPPER(IF(C73="CPU",VLOOKUP(D73,#REF!,2,0),IF(C73="SINAPI",VLOOKUP(D73,#REF!,2,0),IF(C73="EDIF",VLOOKUP(D73,#REF!,2,0),IF(C73="CDHU",VLOOKUP(D73,#REF!,2,0),IF(C73="FDE",VLOOKUP(D73,'FDE 10-23 '!$A$4:$E$3180,2,0),IF(C73="INFRA",VLOOKUP(D73,#REF!,2,0),""))))))),"")</f>
        <v>DV-03 DIVISORIA DE GRANILITE - FRONTAL</v>
      </c>
      <c r="F73" s="65" t="str">
        <f>VLOOKUP(D73,'FDE 10-23 '!$A$4:$E$3180,3,0)</f>
        <v>M</v>
      </c>
      <c r="G73" s="66">
        <v>6.9</v>
      </c>
      <c r="H73" s="67">
        <f>VLOOKUP(D73,'FDE 10-23 '!$A$4:$E$3180,5,0)</f>
        <v>1826.33</v>
      </c>
      <c r="I73" s="68">
        <f>$L$10</f>
        <v>0.23</v>
      </c>
      <c r="J73" s="67">
        <f>ROUND(H73*(1+I73),2)</f>
        <v>2246.39</v>
      </c>
      <c r="K73" s="71">
        <f>SUM(G73*J73)</f>
        <v>15500.091</v>
      </c>
      <c r="L73" s="51"/>
      <c r="M73" s="52"/>
    </row>
    <row r="74" spans="2:13" s="25" customFormat="1" ht="30" customHeight="1" outlineLevel="1">
      <c r="B74" s="61" t="s">
        <v>159</v>
      </c>
      <c r="C74" s="62" t="s">
        <v>26</v>
      </c>
      <c r="D74" s="63" t="s">
        <v>160</v>
      </c>
      <c r="E74" s="64" t="str">
        <f>IFERROR(UPPER(IF(C74="CPU",VLOOKUP(D74,#REF!,2,0),IF(C74="SINAPI",VLOOKUP(D74,#REF!,2,0),IF(C74="EDIF",VLOOKUP(D74,#REF!,2,0),IF(C74="CDHU",VLOOKUP(D74,#REF!,2,0),IF(C74="FDE",VLOOKUP(D74,'FDE 10-23 '!$A$4:$E$3180,2,0),IF(C74="INFRA",VLOOKUP(D74,#REF!,2,0),""))))))),"")</f>
        <v>DV-04 DIVISÓRIA DE GRANILITE - ANTEPARO</v>
      </c>
      <c r="F74" s="65" t="str">
        <f>VLOOKUP(D74,'FDE 10-23 '!$A$4:$E$3180,3,0)</f>
        <v>M</v>
      </c>
      <c r="G74" s="66">
        <v>1.6</v>
      </c>
      <c r="H74" s="67">
        <f>VLOOKUP(D74,'FDE 10-23 '!$A$4:$E$3180,5,0)</f>
        <v>552.02</v>
      </c>
      <c r="I74" s="68">
        <f>$L$10</f>
        <v>0.23</v>
      </c>
      <c r="J74" s="67">
        <f>ROUND(H74*(1+I74),2)</f>
        <v>678.98</v>
      </c>
      <c r="K74" s="71">
        <f>SUM(G74*J74)</f>
        <v>1086.3680000000002</v>
      </c>
      <c r="L74" s="51"/>
      <c r="M74" s="52"/>
    </row>
    <row r="75" spans="2:13" s="25" customFormat="1" ht="30" customHeight="1" outlineLevel="1">
      <c r="B75" s="61" t="s">
        <v>161</v>
      </c>
      <c r="C75" s="62" t="s">
        <v>26</v>
      </c>
      <c r="D75" s="63" t="s">
        <v>162</v>
      </c>
      <c r="E75" s="64" t="str">
        <f>IFERROR(UPPER(IF(C75="CPU",VLOOKUP(D75,#REF!,2,0),IF(C75="SINAPI",VLOOKUP(D75,#REF!,2,0),IF(C75="EDIF",VLOOKUP(D75,#REF!,2,0),IF(C75="CDHU",VLOOKUP(D75,#REF!,2,0),IF(C75="FDE",VLOOKUP(D75,'FDE 10-23 '!$A$4:$E$3180,2,0),IF(C75="INFRA",VLOOKUP(D75,#REF!,2,0),""))))))),"")</f>
        <v>DIVISORIA CHAPA FIBRA MAD PRENS BP/PAINEL CEGO 1,20X2,11M E=35MM</v>
      </c>
      <c r="F75" s="65" t="str">
        <f>VLOOKUP(D75,'FDE 10-23 '!$A$4:$E$3180,3,0)</f>
        <v>M2</v>
      </c>
      <c r="G75" s="66">
        <v>32.4</v>
      </c>
      <c r="H75" s="67">
        <f>VLOOKUP(D75,'FDE 10-23 '!$A$4:$E$3180,5,0)</f>
        <v>150.47999999999999</v>
      </c>
      <c r="I75" s="68">
        <f>$L$10</f>
        <v>0.23</v>
      </c>
      <c r="J75" s="67">
        <f>ROUND(H75*(1+I75),2)</f>
        <v>185.09</v>
      </c>
      <c r="K75" s="71">
        <f>SUM(G75*J75)</f>
        <v>5996.9160000000002</v>
      </c>
      <c r="L75" s="51"/>
      <c r="M75" s="52"/>
    </row>
    <row r="76" spans="2:13" s="25" customFormat="1" ht="30" customHeight="1">
      <c r="B76" s="43">
        <v>5</v>
      </c>
      <c r="C76" s="44"/>
      <c r="D76" s="44" t="s">
        <v>163</v>
      </c>
      <c r="E76" s="45" t="s">
        <v>164</v>
      </c>
      <c r="F76" s="46" t="str">
        <f>IFERROR(UPPER(IF(C76="CPU",VLOOKUP(D76,#REF!,3,0),IF(C76="SINAPI",VLOOKUP(D76,#REF!,3,0),IF(C76="EDIF",VLOOKUP(D76,#REF!,3,0),IF(C76="CDHU",VLOOKUP(D76,#REF!,3,0),IF(C76="FDE",VLOOKUP(D76,#REF!,3,0),IF(C76="INFRA",VLOOKUP(D76,#REF!,3,0),""))))))),"")</f>
        <v/>
      </c>
      <c r="G76" s="47"/>
      <c r="H76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76" s="49"/>
      <c r="J76" s="49"/>
      <c r="K76" s="81">
        <f>SUBTOTAL(9,K77:K105)</f>
        <v>237171.212</v>
      </c>
      <c r="L76" s="51"/>
      <c r="M76" s="52"/>
    </row>
    <row r="77" spans="2:13" s="25" customFormat="1" ht="30" customHeight="1" outlineLevel="1">
      <c r="B77" s="53" t="s">
        <v>165</v>
      </c>
      <c r="C77" s="54"/>
      <c r="D77" s="54" t="s">
        <v>166</v>
      </c>
      <c r="E77" s="55" t="s">
        <v>167</v>
      </c>
      <c r="F77" s="56" t="str">
        <f>IFERROR(UPPER(IF(C77="CPU",VLOOKUP(D77,#REF!,3,0),IF(C77="SINAPI",VLOOKUP(D77,#REF!,3,0),IF(C77="EDIF",VLOOKUP(D77,#REF!,3,0),IF(C77="CDHU",VLOOKUP(D77,#REF!,3,0),IF(C77="FDE",VLOOKUP(D77,#REF!,3,0),IF(C77="INFRA",VLOOKUP(D77,#REF!,3,0),""))))))),"")</f>
        <v/>
      </c>
      <c r="G77" s="57"/>
      <c r="H7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77" s="59"/>
      <c r="J77" s="59"/>
      <c r="K77" s="82">
        <f>SUBTOTAL(9,K78:K84)</f>
        <v>87826.02</v>
      </c>
      <c r="L77" s="51"/>
      <c r="M77" s="52"/>
    </row>
    <row r="78" spans="2:13" s="25" customFormat="1" ht="30" customHeight="1" outlineLevel="1">
      <c r="B78" s="61" t="s">
        <v>168</v>
      </c>
      <c r="C78" s="62" t="s">
        <v>26</v>
      </c>
      <c r="D78" s="63" t="s">
        <v>169</v>
      </c>
      <c r="E78" s="64" t="str">
        <f>IFERROR(UPPER(IF(C78="CPU",VLOOKUP(D78,#REF!,2,0),IF(C78="SINAPI",VLOOKUP(D78,#REF!,2,0),IF(C78="EDIF",VLOOKUP(D78,#REF!,2,0),IF(C78="CDHU",VLOOKUP(D78,#REF!,2,0),IF(C78="FDE",VLOOKUP(D78,'FDE 10-23 '!$A$4:$E$3180,2,0),IF(C78="INFRA",VLOOKUP(D78,#REF!,2,0),""))))))),"")</f>
        <v>PM-67 PORTA DE MADEIRA MACHO/FEMEA P/ PINT. BAT. MET. L=82CM</v>
      </c>
      <c r="F78" s="65" t="str">
        <f>VLOOKUP(D78,'FDE 10-23 '!$A$4:$E$3180,3,0)</f>
        <v>UN</v>
      </c>
      <c r="G78" s="66">
        <v>2</v>
      </c>
      <c r="H78" s="67">
        <f>VLOOKUP(D78,'FDE 10-23 '!$A$4:$E$3180,5,0)</f>
        <v>2435.36</v>
      </c>
      <c r="I78" s="68">
        <f t="shared" ref="I78:I84" si="9">$L$10</f>
        <v>0.23</v>
      </c>
      <c r="J78" s="67">
        <f t="shared" ref="J78:J84" si="10">ROUND(H78*(1+I78),2)</f>
        <v>2995.49</v>
      </c>
      <c r="K78" s="71">
        <f t="shared" ref="K78:K84" si="11">SUM(G78*J78)</f>
        <v>5990.98</v>
      </c>
      <c r="L78" s="51"/>
      <c r="M78" s="52"/>
    </row>
    <row r="79" spans="2:13" s="25" customFormat="1" ht="30" customHeight="1" outlineLevel="1">
      <c r="B79" s="61" t="s">
        <v>170</v>
      </c>
      <c r="C79" s="62" t="s">
        <v>26</v>
      </c>
      <c r="D79" s="63" t="s">
        <v>171</v>
      </c>
      <c r="E79" s="64" t="str">
        <f>IFERROR(UPPER(IF(C79="CPU",VLOOKUP(D79,#REF!,2,0),IF(C79="SINAPI",VLOOKUP(D79,#REF!,2,0),IF(C79="EDIF",VLOOKUP(D79,#REF!,2,0),IF(C79="CDHU",VLOOKUP(D79,#REF!,2,0),IF(C79="FDE",VLOOKUP(D79,'FDE 10-23 '!$A$4:$E$3180,2,0),IF(C79="INFRA",VLOOKUP(D79,#REF!,2,0),""))))))),"")</f>
        <v>PM-68 PORTA DE MADEIRA MACHO/FEMEA P/ PINT. BAT. MET. L=92CM</v>
      </c>
      <c r="F79" s="65" t="str">
        <f>VLOOKUP(D79,'FDE 10-23 '!$A$4:$E$3180,3,0)</f>
        <v>UN</v>
      </c>
      <c r="G79" s="66">
        <v>14</v>
      </c>
      <c r="H79" s="67">
        <f>VLOOKUP(D79,'FDE 10-23 '!$A$4:$E$3180,5,0)</f>
        <v>2539.69</v>
      </c>
      <c r="I79" s="68">
        <f t="shared" si="9"/>
        <v>0.23</v>
      </c>
      <c r="J79" s="67">
        <f t="shared" si="10"/>
        <v>3123.82</v>
      </c>
      <c r="K79" s="71">
        <f t="shared" si="11"/>
        <v>43733.48</v>
      </c>
      <c r="L79" s="51"/>
      <c r="M79" s="52"/>
    </row>
    <row r="80" spans="2:13" s="25" customFormat="1" ht="30" customHeight="1" outlineLevel="1">
      <c r="B80" s="61" t="s">
        <v>172</v>
      </c>
      <c r="C80" s="62" t="s">
        <v>26</v>
      </c>
      <c r="D80" s="63" t="s">
        <v>173</v>
      </c>
      <c r="E80" s="64" t="str">
        <f>IFERROR(UPPER(IF(C80="CPU",VLOOKUP(D80,#REF!,2,0),IF(C80="SINAPI",VLOOKUP(D80,#REF!,2,0),IF(C80="EDIF",VLOOKUP(D80,#REF!,2,0),IF(C80="CDHU",VLOOKUP(D80,#REF!,2,0),IF(C80="FDE",VLOOKUP(D80,'FDE 10-23 '!$A$4:$E$3180,2,0),IF(C80="INFRA",VLOOKUP(D80,#REF!,2,0),""))))))),"")</f>
        <v>PORTAS PARA DIVISORIAS CHAPA FIBRA MAD PRENS BP COM FERRAGENS</v>
      </c>
      <c r="F80" s="65" t="str">
        <f>VLOOKUP(D80,'FDE 10-23 '!$A$4:$E$3180,3,0)</f>
        <v>UN</v>
      </c>
      <c r="G80" s="66">
        <v>5</v>
      </c>
      <c r="H80" s="67">
        <f>VLOOKUP(D80,'FDE 10-23 '!$A$4:$E$3180,5,0)</f>
        <v>540.78</v>
      </c>
      <c r="I80" s="68">
        <f t="shared" si="9"/>
        <v>0.23</v>
      </c>
      <c r="J80" s="67">
        <f t="shared" si="10"/>
        <v>665.16</v>
      </c>
      <c r="K80" s="71">
        <f t="shared" si="11"/>
        <v>3325.7999999999997</v>
      </c>
      <c r="L80" s="51"/>
      <c r="M80" s="52"/>
    </row>
    <row r="81" spans="2:13" s="25" customFormat="1" ht="30" customHeight="1" outlineLevel="1">
      <c r="B81" s="61" t="s">
        <v>174</v>
      </c>
      <c r="C81" s="62" t="s">
        <v>26</v>
      </c>
      <c r="D81" s="63" t="s">
        <v>175</v>
      </c>
      <c r="E81" s="64" t="str">
        <f>IFERROR(UPPER(IF(C81="CPU",VLOOKUP(D81,#REF!,2,0),IF(C81="SINAPI",VLOOKUP(D81,#REF!,2,0),IF(C81="EDIF",VLOOKUP(D81,#REF!,2,0),IF(C81="CDHU",VLOOKUP(D81,#REF!,2,0),IF(C81="FDE",VLOOKUP(D81,'FDE 10-23 '!$A$4:$E$3180,2,0),IF(C81="INFRA",VLOOKUP(D81,#REF!,2,0),""))))))),"")</f>
        <v>PM-74 PORTA SARRAFEADO MACIÇO P/BOXES L=62CM-COMPLETA</v>
      </c>
      <c r="F81" s="65" t="str">
        <f>VLOOKUP(D81,'FDE 10-23 '!$A$4:$E$3180,3,0)</f>
        <v>UN</v>
      </c>
      <c r="G81" s="66">
        <v>23</v>
      </c>
      <c r="H81" s="67">
        <f>VLOOKUP(D81,'FDE 10-23 '!$A$4:$E$3180,5,0)</f>
        <v>603.87</v>
      </c>
      <c r="I81" s="68">
        <f t="shared" si="9"/>
        <v>0.23</v>
      </c>
      <c r="J81" s="67">
        <f t="shared" si="10"/>
        <v>742.76</v>
      </c>
      <c r="K81" s="71">
        <f t="shared" si="11"/>
        <v>17083.48</v>
      </c>
      <c r="L81" s="51"/>
      <c r="M81" s="52"/>
    </row>
    <row r="82" spans="2:13" s="25" customFormat="1" ht="30" customHeight="1" outlineLevel="1">
      <c r="B82" s="61" t="s">
        <v>176</v>
      </c>
      <c r="C82" s="62" t="s">
        <v>26</v>
      </c>
      <c r="D82" s="63" t="s">
        <v>177</v>
      </c>
      <c r="E82" s="64" t="str">
        <f>IFERROR(UPPER(IF(C82="CPU",VLOOKUP(D82,#REF!,2,0),IF(C82="SINAPI",VLOOKUP(D82,#REF!,2,0),IF(C82="EDIF",VLOOKUP(D82,#REF!,2,0),IF(C82="CDHU",VLOOKUP(D82,#REF!,2,0),IF(C82="FDE",VLOOKUP(D82,'FDE 10-23 '!$A$4:$E$3180,2,0),IF(C82="INFRA",VLOOKUP(D82,#REF!,2,0),""))))))),"")</f>
        <v>PM-72 PORTA DE MADEIRA SARRAFEADA P/ PINT. BAT. MET. L=92CM</v>
      </c>
      <c r="F82" s="65" t="str">
        <f>VLOOKUP(D82,'FDE 10-23 '!$A$4:$E$3180,3,0)</f>
        <v>UN</v>
      </c>
      <c r="G82" s="66">
        <v>2</v>
      </c>
      <c r="H82" s="67">
        <f>VLOOKUP(D82,'FDE 10-23 '!$A$4:$E$3180,5,0)</f>
        <v>1935.33</v>
      </c>
      <c r="I82" s="68">
        <f t="shared" si="9"/>
        <v>0.23</v>
      </c>
      <c r="J82" s="67">
        <f t="shared" si="10"/>
        <v>2380.46</v>
      </c>
      <c r="K82" s="71">
        <f t="shared" si="11"/>
        <v>4760.92</v>
      </c>
      <c r="L82" s="51"/>
      <c r="M82" s="52"/>
    </row>
    <row r="83" spans="2:13" s="25" customFormat="1" ht="30" customHeight="1" outlineLevel="1">
      <c r="B83" s="61" t="s">
        <v>178</v>
      </c>
      <c r="C83" s="62" t="s">
        <v>26</v>
      </c>
      <c r="D83" s="63" t="s">
        <v>179</v>
      </c>
      <c r="E83" s="64" t="str">
        <f>IFERROR(UPPER(IF(C83="CPU",VLOOKUP(D83,#REF!,2,0),IF(C83="SINAPI",VLOOKUP(D83,#REF!,2,0),IF(C83="EDIF",VLOOKUP(D83,#REF!,2,0),IF(C83="CDHU",VLOOKUP(D83,#REF!,2,0),IF(C83="FDE",VLOOKUP(D83,'FDE 10-23 '!$A$4:$E$3180,2,0),IF(C83="INFRA",VLOOKUP(D83,#REF!,2,0),""))))))),"")</f>
        <v>PM-75 PORTA SARRAFEADA MACICA SANIT. ACESSIVEL BAT. MET.</v>
      </c>
      <c r="F83" s="65" t="str">
        <f>VLOOKUP(D83,'FDE 10-23 '!$A$4:$E$3180,3,0)</f>
        <v>UN</v>
      </c>
      <c r="G83" s="66">
        <v>2</v>
      </c>
      <c r="H83" s="67">
        <f>VLOOKUP(D83,'FDE 10-23 '!$A$4:$E$3180,5,0)</f>
        <v>2153.5</v>
      </c>
      <c r="I83" s="68">
        <f t="shared" si="9"/>
        <v>0.23</v>
      </c>
      <c r="J83" s="67">
        <f t="shared" si="10"/>
        <v>2648.81</v>
      </c>
      <c r="K83" s="71">
        <f t="shared" si="11"/>
        <v>5297.62</v>
      </c>
      <c r="L83" s="51"/>
      <c r="M83" s="52"/>
    </row>
    <row r="84" spans="2:13" s="25" customFormat="1" ht="30" customHeight="1" outlineLevel="1">
      <c r="B84" s="61" t="s">
        <v>180</v>
      </c>
      <c r="C84" s="62" t="s">
        <v>26</v>
      </c>
      <c r="D84" s="63" t="s">
        <v>181</v>
      </c>
      <c r="E84" s="64" t="str">
        <f>IFERROR(UPPER(IF(C84="CPU",VLOOKUP(D84,#REF!,2,0),IF(C84="SINAPI",VLOOKUP(D84,#REF!,2,0),IF(C84="EDIF",VLOOKUP(D84,#REF!,2,0),IF(C84="CDHU",VLOOKUP(D84,#REF!,2,0),IF(C84="FDE",VLOOKUP(D84,'FDE 10-23 '!$A$4:$E$3180,2,0),IF(C84="INFRA",VLOOKUP(D84,#REF!,2,0),""))))))),"")</f>
        <v>PM-83 PORTA DE CORRER ACESSIVEL SARRAFEADA MACIÇA G1-C1 P/PINTURA L=101CM</v>
      </c>
      <c r="F84" s="65" t="str">
        <f>VLOOKUP(D84,'FDE 10-23 '!$A$4:$E$3180,3,0)</f>
        <v>UN</v>
      </c>
      <c r="G84" s="66">
        <v>2</v>
      </c>
      <c r="H84" s="67">
        <f>VLOOKUP(D84,'FDE 10-23 '!$A$4:$E$3180,5,0)</f>
        <v>3103.15</v>
      </c>
      <c r="I84" s="68">
        <f t="shared" si="9"/>
        <v>0.23</v>
      </c>
      <c r="J84" s="67">
        <f t="shared" si="10"/>
        <v>3816.87</v>
      </c>
      <c r="K84" s="71">
        <f t="shared" si="11"/>
        <v>7633.74</v>
      </c>
      <c r="L84" s="51"/>
      <c r="M84" s="52"/>
    </row>
    <row r="85" spans="2:13" s="25" customFormat="1" ht="30" customHeight="1" outlineLevel="1">
      <c r="B85" s="53" t="s">
        <v>182</v>
      </c>
      <c r="C85" s="54"/>
      <c r="D85" s="54" t="s">
        <v>183</v>
      </c>
      <c r="E85" s="55" t="s">
        <v>184</v>
      </c>
      <c r="F85" s="56" t="str">
        <f>IFERROR(UPPER(IF(C85="CPU",VLOOKUP(D85,#REF!,3,0),IF(C85="SINAPI",VLOOKUP(D85,#REF!,3,0),IF(C85="EDIF",VLOOKUP(D85,#REF!,3,0),IF(C85="CDHU",VLOOKUP(D85,#REF!,3,0),IF(C85="FDE",VLOOKUP(D85,#REF!,3,0),IF(C85="INFRA",VLOOKUP(D85,#REF!,3,0),""))))))),"")</f>
        <v/>
      </c>
      <c r="G85" s="57"/>
      <c r="H8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85" s="59"/>
      <c r="J85" s="59"/>
      <c r="K85" s="82">
        <f>SUBTOTAL(9,K86:K105)</f>
        <v>149345.19200000001</v>
      </c>
      <c r="L85" s="51"/>
      <c r="M85" s="52"/>
    </row>
    <row r="86" spans="2:13" s="25" customFormat="1" ht="30" customHeight="1" outlineLevel="1">
      <c r="B86" s="61" t="s">
        <v>185</v>
      </c>
      <c r="C86" s="62" t="s">
        <v>26</v>
      </c>
      <c r="D86" s="63" t="s">
        <v>186</v>
      </c>
      <c r="E86" s="64" t="str">
        <f>IFERROR(UPPER(IF(C86="CPU",VLOOKUP(D86,#REF!,2,0),IF(C86="SINAPI",VLOOKUP(D86,#REF!,2,0),IF(C86="EDIF",VLOOKUP(D86,#REF!,2,0),IF(C86="CDHU",VLOOKUP(D86,#REF!,2,0),IF(C86="FDE",VLOOKUP(D86,'FDE 10-23 '!$A$4:$E$3180,2,0),IF(C86="INFRA",VLOOKUP(D86,#REF!,2,0),""))))))),"")</f>
        <v>BS-05 BANCADA PARA COZINHA - GRANITO POLIDO 20MM</v>
      </c>
      <c r="F86" s="65" t="str">
        <f>VLOOKUP(D86,'FDE 10-23 '!$A$4:$E$3180,3,0)</f>
        <v>M</v>
      </c>
      <c r="G86" s="66">
        <v>13.2</v>
      </c>
      <c r="H86" s="67">
        <f>VLOOKUP(D86,'FDE 10-23 '!$A$4:$E$3180,5,0)</f>
        <v>430.57</v>
      </c>
      <c r="I86" s="68">
        <f t="shared" ref="I86:I105" si="12">$L$10</f>
        <v>0.23</v>
      </c>
      <c r="J86" s="67">
        <f t="shared" ref="J86:J105" si="13">ROUND(H86*(1+I86),2)</f>
        <v>529.6</v>
      </c>
      <c r="K86" s="71">
        <f t="shared" ref="K86:K105" si="14">SUM(G86*J86)</f>
        <v>6990.72</v>
      </c>
      <c r="L86" s="51"/>
      <c r="M86" s="52"/>
    </row>
    <row r="87" spans="2:13" s="25" customFormat="1" ht="30" customHeight="1" outlineLevel="1">
      <c r="B87" s="61" t="s">
        <v>187</v>
      </c>
      <c r="C87" s="62" t="s">
        <v>26</v>
      </c>
      <c r="D87" s="63" t="s">
        <v>188</v>
      </c>
      <c r="E87" s="64" t="str">
        <f>IFERROR(UPPER(IF(C87="CPU",VLOOKUP(D87,#REF!,2,0),IF(C87="SINAPI",VLOOKUP(D87,#REF!,2,0),IF(C87="EDIF",VLOOKUP(D87,#REF!,2,0),IF(C87="CDHU",VLOOKUP(D87,#REF!,2,0),IF(C87="FDE",VLOOKUP(D87,'FDE 10-23 '!$A$4:$E$3180,2,0),IF(C87="INFRA",VLOOKUP(D87,#REF!,2,0),""))))))),"")</f>
        <v>BE-08 BANCADA ALUNOS / QUIMICA E BIOLOGIA (150CM)</v>
      </c>
      <c r="F87" s="65" t="str">
        <f>VLOOKUP(D87,'FDE 10-23 '!$A$4:$E$3180,3,0)</f>
        <v>UN</v>
      </c>
      <c r="G87" s="66">
        <v>4</v>
      </c>
      <c r="H87" s="67">
        <f>VLOOKUP(D87,'FDE 10-23 '!$A$4:$E$3180,5,0)</f>
        <v>1691.7</v>
      </c>
      <c r="I87" s="68">
        <f t="shared" si="12"/>
        <v>0.23</v>
      </c>
      <c r="J87" s="67">
        <f t="shared" si="13"/>
        <v>2080.79</v>
      </c>
      <c r="K87" s="71">
        <f t="shared" si="14"/>
        <v>8323.16</v>
      </c>
      <c r="L87" s="51"/>
      <c r="M87" s="52"/>
    </row>
    <row r="88" spans="2:13" s="25" customFormat="1" ht="30" customHeight="1" outlineLevel="1">
      <c r="B88" s="61" t="s">
        <v>189</v>
      </c>
      <c r="C88" s="62" t="s">
        <v>26</v>
      </c>
      <c r="D88" s="63" t="s">
        <v>190</v>
      </c>
      <c r="E88" s="64" t="str">
        <f>IFERROR(UPPER(IF(C88="CPU",VLOOKUP(D88,#REF!,2,0),IF(C88="SINAPI",VLOOKUP(D88,#REF!,2,0),IF(C88="EDIF",VLOOKUP(D88,#REF!,2,0),IF(C88="CDHU",VLOOKUP(D88,#REF!,2,0),IF(C88="FDE",VLOOKUP(D88,'FDE 10-23 '!$A$4:$E$3180,2,0),IF(C88="INFRA",VLOOKUP(D88,#REF!,2,0),""))))))),"")</f>
        <v>BE-09 BANCADA ALUNOS / QUIMICA E BIOLOGIA (195CM)</v>
      </c>
      <c r="F88" s="65" t="str">
        <f>VLOOKUP(D88,'FDE 10-23 '!$A$4:$E$3180,3,0)</f>
        <v>UN</v>
      </c>
      <c r="G88" s="66">
        <v>2</v>
      </c>
      <c r="H88" s="67">
        <f>VLOOKUP(D88,'FDE 10-23 '!$A$4:$E$3180,5,0)</f>
        <v>1943.14</v>
      </c>
      <c r="I88" s="68">
        <f t="shared" si="12"/>
        <v>0.23</v>
      </c>
      <c r="J88" s="67">
        <f t="shared" si="13"/>
        <v>2390.06</v>
      </c>
      <c r="K88" s="71">
        <f t="shared" si="14"/>
        <v>4780.12</v>
      </c>
      <c r="L88" s="51"/>
      <c r="M88" s="52"/>
    </row>
    <row r="89" spans="2:13" s="25" customFormat="1" ht="30" customHeight="1" outlineLevel="1">
      <c r="B89" s="61" t="s">
        <v>191</v>
      </c>
      <c r="C89" s="62" t="s">
        <v>26</v>
      </c>
      <c r="D89" s="63" t="s">
        <v>192</v>
      </c>
      <c r="E89" s="64" t="str">
        <f>IFERROR(UPPER(IF(C89="CPU",VLOOKUP(D89,#REF!,2,0),IF(C89="SINAPI",VLOOKUP(D89,#REF!,2,0),IF(C89="EDIF",VLOOKUP(D89,#REF!,2,0),IF(C89="CDHU",VLOOKUP(D89,#REF!,2,0),IF(C89="FDE",VLOOKUP(D89,'FDE 10-23 '!$A$4:$E$3180,2,0),IF(C89="INFRA",VLOOKUP(D89,#REF!,2,0),""))))))),"")</f>
        <v>BE-10 BANCADA ALUNOS / MATEMATICA E FISICA (280CM)</v>
      </c>
      <c r="F89" s="65" t="str">
        <f>VLOOKUP(D89,'FDE 10-23 '!$A$4:$E$3180,3,0)</f>
        <v>UN</v>
      </c>
      <c r="G89" s="66">
        <v>4</v>
      </c>
      <c r="H89" s="67">
        <f>VLOOKUP(D89,'FDE 10-23 '!$A$4:$E$3180,5,0)</f>
        <v>3028.7</v>
      </c>
      <c r="I89" s="68">
        <f t="shared" si="12"/>
        <v>0.23</v>
      </c>
      <c r="J89" s="67">
        <f t="shared" si="13"/>
        <v>3725.3</v>
      </c>
      <c r="K89" s="71">
        <f t="shared" si="14"/>
        <v>14901.2</v>
      </c>
      <c r="L89" s="51"/>
      <c r="M89" s="52"/>
    </row>
    <row r="90" spans="2:13" s="25" customFormat="1" ht="30" customHeight="1" outlineLevel="1">
      <c r="B90" s="61" t="s">
        <v>193</v>
      </c>
      <c r="C90" s="62" t="s">
        <v>26</v>
      </c>
      <c r="D90" s="63" t="s">
        <v>194</v>
      </c>
      <c r="E90" s="64" t="str">
        <f>IFERROR(UPPER(IF(C90="CPU",VLOOKUP(D90,#REF!,2,0),IF(C90="SINAPI",VLOOKUP(D90,#REF!,2,0),IF(C90="EDIF",VLOOKUP(D90,#REF!,2,0),IF(C90="CDHU",VLOOKUP(D90,#REF!,2,0),IF(C90="FDE",VLOOKUP(D90,'FDE 10-23 '!$A$4:$E$3180,2,0),IF(C90="INFRA",VLOOKUP(D90,#REF!,2,0),""))))))),"")</f>
        <v>BE-14 BANCADA APOIO PARA CAPELA</v>
      </c>
      <c r="F90" s="65" t="str">
        <f>VLOOKUP(D90,'FDE 10-23 '!$A$4:$E$3180,3,0)</f>
        <v>UN</v>
      </c>
      <c r="G90" s="66">
        <v>1</v>
      </c>
      <c r="H90" s="67">
        <f>VLOOKUP(D90,'FDE 10-23 '!$A$4:$E$3180,5,0)</f>
        <v>914.29</v>
      </c>
      <c r="I90" s="68">
        <f t="shared" si="12"/>
        <v>0.23</v>
      </c>
      <c r="J90" s="67">
        <f t="shared" si="13"/>
        <v>1124.58</v>
      </c>
      <c r="K90" s="71">
        <f t="shared" si="14"/>
        <v>1124.58</v>
      </c>
      <c r="L90" s="51"/>
      <c r="M90" s="52"/>
    </row>
    <row r="91" spans="2:13" s="25" customFormat="1" ht="30" customHeight="1" outlineLevel="1">
      <c r="B91" s="61" t="s">
        <v>195</v>
      </c>
      <c r="C91" s="62" t="s">
        <v>26</v>
      </c>
      <c r="D91" s="63" t="s">
        <v>196</v>
      </c>
      <c r="E91" s="64" t="str">
        <f>IFERROR(UPPER(IF(C91="CPU",VLOOKUP(D91,#REF!,2,0),IF(C91="SINAPI",VLOOKUP(D91,#REF!,2,0),IF(C91="EDIF",VLOOKUP(D91,#REF!,2,0),IF(C91="CDHU",VLOOKUP(D91,#REF!,2,0),IF(C91="FDE",VLOOKUP(D91,'FDE 10-23 '!$A$4:$E$3180,2,0),IF(C91="INFRA",VLOOKUP(D91,#REF!,2,0),""))))))),"")</f>
        <v>BE-15 BANCADA LABORATORIO COM PRATELEIRA</v>
      </c>
      <c r="F91" s="65" t="str">
        <f>VLOOKUP(D91,'FDE 10-23 '!$A$4:$E$3180,3,0)</f>
        <v>M</v>
      </c>
      <c r="G91" s="66">
        <v>12.7</v>
      </c>
      <c r="H91" s="67">
        <f>VLOOKUP(D91,'FDE 10-23 '!$A$4:$E$3180,5,0)</f>
        <v>1526.22</v>
      </c>
      <c r="I91" s="68">
        <f t="shared" si="12"/>
        <v>0.23</v>
      </c>
      <c r="J91" s="67">
        <f t="shared" si="13"/>
        <v>1877.25</v>
      </c>
      <c r="K91" s="71">
        <f t="shared" si="14"/>
        <v>23841.074999999997</v>
      </c>
      <c r="L91" s="51"/>
      <c r="M91" s="52"/>
    </row>
    <row r="92" spans="2:13" s="25" customFormat="1" ht="30" customHeight="1" outlineLevel="1">
      <c r="B92" s="61" t="s">
        <v>197</v>
      </c>
      <c r="C92" s="62" t="s">
        <v>26</v>
      </c>
      <c r="D92" s="63" t="s">
        <v>198</v>
      </c>
      <c r="E92" s="64" t="str">
        <f>IFERROR(UPPER(IF(C92="CPU",VLOOKUP(D92,#REF!,2,0),IF(C92="SINAPI",VLOOKUP(D92,#REF!,2,0),IF(C92="EDIF",VLOOKUP(D92,#REF!,2,0),IF(C92="CDHU",VLOOKUP(D92,#REF!,2,0),IF(C92="FDE",VLOOKUP(D92,'FDE 10-23 '!$A$4:$E$3180,2,0),IF(C92="INFRA",VLOOKUP(D92,#REF!,2,0),""))))))),"")</f>
        <v>BE-16 BANCADA LABORATORIO 2 CUBAS 50X40X25CM (L=180CM)</v>
      </c>
      <c r="F92" s="65" t="str">
        <f>VLOOKUP(D92,'FDE 10-23 '!$A$4:$E$3180,3,0)</f>
        <v>UN</v>
      </c>
      <c r="G92" s="66">
        <v>1</v>
      </c>
      <c r="H92" s="67">
        <f>VLOOKUP(D92,'FDE 10-23 '!$A$4:$E$3180,5,0)</f>
        <v>4269.84</v>
      </c>
      <c r="I92" s="68">
        <f t="shared" si="12"/>
        <v>0.23</v>
      </c>
      <c r="J92" s="67">
        <f t="shared" si="13"/>
        <v>5251.9</v>
      </c>
      <c r="K92" s="71">
        <f t="shared" si="14"/>
        <v>5251.9</v>
      </c>
      <c r="L92" s="51"/>
      <c r="M92" s="52"/>
    </row>
    <row r="93" spans="2:13" s="25" customFormat="1" ht="30" customHeight="1" outlineLevel="1">
      <c r="B93" s="61" t="s">
        <v>199</v>
      </c>
      <c r="C93" s="62" t="s">
        <v>26</v>
      </c>
      <c r="D93" s="63" t="s">
        <v>200</v>
      </c>
      <c r="E93" s="64" t="str">
        <f>IFERROR(UPPER(IF(C93="CPU",VLOOKUP(D93,#REF!,2,0),IF(C93="SINAPI",VLOOKUP(D93,#REF!,2,0),IF(C93="EDIF",VLOOKUP(D93,#REF!,2,0),IF(C93="CDHU",VLOOKUP(D93,#REF!,2,0),IF(C93="FDE",VLOOKUP(D93,'FDE 10-23 '!$A$4:$E$3180,2,0),IF(C93="INFRA",VLOOKUP(D93,#REF!,2,0),""))))))),"")</f>
        <v>PR-08 PRATELEIRA DE GRANITO</v>
      </c>
      <c r="F93" s="65" t="str">
        <f>VLOOKUP(D93,'FDE 10-23 '!$A$4:$E$3180,3,0)</f>
        <v>M</v>
      </c>
      <c r="G93" s="66">
        <v>23.9</v>
      </c>
      <c r="H93" s="67">
        <f>VLOOKUP(D93,'FDE 10-23 '!$A$4:$E$3180,5,0)</f>
        <v>210.23</v>
      </c>
      <c r="I93" s="68">
        <f t="shared" si="12"/>
        <v>0.23</v>
      </c>
      <c r="J93" s="67">
        <f t="shared" si="13"/>
        <v>258.58</v>
      </c>
      <c r="K93" s="71">
        <f t="shared" si="14"/>
        <v>6180.061999999999</v>
      </c>
      <c r="L93" s="51"/>
      <c r="M93" s="52"/>
    </row>
    <row r="94" spans="2:13" s="25" customFormat="1" ht="30" customHeight="1" outlineLevel="1">
      <c r="B94" s="61" t="s">
        <v>201</v>
      </c>
      <c r="C94" s="62" t="s">
        <v>26</v>
      </c>
      <c r="D94" s="63" t="s">
        <v>202</v>
      </c>
      <c r="E94" s="64" t="str">
        <f>IFERROR(UPPER(IF(C94="CPU",VLOOKUP(D94,#REF!,2,0),IF(C94="SINAPI",VLOOKUP(D94,#REF!,2,0),IF(C94="EDIF",VLOOKUP(D94,#REF!,2,0),IF(C94="CDHU",VLOOKUP(D94,#REF!,2,0),IF(C94="FDE",VLOOKUP(D94,'FDE 10-23 '!$A$4:$E$3180,2,0),IF(C94="INFRA",VLOOKUP(D94,#REF!,2,0),""))))))),"")</f>
        <v>PR-03 PRATELEIRA DE GRANILITE - L=30CM</v>
      </c>
      <c r="F94" s="65" t="str">
        <f>VLOOKUP(D94,'FDE 10-23 '!$A$4:$E$3180,3,0)</f>
        <v>M</v>
      </c>
      <c r="G94" s="66">
        <v>4.3</v>
      </c>
      <c r="H94" s="67">
        <f>VLOOKUP(D94,'FDE 10-23 '!$A$4:$E$3180,5,0)</f>
        <v>980.64</v>
      </c>
      <c r="I94" s="68">
        <f t="shared" si="12"/>
        <v>0.23</v>
      </c>
      <c r="J94" s="67">
        <f t="shared" si="13"/>
        <v>1206.19</v>
      </c>
      <c r="K94" s="71">
        <f t="shared" si="14"/>
        <v>5186.6170000000002</v>
      </c>
      <c r="L94" s="51"/>
      <c r="M94" s="52"/>
    </row>
    <row r="95" spans="2:13" s="25" customFormat="1" ht="30" customHeight="1" outlineLevel="1">
      <c r="B95" s="61" t="s">
        <v>203</v>
      </c>
      <c r="C95" s="62" t="s">
        <v>26</v>
      </c>
      <c r="D95" s="63" t="s">
        <v>204</v>
      </c>
      <c r="E95" s="64" t="str">
        <f>IFERROR(UPPER(IF(C95="CPU",VLOOKUP(D95,#REF!,2,0),IF(C95="SINAPI",VLOOKUP(D95,#REF!,2,0),IF(C95="EDIF",VLOOKUP(D95,#REF!,2,0),IF(C95="CDHU",VLOOKUP(D95,#REF!,2,0),IF(C95="FDE",VLOOKUP(D95,'FDE 10-23 '!$A$4:$E$3180,2,0),IF(C95="INFRA",VLOOKUP(D95,#REF!,2,0),""))))))),"")</f>
        <v>BE-18 BANCADA LABORATORIO 1 CUBA 60X50X30CM (L=180CM)</v>
      </c>
      <c r="F95" s="65" t="str">
        <f>VLOOKUP(D95,'FDE 10-23 '!$A$4:$E$3180,3,0)</f>
        <v>UN</v>
      </c>
      <c r="G95" s="66">
        <v>1</v>
      </c>
      <c r="H95" s="67">
        <f>VLOOKUP(D95,'FDE 10-23 '!$A$4:$E$3180,5,0)</f>
        <v>3494.64</v>
      </c>
      <c r="I95" s="68">
        <f t="shared" si="12"/>
        <v>0.23</v>
      </c>
      <c r="J95" s="67">
        <f t="shared" si="13"/>
        <v>4298.41</v>
      </c>
      <c r="K95" s="71">
        <f t="shared" si="14"/>
        <v>4298.41</v>
      </c>
      <c r="L95" s="51"/>
      <c r="M95" s="52"/>
    </row>
    <row r="96" spans="2:13" s="25" customFormat="1" ht="30" customHeight="1" outlineLevel="1">
      <c r="B96" s="61" t="s">
        <v>205</v>
      </c>
      <c r="C96" s="62" t="s">
        <v>26</v>
      </c>
      <c r="D96" s="63" t="s">
        <v>206</v>
      </c>
      <c r="E96" s="64" t="str">
        <f>IFERROR(UPPER(IF(C96="CPU",VLOOKUP(D96,#REF!,2,0),IF(C96="SINAPI",VLOOKUP(D96,#REF!,2,0),IF(C96="EDIF",VLOOKUP(D96,#REF!,2,0),IF(C96="CDHU",VLOOKUP(D96,#REF!,2,0),IF(C96="FDE",VLOOKUP(D96,'FDE 10-23 '!$A$4:$E$3180,2,0),IF(C96="INFRA",VLOOKUP(D96,#REF!,2,0),""))))))),"")</f>
        <v>BE-19 BANCADA LABORATORIO SIMPLES</v>
      </c>
      <c r="F96" s="65" t="str">
        <f>VLOOKUP(D96,'FDE 10-23 '!$A$4:$E$3180,3,0)</f>
        <v>M</v>
      </c>
      <c r="G96" s="66">
        <v>6.3</v>
      </c>
      <c r="H96" s="67">
        <f>VLOOKUP(D96,'FDE 10-23 '!$A$4:$E$3180,5,0)</f>
        <v>734.43</v>
      </c>
      <c r="I96" s="68">
        <f t="shared" si="12"/>
        <v>0.23</v>
      </c>
      <c r="J96" s="67">
        <f t="shared" si="13"/>
        <v>903.35</v>
      </c>
      <c r="K96" s="71">
        <f t="shared" si="14"/>
        <v>5691.1049999999996</v>
      </c>
      <c r="L96" s="51"/>
      <c r="M96" s="52"/>
    </row>
    <row r="97" spans="2:13" s="25" customFormat="1" ht="30" customHeight="1" outlineLevel="1">
      <c r="B97" s="61" t="s">
        <v>207</v>
      </c>
      <c r="C97" s="62" t="s">
        <v>26</v>
      </c>
      <c r="D97" s="63" t="s">
        <v>208</v>
      </c>
      <c r="E97" s="64" t="str">
        <f>IFERROR(UPPER(IF(C97="CPU",VLOOKUP(D97,#REF!,2,0),IF(C97="SINAPI",VLOOKUP(D97,#REF!,2,0),IF(C97="EDIF",VLOOKUP(D97,#REF!,2,0),IF(C97="CDHU",VLOOKUP(D97,#REF!,2,0),IF(C97="FDE",VLOOKUP(D97,'FDE 10-23 '!$A$4:$E$3180,2,0),IF(C97="INFRA",VLOOKUP(D97,#REF!,2,0),""))))))),"")</f>
        <v>PR-09 PRATELEIRA EM GRANILITE - L=55CM</v>
      </c>
      <c r="F97" s="65" t="str">
        <f>VLOOKUP(D97,'FDE 10-23 '!$A$4:$E$3180,3,0)</f>
        <v>M</v>
      </c>
      <c r="G97" s="66">
        <v>13.7</v>
      </c>
      <c r="H97" s="67">
        <f>VLOOKUP(D97,'FDE 10-23 '!$A$4:$E$3180,5,0)</f>
        <v>1154.6300000000001</v>
      </c>
      <c r="I97" s="68">
        <f t="shared" si="12"/>
        <v>0.23</v>
      </c>
      <c r="J97" s="67">
        <f t="shared" si="13"/>
        <v>1420.19</v>
      </c>
      <c r="K97" s="71">
        <f t="shared" si="14"/>
        <v>19456.602999999999</v>
      </c>
      <c r="L97" s="51"/>
      <c r="M97" s="52"/>
    </row>
    <row r="98" spans="2:13" s="25" customFormat="1" ht="30" customHeight="1" outlineLevel="1">
      <c r="B98" s="61" t="s">
        <v>209</v>
      </c>
      <c r="C98" s="62" t="s">
        <v>26</v>
      </c>
      <c r="D98" s="63" t="s">
        <v>210</v>
      </c>
      <c r="E98" s="64" t="str">
        <f>IFERROR(UPPER(IF(C98="CPU",VLOOKUP(D98,#REF!,2,0),IF(C98="SINAPI",VLOOKUP(D98,#REF!,2,0),IF(C98="EDIF",VLOOKUP(D98,#REF!,2,0),IF(C98="CDHU",VLOOKUP(D98,#REF!,2,0),IF(C98="FDE",VLOOKUP(D98,'FDE 10-23 '!$A$4:$E$3180,2,0),IF(C98="INFRA",VLOOKUP(D98,#REF!,2,0),""))))))),"")</f>
        <v>GS-03 GUICHE DE SECRETARIA/JANELA DE 2 FOLHAS</v>
      </c>
      <c r="F98" s="65" t="str">
        <f>VLOOKUP(D98,'FDE 10-23 '!$A$4:$E$3180,3,0)</f>
        <v>UN</v>
      </c>
      <c r="G98" s="66">
        <v>1</v>
      </c>
      <c r="H98" s="67">
        <f>VLOOKUP(D98,'FDE 10-23 '!$A$4:$E$3180,5,0)</f>
        <v>3541.89</v>
      </c>
      <c r="I98" s="68">
        <f t="shared" si="12"/>
        <v>0.23</v>
      </c>
      <c r="J98" s="67">
        <f t="shared" si="13"/>
        <v>4356.5200000000004</v>
      </c>
      <c r="K98" s="71">
        <f t="shared" si="14"/>
        <v>4356.5200000000004</v>
      </c>
      <c r="L98" s="51"/>
      <c r="M98" s="52"/>
    </row>
    <row r="99" spans="2:13" s="25" customFormat="1" ht="30" customHeight="1" outlineLevel="1">
      <c r="B99" s="61" t="s">
        <v>211</v>
      </c>
      <c r="C99" s="62" t="s">
        <v>26</v>
      </c>
      <c r="D99" s="63" t="s">
        <v>212</v>
      </c>
      <c r="E99" s="64" t="str">
        <f>IFERROR(UPPER(IF(C99="CPU",VLOOKUP(D99,#REF!,2,0),IF(C99="SINAPI",VLOOKUP(D99,#REF!,2,0),IF(C99="EDIF",VLOOKUP(D99,#REF!,2,0),IF(C99="CDHU",VLOOKUP(D99,#REF!,2,0),IF(C99="FDE",VLOOKUP(D99,'FDE 10-23 '!$A$4:$E$3180,2,0),IF(C99="INFRA",VLOOKUP(D99,#REF!,2,0),""))))))),"")</f>
        <v>ET-05 ESTRADO DE POLIPROPILENO</v>
      </c>
      <c r="F99" s="65" t="str">
        <f>VLOOKUP(D99,'FDE 10-23 '!$A$4:$E$3180,3,0)</f>
        <v>M</v>
      </c>
      <c r="G99" s="66">
        <v>5</v>
      </c>
      <c r="H99" s="67">
        <f>VLOOKUP(D99,'FDE 10-23 '!$A$4:$E$3180,5,0)</f>
        <v>105.62</v>
      </c>
      <c r="I99" s="68">
        <f t="shared" si="12"/>
        <v>0.23</v>
      </c>
      <c r="J99" s="67">
        <f t="shared" si="13"/>
        <v>129.91</v>
      </c>
      <c r="K99" s="71">
        <f t="shared" si="14"/>
        <v>649.54999999999995</v>
      </c>
      <c r="L99" s="51"/>
      <c r="M99" s="52"/>
    </row>
    <row r="100" spans="2:13" s="25" customFormat="1" ht="30" customHeight="1" outlineLevel="1">
      <c r="B100" s="61" t="s">
        <v>213</v>
      </c>
      <c r="C100" s="62" t="s">
        <v>26</v>
      </c>
      <c r="D100" s="63" t="s">
        <v>214</v>
      </c>
      <c r="E100" s="64" t="str">
        <f>IFERROR(UPPER(IF(C100="CPU",VLOOKUP(D100,#REF!,2,0),IF(C100="SINAPI",VLOOKUP(D100,#REF!,2,0),IF(C100="EDIF",VLOOKUP(D100,#REF!,2,0),IF(C100="CDHU",VLOOKUP(D100,#REF!,2,0),IF(C100="FDE",VLOOKUP(D100,'FDE 10-23 '!$A$4:$E$3180,2,0),IF(C100="INFRA",VLOOKUP(D100,#REF!,2,0),""))))))),"")</f>
        <v>BA-13 BALCAO ATENDIMENTO - GRANITO</v>
      </c>
      <c r="F100" s="65" t="str">
        <f>VLOOKUP(D100,'FDE 10-23 '!$A$4:$E$3180,3,0)</f>
        <v>UN</v>
      </c>
      <c r="G100" s="66">
        <v>1</v>
      </c>
      <c r="H100" s="67">
        <f>VLOOKUP(D100,'FDE 10-23 '!$A$4:$E$3180,5,0)</f>
        <v>4632.92</v>
      </c>
      <c r="I100" s="68">
        <f t="shared" si="12"/>
        <v>0.23</v>
      </c>
      <c r="J100" s="67">
        <f t="shared" si="13"/>
        <v>5698.49</v>
      </c>
      <c r="K100" s="71">
        <f t="shared" si="14"/>
        <v>5698.49</v>
      </c>
      <c r="L100" s="51"/>
      <c r="M100" s="52"/>
    </row>
    <row r="101" spans="2:13" s="25" customFormat="1" ht="30" customHeight="1" outlineLevel="1">
      <c r="B101" s="61" t="s">
        <v>215</v>
      </c>
      <c r="C101" s="62" t="s">
        <v>26</v>
      </c>
      <c r="D101" s="63" t="s">
        <v>216</v>
      </c>
      <c r="E101" s="64" t="str">
        <f>IFERROR(UPPER(IF(C101="CPU",VLOOKUP(D101,#REF!,2,0),IF(C101="SINAPI",VLOOKUP(D101,#REF!,2,0),IF(C101="EDIF",VLOOKUP(D101,#REF!,2,0),IF(C101="CDHU",VLOOKUP(D101,#REF!,2,0),IF(C101="FDE",VLOOKUP(D101,'FDE 10-23 '!$A$4:$E$3180,2,0),IF(C101="INFRA",VLOOKUP(D101,#REF!,2,0),""))))))),"")</f>
        <v>BA-10 BALCÃO DE DISTRIB.DE GRANITO (L=350CM)</v>
      </c>
      <c r="F101" s="65" t="str">
        <f>VLOOKUP(D101,'FDE 10-23 '!$A$4:$E$3180,3,0)</f>
        <v>UN</v>
      </c>
      <c r="G101" s="66">
        <v>1</v>
      </c>
      <c r="H101" s="67">
        <f>VLOOKUP(D101,'FDE 10-23 '!$A$4:$E$3180,5,0)</f>
        <v>8507.15</v>
      </c>
      <c r="I101" s="68">
        <f t="shared" si="12"/>
        <v>0.23</v>
      </c>
      <c r="J101" s="67">
        <f t="shared" si="13"/>
        <v>10463.790000000001</v>
      </c>
      <c r="K101" s="71">
        <f t="shared" si="14"/>
        <v>10463.790000000001</v>
      </c>
      <c r="L101" s="51"/>
      <c r="M101" s="52"/>
    </row>
    <row r="102" spans="2:13" s="25" customFormat="1" ht="30" customHeight="1" outlineLevel="1">
      <c r="B102" s="61" t="s">
        <v>217</v>
      </c>
      <c r="C102" s="62" t="s">
        <v>26</v>
      </c>
      <c r="D102" s="63" t="s">
        <v>218</v>
      </c>
      <c r="E102" s="64" t="str">
        <f>IFERROR(UPPER(IF(C102="CPU",VLOOKUP(D102,#REF!,2,0),IF(C102="SINAPI",VLOOKUP(D102,#REF!,2,0),IF(C102="EDIF",VLOOKUP(D102,#REF!,2,0),IF(C102="CDHU",VLOOKUP(D102,#REF!,2,0),IF(C102="FDE",VLOOKUP(D102,'FDE 10-23 '!$A$4:$E$3180,2,0),IF(C102="INFRA",VLOOKUP(D102,#REF!,2,0),""))))))),"")</f>
        <v>BA-11 BALCÃO DE DEVOLUÇÃO DE GRANITO (L=70CM)</v>
      </c>
      <c r="F102" s="65" t="str">
        <f>VLOOKUP(D102,'FDE 10-23 '!$A$4:$E$3180,3,0)</f>
        <v>UN</v>
      </c>
      <c r="G102" s="66">
        <v>1</v>
      </c>
      <c r="H102" s="67">
        <f>VLOOKUP(D102,'FDE 10-23 '!$A$4:$E$3180,5,0)</f>
        <v>2704.18</v>
      </c>
      <c r="I102" s="68">
        <f t="shared" si="12"/>
        <v>0.23</v>
      </c>
      <c r="J102" s="67">
        <f t="shared" si="13"/>
        <v>3326.14</v>
      </c>
      <c r="K102" s="71">
        <f t="shared" si="14"/>
        <v>3326.14</v>
      </c>
      <c r="L102" s="51"/>
      <c r="M102" s="52"/>
    </row>
    <row r="103" spans="2:13" s="25" customFormat="1" ht="30" customHeight="1" outlineLevel="1">
      <c r="B103" s="61" t="s">
        <v>219</v>
      </c>
      <c r="C103" s="62" t="s">
        <v>26</v>
      </c>
      <c r="D103" s="63" t="s">
        <v>220</v>
      </c>
      <c r="E103" s="64" t="str">
        <f>IFERROR(UPPER(IF(C103="CPU",VLOOKUP(D103,#REF!,2,0),IF(C103="SINAPI",VLOOKUP(D103,#REF!,2,0),IF(C103="EDIF",VLOOKUP(D103,#REF!,2,0),IF(C103="CDHU",VLOOKUP(D103,#REF!,2,0),IF(C103="FDE",VLOOKUP(D103,'FDE 10-23 '!$A$4:$E$3180,2,0),IF(C103="INFRA",VLOOKUP(D103,#REF!,2,0),""))))))),"")</f>
        <v>CC-01 CUBA INOX (60X50X30CM) INCLUSIVE VÁLVULA AMERICANA-GRANITO</v>
      </c>
      <c r="F103" s="65" t="str">
        <f>VLOOKUP(D103,'FDE 10-23 '!$A$4:$E$3180,3,0)</f>
        <v>UN</v>
      </c>
      <c r="G103" s="66">
        <v>1</v>
      </c>
      <c r="H103" s="67">
        <f>VLOOKUP(D103,'FDE 10-23 '!$A$4:$E$3180,5,0)</f>
        <v>2916.61</v>
      </c>
      <c r="I103" s="68">
        <f t="shared" si="12"/>
        <v>0.23</v>
      </c>
      <c r="J103" s="67">
        <f t="shared" si="13"/>
        <v>3587.43</v>
      </c>
      <c r="K103" s="71">
        <f t="shared" si="14"/>
        <v>3587.43</v>
      </c>
      <c r="L103" s="51"/>
      <c r="M103" s="52"/>
    </row>
    <row r="104" spans="2:13" s="25" customFormat="1" ht="30" customHeight="1" outlineLevel="1">
      <c r="B104" s="61" t="s">
        <v>221</v>
      </c>
      <c r="C104" s="62" t="s">
        <v>26</v>
      </c>
      <c r="D104" s="63" t="s">
        <v>222</v>
      </c>
      <c r="E104" s="64" t="str">
        <f>IFERROR(UPPER(IF(C104="CPU",VLOOKUP(D104,#REF!,2,0),IF(C104="SINAPI",VLOOKUP(D104,#REF!,2,0),IF(C104="EDIF",VLOOKUP(D104,#REF!,2,0),IF(C104="CDHU",VLOOKUP(D104,#REF!,2,0),IF(C104="FDE",VLOOKUP(D104,'FDE 10-23 '!$A$4:$E$3180,2,0),IF(C104="INFRA",VLOOKUP(D104,#REF!,2,0),""))))))),"")</f>
        <v>CC-03 CUBA INOX (50X40X25CM) TORNEIRA DE PAREDE INCL.VÁLVULA AMERICANA-GRANITO</v>
      </c>
      <c r="F104" s="65" t="str">
        <f>VLOOKUP(D104,'FDE 10-23 '!$A$4:$E$3180,3,0)</f>
        <v>UN</v>
      </c>
      <c r="G104" s="66">
        <v>3</v>
      </c>
      <c r="H104" s="67">
        <f>VLOOKUP(D104,'FDE 10-23 '!$A$4:$E$3180,5,0)</f>
        <v>2525.2800000000002</v>
      </c>
      <c r="I104" s="68">
        <f t="shared" si="12"/>
        <v>0.23</v>
      </c>
      <c r="J104" s="67">
        <f t="shared" si="13"/>
        <v>3106.09</v>
      </c>
      <c r="K104" s="71">
        <f t="shared" si="14"/>
        <v>9318.27</v>
      </c>
      <c r="L104" s="51"/>
      <c r="M104" s="52"/>
    </row>
    <row r="105" spans="2:13" s="25" customFormat="1" ht="30" customHeight="1" outlineLevel="1">
      <c r="B105" s="61" t="s">
        <v>223</v>
      </c>
      <c r="C105" s="62" t="s">
        <v>26</v>
      </c>
      <c r="D105" s="63" t="s">
        <v>224</v>
      </c>
      <c r="E105" s="64" t="str">
        <f>IFERROR(UPPER(IF(C105="CPU",VLOOKUP(D105,#REF!,2,0),IF(C105="SINAPI",VLOOKUP(D105,#REF!,2,0),IF(C105="EDIF",VLOOKUP(D105,#REF!,2,0),IF(C105="CDHU",VLOOKUP(D105,#REF!,2,0),IF(C105="FDE",VLOOKUP(D105,'FDE 10-23 '!$A$4:$E$3180,2,0),IF(C105="INFRA",VLOOKUP(D105,#REF!,2,0),""))))))),"")</f>
        <v>CC-04 CUBA DUPLA INOX (102X40X25CM) INCLUSIVE VÁLVULA AMERICANA-GRANITO</v>
      </c>
      <c r="F105" s="65" t="str">
        <f>VLOOKUP(D105,'FDE 10-23 '!$A$4:$E$3180,3,0)</f>
        <v>UN</v>
      </c>
      <c r="G105" s="66">
        <v>1</v>
      </c>
      <c r="H105" s="67">
        <f>VLOOKUP(D105,'FDE 10-23 '!$A$4:$E$3180,5,0)</f>
        <v>4812.5600000000004</v>
      </c>
      <c r="I105" s="68">
        <f t="shared" si="12"/>
        <v>0.23</v>
      </c>
      <c r="J105" s="67">
        <f t="shared" si="13"/>
        <v>5919.45</v>
      </c>
      <c r="K105" s="71">
        <f t="shared" si="14"/>
        <v>5919.45</v>
      </c>
      <c r="L105" s="51"/>
      <c r="M105" s="52"/>
    </row>
    <row r="106" spans="2:13" s="25" customFormat="1" ht="30" customHeight="1">
      <c r="B106" s="43">
        <v>6</v>
      </c>
      <c r="C106" s="44"/>
      <c r="D106" s="44" t="s">
        <v>225</v>
      </c>
      <c r="E106" s="45" t="s">
        <v>226</v>
      </c>
      <c r="F106" s="46" t="str">
        <f>IFERROR(UPPER(IF(C106="CPU",VLOOKUP(D106,#REF!,3,0),IF(C106="SINAPI",VLOOKUP(D106,#REF!,3,0),IF(C106="EDIF",VLOOKUP(D106,#REF!,3,0),IF(C106="CDHU",VLOOKUP(D106,#REF!,3,0),IF(C106="FDE",VLOOKUP(D106,#REF!,3,0),IF(C106="INFRA",VLOOKUP(D106,#REF!,3,0),""))))))),"")</f>
        <v/>
      </c>
      <c r="G106" s="47"/>
      <c r="H106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06" s="49"/>
      <c r="J106" s="49"/>
      <c r="K106" s="81">
        <f>SUBTOTAL(9,K107:K138)</f>
        <v>1249270.5094000001</v>
      </c>
      <c r="L106" s="51"/>
      <c r="M106" s="52"/>
    </row>
    <row r="107" spans="2:13" s="25" customFormat="1" ht="30" customHeight="1" outlineLevel="1">
      <c r="B107" s="53" t="s">
        <v>227</v>
      </c>
      <c r="C107" s="54"/>
      <c r="D107" s="54" t="s">
        <v>228</v>
      </c>
      <c r="E107" s="55" t="s">
        <v>229</v>
      </c>
      <c r="F107" s="56" t="str">
        <f>IFERROR(UPPER(IF(C107="CPU",VLOOKUP(D107,#REF!,3,0),IF(C107="SINAPI",VLOOKUP(D107,#REF!,3,0),IF(C107="EDIF",VLOOKUP(D107,#REF!,3,0),IF(C107="CDHU",VLOOKUP(D107,#REF!,3,0),IF(C107="FDE",VLOOKUP(D107,#REF!,3,0),IF(C107="INFRA",VLOOKUP(D107,#REF!,3,0),""))))))),"")</f>
        <v/>
      </c>
      <c r="G107" s="57"/>
      <c r="H10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07" s="59"/>
      <c r="J107" s="59"/>
      <c r="K107" s="82">
        <f>SUBTOTAL(9,K108:K118)</f>
        <v>677902.45669999998</v>
      </c>
      <c r="L107" s="51"/>
      <c r="M107" s="52"/>
    </row>
    <row r="108" spans="2:13" s="25" customFormat="1" ht="30" customHeight="1" outlineLevel="1">
      <c r="B108" s="61" t="s">
        <v>230</v>
      </c>
      <c r="C108" s="62" t="s">
        <v>26</v>
      </c>
      <c r="D108" s="63" t="s">
        <v>231</v>
      </c>
      <c r="E108" s="64" t="str">
        <f>IFERROR(UPPER(IF(C108="CPU",VLOOKUP(D108,#REF!,2,0),IF(C108="SINAPI",VLOOKUP(D108,#REF!,2,0),IF(C108="EDIF",VLOOKUP(D108,#REF!,2,0),IF(C108="CDHU",VLOOKUP(D108,#REF!,2,0),IF(C108="FDE",VLOOKUP(D108,'FDE 10-23 '!$A$4:$E$3180,2,0),IF(C108="INFRA",VLOOKUP(D108,#REF!,2,0),""))))))),"")</f>
        <v>EF-01 ESQUADRIA DE FERRO 90X60CM</v>
      </c>
      <c r="F108" s="65" t="str">
        <f>VLOOKUP(D108,'FDE 10-23 '!$A$4:$E$3180,3,0)</f>
        <v>UN</v>
      </c>
      <c r="G108" s="66">
        <v>2</v>
      </c>
      <c r="H108" s="67">
        <f>VLOOKUP(D108,'FDE 10-23 '!$A$4:$E$3180,5,0)</f>
        <v>772.08</v>
      </c>
      <c r="I108" s="68">
        <f t="shared" ref="I108:I118" si="15">$L$10</f>
        <v>0.23</v>
      </c>
      <c r="J108" s="67">
        <f t="shared" ref="J108:J118" si="16">ROUND(H108*(1+I108),2)</f>
        <v>949.66</v>
      </c>
      <c r="K108" s="71">
        <f t="shared" ref="K108:K118" si="17">SUM(G108*J108)</f>
        <v>1899.32</v>
      </c>
      <c r="L108" s="51"/>
      <c r="M108" s="52"/>
    </row>
    <row r="109" spans="2:13" s="25" customFormat="1" ht="30" customHeight="1" outlineLevel="1">
      <c r="B109" s="61" t="s">
        <v>232</v>
      </c>
      <c r="C109" s="62" t="s">
        <v>26</v>
      </c>
      <c r="D109" s="63" t="s">
        <v>233</v>
      </c>
      <c r="E109" s="64" t="str">
        <f>IFERROR(UPPER(IF(C109="CPU",VLOOKUP(D109,#REF!,2,0),IF(C109="SINAPI",VLOOKUP(D109,#REF!,2,0),IF(C109="EDIF",VLOOKUP(D109,#REF!,2,0),IF(C109="CDHU",VLOOKUP(D109,#REF!,2,0),IF(C109="FDE",VLOOKUP(D109,'FDE 10-23 '!$A$4:$E$3180,2,0),IF(C109="INFRA",VLOOKUP(D109,#REF!,2,0),""))))))),"")</f>
        <v>EF-02 ESQUADRIA DE FERRO 90X120CM</v>
      </c>
      <c r="F109" s="65" t="str">
        <f>VLOOKUP(D109,'FDE 10-23 '!$A$4:$E$3180,3,0)</f>
        <v>UN</v>
      </c>
      <c r="G109" s="66">
        <v>2</v>
      </c>
      <c r="H109" s="67">
        <f>VLOOKUP(D109,'FDE 10-23 '!$A$4:$E$3180,5,0)</f>
        <v>1525.82</v>
      </c>
      <c r="I109" s="68">
        <f t="shared" si="15"/>
        <v>0.23</v>
      </c>
      <c r="J109" s="67">
        <f t="shared" si="16"/>
        <v>1876.76</v>
      </c>
      <c r="K109" s="71">
        <f t="shared" si="17"/>
        <v>3753.52</v>
      </c>
      <c r="L109" s="51"/>
      <c r="M109" s="52"/>
    </row>
    <row r="110" spans="2:13" s="25" customFormat="1" ht="30" customHeight="1" outlineLevel="1">
      <c r="B110" s="61" t="s">
        <v>234</v>
      </c>
      <c r="C110" s="62" t="s">
        <v>26</v>
      </c>
      <c r="D110" s="63" t="s">
        <v>235</v>
      </c>
      <c r="E110" s="64" t="str">
        <f>IFERROR(UPPER(IF(C110="CPU",VLOOKUP(D110,#REF!,2,0),IF(C110="SINAPI",VLOOKUP(D110,#REF!,2,0),IF(C110="EDIF",VLOOKUP(D110,#REF!,2,0),IF(C110="CDHU",VLOOKUP(D110,#REF!,2,0),IF(C110="FDE",VLOOKUP(D110,'FDE 10-23 '!$A$4:$E$3180,2,0),IF(C110="INFRA",VLOOKUP(D110,#REF!,2,0),""))))))),"")</f>
        <v>EF-03 ESQUADRIA DE FERRO 90X150CM</v>
      </c>
      <c r="F110" s="65" t="str">
        <f>VLOOKUP(D110,'FDE 10-23 '!$A$4:$E$3180,3,0)</f>
        <v>UN</v>
      </c>
      <c r="G110" s="66">
        <v>9</v>
      </c>
      <c r="H110" s="67">
        <f>VLOOKUP(D110,'FDE 10-23 '!$A$4:$E$3180,5,0)</f>
        <v>1912.63</v>
      </c>
      <c r="I110" s="68">
        <f t="shared" si="15"/>
        <v>0.23</v>
      </c>
      <c r="J110" s="67">
        <f t="shared" si="16"/>
        <v>2352.5300000000002</v>
      </c>
      <c r="K110" s="71">
        <f t="shared" si="17"/>
        <v>21172.77</v>
      </c>
      <c r="L110" s="51"/>
      <c r="M110" s="52"/>
    </row>
    <row r="111" spans="2:13" s="25" customFormat="1" ht="30" customHeight="1" outlineLevel="1">
      <c r="B111" s="61" t="s">
        <v>236</v>
      </c>
      <c r="C111" s="62" t="s">
        <v>26</v>
      </c>
      <c r="D111" s="63" t="s">
        <v>237</v>
      </c>
      <c r="E111" s="64" t="str">
        <f>IFERROR(UPPER(IF(C111="CPU",VLOOKUP(D111,#REF!,2,0),IF(C111="SINAPI",VLOOKUP(D111,#REF!,2,0),IF(C111="EDIF",VLOOKUP(D111,#REF!,2,0),IF(C111="CDHU",VLOOKUP(D111,#REF!,2,0),IF(C111="FDE",VLOOKUP(D111,'FDE 10-23 '!$A$4:$E$3180,2,0),IF(C111="INFRA",VLOOKUP(D111,#REF!,2,0),""))))))),"")</f>
        <v>EF-04 ESQUADRIA DE FERRO 180X60CM</v>
      </c>
      <c r="F111" s="65" t="str">
        <f>VLOOKUP(D111,'FDE 10-23 '!$A$4:$E$3180,3,0)</f>
        <v>UN</v>
      </c>
      <c r="G111" s="66">
        <v>64</v>
      </c>
      <c r="H111" s="67">
        <f>VLOOKUP(D111,'FDE 10-23 '!$A$4:$E$3180,5,0)</f>
        <v>1537.61</v>
      </c>
      <c r="I111" s="68">
        <f t="shared" si="15"/>
        <v>0.23</v>
      </c>
      <c r="J111" s="67">
        <f t="shared" si="16"/>
        <v>1891.26</v>
      </c>
      <c r="K111" s="71">
        <f t="shared" si="17"/>
        <v>121040.64</v>
      </c>
      <c r="L111" s="51"/>
      <c r="M111" s="52"/>
    </row>
    <row r="112" spans="2:13" s="25" customFormat="1" ht="30" customHeight="1" outlineLevel="1">
      <c r="B112" s="61" t="s">
        <v>238</v>
      </c>
      <c r="C112" s="62" t="s">
        <v>26</v>
      </c>
      <c r="D112" s="63" t="s">
        <v>239</v>
      </c>
      <c r="E112" s="64" t="str">
        <f>IFERROR(UPPER(IF(C112="CPU",VLOOKUP(D112,#REF!,2,0),IF(C112="SINAPI",VLOOKUP(D112,#REF!,2,0),IF(C112="EDIF",VLOOKUP(D112,#REF!,2,0),IF(C112="CDHU",VLOOKUP(D112,#REF!,2,0),IF(C112="FDE",VLOOKUP(D112,'FDE 10-23 '!$A$4:$E$3180,2,0),IF(C112="INFRA",VLOOKUP(D112,#REF!,2,0),""))))))),"")</f>
        <v>EF-05 ESQUADRIA DE FERRO 180X120CM</v>
      </c>
      <c r="F112" s="65" t="str">
        <f>VLOOKUP(D112,'FDE 10-23 '!$A$4:$E$3180,3,0)</f>
        <v>UN</v>
      </c>
      <c r="G112" s="66">
        <v>7</v>
      </c>
      <c r="H112" s="67">
        <f>VLOOKUP(D112,'FDE 10-23 '!$A$4:$E$3180,5,0)</f>
        <v>3076.4</v>
      </c>
      <c r="I112" s="68">
        <f t="shared" si="15"/>
        <v>0.23</v>
      </c>
      <c r="J112" s="67">
        <f t="shared" si="16"/>
        <v>3783.97</v>
      </c>
      <c r="K112" s="71">
        <f t="shared" si="17"/>
        <v>26487.789999999997</v>
      </c>
      <c r="L112" s="51"/>
      <c r="M112" s="52"/>
    </row>
    <row r="113" spans="2:13" s="25" customFormat="1" ht="30" customHeight="1" outlineLevel="1">
      <c r="B113" s="61" t="s">
        <v>240</v>
      </c>
      <c r="C113" s="62" t="s">
        <v>26</v>
      </c>
      <c r="D113" s="63" t="s">
        <v>241</v>
      </c>
      <c r="E113" s="64" t="str">
        <f>IFERROR(UPPER(IF(C113="CPU",VLOOKUP(D113,#REF!,2,0),IF(C113="SINAPI",VLOOKUP(D113,#REF!,2,0),IF(C113="EDIF",VLOOKUP(D113,#REF!,2,0),IF(C113="CDHU",VLOOKUP(D113,#REF!,2,0),IF(C113="FDE",VLOOKUP(D113,'FDE 10-23 '!$A$4:$E$3180,2,0),IF(C113="INFRA",VLOOKUP(D113,#REF!,2,0),""))))))),"")</f>
        <v>EF-06 ESQUADRIA DE FERRO 180X150CM</v>
      </c>
      <c r="F113" s="65" t="str">
        <f>VLOOKUP(D113,'FDE 10-23 '!$A$4:$E$3180,3,0)</f>
        <v>UN</v>
      </c>
      <c r="G113" s="66">
        <v>22</v>
      </c>
      <c r="H113" s="67">
        <f>VLOOKUP(D113,'FDE 10-23 '!$A$4:$E$3180,5,0)</f>
        <v>3807.41</v>
      </c>
      <c r="I113" s="68">
        <f t="shared" si="15"/>
        <v>0.23</v>
      </c>
      <c r="J113" s="67">
        <f t="shared" si="16"/>
        <v>4683.1099999999997</v>
      </c>
      <c r="K113" s="71">
        <f t="shared" si="17"/>
        <v>103028.42</v>
      </c>
      <c r="L113" s="51"/>
      <c r="M113" s="52"/>
    </row>
    <row r="114" spans="2:13" s="25" customFormat="1" ht="30" customHeight="1" outlineLevel="1">
      <c r="B114" s="61" t="s">
        <v>242</v>
      </c>
      <c r="C114" s="62" t="s">
        <v>26</v>
      </c>
      <c r="D114" s="63" t="s">
        <v>243</v>
      </c>
      <c r="E114" s="64" t="str">
        <f>IFERROR(UPPER(IF(C114="CPU",VLOOKUP(D114,#REF!,2,0),IF(C114="SINAPI",VLOOKUP(D114,#REF!,2,0),IF(C114="EDIF",VLOOKUP(D114,#REF!,2,0),IF(C114="CDHU",VLOOKUP(D114,#REF!,2,0),IF(C114="FDE",VLOOKUP(D114,'FDE 10-23 '!$A$4:$E$3180,2,0),IF(C114="INFRA",VLOOKUP(D114,#REF!,2,0),""))))))),"")</f>
        <v>EF-17 ESQUADRIA DE FERRO FIXA L=180CM</v>
      </c>
      <c r="F114" s="65" t="str">
        <f>VLOOKUP(D114,'FDE 10-23 '!$A$4:$E$3180,3,0)</f>
        <v>UN</v>
      </c>
      <c r="G114" s="66">
        <v>16</v>
      </c>
      <c r="H114" s="67">
        <f>VLOOKUP(D114,'FDE 10-23 '!$A$4:$E$3180,5,0)</f>
        <v>4406.57</v>
      </c>
      <c r="I114" s="68">
        <f t="shared" si="15"/>
        <v>0.23</v>
      </c>
      <c r="J114" s="67">
        <f t="shared" si="16"/>
        <v>5420.08</v>
      </c>
      <c r="K114" s="71">
        <f t="shared" si="17"/>
        <v>86721.279999999999</v>
      </c>
      <c r="L114" s="51"/>
      <c r="M114" s="52"/>
    </row>
    <row r="115" spans="2:13" s="25" customFormat="1" ht="30" customHeight="1" outlineLevel="1">
      <c r="B115" s="61" t="s">
        <v>244</v>
      </c>
      <c r="C115" s="62" t="s">
        <v>26</v>
      </c>
      <c r="D115" s="63" t="s">
        <v>245</v>
      </c>
      <c r="E115" s="64" t="str">
        <f>IFERROR(UPPER(IF(C115="CPU",VLOOKUP(D115,#REF!,2,0),IF(C115="SINAPI",VLOOKUP(D115,#REF!,2,0),IF(C115="EDIF",VLOOKUP(D115,#REF!,2,0),IF(C115="CDHU",VLOOKUP(D115,#REF!,2,0),IF(C115="FDE",VLOOKUP(D115,'FDE 10-23 '!$A$4:$E$3180,2,0),IF(C115="INFRA",VLOOKUP(D115,#REF!,2,0),""))))))),"")</f>
        <v>EF-20 ESQUADRIA DE FERRO 180X180CM</v>
      </c>
      <c r="F115" s="65" t="str">
        <f>VLOOKUP(D115,'FDE 10-23 '!$A$4:$E$3180,3,0)</f>
        <v>UN</v>
      </c>
      <c r="G115" s="66">
        <v>1</v>
      </c>
      <c r="H115" s="67">
        <f>VLOOKUP(D115,'FDE 10-23 '!$A$4:$E$3180,5,0)</f>
        <v>3744.38</v>
      </c>
      <c r="I115" s="68">
        <f t="shared" si="15"/>
        <v>0.23</v>
      </c>
      <c r="J115" s="67">
        <f t="shared" si="16"/>
        <v>4605.59</v>
      </c>
      <c r="K115" s="71">
        <f t="shared" si="17"/>
        <v>4605.59</v>
      </c>
      <c r="L115" s="51"/>
      <c r="M115" s="52"/>
    </row>
    <row r="116" spans="2:13" s="25" customFormat="1" ht="30" customHeight="1" outlineLevel="1">
      <c r="B116" s="61" t="s">
        <v>246</v>
      </c>
      <c r="C116" s="62" t="s">
        <v>26</v>
      </c>
      <c r="D116" s="63" t="s">
        <v>247</v>
      </c>
      <c r="E116" s="64" t="str">
        <f>IFERROR(UPPER(IF(C116="CPU",VLOOKUP(D116,#REF!,2,0),IF(C116="SINAPI",VLOOKUP(D116,#REF!,2,0),IF(C116="EDIF",VLOOKUP(D116,#REF!,2,0),IF(C116="CDHU",VLOOKUP(D116,#REF!,2,0),IF(C116="FDE",VLOOKUP(D116,'FDE 10-23 '!$A$4:$E$3180,2,0),IF(C116="INFRA",VLOOKUP(D116,#REF!,2,0),""))))))),"")</f>
        <v>EF-21 ESQUADRIA DE FERRO 180X210CM</v>
      </c>
      <c r="F116" s="65" t="str">
        <f>VLOOKUP(D116,'FDE 10-23 '!$A$4:$E$3180,3,0)</f>
        <v>UN</v>
      </c>
      <c r="G116" s="66">
        <v>57</v>
      </c>
      <c r="H116" s="67">
        <f>VLOOKUP(D116,'FDE 10-23 '!$A$4:$E$3180,5,0)</f>
        <v>4346.2299999999996</v>
      </c>
      <c r="I116" s="68">
        <f t="shared" si="15"/>
        <v>0.23</v>
      </c>
      <c r="J116" s="67">
        <f t="shared" si="16"/>
        <v>5345.86</v>
      </c>
      <c r="K116" s="71">
        <f t="shared" si="17"/>
        <v>304714.01999999996</v>
      </c>
      <c r="L116" s="51"/>
      <c r="M116" s="52"/>
    </row>
    <row r="117" spans="2:13" s="25" customFormat="1" ht="30" customHeight="1" outlineLevel="1">
      <c r="B117" s="61" t="s">
        <v>248</v>
      </c>
      <c r="C117" s="62" t="s">
        <v>26</v>
      </c>
      <c r="D117" s="63" t="s">
        <v>249</v>
      </c>
      <c r="E117" s="64" t="str">
        <f>IFERROR(UPPER(IF(C117="CPU",VLOOKUP(D117,#REF!,2,0),IF(C117="SINAPI",VLOOKUP(D117,#REF!,2,0),IF(C117="EDIF",VLOOKUP(D117,#REF!,2,0),IF(C117="CDHU",VLOOKUP(D117,#REF!,2,0),IF(C117="FDE",VLOOKUP(D117,'FDE 10-23 '!$A$4:$E$3180,2,0),IF(C117="INFRA",VLOOKUP(D117,#REF!,2,0),""))))))),"")</f>
        <v>CAIXILHOS DE FERRO -BASCULANTES</v>
      </c>
      <c r="F117" s="65" t="str">
        <f>VLOOKUP(D117,'FDE 10-23 '!$A$4:$E$3180,3,0)</f>
        <v>M2</v>
      </c>
      <c r="G117" s="66">
        <v>1.89</v>
      </c>
      <c r="H117" s="67">
        <f>VLOOKUP(D117,'FDE 10-23 '!$A$4:$E$3180,5,0)</f>
        <v>1411.41</v>
      </c>
      <c r="I117" s="68">
        <f t="shared" si="15"/>
        <v>0.23</v>
      </c>
      <c r="J117" s="67">
        <f t="shared" si="16"/>
        <v>1736.03</v>
      </c>
      <c r="K117" s="71">
        <f t="shared" si="17"/>
        <v>3281.0966999999996</v>
      </c>
      <c r="L117" s="51"/>
      <c r="M117" s="52"/>
    </row>
    <row r="118" spans="2:13" s="25" customFormat="1" ht="30" customHeight="1" outlineLevel="1">
      <c r="B118" s="61" t="s">
        <v>250</v>
      </c>
      <c r="C118" s="62" t="s">
        <v>26</v>
      </c>
      <c r="D118" s="63" t="s">
        <v>251</v>
      </c>
      <c r="E118" s="64" t="str">
        <f>IFERROR(UPPER(IF(C118="CPU",VLOOKUP(D118,#REF!,2,0),IF(C118="SINAPI",VLOOKUP(D118,#REF!,2,0),IF(C118="EDIF",VLOOKUP(D118,#REF!,2,0),IF(C118="CDHU",VLOOKUP(D118,#REF!,2,0),IF(C118="FDE",VLOOKUP(D118,'FDE 10-23 '!$A$4:$E$3180,2,0),IF(C118="INFRA",VLOOKUP(D118,#REF!,2,0),""))))))),"")</f>
        <v>EF-24 ESQ FERRO VENEZIANA DA CAIXA DO ELEVADOR (0.80X0.40M)</v>
      </c>
      <c r="F118" s="65" t="str">
        <f>VLOOKUP(D118,'FDE 10-23 '!$A$4:$E$3180,3,0)</f>
        <v>UN</v>
      </c>
      <c r="G118" s="66">
        <v>1</v>
      </c>
      <c r="H118" s="67">
        <f>VLOOKUP(D118,'FDE 10-23 '!$A$4:$E$3180,5,0)</f>
        <v>973.99</v>
      </c>
      <c r="I118" s="68">
        <f t="shared" si="15"/>
        <v>0.23</v>
      </c>
      <c r="J118" s="67">
        <f t="shared" si="16"/>
        <v>1198.01</v>
      </c>
      <c r="K118" s="71">
        <f t="shared" si="17"/>
        <v>1198.01</v>
      </c>
      <c r="L118" s="51"/>
      <c r="M118" s="52"/>
    </row>
    <row r="119" spans="2:13" s="25" customFormat="1" ht="30" customHeight="1" outlineLevel="1">
      <c r="B119" s="53" t="s">
        <v>252</v>
      </c>
      <c r="C119" s="54"/>
      <c r="D119" s="54" t="s">
        <v>253</v>
      </c>
      <c r="E119" s="55" t="s">
        <v>254</v>
      </c>
      <c r="F119" s="56" t="str">
        <f>IFERROR(UPPER(IF(C119="CPU",VLOOKUP(D119,#REF!,3,0),IF(C119="SINAPI",VLOOKUP(D119,#REF!,3,0),IF(C119="EDIF",VLOOKUP(D119,#REF!,3,0),IF(C119="CDHU",VLOOKUP(D119,#REF!,3,0),IF(C119="FDE",VLOOKUP(D119,#REF!,3,0),IF(C119="INFRA",VLOOKUP(D119,#REF!,3,0),""))))))),"")</f>
        <v/>
      </c>
      <c r="G119" s="57"/>
      <c r="H119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19" s="59"/>
      <c r="J119" s="59"/>
      <c r="K119" s="82">
        <f>SUBTOTAL(9,K120:K129)</f>
        <v>243692.204</v>
      </c>
      <c r="L119" s="51"/>
      <c r="M119" s="52"/>
    </row>
    <row r="120" spans="2:13" s="25" customFormat="1" ht="30" customHeight="1" outlineLevel="1">
      <c r="B120" s="61" t="s">
        <v>255</v>
      </c>
      <c r="C120" s="62" t="s">
        <v>26</v>
      </c>
      <c r="D120" s="63" t="s">
        <v>256</v>
      </c>
      <c r="E120" s="64" t="str">
        <f>IFERROR(UPPER(IF(C120="CPU",VLOOKUP(D120,#REF!,2,0),IF(C120="SINAPI",VLOOKUP(D120,#REF!,2,0),IF(C120="EDIF",VLOOKUP(D120,#REF!,2,0),IF(C120="CDHU",VLOOKUP(D120,#REF!,2,0),IF(C120="FDE",VLOOKUP(D120,'FDE 10-23 '!$A$4:$E$3180,2,0),IF(C120="INFRA",VLOOKUP(D120,#REF!,2,0),""))))))),"")</f>
        <v>PF-11 PORTA/JANELA DE FERRO 180X260CM</v>
      </c>
      <c r="F120" s="65" t="str">
        <f>VLOOKUP(D120,'FDE 10-23 '!$A$4:$E$3180,3,0)</f>
        <v>UN</v>
      </c>
      <c r="G120" s="66">
        <v>4</v>
      </c>
      <c r="H120" s="67">
        <f>VLOOKUP(D120,'FDE 10-23 '!$A$4:$E$3180,5,0)</f>
        <v>9034.44</v>
      </c>
      <c r="I120" s="68">
        <f t="shared" ref="I120:I129" si="18">$L$10</f>
        <v>0.23</v>
      </c>
      <c r="J120" s="67">
        <f t="shared" ref="J120:J129" si="19">ROUND(H120*(1+I120),2)</f>
        <v>11112.36</v>
      </c>
      <c r="K120" s="71">
        <f t="shared" ref="K120:K129" si="20">SUM(G120*J120)</f>
        <v>44449.440000000002</v>
      </c>
      <c r="L120" s="51"/>
      <c r="M120" s="52"/>
    </row>
    <row r="121" spans="2:13" s="25" customFormat="1" ht="30" customHeight="1" outlineLevel="1">
      <c r="B121" s="61" t="s">
        <v>257</v>
      </c>
      <c r="C121" s="62" t="s">
        <v>26</v>
      </c>
      <c r="D121" s="63" t="s">
        <v>258</v>
      </c>
      <c r="E121" s="64" t="str">
        <f>IFERROR(UPPER(IF(C121="CPU",VLOOKUP(D121,#REF!,2,0),IF(C121="SINAPI",VLOOKUP(D121,#REF!,2,0),IF(C121="EDIF",VLOOKUP(D121,#REF!,2,0),IF(C121="CDHU",VLOOKUP(D121,#REF!,2,0),IF(C121="FDE",VLOOKUP(D121,'FDE 10-23 '!$A$4:$E$3180,2,0),IF(C121="INFRA",VLOOKUP(D121,#REF!,2,0),""))))))),"")</f>
        <v>PF-15 PORTA EM CHAPA DE FERRO (L=82 CM)</v>
      </c>
      <c r="F121" s="65" t="str">
        <f>VLOOKUP(D121,'FDE 10-23 '!$A$4:$E$3180,3,0)</f>
        <v>UN</v>
      </c>
      <c r="G121" s="66">
        <v>6</v>
      </c>
      <c r="H121" s="67">
        <f>VLOOKUP(D121,'FDE 10-23 '!$A$4:$E$3180,5,0)</f>
        <v>4468.3100000000004</v>
      </c>
      <c r="I121" s="68">
        <f t="shared" si="18"/>
        <v>0.23</v>
      </c>
      <c r="J121" s="67">
        <f t="shared" si="19"/>
        <v>5496.02</v>
      </c>
      <c r="K121" s="71">
        <f t="shared" si="20"/>
        <v>32976.120000000003</v>
      </c>
      <c r="L121" s="51"/>
      <c r="M121" s="52"/>
    </row>
    <row r="122" spans="2:13" s="25" customFormat="1" ht="30" customHeight="1" outlineLevel="1">
      <c r="B122" s="61" t="s">
        <v>259</v>
      </c>
      <c r="C122" s="62" t="s">
        <v>26</v>
      </c>
      <c r="D122" s="63" t="s">
        <v>260</v>
      </c>
      <c r="E122" s="64" t="str">
        <f>IFERROR(UPPER(IF(C122="CPU",VLOOKUP(D122,#REF!,2,0),IF(C122="SINAPI",VLOOKUP(D122,#REF!,2,0),IF(C122="EDIF",VLOOKUP(D122,#REF!,2,0),IF(C122="CDHU",VLOOKUP(D122,#REF!,2,0),IF(C122="FDE",VLOOKUP(D122,'FDE 10-23 '!$A$4:$E$3180,2,0),IF(C122="INFRA",VLOOKUP(D122,#REF!,2,0),""))))))),"")</f>
        <v>PF-16 PORTA EM CHAPA DE FERRO (L=92 CM)</v>
      </c>
      <c r="F122" s="65" t="str">
        <f>VLOOKUP(D122,'FDE 10-23 '!$A$4:$E$3180,3,0)</f>
        <v>UN</v>
      </c>
      <c r="G122" s="66">
        <v>6</v>
      </c>
      <c r="H122" s="67">
        <f>VLOOKUP(D122,'FDE 10-23 '!$A$4:$E$3180,5,0)</f>
        <v>4838.41</v>
      </c>
      <c r="I122" s="68">
        <f t="shared" si="18"/>
        <v>0.23</v>
      </c>
      <c r="J122" s="67">
        <f t="shared" si="19"/>
        <v>5951.24</v>
      </c>
      <c r="K122" s="71">
        <f t="shared" si="20"/>
        <v>35707.440000000002</v>
      </c>
      <c r="L122" s="51"/>
      <c r="M122" s="52"/>
    </row>
    <row r="123" spans="2:13" s="25" customFormat="1" ht="30" customHeight="1" outlineLevel="1">
      <c r="B123" s="61" t="s">
        <v>261</v>
      </c>
      <c r="C123" s="62" t="s">
        <v>26</v>
      </c>
      <c r="D123" s="63" t="s">
        <v>262</v>
      </c>
      <c r="E123" s="64" t="str">
        <f>IFERROR(UPPER(IF(C123="CPU",VLOOKUP(D123,#REF!,2,0),IF(C123="SINAPI",VLOOKUP(D123,#REF!,2,0),IF(C123="EDIF",VLOOKUP(D123,#REF!,2,0),IF(C123="CDHU",VLOOKUP(D123,#REF!,2,0),IF(C123="FDE",VLOOKUP(D123,'FDE 10-23 '!$A$4:$E$3180,2,0),IF(C123="INFRA",VLOOKUP(D123,#REF!,2,0),""))))))),"")</f>
        <v>PF-19 PORTA DE FERRO P/ RESERVATORIO - GALVANIZADA</v>
      </c>
      <c r="F123" s="65" t="str">
        <f>VLOOKUP(D123,'FDE 10-23 '!$A$4:$E$3180,3,0)</f>
        <v>UN</v>
      </c>
      <c r="G123" s="66">
        <v>4</v>
      </c>
      <c r="H123" s="67">
        <f>VLOOKUP(D123,'FDE 10-23 '!$A$4:$E$3180,5,0)</f>
        <v>3624.85</v>
      </c>
      <c r="I123" s="68">
        <f t="shared" si="18"/>
        <v>0.23</v>
      </c>
      <c r="J123" s="67">
        <f t="shared" si="19"/>
        <v>4458.57</v>
      </c>
      <c r="K123" s="71">
        <f t="shared" si="20"/>
        <v>17834.28</v>
      </c>
      <c r="L123" s="51"/>
      <c r="M123" s="52"/>
    </row>
    <row r="124" spans="2:13" s="25" customFormat="1" ht="30" customHeight="1" outlineLevel="1">
      <c r="B124" s="61" t="s">
        <v>263</v>
      </c>
      <c r="C124" s="62" t="s">
        <v>26</v>
      </c>
      <c r="D124" s="63" t="s">
        <v>264</v>
      </c>
      <c r="E124" s="64" t="str">
        <f>IFERROR(UPPER(IF(C124="CPU",VLOOKUP(D124,#REF!,2,0),IF(C124="SINAPI",VLOOKUP(D124,#REF!,2,0),IF(C124="EDIF",VLOOKUP(D124,#REF!,2,0),IF(C124="CDHU",VLOOKUP(D124,#REF!,2,0),IF(C124="FDE",VLOOKUP(D124,'FDE 10-23 '!$A$4:$E$3180,2,0),IF(C124="INFRA",VLOOKUP(D124,#REF!,2,0),""))))))),"")</f>
        <v>PF-20 PORTA DE FERRO COM BANDEIRA CHAPA PERFURADA  L=180CM</v>
      </c>
      <c r="F124" s="65" t="str">
        <f>VLOOKUP(D124,'FDE 10-23 '!$A$4:$E$3180,3,0)</f>
        <v>UN</v>
      </c>
      <c r="G124" s="66">
        <v>3</v>
      </c>
      <c r="H124" s="67">
        <f>VLOOKUP(D124,'FDE 10-23 '!$A$4:$E$3180,5,0)</f>
        <v>7952.44</v>
      </c>
      <c r="I124" s="68">
        <f t="shared" si="18"/>
        <v>0.23</v>
      </c>
      <c r="J124" s="67">
        <f t="shared" si="19"/>
        <v>9781.5</v>
      </c>
      <c r="K124" s="71">
        <f t="shared" si="20"/>
        <v>29344.5</v>
      </c>
      <c r="L124" s="51"/>
      <c r="M124" s="52"/>
    </row>
    <row r="125" spans="2:13" s="25" customFormat="1" ht="30" customHeight="1" outlineLevel="1">
      <c r="B125" s="61" t="s">
        <v>265</v>
      </c>
      <c r="C125" s="62" t="s">
        <v>26</v>
      </c>
      <c r="D125" s="63" t="s">
        <v>266</v>
      </c>
      <c r="E125" s="64" t="str">
        <f>IFERROR(UPPER(IF(C125="CPU",VLOOKUP(D125,#REF!,2,0),IF(C125="SINAPI",VLOOKUP(D125,#REF!,2,0),IF(C125="EDIF",VLOOKUP(D125,#REF!,2,0),IF(C125="CDHU",VLOOKUP(D125,#REF!,2,0),IF(C125="FDE",VLOOKUP(D125,'FDE 10-23 '!$A$4:$E$3180,2,0),IF(C125="INFRA",VLOOKUP(D125,#REF!,2,0),""))))))),"")</f>
        <v>PF-27 PORTA DE FERRO 90X215CM</v>
      </c>
      <c r="F125" s="65" t="str">
        <f>VLOOKUP(D125,'FDE 10-23 '!$A$4:$E$3180,3,0)</f>
        <v>UN</v>
      </c>
      <c r="G125" s="66">
        <v>1</v>
      </c>
      <c r="H125" s="67">
        <f>VLOOKUP(D125,'FDE 10-23 '!$A$4:$E$3180,5,0)</f>
        <v>2806.66</v>
      </c>
      <c r="I125" s="68">
        <f t="shared" si="18"/>
        <v>0.23</v>
      </c>
      <c r="J125" s="67">
        <f t="shared" si="19"/>
        <v>3452.19</v>
      </c>
      <c r="K125" s="71">
        <f t="shared" si="20"/>
        <v>3452.19</v>
      </c>
      <c r="L125" s="51"/>
      <c r="M125" s="52"/>
    </row>
    <row r="126" spans="2:13" s="25" customFormat="1" ht="30" customHeight="1" outlineLevel="1">
      <c r="B126" s="61" t="s">
        <v>267</v>
      </c>
      <c r="C126" s="62" t="s">
        <v>26</v>
      </c>
      <c r="D126" s="63" t="s">
        <v>268</v>
      </c>
      <c r="E126" s="64" t="str">
        <f>IFERROR(UPPER(IF(C126="CPU",VLOOKUP(D126,#REF!,2,0),IF(C126="SINAPI",VLOOKUP(D126,#REF!,2,0),IF(C126="EDIF",VLOOKUP(D126,#REF!,2,0),IF(C126="CDHU",VLOOKUP(D126,#REF!,2,0),IF(C126="FDE",VLOOKUP(D126,'FDE 10-23 '!$A$4:$E$3180,2,0),IF(C126="INFRA",VLOOKUP(D126,#REF!,2,0),""))))))),"")</f>
        <v>PF-30 PORTA EM CHAPA DE AÇO C/VENT.PERM (L=140CM)</v>
      </c>
      <c r="F126" s="65" t="str">
        <f>VLOOKUP(D126,'FDE 10-23 '!$A$4:$E$3180,3,0)</f>
        <v>UN</v>
      </c>
      <c r="G126" s="66">
        <v>1</v>
      </c>
      <c r="H126" s="67">
        <f>VLOOKUP(D126,'FDE 10-23 '!$A$4:$E$3180,5,0)</f>
        <v>5537.91</v>
      </c>
      <c r="I126" s="68">
        <f t="shared" si="18"/>
        <v>0.23</v>
      </c>
      <c r="J126" s="67">
        <f t="shared" si="19"/>
        <v>6811.63</v>
      </c>
      <c r="K126" s="71">
        <f t="shared" si="20"/>
        <v>6811.63</v>
      </c>
      <c r="L126" s="51"/>
      <c r="M126" s="52"/>
    </row>
    <row r="127" spans="2:13" s="25" customFormat="1" ht="30" customHeight="1" outlineLevel="1">
      <c r="B127" s="61" t="s">
        <v>269</v>
      </c>
      <c r="C127" s="62" t="s">
        <v>26</v>
      </c>
      <c r="D127" s="63" t="s">
        <v>270</v>
      </c>
      <c r="E127" s="64" t="str">
        <f>IFERROR(UPPER(IF(C127="CPU",VLOOKUP(D127,#REF!,2,0),IF(C127="SINAPI",VLOOKUP(D127,#REF!,2,0),IF(C127="EDIF",VLOOKUP(D127,#REF!,2,0),IF(C127="CDHU",VLOOKUP(D127,#REF!,2,0),IF(C127="FDE",VLOOKUP(D127,'FDE 10-23 '!$A$4:$E$3180,2,0),IF(C127="INFRA",VLOOKUP(D127,#REF!,2,0),""))))))),"")</f>
        <v>PF-32 PORTA EM CHAPA DE AÇO 82X210CM C/VENTILAÇÃO</v>
      </c>
      <c r="F127" s="65" t="str">
        <f>VLOOKUP(D127,'FDE 10-23 '!$A$4:$E$3180,3,0)</f>
        <v>UN</v>
      </c>
      <c r="G127" s="66">
        <v>3</v>
      </c>
      <c r="H127" s="67">
        <f>VLOOKUP(D127,'FDE 10-23 '!$A$4:$E$3180,5,0)</f>
        <v>3339.61</v>
      </c>
      <c r="I127" s="68">
        <f t="shared" si="18"/>
        <v>0.23</v>
      </c>
      <c r="J127" s="67">
        <f t="shared" si="19"/>
        <v>4107.72</v>
      </c>
      <c r="K127" s="71">
        <f t="shared" si="20"/>
        <v>12323.16</v>
      </c>
      <c r="L127" s="51"/>
      <c r="M127" s="52"/>
    </row>
    <row r="128" spans="2:13" s="25" customFormat="1" ht="30" customHeight="1" outlineLevel="1">
      <c r="B128" s="61" t="s">
        <v>271</v>
      </c>
      <c r="C128" s="62" t="s">
        <v>26</v>
      </c>
      <c r="D128" s="63" t="s">
        <v>272</v>
      </c>
      <c r="E128" s="64" t="str">
        <f>IFERROR(UPPER(IF(C128="CPU",VLOOKUP(D128,#REF!,2,0),IF(C128="SINAPI",VLOOKUP(D128,#REF!,2,0),IF(C128="EDIF",VLOOKUP(D128,#REF!,2,0),IF(C128="CDHU",VLOOKUP(D128,#REF!,2,0),IF(C128="FDE",VLOOKUP(D128,'FDE 10-23 '!$A$4:$E$3180,2,0),IF(C128="INFRA",VLOOKUP(D128,#REF!,2,0),""))))))),"")</f>
        <v>PT-39 PORTAO EM GRADIL ELETROFUNDIDO (165X230CM)</v>
      </c>
      <c r="F128" s="65" t="str">
        <f>VLOOKUP(D128,'FDE 10-23 '!$A$4:$E$3180,3,0)</f>
        <v>UN</v>
      </c>
      <c r="G128" s="66">
        <v>9</v>
      </c>
      <c r="H128" s="67">
        <f>VLOOKUP(D128,'FDE 10-23 '!$A$4:$E$3180,5,0)</f>
        <v>3765.79</v>
      </c>
      <c r="I128" s="68">
        <f t="shared" si="18"/>
        <v>0.23</v>
      </c>
      <c r="J128" s="67">
        <f t="shared" si="19"/>
        <v>4631.92</v>
      </c>
      <c r="K128" s="71">
        <f t="shared" si="20"/>
        <v>41687.279999999999</v>
      </c>
      <c r="L128" s="51"/>
      <c r="M128" s="52"/>
    </row>
    <row r="129" spans="2:13" s="25" customFormat="1" ht="30" customHeight="1" outlineLevel="1">
      <c r="B129" s="61" t="s">
        <v>273</v>
      </c>
      <c r="C129" s="62" t="s">
        <v>26</v>
      </c>
      <c r="D129" s="63" t="s">
        <v>274</v>
      </c>
      <c r="E129" s="64" t="str">
        <f>IFERROR(UPPER(IF(C129="CPU",VLOOKUP(D129,#REF!,2,0),IF(C129="SINAPI",VLOOKUP(D129,#REF!,2,0),IF(C129="EDIF",VLOOKUP(D129,#REF!,2,0),IF(C129="CDHU",VLOOKUP(D129,#REF!,2,0),IF(C129="FDE",VLOOKUP(D129,'FDE 10-23 '!$A$4:$E$3180,2,0),IF(C129="INFRA",VLOOKUP(D129,#REF!,2,0),""))))))),"")</f>
        <v>ME-02 MONTANTE ESTRUTURAL VERTICAL P/ESQUADRIAS EM VÃO DE 7,20M</v>
      </c>
      <c r="F129" s="65" t="str">
        <f>VLOOKUP(D129,'FDE 10-23 '!$A$4:$E$3180,3,0)</f>
        <v>M</v>
      </c>
      <c r="G129" s="66">
        <v>114.8</v>
      </c>
      <c r="H129" s="67">
        <f>VLOOKUP(D129,'FDE 10-23 '!$A$4:$E$3180,5,0)</f>
        <v>135.31</v>
      </c>
      <c r="I129" s="68">
        <f t="shared" si="18"/>
        <v>0.23</v>
      </c>
      <c r="J129" s="67">
        <f t="shared" si="19"/>
        <v>166.43</v>
      </c>
      <c r="K129" s="71">
        <f t="shared" si="20"/>
        <v>19106.164000000001</v>
      </c>
      <c r="L129" s="51"/>
      <c r="M129" s="52"/>
    </row>
    <row r="130" spans="2:13" s="25" customFormat="1" ht="30" customHeight="1" outlineLevel="1">
      <c r="B130" s="53" t="s">
        <v>275</v>
      </c>
      <c r="C130" s="54"/>
      <c r="D130" s="54" t="s">
        <v>276</v>
      </c>
      <c r="E130" s="55" t="s">
        <v>277</v>
      </c>
      <c r="F130" s="56" t="str">
        <f>IFERROR(UPPER(IF(C130="CPU",VLOOKUP(D130,#REF!,3,0),IF(C130="SINAPI",VLOOKUP(D130,#REF!,3,0),IF(C130="EDIF",VLOOKUP(D130,#REF!,3,0),IF(C130="CDHU",VLOOKUP(D130,#REF!,3,0),IF(C130="FDE",VLOOKUP(D130,#REF!,3,0),IF(C130="INFRA",VLOOKUP(D130,#REF!,3,0),""))))))),"")</f>
        <v/>
      </c>
      <c r="G130" s="57"/>
      <c r="H13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30" s="59"/>
      <c r="J130" s="59"/>
      <c r="K130" s="82">
        <f>SUBTOTAL(9,K131:K138)</f>
        <v>327675.84869999997</v>
      </c>
      <c r="L130" s="51"/>
      <c r="M130" s="52"/>
    </row>
    <row r="131" spans="2:13" s="25" customFormat="1" ht="30" customHeight="1" outlineLevel="1">
      <c r="B131" s="61" t="s">
        <v>278</v>
      </c>
      <c r="C131" s="62" t="s">
        <v>26</v>
      </c>
      <c r="D131" s="63" t="s">
        <v>279</v>
      </c>
      <c r="E131" s="64" t="str">
        <f>IFERROR(UPPER(IF(C131="CPU",VLOOKUP(D131,#REF!,2,0),IF(C131="SINAPI",VLOOKUP(D131,#REF!,2,0),IF(C131="EDIF",VLOOKUP(D131,#REF!,2,0),IF(C131="CDHU",VLOOKUP(D131,#REF!,2,0),IF(C131="FDE",VLOOKUP(D131,'FDE 10-23 '!$A$4:$E$3180,2,0),IF(C131="INFRA",VLOOKUP(D131,#REF!,2,0),""))))))),"")</f>
        <v>TI-01 TAMPA DE INSPECAO - ACO</v>
      </c>
      <c r="F131" s="65" t="str">
        <f>VLOOKUP(D131,'FDE 10-23 '!$A$4:$E$3180,3,0)</f>
        <v>UN</v>
      </c>
      <c r="G131" s="66">
        <v>3</v>
      </c>
      <c r="H131" s="67">
        <f>VLOOKUP(D131,'FDE 10-23 '!$A$4:$E$3180,5,0)</f>
        <v>942.55</v>
      </c>
      <c r="I131" s="68">
        <f t="shared" ref="I131:I138" si="21">$L$10</f>
        <v>0.23</v>
      </c>
      <c r="J131" s="67">
        <f t="shared" ref="J131:J138" si="22">ROUND(H131*(1+I131),2)</f>
        <v>1159.3399999999999</v>
      </c>
      <c r="K131" s="71">
        <f t="shared" ref="K131:K138" si="23">SUM(G131*J131)</f>
        <v>3478.0199999999995</v>
      </c>
      <c r="L131" s="51"/>
      <c r="M131" s="52"/>
    </row>
    <row r="132" spans="2:13" s="25" customFormat="1" ht="30" customHeight="1" outlineLevel="1">
      <c r="B132" s="61" t="s">
        <v>280</v>
      </c>
      <c r="C132" s="62" t="s">
        <v>26</v>
      </c>
      <c r="D132" s="63" t="s">
        <v>281</v>
      </c>
      <c r="E132" s="64" t="str">
        <f>IFERROR(UPPER(IF(C132="CPU",VLOOKUP(D132,#REF!,2,0),IF(C132="SINAPI",VLOOKUP(D132,#REF!,2,0),IF(C132="EDIF",VLOOKUP(D132,#REF!,2,0),IF(C132="CDHU",VLOOKUP(D132,#REF!,2,0),IF(C132="FDE",VLOOKUP(D132,'FDE 10-23 '!$A$4:$E$3180,2,0),IF(C132="INFRA",VLOOKUP(D132,#REF!,2,0),""))))))),"")</f>
        <v>BP-02 BARRA ANTIPANICO DUPLA</v>
      </c>
      <c r="F132" s="65" t="str">
        <f>VLOOKUP(D132,'FDE 10-23 '!$A$4:$E$3180,3,0)</f>
        <v>UN</v>
      </c>
      <c r="G132" s="66">
        <v>2</v>
      </c>
      <c r="H132" s="67">
        <f>VLOOKUP(D132,'FDE 10-23 '!$A$4:$E$3180,5,0)</f>
        <v>1818.89</v>
      </c>
      <c r="I132" s="68">
        <f t="shared" si="21"/>
        <v>0.23</v>
      </c>
      <c r="J132" s="67">
        <f t="shared" si="22"/>
        <v>2237.23</v>
      </c>
      <c r="K132" s="71">
        <f t="shared" si="23"/>
        <v>4474.46</v>
      </c>
      <c r="L132" s="51"/>
      <c r="M132" s="52"/>
    </row>
    <row r="133" spans="2:13" s="25" customFormat="1" ht="30" customHeight="1" outlineLevel="1">
      <c r="B133" s="61" t="s">
        <v>282</v>
      </c>
      <c r="C133" s="62" t="s">
        <v>26</v>
      </c>
      <c r="D133" s="63" t="s">
        <v>283</v>
      </c>
      <c r="E133" s="64" t="str">
        <f>IFERROR(UPPER(IF(C133="CPU",VLOOKUP(D133,#REF!,2,0),IF(C133="SINAPI",VLOOKUP(D133,#REF!,2,0),IF(C133="EDIF",VLOOKUP(D133,#REF!,2,0),IF(C133="CDHU",VLOOKUP(D133,#REF!,2,0),IF(C133="FDE",VLOOKUP(D133,'FDE 10-23 '!$A$4:$E$3180,2,0),IF(C133="INFRA",VLOOKUP(D133,#REF!,2,0),""))))))),"")</f>
        <v>TP-03 TELA DE PROTEÇÃO ARAME GALVANIZADO ONDULADO  - REQUADRO DE FERRO</v>
      </c>
      <c r="F133" s="65" t="str">
        <f>VLOOKUP(D133,'FDE 10-23 '!$A$4:$E$3180,3,0)</f>
        <v>M2</v>
      </c>
      <c r="G133" s="66">
        <v>13.85</v>
      </c>
      <c r="H133" s="67">
        <f>VLOOKUP(D133,'FDE 10-23 '!$A$4:$E$3180,5,0)</f>
        <v>462.9</v>
      </c>
      <c r="I133" s="68">
        <f t="shared" si="21"/>
        <v>0.23</v>
      </c>
      <c r="J133" s="67">
        <f t="shared" si="22"/>
        <v>569.37</v>
      </c>
      <c r="K133" s="71">
        <f t="shared" si="23"/>
        <v>7885.7744999999995</v>
      </c>
      <c r="L133" s="51"/>
      <c r="M133" s="52"/>
    </row>
    <row r="134" spans="2:13" s="25" customFormat="1" ht="30" customHeight="1" outlineLevel="1">
      <c r="B134" s="61" t="s">
        <v>284</v>
      </c>
      <c r="C134" s="62" t="s">
        <v>26</v>
      </c>
      <c r="D134" s="63" t="s">
        <v>285</v>
      </c>
      <c r="E134" s="64" t="str">
        <f>IFERROR(UPPER(IF(C134="CPU",VLOOKUP(D134,#REF!,2,0),IF(C134="SINAPI",VLOOKUP(D134,#REF!,2,0),IF(C134="EDIF",VLOOKUP(D134,#REF!,2,0),IF(C134="CDHU",VLOOKUP(D134,#REF!,2,0),IF(C134="FDE",VLOOKUP(D134,'FDE 10-23 '!$A$4:$E$3180,2,0),IF(C134="INFRA",VLOOKUP(D134,#REF!,2,0),""))))))),"")</f>
        <v>EM-05 ESCADA MARINHEIRO (GALVANIZADA)</v>
      </c>
      <c r="F134" s="65" t="str">
        <f>VLOOKUP(D134,'FDE 10-23 '!$A$4:$E$3180,3,0)</f>
        <v>M</v>
      </c>
      <c r="G134" s="66">
        <v>8</v>
      </c>
      <c r="H134" s="67">
        <f>VLOOKUP(D134,'FDE 10-23 '!$A$4:$E$3180,5,0)</f>
        <v>811.59</v>
      </c>
      <c r="I134" s="68">
        <f t="shared" si="21"/>
        <v>0.23</v>
      </c>
      <c r="J134" s="67">
        <f t="shared" si="22"/>
        <v>998.26</v>
      </c>
      <c r="K134" s="71">
        <f t="shared" si="23"/>
        <v>7986.08</v>
      </c>
      <c r="L134" s="51"/>
      <c r="M134" s="52"/>
    </row>
    <row r="135" spans="2:13" s="25" customFormat="1" ht="30" customHeight="1" outlineLevel="1">
      <c r="B135" s="61" t="s">
        <v>286</v>
      </c>
      <c r="C135" s="62" t="s">
        <v>26</v>
      </c>
      <c r="D135" s="63" t="s">
        <v>287</v>
      </c>
      <c r="E135" s="64" t="str">
        <f>IFERROR(UPPER(IF(C135="CPU",VLOOKUP(D135,#REF!,2,0),IF(C135="SINAPI",VLOOKUP(D135,#REF!,2,0),IF(C135="EDIF",VLOOKUP(D135,#REF!,2,0),IF(C135="CDHU",VLOOKUP(D135,#REF!,2,0),IF(C135="FDE",VLOOKUP(D135,'FDE 10-23 '!$A$4:$E$3180,2,0),IF(C135="INFRA",VLOOKUP(D135,#REF!,2,0),""))))))),"")</f>
        <v>EM-06 ESCADA DE MARINHEIRO C/GUARDA CORPO GALVANIZADA</v>
      </c>
      <c r="F135" s="65" t="str">
        <f>VLOOKUP(D135,'FDE 10-23 '!$A$4:$E$3180,3,0)</f>
        <v>M</v>
      </c>
      <c r="G135" s="66">
        <v>18</v>
      </c>
      <c r="H135" s="67">
        <f>VLOOKUP(D135,'FDE 10-23 '!$A$4:$E$3180,5,0)</f>
        <v>1411.13</v>
      </c>
      <c r="I135" s="68">
        <f t="shared" si="21"/>
        <v>0.23</v>
      </c>
      <c r="J135" s="67">
        <f t="shared" si="22"/>
        <v>1735.69</v>
      </c>
      <c r="K135" s="71">
        <f t="shared" si="23"/>
        <v>31242.420000000002</v>
      </c>
      <c r="L135" s="51"/>
      <c r="M135" s="52"/>
    </row>
    <row r="136" spans="2:13" s="25" customFormat="1" ht="30" customHeight="1" outlineLevel="1">
      <c r="B136" s="61" t="s">
        <v>288</v>
      </c>
      <c r="C136" s="62" t="s">
        <v>26</v>
      </c>
      <c r="D136" s="63" t="s">
        <v>289</v>
      </c>
      <c r="E136" s="64" t="str">
        <f>IFERROR(UPPER(IF(C136="CPU",VLOOKUP(D136,#REF!,2,0),IF(C136="SINAPI",VLOOKUP(D136,#REF!,2,0),IF(C136="EDIF",VLOOKUP(D136,#REF!,2,0),IF(C136="CDHU",VLOOKUP(D136,#REF!,2,0),IF(C136="FDE",VLOOKUP(D136,'FDE 10-23 '!$A$4:$E$3180,2,0),IF(C136="INFRA",VLOOKUP(D136,#REF!,2,0),""))))))),"")</f>
        <v>TP-12 TELA DE PROTECAO REMOVIVEL</v>
      </c>
      <c r="F136" s="65" t="str">
        <f>VLOOKUP(D136,'FDE 10-23 '!$A$4:$E$3180,3,0)</f>
        <v>M2</v>
      </c>
      <c r="G136" s="66">
        <v>86.86</v>
      </c>
      <c r="H136" s="67">
        <f>VLOOKUP(D136,'FDE 10-23 '!$A$4:$E$3180,5,0)</f>
        <v>1075.0999999999999</v>
      </c>
      <c r="I136" s="68">
        <f t="shared" si="21"/>
        <v>0.23</v>
      </c>
      <c r="J136" s="67">
        <f t="shared" si="22"/>
        <v>1322.37</v>
      </c>
      <c r="K136" s="71">
        <f t="shared" si="23"/>
        <v>114861.05819999998</v>
      </c>
      <c r="L136" s="51"/>
      <c r="M136" s="52"/>
    </row>
    <row r="137" spans="2:13" s="25" customFormat="1" ht="30" customHeight="1" outlineLevel="1">
      <c r="B137" s="61" t="s">
        <v>290</v>
      </c>
      <c r="C137" s="62" t="s">
        <v>26</v>
      </c>
      <c r="D137" s="63" t="s">
        <v>291</v>
      </c>
      <c r="E137" s="64" t="str">
        <f>IFERROR(UPPER(IF(C137="CPU",VLOOKUP(D137,#REF!,2,0),IF(C137="SINAPI",VLOOKUP(D137,#REF!,2,0),IF(C137="EDIF",VLOOKUP(D137,#REF!,2,0),IF(C137="CDHU",VLOOKUP(D137,#REF!,2,0),IF(C137="FDE",VLOOKUP(D137,'FDE 10-23 '!$A$4:$E$3180,2,0),IF(C137="INFRA",VLOOKUP(D137,#REF!,2,0),""))))))),"")</f>
        <v>CO-34 CORRIMÃO DUPLO AÇO GALVANIZADO COM PINTURA ESMALTE.</v>
      </c>
      <c r="F137" s="65" t="str">
        <f>VLOOKUP(D137,'FDE 10-23 '!$A$4:$E$3180,3,0)</f>
        <v>M</v>
      </c>
      <c r="G137" s="66">
        <v>157.69999999999999</v>
      </c>
      <c r="H137" s="67">
        <f>VLOOKUP(D137,'FDE 10-23 '!$A$4:$E$3180,5,0)</f>
        <v>568.98</v>
      </c>
      <c r="I137" s="68">
        <f t="shared" si="21"/>
        <v>0.23</v>
      </c>
      <c r="J137" s="67">
        <f t="shared" si="22"/>
        <v>699.85</v>
      </c>
      <c r="K137" s="71">
        <f t="shared" si="23"/>
        <v>110366.345</v>
      </c>
      <c r="L137" s="51"/>
      <c r="M137" s="52"/>
    </row>
    <row r="138" spans="2:13" s="25" customFormat="1" ht="30" customHeight="1" outlineLevel="1">
      <c r="B138" s="61" t="s">
        <v>292</v>
      </c>
      <c r="C138" s="62" t="s">
        <v>26</v>
      </c>
      <c r="D138" s="63" t="s">
        <v>293</v>
      </c>
      <c r="E138" s="64" t="str">
        <f>IFERROR(UPPER(IF(C138="CPU",VLOOKUP(D138,#REF!,2,0),IF(C138="SINAPI",VLOOKUP(D138,#REF!,2,0),IF(C138="EDIF",VLOOKUP(D138,#REF!,2,0),IF(C138="CDHU",VLOOKUP(D138,#REF!,2,0),IF(C138="FDE",VLOOKUP(D138,'FDE 10-23 '!$A$4:$E$3180,2,0),IF(C138="INFRA",VLOOKUP(D138,#REF!,2,0),""))))))),"")</f>
        <v>CO-40 GUARDA-CORPO TUBULAR H=15CM SOBRE ALVENARIA AÇO GALVANIZADO COM PINTURA ESMALTE</v>
      </c>
      <c r="F138" s="65" t="str">
        <f>VLOOKUP(D138,'FDE 10-23 '!$A$4:$E$3180,3,0)</f>
        <v>M</v>
      </c>
      <c r="G138" s="66">
        <v>79.099999999999994</v>
      </c>
      <c r="H138" s="67">
        <f>VLOOKUP(D138,'FDE 10-23 '!$A$4:$E$3180,5,0)</f>
        <v>487</v>
      </c>
      <c r="I138" s="68">
        <f t="shared" si="21"/>
        <v>0.23</v>
      </c>
      <c r="J138" s="67">
        <f t="shared" si="22"/>
        <v>599.01</v>
      </c>
      <c r="K138" s="71">
        <f t="shared" si="23"/>
        <v>47381.690999999999</v>
      </c>
      <c r="L138" s="51"/>
      <c r="M138" s="52"/>
    </row>
    <row r="139" spans="2:13" s="25" customFormat="1" ht="30" customHeight="1">
      <c r="B139" s="43">
        <v>7</v>
      </c>
      <c r="C139" s="44"/>
      <c r="D139" s="44" t="s">
        <v>294</v>
      </c>
      <c r="E139" s="45" t="s">
        <v>295</v>
      </c>
      <c r="F139" s="46" t="str">
        <f>IFERROR(UPPER(IF(C139="CPU",VLOOKUP(D139,#REF!,3,0),IF(C139="SINAPI",VLOOKUP(D139,#REF!,3,0),IF(C139="EDIF",VLOOKUP(D139,#REF!,3,0),IF(C139="CDHU",VLOOKUP(D139,#REF!,3,0),IF(C139="FDE",VLOOKUP(D139,#REF!,3,0),IF(C139="INFRA",VLOOKUP(D139,#REF!,3,0),""))))))),"")</f>
        <v/>
      </c>
      <c r="G139" s="47"/>
      <c r="H139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39" s="49"/>
      <c r="J139" s="49"/>
      <c r="K139" s="81">
        <f>SUBTOTAL(9,K140:K151)</f>
        <v>1424016.5486000003</v>
      </c>
      <c r="L139" s="51"/>
      <c r="M139" s="52"/>
    </row>
    <row r="140" spans="2:13" s="25" customFormat="1" ht="30" customHeight="1" outlineLevel="1">
      <c r="B140" s="53" t="s">
        <v>296</v>
      </c>
      <c r="C140" s="54"/>
      <c r="D140" s="54" t="s">
        <v>297</v>
      </c>
      <c r="E140" s="55" t="s">
        <v>298</v>
      </c>
      <c r="F140" s="56" t="str">
        <f>IFERROR(UPPER(IF(C140="CPU",VLOOKUP(D140,#REF!,3,0),IF(C140="SINAPI",VLOOKUP(D140,#REF!,3,0),IF(C140="EDIF",VLOOKUP(D140,#REF!,3,0),IF(C140="CDHU",VLOOKUP(D140,#REF!,3,0),IF(C140="FDE",VLOOKUP(D140,#REF!,3,0),IF(C140="INFRA",VLOOKUP(D140,#REF!,3,0),""))))))),"")</f>
        <v/>
      </c>
      <c r="G140" s="57"/>
      <c r="H14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40" s="59"/>
      <c r="J140" s="59"/>
      <c r="K140" s="82">
        <f>SUBTOTAL(9,K141)</f>
        <v>963200.64</v>
      </c>
      <c r="L140" s="51"/>
      <c r="M140" s="52"/>
    </row>
    <row r="141" spans="2:13" s="25" customFormat="1" ht="30" customHeight="1" outlineLevel="1">
      <c r="B141" s="61" t="s">
        <v>299</v>
      </c>
      <c r="C141" s="62" t="s">
        <v>26</v>
      </c>
      <c r="D141" s="63" t="s">
        <v>300</v>
      </c>
      <c r="E141" s="64" t="str">
        <f>IFERROR(UPPER(IF(C141="CPU",VLOOKUP(D141,#REF!,2,0),IF(C141="SINAPI",VLOOKUP(D141,#REF!,2,0),IF(C141="EDIF",VLOOKUP(D141,#REF!,2,0),IF(C141="CDHU",VLOOKUP(D141,#REF!,2,0),IF(C141="FDE",VLOOKUP(D141,'FDE 10-23 '!$A$4:$E$3180,2,0),IF(C141="INFRA",VLOOKUP(D141,#REF!,2,0),""))))))),"")</f>
        <v>FORNECIMENTO E MONTAGEM DE ESTRUTURA METALICA COM AÇO NAO PATINAVE (ASTM A36/A570)</v>
      </c>
      <c r="F141" s="65" t="str">
        <f>VLOOKUP(D141,'FDE 10-23 '!$A$4:$E$3180,3,0)</f>
        <v>KG</v>
      </c>
      <c r="G141" s="66">
        <v>29802</v>
      </c>
      <c r="H141" s="67">
        <f>VLOOKUP(D141,'FDE 10-23 '!$A$4:$E$3180,5,0)</f>
        <v>26.28</v>
      </c>
      <c r="I141" s="68">
        <f>$L$10</f>
        <v>0.23</v>
      </c>
      <c r="J141" s="67">
        <f>ROUND(H141*(1+I141),2)</f>
        <v>32.32</v>
      </c>
      <c r="K141" s="71">
        <f>SUM(G141*J141)</f>
        <v>963200.64</v>
      </c>
      <c r="L141" s="51"/>
      <c r="M141" s="52"/>
    </row>
    <row r="142" spans="2:13" s="25" customFormat="1" ht="30" customHeight="1" outlineLevel="1">
      <c r="B142" s="53" t="s">
        <v>301</v>
      </c>
      <c r="C142" s="54"/>
      <c r="D142" s="54" t="s">
        <v>302</v>
      </c>
      <c r="E142" s="55" t="s">
        <v>295</v>
      </c>
      <c r="F142" s="56" t="str">
        <f>IFERROR(UPPER(IF(C142="CPU",VLOOKUP(D142,#REF!,3,0),IF(C142="SINAPI",VLOOKUP(D142,#REF!,3,0),IF(C142="EDIF",VLOOKUP(D142,#REF!,3,0),IF(C142="CDHU",VLOOKUP(D142,#REF!,3,0),IF(C142="FDE",VLOOKUP(D142,#REF!,3,0),IF(C142="INFRA",VLOOKUP(D142,#REF!,3,0),""))))))),"")</f>
        <v/>
      </c>
      <c r="G142" s="57"/>
      <c r="H142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42" s="59"/>
      <c r="J142" s="59"/>
      <c r="K142" s="82">
        <f>SUBTOTAL(9,K143:K145)</f>
        <v>347926.83979999996</v>
      </c>
      <c r="L142" s="51"/>
      <c r="M142" s="52"/>
    </row>
    <row r="143" spans="2:13" s="25" customFormat="1" ht="30" customHeight="1" outlineLevel="1">
      <c r="B143" s="61" t="s">
        <v>303</v>
      </c>
      <c r="C143" s="62" t="s">
        <v>26</v>
      </c>
      <c r="D143" s="63" t="s">
        <v>304</v>
      </c>
      <c r="E143" s="64" t="str">
        <f>IFERROR(UPPER(IF(C143="CPU",VLOOKUP(D143,#REF!,2,0),IF(C143="SINAPI",VLOOKUP(D143,#REF!,2,0),IF(C143="EDIF",VLOOKUP(D143,#REF!,2,0),IF(C143="CDHU",VLOOKUP(D143,#REF!,2,0),IF(C143="FDE",VLOOKUP(D143,'FDE 10-23 '!$A$4:$E$3180,2,0),IF(C143="INFRA",VLOOKUP(D143,#REF!,2,0),""))))))),"")</f>
        <v>TELHA DE POLIESTER (PERFIL DA TRAPEZOIDAL ACO H ATE 40MM) - E=1,2MM</v>
      </c>
      <c r="F143" s="65" t="str">
        <f>VLOOKUP(D143,'FDE 10-23 '!$A$4:$E$3180,3,0)</f>
        <v>M2</v>
      </c>
      <c r="G143" s="66">
        <v>111.73</v>
      </c>
      <c r="H143" s="67">
        <f>VLOOKUP(D143,'FDE 10-23 '!$A$4:$E$3180,5,0)</f>
        <v>74.930000000000007</v>
      </c>
      <c r="I143" s="68">
        <f>$L$10</f>
        <v>0.23</v>
      </c>
      <c r="J143" s="67">
        <f>ROUND(H143*(1+I143),2)</f>
        <v>92.16</v>
      </c>
      <c r="K143" s="71">
        <f>SUM(G143*J143)</f>
        <v>10297.0368</v>
      </c>
      <c r="L143" s="51"/>
      <c r="M143" s="52"/>
    </row>
    <row r="144" spans="2:13" s="25" customFormat="1" ht="30" customHeight="1" outlineLevel="1">
      <c r="B144" s="61" t="s">
        <v>305</v>
      </c>
      <c r="C144" s="62" t="s">
        <v>26</v>
      </c>
      <c r="D144" s="63" t="s">
        <v>306</v>
      </c>
      <c r="E144" s="70" t="str">
        <f>IFERROR(UPPER(IF(C144="CPU",VLOOKUP(D144,#REF!,2,0),IF(C144="SINAPI",VLOOKUP(D144,#REF!,2,0),IF(C144="EDIF",VLOOKUP(D144,#REF!,2,0),IF(C144="CDHU",VLOOKUP(D144,#REF!,2,0),IF(C144="FDE",VLOOKUP(D144,'FDE 10-23 '!$A$4:$E$3180,2,0),IF(C144="INFRA",VLOOKUP(D144,#REF!,2,0),""))))))),"")</f>
        <v>TELHA GALVALUME / ACO GALV ACABAMENTO.NATURAL TRAPEZ H=40MM
.E=0,65MM</v>
      </c>
      <c r="F144" s="65" t="str">
        <f>VLOOKUP(D144,'FDE 10-23 '!$A$4:$E$3180,3,0)</f>
        <v>M2</v>
      </c>
      <c r="G144" s="66">
        <v>1496.6</v>
      </c>
      <c r="H144" s="67">
        <f>VLOOKUP(D144,'FDE 10-23 '!$A$4:$E$3180,5,0)</f>
        <v>100.09</v>
      </c>
      <c r="I144" s="68">
        <f>$L$10</f>
        <v>0.23</v>
      </c>
      <c r="J144" s="67">
        <f>ROUND(H144*(1+I144),2)</f>
        <v>123.11</v>
      </c>
      <c r="K144" s="71">
        <f>SUM(G144*J144)</f>
        <v>184246.42599999998</v>
      </c>
      <c r="L144" s="51"/>
      <c r="M144" s="52"/>
    </row>
    <row r="145" spans="2:13" s="25" customFormat="1" ht="30" customHeight="1" outlineLevel="1">
      <c r="B145" s="61" t="s">
        <v>307</v>
      </c>
      <c r="C145" s="62" t="s">
        <v>26</v>
      </c>
      <c r="D145" s="63" t="s">
        <v>308</v>
      </c>
      <c r="E145" s="64" t="str">
        <f>IFERROR(UPPER(IF(C145="CPU",VLOOKUP(D145,#REF!,2,0),IF(C145="SINAPI",VLOOKUP(D145,#REF!,2,0),IF(C145="EDIF",VLOOKUP(D145,#REF!,2,0),IF(C145="CDHU",VLOOKUP(D145,#REF!,2,0),IF(C145="FDE",VLOOKUP(D145,'FDE 10-23 '!$A$4:$E$3180,2,0),IF(C145="INFRA",VLOOKUP(D145,#REF!,2,0),""))))))),"")</f>
        <v>TELHA GALVALUME / ACO GALV SANDUICHE  E=50MM (PUR) / (PIR) SUPERIOR TRAPEZ H=40MM / INFERIOR PLANO  E= 0,50MM  COM PINT FACES APARENTES</v>
      </c>
      <c r="F145" s="65" t="str">
        <f>VLOOKUP(D145,'FDE 10-23 '!$A$4:$E$3180,3,0)</f>
        <v>M2</v>
      </c>
      <c r="G145" s="66">
        <v>607.82000000000005</v>
      </c>
      <c r="H145" s="67">
        <f>VLOOKUP(D145,'FDE 10-23 '!$A$4:$E$3180,5,0)</f>
        <v>205.16</v>
      </c>
      <c r="I145" s="68">
        <f>$L$10</f>
        <v>0.23</v>
      </c>
      <c r="J145" s="67">
        <f>ROUND(H145*(1+I145),2)</f>
        <v>252.35</v>
      </c>
      <c r="K145" s="71">
        <f>SUM(G145*J145)</f>
        <v>153383.37700000001</v>
      </c>
      <c r="L145" s="51"/>
      <c r="M145" s="52"/>
    </row>
    <row r="146" spans="2:13" s="25" customFormat="1" ht="30" customHeight="1" outlineLevel="1">
      <c r="B146" s="53" t="s">
        <v>309</v>
      </c>
      <c r="C146" s="54"/>
      <c r="D146" s="54" t="s">
        <v>310</v>
      </c>
      <c r="E146" s="55" t="s">
        <v>311</v>
      </c>
      <c r="F146" s="56" t="str">
        <f>IFERROR(UPPER(IF(C146="CPU",VLOOKUP(D146,#REF!,3,0),IF(C146="SINAPI",VLOOKUP(D146,#REF!,3,0),IF(C146="EDIF",VLOOKUP(D146,#REF!,3,0),IF(C146="CDHU",VLOOKUP(D146,#REF!,3,0),IF(C146="FDE",VLOOKUP(D146,#REF!,3,0),IF(C146="INFRA",VLOOKUP(D146,#REF!,3,0),""))))))),"")</f>
        <v/>
      </c>
      <c r="G146" s="57"/>
      <c r="H146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46" s="59"/>
      <c r="J146" s="59"/>
      <c r="K146" s="82">
        <f>SUBTOTAL(9,K147:K148)</f>
        <v>16519.968000000001</v>
      </c>
      <c r="L146" s="51"/>
      <c r="M146" s="52"/>
    </row>
    <row r="147" spans="2:13" s="25" customFormat="1" ht="30" customHeight="1" outlineLevel="1">
      <c r="B147" s="61" t="s">
        <v>312</v>
      </c>
      <c r="C147" s="62" t="s">
        <v>26</v>
      </c>
      <c r="D147" s="63" t="s">
        <v>313</v>
      </c>
      <c r="E147" s="64" t="str">
        <f>IFERROR(UPPER(IF(C147="CPU",VLOOKUP(D147,#REF!,2,0),IF(C147="SINAPI",VLOOKUP(D147,#REF!,2,0),IF(C147="EDIF",VLOOKUP(D147,#REF!,2,0),IF(C147="CDHU",VLOOKUP(D147,#REF!,2,0),IF(C147="FDE",VLOOKUP(D147,'FDE 10-23 '!$A$4:$E$3180,2,0),IF(C147="INFRA",VLOOKUP(D147,#REF!,2,0),""))))))),"")</f>
        <v>CUMEEIRA ACO GALV PINT PO/COIL-COATING PERFIL TRAPEZ H=100MM  E=0,65MM</v>
      </c>
      <c r="F147" s="65" t="str">
        <f>VLOOKUP(D147,'FDE 10-23 '!$A$4:$E$3180,3,0)</f>
        <v>M</v>
      </c>
      <c r="G147" s="66">
        <v>28.8</v>
      </c>
      <c r="H147" s="67">
        <f>VLOOKUP(D147,'FDE 10-23 '!$A$4:$E$3180,5,0)</f>
        <v>139.13</v>
      </c>
      <c r="I147" s="68">
        <f>$L$10</f>
        <v>0.23</v>
      </c>
      <c r="J147" s="67">
        <f>ROUND(H147*(1+I147),2)</f>
        <v>171.13</v>
      </c>
      <c r="K147" s="71">
        <f>SUM(G147*J147)</f>
        <v>4928.5439999999999</v>
      </c>
      <c r="L147" s="51"/>
      <c r="M147" s="52"/>
    </row>
    <row r="148" spans="2:13" s="25" customFormat="1" ht="30" customHeight="1" outlineLevel="1">
      <c r="B148" s="61" t="s">
        <v>314</v>
      </c>
      <c r="C148" s="62" t="s">
        <v>26</v>
      </c>
      <c r="D148" s="63" t="s">
        <v>315</v>
      </c>
      <c r="E148" s="64" t="str">
        <f>IFERROR(UPPER(IF(C148="CPU",VLOOKUP(D148,#REF!,2,0),IF(C148="SINAPI",VLOOKUP(D148,#REF!,2,0),IF(C148="EDIF",VLOOKUP(D148,#REF!,2,0),IF(C148="CDHU",VLOOKUP(D148,#REF!,2,0),IF(C148="FDE",VLOOKUP(D148,'FDE 10-23 '!$A$4:$E$3180,2,0),IF(C148="INFRA",VLOOKUP(D148,#REF!,2,0),""))))))),"")</f>
        <v>CUMEEIRA DE ACO GALV NATURAL PERFIL TRAP E=0,5MM H=100MM</v>
      </c>
      <c r="F148" s="65" t="str">
        <f>VLOOKUP(D148,'FDE 10-23 '!$A$4:$E$3180,3,0)</f>
        <v>M</v>
      </c>
      <c r="G148" s="66">
        <v>64.8</v>
      </c>
      <c r="H148" s="67">
        <f>VLOOKUP(D148,'FDE 10-23 '!$A$4:$E$3180,5,0)</f>
        <v>145.43</v>
      </c>
      <c r="I148" s="68">
        <f>$L$10</f>
        <v>0.23</v>
      </c>
      <c r="J148" s="67">
        <f>ROUND(H148*(1+I148),2)</f>
        <v>178.88</v>
      </c>
      <c r="K148" s="71">
        <f>SUM(G148*J148)</f>
        <v>11591.423999999999</v>
      </c>
      <c r="L148" s="51"/>
      <c r="M148" s="52"/>
    </row>
    <row r="149" spans="2:13" s="25" customFormat="1" ht="30" customHeight="1" outlineLevel="1">
      <c r="B149" s="53" t="s">
        <v>316</v>
      </c>
      <c r="C149" s="54"/>
      <c r="D149" s="54" t="s">
        <v>317</v>
      </c>
      <c r="E149" s="55" t="s">
        <v>318</v>
      </c>
      <c r="F149" s="56" t="str">
        <f>IFERROR(UPPER(IF(C149="CPU",VLOOKUP(D149,#REF!,3,0),IF(C149="SINAPI",VLOOKUP(D149,#REF!,3,0),IF(C149="EDIF",VLOOKUP(D149,#REF!,3,0),IF(C149="CDHU",VLOOKUP(D149,#REF!,3,0),IF(C149="FDE",VLOOKUP(D149,#REF!,3,0),IF(C149="INFRA",VLOOKUP(D149,#REF!,3,0),""))))))),"")</f>
        <v/>
      </c>
      <c r="G149" s="57"/>
      <c r="H149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49" s="59"/>
      <c r="J149" s="59"/>
      <c r="K149" s="82">
        <f>SUBTOTAL(9,K150:K151)</f>
        <v>96369.100799999986</v>
      </c>
      <c r="L149" s="51"/>
      <c r="M149" s="52"/>
    </row>
    <row r="150" spans="2:13" s="25" customFormat="1" ht="30" customHeight="1" outlineLevel="1">
      <c r="B150" s="61" t="s">
        <v>319</v>
      </c>
      <c r="C150" s="62" t="s">
        <v>26</v>
      </c>
      <c r="D150" s="63" t="s">
        <v>320</v>
      </c>
      <c r="E150" s="70" t="str">
        <f>IFERROR(UPPER(IF(C150="CPU",VLOOKUP(D150,#REF!,2,0),IF(C150="SINAPI",VLOOKUP(D150,#REF!,2,0),IF(C150="EDIF",VLOOKUP(D150,#REF!,2,0),IF(C150="CDHU",VLOOKUP(D150,#REF!,2,0),IF(C150="FDE",VLOOKUP(D150,'FDE 10-23 '!$A$4:$E$3180,2,0),IF(C150="INFRA",VLOOKUP(D150,#REF!,2,0),""))))))),"")</f>
        <v>FECHAMENTO TELHA PERF GALVALUME / ACO GALV
TRAPEZ H=40MM E=0,65MM PINT PO 2 FACES  Ø FURO ATE 3,17MM AREA PERFURADA ATÉ 40%</v>
      </c>
      <c r="F150" s="65" t="str">
        <f>VLOOKUP(D150,'FDE 10-23 '!$A$4:$E$3180,3,0)</f>
        <v>M2</v>
      </c>
      <c r="G150" s="66">
        <v>368.2</v>
      </c>
      <c r="H150" s="67">
        <f>VLOOKUP(D150,'FDE 10-23 '!$A$4:$E$3180,5,0)</f>
        <v>136.38999999999999</v>
      </c>
      <c r="I150" s="68">
        <f>$L$10</f>
        <v>0.23</v>
      </c>
      <c r="J150" s="67">
        <f>ROUND(H150*(1+I150),2)</f>
        <v>167.76</v>
      </c>
      <c r="K150" s="71">
        <f>SUM(G150*J150)</f>
        <v>61769.231999999996</v>
      </c>
      <c r="L150" s="51"/>
      <c r="M150" s="52"/>
    </row>
    <row r="151" spans="2:13" s="25" customFormat="1" ht="30" customHeight="1" outlineLevel="1">
      <c r="B151" s="61" t="s">
        <v>321</v>
      </c>
      <c r="C151" s="62" t="s">
        <v>26</v>
      </c>
      <c r="D151" s="63" t="s">
        <v>322</v>
      </c>
      <c r="E151" s="64" t="str">
        <f>IFERROR(UPPER(IF(C151="CPU",VLOOKUP(D151,#REF!,2,0),IF(C151="SINAPI",VLOOKUP(D151,#REF!,2,0),IF(C151="EDIF",VLOOKUP(D151,#REF!,2,0),IF(C151="CDHU",VLOOKUP(D151,#REF!,2,0),IF(C151="FDE",VLOOKUP(D151,'FDE 10-23 '!$A$4:$E$3180,2,0),IF(C151="INFRA",VLOOKUP(D151,#REF!,2,0),""))))))),"")</f>
        <v>FECHAMENTO TELHA PERF GALVALUME / ACO GALV TRAPEZ H=35MM E=0,65MM PINT PO 2 FACES  Ø FURO ATE 3,17MM AREA PERFURADA ATÉ 40%</v>
      </c>
      <c r="F151" s="65" t="str">
        <f>VLOOKUP(D151,'FDE 10-23 '!$A$4:$E$3180,3,0)</f>
        <v>M2</v>
      </c>
      <c r="G151" s="66">
        <v>221.34</v>
      </c>
      <c r="H151" s="67">
        <f>VLOOKUP(D151,'FDE 10-23 '!$A$4:$E$3180,5,0)</f>
        <v>127.09</v>
      </c>
      <c r="I151" s="68">
        <f>$L$10</f>
        <v>0.23</v>
      </c>
      <c r="J151" s="67">
        <f>ROUND(H151*(1+I151),2)</f>
        <v>156.32</v>
      </c>
      <c r="K151" s="71">
        <f>SUM(G151*J151)</f>
        <v>34599.868799999997</v>
      </c>
      <c r="L151" s="51"/>
      <c r="M151" s="52"/>
    </row>
    <row r="152" spans="2:13" s="25" customFormat="1" ht="30" customHeight="1">
      <c r="B152" s="43">
        <v>8</v>
      </c>
      <c r="C152" s="44"/>
      <c r="D152" s="44" t="s">
        <v>323</v>
      </c>
      <c r="E152" s="45" t="s">
        <v>324</v>
      </c>
      <c r="F152" s="46" t="str">
        <f>IFERROR(UPPER(IF(C152="CPU",VLOOKUP(D152,#REF!,3,0),IF(C152="SINAPI",VLOOKUP(D152,#REF!,3,0),IF(C152="EDIF",VLOOKUP(D152,#REF!,3,0),IF(C152="CDHU",VLOOKUP(D152,#REF!,3,0),IF(C152="FDE",VLOOKUP(D152,#REF!,3,0),IF(C152="INFRA",VLOOKUP(D152,#REF!,3,0),""))))))),"")</f>
        <v/>
      </c>
      <c r="G152" s="47"/>
      <c r="H152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52" s="49"/>
      <c r="J152" s="49"/>
      <c r="K152" s="81">
        <f>SUBTOTAL(9,K153:K269)</f>
        <v>1010416.2186</v>
      </c>
      <c r="L152" s="51"/>
      <c r="M152" s="52"/>
    </row>
    <row r="153" spans="2:13" s="25" customFormat="1" ht="30" customHeight="1" outlineLevel="1">
      <c r="B153" s="53" t="s">
        <v>325</v>
      </c>
      <c r="C153" s="54"/>
      <c r="D153" s="54" t="s">
        <v>326</v>
      </c>
      <c r="E153" s="55" t="s">
        <v>327</v>
      </c>
      <c r="F153" s="56" t="str">
        <f>IFERROR(UPPER(IF(C153="CPU",VLOOKUP(D153,#REF!,3,0),IF(C153="SINAPI",VLOOKUP(D153,#REF!,3,0),IF(C153="EDIF",VLOOKUP(D153,#REF!,3,0),IF(C153="CDHU",VLOOKUP(D153,#REF!,3,0),IF(C153="FDE",VLOOKUP(D153,#REF!,3,0),IF(C153="INFRA",VLOOKUP(D153,#REF!,3,0),""))))))),"")</f>
        <v/>
      </c>
      <c r="G153" s="57"/>
      <c r="H153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53" s="59"/>
      <c r="J153" s="59"/>
      <c r="K153" s="82">
        <f>SUBTOTAL(9,K154)</f>
        <v>2041.58</v>
      </c>
      <c r="L153" s="51"/>
      <c r="M153" s="52"/>
    </row>
    <row r="154" spans="2:13" s="25" customFormat="1" ht="30" customHeight="1" outlineLevel="1">
      <c r="B154" s="61" t="s">
        <v>328</v>
      </c>
      <c r="C154" s="62" t="s">
        <v>26</v>
      </c>
      <c r="D154" s="63" t="s">
        <v>329</v>
      </c>
      <c r="E154" s="64" t="str">
        <f>IFERROR(UPPER(IF(C154="CPU",VLOOKUP(D154,#REF!,2,0),IF(C154="SINAPI",VLOOKUP(D154,#REF!,2,0),IF(C154="EDIF",VLOOKUP(D154,#REF!,2,0),IF(C154="CDHU",VLOOKUP(D154,#REF!,2,0),IF(C154="FDE",VLOOKUP(D154,'FDE 10-23 '!$A$4:$E$3180,2,0),IF(C154="INFRA",VLOOKUP(D154,#REF!,2,0),""))))))),"")</f>
        <v>AC-05 ABRIGO E CAVALETE DE 1" COMPLETO 85X65X30CM</v>
      </c>
      <c r="F154" s="65" t="str">
        <f>VLOOKUP(D154,'FDE 10-23 '!$A$4:$E$3180,3,0)</f>
        <v>UN</v>
      </c>
      <c r="G154" s="66">
        <v>1</v>
      </c>
      <c r="H154" s="67">
        <f>VLOOKUP(D154,'FDE 10-23 '!$A$4:$E$3180,5,0)</f>
        <v>1659.82</v>
      </c>
      <c r="I154" s="68">
        <f>$L$10</f>
        <v>0.23</v>
      </c>
      <c r="J154" s="67">
        <f>ROUND(H154*(1+I154),2)</f>
        <v>2041.58</v>
      </c>
      <c r="K154" s="71">
        <f>SUM(G154*J154)</f>
        <v>2041.58</v>
      </c>
      <c r="L154" s="51"/>
      <c r="M154" s="52"/>
    </row>
    <row r="155" spans="2:13" s="25" customFormat="1" ht="30" customHeight="1" outlineLevel="1">
      <c r="B155" s="53" t="s">
        <v>330</v>
      </c>
      <c r="C155" s="54"/>
      <c r="D155" s="54" t="s">
        <v>331</v>
      </c>
      <c r="E155" s="55" t="s">
        <v>332</v>
      </c>
      <c r="F155" s="56" t="str">
        <f>IFERROR(UPPER(IF(C155="CPU",VLOOKUP(D155,#REF!,3,0),IF(C155="SINAPI",VLOOKUP(D155,#REF!,3,0),IF(C155="EDIF",VLOOKUP(D155,#REF!,3,0),IF(C155="CDHU",VLOOKUP(D155,#REF!,3,0),IF(C155="FDE",VLOOKUP(D155,#REF!,3,0),IF(C155="INFRA",VLOOKUP(D155,#REF!,3,0),""))))))),"")</f>
        <v/>
      </c>
      <c r="G155" s="57"/>
      <c r="H15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55" s="59"/>
      <c r="J155" s="59"/>
      <c r="K155" s="82">
        <f>SUBTOTAL(9,K156:K159)</f>
        <v>36456.675000000003</v>
      </c>
      <c r="L155" s="51"/>
      <c r="M155" s="52"/>
    </row>
    <row r="156" spans="2:13" s="25" customFormat="1" ht="30" customHeight="1" outlineLevel="1">
      <c r="B156" s="61" t="s">
        <v>333</v>
      </c>
      <c r="C156" s="62" t="s">
        <v>26</v>
      </c>
      <c r="D156" s="63" t="s">
        <v>334</v>
      </c>
      <c r="E156" s="64" t="str">
        <f>IFERROR(UPPER(IF(C156="CPU",VLOOKUP(D156,#REF!,2,0),IF(C156="SINAPI",VLOOKUP(D156,#REF!,2,0),IF(C156="EDIF",VLOOKUP(D156,#REF!,2,0),IF(C156="CDHU",VLOOKUP(D156,#REF!,2,0),IF(C156="FDE",VLOOKUP(D156,'FDE 10-23 '!$A$4:$E$3180,2,0),IF(C156="INFRA",VLOOKUP(D156,#REF!,2,0),""))))))),"")</f>
        <v>AG-06 ABRIGO PARA GAS COM 6 CILINDROS DE 45 KG</v>
      </c>
      <c r="F156" s="65" t="str">
        <f>VLOOKUP(D156,'FDE 10-23 '!$A$4:$E$3180,3,0)</f>
        <v>UN</v>
      </c>
      <c r="G156" s="66">
        <v>0.75</v>
      </c>
      <c r="H156" s="67">
        <f>VLOOKUP(D156,'FDE 10-23 '!$A$4:$E$3180,5,0)</f>
        <v>17832.990000000002</v>
      </c>
      <c r="I156" s="68">
        <f>$L$10</f>
        <v>0.23</v>
      </c>
      <c r="J156" s="67">
        <f>ROUND(H156*(1+I156),2)</f>
        <v>21934.58</v>
      </c>
      <c r="K156" s="71">
        <f>SUM(G156*J156)</f>
        <v>16450.935000000001</v>
      </c>
      <c r="L156" s="51"/>
      <c r="M156" s="52"/>
    </row>
    <row r="157" spans="2:13" s="25" customFormat="1" ht="30" customHeight="1" outlineLevel="1">
      <c r="B157" s="61" t="s">
        <v>335</v>
      </c>
      <c r="C157" s="62" t="s">
        <v>26</v>
      </c>
      <c r="D157" s="63" t="s">
        <v>336</v>
      </c>
      <c r="E157" s="64" t="str">
        <f>IFERROR(UPPER(IF(C157="CPU",VLOOKUP(D157,#REF!,2,0),IF(C157="SINAPI",VLOOKUP(D157,#REF!,2,0),IF(C157="EDIF",VLOOKUP(D157,#REF!,2,0),IF(C157="CDHU",VLOOKUP(D157,#REF!,2,0),IF(C157="FDE",VLOOKUP(D157,'FDE 10-23 '!$A$4:$E$3180,2,0),IF(C157="INFRA",VLOOKUP(D157,#REF!,2,0),""))))))),"")</f>
        <v>PROTECAO ANTICORROSIVA PARA RAMAIS SOB A TERRA</v>
      </c>
      <c r="F157" s="65" t="str">
        <f>VLOOKUP(D157,'FDE 10-23 '!$A$4:$E$3180,3,0)</f>
        <v>M</v>
      </c>
      <c r="G157" s="66">
        <v>76</v>
      </c>
      <c r="H157" s="67">
        <f>VLOOKUP(D157,'FDE 10-23 '!$A$4:$E$3180,5,0)</f>
        <v>27.62</v>
      </c>
      <c r="I157" s="68">
        <f>$L$10</f>
        <v>0.23</v>
      </c>
      <c r="J157" s="67">
        <f>ROUND(H157*(1+I157),2)</f>
        <v>33.97</v>
      </c>
      <c r="K157" s="71">
        <f>SUM(G157*J157)</f>
        <v>2581.7199999999998</v>
      </c>
      <c r="L157" s="51"/>
      <c r="M157" s="52"/>
    </row>
    <row r="158" spans="2:13" s="25" customFormat="1" ht="30" customHeight="1" outlineLevel="1">
      <c r="B158" s="61" t="s">
        <v>337</v>
      </c>
      <c r="C158" s="62" t="s">
        <v>26</v>
      </c>
      <c r="D158" s="63" t="s">
        <v>338</v>
      </c>
      <c r="E158" s="64" t="str">
        <f>IFERROR(UPPER(IF(C158="CPU",VLOOKUP(D158,#REF!,2,0),IF(C158="SINAPI",VLOOKUP(D158,#REF!,2,0),IF(C158="EDIF",VLOOKUP(D158,#REF!,2,0),IF(C158="CDHU",VLOOKUP(D158,#REF!,2,0),IF(C158="FDE",VLOOKUP(D158,'FDE 10-23 '!$A$4:$E$3180,2,0),IF(C158="INFRA",VLOOKUP(D158,#REF!,2,0),""))))))),"")</f>
        <v>VG-01 VALVULA E REGULADOR DE PRESSAO DE GAS</v>
      </c>
      <c r="F158" s="65" t="str">
        <f>VLOOKUP(D158,'FDE 10-23 '!$A$4:$E$3180,3,0)</f>
        <v>UN</v>
      </c>
      <c r="G158" s="66">
        <v>1</v>
      </c>
      <c r="H158" s="67">
        <f>VLOOKUP(D158,'FDE 10-23 '!$A$4:$E$3180,5,0)</f>
        <v>728.08</v>
      </c>
      <c r="I158" s="68">
        <f>$L$10</f>
        <v>0.23</v>
      </c>
      <c r="J158" s="67">
        <f>ROUND(H158*(1+I158),2)</f>
        <v>895.54</v>
      </c>
      <c r="K158" s="71">
        <f>SUM(G158*J158)</f>
        <v>895.54</v>
      </c>
      <c r="L158" s="51"/>
      <c r="M158" s="52"/>
    </row>
    <row r="159" spans="2:13" s="25" customFormat="1" ht="30" customHeight="1" outlineLevel="1">
      <c r="B159" s="61" t="s">
        <v>339</v>
      </c>
      <c r="C159" s="62" t="s">
        <v>26</v>
      </c>
      <c r="D159" s="63" t="s">
        <v>340</v>
      </c>
      <c r="E159" s="64" t="str">
        <f>IFERROR(UPPER(IF(C159="CPU",VLOOKUP(D159,#REF!,2,0),IF(C159="SINAPI",VLOOKUP(D159,#REF!,2,0),IF(C159="EDIF",VLOOKUP(D159,#REF!,2,0),IF(C159="CDHU",VLOOKUP(D159,#REF!,2,0),IF(C159="FDE",VLOOKUP(D159,'FDE 10-23 '!$A$4:$E$3180,2,0),IF(C159="INFRA",VLOOKUP(D159,#REF!,2,0),""))))))),"")</f>
        <v>TUBO ACO GALV NBR5590-CLASSE PESADA DN 25MM (1") INCL CONEXOES</v>
      </c>
      <c r="F159" s="65" t="str">
        <f>VLOOKUP(D159,'FDE 10-23 '!$A$4:$E$3180,3,0)</f>
        <v>M</v>
      </c>
      <c r="G159" s="66">
        <v>76</v>
      </c>
      <c r="H159" s="67">
        <f>VLOOKUP(D159,'FDE 10-23 '!$A$4:$E$3180,5,0)</f>
        <v>176.81</v>
      </c>
      <c r="I159" s="68">
        <f>$L$10</f>
        <v>0.23</v>
      </c>
      <c r="J159" s="67">
        <f>ROUND(H159*(1+I159),2)</f>
        <v>217.48</v>
      </c>
      <c r="K159" s="71">
        <f>SUM(G159*J159)</f>
        <v>16528.48</v>
      </c>
      <c r="L159" s="51"/>
      <c r="M159" s="52"/>
    </row>
    <row r="160" spans="2:13" s="25" customFormat="1" ht="30" customHeight="1" outlineLevel="1">
      <c r="B160" s="53" t="s">
        <v>341</v>
      </c>
      <c r="C160" s="54"/>
      <c r="D160" s="54" t="s">
        <v>342</v>
      </c>
      <c r="E160" s="55" t="s">
        <v>343</v>
      </c>
      <c r="F160" s="56" t="str">
        <f>IFERROR(UPPER(IF(C160="CPU",VLOOKUP(D160,#REF!,3,0),IF(C160="SINAPI",VLOOKUP(D160,#REF!,3,0),IF(C160="EDIF",VLOOKUP(D160,#REF!,3,0),IF(C160="CDHU",VLOOKUP(D160,#REF!,3,0),IF(C160="FDE",VLOOKUP(D160,#REF!,3,0),IF(C160="INFRA",VLOOKUP(D160,#REF!,3,0),""))))))),"")</f>
        <v/>
      </c>
      <c r="G160" s="57"/>
      <c r="H16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60" s="59"/>
      <c r="J160" s="59"/>
      <c r="K160" s="82">
        <f>SUBTOTAL(9,K161:K170)</f>
        <v>43563.295400000003</v>
      </c>
      <c r="L160" s="51"/>
      <c r="M160" s="52"/>
    </row>
    <row r="161" spans="2:13" s="25" customFormat="1" ht="30" customHeight="1" outlineLevel="1">
      <c r="B161" s="61" t="s">
        <v>344</v>
      </c>
      <c r="C161" s="62" t="s">
        <v>26</v>
      </c>
      <c r="D161" s="63" t="s">
        <v>345</v>
      </c>
      <c r="E161" s="64" t="str">
        <f>IFERROR(UPPER(IF(C161="CPU",VLOOKUP(D161,#REF!,2,0),IF(C161="SINAPI",VLOOKUP(D161,#REF!,2,0),IF(C161="EDIF",VLOOKUP(D161,#REF!,2,0),IF(C161="CDHU",VLOOKUP(D161,#REF!,2,0),IF(C161="FDE",VLOOKUP(D161,'FDE 10-23 '!$A$4:$E$3180,2,0),IF(C161="INFRA",VLOOKUP(D161,#REF!,2,0),""))))))),"")</f>
        <v>TUBO ACO GALVANIZ NBR5580-CL MEDIA, DN20MM (3/4") - INCL CONEXOES</v>
      </c>
      <c r="F161" s="65" t="str">
        <f>VLOOKUP(D161,'FDE 10-23 '!$A$4:$E$3180,3,0)</f>
        <v>M</v>
      </c>
      <c r="G161" s="66">
        <v>20</v>
      </c>
      <c r="H161" s="67">
        <f>VLOOKUP(D161,'FDE 10-23 '!$A$4:$E$3180,5,0)</f>
        <v>76.3</v>
      </c>
      <c r="I161" s="68">
        <f t="shared" ref="I161:I170" si="24">$L$10</f>
        <v>0.23</v>
      </c>
      <c r="J161" s="67">
        <f t="shared" ref="J161:J170" si="25">ROUND(H161*(1+I161),2)</f>
        <v>93.85</v>
      </c>
      <c r="K161" s="71">
        <f t="shared" ref="K161:K170" si="26">SUM(G161*J161)</f>
        <v>1877</v>
      </c>
      <c r="L161" s="51"/>
      <c r="M161" s="52"/>
    </row>
    <row r="162" spans="2:13" s="25" customFormat="1" ht="30" customHeight="1" outlineLevel="1">
      <c r="B162" s="61" t="s">
        <v>346</v>
      </c>
      <c r="C162" s="62" t="s">
        <v>26</v>
      </c>
      <c r="D162" s="63" t="s">
        <v>347</v>
      </c>
      <c r="E162" s="64" t="str">
        <f>IFERROR(UPPER(IF(C162="CPU",VLOOKUP(D162,#REF!,2,0),IF(C162="SINAPI",VLOOKUP(D162,#REF!,2,0),IF(C162="EDIF",VLOOKUP(D162,#REF!,2,0),IF(C162="CDHU",VLOOKUP(D162,#REF!,2,0),IF(C162="FDE",VLOOKUP(D162,'FDE 10-23 '!$A$4:$E$3180,2,0),IF(C162="INFRA",VLOOKUP(D162,#REF!,2,0),""))))))),"")</f>
        <v>TUBO ACO GALVANIZ NBR5580-CL MEDIA, DN25MM (1") - INCL. CONEXOES</v>
      </c>
      <c r="F162" s="65" t="str">
        <f>VLOOKUP(D162,'FDE 10-23 '!$A$4:$E$3180,3,0)</f>
        <v>M</v>
      </c>
      <c r="G162" s="66">
        <v>5.2</v>
      </c>
      <c r="H162" s="67">
        <f>VLOOKUP(D162,'FDE 10-23 '!$A$4:$E$3180,5,0)</f>
        <v>107.93</v>
      </c>
      <c r="I162" s="68">
        <f t="shared" si="24"/>
        <v>0.23</v>
      </c>
      <c r="J162" s="67">
        <f t="shared" si="25"/>
        <v>132.75</v>
      </c>
      <c r="K162" s="71">
        <f t="shared" si="26"/>
        <v>690.30000000000007</v>
      </c>
      <c r="L162" s="51"/>
      <c r="M162" s="52"/>
    </row>
    <row r="163" spans="2:13" s="25" customFormat="1" ht="30" customHeight="1" outlineLevel="1">
      <c r="B163" s="61" t="s">
        <v>348</v>
      </c>
      <c r="C163" s="62" t="s">
        <v>26</v>
      </c>
      <c r="D163" s="63" t="s">
        <v>349</v>
      </c>
      <c r="E163" s="64" t="str">
        <f>IFERROR(UPPER(IF(C163="CPU",VLOOKUP(D163,#REF!,2,0),IF(C163="SINAPI",VLOOKUP(D163,#REF!,2,0),IF(C163="EDIF",VLOOKUP(D163,#REF!,2,0),IF(C163="CDHU",VLOOKUP(D163,#REF!,2,0),IF(C163="FDE",VLOOKUP(D163,'FDE 10-23 '!$A$4:$E$3180,2,0),IF(C163="INFRA",VLOOKUP(D163,#REF!,2,0),""))))))),"")</f>
        <v>TUBO PVC RÍGIDO JUNTA SOLDÁVEL DE 25 INCL CONEXÕES</v>
      </c>
      <c r="F163" s="65" t="str">
        <f>VLOOKUP(D163,'FDE 10-23 '!$A$4:$E$3180,3,0)</f>
        <v>M</v>
      </c>
      <c r="G163" s="66">
        <v>220.5</v>
      </c>
      <c r="H163" s="67">
        <f>VLOOKUP(D163,'FDE 10-23 '!$A$4:$E$3180,5,0)</f>
        <v>19.850000000000001</v>
      </c>
      <c r="I163" s="68">
        <f t="shared" si="24"/>
        <v>0.23</v>
      </c>
      <c r="J163" s="67">
        <f t="shared" si="25"/>
        <v>24.42</v>
      </c>
      <c r="K163" s="71">
        <f t="shared" si="26"/>
        <v>5384.6100000000006</v>
      </c>
      <c r="L163" s="51"/>
      <c r="M163" s="52"/>
    </row>
    <row r="164" spans="2:13" s="25" customFormat="1" ht="30" customHeight="1" outlineLevel="1">
      <c r="B164" s="61" t="s">
        <v>350</v>
      </c>
      <c r="C164" s="62" t="s">
        <v>26</v>
      </c>
      <c r="D164" s="63" t="s">
        <v>351</v>
      </c>
      <c r="E164" s="64" t="str">
        <f>IFERROR(UPPER(IF(C164="CPU",VLOOKUP(D164,#REF!,2,0),IF(C164="SINAPI",VLOOKUP(D164,#REF!,2,0),IF(C164="EDIF",VLOOKUP(D164,#REF!,2,0),IF(C164="CDHU",VLOOKUP(D164,#REF!,2,0),IF(C164="FDE",VLOOKUP(D164,'FDE 10-23 '!$A$4:$E$3180,2,0),IF(C164="INFRA",VLOOKUP(D164,#REF!,2,0),""))))))),"")</f>
        <v>TUBO PVC RÍGIDO JUNTA SOLDÁVEL DE 32 INCL CONEXÕES</v>
      </c>
      <c r="F164" s="65" t="str">
        <f>VLOOKUP(D164,'FDE 10-23 '!$A$4:$E$3180,3,0)</f>
        <v>M</v>
      </c>
      <c r="G164" s="66">
        <v>116.5</v>
      </c>
      <c r="H164" s="67">
        <f>VLOOKUP(D164,'FDE 10-23 '!$A$4:$E$3180,5,0)</f>
        <v>29.03</v>
      </c>
      <c r="I164" s="68">
        <f t="shared" si="24"/>
        <v>0.23</v>
      </c>
      <c r="J164" s="67">
        <f t="shared" si="25"/>
        <v>35.71</v>
      </c>
      <c r="K164" s="71">
        <f t="shared" si="26"/>
        <v>4160.2150000000001</v>
      </c>
      <c r="L164" s="51"/>
      <c r="M164" s="52"/>
    </row>
    <row r="165" spans="2:13" s="25" customFormat="1" ht="30" customHeight="1" outlineLevel="1">
      <c r="B165" s="61" t="s">
        <v>352</v>
      </c>
      <c r="C165" s="62" t="s">
        <v>26</v>
      </c>
      <c r="D165" s="63" t="s">
        <v>353</v>
      </c>
      <c r="E165" s="64" t="str">
        <f>IFERROR(UPPER(IF(C165="CPU",VLOOKUP(D165,#REF!,2,0),IF(C165="SINAPI",VLOOKUP(D165,#REF!,2,0),IF(C165="EDIF",VLOOKUP(D165,#REF!,2,0),IF(C165="CDHU",VLOOKUP(D165,#REF!,2,0),IF(C165="FDE",VLOOKUP(D165,'FDE 10-23 '!$A$4:$E$3180,2,0),IF(C165="INFRA",VLOOKUP(D165,#REF!,2,0),""))))))),"")</f>
        <v>TUBO PVC RÍGIDO JUNTA SOLDÁVEL DE 40 INCL CONEXÕES</v>
      </c>
      <c r="F165" s="65" t="str">
        <f>VLOOKUP(D165,'FDE 10-23 '!$A$4:$E$3180,3,0)</f>
        <v>M</v>
      </c>
      <c r="G165" s="66">
        <v>44</v>
      </c>
      <c r="H165" s="67">
        <f>VLOOKUP(D165,'FDE 10-23 '!$A$4:$E$3180,5,0)</f>
        <v>38.11</v>
      </c>
      <c r="I165" s="68">
        <f t="shared" si="24"/>
        <v>0.23</v>
      </c>
      <c r="J165" s="67">
        <f t="shared" si="25"/>
        <v>46.88</v>
      </c>
      <c r="K165" s="71">
        <f t="shared" si="26"/>
        <v>2062.7200000000003</v>
      </c>
      <c r="L165" s="51"/>
      <c r="M165" s="52"/>
    </row>
    <row r="166" spans="2:13" s="25" customFormat="1" ht="30" customHeight="1" outlineLevel="1">
      <c r="B166" s="61" t="s">
        <v>354</v>
      </c>
      <c r="C166" s="62" t="s">
        <v>26</v>
      </c>
      <c r="D166" s="63" t="s">
        <v>355</v>
      </c>
      <c r="E166" s="64" t="str">
        <f>IFERROR(UPPER(IF(C166="CPU",VLOOKUP(D166,#REF!,2,0),IF(C166="SINAPI",VLOOKUP(D166,#REF!,2,0),IF(C166="EDIF",VLOOKUP(D166,#REF!,2,0),IF(C166="CDHU",VLOOKUP(D166,#REF!,2,0),IF(C166="FDE",VLOOKUP(D166,'FDE 10-23 '!$A$4:$E$3180,2,0),IF(C166="INFRA",VLOOKUP(D166,#REF!,2,0),""))))))),"")</f>
        <v>TUBO PVC RÍGIDO JUNTA SOLDÁVEL DE 50 INCL CONEXÕES</v>
      </c>
      <c r="F166" s="65" t="str">
        <f>VLOOKUP(D166,'FDE 10-23 '!$A$4:$E$3180,3,0)</f>
        <v>M</v>
      </c>
      <c r="G166" s="66">
        <v>79.5</v>
      </c>
      <c r="H166" s="67">
        <f>VLOOKUP(D166,'FDE 10-23 '!$A$4:$E$3180,5,0)</f>
        <v>41.48</v>
      </c>
      <c r="I166" s="68">
        <f t="shared" si="24"/>
        <v>0.23</v>
      </c>
      <c r="J166" s="67">
        <f t="shared" si="25"/>
        <v>51.02</v>
      </c>
      <c r="K166" s="71">
        <f t="shared" si="26"/>
        <v>4056.09</v>
      </c>
      <c r="L166" s="51"/>
      <c r="M166" s="52"/>
    </row>
    <row r="167" spans="2:13" s="25" customFormat="1" ht="30" customHeight="1" outlineLevel="1">
      <c r="B167" s="61" t="s">
        <v>356</v>
      </c>
      <c r="C167" s="62" t="s">
        <v>26</v>
      </c>
      <c r="D167" s="63" t="s">
        <v>357</v>
      </c>
      <c r="E167" s="64" t="str">
        <f>IFERROR(UPPER(IF(C167="CPU",VLOOKUP(D167,#REF!,2,0),IF(C167="SINAPI",VLOOKUP(D167,#REF!,2,0),IF(C167="EDIF",VLOOKUP(D167,#REF!,2,0),IF(C167="CDHU",VLOOKUP(D167,#REF!,2,0),IF(C167="FDE",VLOOKUP(D167,'FDE 10-23 '!$A$4:$E$3180,2,0),IF(C167="INFRA",VLOOKUP(D167,#REF!,2,0),""))))))),"")</f>
        <v>TUBO PVC RÍGIDO JUNTA SOLDÁVEL DE 60 INCL CONEXÕES</v>
      </c>
      <c r="F167" s="65" t="str">
        <f>VLOOKUP(D167,'FDE 10-23 '!$A$4:$E$3180,3,0)</f>
        <v>M</v>
      </c>
      <c r="G167" s="66">
        <v>84.5</v>
      </c>
      <c r="H167" s="67">
        <f>VLOOKUP(D167,'FDE 10-23 '!$A$4:$E$3180,5,0)</f>
        <v>62.69</v>
      </c>
      <c r="I167" s="68">
        <f t="shared" si="24"/>
        <v>0.23</v>
      </c>
      <c r="J167" s="67">
        <f t="shared" si="25"/>
        <v>77.11</v>
      </c>
      <c r="K167" s="71">
        <f t="shared" si="26"/>
        <v>6515.7950000000001</v>
      </c>
      <c r="L167" s="51"/>
      <c r="M167" s="52"/>
    </row>
    <row r="168" spans="2:13" s="25" customFormat="1" ht="30" customHeight="1" outlineLevel="1">
      <c r="B168" s="61" t="s">
        <v>358</v>
      </c>
      <c r="C168" s="62" t="s">
        <v>26</v>
      </c>
      <c r="D168" s="63" t="s">
        <v>359</v>
      </c>
      <c r="E168" s="64" t="str">
        <f>IFERROR(UPPER(IF(C168="CPU",VLOOKUP(D168,#REF!,2,0),IF(C168="SINAPI",VLOOKUP(D168,#REF!,2,0),IF(C168="EDIF",VLOOKUP(D168,#REF!,2,0),IF(C168="CDHU",VLOOKUP(D168,#REF!,2,0),IF(C168="FDE",VLOOKUP(D168,'FDE 10-23 '!$A$4:$E$3180,2,0),IF(C168="INFRA",VLOOKUP(D168,#REF!,2,0),""))))))),"")</f>
        <v>TUBO PVC RÍGIDO JUNTA SOLDÁVEL DE 75 INCL CONEXÕES</v>
      </c>
      <c r="F168" s="65" t="str">
        <f>VLOOKUP(D168,'FDE 10-23 '!$A$4:$E$3180,3,0)</f>
        <v>M</v>
      </c>
      <c r="G168" s="66">
        <v>42.5</v>
      </c>
      <c r="H168" s="67">
        <f>VLOOKUP(D168,'FDE 10-23 '!$A$4:$E$3180,5,0)</f>
        <v>90.03</v>
      </c>
      <c r="I168" s="68">
        <f t="shared" si="24"/>
        <v>0.23</v>
      </c>
      <c r="J168" s="67">
        <f t="shared" si="25"/>
        <v>110.74</v>
      </c>
      <c r="K168" s="71">
        <f t="shared" si="26"/>
        <v>4706.45</v>
      </c>
      <c r="L168" s="51"/>
      <c r="M168" s="52"/>
    </row>
    <row r="169" spans="2:13" s="25" customFormat="1" ht="30" customHeight="1" outlineLevel="1">
      <c r="B169" s="61" t="s">
        <v>360</v>
      </c>
      <c r="C169" s="62" t="s">
        <v>26</v>
      </c>
      <c r="D169" s="63" t="s">
        <v>361</v>
      </c>
      <c r="E169" s="64" t="str">
        <f>IFERROR(UPPER(IF(C169="CPU",VLOOKUP(D169,#REF!,2,0),IF(C169="SINAPI",VLOOKUP(D169,#REF!,2,0),IF(C169="EDIF",VLOOKUP(D169,#REF!,2,0),IF(C169="CDHU",VLOOKUP(D169,#REF!,2,0),IF(C169="FDE",VLOOKUP(D169,'FDE 10-23 '!$A$4:$E$3180,2,0),IF(C169="INFRA",VLOOKUP(D169,#REF!,2,0),""))))))),"")</f>
        <v>TUBO PVC RÍGIDO JUNTA SOLDÁVEL DE 85 INCL CONEXÕES</v>
      </c>
      <c r="F169" s="65" t="str">
        <f>VLOOKUP(D169,'FDE 10-23 '!$A$4:$E$3180,3,0)</f>
        <v>M</v>
      </c>
      <c r="G169" s="66">
        <v>37</v>
      </c>
      <c r="H169" s="67">
        <f>VLOOKUP(D169,'FDE 10-23 '!$A$4:$E$3180,5,0)</f>
        <v>105.61</v>
      </c>
      <c r="I169" s="68">
        <f t="shared" si="24"/>
        <v>0.23</v>
      </c>
      <c r="J169" s="67">
        <f t="shared" si="25"/>
        <v>129.9</v>
      </c>
      <c r="K169" s="71">
        <f t="shared" si="26"/>
        <v>4806.3</v>
      </c>
      <c r="L169" s="51"/>
      <c r="M169" s="52"/>
    </row>
    <row r="170" spans="2:13" s="25" customFormat="1" ht="30" customHeight="1" outlineLevel="1">
      <c r="B170" s="61" t="s">
        <v>362</v>
      </c>
      <c r="C170" s="62" t="s">
        <v>26</v>
      </c>
      <c r="D170" s="63" t="s">
        <v>363</v>
      </c>
      <c r="E170" s="64" t="str">
        <f>IFERROR(UPPER(IF(C170="CPU",VLOOKUP(D170,#REF!,2,0),IF(C170="SINAPI",VLOOKUP(D170,#REF!,2,0),IF(C170="EDIF",VLOOKUP(D170,#REF!,2,0),IF(C170="CDHU",VLOOKUP(D170,#REF!,2,0),IF(C170="FDE",VLOOKUP(D170,'FDE 10-23 '!$A$4:$E$3180,2,0),IF(C170="INFRA",VLOOKUP(D170,#REF!,2,0),""))))))),"")</f>
        <v>SERVICOS EM REDE DE AGUA FRIA</v>
      </c>
      <c r="F170" s="65" t="str">
        <f>VLOOKUP(D170,'FDE 10-23 '!$A$4:$E$3180,3,0)</f>
        <v>MV</v>
      </c>
      <c r="G170" s="66">
        <v>14.19</v>
      </c>
      <c r="H170" s="67">
        <f>VLOOKUP(D170,'FDE 10-23 '!$A$4:$E$3180,5,0)</f>
        <v>533.05999999999995</v>
      </c>
      <c r="I170" s="68">
        <f t="shared" si="24"/>
        <v>0.23</v>
      </c>
      <c r="J170" s="67">
        <f t="shared" si="25"/>
        <v>655.66</v>
      </c>
      <c r="K170" s="71">
        <f t="shared" si="26"/>
        <v>9303.8153999999995</v>
      </c>
      <c r="L170" s="51"/>
      <c r="M170" s="52"/>
    </row>
    <row r="171" spans="2:13" s="25" customFormat="1" ht="30" customHeight="1" outlineLevel="1">
      <c r="B171" s="53" t="s">
        <v>364</v>
      </c>
      <c r="C171" s="54"/>
      <c r="D171" s="54" t="s">
        <v>365</v>
      </c>
      <c r="E171" s="55" t="s">
        <v>366</v>
      </c>
      <c r="F171" s="56" t="str">
        <f>IFERROR(UPPER(IF(C171="CPU",VLOOKUP(D171,#REF!,3,0),IF(C171="SINAPI",VLOOKUP(D171,#REF!,3,0),IF(C171="EDIF",VLOOKUP(D171,#REF!,3,0),IF(C171="CDHU",VLOOKUP(D171,#REF!,3,0),IF(C171="FDE",VLOOKUP(D171,#REF!,3,0),IF(C171="INFRA",VLOOKUP(D171,#REF!,3,0),""))))))),"")</f>
        <v/>
      </c>
      <c r="G171" s="57"/>
      <c r="H171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71" s="59"/>
      <c r="J171" s="59"/>
      <c r="K171" s="82">
        <f>SUBTOTAL(9,K172:K179)</f>
        <v>82680.820000000007</v>
      </c>
      <c r="L171" s="51"/>
      <c r="M171" s="52"/>
    </row>
    <row r="172" spans="2:13" s="25" customFormat="1" ht="30" customHeight="1" outlineLevel="1">
      <c r="B172" s="61" t="s">
        <v>367</v>
      </c>
      <c r="C172" s="62" t="s">
        <v>26</v>
      </c>
      <c r="D172" s="63" t="s">
        <v>368</v>
      </c>
      <c r="E172" s="64" t="str">
        <f>IFERROR(UPPER(IF(C172="CPU",VLOOKUP(D172,#REF!,2,0),IF(C172="SINAPI",VLOOKUP(D172,#REF!,2,0),IF(C172="EDIF",VLOOKUP(D172,#REF!,2,0),IF(C172="CDHU",VLOOKUP(D172,#REF!,2,0),IF(C172="FDE",VLOOKUP(D172,'FDE 10-23 '!$A$4:$E$3180,2,0),IF(C172="INFRA",VLOOKUP(D172,#REF!,2,0),""))))))),"")</f>
        <v>REGISTRO DE GAVETA BRUTO DN 40MM 1 1/2"</v>
      </c>
      <c r="F172" s="65" t="str">
        <f>VLOOKUP(D172,'FDE 10-23 '!$A$4:$E$3180,3,0)</f>
        <v>UN</v>
      </c>
      <c r="G172" s="66">
        <v>7</v>
      </c>
      <c r="H172" s="67">
        <f>VLOOKUP(D172,'FDE 10-23 '!$A$4:$E$3180,5,0)</f>
        <v>128.87</v>
      </c>
      <c r="I172" s="68">
        <f t="shared" ref="I172:I179" si="27">$L$10</f>
        <v>0.23</v>
      </c>
      <c r="J172" s="67">
        <f t="shared" ref="J172:J179" si="28">ROUND(H172*(1+I172),2)</f>
        <v>158.51</v>
      </c>
      <c r="K172" s="71">
        <f t="shared" ref="K172:K179" si="29">SUM(G172*J172)</f>
        <v>1109.57</v>
      </c>
      <c r="L172" s="51"/>
      <c r="M172" s="52"/>
    </row>
    <row r="173" spans="2:13" s="25" customFormat="1" ht="30" customHeight="1" outlineLevel="1">
      <c r="B173" s="61" t="s">
        <v>369</v>
      </c>
      <c r="C173" s="62" t="s">
        <v>26</v>
      </c>
      <c r="D173" s="63" t="s">
        <v>370</v>
      </c>
      <c r="E173" s="64" t="str">
        <f>IFERROR(UPPER(IF(C173="CPU",VLOOKUP(D173,#REF!,2,0),IF(C173="SINAPI",VLOOKUP(D173,#REF!,2,0),IF(C173="EDIF",VLOOKUP(D173,#REF!,2,0),IF(C173="CDHU",VLOOKUP(D173,#REF!,2,0),IF(C173="FDE",VLOOKUP(D173,'FDE 10-23 '!$A$4:$E$3180,2,0),IF(C173="INFRA",VLOOKUP(D173,#REF!,2,0),""))))))),"")</f>
        <v>REGISTRO DE GAVETA BRUTO DN 50MM (2")</v>
      </c>
      <c r="F173" s="65" t="str">
        <f>VLOOKUP(D173,'FDE 10-23 '!$A$4:$E$3180,3,0)</f>
        <v>UN</v>
      </c>
      <c r="G173" s="66">
        <v>4</v>
      </c>
      <c r="H173" s="67">
        <f>VLOOKUP(D173,'FDE 10-23 '!$A$4:$E$3180,5,0)</f>
        <v>167.69</v>
      </c>
      <c r="I173" s="68">
        <f t="shared" si="27"/>
        <v>0.23</v>
      </c>
      <c r="J173" s="67">
        <f t="shared" si="28"/>
        <v>206.26</v>
      </c>
      <c r="K173" s="71">
        <f t="shared" si="29"/>
        <v>825.04</v>
      </c>
      <c r="L173" s="51"/>
      <c r="M173" s="52"/>
    </row>
    <row r="174" spans="2:13" s="25" customFormat="1" ht="30" customHeight="1" outlineLevel="1">
      <c r="B174" s="61" t="s">
        <v>371</v>
      </c>
      <c r="C174" s="62" t="s">
        <v>26</v>
      </c>
      <c r="D174" s="63" t="s">
        <v>372</v>
      </c>
      <c r="E174" s="64" t="str">
        <f>IFERROR(UPPER(IF(C174="CPU",VLOOKUP(D174,#REF!,2,0),IF(C174="SINAPI",VLOOKUP(D174,#REF!,2,0),IF(C174="EDIF",VLOOKUP(D174,#REF!,2,0),IF(C174="CDHU",VLOOKUP(D174,#REF!,2,0),IF(C174="FDE",VLOOKUP(D174,'FDE 10-23 '!$A$4:$E$3180,2,0),IF(C174="INFRA",VLOOKUP(D174,#REF!,2,0),""))))))),"")</f>
        <v>REGISTRO DE GAVETA COM CANOPLA CROMADA DN 20MM (3/4")</v>
      </c>
      <c r="F174" s="65" t="str">
        <f>VLOOKUP(D174,'FDE 10-23 '!$A$4:$E$3180,3,0)</f>
        <v>UN</v>
      </c>
      <c r="G174" s="66">
        <v>23</v>
      </c>
      <c r="H174" s="67">
        <f>VLOOKUP(D174,'FDE 10-23 '!$A$4:$E$3180,5,0)</f>
        <v>106.7</v>
      </c>
      <c r="I174" s="68">
        <f t="shared" si="27"/>
        <v>0.23</v>
      </c>
      <c r="J174" s="67">
        <f t="shared" si="28"/>
        <v>131.24</v>
      </c>
      <c r="K174" s="71">
        <f t="shared" si="29"/>
        <v>3018.5200000000004</v>
      </c>
      <c r="L174" s="51"/>
      <c r="M174" s="52"/>
    </row>
    <row r="175" spans="2:13" s="25" customFormat="1" ht="30" customHeight="1" outlineLevel="1">
      <c r="B175" s="61" t="s">
        <v>373</v>
      </c>
      <c r="C175" s="62" t="s">
        <v>26</v>
      </c>
      <c r="D175" s="63" t="s">
        <v>374</v>
      </c>
      <c r="E175" s="64" t="str">
        <f>IFERROR(UPPER(IF(C175="CPU",VLOOKUP(D175,#REF!,2,0),IF(C175="SINAPI",VLOOKUP(D175,#REF!,2,0),IF(C175="EDIF",VLOOKUP(D175,#REF!,2,0),IF(C175="CDHU",VLOOKUP(D175,#REF!,2,0),IF(C175="FDE",VLOOKUP(D175,'FDE 10-23 '!$A$4:$E$3180,2,0),IF(C175="INFRA",VLOOKUP(D175,#REF!,2,0),""))))))),"")</f>
        <v>REGISTRO DE GAVETA COM CANOPLA CROMADA DN 25MM (1")</v>
      </c>
      <c r="F175" s="65" t="str">
        <f>VLOOKUP(D175,'FDE 10-23 '!$A$4:$E$3180,3,0)</f>
        <v>UN</v>
      </c>
      <c r="G175" s="66">
        <v>4</v>
      </c>
      <c r="H175" s="67">
        <f>VLOOKUP(D175,'FDE 10-23 '!$A$4:$E$3180,5,0)</f>
        <v>144.38999999999999</v>
      </c>
      <c r="I175" s="68">
        <f t="shared" si="27"/>
        <v>0.23</v>
      </c>
      <c r="J175" s="67">
        <f t="shared" si="28"/>
        <v>177.6</v>
      </c>
      <c r="K175" s="71">
        <f t="shared" si="29"/>
        <v>710.4</v>
      </c>
      <c r="L175" s="51"/>
      <c r="M175" s="52"/>
    </row>
    <row r="176" spans="2:13" s="25" customFormat="1" ht="30" customHeight="1" outlineLevel="1">
      <c r="B176" s="61" t="s">
        <v>375</v>
      </c>
      <c r="C176" s="62" t="s">
        <v>26</v>
      </c>
      <c r="D176" s="63" t="s">
        <v>376</v>
      </c>
      <c r="E176" s="64" t="str">
        <f>IFERROR(UPPER(IF(C176="CPU",VLOOKUP(D176,#REF!,2,0),IF(C176="SINAPI",VLOOKUP(D176,#REF!,2,0),IF(C176="EDIF",VLOOKUP(D176,#REF!,2,0),IF(C176="CDHU",VLOOKUP(D176,#REF!,2,0),IF(C176="FDE",VLOOKUP(D176,'FDE 10-23 '!$A$4:$E$3180,2,0),IF(C176="INFRA",VLOOKUP(D176,#REF!,2,0),""))))))),"")</f>
        <v>REGISTRO DE PRESSAO C/ CANOPLA CROMADA DN 20MM (3/4")</v>
      </c>
      <c r="F176" s="65" t="str">
        <f>VLOOKUP(D176,'FDE 10-23 '!$A$4:$E$3180,3,0)</f>
        <v>UN</v>
      </c>
      <c r="G176" s="66">
        <v>12</v>
      </c>
      <c r="H176" s="67">
        <f>VLOOKUP(D176,'FDE 10-23 '!$A$4:$E$3180,5,0)</f>
        <v>113.24</v>
      </c>
      <c r="I176" s="68">
        <f t="shared" si="27"/>
        <v>0.23</v>
      </c>
      <c r="J176" s="67">
        <f t="shared" si="28"/>
        <v>139.29</v>
      </c>
      <c r="K176" s="71">
        <f t="shared" si="29"/>
        <v>1671.48</v>
      </c>
      <c r="L176" s="51"/>
      <c r="M176" s="52"/>
    </row>
    <row r="177" spans="2:13" s="25" customFormat="1" ht="30" customHeight="1" outlineLevel="1">
      <c r="B177" s="61" t="s">
        <v>377</v>
      </c>
      <c r="C177" s="62" t="s">
        <v>26</v>
      </c>
      <c r="D177" s="63" t="s">
        <v>378</v>
      </c>
      <c r="E177" s="64" t="str">
        <f>IFERROR(UPPER(IF(C177="CPU",VLOOKUP(D177,#REF!,2,0),IF(C177="SINAPI",VLOOKUP(D177,#REF!,2,0),IF(C177="EDIF",VLOOKUP(D177,#REF!,2,0),IF(C177="CDHU",VLOOKUP(D177,#REF!,2,0),IF(C177="FDE",VLOOKUP(D177,'FDE 10-23 '!$A$4:$E$3180,2,0),IF(C177="INFRA",VLOOKUP(D177,#REF!,2,0),""))))))),"")</f>
        <v>VALVULA DE DESCARGA C/ REG INCORP DN=40MM(1 1/2) ACAB ANTIVANDALISMO</v>
      </c>
      <c r="F177" s="65" t="str">
        <f>VLOOKUP(D177,'FDE 10-23 '!$A$4:$E$3180,3,0)</f>
        <v>UN</v>
      </c>
      <c r="G177" s="66">
        <v>7</v>
      </c>
      <c r="H177" s="67">
        <f>VLOOKUP(D177,'FDE 10-23 '!$A$4:$E$3180,5,0)</f>
        <v>454.53</v>
      </c>
      <c r="I177" s="68">
        <f t="shared" si="27"/>
        <v>0.23</v>
      </c>
      <c r="J177" s="67">
        <f t="shared" si="28"/>
        <v>559.07000000000005</v>
      </c>
      <c r="K177" s="71">
        <f t="shared" si="29"/>
        <v>3913.4900000000002</v>
      </c>
      <c r="L177" s="51"/>
      <c r="M177" s="52"/>
    </row>
    <row r="178" spans="2:13" s="25" customFormat="1" ht="30" customHeight="1" outlineLevel="1">
      <c r="B178" s="61" t="s">
        <v>379</v>
      </c>
      <c r="C178" s="62" t="s">
        <v>26</v>
      </c>
      <c r="D178" s="63" t="s">
        <v>380</v>
      </c>
      <c r="E178" s="64" t="str">
        <f>IFERROR(UPPER(IF(C178="CPU",VLOOKUP(D178,#REF!,2,0),IF(C178="SINAPI",VLOOKUP(D178,#REF!,2,0),IF(C178="EDIF",VLOOKUP(D178,#REF!,2,0),IF(C178="CDHU",VLOOKUP(D178,#REF!,2,0),IF(C178="FDE",VLOOKUP(D178,'FDE 10-23 '!$A$4:$E$3180,2,0),IF(C178="INFRA",VLOOKUP(D178,#REF!,2,0),""))))))),"")</f>
        <v>VALVULA DE DESCARGA C/ACIONAMENTO DUPLO FLUXO REGISTRO E ACABAM. DN 40MM 1 1/2"</v>
      </c>
      <c r="F178" s="65" t="str">
        <f>VLOOKUP(D178,'FDE 10-23 '!$A$4:$E$3180,3,0)</f>
        <v>UN</v>
      </c>
      <c r="G178" s="66">
        <v>12</v>
      </c>
      <c r="H178" s="67">
        <f>VLOOKUP(D178,'FDE 10-23 '!$A$4:$E$3180,5,0)</f>
        <v>397.45</v>
      </c>
      <c r="I178" s="68">
        <f t="shared" si="27"/>
        <v>0.23</v>
      </c>
      <c r="J178" s="67">
        <f t="shared" si="28"/>
        <v>488.86</v>
      </c>
      <c r="K178" s="71">
        <f t="shared" si="29"/>
        <v>5866.32</v>
      </c>
      <c r="L178" s="51"/>
      <c r="M178" s="52"/>
    </row>
    <row r="179" spans="2:13" s="25" customFormat="1" ht="30" customHeight="1" outlineLevel="1">
      <c r="B179" s="61" t="s">
        <v>381</v>
      </c>
      <c r="C179" s="62" t="s">
        <v>26</v>
      </c>
      <c r="D179" s="63" t="s">
        <v>382</v>
      </c>
      <c r="E179" s="64" t="str">
        <f>IFERROR(UPPER(IF(C179="CPU",VLOOKUP(D179,#REF!,2,0),IF(C179="SINAPI",VLOOKUP(D179,#REF!,2,0),IF(C179="EDIF",VLOOKUP(D179,#REF!,2,0),IF(C179="CDHU",VLOOKUP(D179,#REF!,2,0),IF(C179="FDE",VLOOKUP(D179,'FDE 10-23 '!$A$4:$E$3180,2,0),IF(C179="INFRA",VLOOKUP(D179,#REF!,2,0),""))))))),"")</f>
        <v>SERVICOS EM REDE DE AGUA FRIA</v>
      </c>
      <c r="F179" s="65" t="str">
        <f>VLOOKUP(D179,'FDE 10-23 '!$A$4:$E$3180,3,0)</f>
        <v>MV</v>
      </c>
      <c r="G179" s="66">
        <v>100</v>
      </c>
      <c r="H179" s="67">
        <f>VLOOKUP(D179,'FDE 10-23 '!$A$4:$E$3180,5,0)</f>
        <v>533.05999999999995</v>
      </c>
      <c r="I179" s="68">
        <f t="shared" si="27"/>
        <v>0.23</v>
      </c>
      <c r="J179" s="67">
        <f t="shared" si="28"/>
        <v>655.66</v>
      </c>
      <c r="K179" s="71">
        <f t="shared" si="29"/>
        <v>65566</v>
      </c>
      <c r="L179" s="51"/>
      <c r="M179" s="52"/>
    </row>
    <row r="180" spans="2:13" s="25" customFormat="1" ht="30" customHeight="1" outlineLevel="1">
      <c r="B180" s="53" t="s">
        <v>383</v>
      </c>
      <c r="C180" s="54"/>
      <c r="D180" s="54" t="s">
        <v>384</v>
      </c>
      <c r="E180" s="55" t="s">
        <v>385</v>
      </c>
      <c r="F180" s="56" t="str">
        <f>IFERROR(UPPER(IF(C180="CPU",VLOOKUP(D180,#REF!,3,0),IF(C180="SINAPI",VLOOKUP(D180,#REF!,3,0),IF(C180="EDIF",VLOOKUP(D180,#REF!,3,0),IF(C180="CDHU",VLOOKUP(D180,#REF!,3,0),IF(C180="FDE",VLOOKUP(D180,#REF!,3,0),IF(C180="INFRA",VLOOKUP(D180,#REF!,3,0),""))))))),"")</f>
        <v/>
      </c>
      <c r="G180" s="57"/>
      <c r="H18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80" s="59"/>
      <c r="J180" s="59"/>
      <c r="K180" s="82">
        <f>SUBTOTAL(9,K181:K183)</f>
        <v>51256.76</v>
      </c>
      <c r="L180" s="51"/>
      <c r="M180" s="52"/>
    </row>
    <row r="181" spans="2:13" s="25" customFormat="1" ht="30" customHeight="1" outlineLevel="1">
      <c r="B181" s="61" t="s">
        <v>386</v>
      </c>
      <c r="C181" s="62" t="s">
        <v>26</v>
      </c>
      <c r="D181" s="63" t="s">
        <v>387</v>
      </c>
      <c r="E181" s="64" t="str">
        <f>IFERROR(UPPER(IF(C181="CPU",VLOOKUP(D181,#REF!,2,0),IF(C181="SINAPI",VLOOKUP(D181,#REF!,2,0),IF(C181="EDIF",VLOOKUP(D181,#REF!,2,0),IF(C181="CDHU",VLOOKUP(D181,#REF!,2,0),IF(C181="FDE",VLOOKUP(D181,'FDE 10-23 '!$A$4:$E$3180,2,0),IF(C181="INFRA",VLOOKUP(D181,#REF!,2,0),""))))))),"")</f>
        <v>TUBO ACO GALVANIZ NBR5580-CL MEDIA, DN65MM (2 1/2")- INCL CONEXOES</v>
      </c>
      <c r="F181" s="65" t="str">
        <f>VLOOKUP(D181,'FDE 10-23 '!$A$4:$E$3180,3,0)</f>
        <v>M</v>
      </c>
      <c r="G181" s="66">
        <v>141.5</v>
      </c>
      <c r="H181" s="67">
        <f>VLOOKUP(D181,'FDE 10-23 '!$A$4:$E$3180,5,0)</f>
        <v>237.84</v>
      </c>
      <c r="I181" s="68">
        <f>$L$10</f>
        <v>0.23</v>
      </c>
      <c r="J181" s="67">
        <f>ROUND(H181*(1+I181),2)</f>
        <v>292.54000000000002</v>
      </c>
      <c r="K181" s="71">
        <f>SUM(G181*J181)</f>
        <v>41394.410000000003</v>
      </c>
      <c r="L181" s="51"/>
      <c r="M181" s="52"/>
    </row>
    <row r="182" spans="2:13" s="25" customFormat="1" ht="30" customHeight="1" outlineLevel="1">
      <c r="B182" s="61" t="s">
        <v>388</v>
      </c>
      <c r="C182" s="62" t="s">
        <v>26</v>
      </c>
      <c r="D182" s="63" t="s">
        <v>389</v>
      </c>
      <c r="E182" s="64" t="str">
        <f>IFERROR(UPPER(IF(C182="CPU",VLOOKUP(D182,#REF!,2,0),IF(C182="SINAPI",VLOOKUP(D182,#REF!,2,0),IF(C182="EDIF",VLOOKUP(D182,#REF!,2,0),IF(C182="CDHU",VLOOKUP(D182,#REF!,2,0),IF(C182="FDE",VLOOKUP(D182,'FDE 10-23 '!$A$4:$E$3180,2,0),IF(C182="INFRA",VLOOKUP(D182,#REF!,2,0),""))))))),"")</f>
        <v>TUBO ACO GALVANIZ NBR5580-CL MEDIA, DN80MM (3")-INCL CONEXOES</v>
      </c>
      <c r="F182" s="65" t="str">
        <f>VLOOKUP(D182,'FDE 10-23 '!$A$4:$E$3180,3,0)</f>
        <v>M</v>
      </c>
      <c r="G182" s="66">
        <v>5</v>
      </c>
      <c r="H182" s="67">
        <f>VLOOKUP(D182,'FDE 10-23 '!$A$4:$E$3180,5,0)</f>
        <v>260.2</v>
      </c>
      <c r="I182" s="68">
        <f>$L$10</f>
        <v>0.23</v>
      </c>
      <c r="J182" s="67">
        <f>ROUND(H182*(1+I182),2)</f>
        <v>320.05</v>
      </c>
      <c r="K182" s="71">
        <f>SUM(G182*J182)</f>
        <v>1600.25</v>
      </c>
      <c r="L182" s="51"/>
      <c r="M182" s="52"/>
    </row>
    <row r="183" spans="2:13" s="25" customFormat="1" ht="30" customHeight="1" outlineLevel="1">
      <c r="B183" s="61" t="s">
        <v>390</v>
      </c>
      <c r="C183" s="62" t="s">
        <v>26</v>
      </c>
      <c r="D183" s="63" t="s">
        <v>391</v>
      </c>
      <c r="E183" s="64" t="str">
        <f>IFERROR(UPPER(IF(C183="CPU",VLOOKUP(D183,#REF!,2,0),IF(C183="SINAPI",VLOOKUP(D183,#REF!,2,0),IF(C183="EDIF",VLOOKUP(D183,#REF!,2,0),IF(C183="CDHU",VLOOKUP(D183,#REF!,2,0),IF(C183="FDE",VLOOKUP(D183,'FDE 10-23 '!$A$4:$E$3180,2,0),IF(C183="INFRA",VLOOKUP(D183,#REF!,2,0),""))))))),"")</f>
        <v>PROTECAO ANTI CORROSIVA PARA RAMAIS SOB A TERRA</v>
      </c>
      <c r="F183" s="65" t="str">
        <f>VLOOKUP(D183,'FDE 10-23 '!$A$4:$E$3180,3,0)</f>
        <v>M</v>
      </c>
      <c r="G183" s="66">
        <v>129.5</v>
      </c>
      <c r="H183" s="67">
        <f>VLOOKUP(D183,'FDE 10-23 '!$A$4:$E$3180,5,0)</f>
        <v>51.87</v>
      </c>
      <c r="I183" s="68">
        <f>$L$10</f>
        <v>0.23</v>
      </c>
      <c r="J183" s="67">
        <f>ROUND(H183*(1+I183),2)</f>
        <v>63.8</v>
      </c>
      <c r="K183" s="71">
        <f>SUM(G183*J183)</f>
        <v>8262.1</v>
      </c>
      <c r="L183" s="51"/>
      <c r="M183" s="52"/>
    </row>
    <row r="184" spans="2:13" s="25" customFormat="1" ht="30" customHeight="1" outlineLevel="1">
      <c r="B184" s="53" t="s">
        <v>392</v>
      </c>
      <c r="C184" s="54"/>
      <c r="D184" s="54" t="s">
        <v>393</v>
      </c>
      <c r="E184" s="55" t="s">
        <v>394</v>
      </c>
      <c r="F184" s="56" t="str">
        <f>IFERROR(UPPER(IF(C184="CPU",VLOOKUP(D184,#REF!,3,0),IF(C184="SINAPI",VLOOKUP(D184,#REF!,3,0),IF(C184="EDIF",VLOOKUP(D184,#REF!,3,0),IF(C184="CDHU",VLOOKUP(D184,#REF!,3,0),IF(C184="FDE",VLOOKUP(D184,#REF!,3,0),IF(C184="INFRA",VLOOKUP(D184,#REF!,3,0),""))))))),"")</f>
        <v/>
      </c>
      <c r="G184" s="57"/>
      <c r="H184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84" s="59"/>
      <c r="J184" s="59"/>
      <c r="K184" s="82">
        <f>SUBTOTAL(9,K185:K195)</f>
        <v>24567.279999999999</v>
      </c>
      <c r="L184" s="51"/>
      <c r="M184" s="52"/>
    </row>
    <row r="185" spans="2:13" s="25" customFormat="1" ht="30" customHeight="1" outlineLevel="1">
      <c r="B185" s="61" t="s">
        <v>395</v>
      </c>
      <c r="C185" s="62" t="s">
        <v>26</v>
      </c>
      <c r="D185" s="63" t="s">
        <v>396</v>
      </c>
      <c r="E185" s="64" t="str">
        <f>IFERROR(UPPER(IF(C185="CPU",VLOOKUP(D185,#REF!,2,0),IF(C185="SINAPI",VLOOKUP(D185,#REF!,2,0),IF(C185="EDIF",VLOOKUP(D185,#REF!,2,0),IF(C185="CDHU",VLOOKUP(D185,#REF!,2,0),IF(C185="FDE",VLOOKUP(D185,'FDE 10-23 '!$A$4:$E$3180,2,0),IF(C185="INFRA",VLOOKUP(D185,#REF!,2,0),""))))))),"")</f>
        <v>REGISTRO DE GAVETA BRUTO DN 65MM (2 1/2")</v>
      </c>
      <c r="F185" s="65" t="str">
        <f>VLOOKUP(D185,'FDE 10-23 '!$A$4:$E$3180,3,0)</f>
        <v>UN</v>
      </c>
      <c r="G185" s="66">
        <v>1</v>
      </c>
      <c r="H185" s="67">
        <f>VLOOKUP(D185,'FDE 10-23 '!$A$4:$E$3180,5,0)</f>
        <v>394.38</v>
      </c>
      <c r="I185" s="68">
        <f t="shared" ref="I185:I195" si="30">$L$10</f>
        <v>0.23</v>
      </c>
      <c r="J185" s="67">
        <f t="shared" ref="J185:J195" si="31">ROUND(H185*(1+I185),2)</f>
        <v>485.09</v>
      </c>
      <c r="K185" s="71">
        <f t="shared" ref="K185:K195" si="32">SUM(G185*J185)</f>
        <v>485.09</v>
      </c>
      <c r="L185" s="51"/>
      <c r="M185" s="52"/>
    </row>
    <row r="186" spans="2:13" s="25" customFormat="1" ht="30" customHeight="1" outlineLevel="1">
      <c r="B186" s="61" t="s">
        <v>397</v>
      </c>
      <c r="C186" s="62" t="s">
        <v>26</v>
      </c>
      <c r="D186" s="63" t="s">
        <v>398</v>
      </c>
      <c r="E186" s="64" t="str">
        <f>IFERROR(UPPER(IF(C186="CPU",VLOOKUP(D186,#REF!,2,0),IF(C186="SINAPI",VLOOKUP(D186,#REF!,2,0),IF(C186="EDIF",VLOOKUP(D186,#REF!,2,0),IF(C186="CDHU",VLOOKUP(D186,#REF!,2,0),IF(C186="FDE",VLOOKUP(D186,'FDE 10-23 '!$A$4:$E$3180,2,0),IF(C186="INFRA",VLOOKUP(D186,#REF!,2,0),""))))))),"")</f>
        <v>REGISTRO DE GAVETA BRUTO DN 80MM (3")</v>
      </c>
      <c r="F186" s="65" t="str">
        <f>VLOOKUP(D186,'FDE 10-23 '!$A$4:$E$3180,3,0)</f>
        <v>UN</v>
      </c>
      <c r="G186" s="66">
        <v>2</v>
      </c>
      <c r="H186" s="67">
        <f>VLOOKUP(D186,'FDE 10-23 '!$A$4:$E$3180,5,0)</f>
        <v>597.03</v>
      </c>
      <c r="I186" s="68">
        <f t="shared" si="30"/>
        <v>0.23</v>
      </c>
      <c r="J186" s="67">
        <f t="shared" si="31"/>
        <v>734.35</v>
      </c>
      <c r="K186" s="71">
        <f t="shared" si="32"/>
        <v>1468.7</v>
      </c>
      <c r="L186" s="51"/>
      <c r="M186" s="52"/>
    </row>
    <row r="187" spans="2:13" s="25" customFormat="1" ht="30" customHeight="1" outlineLevel="1">
      <c r="B187" s="61" t="s">
        <v>399</v>
      </c>
      <c r="C187" s="62" t="s">
        <v>26</v>
      </c>
      <c r="D187" s="63" t="s">
        <v>400</v>
      </c>
      <c r="E187" s="64" t="str">
        <f>IFERROR(UPPER(IF(C187="CPU",VLOOKUP(D187,#REF!,2,0),IF(C187="SINAPI",VLOOKUP(D187,#REF!,2,0),IF(C187="EDIF",VLOOKUP(D187,#REF!,2,0),IF(C187="CDHU",VLOOKUP(D187,#REF!,2,0),IF(C187="FDE",VLOOKUP(D187,'FDE 10-23 '!$A$4:$E$3180,2,0),IF(C187="INFRA",VLOOKUP(D187,#REF!,2,0),""))))))),"")</f>
        <v>REGISTRO DE RECALQUE NO PASSEIO (RR-01)</v>
      </c>
      <c r="F187" s="65" t="str">
        <f>VLOOKUP(D187,'FDE 10-23 '!$A$4:$E$3180,3,0)</f>
        <v>UN</v>
      </c>
      <c r="G187" s="66">
        <v>1</v>
      </c>
      <c r="H187" s="67">
        <f>VLOOKUP(D187,'FDE 10-23 '!$A$4:$E$3180,5,0)</f>
        <v>794.72</v>
      </c>
      <c r="I187" s="68">
        <f t="shared" si="30"/>
        <v>0.23</v>
      </c>
      <c r="J187" s="67">
        <f t="shared" si="31"/>
        <v>977.51</v>
      </c>
      <c r="K187" s="71">
        <f t="shared" si="32"/>
        <v>977.51</v>
      </c>
      <c r="L187" s="51"/>
      <c r="M187" s="52"/>
    </row>
    <row r="188" spans="2:13" s="25" customFormat="1" ht="30" customHeight="1" outlineLevel="1">
      <c r="B188" s="61" t="s">
        <v>401</v>
      </c>
      <c r="C188" s="62" t="s">
        <v>26</v>
      </c>
      <c r="D188" s="63" t="s">
        <v>402</v>
      </c>
      <c r="E188" s="64" t="str">
        <f>IFERROR(UPPER(IF(C188="CPU",VLOOKUP(D188,#REF!,2,0),IF(C188="SINAPI",VLOOKUP(D188,#REF!,2,0),IF(C188="EDIF",VLOOKUP(D188,#REF!,2,0),IF(C188="CDHU",VLOOKUP(D188,#REF!,2,0),IF(C188="FDE",VLOOKUP(D188,'FDE 10-23 '!$A$4:$E$3180,2,0),IF(C188="INFRA",VLOOKUP(D188,#REF!,2,0),""))))))),"")</f>
        <v>AH-04 ABRIGO PARA HIDRANTE COM MANGUEIRA 1 1/2"  E ESGUICHO REGULAVEL</v>
      </c>
      <c r="F188" s="65" t="str">
        <f>VLOOKUP(D188,'FDE 10-23 '!$A$4:$E$3180,3,0)</f>
        <v>UN</v>
      </c>
      <c r="G188" s="66">
        <v>4</v>
      </c>
      <c r="H188" s="67">
        <f>VLOOKUP(D188,'FDE 10-23 '!$A$4:$E$3180,5,0)</f>
        <v>1609.21</v>
      </c>
      <c r="I188" s="68">
        <f t="shared" si="30"/>
        <v>0.23</v>
      </c>
      <c r="J188" s="67">
        <f t="shared" si="31"/>
        <v>1979.33</v>
      </c>
      <c r="K188" s="71">
        <f t="shared" si="32"/>
        <v>7917.32</v>
      </c>
      <c r="L188" s="51"/>
      <c r="M188" s="52"/>
    </row>
    <row r="189" spans="2:13" s="25" customFormat="1" ht="30" customHeight="1" outlineLevel="1">
      <c r="B189" s="61" t="s">
        <v>403</v>
      </c>
      <c r="C189" s="62" t="s">
        <v>26</v>
      </c>
      <c r="D189" s="63" t="s">
        <v>404</v>
      </c>
      <c r="E189" s="64" t="str">
        <f>IFERROR(UPPER(IF(C189="CPU",VLOOKUP(D189,#REF!,2,0),IF(C189="SINAPI",VLOOKUP(D189,#REF!,2,0),IF(C189="EDIF",VLOOKUP(D189,#REF!,2,0),IF(C189="CDHU",VLOOKUP(D189,#REF!,2,0),IF(C189="FDE",VLOOKUP(D189,'FDE 10-23 '!$A$4:$E$3180,2,0),IF(C189="INFRA",VLOOKUP(D189,#REF!,2,0),""))))))),"")</f>
        <v>VALVULA RETENCAO HORIZ BRONZE DE 2 1/2"</v>
      </c>
      <c r="F189" s="65" t="str">
        <f>VLOOKUP(D189,'FDE 10-23 '!$A$4:$E$3180,3,0)</f>
        <v>UN</v>
      </c>
      <c r="G189" s="66">
        <v>2</v>
      </c>
      <c r="H189" s="67">
        <f>VLOOKUP(D189,'FDE 10-23 '!$A$4:$E$3180,5,0)</f>
        <v>573.57000000000005</v>
      </c>
      <c r="I189" s="68">
        <f t="shared" si="30"/>
        <v>0.23</v>
      </c>
      <c r="J189" s="67">
        <f t="shared" si="31"/>
        <v>705.49</v>
      </c>
      <c r="K189" s="71">
        <f t="shared" si="32"/>
        <v>1410.98</v>
      </c>
      <c r="L189" s="51"/>
      <c r="M189" s="52"/>
    </row>
    <row r="190" spans="2:13" s="25" customFormat="1" ht="30" customHeight="1" outlineLevel="1">
      <c r="B190" s="61" t="s">
        <v>405</v>
      </c>
      <c r="C190" s="62" t="s">
        <v>26</v>
      </c>
      <c r="D190" s="63" t="s">
        <v>406</v>
      </c>
      <c r="E190" s="64" t="str">
        <f>IFERROR(UPPER(IF(C190="CPU",VLOOKUP(D190,#REF!,2,0),IF(C190="SINAPI",VLOOKUP(D190,#REF!,2,0),IF(C190="EDIF",VLOOKUP(D190,#REF!,2,0),IF(C190="CDHU",VLOOKUP(D190,#REF!,2,0),IF(C190="FDE",VLOOKUP(D190,'FDE 10-23 '!$A$4:$E$3180,2,0),IF(C190="INFRA",VLOOKUP(D190,#REF!,2,0),""))))))),"")</f>
        <v>EXTINTORES MANUAIS DE CO2 COM CAPACIDADE DE 6 KG</v>
      </c>
      <c r="F190" s="65" t="str">
        <f>VLOOKUP(D190,'FDE 10-23 '!$A$4:$E$3180,3,0)</f>
        <v>UN</v>
      </c>
      <c r="G190" s="66">
        <v>2</v>
      </c>
      <c r="H190" s="67">
        <f>VLOOKUP(D190,'FDE 10-23 '!$A$4:$E$3180,5,0)</f>
        <v>603.03</v>
      </c>
      <c r="I190" s="68">
        <f t="shared" si="30"/>
        <v>0.23</v>
      </c>
      <c r="J190" s="67">
        <f t="shared" si="31"/>
        <v>741.73</v>
      </c>
      <c r="K190" s="71">
        <f t="shared" si="32"/>
        <v>1483.46</v>
      </c>
      <c r="L190" s="51"/>
      <c r="M190" s="52"/>
    </row>
    <row r="191" spans="2:13" s="25" customFormat="1" ht="30" customHeight="1" outlineLevel="1">
      <c r="B191" s="61" t="s">
        <v>407</v>
      </c>
      <c r="C191" s="62" t="s">
        <v>26</v>
      </c>
      <c r="D191" s="63" t="s">
        <v>408</v>
      </c>
      <c r="E191" s="64" t="str">
        <f>IFERROR(UPPER(IF(C191="CPU",VLOOKUP(D191,#REF!,2,0),IF(C191="SINAPI",VLOOKUP(D191,#REF!,2,0),IF(C191="EDIF",VLOOKUP(D191,#REF!,2,0),IF(C191="CDHU",VLOOKUP(D191,#REF!,2,0),IF(C191="FDE",VLOOKUP(D191,'FDE 10-23 '!$A$4:$E$3180,2,0),IF(C191="INFRA",VLOOKUP(D191,#REF!,2,0),""))))))),"")</f>
        <v>EXTINTORES MANUAIS PO QUIMICO SECO COM CAPACIDADE DE 4 KG</v>
      </c>
      <c r="F191" s="65" t="str">
        <f>VLOOKUP(D191,'FDE 10-23 '!$A$4:$E$3180,3,0)</f>
        <v>UN</v>
      </c>
      <c r="G191" s="66">
        <v>4</v>
      </c>
      <c r="H191" s="67">
        <f>VLOOKUP(D191,'FDE 10-23 '!$A$4:$E$3180,5,0)</f>
        <v>199.58</v>
      </c>
      <c r="I191" s="68">
        <f t="shared" si="30"/>
        <v>0.23</v>
      </c>
      <c r="J191" s="67">
        <f t="shared" si="31"/>
        <v>245.48</v>
      </c>
      <c r="K191" s="71">
        <f t="shared" si="32"/>
        <v>981.92</v>
      </c>
      <c r="L191" s="51"/>
      <c r="M191" s="52"/>
    </row>
    <row r="192" spans="2:13" s="25" customFormat="1" ht="30" customHeight="1" outlineLevel="1">
      <c r="B192" s="61" t="s">
        <v>409</v>
      </c>
      <c r="C192" s="62" t="s">
        <v>26</v>
      </c>
      <c r="D192" s="63" t="s">
        <v>410</v>
      </c>
      <c r="E192" s="64" t="str">
        <f>IFERROR(UPPER(IF(C192="CPU",VLOOKUP(D192,#REF!,2,0),IF(C192="SINAPI",VLOOKUP(D192,#REF!,2,0),IF(C192="EDIF",VLOOKUP(D192,#REF!,2,0),IF(C192="CDHU",VLOOKUP(D192,#REF!,2,0),IF(C192="FDE",VLOOKUP(D192,'FDE 10-23 '!$A$4:$E$3180,2,0),IF(C192="INFRA",VLOOKUP(D192,#REF!,2,0),""))))))),"")</f>
        <v>EXTINTOR MANUAL PO QUIMICO SECO C/ CAPACIDADE DE 12KG</v>
      </c>
      <c r="F192" s="65" t="str">
        <f>VLOOKUP(D192,'FDE 10-23 '!$A$4:$E$3180,3,0)</f>
        <v>UN</v>
      </c>
      <c r="G192" s="66">
        <v>1</v>
      </c>
      <c r="H192" s="67">
        <f>VLOOKUP(D192,'FDE 10-23 '!$A$4:$E$3180,5,0)</f>
        <v>313.01</v>
      </c>
      <c r="I192" s="68">
        <f t="shared" si="30"/>
        <v>0.23</v>
      </c>
      <c r="J192" s="67">
        <f t="shared" si="31"/>
        <v>385</v>
      </c>
      <c r="K192" s="71">
        <f t="shared" si="32"/>
        <v>385</v>
      </c>
      <c r="L192" s="51"/>
      <c r="M192" s="52"/>
    </row>
    <row r="193" spans="2:13" s="25" customFormat="1" ht="30" customHeight="1" outlineLevel="1">
      <c r="B193" s="61" t="s">
        <v>411</v>
      </c>
      <c r="C193" s="62" t="s">
        <v>26</v>
      </c>
      <c r="D193" s="63" t="s">
        <v>412</v>
      </c>
      <c r="E193" s="64" t="str">
        <f>IFERROR(UPPER(IF(C193="CPU",VLOOKUP(D193,#REF!,2,0),IF(C193="SINAPI",VLOOKUP(D193,#REF!,2,0),IF(C193="EDIF",VLOOKUP(D193,#REF!,2,0),IF(C193="CDHU",VLOOKUP(D193,#REF!,2,0),IF(C193="FDE",VLOOKUP(D193,'FDE 10-23 '!$A$4:$E$3180,2,0),IF(C193="INFRA",VLOOKUP(D193,#REF!,2,0),""))))))),"")</f>
        <v>EXTINTORES MANUAIS DE AGUA PRESSURIZADA CAP DE 10 L</v>
      </c>
      <c r="F193" s="65" t="str">
        <f>VLOOKUP(D193,'FDE 10-23 '!$A$4:$E$3180,3,0)</f>
        <v>UN</v>
      </c>
      <c r="G193" s="66">
        <v>1</v>
      </c>
      <c r="H193" s="67">
        <f>VLOOKUP(D193,'FDE 10-23 '!$A$4:$E$3180,5,0)</f>
        <v>216.46</v>
      </c>
      <c r="I193" s="68">
        <f t="shared" si="30"/>
        <v>0.23</v>
      </c>
      <c r="J193" s="67">
        <f t="shared" si="31"/>
        <v>266.25</v>
      </c>
      <c r="K193" s="71">
        <f t="shared" si="32"/>
        <v>266.25</v>
      </c>
      <c r="L193" s="51"/>
      <c r="M193" s="52"/>
    </row>
    <row r="194" spans="2:13" s="25" customFormat="1" ht="30" customHeight="1" outlineLevel="1">
      <c r="B194" s="61" t="s">
        <v>413</v>
      </c>
      <c r="C194" s="62" t="s">
        <v>26</v>
      </c>
      <c r="D194" s="63" t="s">
        <v>414</v>
      </c>
      <c r="E194" s="64" t="str">
        <f>IFERROR(UPPER(IF(C194="CPU",VLOOKUP(D194,#REF!,2,0),IF(C194="SINAPI",VLOOKUP(D194,#REF!,2,0),IF(C194="EDIF",VLOOKUP(D194,#REF!,2,0),IF(C194="CDHU",VLOOKUP(D194,#REF!,2,0),IF(C194="FDE",VLOOKUP(D194,'FDE 10-23 '!$A$4:$E$3180,2,0),IF(C194="INFRA",VLOOKUP(D194,#REF!,2,0),""))))))),"")</f>
        <v>PRESSOSTATO (VALVULA DE FLUXO) COM SENSOR DIAFRAGMA.</v>
      </c>
      <c r="F194" s="65" t="str">
        <f>VLOOKUP(D194,'FDE 10-23 '!$A$4:$E$3180,3,0)</f>
        <v>UN</v>
      </c>
      <c r="G194" s="66">
        <v>1</v>
      </c>
      <c r="H194" s="67">
        <f>VLOOKUP(D194,'FDE 10-23 '!$A$4:$E$3180,5,0)</f>
        <v>2546.9899999999998</v>
      </c>
      <c r="I194" s="68">
        <f t="shared" si="30"/>
        <v>0.23</v>
      </c>
      <c r="J194" s="67">
        <f t="shared" si="31"/>
        <v>3132.8</v>
      </c>
      <c r="K194" s="71">
        <f t="shared" si="32"/>
        <v>3132.8</v>
      </c>
      <c r="L194" s="51"/>
      <c r="M194" s="52"/>
    </row>
    <row r="195" spans="2:13" s="25" customFormat="1" ht="30" customHeight="1" outlineLevel="1">
      <c r="B195" s="61" t="s">
        <v>415</v>
      </c>
      <c r="C195" s="62" t="s">
        <v>26</v>
      </c>
      <c r="D195" s="63" t="s">
        <v>416</v>
      </c>
      <c r="E195" s="64" t="str">
        <f>IFERROR(UPPER(IF(C195="CPU",VLOOKUP(D195,#REF!,2,0),IF(C195="SINAPI",VLOOKUP(D195,#REF!,2,0),IF(C195="EDIF",VLOOKUP(D195,#REF!,2,0),IF(C195="CDHU",VLOOKUP(D195,#REF!,2,0),IF(C195="FDE",VLOOKUP(D195,'FDE 10-23 '!$A$4:$E$3180,2,0),IF(C195="INFRA",VLOOKUP(D195,#REF!,2,0),""))))))),"")</f>
        <v>CONJ MOTOR-BOMBA (CENTRIFUGA) 5 HP (31200 L/H -20 MCA)</v>
      </c>
      <c r="F195" s="65" t="str">
        <f>VLOOKUP(D195,'FDE 10-23 '!$A$4:$E$3180,3,0)</f>
        <v>UN</v>
      </c>
      <c r="G195" s="66">
        <v>1</v>
      </c>
      <c r="H195" s="67">
        <f>VLOOKUP(D195,'FDE 10-23 '!$A$4:$E$3180,5,0)</f>
        <v>4925.41</v>
      </c>
      <c r="I195" s="68">
        <f t="shared" si="30"/>
        <v>0.23</v>
      </c>
      <c r="J195" s="67">
        <f t="shared" si="31"/>
        <v>6058.25</v>
      </c>
      <c r="K195" s="71">
        <f t="shared" si="32"/>
        <v>6058.25</v>
      </c>
      <c r="L195" s="51"/>
      <c r="M195" s="52"/>
    </row>
    <row r="196" spans="2:13" s="25" customFormat="1" ht="30" customHeight="1" outlineLevel="1">
      <c r="B196" s="53" t="s">
        <v>417</v>
      </c>
      <c r="C196" s="54"/>
      <c r="D196" s="54" t="s">
        <v>418</v>
      </c>
      <c r="E196" s="55" t="s">
        <v>419</v>
      </c>
      <c r="F196" s="56" t="str">
        <f>IFERROR(UPPER(IF(C196="CPU",VLOOKUP(D196,#REF!,3,0),IF(C196="SINAPI",VLOOKUP(D196,#REF!,3,0),IF(C196="EDIF",VLOOKUP(D196,#REF!,3,0),IF(C196="CDHU",VLOOKUP(D196,#REF!,3,0),IF(C196="FDE",VLOOKUP(D196,#REF!,3,0),IF(C196="INFRA",VLOOKUP(D196,#REF!,3,0),""))))))),"")</f>
        <v/>
      </c>
      <c r="G196" s="57"/>
      <c r="H196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96" s="59"/>
      <c r="J196" s="59"/>
      <c r="K196" s="82">
        <f>SUBTOTAL(9,K197:K205)</f>
        <v>127721.141</v>
      </c>
      <c r="L196" s="51"/>
      <c r="M196" s="52"/>
    </row>
    <row r="197" spans="2:13" s="25" customFormat="1" ht="30" customHeight="1" outlineLevel="1">
      <c r="B197" s="61" t="s">
        <v>420</v>
      </c>
      <c r="C197" s="62" t="s">
        <v>26</v>
      </c>
      <c r="D197" s="63" t="s">
        <v>421</v>
      </c>
      <c r="E197" s="64" t="str">
        <f>IFERROR(UPPER(IF(C197="CPU",VLOOKUP(D197,#REF!,2,0),IF(C197="SINAPI",VLOOKUP(D197,#REF!,2,0),IF(C197="EDIF",VLOOKUP(D197,#REF!,2,0),IF(C197="CDHU",VLOOKUP(D197,#REF!,2,0),IF(C197="FDE",VLOOKUP(D197,'FDE 10-23 '!$A$4:$E$3180,2,0),IF(C197="INFRA",VLOOKUP(D197,#REF!,2,0),""))))))),"")</f>
        <v>TUBO DE FERRO FUNDIDO DN 50MM (2") - INCLUSIVE CONEXOES -  DESC</v>
      </c>
      <c r="F197" s="65" t="str">
        <f>VLOOKUP(D197,'FDE 10-23 '!$A$4:$E$3180,3,0)</f>
        <v>M</v>
      </c>
      <c r="G197" s="66">
        <v>17.05</v>
      </c>
      <c r="H197" s="67">
        <f>VLOOKUP(D197,'FDE 10-23 '!$A$4:$E$3180,5,0)</f>
        <v>298.41000000000003</v>
      </c>
      <c r="I197" s="68">
        <f t="shared" ref="I197:I205" si="33">$L$10</f>
        <v>0.23</v>
      </c>
      <c r="J197" s="67">
        <f t="shared" ref="J197:J205" si="34">ROUND(H197*(1+I197),2)</f>
        <v>367.04</v>
      </c>
      <c r="K197" s="71">
        <f t="shared" ref="K197:K205" si="35">SUM(G197*J197)</f>
        <v>6258.0320000000011</v>
      </c>
      <c r="L197" s="51"/>
      <c r="M197" s="52"/>
    </row>
    <row r="198" spans="2:13" s="25" customFormat="1" ht="30" customHeight="1" outlineLevel="1">
      <c r="B198" s="61" t="s">
        <v>422</v>
      </c>
      <c r="C198" s="62" t="s">
        <v>26</v>
      </c>
      <c r="D198" s="63" t="s">
        <v>423</v>
      </c>
      <c r="E198" s="64" t="str">
        <f>IFERROR(UPPER(IF(C198="CPU",VLOOKUP(D198,#REF!,2,0),IF(C198="SINAPI",VLOOKUP(D198,#REF!,2,0),IF(C198="EDIF",VLOOKUP(D198,#REF!,2,0),IF(C198="CDHU",VLOOKUP(D198,#REF!,2,0),IF(C198="FDE",VLOOKUP(D198,'FDE 10-23 '!$A$4:$E$3180,2,0),IF(C198="INFRA",VLOOKUP(D198,#REF!,2,0),""))))))),"")</f>
        <v>TUBO DE FERRO FUNDIDO DN 75MM (3") - INCLUSIVE CONEXOES -  DESC</v>
      </c>
      <c r="F198" s="65" t="str">
        <f>VLOOKUP(D198,'FDE 10-23 '!$A$4:$E$3180,3,0)</f>
        <v>M</v>
      </c>
      <c r="G198" s="66">
        <v>22.5</v>
      </c>
      <c r="H198" s="67">
        <f>VLOOKUP(D198,'FDE 10-23 '!$A$4:$E$3180,5,0)</f>
        <v>399.15</v>
      </c>
      <c r="I198" s="68">
        <f t="shared" si="33"/>
        <v>0.23</v>
      </c>
      <c r="J198" s="67">
        <f t="shared" si="34"/>
        <v>490.95</v>
      </c>
      <c r="K198" s="71">
        <f t="shared" si="35"/>
        <v>11046.375</v>
      </c>
      <c r="L198" s="51"/>
      <c r="M198" s="52"/>
    </row>
    <row r="199" spans="2:13" s="25" customFormat="1" ht="30" customHeight="1" outlineLevel="1">
      <c r="B199" s="61" t="s">
        <v>424</v>
      </c>
      <c r="C199" s="62" t="s">
        <v>26</v>
      </c>
      <c r="D199" s="63" t="s">
        <v>425</v>
      </c>
      <c r="E199" s="64" t="str">
        <f>IFERROR(UPPER(IF(C199="CPU",VLOOKUP(D199,#REF!,2,0),IF(C199="SINAPI",VLOOKUP(D199,#REF!,2,0),IF(C199="EDIF",VLOOKUP(D199,#REF!,2,0),IF(C199="CDHU",VLOOKUP(D199,#REF!,2,0),IF(C199="FDE",VLOOKUP(D199,'FDE 10-23 '!$A$4:$E$3180,2,0),IF(C199="INFRA",VLOOKUP(D199,#REF!,2,0),""))))))),"")</f>
        <v>TUBO DE FERRO FUNDIDO DN 100MM (4") - INCLUSIVE CONEXOES -  DESC</v>
      </c>
      <c r="F199" s="65" t="str">
        <f>VLOOKUP(D199,'FDE 10-23 '!$A$4:$E$3180,3,0)</f>
        <v>M</v>
      </c>
      <c r="G199" s="66">
        <v>13</v>
      </c>
      <c r="H199" s="67">
        <f>VLOOKUP(D199,'FDE 10-23 '!$A$4:$E$3180,5,0)</f>
        <v>458.86</v>
      </c>
      <c r="I199" s="68">
        <f t="shared" si="33"/>
        <v>0.23</v>
      </c>
      <c r="J199" s="67">
        <f t="shared" si="34"/>
        <v>564.4</v>
      </c>
      <c r="K199" s="71">
        <f t="shared" si="35"/>
        <v>7337.2</v>
      </c>
      <c r="L199" s="51"/>
      <c r="M199" s="52"/>
    </row>
    <row r="200" spans="2:13" s="25" customFormat="1" ht="30" customHeight="1" outlineLevel="1">
      <c r="B200" s="61" t="s">
        <v>426</v>
      </c>
      <c r="C200" s="62" t="s">
        <v>26</v>
      </c>
      <c r="D200" s="63" t="s">
        <v>427</v>
      </c>
      <c r="E200" s="64" t="str">
        <f>IFERROR(UPPER(IF(C200="CPU",VLOOKUP(D200,#REF!,2,0),IF(C200="SINAPI",VLOOKUP(D200,#REF!,2,0),IF(C200="EDIF",VLOOKUP(D200,#REF!,2,0),IF(C200="CDHU",VLOOKUP(D200,#REF!,2,0),IF(C200="FDE",VLOOKUP(D200,'FDE 10-23 '!$A$4:$E$3180,2,0),IF(C200="INFRA",VLOOKUP(D200,#REF!,2,0),""))))))),"")</f>
        <v>TUBO PVC NORMAL "SN" JUNTA SOLDÁVEL/ELÁSTICA DN 40 INCL CONEXÕES</v>
      </c>
      <c r="F200" s="65" t="str">
        <f>VLOOKUP(D200,'FDE 10-23 '!$A$4:$E$3180,3,0)</f>
        <v>M</v>
      </c>
      <c r="G200" s="66">
        <v>75.5</v>
      </c>
      <c r="H200" s="67">
        <f>VLOOKUP(D200,'FDE 10-23 '!$A$4:$E$3180,5,0)</f>
        <v>37.58</v>
      </c>
      <c r="I200" s="68">
        <f t="shared" si="33"/>
        <v>0.23</v>
      </c>
      <c r="J200" s="67">
        <f t="shared" si="34"/>
        <v>46.22</v>
      </c>
      <c r="K200" s="71">
        <f t="shared" si="35"/>
        <v>3489.61</v>
      </c>
      <c r="L200" s="51"/>
      <c r="M200" s="52"/>
    </row>
    <row r="201" spans="2:13" s="25" customFormat="1" ht="30" customHeight="1" outlineLevel="1">
      <c r="B201" s="61" t="s">
        <v>428</v>
      </c>
      <c r="C201" s="62" t="s">
        <v>26</v>
      </c>
      <c r="D201" s="63" t="s">
        <v>429</v>
      </c>
      <c r="E201" s="64" t="str">
        <f>IFERROR(UPPER(IF(C201="CPU",VLOOKUP(D201,#REF!,2,0),IF(C201="SINAPI",VLOOKUP(D201,#REF!,2,0),IF(C201="EDIF",VLOOKUP(D201,#REF!,2,0),IF(C201="CDHU",VLOOKUP(D201,#REF!,2,0),IF(C201="FDE",VLOOKUP(D201,'FDE 10-23 '!$A$4:$E$3180,2,0),IF(C201="INFRA",VLOOKUP(D201,#REF!,2,0),""))))))),"")</f>
        <v>TUBO PVC NORMAL "SN" JUNTA ELÁSTICA DN 50 INCL CONEXÕES</v>
      </c>
      <c r="F201" s="65" t="str">
        <f>VLOOKUP(D201,'FDE 10-23 '!$A$4:$E$3180,3,0)</f>
        <v>M</v>
      </c>
      <c r="G201" s="66">
        <v>69</v>
      </c>
      <c r="H201" s="67">
        <f>VLOOKUP(D201,'FDE 10-23 '!$A$4:$E$3180,5,0)</f>
        <v>42.47</v>
      </c>
      <c r="I201" s="68">
        <f t="shared" si="33"/>
        <v>0.23</v>
      </c>
      <c r="J201" s="67">
        <f t="shared" si="34"/>
        <v>52.24</v>
      </c>
      <c r="K201" s="71">
        <f t="shared" si="35"/>
        <v>3604.56</v>
      </c>
      <c r="L201" s="51"/>
      <c r="M201" s="52"/>
    </row>
    <row r="202" spans="2:13" s="25" customFormat="1" ht="30" customHeight="1" outlineLevel="1">
      <c r="B202" s="61" t="s">
        <v>430</v>
      </c>
      <c r="C202" s="62" t="s">
        <v>26</v>
      </c>
      <c r="D202" s="63" t="s">
        <v>431</v>
      </c>
      <c r="E202" s="64" t="str">
        <f>IFERROR(UPPER(IF(C202="CPU",VLOOKUP(D202,#REF!,2,0),IF(C202="SINAPI",VLOOKUP(D202,#REF!,2,0),IF(C202="EDIF",VLOOKUP(D202,#REF!,2,0),IF(C202="CDHU",VLOOKUP(D202,#REF!,2,0),IF(C202="FDE",VLOOKUP(D202,'FDE 10-23 '!$A$4:$E$3180,2,0),IF(C202="INFRA",VLOOKUP(D202,#REF!,2,0),""))))))),"")</f>
        <v>TUBO PVC NORMAL "SN" JUNTA ELÁSTICA DN 75 INCL CONEXÕES</v>
      </c>
      <c r="F202" s="65" t="str">
        <f>VLOOKUP(D202,'FDE 10-23 '!$A$4:$E$3180,3,0)</f>
        <v>M</v>
      </c>
      <c r="G202" s="66">
        <v>112</v>
      </c>
      <c r="H202" s="67">
        <f>VLOOKUP(D202,'FDE 10-23 '!$A$4:$E$3180,5,0)</f>
        <v>53.67</v>
      </c>
      <c r="I202" s="68">
        <f t="shared" si="33"/>
        <v>0.23</v>
      </c>
      <c r="J202" s="67">
        <f t="shared" si="34"/>
        <v>66.010000000000005</v>
      </c>
      <c r="K202" s="71">
        <f t="shared" si="35"/>
        <v>7393.1200000000008</v>
      </c>
      <c r="L202" s="51"/>
      <c r="M202" s="52"/>
    </row>
    <row r="203" spans="2:13" s="25" customFormat="1" ht="30" customHeight="1" outlineLevel="1">
      <c r="B203" s="61" t="s">
        <v>432</v>
      </c>
      <c r="C203" s="62" t="s">
        <v>26</v>
      </c>
      <c r="D203" s="63" t="s">
        <v>433</v>
      </c>
      <c r="E203" s="64" t="str">
        <f>IFERROR(UPPER(IF(C203="CPU",VLOOKUP(D203,#REF!,2,0),IF(C203="SINAPI",VLOOKUP(D203,#REF!,2,0),IF(C203="EDIF",VLOOKUP(D203,#REF!,2,0),IF(C203="CDHU",VLOOKUP(D203,#REF!,2,0),IF(C203="FDE",VLOOKUP(D203,'FDE 10-23 '!$A$4:$E$3180,2,0),IF(C203="INFRA",VLOOKUP(D203,#REF!,2,0),""))))))),"")</f>
        <v>TUBO PVC NORMAL "SN" JUNTA ELÁSTICA DN 100 INCL CONEXÕES</v>
      </c>
      <c r="F203" s="65" t="str">
        <f>VLOOKUP(D203,'FDE 10-23 '!$A$4:$E$3180,3,0)</f>
        <v>M</v>
      </c>
      <c r="G203" s="66">
        <v>87</v>
      </c>
      <c r="H203" s="67">
        <f>VLOOKUP(D203,'FDE 10-23 '!$A$4:$E$3180,5,0)</f>
        <v>57.15</v>
      </c>
      <c r="I203" s="68">
        <f t="shared" si="33"/>
        <v>0.23</v>
      </c>
      <c r="J203" s="67">
        <f t="shared" si="34"/>
        <v>70.290000000000006</v>
      </c>
      <c r="K203" s="71">
        <f t="shared" si="35"/>
        <v>6115.2300000000005</v>
      </c>
      <c r="L203" s="51"/>
      <c r="M203" s="52"/>
    </row>
    <row r="204" spans="2:13" s="25" customFormat="1" ht="30" customHeight="1" outlineLevel="1">
      <c r="B204" s="61" t="s">
        <v>434</v>
      </c>
      <c r="C204" s="62" t="s">
        <v>26</v>
      </c>
      <c r="D204" s="63" t="s">
        <v>435</v>
      </c>
      <c r="E204" s="64" t="str">
        <f>IFERROR(UPPER(IF(C204="CPU",VLOOKUP(D204,#REF!,2,0),IF(C204="SINAPI",VLOOKUP(D204,#REF!,2,0),IF(C204="EDIF",VLOOKUP(D204,#REF!,2,0),IF(C204="CDHU",VLOOKUP(D204,#REF!,2,0),IF(C204="FDE",VLOOKUP(D204,'FDE 10-23 '!$A$4:$E$3180,2,0),IF(C204="INFRA",VLOOKUP(D204,#REF!,2,0),""))))))),"")</f>
        <v>TUBO PVC NORMAL "SN" JUNTA ELÁSTICA DN 150 INCL CONEXÕES</v>
      </c>
      <c r="F204" s="65" t="str">
        <f>VLOOKUP(D204,'FDE 10-23 '!$A$4:$E$3180,3,0)</f>
        <v>M</v>
      </c>
      <c r="G204" s="66">
        <v>142</v>
      </c>
      <c r="H204" s="67">
        <f>VLOOKUP(D204,'FDE 10-23 '!$A$4:$E$3180,5,0)</f>
        <v>115.97</v>
      </c>
      <c r="I204" s="68">
        <f t="shared" si="33"/>
        <v>0.23</v>
      </c>
      <c r="J204" s="67">
        <f t="shared" si="34"/>
        <v>142.63999999999999</v>
      </c>
      <c r="K204" s="71">
        <f t="shared" si="35"/>
        <v>20254.879999999997</v>
      </c>
      <c r="L204" s="51"/>
      <c r="M204" s="52"/>
    </row>
    <row r="205" spans="2:13" s="25" customFormat="1" ht="30" customHeight="1" outlineLevel="1">
      <c r="B205" s="61" t="s">
        <v>436</v>
      </c>
      <c r="C205" s="62" t="s">
        <v>26</v>
      </c>
      <c r="D205" s="63" t="s">
        <v>437</v>
      </c>
      <c r="E205" s="64" t="str">
        <f>IFERROR(UPPER(IF(C205="CPU",VLOOKUP(D205,#REF!,2,0),IF(C205="SINAPI",VLOOKUP(D205,#REF!,2,0),IF(C205="EDIF",VLOOKUP(D205,#REF!,2,0),IF(C205="CDHU",VLOOKUP(D205,#REF!,2,0),IF(C205="FDE",VLOOKUP(D205,'FDE 10-23 '!$A$4:$E$3180,2,0),IF(C205="INFRA",VLOOKUP(D205,#REF!,2,0),""))))))),"")</f>
        <v>SERVICOS EM REDE DE ESGOTO</v>
      </c>
      <c r="F205" s="65" t="str">
        <f>VLOOKUP(D205,'FDE 10-23 '!$A$4:$E$3180,3,0)</f>
        <v>MV</v>
      </c>
      <c r="G205" s="66">
        <v>94.9</v>
      </c>
      <c r="H205" s="67">
        <f>VLOOKUP(D205,'FDE 10-23 '!$A$4:$E$3180,5,0)</f>
        <v>533.05999999999995</v>
      </c>
      <c r="I205" s="68">
        <f t="shared" si="33"/>
        <v>0.23</v>
      </c>
      <c r="J205" s="67">
        <f t="shared" si="34"/>
        <v>655.66</v>
      </c>
      <c r="K205" s="71">
        <f t="shared" si="35"/>
        <v>62222.133999999998</v>
      </c>
      <c r="L205" s="51"/>
      <c r="M205" s="52"/>
    </row>
    <row r="206" spans="2:13" s="25" customFormat="1" ht="30" customHeight="1" outlineLevel="1">
      <c r="B206" s="53" t="s">
        <v>438</v>
      </c>
      <c r="C206" s="54"/>
      <c r="D206" s="54" t="s">
        <v>439</v>
      </c>
      <c r="E206" s="55" t="s">
        <v>440</v>
      </c>
      <c r="F206" s="56" t="str">
        <f>IFERROR(UPPER(IF(C206="CPU",VLOOKUP(D206,#REF!,3,0),IF(C206="SINAPI",VLOOKUP(D206,#REF!,3,0),IF(C206="EDIF",VLOOKUP(D206,#REF!,3,0),IF(C206="CDHU",VLOOKUP(D206,#REF!,3,0),IF(C206="FDE",VLOOKUP(D206,#REF!,3,0),IF(C206="INFRA",VLOOKUP(D206,#REF!,3,0),""))))))),"")</f>
        <v/>
      </c>
      <c r="G206" s="57"/>
      <c r="H206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06" s="59"/>
      <c r="J206" s="59"/>
      <c r="K206" s="82">
        <f>SUBTOTAL(9,K207:K208)</f>
        <v>18974.805600000003</v>
      </c>
      <c r="L206" s="51"/>
      <c r="M206" s="52"/>
    </row>
    <row r="207" spans="2:13" s="25" customFormat="1" ht="30" customHeight="1" outlineLevel="1">
      <c r="B207" s="61" t="s">
        <v>441</v>
      </c>
      <c r="C207" s="62" t="s">
        <v>26</v>
      </c>
      <c r="D207" s="63" t="s">
        <v>442</v>
      </c>
      <c r="E207" s="64" t="str">
        <f>IFERROR(UPPER(IF(C207="CPU",VLOOKUP(D207,#REF!,2,0),IF(C207="SINAPI",VLOOKUP(D207,#REF!,2,0),IF(C207="EDIF",VLOOKUP(D207,#REF!,2,0),IF(C207="CDHU",VLOOKUP(D207,#REF!,2,0),IF(C207="FDE",VLOOKUP(D207,'FDE 10-23 '!$A$4:$E$3180,2,0),IF(C207="INFRA",VLOOKUP(D207,#REF!,2,0),""))))))),"")</f>
        <v>RALO SIFONADO DE F.FUNDIDO DN 150 MM C/GRELHA PVC CROMADO</v>
      </c>
      <c r="F207" s="65" t="str">
        <f>VLOOKUP(D207,'FDE 10-23 '!$A$4:$E$3180,3,0)</f>
        <v>UN</v>
      </c>
      <c r="G207" s="66">
        <v>26</v>
      </c>
      <c r="H207" s="67">
        <f>VLOOKUP(D207,'FDE 10-23 '!$A$4:$E$3180,5,0)</f>
        <v>549.04999999999995</v>
      </c>
      <c r="I207" s="68">
        <f>$L$10</f>
        <v>0.23</v>
      </c>
      <c r="J207" s="67">
        <f>ROUND(H207*(1+I207),2)</f>
        <v>675.33</v>
      </c>
      <c r="K207" s="71">
        <f>SUM(G207*J207)</f>
        <v>17558.580000000002</v>
      </c>
      <c r="L207" s="51"/>
      <c r="M207" s="52"/>
    </row>
    <row r="208" spans="2:13" s="25" customFormat="1" ht="30" customHeight="1" outlineLevel="1">
      <c r="B208" s="61" t="s">
        <v>443</v>
      </c>
      <c r="C208" s="62" t="s">
        <v>26</v>
      </c>
      <c r="D208" s="63" t="s">
        <v>444</v>
      </c>
      <c r="E208" s="64" t="str">
        <f>IFERROR(UPPER(IF(C208="CPU",VLOOKUP(D208,#REF!,2,0),IF(C208="SINAPI",VLOOKUP(D208,#REF!,2,0),IF(C208="EDIF",VLOOKUP(D208,#REF!,2,0),IF(C208="CDHU",VLOOKUP(D208,#REF!,2,0),IF(C208="FDE",VLOOKUP(D208,'FDE 10-23 '!$A$4:$E$3180,2,0),IF(C208="INFRA",VLOOKUP(D208,#REF!,2,0),""))))))),"")</f>
        <v>SERVICOS EM REDE DE ESGOTO</v>
      </c>
      <c r="F208" s="65" t="str">
        <f>VLOOKUP(D208,'FDE 10-23 '!$A$4:$E$3180,3,0)</f>
        <v>MV</v>
      </c>
      <c r="G208" s="66">
        <v>2.16</v>
      </c>
      <c r="H208" s="67">
        <f>VLOOKUP(D208,'FDE 10-23 '!$A$4:$E$3180,5,0)</f>
        <v>533.05999999999995</v>
      </c>
      <c r="I208" s="68">
        <f>$L$10</f>
        <v>0.23</v>
      </c>
      <c r="J208" s="67">
        <f>ROUND(H208*(1+I208),2)</f>
        <v>655.66</v>
      </c>
      <c r="K208" s="71">
        <f>SUM(G208*J208)</f>
        <v>1416.2256</v>
      </c>
      <c r="L208" s="51"/>
      <c r="M208" s="52"/>
    </row>
    <row r="209" spans="2:13" s="25" customFormat="1" ht="30" customHeight="1" outlineLevel="1">
      <c r="B209" s="53" t="s">
        <v>445</v>
      </c>
      <c r="C209" s="54"/>
      <c r="D209" s="54" t="s">
        <v>446</v>
      </c>
      <c r="E209" s="55" t="s">
        <v>447</v>
      </c>
      <c r="F209" s="56" t="str">
        <f>IFERROR(UPPER(IF(C209="CPU",VLOOKUP(D209,#REF!,3,0),IF(C209="SINAPI",VLOOKUP(D209,#REF!,3,0),IF(C209="EDIF",VLOOKUP(D209,#REF!,3,0),IF(C209="CDHU",VLOOKUP(D209,#REF!,3,0),IF(C209="FDE",VLOOKUP(D209,#REF!,3,0),IF(C209="INFRA",VLOOKUP(D209,#REF!,3,0),""))))))),"")</f>
        <v/>
      </c>
      <c r="G209" s="57"/>
      <c r="H209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09" s="59"/>
      <c r="J209" s="59"/>
      <c r="K209" s="82">
        <f>SUBTOTAL(9,K210:K213)</f>
        <v>66358.2</v>
      </c>
      <c r="L209" s="51"/>
      <c r="M209" s="52"/>
    </row>
    <row r="210" spans="2:13" s="25" customFormat="1" ht="30" customHeight="1" outlineLevel="1">
      <c r="B210" s="61" t="s">
        <v>448</v>
      </c>
      <c r="C210" s="62" t="s">
        <v>26</v>
      </c>
      <c r="D210" s="63" t="s">
        <v>449</v>
      </c>
      <c r="E210" s="64" t="str">
        <f>IFERROR(UPPER(IF(C210="CPU",VLOOKUP(D210,#REF!,2,0),IF(C210="SINAPI",VLOOKUP(D210,#REF!,2,0),IF(C210="EDIF",VLOOKUP(D210,#REF!,2,0),IF(C210="CDHU",VLOOKUP(D210,#REF!,2,0),IF(C210="FDE",VLOOKUP(D210,'FDE 10-23 '!$A$4:$E$3180,2,0),IF(C210="INFRA",VLOOKUP(D210,#REF!,2,0),""))))))),"")</f>
        <v>TUBO DE FERRO FUNDIDO DN 100MM (4") - INCLUSIVE CONEXOES</v>
      </c>
      <c r="F210" s="65" t="str">
        <f>VLOOKUP(D210,'FDE 10-23 '!$A$4:$E$3180,3,0)</f>
        <v>M</v>
      </c>
      <c r="G210" s="66">
        <v>127</v>
      </c>
      <c r="H210" s="67">
        <f>VLOOKUP(D210,'FDE 10-23 '!$A$4:$E$3180,5,0)</f>
        <v>343.37</v>
      </c>
      <c r="I210" s="68">
        <f>$L$10</f>
        <v>0.23</v>
      </c>
      <c r="J210" s="67">
        <f>ROUND(H210*(1+I210),2)</f>
        <v>422.35</v>
      </c>
      <c r="K210" s="71">
        <f>SUM(G210*J210)</f>
        <v>53638.450000000004</v>
      </c>
      <c r="L210" s="51"/>
      <c r="M210" s="52"/>
    </row>
    <row r="211" spans="2:13" s="25" customFormat="1" ht="30" customHeight="1" outlineLevel="1">
      <c r="B211" s="61" t="s">
        <v>450</v>
      </c>
      <c r="C211" s="62" t="s">
        <v>26</v>
      </c>
      <c r="D211" s="63" t="s">
        <v>451</v>
      </c>
      <c r="E211" s="64" t="str">
        <f>IFERROR(UPPER(IF(C211="CPU",VLOOKUP(D211,#REF!,2,0),IF(C211="SINAPI",VLOOKUP(D211,#REF!,2,0),IF(C211="EDIF",VLOOKUP(D211,#REF!,2,0),IF(C211="CDHU",VLOOKUP(D211,#REF!,2,0),IF(C211="FDE",VLOOKUP(D211,'FDE 10-23 '!$A$4:$E$3180,2,0),IF(C211="INFRA",VLOOKUP(D211,#REF!,2,0),""))))))),"")</f>
        <v>TUBO DE FERRO FUNDIDO DN 150MM (6") - INCLUSIVE CONEXOES</v>
      </c>
      <c r="F211" s="65" t="str">
        <f>VLOOKUP(D211,'FDE 10-23 '!$A$4:$E$3180,3,0)</f>
        <v>M</v>
      </c>
      <c r="G211" s="66">
        <v>7</v>
      </c>
      <c r="H211" s="67">
        <f>VLOOKUP(D211,'FDE 10-23 '!$A$4:$E$3180,5,0)</f>
        <v>425.35</v>
      </c>
      <c r="I211" s="68">
        <f>$L$10</f>
        <v>0.23</v>
      </c>
      <c r="J211" s="67">
        <f>ROUND(H211*(1+I211),2)</f>
        <v>523.17999999999995</v>
      </c>
      <c r="K211" s="71">
        <f>SUM(G211*J211)</f>
        <v>3662.2599999999998</v>
      </c>
      <c r="L211" s="51"/>
      <c r="M211" s="52"/>
    </row>
    <row r="212" spans="2:13" s="25" customFormat="1" ht="30" customHeight="1" outlineLevel="1">
      <c r="B212" s="61" t="s">
        <v>452</v>
      </c>
      <c r="C212" s="62" t="s">
        <v>26</v>
      </c>
      <c r="D212" s="63" t="s">
        <v>453</v>
      </c>
      <c r="E212" s="64" t="str">
        <f>IFERROR(UPPER(IF(C212="CPU",VLOOKUP(D212,#REF!,2,0),IF(C212="SINAPI",VLOOKUP(D212,#REF!,2,0),IF(C212="EDIF",VLOOKUP(D212,#REF!,2,0),IF(C212="CDHU",VLOOKUP(D212,#REF!,2,0),IF(C212="FDE",VLOOKUP(D212,'FDE 10-23 '!$A$4:$E$3180,2,0),IF(C212="INFRA",VLOOKUP(D212,#REF!,2,0),""))))))),"")</f>
        <v>TUBO DE PVC REFORÇADO "SR" JUNTA ELÁSTICA DN 50 INCL CONEXÕES</v>
      </c>
      <c r="F212" s="65" t="str">
        <f>VLOOKUP(D212,'FDE 10-23 '!$A$4:$E$3180,3,0)</f>
        <v>M</v>
      </c>
      <c r="G212" s="66">
        <v>17</v>
      </c>
      <c r="H212" s="67">
        <f>VLOOKUP(D212,'FDE 10-23 '!$A$4:$E$3180,5,0)</f>
        <v>41.75</v>
      </c>
      <c r="I212" s="68">
        <f>$L$10</f>
        <v>0.23</v>
      </c>
      <c r="J212" s="67">
        <f>ROUND(H212*(1+I212),2)</f>
        <v>51.35</v>
      </c>
      <c r="K212" s="71">
        <f>SUM(G212*J212)</f>
        <v>872.95</v>
      </c>
      <c r="L212" s="51"/>
      <c r="M212" s="52"/>
    </row>
    <row r="213" spans="2:13" s="25" customFormat="1" ht="30" customHeight="1" outlineLevel="1">
      <c r="B213" s="61" t="s">
        <v>454</v>
      </c>
      <c r="C213" s="62" t="s">
        <v>26</v>
      </c>
      <c r="D213" s="63" t="s">
        <v>455</v>
      </c>
      <c r="E213" s="64" t="str">
        <f>IFERROR(UPPER(IF(C213="CPU",VLOOKUP(D213,#REF!,2,0),IF(C213="SINAPI",VLOOKUP(D213,#REF!,2,0),IF(C213="EDIF",VLOOKUP(D213,#REF!,2,0),IF(C213="CDHU",VLOOKUP(D213,#REF!,2,0),IF(C213="FDE",VLOOKUP(D213,'FDE 10-23 '!$A$4:$E$3180,2,0),IF(C213="INFRA",VLOOKUP(D213,#REF!,2,0),""))))))),"")</f>
        <v>TUBO DE PVC REFORÇADO "SR" JUNTA ELÁSTICA DN 100 INCL CONEXÕES</v>
      </c>
      <c r="F213" s="65" t="str">
        <f>VLOOKUP(D213,'FDE 10-23 '!$A$4:$E$3180,3,0)</f>
        <v>M</v>
      </c>
      <c r="G213" s="66">
        <v>91</v>
      </c>
      <c r="H213" s="67">
        <f>VLOOKUP(D213,'FDE 10-23 '!$A$4:$E$3180,5,0)</f>
        <v>73.12</v>
      </c>
      <c r="I213" s="68">
        <f>$L$10</f>
        <v>0.23</v>
      </c>
      <c r="J213" s="67">
        <f>ROUND(H213*(1+I213),2)</f>
        <v>89.94</v>
      </c>
      <c r="K213" s="71">
        <f>SUM(G213*J213)</f>
        <v>8184.54</v>
      </c>
      <c r="L213" s="51"/>
      <c r="M213" s="52"/>
    </row>
    <row r="214" spans="2:13" s="25" customFormat="1" ht="30" customHeight="1" outlineLevel="1">
      <c r="B214" s="53" t="s">
        <v>456</v>
      </c>
      <c r="C214" s="54"/>
      <c r="D214" s="54" t="s">
        <v>457</v>
      </c>
      <c r="E214" s="55" t="s">
        <v>458</v>
      </c>
      <c r="F214" s="56" t="str">
        <f>IFERROR(UPPER(IF(C214="CPU",VLOOKUP(D214,#REF!,3,0),IF(C214="SINAPI",VLOOKUP(D214,#REF!,3,0),IF(C214="EDIF",VLOOKUP(D214,#REF!,3,0),IF(C214="CDHU",VLOOKUP(D214,#REF!,3,0),IF(C214="FDE",VLOOKUP(D214,#REF!,3,0),IF(C214="INFRA",VLOOKUP(D214,#REF!,3,0),""))))))),"")</f>
        <v/>
      </c>
      <c r="G214" s="57"/>
      <c r="H214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14" s="59"/>
      <c r="J214" s="59"/>
      <c r="K214" s="82">
        <f>SUBTOTAL(9,K215:K219)</f>
        <v>39808.9588</v>
      </c>
      <c r="L214" s="51"/>
      <c r="M214" s="52"/>
    </row>
    <row r="215" spans="2:13" s="25" customFormat="1" ht="30" customHeight="1" outlineLevel="1">
      <c r="B215" s="61" t="s">
        <v>459</v>
      </c>
      <c r="C215" s="62" t="s">
        <v>26</v>
      </c>
      <c r="D215" s="63" t="s">
        <v>460</v>
      </c>
      <c r="E215" s="64" t="str">
        <f>IFERROR(UPPER(IF(C215="CPU",VLOOKUP(D215,#REF!,2,0),IF(C215="SINAPI",VLOOKUP(D215,#REF!,2,0),IF(C215="EDIF",VLOOKUP(D215,#REF!,2,0),IF(C215="CDHU",VLOOKUP(D215,#REF!,2,0),IF(C215="FDE",VLOOKUP(D215,'FDE 10-23 '!$A$4:$E$3180,2,0),IF(C215="INFRA",VLOOKUP(D215,#REF!,2,0),""))))))),"")</f>
        <v>RUFO EM CHAPA GALVANIZADA N 24 - CORTE 0,25 M</v>
      </c>
      <c r="F215" s="65" t="str">
        <f>VLOOKUP(D215,'FDE 10-23 '!$A$4:$E$3180,3,0)</f>
        <v>M</v>
      </c>
      <c r="G215" s="66">
        <v>81</v>
      </c>
      <c r="H215" s="67">
        <f>VLOOKUP(D215,'FDE 10-23 '!$A$4:$E$3180,5,0)</f>
        <v>54.66</v>
      </c>
      <c r="I215" s="68">
        <f>$L$10</f>
        <v>0.23</v>
      </c>
      <c r="J215" s="67">
        <f>ROUND(H215*(1+I215),2)</f>
        <v>67.23</v>
      </c>
      <c r="K215" s="71">
        <f>SUM(G215*J215)</f>
        <v>5445.63</v>
      </c>
      <c r="L215" s="51"/>
      <c r="M215" s="52"/>
    </row>
    <row r="216" spans="2:13" s="25" customFormat="1" ht="30" customHeight="1" outlineLevel="1">
      <c r="B216" s="61" t="s">
        <v>461</v>
      </c>
      <c r="C216" s="62" t="s">
        <v>26</v>
      </c>
      <c r="D216" s="63" t="s">
        <v>462</v>
      </c>
      <c r="E216" s="64" t="str">
        <f>IFERROR(UPPER(IF(C216="CPU",VLOOKUP(D216,#REF!,2,0),IF(C216="SINAPI",VLOOKUP(D216,#REF!,2,0),IF(C216="EDIF",VLOOKUP(D216,#REF!,2,0),IF(C216="CDHU",VLOOKUP(D216,#REF!,2,0),IF(C216="FDE",VLOOKUP(D216,'FDE 10-23 '!$A$4:$E$3180,2,0),IF(C216="INFRA",VLOOKUP(D216,#REF!,2,0),""))))))),"")</f>
        <v>RUFO EM CHAPA GALVANIZADA N 24 - CORTE 0,33 M</v>
      </c>
      <c r="F216" s="65" t="str">
        <f>VLOOKUP(D216,'FDE 10-23 '!$A$4:$E$3180,3,0)</f>
        <v>M</v>
      </c>
      <c r="G216" s="66">
        <v>100.8</v>
      </c>
      <c r="H216" s="67">
        <f>VLOOKUP(D216,'FDE 10-23 '!$A$4:$E$3180,5,0)</f>
        <v>61.41</v>
      </c>
      <c r="I216" s="68">
        <f>$L$10</f>
        <v>0.23</v>
      </c>
      <c r="J216" s="67">
        <f>ROUND(H216*(1+I216),2)</f>
        <v>75.53</v>
      </c>
      <c r="K216" s="71">
        <f>SUM(G216*J216)</f>
        <v>7613.424</v>
      </c>
      <c r="L216" s="51"/>
      <c r="M216" s="52"/>
    </row>
    <row r="217" spans="2:13" s="25" customFormat="1" ht="30" customHeight="1" outlineLevel="1">
      <c r="B217" s="61" t="s">
        <v>463</v>
      </c>
      <c r="C217" s="62" t="s">
        <v>26</v>
      </c>
      <c r="D217" s="63" t="s">
        <v>464</v>
      </c>
      <c r="E217" s="64" t="str">
        <f>IFERROR(UPPER(IF(C217="CPU",VLOOKUP(D217,#REF!,2,0),IF(C217="SINAPI",VLOOKUP(D217,#REF!,2,0),IF(C217="EDIF",VLOOKUP(D217,#REF!,2,0),IF(C217="CDHU",VLOOKUP(D217,#REF!,2,0),IF(C217="FDE",VLOOKUP(D217,'FDE 10-23 '!$A$4:$E$3180,2,0),IF(C217="INFRA",VLOOKUP(D217,#REF!,2,0),""))))))),"")</f>
        <v>RUFO EM CHAPA GALVANIZADA N 24 - CORTE 0,50 M</v>
      </c>
      <c r="F217" s="65" t="str">
        <f>VLOOKUP(D217,'FDE 10-23 '!$A$4:$E$3180,3,0)</f>
        <v>M</v>
      </c>
      <c r="G217" s="66">
        <v>9.6</v>
      </c>
      <c r="H217" s="67">
        <f>VLOOKUP(D217,'FDE 10-23 '!$A$4:$E$3180,5,0)</f>
        <v>96.99</v>
      </c>
      <c r="I217" s="68">
        <f>$L$10</f>
        <v>0.23</v>
      </c>
      <c r="J217" s="67">
        <f>ROUND(H217*(1+I217),2)</f>
        <v>119.3</v>
      </c>
      <c r="K217" s="71">
        <f>SUM(G217*J217)</f>
        <v>1145.28</v>
      </c>
      <c r="L217" s="51"/>
      <c r="M217" s="52"/>
    </row>
    <row r="218" spans="2:13" s="25" customFormat="1" ht="30" customHeight="1" outlineLevel="1">
      <c r="B218" s="61" t="s">
        <v>465</v>
      </c>
      <c r="C218" s="62" t="s">
        <v>26</v>
      </c>
      <c r="D218" s="63" t="s">
        <v>466</v>
      </c>
      <c r="E218" s="64" t="str">
        <f>IFERROR(UPPER(IF(C218="CPU",VLOOKUP(D218,#REF!,2,0),IF(C218="SINAPI",VLOOKUP(D218,#REF!,2,0),IF(C218="EDIF",VLOOKUP(D218,#REF!,2,0),IF(C218="CDHU",VLOOKUP(D218,#REF!,2,0),IF(C218="FDE",VLOOKUP(D218,'FDE 10-23 '!$A$4:$E$3180,2,0),IF(C218="INFRA",VLOOKUP(D218,#REF!,2,0),""))))))),"")</f>
        <v>GRELHA HEMISFERICA DE FERRO FUNDIDO DN 100MM (4")</v>
      </c>
      <c r="F218" s="65" t="str">
        <f>VLOOKUP(D218,'FDE 10-23 '!$A$4:$E$3180,3,0)</f>
        <v>UN</v>
      </c>
      <c r="G218" s="66">
        <v>26</v>
      </c>
      <c r="H218" s="67">
        <f>VLOOKUP(D218,'FDE 10-23 '!$A$4:$E$3180,5,0)</f>
        <v>15.82</v>
      </c>
      <c r="I218" s="68">
        <f>$L$10</f>
        <v>0.23</v>
      </c>
      <c r="J218" s="67">
        <f>ROUND(H218*(1+I218),2)</f>
        <v>19.46</v>
      </c>
      <c r="K218" s="71">
        <f>SUM(G218*J218)</f>
        <v>505.96000000000004</v>
      </c>
      <c r="L218" s="51"/>
      <c r="M218" s="52"/>
    </row>
    <row r="219" spans="2:13" s="25" customFormat="1" ht="30" customHeight="1" outlineLevel="1">
      <c r="B219" s="61" t="s">
        <v>467</v>
      </c>
      <c r="C219" s="62" t="s">
        <v>26</v>
      </c>
      <c r="D219" s="63" t="s">
        <v>468</v>
      </c>
      <c r="E219" s="64" t="str">
        <f>IFERROR(UPPER(IF(C219="CPU",VLOOKUP(D219,#REF!,2,0),IF(C219="SINAPI",VLOOKUP(D219,#REF!,2,0),IF(C219="EDIF",VLOOKUP(D219,#REF!,2,0),IF(C219="CDHU",VLOOKUP(D219,#REF!,2,0),IF(C219="FDE",VLOOKUP(D219,'FDE 10-23 '!$A$4:$E$3180,2,0),IF(C219="INFRA",VLOOKUP(D219,#REF!,2,0),""))))))),"")</f>
        <v>SERVICOS EM REDE DE AGUAS PLUVIAIS</v>
      </c>
      <c r="F219" s="65" t="str">
        <f>VLOOKUP(D219,'FDE 10-23 '!$A$4:$E$3180,3,0)</f>
        <v>MV</v>
      </c>
      <c r="G219" s="66">
        <v>38.28</v>
      </c>
      <c r="H219" s="67">
        <f>VLOOKUP(D219,'FDE 10-23 '!$A$4:$E$3180,5,0)</f>
        <v>533.05999999999995</v>
      </c>
      <c r="I219" s="68">
        <f>$L$10</f>
        <v>0.23</v>
      </c>
      <c r="J219" s="67">
        <f>ROUND(H219*(1+I219),2)</f>
        <v>655.66</v>
      </c>
      <c r="K219" s="71">
        <f>SUM(G219*J219)</f>
        <v>25098.664799999999</v>
      </c>
      <c r="L219" s="51"/>
      <c r="M219" s="52"/>
    </row>
    <row r="220" spans="2:13" s="25" customFormat="1" ht="30" customHeight="1" outlineLevel="1">
      <c r="B220" s="53" t="s">
        <v>469</v>
      </c>
      <c r="C220" s="54"/>
      <c r="D220" s="54" t="s">
        <v>470</v>
      </c>
      <c r="E220" s="55" t="s">
        <v>471</v>
      </c>
      <c r="F220" s="56" t="str">
        <f>IFERROR(UPPER(IF(C220="CPU",VLOOKUP(D220,#REF!,3,0),IF(C220="SINAPI",VLOOKUP(D220,#REF!,3,0),IF(C220="EDIF",VLOOKUP(D220,#REF!,3,0),IF(C220="CDHU",VLOOKUP(D220,#REF!,3,0),IF(C220="FDE",VLOOKUP(D220,#REF!,3,0),IF(C220="INFRA",VLOOKUP(D220,#REF!,3,0),""))))))),"")</f>
        <v/>
      </c>
      <c r="G220" s="57"/>
      <c r="H22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20" s="59"/>
      <c r="J220" s="59"/>
      <c r="K220" s="82">
        <f>SUBTOTAL(9,K221:K226)</f>
        <v>32419.61</v>
      </c>
      <c r="L220" s="51"/>
      <c r="M220" s="52"/>
    </row>
    <row r="221" spans="2:13" s="25" customFormat="1" ht="30" customHeight="1" outlineLevel="1">
      <c r="B221" s="61" t="s">
        <v>472</v>
      </c>
      <c r="C221" s="62" t="s">
        <v>26</v>
      </c>
      <c r="D221" s="63" t="s">
        <v>473</v>
      </c>
      <c r="E221" s="64" t="str">
        <f>IFERROR(UPPER(IF(C221="CPU",VLOOKUP(D221,#REF!,2,0),IF(C221="SINAPI",VLOOKUP(D221,#REF!,2,0),IF(C221="EDIF",VLOOKUP(D221,#REF!,2,0),IF(C221="CDHU",VLOOKUP(D221,#REF!,2,0),IF(C221="FDE",VLOOKUP(D221,'FDE 10-23 '!$A$4:$E$3180,2,0),IF(C221="INFRA",VLOOKUP(D221,#REF!,2,0),""))))))),"")</f>
        <v>TUBO ACO GALVANIZ NBR5580-CL MEDIA, DN25MM (1") - INCL CONEXOES</v>
      </c>
      <c r="F221" s="65" t="str">
        <f>VLOOKUP(D221,'FDE 10-23 '!$A$4:$E$3180,3,0)</f>
        <v>M</v>
      </c>
      <c r="G221" s="66">
        <v>7</v>
      </c>
      <c r="H221" s="67">
        <f>VLOOKUP(D221,'FDE 10-23 '!$A$4:$E$3180,5,0)</f>
        <v>107.93</v>
      </c>
      <c r="I221" s="68">
        <f t="shared" ref="I221:I226" si="36">$L$10</f>
        <v>0.23</v>
      </c>
      <c r="J221" s="67">
        <f t="shared" ref="J221:J226" si="37">ROUND(H221*(1+I221),2)</f>
        <v>132.75</v>
      </c>
      <c r="K221" s="71">
        <f t="shared" ref="K221:K226" si="38">SUM(G221*J221)</f>
        <v>929.25</v>
      </c>
      <c r="L221" s="51"/>
      <c r="M221" s="52"/>
    </row>
    <row r="222" spans="2:13" s="25" customFormat="1" ht="30" customHeight="1" outlineLevel="1">
      <c r="B222" s="61" t="s">
        <v>474</v>
      </c>
      <c r="C222" s="62" t="s">
        <v>26</v>
      </c>
      <c r="D222" s="63" t="s">
        <v>475</v>
      </c>
      <c r="E222" s="64" t="str">
        <f>IFERROR(UPPER(IF(C222="CPU",VLOOKUP(D222,#REF!,2,0),IF(C222="SINAPI",VLOOKUP(D222,#REF!,2,0),IF(C222="EDIF",VLOOKUP(D222,#REF!,2,0),IF(C222="CDHU",VLOOKUP(D222,#REF!,2,0),IF(C222="FDE",VLOOKUP(D222,'FDE 10-23 '!$A$4:$E$3180,2,0),IF(C222="INFRA",VLOOKUP(D222,#REF!,2,0),""))))))),"")</f>
        <v>TUBO ACO GALVANIZ NBR5580-CL MEDIA, DN32MM (1 1/4")-INCL CONEXOES</v>
      </c>
      <c r="F222" s="65" t="str">
        <f>VLOOKUP(D222,'FDE 10-23 '!$A$4:$E$3180,3,0)</f>
        <v>M</v>
      </c>
      <c r="G222" s="66">
        <v>37</v>
      </c>
      <c r="H222" s="67">
        <f>VLOOKUP(D222,'FDE 10-23 '!$A$4:$E$3180,5,0)</f>
        <v>129.21</v>
      </c>
      <c r="I222" s="68">
        <f t="shared" si="36"/>
        <v>0.23</v>
      </c>
      <c r="J222" s="67">
        <f t="shared" si="37"/>
        <v>158.93</v>
      </c>
      <c r="K222" s="71">
        <f t="shared" si="38"/>
        <v>5880.41</v>
      </c>
      <c r="L222" s="51"/>
      <c r="M222" s="52"/>
    </row>
    <row r="223" spans="2:13" s="25" customFormat="1" ht="30" customHeight="1" outlineLevel="1">
      <c r="B223" s="61" t="s">
        <v>476</v>
      </c>
      <c r="C223" s="62" t="s">
        <v>26</v>
      </c>
      <c r="D223" s="63" t="s">
        <v>477</v>
      </c>
      <c r="E223" s="64" t="str">
        <f>IFERROR(UPPER(IF(C223="CPU",VLOOKUP(D223,#REF!,2,0),IF(C223="SINAPI",VLOOKUP(D223,#REF!,2,0),IF(C223="EDIF",VLOOKUP(D223,#REF!,2,0),IF(C223="CDHU",VLOOKUP(D223,#REF!,2,0),IF(C223="FDE",VLOOKUP(D223,'FDE 10-23 '!$A$4:$E$3180,2,0),IF(C223="INFRA",VLOOKUP(D223,#REF!,2,0),""))))))),"")</f>
        <v>TUBO ACO GALVANIZ NBR5580-CL MEDIA, DN40MM (1 1/2") - INCL CONEXOES</v>
      </c>
      <c r="F223" s="65" t="str">
        <f>VLOOKUP(D223,'FDE 10-23 '!$A$4:$E$3180,3,0)</f>
        <v>M</v>
      </c>
      <c r="G223" s="66">
        <v>68</v>
      </c>
      <c r="H223" s="67">
        <f>VLOOKUP(D223,'FDE 10-23 '!$A$4:$E$3180,5,0)</f>
        <v>146.85</v>
      </c>
      <c r="I223" s="68">
        <f t="shared" si="36"/>
        <v>0.23</v>
      </c>
      <c r="J223" s="67">
        <f t="shared" si="37"/>
        <v>180.63</v>
      </c>
      <c r="K223" s="71">
        <f t="shared" si="38"/>
        <v>12282.84</v>
      </c>
      <c r="L223" s="51"/>
      <c r="M223" s="52"/>
    </row>
    <row r="224" spans="2:13" s="25" customFormat="1" ht="30" customHeight="1" outlineLevel="1">
      <c r="B224" s="61" t="s">
        <v>478</v>
      </c>
      <c r="C224" s="62" t="s">
        <v>26</v>
      </c>
      <c r="D224" s="63" t="s">
        <v>479</v>
      </c>
      <c r="E224" s="64" t="str">
        <f>IFERROR(UPPER(IF(C224="CPU",VLOOKUP(D224,#REF!,2,0),IF(C224="SINAPI",VLOOKUP(D224,#REF!,2,0),IF(C224="EDIF",VLOOKUP(D224,#REF!,2,0),IF(C224="CDHU",VLOOKUP(D224,#REF!,2,0),IF(C224="FDE",VLOOKUP(D224,'FDE 10-23 '!$A$4:$E$3180,2,0),IF(C224="INFRA",VLOOKUP(D224,#REF!,2,0),""))))))),"")</f>
        <v>TUBO ACO GALVANIZ NBR5580-CL MEDIA, DN50MM (2") - INCL CONEXOES</v>
      </c>
      <c r="F224" s="65" t="str">
        <f>VLOOKUP(D224,'FDE 10-23 '!$A$4:$E$3180,3,0)</f>
        <v>M</v>
      </c>
      <c r="G224" s="66">
        <v>14</v>
      </c>
      <c r="H224" s="67">
        <f>VLOOKUP(D224,'FDE 10-23 '!$A$4:$E$3180,5,0)</f>
        <v>184.32</v>
      </c>
      <c r="I224" s="68">
        <f t="shared" si="36"/>
        <v>0.23</v>
      </c>
      <c r="J224" s="67">
        <f t="shared" si="37"/>
        <v>226.71</v>
      </c>
      <c r="K224" s="71">
        <f t="shared" si="38"/>
        <v>3173.94</v>
      </c>
      <c r="L224" s="51"/>
      <c r="M224" s="52"/>
    </row>
    <row r="225" spans="2:13" s="25" customFormat="1" ht="30" customHeight="1" outlineLevel="1">
      <c r="B225" s="61" t="s">
        <v>480</v>
      </c>
      <c r="C225" s="62" t="s">
        <v>26</v>
      </c>
      <c r="D225" s="63" t="s">
        <v>481</v>
      </c>
      <c r="E225" s="64" t="str">
        <f>IFERROR(UPPER(IF(C225="CPU",VLOOKUP(D225,#REF!,2,0),IF(C225="SINAPI",VLOOKUP(D225,#REF!,2,0),IF(C225="EDIF",VLOOKUP(D225,#REF!,2,0),IF(C225="CDHU",VLOOKUP(D225,#REF!,2,0),IF(C225="FDE",VLOOKUP(D225,'FDE 10-23 '!$A$4:$E$3180,2,0),IF(C225="INFRA",VLOOKUP(D225,#REF!,2,0),""))))))),"")</f>
        <v>TUBO ACO GALVANIZ NBR5580-CL MEDIA, DN80MM (3")-INCL CONEXOES</v>
      </c>
      <c r="F225" s="65" t="str">
        <f>VLOOKUP(D225,'FDE 10-23 '!$A$4:$E$3180,3,0)</f>
        <v>M</v>
      </c>
      <c r="G225" s="66">
        <v>29</v>
      </c>
      <c r="H225" s="67">
        <f>VLOOKUP(D225,'FDE 10-23 '!$A$4:$E$3180,5,0)</f>
        <v>260.2</v>
      </c>
      <c r="I225" s="68">
        <f t="shared" si="36"/>
        <v>0.23</v>
      </c>
      <c r="J225" s="67">
        <f t="shared" si="37"/>
        <v>320.05</v>
      </c>
      <c r="K225" s="71">
        <f t="shared" si="38"/>
        <v>9281.4500000000007</v>
      </c>
      <c r="L225" s="51"/>
      <c r="M225" s="52"/>
    </row>
    <row r="226" spans="2:13" s="25" customFormat="1" ht="30" customHeight="1" outlineLevel="1">
      <c r="B226" s="61" t="s">
        <v>482</v>
      </c>
      <c r="C226" s="62" t="s">
        <v>26</v>
      </c>
      <c r="D226" s="63" t="s">
        <v>483</v>
      </c>
      <c r="E226" s="64" t="str">
        <f>IFERROR(UPPER(IF(C226="CPU",VLOOKUP(D226,#REF!,2,0),IF(C226="SINAPI",VLOOKUP(D226,#REF!,2,0),IF(C226="EDIF",VLOOKUP(D226,#REF!,2,0),IF(C226="CDHU",VLOOKUP(D226,#REF!,2,0),IF(C226="FDE",VLOOKUP(D226,'FDE 10-23 '!$A$4:$E$3180,2,0),IF(C226="INFRA",VLOOKUP(D226,#REF!,2,0),""))))))),"")</f>
        <v>TUBO ACO GALVANIZ NBR5580-CL MEDIA, DN100MM (4")-INCL CONEXOES</v>
      </c>
      <c r="F226" s="65" t="str">
        <f>VLOOKUP(D226,'FDE 10-23 '!$A$4:$E$3180,3,0)</f>
        <v>M</v>
      </c>
      <c r="G226" s="66">
        <v>2</v>
      </c>
      <c r="H226" s="67">
        <f>VLOOKUP(D226,'FDE 10-23 '!$A$4:$E$3180,5,0)</f>
        <v>354.36</v>
      </c>
      <c r="I226" s="68">
        <f t="shared" si="36"/>
        <v>0.23</v>
      </c>
      <c r="J226" s="67">
        <f t="shared" si="37"/>
        <v>435.86</v>
      </c>
      <c r="K226" s="71">
        <f t="shared" si="38"/>
        <v>871.72</v>
      </c>
      <c r="L226" s="51"/>
      <c r="M226" s="52"/>
    </row>
    <row r="227" spans="2:13" s="25" customFormat="1" ht="30" customHeight="1" outlineLevel="1">
      <c r="B227" s="53" t="s">
        <v>484</v>
      </c>
      <c r="C227" s="54"/>
      <c r="D227" s="54" t="s">
        <v>485</v>
      </c>
      <c r="E227" s="55" t="s">
        <v>486</v>
      </c>
      <c r="F227" s="56" t="str">
        <f>IFERROR(UPPER(IF(C227="CPU",VLOOKUP(D227,#REF!,3,0),IF(C227="SINAPI",VLOOKUP(D227,#REF!,3,0),IF(C227="EDIF",VLOOKUP(D227,#REF!,3,0),IF(C227="CDHU",VLOOKUP(D227,#REF!,3,0),IF(C227="FDE",VLOOKUP(D227,#REF!,3,0),IF(C227="INFRA",VLOOKUP(D227,#REF!,3,0),""))))))),"")</f>
        <v/>
      </c>
      <c r="G227" s="57"/>
      <c r="H22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27" s="59"/>
      <c r="J227" s="59"/>
      <c r="K227" s="82">
        <f>SUBTOTAL(9,K228:K244)</f>
        <v>375423.46679999994</v>
      </c>
      <c r="L227" s="51"/>
      <c r="M227" s="52"/>
    </row>
    <row r="228" spans="2:13" s="25" customFormat="1" ht="30" customHeight="1" outlineLevel="1">
      <c r="B228" s="61" t="s">
        <v>487</v>
      </c>
      <c r="C228" s="62" t="s">
        <v>26</v>
      </c>
      <c r="D228" s="63" t="s">
        <v>488</v>
      </c>
      <c r="E228" s="64" t="str">
        <f>IFERROR(UPPER(IF(C228="CPU",VLOOKUP(D228,#REF!,2,0),IF(C228="SINAPI",VLOOKUP(D228,#REF!,2,0),IF(C228="EDIF",VLOOKUP(D228,#REF!,2,0),IF(C228="CDHU",VLOOKUP(D228,#REF!,2,0),IF(C228="FDE",VLOOKUP(D228,'FDE 10-23 '!$A$4:$E$3180,2,0),IF(C228="INFRA",VLOOKUP(D228,#REF!,2,0),""))))))),"")</f>
        <v>REGISTRO DE GAVETA BRUTO DN 25MM (1")</v>
      </c>
      <c r="F228" s="65" t="str">
        <f>VLOOKUP(D228,'FDE 10-23 '!$A$4:$E$3180,3,0)</f>
        <v>UN</v>
      </c>
      <c r="G228" s="66">
        <v>2</v>
      </c>
      <c r="H228" s="67">
        <f>VLOOKUP(D228,'FDE 10-23 '!$A$4:$E$3180,5,0)</f>
        <v>88.81</v>
      </c>
      <c r="I228" s="68">
        <f t="shared" ref="I228:I244" si="39">$L$10</f>
        <v>0.23</v>
      </c>
      <c r="J228" s="67">
        <f t="shared" ref="J228:J244" si="40">ROUND(H228*(1+I228),2)</f>
        <v>109.24</v>
      </c>
      <c r="K228" s="71">
        <f t="shared" ref="K228:K244" si="41">SUM(G228*J228)</f>
        <v>218.48</v>
      </c>
      <c r="L228" s="51"/>
      <c r="M228" s="52"/>
    </row>
    <row r="229" spans="2:13" s="25" customFormat="1" ht="30" customHeight="1" outlineLevel="1">
      <c r="B229" s="61" t="s">
        <v>489</v>
      </c>
      <c r="C229" s="62" t="s">
        <v>26</v>
      </c>
      <c r="D229" s="63" t="s">
        <v>490</v>
      </c>
      <c r="E229" s="64" t="str">
        <f>IFERROR(UPPER(IF(C229="CPU",VLOOKUP(D229,#REF!,2,0),IF(C229="SINAPI",VLOOKUP(D229,#REF!,2,0),IF(C229="EDIF",VLOOKUP(D229,#REF!,2,0),IF(C229="CDHU",VLOOKUP(D229,#REF!,2,0),IF(C229="FDE",VLOOKUP(D229,'FDE 10-23 '!$A$4:$E$3180,2,0),IF(C229="INFRA",VLOOKUP(D229,#REF!,2,0),""))))))),"")</f>
        <v>REGISTRO DE GAVETA BRUTO DN 32MM (1 1/4")</v>
      </c>
      <c r="F229" s="65" t="str">
        <f>VLOOKUP(D229,'FDE 10-23 '!$A$4:$E$3180,3,0)</f>
        <v>UN</v>
      </c>
      <c r="G229" s="66">
        <v>2</v>
      </c>
      <c r="H229" s="67">
        <f>VLOOKUP(D229,'FDE 10-23 '!$A$4:$E$3180,5,0)</f>
        <v>110.02</v>
      </c>
      <c r="I229" s="68">
        <f t="shared" si="39"/>
        <v>0.23</v>
      </c>
      <c r="J229" s="67">
        <f t="shared" si="40"/>
        <v>135.32</v>
      </c>
      <c r="K229" s="71">
        <f t="shared" si="41"/>
        <v>270.64</v>
      </c>
      <c r="L229" s="51"/>
      <c r="M229" s="52"/>
    </row>
    <row r="230" spans="2:13" s="25" customFormat="1" ht="30" customHeight="1" outlineLevel="1">
      <c r="B230" s="61" t="s">
        <v>491</v>
      </c>
      <c r="C230" s="62" t="s">
        <v>26</v>
      </c>
      <c r="D230" s="63" t="s">
        <v>492</v>
      </c>
      <c r="E230" s="64" t="str">
        <f>IFERROR(UPPER(IF(C230="CPU",VLOOKUP(D230,#REF!,2,0),IF(C230="SINAPI",VLOOKUP(D230,#REF!,2,0),IF(C230="EDIF",VLOOKUP(D230,#REF!,2,0),IF(C230="CDHU",VLOOKUP(D230,#REF!,2,0),IF(C230="FDE",VLOOKUP(D230,'FDE 10-23 '!$A$4:$E$3180,2,0),IF(C230="INFRA",VLOOKUP(D230,#REF!,2,0),""))))))),"")</f>
        <v>REGISTRO DE GAVETA BRUTO DN 40MM (1.1/2")</v>
      </c>
      <c r="F230" s="65" t="str">
        <f>VLOOKUP(D230,'FDE 10-23 '!$A$4:$E$3180,3,0)</f>
        <v>UN</v>
      </c>
      <c r="G230" s="66">
        <v>10</v>
      </c>
      <c r="H230" s="67">
        <f>VLOOKUP(D230,'FDE 10-23 '!$A$4:$E$3180,5,0)</f>
        <v>128.87</v>
      </c>
      <c r="I230" s="68">
        <f t="shared" si="39"/>
        <v>0.23</v>
      </c>
      <c r="J230" s="67">
        <f t="shared" si="40"/>
        <v>158.51</v>
      </c>
      <c r="K230" s="71">
        <f t="shared" si="41"/>
        <v>1585.1</v>
      </c>
      <c r="L230" s="51"/>
      <c r="M230" s="52"/>
    </row>
    <row r="231" spans="2:13" s="25" customFormat="1" ht="30" customHeight="1" outlineLevel="1">
      <c r="B231" s="61" t="s">
        <v>493</v>
      </c>
      <c r="C231" s="62" t="s">
        <v>26</v>
      </c>
      <c r="D231" s="63" t="s">
        <v>494</v>
      </c>
      <c r="E231" s="64" t="str">
        <f>IFERROR(UPPER(IF(C231="CPU",VLOOKUP(D231,#REF!,2,0),IF(C231="SINAPI",VLOOKUP(D231,#REF!,2,0),IF(C231="EDIF",VLOOKUP(D231,#REF!,2,0),IF(C231="CDHU",VLOOKUP(D231,#REF!,2,0),IF(C231="FDE",VLOOKUP(D231,'FDE 10-23 '!$A$4:$E$3180,2,0),IF(C231="INFRA",VLOOKUP(D231,#REF!,2,0),""))))))),"")</f>
        <v>REGISTRO DE GAVETA BRUTO DN 50MM (2")</v>
      </c>
      <c r="F231" s="65" t="str">
        <f>VLOOKUP(D231,'FDE 10-23 '!$A$4:$E$3180,3,0)</f>
        <v>UN</v>
      </c>
      <c r="G231" s="66">
        <v>1</v>
      </c>
      <c r="H231" s="67">
        <f>VLOOKUP(D231,'FDE 10-23 '!$A$4:$E$3180,5,0)</f>
        <v>167.69</v>
      </c>
      <c r="I231" s="68">
        <f t="shared" si="39"/>
        <v>0.23</v>
      </c>
      <c r="J231" s="67">
        <f t="shared" si="40"/>
        <v>206.26</v>
      </c>
      <c r="K231" s="71">
        <f t="shared" si="41"/>
        <v>206.26</v>
      </c>
      <c r="L231" s="51"/>
      <c r="M231" s="52"/>
    </row>
    <row r="232" spans="2:13" s="25" customFormat="1" ht="30" customHeight="1" outlineLevel="1">
      <c r="B232" s="61" t="s">
        <v>495</v>
      </c>
      <c r="C232" s="62" t="s">
        <v>26</v>
      </c>
      <c r="D232" s="63" t="s">
        <v>496</v>
      </c>
      <c r="E232" s="64" t="str">
        <f>IFERROR(UPPER(IF(C232="CPU",VLOOKUP(D232,#REF!,2,0),IF(C232="SINAPI",VLOOKUP(D232,#REF!,2,0),IF(C232="EDIF",VLOOKUP(D232,#REF!,2,0),IF(C232="CDHU",VLOOKUP(D232,#REF!,2,0),IF(C232="FDE",VLOOKUP(D232,'FDE 10-23 '!$A$4:$E$3180,2,0),IF(C232="INFRA",VLOOKUP(D232,#REF!,2,0),""))))))),"")</f>
        <v>REGISTRO DE GAVETA BRUTO DN 80MM (3")</v>
      </c>
      <c r="F232" s="65" t="str">
        <f>VLOOKUP(D232,'FDE 10-23 '!$A$4:$E$3180,3,0)</f>
        <v>UN</v>
      </c>
      <c r="G232" s="66">
        <v>4</v>
      </c>
      <c r="H232" s="67">
        <f>VLOOKUP(D232,'FDE 10-23 '!$A$4:$E$3180,5,0)</f>
        <v>597.03</v>
      </c>
      <c r="I232" s="68">
        <f t="shared" si="39"/>
        <v>0.23</v>
      </c>
      <c r="J232" s="67">
        <f t="shared" si="40"/>
        <v>734.35</v>
      </c>
      <c r="K232" s="71">
        <f t="shared" si="41"/>
        <v>2937.4</v>
      </c>
      <c r="L232" s="51"/>
      <c r="M232" s="52"/>
    </row>
    <row r="233" spans="2:13" s="25" customFormat="1" ht="30" customHeight="1" outlineLevel="1">
      <c r="B233" s="61" t="s">
        <v>497</v>
      </c>
      <c r="C233" s="62" t="s">
        <v>26</v>
      </c>
      <c r="D233" s="63" t="s">
        <v>498</v>
      </c>
      <c r="E233" s="64" t="str">
        <f>IFERROR(UPPER(IF(C233="CPU",VLOOKUP(D233,#REF!,2,0),IF(C233="SINAPI",VLOOKUP(D233,#REF!,2,0),IF(C233="EDIF",VLOOKUP(D233,#REF!,2,0),IF(C233="CDHU",VLOOKUP(D233,#REF!,2,0),IF(C233="FDE",VLOOKUP(D233,'FDE 10-23 '!$A$4:$E$3180,2,0),IF(C233="INFRA",VLOOKUP(D233,#REF!,2,0),""))))))),"")</f>
        <v>VALVULA DE RETENCAO HORIZONTAL DE BRONZE DE 1"</v>
      </c>
      <c r="F233" s="65" t="str">
        <f>VLOOKUP(D233,'FDE 10-23 '!$A$4:$E$3180,3,0)</f>
        <v>UN</v>
      </c>
      <c r="G233" s="66">
        <v>1</v>
      </c>
      <c r="H233" s="67">
        <f>VLOOKUP(D233,'FDE 10-23 '!$A$4:$E$3180,5,0)</f>
        <v>158.91</v>
      </c>
      <c r="I233" s="68">
        <f t="shared" si="39"/>
        <v>0.23</v>
      </c>
      <c r="J233" s="67">
        <f t="shared" si="40"/>
        <v>195.46</v>
      </c>
      <c r="K233" s="71">
        <f t="shared" si="41"/>
        <v>195.46</v>
      </c>
      <c r="L233" s="51"/>
      <c r="M233" s="52"/>
    </row>
    <row r="234" spans="2:13" s="25" customFormat="1" ht="30" customHeight="1" outlineLevel="1">
      <c r="B234" s="61" t="s">
        <v>499</v>
      </c>
      <c r="C234" s="62" t="s">
        <v>26</v>
      </c>
      <c r="D234" s="63" t="s">
        <v>500</v>
      </c>
      <c r="E234" s="64" t="str">
        <f>IFERROR(UPPER(IF(C234="CPU",VLOOKUP(D234,#REF!,2,0),IF(C234="SINAPI",VLOOKUP(D234,#REF!,2,0),IF(C234="EDIF",VLOOKUP(D234,#REF!,2,0),IF(C234="CDHU",VLOOKUP(D234,#REF!,2,0),IF(C234="FDE",VLOOKUP(D234,'FDE 10-23 '!$A$4:$E$3180,2,0),IF(C234="INFRA",VLOOKUP(D234,#REF!,2,0),""))))))),"")</f>
        <v>VALVULA DE RETENCAO HORIZONTAL DE BRONZE DE 1.1/2"</v>
      </c>
      <c r="F234" s="65" t="str">
        <f>VLOOKUP(D234,'FDE 10-23 '!$A$4:$E$3180,3,0)</f>
        <v>UN</v>
      </c>
      <c r="G234" s="66">
        <v>1</v>
      </c>
      <c r="H234" s="67">
        <f>VLOOKUP(D234,'FDE 10-23 '!$A$4:$E$3180,5,0)</f>
        <v>255.21</v>
      </c>
      <c r="I234" s="68">
        <f t="shared" si="39"/>
        <v>0.23</v>
      </c>
      <c r="J234" s="67">
        <f t="shared" si="40"/>
        <v>313.91000000000003</v>
      </c>
      <c r="K234" s="71">
        <f t="shared" si="41"/>
        <v>313.91000000000003</v>
      </c>
      <c r="L234" s="51"/>
      <c r="M234" s="52"/>
    </row>
    <row r="235" spans="2:13" s="25" customFormat="1" ht="30" customHeight="1" outlineLevel="1">
      <c r="B235" s="61" t="s">
        <v>501</v>
      </c>
      <c r="C235" s="62" t="s">
        <v>26</v>
      </c>
      <c r="D235" s="63" t="s">
        <v>502</v>
      </c>
      <c r="E235" s="64" t="str">
        <f>IFERROR(UPPER(IF(C235="CPU",VLOOKUP(D235,#REF!,2,0),IF(C235="SINAPI",VLOOKUP(D235,#REF!,2,0),IF(C235="EDIF",VLOOKUP(D235,#REF!,2,0),IF(C235="CDHU",VLOOKUP(D235,#REF!,2,0),IF(C235="FDE",VLOOKUP(D235,'FDE 10-23 '!$A$4:$E$3180,2,0),IF(C235="INFRA",VLOOKUP(D235,#REF!,2,0),""))))))),"")</f>
        <v>VALVULA DE RETENCAO VERTICAL DE BRONZE DE 1.1/2"</v>
      </c>
      <c r="F235" s="65" t="str">
        <f>VLOOKUP(D235,'FDE 10-23 '!$A$4:$E$3180,3,0)</f>
        <v>UN</v>
      </c>
      <c r="G235" s="66">
        <v>2</v>
      </c>
      <c r="H235" s="67">
        <f>VLOOKUP(D235,'FDE 10-23 '!$A$4:$E$3180,5,0)</f>
        <v>191.26</v>
      </c>
      <c r="I235" s="68">
        <f t="shared" si="39"/>
        <v>0.23</v>
      </c>
      <c r="J235" s="67">
        <f t="shared" si="40"/>
        <v>235.25</v>
      </c>
      <c r="K235" s="71">
        <f t="shared" si="41"/>
        <v>470.5</v>
      </c>
      <c r="L235" s="51"/>
      <c r="M235" s="52"/>
    </row>
    <row r="236" spans="2:13" s="25" customFormat="1" ht="30" customHeight="1" outlineLevel="1">
      <c r="B236" s="61" t="s">
        <v>503</v>
      </c>
      <c r="C236" s="62" t="s">
        <v>26</v>
      </c>
      <c r="D236" s="63" t="s">
        <v>504</v>
      </c>
      <c r="E236" s="64" t="str">
        <f>IFERROR(UPPER(IF(C236="CPU",VLOOKUP(D236,#REF!,2,0),IF(C236="SINAPI",VLOOKUP(D236,#REF!,2,0),IF(C236="EDIF",VLOOKUP(D236,#REF!,2,0),IF(C236="CDHU",VLOOKUP(D236,#REF!,2,0),IF(C236="FDE",VLOOKUP(D236,'FDE 10-23 '!$A$4:$E$3180,2,0),IF(C236="INFRA",VLOOKUP(D236,#REF!,2,0),""))))))),"")</f>
        <v>VALVULA DE RETENCAO VERTICAL DE BRONZE DE 3"</v>
      </c>
      <c r="F236" s="65" t="str">
        <f>VLOOKUP(D236,'FDE 10-23 '!$A$4:$E$3180,3,0)</f>
        <v>UN</v>
      </c>
      <c r="G236" s="66">
        <v>2</v>
      </c>
      <c r="H236" s="67">
        <f>VLOOKUP(D236,'FDE 10-23 '!$A$4:$E$3180,5,0)</f>
        <v>603.54999999999995</v>
      </c>
      <c r="I236" s="68">
        <f t="shared" si="39"/>
        <v>0.23</v>
      </c>
      <c r="J236" s="67">
        <f t="shared" si="40"/>
        <v>742.37</v>
      </c>
      <c r="K236" s="71">
        <f t="shared" si="41"/>
        <v>1484.74</v>
      </c>
      <c r="L236" s="51"/>
      <c r="M236" s="52"/>
    </row>
    <row r="237" spans="2:13" s="25" customFormat="1" ht="30" customHeight="1" outlineLevel="1">
      <c r="B237" s="61" t="s">
        <v>505</v>
      </c>
      <c r="C237" s="62" t="s">
        <v>26</v>
      </c>
      <c r="D237" s="63" t="s">
        <v>506</v>
      </c>
      <c r="E237" s="64" t="str">
        <f>IFERROR(UPPER(IF(C237="CPU",VLOOKUP(D237,#REF!,2,0),IF(C237="SINAPI",VLOOKUP(D237,#REF!,2,0),IF(C237="EDIF",VLOOKUP(D237,#REF!,2,0),IF(C237="CDHU",VLOOKUP(D237,#REF!,2,0),IF(C237="FDE",VLOOKUP(D237,'FDE 10-23 '!$A$4:$E$3180,2,0),IF(C237="INFRA",VLOOKUP(D237,#REF!,2,0),""))))))),"")</f>
        <v>VALVULA DE RETENCAO DE PE COM CRIVO DE BRONZE DE 1.1/2"</v>
      </c>
      <c r="F237" s="65" t="str">
        <f>VLOOKUP(D237,'FDE 10-23 '!$A$4:$E$3180,3,0)</f>
        <v>UN</v>
      </c>
      <c r="G237" s="66">
        <v>1</v>
      </c>
      <c r="H237" s="67">
        <f>VLOOKUP(D237,'FDE 10-23 '!$A$4:$E$3180,5,0)</f>
        <v>180.17</v>
      </c>
      <c r="I237" s="68">
        <f t="shared" si="39"/>
        <v>0.23</v>
      </c>
      <c r="J237" s="67">
        <f t="shared" si="40"/>
        <v>221.61</v>
      </c>
      <c r="K237" s="71">
        <f t="shared" si="41"/>
        <v>221.61</v>
      </c>
      <c r="L237" s="51"/>
      <c r="M237" s="52"/>
    </row>
    <row r="238" spans="2:13" s="25" customFormat="1" ht="30" customHeight="1" outlineLevel="1">
      <c r="B238" s="61" t="s">
        <v>507</v>
      </c>
      <c r="C238" s="62" t="s">
        <v>26</v>
      </c>
      <c r="D238" s="63" t="s">
        <v>508</v>
      </c>
      <c r="E238" s="64" t="str">
        <f>IFERROR(UPPER(IF(C238="CPU",VLOOKUP(D238,#REF!,2,0),IF(C238="SINAPI",VLOOKUP(D238,#REF!,2,0),IF(C238="EDIF",VLOOKUP(D238,#REF!,2,0),IF(C238="CDHU",VLOOKUP(D238,#REF!,2,0),IF(C238="FDE",VLOOKUP(D238,'FDE 10-23 '!$A$4:$E$3180,2,0),IF(C238="INFRA",VLOOKUP(D238,#REF!,2,0),""))))))),"")</f>
        <v>TORNEIRA DE BOIA EM LATAO (BOIA PLAST) DN 25MM (1")</v>
      </c>
      <c r="F238" s="65" t="str">
        <f>VLOOKUP(D238,'FDE 10-23 '!$A$4:$E$3180,3,0)</f>
        <v>UN</v>
      </c>
      <c r="G238" s="66">
        <v>1</v>
      </c>
      <c r="H238" s="67">
        <f>VLOOKUP(D238,'FDE 10-23 '!$A$4:$E$3180,5,0)</f>
        <v>130.13</v>
      </c>
      <c r="I238" s="68">
        <f t="shared" si="39"/>
        <v>0.23</v>
      </c>
      <c r="J238" s="67">
        <f t="shared" si="40"/>
        <v>160.06</v>
      </c>
      <c r="K238" s="71">
        <f t="shared" si="41"/>
        <v>160.06</v>
      </c>
      <c r="L238" s="51"/>
      <c r="M238" s="52"/>
    </row>
    <row r="239" spans="2:13" s="25" customFormat="1" ht="30" customHeight="1" outlineLevel="1">
      <c r="B239" s="61" t="s">
        <v>509</v>
      </c>
      <c r="C239" s="62" t="s">
        <v>26</v>
      </c>
      <c r="D239" s="63" t="s">
        <v>510</v>
      </c>
      <c r="E239" s="64" t="str">
        <f>IFERROR(UPPER(IF(C239="CPU",VLOOKUP(D239,#REF!,2,0),IF(C239="SINAPI",VLOOKUP(D239,#REF!,2,0),IF(C239="EDIF",VLOOKUP(D239,#REF!,2,0),IF(C239="CDHU",VLOOKUP(D239,#REF!,2,0),IF(C239="FDE",VLOOKUP(D239,'FDE 10-23 '!$A$4:$E$3180,2,0),IF(C239="INFRA",VLOOKUP(D239,#REF!,2,0),""))))))),"")</f>
        <v>CONJ MOTOR-BOMBA(CENTRIFUGA)1,5 HP(10000 L/H-20 MCA)</v>
      </c>
      <c r="F239" s="65" t="str">
        <f>VLOOKUP(D239,'FDE 10-23 '!$A$4:$E$3180,3,0)</f>
        <v>UN</v>
      </c>
      <c r="G239" s="66">
        <v>2</v>
      </c>
      <c r="H239" s="67">
        <f>VLOOKUP(D239,'FDE 10-23 '!$A$4:$E$3180,5,0)</f>
        <v>2322.79</v>
      </c>
      <c r="I239" s="68">
        <f t="shared" si="39"/>
        <v>0.23</v>
      </c>
      <c r="J239" s="67">
        <f t="shared" si="40"/>
        <v>2857.03</v>
      </c>
      <c r="K239" s="71">
        <f t="shared" si="41"/>
        <v>5714.06</v>
      </c>
      <c r="L239" s="51"/>
      <c r="M239" s="52"/>
    </row>
    <row r="240" spans="2:13" s="25" customFormat="1" ht="30" customHeight="1" outlineLevel="1">
      <c r="B240" s="61" t="s">
        <v>511</v>
      </c>
      <c r="C240" s="62" t="s">
        <v>26</v>
      </c>
      <c r="D240" s="63" t="s">
        <v>512</v>
      </c>
      <c r="E240" s="64" t="str">
        <f>IFERROR(UPPER(IF(C240="CPU",VLOOKUP(D240,#REF!,2,0),IF(C240="SINAPI",VLOOKUP(D240,#REF!,2,0),IF(C240="EDIF",VLOOKUP(D240,#REF!,2,0),IF(C240="CDHU",VLOOKUP(D240,#REF!,2,0),IF(C240="FDE",VLOOKUP(D240,'FDE 10-23 '!$A$4:$E$3180,2,0),IF(C240="INFRA",VLOOKUP(D240,#REF!,2,0),""))))))),"")</f>
        <v>CONJ MOTOR-BOMBA (CENTRIFUGA) 2 HP (13900 L/H-20 MCA)</v>
      </c>
      <c r="F240" s="65" t="str">
        <f>VLOOKUP(D240,'FDE 10-23 '!$A$4:$E$3180,3,0)</f>
        <v>UN</v>
      </c>
      <c r="G240" s="66">
        <v>2</v>
      </c>
      <c r="H240" s="67">
        <f>VLOOKUP(D240,'FDE 10-23 '!$A$4:$E$3180,5,0)</f>
        <v>3708.49</v>
      </c>
      <c r="I240" s="68">
        <f t="shared" si="39"/>
        <v>0.23</v>
      </c>
      <c r="J240" s="67">
        <f t="shared" si="40"/>
        <v>4561.4399999999996</v>
      </c>
      <c r="K240" s="71">
        <f t="shared" si="41"/>
        <v>9122.8799999999992</v>
      </c>
      <c r="L240" s="51"/>
      <c r="M240" s="52"/>
    </row>
    <row r="241" spans="2:13" s="25" customFormat="1" ht="30" customHeight="1" outlineLevel="1">
      <c r="B241" s="61" t="s">
        <v>513</v>
      </c>
      <c r="C241" s="62" t="s">
        <v>26</v>
      </c>
      <c r="D241" s="63" t="s">
        <v>514</v>
      </c>
      <c r="E241" s="64" t="str">
        <f>IFERROR(UPPER(IF(C241="CPU",VLOOKUP(D241,#REF!,2,0),IF(C241="SINAPI",VLOOKUP(D241,#REF!,2,0),IF(C241="EDIF",VLOOKUP(D241,#REF!,2,0),IF(C241="CDHU",VLOOKUP(D241,#REF!,2,0),IF(C241="FDE",VLOOKUP(D241,'FDE 10-23 '!$A$4:$E$3180,2,0),IF(C241="INFRA",VLOOKUP(D241,#REF!,2,0),""))))))),"")</f>
        <v>ANEIS PRE-MOLDADOS EM CONCRETO ARMADO P/ RESERVATORIO D'AGUA D=2,50M</v>
      </c>
      <c r="F241" s="65" t="str">
        <f>VLOOKUP(D241,'FDE 10-23 '!$A$4:$E$3180,3,0)</f>
        <v>M</v>
      </c>
      <c r="G241" s="66">
        <v>19</v>
      </c>
      <c r="H241" s="67">
        <f>VLOOKUP(D241,'FDE 10-23 '!$A$4:$E$3180,5,0)</f>
        <v>13516</v>
      </c>
      <c r="I241" s="68">
        <f t="shared" si="39"/>
        <v>0.23</v>
      </c>
      <c r="J241" s="67">
        <f t="shared" si="40"/>
        <v>16624.68</v>
      </c>
      <c r="K241" s="71">
        <f t="shared" si="41"/>
        <v>315868.92</v>
      </c>
      <c r="L241" s="51"/>
      <c r="M241" s="52"/>
    </row>
    <row r="242" spans="2:13" s="25" customFormat="1" ht="30" customHeight="1" outlineLevel="1">
      <c r="B242" s="61" t="s">
        <v>515</v>
      </c>
      <c r="C242" s="62" t="s">
        <v>26</v>
      </c>
      <c r="D242" s="63" t="s">
        <v>516</v>
      </c>
      <c r="E242" s="64" t="str">
        <f>IFERROR(UPPER(IF(C242="CPU",VLOOKUP(D242,#REF!,2,0),IF(C242="SINAPI",VLOOKUP(D242,#REF!,2,0),IF(C242="EDIF",VLOOKUP(D242,#REF!,2,0),IF(C242="CDHU",VLOOKUP(D242,#REF!,2,0),IF(C242="FDE",VLOOKUP(D242,'FDE 10-23 '!$A$4:$E$3180,2,0),IF(C242="INFRA",VLOOKUP(D242,#REF!,2,0),""))))))),"")</f>
        <v>LAJE PRE-MOLDADA D=2,50M E=8CM P/ RESERVATORIO</v>
      </c>
      <c r="F242" s="65" t="str">
        <f>VLOOKUP(D242,'FDE 10-23 '!$A$4:$E$3180,3,0)</f>
        <v>UN</v>
      </c>
      <c r="G242" s="66">
        <v>4</v>
      </c>
      <c r="H242" s="67">
        <f>VLOOKUP(D242,'FDE 10-23 '!$A$4:$E$3180,5,0)</f>
        <v>3331</v>
      </c>
      <c r="I242" s="68">
        <f t="shared" si="39"/>
        <v>0.23</v>
      </c>
      <c r="J242" s="67">
        <f t="shared" si="40"/>
        <v>4097.13</v>
      </c>
      <c r="K242" s="71">
        <f t="shared" si="41"/>
        <v>16388.52</v>
      </c>
      <c r="L242" s="51"/>
      <c r="M242" s="52"/>
    </row>
    <row r="243" spans="2:13" s="25" customFormat="1" ht="30" customHeight="1" outlineLevel="1">
      <c r="B243" s="61" t="s">
        <v>517</v>
      </c>
      <c r="C243" s="62" t="s">
        <v>26</v>
      </c>
      <c r="D243" s="63" t="s">
        <v>518</v>
      </c>
      <c r="E243" s="64" t="str">
        <f>IFERROR(UPPER(IF(C243="CPU",VLOOKUP(D243,#REF!,2,0),IF(C243="SINAPI",VLOOKUP(D243,#REF!,2,0),IF(C243="EDIF",VLOOKUP(D243,#REF!,2,0),IF(C243="CDHU",VLOOKUP(D243,#REF!,2,0),IF(C243="FDE",VLOOKUP(D243,'FDE 10-23 '!$A$4:$E$3180,2,0),IF(C243="INFRA",VLOOKUP(D243,#REF!,2,0),""))))))),"")</f>
        <v>LAJE PRE-MOLDADA D=2,50M E=15CM P/ RESERVATORIO</v>
      </c>
      <c r="F243" s="65" t="str">
        <f>VLOOKUP(D243,'FDE 10-23 '!$A$4:$E$3180,3,0)</f>
        <v>UN</v>
      </c>
      <c r="G243" s="66">
        <v>3</v>
      </c>
      <c r="H243" s="67">
        <f>VLOOKUP(D243,'FDE 10-23 '!$A$4:$E$3180,5,0)</f>
        <v>4873.5</v>
      </c>
      <c r="I243" s="68">
        <f t="shared" si="39"/>
        <v>0.23</v>
      </c>
      <c r="J243" s="67">
        <f t="shared" si="40"/>
        <v>5994.41</v>
      </c>
      <c r="K243" s="71">
        <f t="shared" si="41"/>
        <v>17983.23</v>
      </c>
      <c r="L243" s="51"/>
      <c r="M243" s="52"/>
    </row>
    <row r="244" spans="2:13" s="25" customFormat="1" ht="30" customHeight="1" outlineLevel="1">
      <c r="B244" s="61" t="s">
        <v>519</v>
      </c>
      <c r="C244" s="62" t="s">
        <v>26</v>
      </c>
      <c r="D244" s="63" t="s">
        <v>520</v>
      </c>
      <c r="E244" s="64" t="str">
        <f>IFERROR(UPPER(IF(C244="CPU",VLOOKUP(D244,#REF!,2,0),IF(C244="SINAPI",VLOOKUP(D244,#REF!,2,0),IF(C244="EDIF",VLOOKUP(D244,#REF!,2,0),IF(C244="CDHU",VLOOKUP(D244,#REF!,2,0),IF(C244="FDE",VLOOKUP(D244,'FDE 10-23 '!$A$4:$E$3180,2,0),IF(C244="INFRA",VLOOKUP(D244,#REF!,2,0),""))))))),"")</f>
        <v>SERVICOS RESERVATORIOS</v>
      </c>
      <c r="F244" s="65" t="str">
        <f>VLOOKUP(D244,'FDE 10-23 '!$A$4:$E$3180,3,0)</f>
        <v>MV</v>
      </c>
      <c r="G244" s="66">
        <v>3.48</v>
      </c>
      <c r="H244" s="67">
        <f>VLOOKUP(D244,'FDE 10-23 '!$A$4:$E$3180,5,0)</f>
        <v>533.05999999999995</v>
      </c>
      <c r="I244" s="68">
        <f t="shared" si="39"/>
        <v>0.23</v>
      </c>
      <c r="J244" s="67">
        <f t="shared" si="40"/>
        <v>655.66</v>
      </c>
      <c r="K244" s="71">
        <f t="shared" si="41"/>
        <v>2281.6967999999997</v>
      </c>
      <c r="L244" s="51"/>
      <c r="M244" s="52"/>
    </row>
    <row r="245" spans="2:13" s="25" customFormat="1" ht="30" customHeight="1" outlineLevel="1">
      <c r="B245" s="53" t="s">
        <v>521</v>
      </c>
      <c r="C245" s="54"/>
      <c r="D245" s="54" t="s">
        <v>522</v>
      </c>
      <c r="E245" s="55" t="s">
        <v>523</v>
      </c>
      <c r="F245" s="56" t="str">
        <f>IFERROR(UPPER(IF(C245="CPU",VLOOKUP(D245,#REF!,3,0),IF(C245="SINAPI",VLOOKUP(D245,#REF!,3,0),IF(C245="EDIF",VLOOKUP(D245,#REF!,3,0),IF(C245="CDHU",VLOOKUP(D245,#REF!,3,0),IF(C245="FDE",VLOOKUP(D245,#REF!,3,0),IF(C245="INFRA",VLOOKUP(D245,#REF!,3,0),""))))))),"")</f>
        <v/>
      </c>
      <c r="G245" s="57"/>
      <c r="H24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45" s="59"/>
      <c r="J245" s="59"/>
      <c r="K245" s="82">
        <f>SUBTOTAL(9,K246:K250)</f>
        <v>52495.456000000006</v>
      </c>
      <c r="L245" s="51"/>
      <c r="M245" s="52"/>
    </row>
    <row r="246" spans="2:13" s="25" customFormat="1" ht="30" customHeight="1" outlineLevel="1">
      <c r="B246" s="61" t="s">
        <v>524</v>
      </c>
      <c r="C246" s="62" t="s">
        <v>26</v>
      </c>
      <c r="D246" s="63" t="s">
        <v>525</v>
      </c>
      <c r="E246" s="64" t="str">
        <f>IFERROR(UPPER(IF(C246="CPU",VLOOKUP(D246,#REF!,2,0),IF(C246="SINAPI",VLOOKUP(D246,#REF!,2,0),IF(C246="EDIF",VLOOKUP(D246,#REF!,2,0),IF(C246="CDHU",VLOOKUP(D246,#REF!,2,0),IF(C246="FDE",VLOOKUP(D246,'FDE 10-23 '!$A$4:$E$3180,2,0),IF(C246="INFRA",VLOOKUP(D246,#REF!,2,0),""))))))),"")</f>
        <v>LT-04 LAVATORIO /BEBEDOURO COLETIVO COM TORNEIRA ANTIVANDALISMO</v>
      </c>
      <c r="F246" s="65" t="str">
        <f>VLOOKUP(D246,'FDE 10-23 '!$A$4:$E$3180,3,0)</f>
        <v>M</v>
      </c>
      <c r="G246" s="66">
        <v>2.5</v>
      </c>
      <c r="H246" s="67">
        <f>VLOOKUP(D246,'FDE 10-23 '!$A$4:$E$3180,5,0)</f>
        <v>1581.51</v>
      </c>
      <c r="I246" s="68">
        <f>$L$10</f>
        <v>0.23</v>
      </c>
      <c r="J246" s="67">
        <f>ROUND(H246*(1+I246),2)</f>
        <v>1945.26</v>
      </c>
      <c r="K246" s="71">
        <f>SUM(G246*J246)</f>
        <v>4863.1499999999996</v>
      </c>
      <c r="L246" s="51"/>
      <c r="M246" s="52"/>
    </row>
    <row r="247" spans="2:13" s="25" customFormat="1" ht="30" customHeight="1" outlineLevel="1">
      <c r="B247" s="61" t="s">
        <v>526</v>
      </c>
      <c r="C247" s="62" t="s">
        <v>26</v>
      </c>
      <c r="D247" s="63" t="s">
        <v>527</v>
      </c>
      <c r="E247" s="64" t="str">
        <f>IFERROR(UPPER(IF(C247="CPU",VLOOKUP(D247,#REF!,2,0),IF(C247="SINAPI",VLOOKUP(D247,#REF!,2,0),IF(C247="EDIF",VLOOKUP(D247,#REF!,2,0),IF(C247="CDHU",VLOOKUP(D247,#REF!,2,0),IF(C247="FDE",VLOOKUP(D247,'FDE 10-23 '!$A$4:$E$3180,2,0),IF(C247="INFRA",VLOOKUP(D247,#REF!,2,0),""))))))),"")</f>
        <v>BB-01 BEBEDOURO COLETIVO</v>
      </c>
      <c r="F247" s="65" t="str">
        <f>VLOOKUP(D247,'FDE 10-23 '!$A$4:$E$3180,3,0)</f>
        <v>M</v>
      </c>
      <c r="G247" s="66">
        <v>2.2999999999999998</v>
      </c>
      <c r="H247" s="67">
        <f>VLOOKUP(D247,'FDE 10-23 '!$A$4:$E$3180,5,0)</f>
        <v>847.05</v>
      </c>
      <c r="I247" s="68">
        <f>$L$10</f>
        <v>0.23</v>
      </c>
      <c r="J247" s="67">
        <f>ROUND(H247*(1+I247),2)</f>
        <v>1041.8699999999999</v>
      </c>
      <c r="K247" s="71">
        <f>SUM(G247*J247)</f>
        <v>2396.3009999999995</v>
      </c>
      <c r="L247" s="51"/>
      <c r="M247" s="52"/>
    </row>
    <row r="248" spans="2:13" s="25" customFormat="1" ht="30" customHeight="1" outlineLevel="1">
      <c r="B248" s="61" t="s">
        <v>528</v>
      </c>
      <c r="C248" s="62" t="s">
        <v>26</v>
      </c>
      <c r="D248" s="63" t="s">
        <v>529</v>
      </c>
      <c r="E248" s="64" t="str">
        <f>IFERROR(UPPER(IF(C248="CPU",VLOOKUP(D248,#REF!,2,0),IF(C248="SINAPI",VLOOKUP(D248,#REF!,2,0),IF(C248="EDIF",VLOOKUP(D248,#REF!,2,0),IF(C248="CDHU",VLOOKUP(D248,#REF!,2,0),IF(C248="FDE",VLOOKUP(D248,'FDE 10-23 '!$A$4:$E$3180,2,0),IF(C248="INFRA",VLOOKUP(D248,#REF!,2,0),""))))))),"")</f>
        <v>LT-06 LAVATÓRIO COLETIVO COM TORNEIRA ANTIVANDALISMO</v>
      </c>
      <c r="F248" s="65" t="str">
        <f>VLOOKUP(D248,'FDE 10-23 '!$A$4:$E$3180,3,0)</f>
        <v>M</v>
      </c>
      <c r="G248" s="66">
        <v>8.8000000000000007</v>
      </c>
      <c r="H248" s="67">
        <f>VLOOKUP(D248,'FDE 10-23 '!$A$4:$E$3180,5,0)</f>
        <v>2010.01</v>
      </c>
      <c r="I248" s="68">
        <f>$L$10</f>
        <v>0.23</v>
      </c>
      <c r="J248" s="67">
        <f>ROUND(H248*(1+I248),2)</f>
        <v>2472.31</v>
      </c>
      <c r="K248" s="71">
        <f>SUM(G248*J248)</f>
        <v>21756.328000000001</v>
      </c>
      <c r="L248" s="51"/>
      <c r="M248" s="52"/>
    </row>
    <row r="249" spans="2:13" s="25" customFormat="1" ht="30" customHeight="1" outlineLevel="1">
      <c r="B249" s="61" t="s">
        <v>530</v>
      </c>
      <c r="C249" s="62" t="s">
        <v>26</v>
      </c>
      <c r="D249" s="63" t="s">
        <v>531</v>
      </c>
      <c r="E249" s="64" t="str">
        <f>IFERROR(UPPER(IF(C249="CPU",VLOOKUP(D249,#REF!,2,0),IF(C249="SINAPI",VLOOKUP(D249,#REF!,2,0),IF(C249="EDIF",VLOOKUP(D249,#REF!,2,0),IF(C249="CDHU",VLOOKUP(D249,#REF!,2,0),IF(C249="FDE",VLOOKUP(D249,'FDE 10-23 '!$A$4:$E$3180,2,0),IF(C249="INFRA",VLOOKUP(D249,#REF!,2,0),""))))))),"")</f>
        <v>LT-07 LAVATÓRIO COLETIVO COM TORNEIRA DE MESA- SANIT.ADMINISTRAÇÃO</v>
      </c>
      <c r="F249" s="65" t="str">
        <f>VLOOKUP(D249,'FDE 10-23 '!$A$4:$E$3180,3,0)</f>
        <v>M</v>
      </c>
      <c r="G249" s="66">
        <v>4.3</v>
      </c>
      <c r="H249" s="67">
        <f>VLOOKUP(D249,'FDE 10-23 '!$A$4:$E$3180,5,0)</f>
        <v>2504.75</v>
      </c>
      <c r="I249" s="68">
        <f>$L$10</f>
        <v>0.23</v>
      </c>
      <c r="J249" s="67">
        <f>ROUND(H249*(1+I249),2)</f>
        <v>3080.84</v>
      </c>
      <c r="K249" s="71">
        <f>SUM(G249*J249)</f>
        <v>13247.611999999999</v>
      </c>
      <c r="L249" s="51"/>
      <c r="M249" s="52"/>
    </row>
    <row r="250" spans="2:13" s="25" customFormat="1" ht="30" customHeight="1" outlineLevel="1">
      <c r="B250" s="61" t="s">
        <v>532</v>
      </c>
      <c r="C250" s="62" t="s">
        <v>26</v>
      </c>
      <c r="D250" s="63" t="s">
        <v>533</v>
      </c>
      <c r="E250" s="64" t="str">
        <f>IFERROR(UPPER(IF(C250="CPU",VLOOKUP(D250,#REF!,2,0),IF(C250="SINAPI",VLOOKUP(D250,#REF!,2,0),IF(C250="EDIF",VLOOKUP(D250,#REF!,2,0),IF(C250="CDHU",VLOOKUP(D250,#REF!,2,0),IF(C250="FDE",VLOOKUP(D250,'FDE 10-23 '!$A$4:$E$3180,2,0),IF(C250="INFRA",VLOOKUP(D250,#REF!,2,0),""))))))),"")</f>
        <v>MT-04 MICTORIO COLETIVO</v>
      </c>
      <c r="F250" s="65" t="str">
        <f>VLOOKUP(D250,'FDE 10-23 '!$A$4:$E$3180,3,0)</f>
        <v>M</v>
      </c>
      <c r="G250" s="66">
        <v>4.3</v>
      </c>
      <c r="H250" s="67">
        <f>VLOOKUP(D250,'FDE 10-23 '!$A$4:$E$3180,5,0)</f>
        <v>1934.59</v>
      </c>
      <c r="I250" s="68">
        <f>$L$10</f>
        <v>0.23</v>
      </c>
      <c r="J250" s="67">
        <f>ROUND(H250*(1+I250),2)</f>
        <v>2379.5500000000002</v>
      </c>
      <c r="K250" s="71">
        <f>SUM(G250*J250)</f>
        <v>10232.065000000001</v>
      </c>
      <c r="L250" s="51"/>
      <c r="M250" s="52"/>
    </row>
    <row r="251" spans="2:13" s="25" customFormat="1" ht="30" customHeight="1" outlineLevel="1">
      <c r="B251" s="53" t="s">
        <v>534</v>
      </c>
      <c r="C251" s="54"/>
      <c r="D251" s="54" t="s">
        <v>535</v>
      </c>
      <c r="E251" s="55" t="s">
        <v>536</v>
      </c>
      <c r="F251" s="56" t="str">
        <f>IFERROR(UPPER(IF(C251="CPU",VLOOKUP(D251,#REF!,3,0),IF(C251="SINAPI",VLOOKUP(D251,#REF!,3,0),IF(C251="EDIF",VLOOKUP(D251,#REF!,3,0),IF(C251="CDHU",VLOOKUP(D251,#REF!,3,0),IF(C251="FDE",VLOOKUP(D251,#REF!,3,0),IF(C251="INFRA",VLOOKUP(D251,#REF!,3,0),""))))))),"")</f>
        <v/>
      </c>
      <c r="G251" s="57"/>
      <c r="H251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51" s="59"/>
      <c r="J251" s="59"/>
      <c r="K251" s="82">
        <f>SUBTOTAL(9,K252:K264)</f>
        <v>44236.02</v>
      </c>
      <c r="L251" s="51"/>
      <c r="M251" s="52"/>
    </row>
    <row r="252" spans="2:13" s="25" customFormat="1" ht="30" customHeight="1" outlineLevel="1">
      <c r="B252" s="61" t="s">
        <v>537</v>
      </c>
      <c r="C252" s="62" t="s">
        <v>26</v>
      </c>
      <c r="D252" s="63" t="s">
        <v>538</v>
      </c>
      <c r="E252" s="64" t="str">
        <f>IFERROR(UPPER(IF(C252="CPU",VLOOKUP(D252,#REF!,2,0),IF(C252="SINAPI",VLOOKUP(D252,#REF!,2,0),IF(C252="EDIF",VLOOKUP(D252,#REF!,2,0),IF(C252="CDHU",VLOOKUP(D252,#REF!,2,0),IF(C252="FDE",VLOOKUP(D252,'FDE 10-23 '!$A$4:$E$3180,2,0),IF(C252="INFRA",VLOOKUP(D252,#REF!,2,0),""))))))),"")</f>
        <v>BACIA SIFONADA DE LOUCA BRANCA (VDR 6L) C/ ASSENTO</v>
      </c>
      <c r="F252" s="65" t="str">
        <f>VLOOKUP(D252,'FDE 10-23 '!$A$4:$E$3180,3,0)</f>
        <v>UN</v>
      </c>
      <c r="G252" s="66">
        <v>17</v>
      </c>
      <c r="H252" s="67">
        <f>VLOOKUP(D252,'FDE 10-23 '!$A$4:$E$3180,5,0)</f>
        <v>304.12</v>
      </c>
      <c r="I252" s="68">
        <f t="shared" ref="I252:I264" si="42">$L$10</f>
        <v>0.23</v>
      </c>
      <c r="J252" s="67">
        <f t="shared" ref="J252:J264" si="43">ROUND(H252*(1+I252),2)</f>
        <v>374.07</v>
      </c>
      <c r="K252" s="71">
        <f t="shared" ref="K252:K264" si="44">SUM(G252*J252)</f>
        <v>6359.19</v>
      </c>
      <c r="L252" s="51"/>
      <c r="M252" s="52"/>
    </row>
    <row r="253" spans="2:13" s="25" customFormat="1" ht="30" customHeight="1" outlineLevel="1">
      <c r="B253" s="61" t="s">
        <v>539</v>
      </c>
      <c r="C253" s="62" t="s">
        <v>26</v>
      </c>
      <c r="D253" s="63" t="s">
        <v>540</v>
      </c>
      <c r="E253" s="64" t="str">
        <f>IFERROR(UPPER(IF(C253="CPU",VLOOKUP(D253,#REF!,2,0),IF(C253="SINAPI",VLOOKUP(D253,#REF!,2,0),IF(C253="EDIF",VLOOKUP(D253,#REF!,2,0),IF(C253="CDHU",VLOOKUP(D253,#REF!,2,0),IF(C253="FDE",VLOOKUP(D253,'FDE 10-23 '!$A$4:$E$3180,2,0),IF(C253="INFRA",VLOOKUP(D253,#REF!,2,0),""))))))),"")</f>
        <v>LAVATORIO DE LOUCA BRANCA SEM COLUNA C/ TORNEIRA DE FECHAM AUTOMATICO</v>
      </c>
      <c r="F253" s="65" t="str">
        <f>VLOOKUP(D253,'FDE 10-23 '!$A$4:$E$3180,3,0)</f>
        <v>UN</v>
      </c>
      <c r="G253" s="66">
        <v>1</v>
      </c>
      <c r="H253" s="67">
        <f>VLOOKUP(D253,'FDE 10-23 '!$A$4:$E$3180,5,0)</f>
        <v>1009.44</v>
      </c>
      <c r="I253" s="68">
        <f t="shared" si="42"/>
        <v>0.23</v>
      </c>
      <c r="J253" s="67">
        <f t="shared" si="43"/>
        <v>1241.6099999999999</v>
      </c>
      <c r="K253" s="71">
        <f t="shared" si="44"/>
        <v>1241.6099999999999</v>
      </c>
      <c r="L253" s="51"/>
      <c r="M253" s="52"/>
    </row>
    <row r="254" spans="2:13" s="25" customFormat="1" ht="30" customHeight="1" outlineLevel="1">
      <c r="B254" s="61" t="s">
        <v>541</v>
      </c>
      <c r="C254" s="62" t="s">
        <v>26</v>
      </c>
      <c r="D254" s="63" t="s">
        <v>542</v>
      </c>
      <c r="E254" s="64" t="str">
        <f>IFERROR(UPPER(IF(C254="CPU",VLOOKUP(D254,#REF!,2,0),IF(C254="SINAPI",VLOOKUP(D254,#REF!,2,0),IF(C254="EDIF",VLOOKUP(D254,#REF!,2,0),IF(C254="CDHU",VLOOKUP(D254,#REF!,2,0),IF(C254="FDE",VLOOKUP(D254,'FDE 10-23 '!$A$4:$E$3180,2,0),IF(C254="INFRA",VLOOKUP(D254,#REF!,2,0),""))))))),"")</f>
        <v>TANQUE DE LOUCA BRANCA,PEQUENO C/COLUNA</v>
      </c>
      <c r="F254" s="65" t="str">
        <f>VLOOKUP(D254,'FDE 10-23 '!$A$4:$E$3180,3,0)</f>
        <v>UN</v>
      </c>
      <c r="G254" s="66">
        <v>1</v>
      </c>
      <c r="H254" s="67">
        <f>VLOOKUP(D254,'FDE 10-23 '!$A$4:$E$3180,5,0)</f>
        <v>1002.61</v>
      </c>
      <c r="I254" s="68">
        <f t="shared" si="42"/>
        <v>0.23</v>
      </c>
      <c r="J254" s="67">
        <f t="shared" si="43"/>
        <v>1233.21</v>
      </c>
      <c r="K254" s="71">
        <f t="shared" si="44"/>
        <v>1233.21</v>
      </c>
      <c r="L254" s="51"/>
      <c r="M254" s="52"/>
    </row>
    <row r="255" spans="2:13" s="25" customFormat="1" ht="30" customHeight="1" outlineLevel="1">
      <c r="B255" s="61" t="s">
        <v>543</v>
      </c>
      <c r="C255" s="62" t="s">
        <v>26</v>
      </c>
      <c r="D255" s="63" t="s">
        <v>544</v>
      </c>
      <c r="E255" s="64" t="str">
        <f>IFERROR(UPPER(IF(C255="CPU",VLOOKUP(D255,#REF!,2,0),IF(C255="SINAPI",VLOOKUP(D255,#REF!,2,0),IF(C255="EDIF",VLOOKUP(D255,#REF!,2,0),IF(C255="CDHU",VLOOKUP(D255,#REF!,2,0),IF(C255="FDE",VLOOKUP(D255,'FDE 10-23 '!$A$4:$E$3180,2,0),IF(C255="INFRA",VLOOKUP(D255,#REF!,2,0),""))))))),"")</f>
        <v>SABONETEIRA DE LOUCA BRANCA DE 15X15 CM</v>
      </c>
      <c r="F255" s="65" t="str">
        <f>VLOOKUP(D255,'FDE 10-23 '!$A$4:$E$3180,3,0)</f>
        <v>UN</v>
      </c>
      <c r="G255" s="66">
        <v>6</v>
      </c>
      <c r="H255" s="67">
        <f>VLOOKUP(D255,'FDE 10-23 '!$A$4:$E$3180,5,0)</f>
        <v>92.2</v>
      </c>
      <c r="I255" s="68">
        <f t="shared" si="42"/>
        <v>0.23</v>
      </c>
      <c r="J255" s="67">
        <f t="shared" si="43"/>
        <v>113.41</v>
      </c>
      <c r="K255" s="71">
        <f t="shared" si="44"/>
        <v>680.46</v>
      </c>
      <c r="L255" s="51"/>
      <c r="M255" s="52"/>
    </row>
    <row r="256" spans="2:13" s="25" customFormat="1" ht="30" customHeight="1" outlineLevel="1">
      <c r="B256" s="61" t="s">
        <v>545</v>
      </c>
      <c r="C256" s="62" t="s">
        <v>26</v>
      </c>
      <c r="D256" s="63" t="s">
        <v>546</v>
      </c>
      <c r="E256" s="64" t="str">
        <f>IFERROR(UPPER(IF(C256="CPU",VLOOKUP(D256,#REF!,2,0),IF(C256="SINAPI",VLOOKUP(D256,#REF!,2,0),IF(C256="EDIF",VLOOKUP(D256,#REF!,2,0),IF(C256="CDHU",VLOOKUP(D256,#REF!,2,0),IF(C256="FDE",VLOOKUP(D256,'FDE 10-23 '!$A$4:$E$3180,2,0),IF(C256="INFRA",VLOOKUP(D256,#REF!,2,0),""))))))),"")</f>
        <v>PAPELEIRA DE LOUCA BRANCA DE 15X15CM</v>
      </c>
      <c r="F256" s="65" t="str">
        <f>VLOOKUP(D256,'FDE 10-23 '!$A$4:$E$3180,3,0)</f>
        <v>UN</v>
      </c>
      <c r="G256" s="66">
        <v>17</v>
      </c>
      <c r="H256" s="67">
        <f>VLOOKUP(D256,'FDE 10-23 '!$A$4:$E$3180,5,0)</f>
        <v>97.28</v>
      </c>
      <c r="I256" s="68">
        <f t="shared" si="42"/>
        <v>0.23</v>
      </c>
      <c r="J256" s="67">
        <f t="shared" si="43"/>
        <v>119.65</v>
      </c>
      <c r="K256" s="71">
        <f t="shared" si="44"/>
        <v>2034.0500000000002</v>
      </c>
      <c r="L256" s="51"/>
      <c r="M256" s="52"/>
    </row>
    <row r="257" spans="2:13" s="25" customFormat="1" ht="30" customHeight="1" outlineLevel="1">
      <c r="B257" s="61" t="s">
        <v>547</v>
      </c>
      <c r="C257" s="62" t="s">
        <v>26</v>
      </c>
      <c r="D257" s="63" t="s">
        <v>548</v>
      </c>
      <c r="E257" s="64" t="str">
        <f>IFERROR(UPPER(IF(C257="CPU",VLOOKUP(D257,#REF!,2,0),IF(C257="SINAPI",VLOOKUP(D257,#REF!,2,0),IF(C257="EDIF",VLOOKUP(D257,#REF!,2,0),IF(C257="CDHU",VLOOKUP(D257,#REF!,2,0),IF(C257="FDE",VLOOKUP(D257,'FDE 10-23 '!$A$4:$E$3180,2,0),IF(C257="INFRA",VLOOKUP(D257,#REF!,2,0),""))))))),"")</f>
        <v>CABIDE DE LOUCA BRANCA COM 2 GANCHOS</v>
      </c>
      <c r="F257" s="65" t="str">
        <f>VLOOKUP(D257,'FDE 10-23 '!$A$4:$E$3180,3,0)</f>
        <v>UN</v>
      </c>
      <c r="G257" s="66">
        <v>6</v>
      </c>
      <c r="H257" s="67">
        <f>VLOOKUP(D257,'FDE 10-23 '!$A$4:$E$3180,5,0)</f>
        <v>45.8</v>
      </c>
      <c r="I257" s="68">
        <f t="shared" si="42"/>
        <v>0.23</v>
      </c>
      <c r="J257" s="67">
        <f t="shared" si="43"/>
        <v>56.33</v>
      </c>
      <c r="K257" s="71">
        <f t="shared" si="44"/>
        <v>337.98</v>
      </c>
      <c r="L257" s="51"/>
      <c r="M257" s="52"/>
    </row>
    <row r="258" spans="2:13" s="25" customFormat="1" ht="30" customHeight="1" outlineLevel="1">
      <c r="B258" s="61" t="s">
        <v>549</v>
      </c>
      <c r="C258" s="62" t="s">
        <v>26</v>
      </c>
      <c r="D258" s="63" t="s">
        <v>550</v>
      </c>
      <c r="E258" s="64" t="str">
        <f>IFERROR(UPPER(IF(C258="CPU",VLOOKUP(D258,#REF!,2,0),IF(C258="SINAPI",VLOOKUP(D258,#REF!,2,0),IF(C258="EDIF",VLOOKUP(D258,#REF!,2,0),IF(C258="CDHU",VLOOKUP(D258,#REF!,2,0),IF(C258="FDE",VLOOKUP(D258,'FDE 10-23 '!$A$4:$E$3180,2,0),IF(C258="INFRA",VLOOKUP(D258,#REF!,2,0),""))))))),"")</f>
        <v>VA-01 VARAL/TOALHEIRO</v>
      </c>
      <c r="F258" s="65" t="str">
        <f>VLOOKUP(D258,'FDE 10-23 '!$A$4:$E$3180,3,0)</f>
        <v>UN</v>
      </c>
      <c r="G258" s="66">
        <v>2</v>
      </c>
      <c r="H258" s="67">
        <f>VLOOKUP(D258,'FDE 10-23 '!$A$4:$E$3180,5,0)</f>
        <v>456.79</v>
      </c>
      <c r="I258" s="68">
        <f t="shared" si="42"/>
        <v>0.23</v>
      </c>
      <c r="J258" s="67">
        <f t="shared" si="43"/>
        <v>561.85</v>
      </c>
      <c r="K258" s="71">
        <f t="shared" si="44"/>
        <v>1123.7</v>
      </c>
      <c r="L258" s="51"/>
      <c r="M258" s="52"/>
    </row>
    <row r="259" spans="2:13" s="25" customFormat="1" ht="30" customHeight="1" outlineLevel="1">
      <c r="B259" s="61" t="s">
        <v>551</v>
      </c>
      <c r="C259" s="62" t="s">
        <v>26</v>
      </c>
      <c r="D259" s="63" t="s">
        <v>552</v>
      </c>
      <c r="E259" s="64" t="str">
        <f>IFERROR(UPPER(IF(C259="CPU",VLOOKUP(D259,#REF!,2,0),IF(C259="SINAPI",VLOOKUP(D259,#REF!,2,0),IF(C259="EDIF",VLOOKUP(D259,#REF!,2,0),IF(C259="CDHU",VLOOKUP(D259,#REF!,2,0),IF(C259="FDE",VLOOKUP(D259,'FDE 10-23 '!$A$4:$E$3180,2,0),IF(C259="INFRA",VLOOKUP(D259,#REF!,2,0),""))))))),"")</f>
        <v>BR-01 BACIA P/ SANITARIO ACESSIVEL</v>
      </c>
      <c r="F259" s="65" t="str">
        <f>VLOOKUP(D259,'FDE 10-23 '!$A$4:$E$3180,3,0)</f>
        <v>CJ</v>
      </c>
      <c r="G259" s="66">
        <v>1</v>
      </c>
      <c r="H259" s="67">
        <f>VLOOKUP(D259,'FDE 10-23 '!$A$4:$E$3180,5,0)</f>
        <v>3026.01</v>
      </c>
      <c r="I259" s="68">
        <f t="shared" si="42"/>
        <v>0.23</v>
      </c>
      <c r="J259" s="67">
        <f t="shared" si="43"/>
        <v>3721.99</v>
      </c>
      <c r="K259" s="71">
        <f t="shared" si="44"/>
        <v>3721.99</v>
      </c>
      <c r="L259" s="51"/>
      <c r="M259" s="52"/>
    </row>
    <row r="260" spans="2:13" s="25" customFormat="1" ht="30" customHeight="1" outlineLevel="1">
      <c r="B260" s="61" t="s">
        <v>553</v>
      </c>
      <c r="C260" s="62" t="s">
        <v>26</v>
      </c>
      <c r="D260" s="63" t="s">
        <v>554</v>
      </c>
      <c r="E260" s="64" t="str">
        <f>IFERROR(UPPER(IF(C260="CPU",VLOOKUP(D260,#REF!,2,0),IF(C260="SINAPI",VLOOKUP(D260,#REF!,2,0),IF(C260="EDIF",VLOOKUP(D260,#REF!,2,0),IF(C260="CDHU",VLOOKUP(D260,#REF!,2,0),IF(C260="FDE",VLOOKUP(D260,'FDE 10-23 '!$A$4:$E$3180,2,0),IF(C260="INFRA",VLOOKUP(D260,#REF!,2,0),""))))))),"")</f>
        <v>BR-02 LAVATORIO  PARA SANITARIO ACESSIVEL</v>
      </c>
      <c r="F260" s="65" t="str">
        <f>VLOOKUP(D260,'FDE 10-23 '!$A$4:$E$3180,3,0)</f>
        <v>CJ</v>
      </c>
      <c r="G260" s="66">
        <v>1</v>
      </c>
      <c r="H260" s="67">
        <f>VLOOKUP(D260,'FDE 10-23 '!$A$4:$E$3180,5,0)</f>
        <v>1563.31</v>
      </c>
      <c r="I260" s="68">
        <f t="shared" si="42"/>
        <v>0.23</v>
      </c>
      <c r="J260" s="67">
        <f t="shared" si="43"/>
        <v>1922.87</v>
      </c>
      <c r="K260" s="71">
        <f t="shared" si="44"/>
        <v>1922.87</v>
      </c>
      <c r="L260" s="51"/>
      <c r="M260" s="52"/>
    </row>
    <row r="261" spans="2:13" s="25" customFormat="1" ht="30" customHeight="1" outlineLevel="1">
      <c r="B261" s="61" t="s">
        <v>555</v>
      </c>
      <c r="C261" s="62" t="s">
        <v>26</v>
      </c>
      <c r="D261" s="63" t="s">
        <v>556</v>
      </c>
      <c r="E261" s="64" t="str">
        <f>IFERROR(UPPER(IF(C261="CPU",VLOOKUP(D261,#REF!,2,0),IF(C261="SINAPI",VLOOKUP(D261,#REF!,2,0),IF(C261="EDIF",VLOOKUP(D261,#REF!,2,0),IF(C261="CDHU",VLOOKUP(D261,#REF!,2,0),IF(C261="FDE",VLOOKUP(D261,'FDE 10-23 '!$A$4:$E$3180,2,0),IF(C261="INFRA",VLOOKUP(D261,#REF!,2,0),""))))))),"")</f>
        <v>BR-03  CONJUNTO LAVATORIO E BACIA ACESSIVEIS</v>
      </c>
      <c r="F261" s="65" t="str">
        <f>VLOOKUP(D261,'FDE 10-23 '!$A$4:$E$3180,3,0)</f>
        <v>CJ</v>
      </c>
      <c r="G261" s="66">
        <v>2</v>
      </c>
      <c r="H261" s="67">
        <f>VLOOKUP(D261,'FDE 10-23 '!$A$4:$E$3180,5,0)</f>
        <v>3407.66</v>
      </c>
      <c r="I261" s="68">
        <f t="shared" si="42"/>
        <v>0.23</v>
      </c>
      <c r="J261" s="67">
        <f t="shared" si="43"/>
        <v>4191.42</v>
      </c>
      <c r="K261" s="71">
        <f t="shared" si="44"/>
        <v>8382.84</v>
      </c>
      <c r="L261" s="51"/>
      <c r="M261" s="52"/>
    </row>
    <row r="262" spans="2:13" s="25" customFormat="1" ht="30" customHeight="1" outlineLevel="1">
      <c r="B262" s="61" t="s">
        <v>557</v>
      </c>
      <c r="C262" s="62" t="s">
        <v>26</v>
      </c>
      <c r="D262" s="63" t="s">
        <v>558</v>
      </c>
      <c r="E262" s="64" t="str">
        <f>IFERROR(UPPER(IF(C262="CPU",VLOOKUP(D262,#REF!,2,0),IF(C262="SINAPI",VLOOKUP(D262,#REF!,2,0),IF(C262="EDIF",VLOOKUP(D262,#REF!,2,0),IF(C262="CDHU",VLOOKUP(D262,#REF!,2,0),IF(C262="FDE",VLOOKUP(D262,'FDE 10-23 '!$A$4:$E$3180,2,0),IF(C262="INFRA",VLOOKUP(D262,#REF!,2,0),""))))))),"")</f>
        <v>BR-04 BARRA DE APOIO COM FIXAÇÃO LATERAL</v>
      </c>
      <c r="F262" s="65" t="str">
        <f>VLOOKUP(D262,'FDE 10-23 '!$A$4:$E$3180,3,0)</f>
        <v>UN</v>
      </c>
      <c r="G262" s="66">
        <v>4</v>
      </c>
      <c r="H262" s="67">
        <f>VLOOKUP(D262,'FDE 10-23 '!$A$4:$E$3180,5,0)</f>
        <v>359.52</v>
      </c>
      <c r="I262" s="68">
        <f t="shared" si="42"/>
        <v>0.23</v>
      </c>
      <c r="J262" s="67">
        <f t="shared" si="43"/>
        <v>442.21</v>
      </c>
      <c r="K262" s="71">
        <f t="shared" si="44"/>
        <v>1768.84</v>
      </c>
      <c r="L262" s="51"/>
      <c r="M262" s="52"/>
    </row>
    <row r="263" spans="2:13" s="25" customFormat="1" ht="30" customHeight="1" outlineLevel="1">
      <c r="B263" s="61" t="s">
        <v>559</v>
      </c>
      <c r="C263" s="62" t="s">
        <v>26</v>
      </c>
      <c r="D263" s="63" t="s">
        <v>560</v>
      </c>
      <c r="E263" s="64" t="str">
        <f>IFERROR(UPPER(IF(C263="CPU",VLOOKUP(D263,#REF!,2,0),IF(C263="SINAPI",VLOOKUP(D263,#REF!,2,0),IF(C263="EDIF",VLOOKUP(D263,#REF!,2,0),IF(C263="CDHU",VLOOKUP(D263,#REF!,2,0),IF(C263="FDE",VLOOKUP(D263,'FDE 10-23 '!$A$4:$E$3180,2,0),IF(C263="INFRA",VLOOKUP(D263,#REF!,2,0),""))))))),"")</f>
        <v>BR-05 TROCADOR ACESSÍVEL</v>
      </c>
      <c r="F263" s="65" t="str">
        <f>VLOOKUP(D263,'FDE 10-23 '!$A$4:$E$3180,3,0)</f>
        <v>UN</v>
      </c>
      <c r="G263" s="66">
        <v>3</v>
      </c>
      <c r="H263" s="67">
        <f>VLOOKUP(D263,'FDE 10-23 '!$A$4:$E$3180,5,0)</f>
        <v>3333.92</v>
      </c>
      <c r="I263" s="68">
        <f t="shared" si="42"/>
        <v>0.23</v>
      </c>
      <c r="J263" s="67">
        <f t="shared" si="43"/>
        <v>4100.72</v>
      </c>
      <c r="K263" s="71">
        <f t="shared" si="44"/>
        <v>12302.16</v>
      </c>
      <c r="L263" s="51"/>
      <c r="M263" s="52"/>
    </row>
    <row r="264" spans="2:13" s="25" customFormat="1" ht="30" customHeight="1" outlineLevel="1">
      <c r="B264" s="61" t="s">
        <v>561</v>
      </c>
      <c r="C264" s="62" t="s">
        <v>26</v>
      </c>
      <c r="D264" s="63" t="s">
        <v>562</v>
      </c>
      <c r="E264" s="64" t="str">
        <f>IFERROR(UPPER(IF(C264="CPU",VLOOKUP(D264,#REF!,2,0),IF(C264="SINAPI",VLOOKUP(D264,#REF!,2,0),IF(C264="EDIF",VLOOKUP(D264,#REF!,2,0),IF(C264="CDHU",VLOOKUP(D264,#REF!,2,0),IF(C264="FDE",VLOOKUP(D264,'FDE 10-23 '!$A$4:$E$3180,2,0),IF(C264="INFRA",VLOOKUP(D264,#REF!,2,0),""))))))),"")</f>
        <v>BR-06 CHUVEIRO ACESSIVEL</v>
      </c>
      <c r="F264" s="65" t="str">
        <f>VLOOKUP(D264,'FDE 10-23 '!$A$4:$E$3180,3,0)</f>
        <v>CJ</v>
      </c>
      <c r="G264" s="66">
        <v>1</v>
      </c>
      <c r="H264" s="67">
        <f>VLOOKUP(D264,'FDE 10-23 '!$A$4:$E$3180,5,0)</f>
        <v>2542.37</v>
      </c>
      <c r="I264" s="68">
        <f t="shared" si="42"/>
        <v>0.23</v>
      </c>
      <c r="J264" s="67">
        <f t="shared" si="43"/>
        <v>3127.12</v>
      </c>
      <c r="K264" s="71">
        <f t="shared" si="44"/>
        <v>3127.12</v>
      </c>
      <c r="L264" s="51"/>
      <c r="M264" s="52"/>
    </row>
    <row r="265" spans="2:13" s="25" customFormat="1" ht="30" customHeight="1" outlineLevel="1">
      <c r="B265" s="53" t="s">
        <v>563</v>
      </c>
      <c r="C265" s="54"/>
      <c r="D265" s="54" t="s">
        <v>564</v>
      </c>
      <c r="E265" s="55" t="s">
        <v>565</v>
      </c>
      <c r="F265" s="56" t="str">
        <f>IFERROR(UPPER(IF(C265="CPU",VLOOKUP(D265,#REF!,3,0),IF(C265="SINAPI",VLOOKUP(D265,#REF!,3,0),IF(C265="EDIF",VLOOKUP(D265,#REF!,3,0),IF(C265="CDHU",VLOOKUP(D265,#REF!,3,0),IF(C265="FDE",VLOOKUP(D265,#REF!,3,0),IF(C265="INFRA",VLOOKUP(D265,#REF!,3,0),""))))))),"")</f>
        <v/>
      </c>
      <c r="G265" s="57"/>
      <c r="H26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65" s="59"/>
      <c r="J265" s="59"/>
      <c r="K265" s="82">
        <f>SUBTOTAL(9,K266:K269)</f>
        <v>12412.149999999998</v>
      </c>
      <c r="L265" s="51"/>
      <c r="M265" s="52"/>
    </row>
    <row r="266" spans="2:13" s="25" customFormat="1" ht="30" customHeight="1" outlineLevel="1">
      <c r="B266" s="61" t="s">
        <v>566</v>
      </c>
      <c r="C266" s="62" t="s">
        <v>26</v>
      </c>
      <c r="D266" s="63" t="s">
        <v>567</v>
      </c>
      <c r="E266" s="64" t="str">
        <f>IFERROR(UPPER(IF(C266="CPU",VLOOKUP(D266,#REF!,2,0),IF(C266="SINAPI",VLOOKUP(D266,#REF!,2,0),IF(C266="EDIF",VLOOKUP(D266,#REF!,2,0),IF(C266="CDHU",VLOOKUP(D266,#REF!,2,0),IF(C266="FDE",VLOOKUP(D266,'FDE 10-23 '!$A$4:$E$3180,2,0),IF(C266="INFRA",VLOOKUP(D266,#REF!,2,0),""))))))),"")</f>
        <v>CHUVEIRO ANTIVANDALISMO</v>
      </c>
      <c r="F266" s="65" t="str">
        <f>VLOOKUP(D266,'FDE 10-23 '!$A$4:$E$3180,3,0)</f>
        <v>UN</v>
      </c>
      <c r="G266" s="66">
        <v>6</v>
      </c>
      <c r="H266" s="67">
        <f>VLOOKUP(D266,'FDE 10-23 '!$A$4:$E$3180,5,0)</f>
        <v>1087.44</v>
      </c>
      <c r="I266" s="68">
        <f>$L$10</f>
        <v>0.23</v>
      </c>
      <c r="J266" s="67">
        <f>ROUND(H266*(1+I266),2)</f>
        <v>1337.55</v>
      </c>
      <c r="K266" s="71">
        <f>SUM(G266*J266)</f>
        <v>8025.2999999999993</v>
      </c>
      <c r="L266" s="51"/>
      <c r="M266" s="52"/>
    </row>
    <row r="267" spans="2:13" s="25" customFormat="1" ht="30" customHeight="1" outlineLevel="1">
      <c r="B267" s="61" t="s">
        <v>568</v>
      </c>
      <c r="C267" s="62" t="s">
        <v>26</v>
      </c>
      <c r="D267" s="63" t="s">
        <v>569</v>
      </c>
      <c r="E267" s="64" t="str">
        <f>IFERROR(UPPER(IF(C267="CPU",VLOOKUP(D267,#REF!,2,0),IF(C267="SINAPI",VLOOKUP(D267,#REF!,2,0),IF(C267="EDIF",VLOOKUP(D267,#REF!,2,0),IF(C267="CDHU",VLOOKUP(D267,#REF!,2,0),IF(C267="FDE",VLOOKUP(D267,'FDE 10-23 '!$A$4:$E$3180,2,0),IF(C267="INFRA",VLOOKUP(D267,#REF!,2,0),""))))))),"")</f>
        <v>FT-02 FILTRO PARA AGUA POTAVEL</v>
      </c>
      <c r="F267" s="65" t="str">
        <f>VLOOKUP(D267,'FDE 10-23 '!$A$4:$E$3180,3,0)</f>
        <v>UN</v>
      </c>
      <c r="G267" s="66">
        <v>5</v>
      </c>
      <c r="H267" s="67">
        <f>VLOOKUP(D267,'FDE 10-23 '!$A$4:$E$3180,5,0)</f>
        <v>536.36</v>
      </c>
      <c r="I267" s="68">
        <f>$L$10</f>
        <v>0.23</v>
      </c>
      <c r="J267" s="67">
        <f>ROUND(H267*(1+I267),2)</f>
        <v>659.72</v>
      </c>
      <c r="K267" s="71">
        <f>SUM(G267*J267)</f>
        <v>3298.6000000000004</v>
      </c>
      <c r="L267" s="51"/>
      <c r="M267" s="52"/>
    </row>
    <row r="268" spans="2:13" s="25" customFormat="1" ht="30" customHeight="1" outlineLevel="1">
      <c r="B268" s="61" t="s">
        <v>570</v>
      </c>
      <c r="C268" s="62" t="s">
        <v>26</v>
      </c>
      <c r="D268" s="63" t="s">
        <v>571</v>
      </c>
      <c r="E268" s="64" t="str">
        <f>IFERROR(UPPER(IF(C268="CPU",VLOOKUP(D268,#REF!,2,0),IF(C268="SINAPI",VLOOKUP(D268,#REF!,2,0),IF(C268="EDIF",VLOOKUP(D268,#REF!,2,0),IF(C268="CDHU",VLOOKUP(D268,#REF!,2,0),IF(C268="FDE",VLOOKUP(D268,'FDE 10-23 '!$A$4:$E$3180,2,0),IF(C268="INFRA",VLOOKUP(D268,#REF!,2,0),""))))))),"")</f>
        <v>TORNEIRA DE LAVAGEM COM CANOPLA DE 1/2"</v>
      </c>
      <c r="F268" s="65" t="str">
        <f>VLOOKUP(D268,'FDE 10-23 '!$A$4:$E$3180,3,0)</f>
        <v>UN</v>
      </c>
      <c r="G268" s="66">
        <v>6</v>
      </c>
      <c r="H268" s="67">
        <f>VLOOKUP(D268,'FDE 10-23 '!$A$4:$E$3180,5,0)</f>
        <v>65.78</v>
      </c>
      <c r="I268" s="68">
        <f>$L$10</f>
        <v>0.23</v>
      </c>
      <c r="J268" s="67">
        <f>ROUND(H268*(1+I268),2)</f>
        <v>80.91</v>
      </c>
      <c r="K268" s="71">
        <f>SUM(G268*J268)</f>
        <v>485.46</v>
      </c>
      <c r="L268" s="51"/>
      <c r="M268" s="52"/>
    </row>
    <row r="269" spans="2:13" s="25" customFormat="1" ht="30" customHeight="1" outlineLevel="1">
      <c r="B269" s="61" t="s">
        <v>572</v>
      </c>
      <c r="C269" s="62" t="s">
        <v>26</v>
      </c>
      <c r="D269" s="63" t="s">
        <v>573</v>
      </c>
      <c r="E269" s="64" t="str">
        <f>IFERROR(UPPER(IF(C269="CPU",VLOOKUP(D269,#REF!,2,0),IF(C269="SINAPI",VLOOKUP(D269,#REF!,2,0),IF(C269="EDIF",VLOOKUP(D269,#REF!,2,0),IF(C269="CDHU",VLOOKUP(D269,#REF!,2,0),IF(C269="FDE",VLOOKUP(D269,'FDE 10-23 '!$A$4:$E$3180,2,0),IF(C269="INFRA",VLOOKUP(D269,#REF!,2,0),""))))))),"")</f>
        <v>TJ-03 TORNEIRA DE JARDIM</v>
      </c>
      <c r="F269" s="65" t="str">
        <f>VLOOKUP(D269,'FDE 10-23 '!$A$4:$E$3180,3,0)</f>
        <v>UN</v>
      </c>
      <c r="G269" s="66">
        <v>1</v>
      </c>
      <c r="H269" s="67">
        <f>VLOOKUP(D269,'FDE 10-23 '!$A$4:$E$3180,5,0)</f>
        <v>490.07</v>
      </c>
      <c r="I269" s="68">
        <f>$L$10</f>
        <v>0.23</v>
      </c>
      <c r="J269" s="67">
        <f>ROUND(H269*(1+I269),2)</f>
        <v>602.79</v>
      </c>
      <c r="K269" s="71">
        <f>SUM(G269*J269)</f>
        <v>602.79</v>
      </c>
      <c r="L269" s="51"/>
      <c r="M269" s="52"/>
    </row>
    <row r="270" spans="2:13" s="25" customFormat="1" ht="30" customHeight="1">
      <c r="B270" s="43">
        <v>9</v>
      </c>
      <c r="C270" s="44"/>
      <c r="D270" s="44" t="s">
        <v>574</v>
      </c>
      <c r="E270" s="45" t="s">
        <v>575</v>
      </c>
      <c r="F270" s="46" t="str">
        <f>IFERROR(UPPER(IF(C270="CPU",VLOOKUP(D270,#REF!,3,0),IF(C270="SINAPI",VLOOKUP(D270,#REF!,3,0),IF(C270="EDIF",VLOOKUP(D270,#REF!,3,0),IF(C270="CDHU",VLOOKUP(D270,#REF!,3,0),IF(C270="FDE",VLOOKUP(D270,#REF!,3,0),IF(C270="INFRA",VLOOKUP(D270,#REF!,3,0),""))))))),"")</f>
        <v/>
      </c>
      <c r="G270" s="47"/>
      <c r="H270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70" s="49"/>
      <c r="J270" s="49"/>
      <c r="K270" s="81">
        <f>SUBTOTAL(9,K271:K377)</f>
        <v>557336.12620000017</v>
      </c>
      <c r="L270" s="51"/>
      <c r="M270" s="52"/>
    </row>
    <row r="271" spans="2:13" s="25" customFormat="1" ht="30" customHeight="1" outlineLevel="1">
      <c r="B271" s="53" t="s">
        <v>576</v>
      </c>
      <c r="C271" s="54"/>
      <c r="D271" s="54" t="s">
        <v>577</v>
      </c>
      <c r="E271" s="55" t="s">
        <v>578</v>
      </c>
      <c r="F271" s="56" t="str">
        <f>IFERROR(UPPER(IF(C271="CPU",VLOOKUP(D271,#REF!,3,0),IF(C271="SINAPI",VLOOKUP(D271,#REF!,3,0),IF(C271="EDIF",VLOOKUP(D271,#REF!,3,0),IF(C271="CDHU",VLOOKUP(D271,#REF!,3,0),IF(C271="FDE",VLOOKUP(D271,#REF!,3,0),IF(C271="INFRA",VLOOKUP(D271,#REF!,3,0),""))))))),"")</f>
        <v/>
      </c>
      <c r="G271" s="57"/>
      <c r="H271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71" s="59"/>
      <c r="J271" s="59"/>
      <c r="K271" s="82">
        <f>SUBTOTAL(9,K272:K278)</f>
        <v>16134.080000000002</v>
      </c>
      <c r="L271" s="51"/>
      <c r="M271" s="52"/>
    </row>
    <row r="272" spans="2:13" s="25" customFormat="1" ht="30" customHeight="1" outlineLevel="1">
      <c r="B272" s="61" t="s">
        <v>579</v>
      </c>
      <c r="C272" s="62" t="s">
        <v>26</v>
      </c>
      <c r="D272" s="63" t="s">
        <v>580</v>
      </c>
      <c r="E272" s="64" t="str">
        <f>IFERROR(UPPER(IF(C272="CPU",VLOOKUP(D272,#REF!,2,0),IF(C272="SINAPI",VLOOKUP(D272,#REF!,2,0),IF(C272="EDIF",VLOOKUP(D272,#REF!,2,0),IF(C272="CDHU",VLOOKUP(D272,#REF!,2,0),IF(C272="FDE",VLOOKUP(D272,'FDE 10-23 '!$A$4:$E$3180,2,0),IF(C272="INFRA",VLOOKUP(D272,#REF!,2,0),""))))))),"")</f>
        <v>AT-01 ENTRADA AEREA PARA TELEFONE</v>
      </c>
      <c r="F272" s="65" t="str">
        <f>VLOOKUP(D272,'FDE 10-23 '!$A$4:$E$3180,3,0)</f>
        <v>UN</v>
      </c>
      <c r="G272" s="66">
        <v>1</v>
      </c>
      <c r="H272" s="67">
        <f>VLOOKUP(D272,'FDE 10-23 '!$A$4:$E$3180,5,0)</f>
        <v>1666.15</v>
      </c>
      <c r="I272" s="68">
        <f t="shared" ref="I272:I278" si="45">$L$10</f>
        <v>0.23</v>
      </c>
      <c r="J272" s="67">
        <f t="shared" ref="J272:J278" si="46">ROUND(H272*(1+I272),2)</f>
        <v>2049.36</v>
      </c>
      <c r="K272" s="71">
        <f t="shared" ref="K272:K278" si="47">SUM(G272*J272)</f>
        <v>2049.36</v>
      </c>
      <c r="L272" s="51"/>
      <c r="M272" s="52"/>
    </row>
    <row r="273" spans="2:13" s="25" customFormat="1" ht="30" customHeight="1" outlineLevel="1">
      <c r="B273" s="61" t="s">
        <v>581</v>
      </c>
      <c r="C273" s="62" t="s">
        <v>26</v>
      </c>
      <c r="D273" s="63" t="s">
        <v>582</v>
      </c>
      <c r="E273" s="64" t="str">
        <f>IFERROR(UPPER(IF(C273="CPU",VLOOKUP(D273,#REF!,2,0),IF(C273="SINAPI",VLOOKUP(D273,#REF!,2,0),IF(C273="EDIF",VLOOKUP(D273,#REF!,2,0),IF(C273="CDHU",VLOOKUP(D273,#REF!,2,0),IF(C273="FDE",VLOOKUP(D273,'FDE 10-23 '!$A$4:$E$3180,2,0),IF(C273="INFRA",VLOOKUP(D273,#REF!,2,0),""))))))),"")</f>
        <v>DPS - DISPOSITIVO PROTECAO CONTRA SURTOS (ENERGIA)</v>
      </c>
      <c r="F273" s="65" t="str">
        <f>VLOOKUP(D273,'FDE 10-23 '!$A$4:$E$3180,3,0)</f>
        <v>UN</v>
      </c>
      <c r="G273" s="66">
        <v>4</v>
      </c>
      <c r="H273" s="67">
        <f>VLOOKUP(D273,'FDE 10-23 '!$A$4:$E$3180,5,0)</f>
        <v>210.26</v>
      </c>
      <c r="I273" s="68">
        <f t="shared" si="45"/>
        <v>0.23</v>
      </c>
      <c r="J273" s="67">
        <f t="shared" si="46"/>
        <v>258.62</v>
      </c>
      <c r="K273" s="71">
        <f t="shared" si="47"/>
        <v>1034.48</v>
      </c>
      <c r="L273" s="51"/>
      <c r="M273" s="52"/>
    </row>
    <row r="274" spans="2:13" s="25" customFormat="1" ht="30" customHeight="1" outlineLevel="1">
      <c r="B274" s="61" t="s">
        <v>583</v>
      </c>
      <c r="C274" s="62" t="s">
        <v>26</v>
      </c>
      <c r="D274" s="63" t="s">
        <v>584</v>
      </c>
      <c r="E274" s="64" t="str">
        <f>IFERROR(UPPER(IF(C274="CPU",VLOOKUP(D274,#REF!,2,0),IF(C274="SINAPI",VLOOKUP(D274,#REF!,2,0),IF(C274="EDIF",VLOOKUP(D274,#REF!,2,0),IF(C274="CDHU",VLOOKUP(D274,#REF!,2,0),IF(C274="FDE",VLOOKUP(D274,'FDE 10-23 '!$A$4:$E$3180,2,0),IF(C274="INFRA",VLOOKUP(D274,#REF!,2,0),""))))))),"")</f>
        <v>AE-21 ABRIGO E ENTRADA DE ENERGIA (CAIXA M OU H): AES ELETROP/BANDEIRANTE/ELEKTRO/CPFL</v>
      </c>
      <c r="F274" s="65" t="str">
        <f>VLOOKUP(D274,'FDE 10-23 '!$A$4:$E$3180,3,0)</f>
        <v>UN</v>
      </c>
      <c r="G274" s="66">
        <v>1</v>
      </c>
      <c r="H274" s="67">
        <f>VLOOKUP(D274,'FDE 10-23 '!$A$4:$E$3180,5,0)</f>
        <v>5764.32</v>
      </c>
      <c r="I274" s="68">
        <f t="shared" si="45"/>
        <v>0.23</v>
      </c>
      <c r="J274" s="67">
        <f t="shared" si="46"/>
        <v>7090.11</v>
      </c>
      <c r="K274" s="71">
        <f t="shared" si="47"/>
        <v>7090.11</v>
      </c>
      <c r="L274" s="51"/>
      <c r="M274" s="52"/>
    </row>
    <row r="275" spans="2:13" s="25" customFormat="1" ht="30" customHeight="1" outlineLevel="1">
      <c r="B275" s="61" t="s">
        <v>585</v>
      </c>
      <c r="C275" s="62" t="s">
        <v>26</v>
      </c>
      <c r="D275" s="63" t="s">
        <v>586</v>
      </c>
      <c r="E275" s="64" t="str">
        <f>IFERROR(UPPER(IF(C275="CPU",VLOOKUP(D275,#REF!,2,0),IF(C275="SINAPI",VLOOKUP(D275,#REF!,2,0),IF(C275="EDIF",VLOOKUP(D275,#REF!,2,0),IF(C275="CDHU",VLOOKUP(D275,#REF!,2,0),IF(C275="FDE",VLOOKUP(D275,'FDE 10-23 '!$A$4:$E$3180,2,0),IF(C275="INFRA",VLOOKUP(D275,#REF!,2,0),""))))))),"")</f>
        <v>CONJ 4 CABOS P/ ENTRADA ENERGIA SECCAO 95MM2 C/ ELETRODUTOS</v>
      </c>
      <c r="F275" s="65" t="str">
        <f>VLOOKUP(D275,'FDE 10-23 '!$A$4:$E$3180,3,0)</f>
        <v>UN</v>
      </c>
      <c r="G275" s="66">
        <v>1</v>
      </c>
      <c r="H275" s="67">
        <f>VLOOKUP(D275,'FDE 10-23 '!$A$4:$E$3180,5,0)</f>
        <v>3660.7</v>
      </c>
      <c r="I275" s="68">
        <f t="shared" si="45"/>
        <v>0.23</v>
      </c>
      <c r="J275" s="67">
        <f t="shared" si="46"/>
        <v>4502.66</v>
      </c>
      <c r="K275" s="71">
        <f t="shared" si="47"/>
        <v>4502.66</v>
      </c>
      <c r="L275" s="51"/>
      <c r="M275" s="52"/>
    </row>
    <row r="276" spans="2:13" s="25" customFormat="1" ht="30" customHeight="1" outlineLevel="1">
      <c r="B276" s="61" t="s">
        <v>587</v>
      </c>
      <c r="C276" s="62" t="s">
        <v>26</v>
      </c>
      <c r="D276" s="63" t="s">
        <v>588</v>
      </c>
      <c r="E276" s="64" t="str">
        <f>IFERROR(UPPER(IF(C276="CPU",VLOOKUP(D276,#REF!,2,0),IF(C276="SINAPI",VLOOKUP(D276,#REF!,2,0),IF(C276="EDIF",VLOOKUP(D276,#REF!,2,0),IF(C276="CDHU",VLOOKUP(D276,#REF!,2,0),IF(C276="FDE",VLOOKUP(D276,'FDE 10-23 '!$A$4:$E$3180,2,0),IF(C276="INFRA",VLOOKUP(D276,#REF!,2,0),""))))))),"")</f>
        <v>DISJUNTOR TRIPOLAR TERMOMAGNETICO 3X10A A 3X50A</v>
      </c>
      <c r="F276" s="65" t="str">
        <f>VLOOKUP(D276,'FDE 10-23 '!$A$4:$E$3180,3,0)</f>
        <v>UN</v>
      </c>
      <c r="G276" s="66">
        <v>1</v>
      </c>
      <c r="H276" s="67">
        <f>VLOOKUP(D276,'FDE 10-23 '!$A$4:$E$3180,5,0)</f>
        <v>101.58</v>
      </c>
      <c r="I276" s="68">
        <f t="shared" si="45"/>
        <v>0.23</v>
      </c>
      <c r="J276" s="67">
        <f t="shared" si="46"/>
        <v>124.94</v>
      </c>
      <c r="K276" s="71">
        <f t="shared" si="47"/>
        <v>124.94</v>
      </c>
      <c r="L276" s="51"/>
      <c r="M276" s="52"/>
    </row>
    <row r="277" spans="2:13" s="25" customFormat="1" ht="30" customHeight="1" outlineLevel="1">
      <c r="B277" s="61" t="s">
        <v>589</v>
      </c>
      <c r="C277" s="62" t="s">
        <v>26</v>
      </c>
      <c r="D277" s="63" t="s">
        <v>590</v>
      </c>
      <c r="E277" s="64" t="str">
        <f>IFERROR(UPPER(IF(C277="CPU",VLOOKUP(D277,#REF!,2,0),IF(C277="SINAPI",VLOOKUP(D277,#REF!,2,0),IF(C277="EDIF",VLOOKUP(D277,#REF!,2,0),IF(C277="CDHU",VLOOKUP(D277,#REF!,2,0),IF(C277="FDE",VLOOKUP(D277,'FDE 10-23 '!$A$4:$E$3180,2,0),IF(C277="INFRA",VLOOKUP(D277,#REF!,2,0),""))))))),"")</f>
        <v>DISJUNTOR TRIPOLAR TERMOMAGNETICO 3X125A A 3X225A</v>
      </c>
      <c r="F277" s="65" t="str">
        <f>VLOOKUP(D277,'FDE 10-23 '!$A$4:$E$3180,3,0)</f>
        <v>UN</v>
      </c>
      <c r="G277" s="66">
        <v>1</v>
      </c>
      <c r="H277" s="67">
        <f>VLOOKUP(D277,'FDE 10-23 '!$A$4:$E$3180,5,0)</f>
        <v>462.87</v>
      </c>
      <c r="I277" s="68">
        <f t="shared" si="45"/>
        <v>0.23</v>
      </c>
      <c r="J277" s="67">
        <f t="shared" si="46"/>
        <v>569.33000000000004</v>
      </c>
      <c r="K277" s="71">
        <f t="shared" si="47"/>
        <v>569.33000000000004</v>
      </c>
      <c r="L277" s="51"/>
      <c r="M277" s="52"/>
    </row>
    <row r="278" spans="2:13" s="25" customFormat="1" ht="30" customHeight="1" outlineLevel="1">
      <c r="B278" s="61" t="s">
        <v>591</v>
      </c>
      <c r="C278" s="62" t="s">
        <v>26</v>
      </c>
      <c r="D278" s="63" t="s">
        <v>592</v>
      </c>
      <c r="E278" s="64" t="str">
        <f>IFERROR(UPPER(IF(C278="CPU",VLOOKUP(D278,#REF!,2,0),IF(C278="SINAPI",VLOOKUP(D278,#REF!,2,0),IF(C278="EDIF",VLOOKUP(D278,#REF!,2,0),IF(C278="CDHU",VLOOKUP(D278,#REF!,2,0),IF(C278="FDE",VLOOKUP(D278,'FDE 10-23 '!$A$4:$E$3180,2,0),IF(C278="INFRA",VLOOKUP(D278,#REF!,2,0),""))))))),"")</f>
        <v>CONJUNTO PARA ENTRADA DE TELEFONE  NA ENTRADA DE ENERGIA</v>
      </c>
      <c r="F278" s="65" t="str">
        <f>VLOOKUP(D278,'FDE 10-23 '!$A$4:$E$3180,3,0)</f>
        <v>UN</v>
      </c>
      <c r="G278" s="66">
        <v>1</v>
      </c>
      <c r="H278" s="67">
        <f>VLOOKUP(D278,'FDE 10-23 '!$A$4:$E$3180,5,0)</f>
        <v>620.49</v>
      </c>
      <c r="I278" s="68">
        <f t="shared" si="45"/>
        <v>0.23</v>
      </c>
      <c r="J278" s="67">
        <f t="shared" si="46"/>
        <v>763.2</v>
      </c>
      <c r="K278" s="71">
        <f t="shared" si="47"/>
        <v>763.2</v>
      </c>
      <c r="L278" s="51"/>
      <c r="M278" s="52"/>
    </row>
    <row r="279" spans="2:13" s="25" customFormat="1" ht="30" customHeight="1" outlineLevel="1">
      <c r="B279" s="53" t="s">
        <v>593</v>
      </c>
      <c r="C279" s="54"/>
      <c r="D279" s="54" t="s">
        <v>594</v>
      </c>
      <c r="E279" s="55" t="s">
        <v>595</v>
      </c>
      <c r="F279" s="56" t="str">
        <f>IFERROR(UPPER(IF(C279="CPU",VLOOKUP(D279,#REF!,3,0),IF(C279="SINAPI",VLOOKUP(D279,#REF!,3,0),IF(C279="EDIF",VLOOKUP(D279,#REF!,3,0),IF(C279="CDHU",VLOOKUP(D279,#REF!,3,0),IF(C279="FDE",VLOOKUP(D279,#REF!,3,0),IF(C279="INFRA",VLOOKUP(D279,#REF!,3,0),""))))))),"")</f>
        <v/>
      </c>
      <c r="G279" s="57"/>
      <c r="H279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79" s="59"/>
      <c r="J279" s="59"/>
      <c r="K279" s="82">
        <f>SUBTOTAL(9,K280:K287)</f>
        <v>32376.339999999993</v>
      </c>
      <c r="L279" s="51"/>
      <c r="M279" s="52"/>
    </row>
    <row r="280" spans="2:13" s="25" customFormat="1" ht="30" customHeight="1" outlineLevel="1">
      <c r="B280" s="61" t="s">
        <v>596</v>
      </c>
      <c r="C280" s="62" t="s">
        <v>26</v>
      </c>
      <c r="D280" s="63" t="s">
        <v>597</v>
      </c>
      <c r="E280" s="64" t="str">
        <f>IFERROR(UPPER(IF(C280="CPU",VLOOKUP(D280,#REF!,2,0),IF(C280="SINAPI",VLOOKUP(D280,#REF!,2,0),IF(C280="EDIF",VLOOKUP(D280,#REF!,2,0),IF(C280="CDHU",VLOOKUP(D280,#REF!,2,0),IF(C280="FDE",VLOOKUP(D280,'FDE 10-23 '!$A$4:$E$3180,2,0),IF(C280="INFRA",VLOOKUP(D280,#REF!,2,0),""))))))),"")</f>
        <v>CABO DE 50 MM2 - 750 V DE ISOLACAO</v>
      </c>
      <c r="F280" s="65" t="str">
        <f>VLOOKUP(D280,'FDE 10-23 '!$A$4:$E$3180,3,0)</f>
        <v>M</v>
      </c>
      <c r="G280" s="66">
        <v>45</v>
      </c>
      <c r="H280" s="67">
        <f>VLOOKUP(D280,'FDE 10-23 '!$A$4:$E$3180,5,0)</f>
        <v>59.96</v>
      </c>
      <c r="I280" s="68">
        <f t="shared" ref="I280:I287" si="48">$L$10</f>
        <v>0.23</v>
      </c>
      <c r="J280" s="67">
        <f t="shared" ref="J280:J287" si="49">ROUND(H280*(1+I280),2)</f>
        <v>73.75</v>
      </c>
      <c r="K280" s="71">
        <f t="shared" ref="K280:K287" si="50">SUM(G280*J280)</f>
        <v>3318.75</v>
      </c>
      <c r="L280" s="51"/>
      <c r="M280" s="52"/>
    </row>
    <row r="281" spans="2:13" s="25" customFormat="1" ht="30" customHeight="1" outlineLevel="1">
      <c r="B281" s="61" t="s">
        <v>598</v>
      </c>
      <c r="C281" s="62" t="s">
        <v>26</v>
      </c>
      <c r="D281" s="63" t="s">
        <v>599</v>
      </c>
      <c r="E281" s="64" t="str">
        <f>IFERROR(UPPER(IF(C281="CPU",VLOOKUP(D281,#REF!,2,0),IF(C281="SINAPI",VLOOKUP(D281,#REF!,2,0),IF(C281="EDIF",VLOOKUP(D281,#REF!,2,0),IF(C281="CDHU",VLOOKUP(D281,#REF!,2,0),IF(C281="FDE",VLOOKUP(D281,'FDE 10-23 '!$A$4:$E$3180,2,0),IF(C281="INFRA",VLOOKUP(D281,#REF!,2,0),""))))))),"")</f>
        <v>CABO DE 95 MM2 - 750 V DE ISOLACAO</v>
      </c>
      <c r="F281" s="65" t="str">
        <f>VLOOKUP(D281,'FDE 10-23 '!$A$4:$E$3180,3,0)</f>
        <v>M</v>
      </c>
      <c r="G281" s="66">
        <v>180</v>
      </c>
      <c r="H281" s="67">
        <f>VLOOKUP(D281,'FDE 10-23 '!$A$4:$E$3180,5,0)</f>
        <v>105.93</v>
      </c>
      <c r="I281" s="68">
        <f t="shared" si="48"/>
        <v>0.23</v>
      </c>
      <c r="J281" s="67">
        <f t="shared" si="49"/>
        <v>130.29</v>
      </c>
      <c r="K281" s="71">
        <f t="shared" si="50"/>
        <v>23452.199999999997</v>
      </c>
      <c r="L281" s="51"/>
      <c r="M281" s="52"/>
    </row>
    <row r="282" spans="2:13" s="25" customFormat="1" ht="30" customHeight="1" outlineLevel="1">
      <c r="B282" s="61" t="s">
        <v>600</v>
      </c>
      <c r="C282" s="62" t="s">
        <v>26</v>
      </c>
      <c r="D282" s="63" t="s">
        <v>601</v>
      </c>
      <c r="E282" s="64" t="str">
        <f>IFERROR(UPPER(IF(C282="CPU",VLOOKUP(D282,#REF!,2,0),IF(C282="SINAPI",VLOOKUP(D282,#REF!,2,0),IF(C282="EDIF",VLOOKUP(D282,#REF!,2,0),IF(C282="CDHU",VLOOKUP(D282,#REF!,2,0),IF(C282="FDE",VLOOKUP(D282,'FDE 10-23 '!$A$4:$E$3180,2,0),IF(C282="INFRA",VLOOKUP(D282,#REF!,2,0),""))))))),"")</f>
        <v>CABO DE 10 MM2 - 750V DE ISOLAÇÃO</v>
      </c>
      <c r="F282" s="65" t="str">
        <f>VLOOKUP(D282,'FDE 10-23 '!$A$4:$E$3180,3,0)</f>
        <v>M</v>
      </c>
      <c r="G282" s="66">
        <v>8</v>
      </c>
      <c r="H282" s="67">
        <f>VLOOKUP(D282,'FDE 10-23 '!$A$4:$E$3180,5,0)</f>
        <v>10.53</v>
      </c>
      <c r="I282" s="68">
        <f t="shared" si="48"/>
        <v>0.23</v>
      </c>
      <c r="J282" s="67">
        <f t="shared" si="49"/>
        <v>12.95</v>
      </c>
      <c r="K282" s="71">
        <f t="shared" si="50"/>
        <v>103.6</v>
      </c>
      <c r="L282" s="51"/>
      <c r="M282" s="52"/>
    </row>
    <row r="283" spans="2:13" s="25" customFormat="1" ht="30" customHeight="1" outlineLevel="1">
      <c r="B283" s="61" t="s">
        <v>602</v>
      </c>
      <c r="C283" s="62" t="s">
        <v>26</v>
      </c>
      <c r="D283" s="63" t="s">
        <v>603</v>
      </c>
      <c r="E283" s="64" t="str">
        <f>IFERROR(UPPER(IF(C283="CPU",VLOOKUP(D283,#REF!,2,0),IF(C283="SINAPI",VLOOKUP(D283,#REF!,2,0),IF(C283="EDIF",VLOOKUP(D283,#REF!,2,0),IF(C283="CDHU",VLOOKUP(D283,#REF!,2,0),IF(C283="FDE",VLOOKUP(D283,'FDE 10-23 '!$A$4:$E$3180,2,0),IF(C283="INFRA",VLOOKUP(D283,#REF!,2,0),""))))))),"")</f>
        <v>ELETRODUTO DE PVC RIGIDO ROSCAVEL DE 25MM - INCL CONEXOES</v>
      </c>
      <c r="F283" s="65" t="str">
        <f>VLOOKUP(D283,'FDE 10-23 '!$A$4:$E$3180,3,0)</f>
        <v>M</v>
      </c>
      <c r="G283" s="66">
        <v>14</v>
      </c>
      <c r="H283" s="67">
        <f>VLOOKUP(D283,'FDE 10-23 '!$A$4:$E$3180,5,0)</f>
        <v>23.74</v>
      </c>
      <c r="I283" s="68">
        <f t="shared" si="48"/>
        <v>0.23</v>
      </c>
      <c r="J283" s="67">
        <f t="shared" si="49"/>
        <v>29.2</v>
      </c>
      <c r="K283" s="71">
        <f t="shared" si="50"/>
        <v>408.8</v>
      </c>
      <c r="L283" s="51"/>
      <c r="M283" s="52"/>
    </row>
    <row r="284" spans="2:13" s="25" customFormat="1" ht="30" customHeight="1" outlineLevel="1">
      <c r="B284" s="61" t="s">
        <v>604</v>
      </c>
      <c r="C284" s="62" t="s">
        <v>26</v>
      </c>
      <c r="D284" s="63" t="s">
        <v>605</v>
      </c>
      <c r="E284" s="64" t="str">
        <f>IFERROR(UPPER(IF(C284="CPU",VLOOKUP(D284,#REF!,2,0),IF(C284="SINAPI",VLOOKUP(D284,#REF!,2,0),IF(C284="EDIF",VLOOKUP(D284,#REF!,2,0),IF(C284="CDHU",VLOOKUP(D284,#REF!,2,0),IF(C284="FDE",VLOOKUP(D284,'FDE 10-23 '!$A$4:$E$3180,2,0),IF(C284="INFRA",VLOOKUP(D284,#REF!,2,0),""))))))),"")</f>
        <v>ELETRODUTO DE PVC RIGIDO ROSCAVEL DE 32MM - INCL CONEXOES</v>
      </c>
      <c r="F284" s="65" t="str">
        <f>VLOOKUP(D284,'FDE 10-23 '!$A$4:$E$3180,3,0)</f>
        <v>M</v>
      </c>
      <c r="G284" s="66">
        <v>5</v>
      </c>
      <c r="H284" s="67">
        <f>VLOOKUP(D284,'FDE 10-23 '!$A$4:$E$3180,5,0)</f>
        <v>30.18</v>
      </c>
      <c r="I284" s="68">
        <f t="shared" si="48"/>
        <v>0.23</v>
      </c>
      <c r="J284" s="67">
        <f t="shared" si="49"/>
        <v>37.119999999999997</v>
      </c>
      <c r="K284" s="71">
        <f t="shared" si="50"/>
        <v>185.6</v>
      </c>
      <c r="L284" s="51"/>
      <c r="M284" s="52"/>
    </row>
    <row r="285" spans="2:13" s="25" customFormat="1" ht="30" customHeight="1" outlineLevel="1">
      <c r="B285" s="61" t="s">
        <v>606</v>
      </c>
      <c r="C285" s="62" t="s">
        <v>26</v>
      </c>
      <c r="D285" s="63" t="s">
        <v>607</v>
      </c>
      <c r="E285" s="64" t="str">
        <f>IFERROR(UPPER(IF(C285="CPU",VLOOKUP(D285,#REF!,2,0),IF(C285="SINAPI",VLOOKUP(D285,#REF!,2,0),IF(C285="EDIF",VLOOKUP(D285,#REF!,2,0),IF(C285="CDHU",VLOOKUP(D285,#REF!,2,0),IF(C285="FDE",VLOOKUP(D285,'FDE 10-23 '!$A$4:$E$3180,2,0),IF(C285="INFRA",VLOOKUP(D285,#REF!,2,0),""))))))),"")</f>
        <v>ELETRODUTO DE PVC RIGIDO ROSCAVEL DE 40MM - INCL CONEXOES</v>
      </c>
      <c r="F285" s="65" t="str">
        <f>VLOOKUP(D285,'FDE 10-23 '!$A$4:$E$3180,3,0)</f>
        <v>M</v>
      </c>
      <c r="G285" s="66">
        <v>2</v>
      </c>
      <c r="H285" s="67">
        <f>VLOOKUP(D285,'FDE 10-23 '!$A$4:$E$3180,5,0)</f>
        <v>38.21</v>
      </c>
      <c r="I285" s="68">
        <f t="shared" si="48"/>
        <v>0.23</v>
      </c>
      <c r="J285" s="67">
        <f t="shared" si="49"/>
        <v>47</v>
      </c>
      <c r="K285" s="71">
        <f t="shared" si="50"/>
        <v>94</v>
      </c>
      <c r="L285" s="51"/>
      <c r="M285" s="52"/>
    </row>
    <row r="286" spans="2:13" s="25" customFormat="1" ht="30" customHeight="1" outlineLevel="1">
      <c r="B286" s="61" t="s">
        <v>608</v>
      </c>
      <c r="C286" s="62" t="s">
        <v>26</v>
      </c>
      <c r="D286" s="63" t="s">
        <v>609</v>
      </c>
      <c r="E286" s="64" t="str">
        <f>IFERROR(UPPER(IF(C286="CPU",VLOOKUP(D286,#REF!,2,0),IF(C286="SINAPI",VLOOKUP(D286,#REF!,2,0),IF(C286="EDIF",VLOOKUP(D286,#REF!,2,0),IF(C286="CDHU",VLOOKUP(D286,#REF!,2,0),IF(C286="FDE",VLOOKUP(D286,'FDE 10-23 '!$A$4:$E$3180,2,0),IF(C286="INFRA",VLOOKUP(D286,#REF!,2,0),""))))))),"")</f>
        <v>ELETRODUTO DE PVC RIGIDO ROSCAVEL DE 50MM - INCL CONEXOES</v>
      </c>
      <c r="F286" s="65" t="str">
        <f>VLOOKUP(D286,'FDE 10-23 '!$A$4:$E$3180,3,0)</f>
        <v>M</v>
      </c>
      <c r="G286" s="66">
        <v>8</v>
      </c>
      <c r="H286" s="67">
        <f>VLOOKUP(D286,'FDE 10-23 '!$A$4:$E$3180,5,0)</f>
        <v>41.04</v>
      </c>
      <c r="I286" s="68">
        <f t="shared" si="48"/>
        <v>0.23</v>
      </c>
      <c r="J286" s="67">
        <f t="shared" si="49"/>
        <v>50.48</v>
      </c>
      <c r="K286" s="71">
        <f t="shared" si="50"/>
        <v>403.84</v>
      </c>
      <c r="L286" s="51"/>
      <c r="M286" s="52"/>
    </row>
    <row r="287" spans="2:13" s="25" customFormat="1" ht="30" customHeight="1" outlineLevel="1">
      <c r="B287" s="61" t="s">
        <v>610</v>
      </c>
      <c r="C287" s="62" t="s">
        <v>26</v>
      </c>
      <c r="D287" s="63" t="s">
        <v>611</v>
      </c>
      <c r="E287" s="64" t="str">
        <f>IFERROR(UPPER(IF(C287="CPU",VLOOKUP(D287,#REF!,2,0),IF(C287="SINAPI",VLOOKUP(D287,#REF!,2,0),IF(C287="EDIF",VLOOKUP(D287,#REF!,2,0),IF(C287="CDHU",VLOOKUP(D287,#REF!,2,0),IF(C287="FDE",VLOOKUP(D287,'FDE 10-23 '!$A$4:$E$3180,2,0),IF(C287="INFRA",VLOOKUP(D287,#REF!,2,0),""))))))),"")</f>
        <v>ELETRODUTO DE PVC RIGIDO ROSCAVEL DE 85MM - INCL CONEXOES</v>
      </c>
      <c r="F287" s="65" t="str">
        <f>VLOOKUP(D287,'FDE 10-23 '!$A$4:$E$3180,3,0)</f>
        <v>M</v>
      </c>
      <c r="G287" s="66">
        <v>45</v>
      </c>
      <c r="H287" s="67">
        <f>VLOOKUP(D287,'FDE 10-23 '!$A$4:$E$3180,5,0)</f>
        <v>79.67</v>
      </c>
      <c r="I287" s="68">
        <f t="shared" si="48"/>
        <v>0.23</v>
      </c>
      <c r="J287" s="67">
        <f t="shared" si="49"/>
        <v>97.99</v>
      </c>
      <c r="K287" s="71">
        <f t="shared" si="50"/>
        <v>4409.55</v>
      </c>
      <c r="L287" s="51"/>
      <c r="M287" s="52"/>
    </row>
    <row r="288" spans="2:13" s="25" customFormat="1" ht="30" customHeight="1" outlineLevel="1">
      <c r="B288" s="53" t="s">
        <v>612</v>
      </c>
      <c r="C288" s="54"/>
      <c r="D288" s="54" t="s">
        <v>613</v>
      </c>
      <c r="E288" s="55" t="s">
        <v>614</v>
      </c>
      <c r="F288" s="56" t="str">
        <f>IFERROR(UPPER(IF(C288="CPU",VLOOKUP(D288,#REF!,3,0),IF(C288="SINAPI",VLOOKUP(D288,#REF!,3,0),IF(C288="EDIF",VLOOKUP(D288,#REF!,3,0),IF(C288="CDHU",VLOOKUP(D288,#REF!,3,0),IF(C288="FDE",VLOOKUP(D288,#REF!,3,0),IF(C288="INFRA",VLOOKUP(D288,#REF!,3,0),""))))))),"")</f>
        <v/>
      </c>
      <c r="G288" s="57"/>
      <c r="H288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88" s="59"/>
      <c r="J288" s="59"/>
      <c r="K288" s="82">
        <f>SUBTOTAL(9,K289:K296)</f>
        <v>7925.3262000000004</v>
      </c>
      <c r="L288" s="51"/>
      <c r="M288" s="52"/>
    </row>
    <row r="289" spans="2:13" s="25" customFormat="1" ht="30" customHeight="1" outlineLevel="1">
      <c r="B289" s="61" t="s">
        <v>615</v>
      </c>
      <c r="C289" s="62" t="s">
        <v>26</v>
      </c>
      <c r="D289" s="63" t="s">
        <v>616</v>
      </c>
      <c r="E289" s="64" t="str">
        <f>IFERROR(UPPER(IF(C289="CPU",VLOOKUP(D289,#REF!,2,0),IF(C289="SINAPI",VLOOKUP(D289,#REF!,2,0),IF(C289="EDIF",VLOOKUP(D289,#REF!,2,0),IF(C289="CDHU",VLOOKUP(D289,#REF!,2,0),IF(C289="FDE",VLOOKUP(D289,'FDE 10-23 '!$A$4:$E$3180,2,0),IF(C289="INFRA",VLOOKUP(D289,#REF!,2,0),""))))))),"")</f>
        <v>CAIXA EM CHAPA DE AÇO 16 COM PORTA E FECHO</v>
      </c>
      <c r="F289" s="65" t="str">
        <f>VLOOKUP(D289,'FDE 10-23 '!$A$4:$E$3180,3,0)</f>
        <v>M2</v>
      </c>
      <c r="G289" s="66">
        <v>1.44</v>
      </c>
      <c r="H289" s="67">
        <f>VLOOKUP(D289,'FDE 10-23 '!$A$4:$E$3180,5,0)</f>
        <v>1349.05</v>
      </c>
      <c r="I289" s="68">
        <f t="shared" ref="I289:I296" si="51">$L$10</f>
        <v>0.23</v>
      </c>
      <c r="J289" s="67">
        <f t="shared" ref="J289:J296" si="52">ROUND(H289*(1+I289),2)</f>
        <v>1659.33</v>
      </c>
      <c r="K289" s="71">
        <f t="shared" ref="K289:K296" si="53">SUM(G289*J289)</f>
        <v>2389.4351999999999</v>
      </c>
      <c r="L289" s="51"/>
      <c r="M289" s="52"/>
    </row>
    <row r="290" spans="2:13" s="25" customFormat="1" ht="30" customHeight="1" outlineLevel="1">
      <c r="B290" s="61" t="s">
        <v>617</v>
      </c>
      <c r="C290" s="62" t="s">
        <v>26</v>
      </c>
      <c r="D290" s="63" t="s">
        <v>618</v>
      </c>
      <c r="E290" s="64" t="str">
        <f>IFERROR(UPPER(IF(C290="CPU",VLOOKUP(D290,#REF!,2,0),IF(C290="SINAPI",VLOOKUP(D290,#REF!,2,0),IF(C290="EDIF",VLOOKUP(D290,#REF!,2,0),IF(C290="CDHU",VLOOKUP(D290,#REF!,2,0),IF(C290="FDE",VLOOKUP(D290,'FDE 10-23 '!$A$4:$E$3180,2,0),IF(C290="INFRA",VLOOKUP(D290,#REF!,2,0),""))))))),"")</f>
        <v>QUADRO GERAL - DISJUNTOR TERMOMAGNETICO 3X10A A 3X50A</v>
      </c>
      <c r="F290" s="65" t="str">
        <f>VLOOKUP(D290,'FDE 10-23 '!$A$4:$E$3180,3,0)</f>
        <v>UN</v>
      </c>
      <c r="G290" s="66">
        <v>25</v>
      </c>
      <c r="H290" s="67">
        <f>VLOOKUP(D290,'FDE 10-23 '!$A$4:$E$3180,5,0)</f>
        <v>101.58</v>
      </c>
      <c r="I290" s="68">
        <f t="shared" si="51"/>
        <v>0.23</v>
      </c>
      <c r="J290" s="67">
        <f t="shared" si="52"/>
        <v>124.94</v>
      </c>
      <c r="K290" s="71">
        <f t="shared" si="53"/>
        <v>3123.5</v>
      </c>
      <c r="L290" s="51"/>
      <c r="M290" s="52"/>
    </row>
    <row r="291" spans="2:13" s="25" customFormat="1" ht="30" customHeight="1" outlineLevel="1">
      <c r="B291" s="61" t="s">
        <v>619</v>
      </c>
      <c r="C291" s="62" t="s">
        <v>26</v>
      </c>
      <c r="D291" s="63" t="s">
        <v>620</v>
      </c>
      <c r="E291" s="64" t="str">
        <f>IFERROR(UPPER(IF(C291="CPU",VLOOKUP(D291,#REF!,2,0),IF(C291="SINAPI",VLOOKUP(D291,#REF!,2,0),IF(C291="EDIF",VLOOKUP(D291,#REF!,2,0),IF(C291="CDHU",VLOOKUP(D291,#REF!,2,0),IF(C291="FDE",VLOOKUP(D291,'FDE 10-23 '!$A$4:$E$3180,2,0),IF(C291="INFRA",VLOOKUP(D291,#REF!,2,0),""))))))),"")</f>
        <v>QUADRO GERAL - DISJUNTOR TERMOMAGNETICO 3X60A A 3X100A</v>
      </c>
      <c r="F291" s="65" t="str">
        <f>VLOOKUP(D291,'FDE 10-23 '!$A$4:$E$3180,3,0)</f>
        <v>UN</v>
      </c>
      <c r="G291" s="66">
        <v>2</v>
      </c>
      <c r="H291" s="67">
        <f>VLOOKUP(D291,'FDE 10-23 '!$A$4:$E$3180,5,0)</f>
        <v>130.57</v>
      </c>
      <c r="I291" s="68">
        <f t="shared" si="51"/>
        <v>0.23</v>
      </c>
      <c r="J291" s="67">
        <f t="shared" si="52"/>
        <v>160.6</v>
      </c>
      <c r="K291" s="71">
        <f t="shared" si="53"/>
        <v>321.2</v>
      </c>
      <c r="L291" s="51"/>
      <c r="M291" s="52"/>
    </row>
    <row r="292" spans="2:13" s="25" customFormat="1" ht="30" customHeight="1" outlineLevel="1">
      <c r="B292" s="61" t="s">
        <v>621</v>
      </c>
      <c r="C292" s="62" t="s">
        <v>26</v>
      </c>
      <c r="D292" s="63" t="s">
        <v>622</v>
      </c>
      <c r="E292" s="64" t="str">
        <f>IFERROR(UPPER(IF(C292="CPU",VLOOKUP(D292,#REF!,2,0),IF(C292="SINAPI",VLOOKUP(D292,#REF!,2,0),IF(C292="EDIF",VLOOKUP(D292,#REF!,2,0),IF(C292="CDHU",VLOOKUP(D292,#REF!,2,0),IF(C292="FDE",VLOOKUP(D292,'FDE 10-23 '!$A$4:$E$3180,2,0),IF(C292="INFRA",VLOOKUP(D292,#REF!,2,0),""))))))),"")</f>
        <v>QUADRO GERAL - DISJUNTOR TERMO MAGNETICO 3X200A</v>
      </c>
      <c r="F292" s="65" t="str">
        <f>VLOOKUP(D292,'FDE 10-23 '!$A$4:$E$3180,3,0)</f>
        <v>UN</v>
      </c>
      <c r="G292" s="66">
        <v>2</v>
      </c>
      <c r="H292" s="67">
        <f>VLOOKUP(D292,'FDE 10-23 '!$A$4:$E$3180,5,0)</f>
        <v>527.98</v>
      </c>
      <c r="I292" s="68">
        <f t="shared" si="51"/>
        <v>0.23</v>
      </c>
      <c r="J292" s="67">
        <f t="shared" si="52"/>
        <v>649.41999999999996</v>
      </c>
      <c r="K292" s="71">
        <f t="shared" si="53"/>
        <v>1298.8399999999999</v>
      </c>
      <c r="L292" s="51"/>
      <c r="M292" s="52"/>
    </row>
    <row r="293" spans="2:13" s="25" customFormat="1" ht="30" customHeight="1" outlineLevel="1">
      <c r="B293" s="61" t="s">
        <v>623</v>
      </c>
      <c r="C293" s="62" t="s">
        <v>26</v>
      </c>
      <c r="D293" s="63" t="s">
        <v>624</v>
      </c>
      <c r="E293" s="64" t="str">
        <f>IFERROR(UPPER(IF(C293="CPU",VLOOKUP(D293,#REF!,2,0),IF(C293="SINAPI",VLOOKUP(D293,#REF!,2,0),IF(C293="EDIF",VLOOKUP(D293,#REF!,2,0),IF(C293="CDHU",VLOOKUP(D293,#REF!,2,0),IF(C293="FDE",VLOOKUP(D293,'FDE 10-23 '!$A$4:$E$3180,2,0),IF(C293="INFRA",VLOOKUP(D293,#REF!,2,0),""))))))),"")</f>
        <v>QUADRO GERAL-BARRAMENTO DE 60 A</v>
      </c>
      <c r="F293" s="65" t="str">
        <f>VLOOKUP(D293,'FDE 10-23 '!$A$4:$E$3180,3,0)</f>
        <v>M</v>
      </c>
      <c r="G293" s="66">
        <v>8</v>
      </c>
      <c r="H293" s="67">
        <f>VLOOKUP(D293,'FDE 10-23 '!$A$4:$E$3180,5,0)</f>
        <v>19.37</v>
      </c>
      <c r="I293" s="68">
        <f t="shared" si="51"/>
        <v>0.23</v>
      </c>
      <c r="J293" s="67">
        <f t="shared" si="52"/>
        <v>23.83</v>
      </c>
      <c r="K293" s="71">
        <f t="shared" si="53"/>
        <v>190.64</v>
      </c>
      <c r="L293" s="51"/>
      <c r="M293" s="52"/>
    </row>
    <row r="294" spans="2:13" s="25" customFormat="1" ht="30" customHeight="1" outlineLevel="1">
      <c r="B294" s="61" t="s">
        <v>625</v>
      </c>
      <c r="C294" s="62" t="s">
        <v>26</v>
      </c>
      <c r="D294" s="63" t="s">
        <v>626</v>
      </c>
      <c r="E294" s="64" t="str">
        <f>IFERROR(UPPER(IF(C294="CPU",VLOOKUP(D294,#REF!,2,0),IF(C294="SINAPI",VLOOKUP(D294,#REF!,2,0),IF(C294="EDIF",VLOOKUP(D294,#REF!,2,0),IF(C294="CDHU",VLOOKUP(D294,#REF!,2,0),IF(C294="FDE",VLOOKUP(D294,'FDE 10-23 '!$A$4:$E$3180,2,0),IF(C294="INFRA",VLOOKUP(D294,#REF!,2,0),""))))))),"")</f>
        <v>QUADRO GERAL-BARRAMENTO DE 100 A</v>
      </c>
      <c r="F294" s="65" t="str">
        <f>VLOOKUP(D294,'FDE 10-23 '!$A$4:$E$3180,3,0)</f>
        <v>M</v>
      </c>
      <c r="G294" s="66">
        <v>5.5</v>
      </c>
      <c r="H294" s="67">
        <f>VLOOKUP(D294,'FDE 10-23 '!$A$4:$E$3180,5,0)</f>
        <v>34.14</v>
      </c>
      <c r="I294" s="68">
        <f t="shared" si="51"/>
        <v>0.23</v>
      </c>
      <c r="J294" s="67">
        <f t="shared" si="52"/>
        <v>41.99</v>
      </c>
      <c r="K294" s="71">
        <f t="shared" si="53"/>
        <v>230.94500000000002</v>
      </c>
      <c r="L294" s="51"/>
      <c r="M294" s="52"/>
    </row>
    <row r="295" spans="2:13" s="25" customFormat="1" ht="30" customHeight="1" outlineLevel="1">
      <c r="B295" s="61" t="s">
        <v>627</v>
      </c>
      <c r="C295" s="62" t="s">
        <v>26</v>
      </c>
      <c r="D295" s="63" t="s">
        <v>628</v>
      </c>
      <c r="E295" s="64" t="str">
        <f>IFERROR(UPPER(IF(C295="CPU",VLOOKUP(D295,#REF!,2,0),IF(C295="SINAPI",VLOOKUP(D295,#REF!,2,0),IF(C295="EDIF",VLOOKUP(D295,#REF!,2,0),IF(C295="CDHU",VLOOKUP(D295,#REF!,2,0),IF(C295="FDE",VLOOKUP(D295,'FDE 10-23 '!$A$4:$E$3180,2,0),IF(C295="INFRA",VLOOKUP(D295,#REF!,2,0),""))))))),"")</f>
        <v>QUADRO GERAL-BARRAMENTO DE 200 A</v>
      </c>
      <c r="F295" s="65" t="str">
        <f>VLOOKUP(D295,'FDE 10-23 '!$A$4:$E$3180,3,0)</f>
        <v>M</v>
      </c>
      <c r="G295" s="66">
        <v>3.6</v>
      </c>
      <c r="H295" s="67">
        <f>VLOOKUP(D295,'FDE 10-23 '!$A$4:$E$3180,5,0)</f>
        <v>65.58</v>
      </c>
      <c r="I295" s="68">
        <f t="shared" si="51"/>
        <v>0.23</v>
      </c>
      <c r="J295" s="67">
        <f t="shared" si="52"/>
        <v>80.66</v>
      </c>
      <c r="K295" s="71">
        <f t="shared" si="53"/>
        <v>290.37599999999998</v>
      </c>
      <c r="L295" s="51"/>
      <c r="M295" s="52"/>
    </row>
    <row r="296" spans="2:13" s="25" customFormat="1" ht="30" customHeight="1" outlineLevel="1">
      <c r="B296" s="61" t="s">
        <v>629</v>
      </c>
      <c r="C296" s="62" t="s">
        <v>26</v>
      </c>
      <c r="D296" s="63" t="s">
        <v>630</v>
      </c>
      <c r="E296" s="64" t="str">
        <f>IFERROR(UPPER(IF(C296="CPU",VLOOKUP(D296,#REF!,2,0),IF(C296="SINAPI",VLOOKUP(D296,#REF!,2,0),IF(C296="EDIF",VLOOKUP(D296,#REF!,2,0),IF(C296="CDHU",VLOOKUP(D296,#REF!,2,0),IF(C296="FDE",VLOOKUP(D296,'FDE 10-23 '!$A$4:$E$3180,2,0),IF(C296="INFRA",VLOOKUP(D296,#REF!,2,0),""))))))),"")</f>
        <v>DISJUNTOR BIPOLAR TERMOMAGNETICO 2X10A A 2X50A</v>
      </c>
      <c r="F296" s="65" t="str">
        <f>VLOOKUP(D296,'FDE 10-23 '!$A$4:$E$3180,3,0)</f>
        <v>UN</v>
      </c>
      <c r="G296" s="66">
        <v>1</v>
      </c>
      <c r="H296" s="67">
        <f>VLOOKUP(D296,'FDE 10-23 '!$A$4:$E$3180,5,0)</f>
        <v>65.36</v>
      </c>
      <c r="I296" s="68">
        <f t="shared" si="51"/>
        <v>0.23</v>
      </c>
      <c r="J296" s="67">
        <f t="shared" si="52"/>
        <v>80.39</v>
      </c>
      <c r="K296" s="71">
        <f t="shared" si="53"/>
        <v>80.39</v>
      </c>
      <c r="L296" s="51"/>
      <c r="M296" s="52"/>
    </row>
    <row r="297" spans="2:13" s="25" customFormat="1" ht="30" customHeight="1" outlineLevel="1">
      <c r="B297" s="53" t="s">
        <v>631</v>
      </c>
      <c r="C297" s="54"/>
      <c r="D297" s="54" t="s">
        <v>632</v>
      </c>
      <c r="E297" s="55" t="s">
        <v>633</v>
      </c>
      <c r="F297" s="56" t="str">
        <f>IFERROR(UPPER(IF(C297="CPU",VLOOKUP(D297,#REF!,3,0),IF(C297="SINAPI",VLOOKUP(D297,#REF!,3,0),IF(C297="EDIF",VLOOKUP(D297,#REF!,3,0),IF(C297="CDHU",VLOOKUP(D297,#REF!,3,0),IF(C297="FDE",VLOOKUP(D297,#REF!,3,0),IF(C297="INFRA",VLOOKUP(D297,#REF!,3,0),""))))))),"")</f>
        <v/>
      </c>
      <c r="G297" s="57"/>
      <c r="H29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97" s="59"/>
      <c r="J297" s="59"/>
      <c r="K297" s="82">
        <f>SUBTOTAL(9,K298:K319)</f>
        <v>126046.26999999999</v>
      </c>
      <c r="L297" s="51"/>
      <c r="M297" s="52"/>
    </row>
    <row r="298" spans="2:13" s="25" customFormat="1" ht="30" customHeight="1" outlineLevel="1">
      <c r="B298" s="61" t="s">
        <v>634</v>
      </c>
      <c r="C298" s="62" t="s">
        <v>26</v>
      </c>
      <c r="D298" s="63" t="s">
        <v>635</v>
      </c>
      <c r="E298" s="64" t="str">
        <f>IFERROR(UPPER(IF(C298="CPU",VLOOKUP(D298,#REF!,2,0),IF(C298="SINAPI",VLOOKUP(D298,#REF!,2,0),IF(C298="EDIF",VLOOKUP(D298,#REF!,2,0),IF(C298="CDHU",VLOOKUP(D298,#REF!,2,0),IF(C298="FDE",VLOOKUP(D298,'FDE 10-23 '!$A$4:$E$3180,2,0),IF(C298="INFRA",VLOOKUP(D298,#REF!,2,0),""))))))),"")</f>
        <v>ELETROD ACO GALV QUENTE (NBR 5624) 20 MM (3/4") - INCL CONEXOES</v>
      </c>
      <c r="F298" s="65" t="str">
        <f>VLOOKUP(D298,'FDE 10-23 '!$A$4:$E$3180,3,0)</f>
        <v>M</v>
      </c>
      <c r="G298" s="66">
        <v>71</v>
      </c>
      <c r="H298" s="67">
        <f>VLOOKUP(D298,'FDE 10-23 '!$A$4:$E$3180,5,0)</f>
        <v>43.07</v>
      </c>
      <c r="I298" s="68">
        <f t="shared" ref="I298:I319" si="54">$L$10</f>
        <v>0.23</v>
      </c>
      <c r="J298" s="67">
        <f t="shared" ref="J298:J319" si="55">ROUND(H298*(1+I298),2)</f>
        <v>52.98</v>
      </c>
      <c r="K298" s="71">
        <f t="shared" ref="K298:K319" si="56">SUM(G298*J298)</f>
        <v>3761.58</v>
      </c>
      <c r="L298" s="51"/>
      <c r="M298" s="52"/>
    </row>
    <row r="299" spans="2:13" s="25" customFormat="1" ht="30" customHeight="1" outlineLevel="1">
      <c r="B299" s="61" t="s">
        <v>636</v>
      </c>
      <c r="C299" s="62" t="s">
        <v>26</v>
      </c>
      <c r="D299" s="63" t="s">
        <v>637</v>
      </c>
      <c r="E299" s="64" t="str">
        <f>IFERROR(UPPER(IF(C299="CPU",VLOOKUP(D299,#REF!,2,0),IF(C299="SINAPI",VLOOKUP(D299,#REF!,2,0),IF(C299="EDIF",VLOOKUP(D299,#REF!,2,0),IF(C299="CDHU",VLOOKUP(D299,#REF!,2,0),IF(C299="FDE",VLOOKUP(D299,'FDE 10-23 '!$A$4:$E$3180,2,0),IF(C299="INFRA",VLOOKUP(D299,#REF!,2,0),""))))))),"")</f>
        <v>ELETROD ACO GALV QUENTE (NBR 5624) 25 MM (1") - INCL CONEXOES</v>
      </c>
      <c r="F299" s="65" t="str">
        <f>VLOOKUP(D299,'FDE 10-23 '!$A$4:$E$3180,3,0)</f>
        <v>M</v>
      </c>
      <c r="G299" s="66">
        <v>290</v>
      </c>
      <c r="H299" s="67">
        <f>VLOOKUP(D299,'FDE 10-23 '!$A$4:$E$3180,5,0)</f>
        <v>52.89</v>
      </c>
      <c r="I299" s="68">
        <f t="shared" si="54"/>
        <v>0.23</v>
      </c>
      <c r="J299" s="67">
        <f t="shared" si="55"/>
        <v>65.05</v>
      </c>
      <c r="K299" s="71">
        <f t="shared" si="56"/>
        <v>18864.5</v>
      </c>
      <c r="L299" s="51"/>
      <c r="M299" s="52"/>
    </row>
    <row r="300" spans="2:13" s="25" customFormat="1" ht="30" customHeight="1" outlineLevel="1">
      <c r="B300" s="61" t="s">
        <v>638</v>
      </c>
      <c r="C300" s="62" t="s">
        <v>26</v>
      </c>
      <c r="D300" s="63" t="s">
        <v>639</v>
      </c>
      <c r="E300" s="64" t="str">
        <f>IFERROR(UPPER(IF(C300="CPU",VLOOKUP(D300,#REF!,2,0),IF(C300="SINAPI",VLOOKUP(D300,#REF!,2,0),IF(C300="EDIF",VLOOKUP(D300,#REF!,2,0),IF(C300="CDHU",VLOOKUP(D300,#REF!,2,0),IF(C300="FDE",VLOOKUP(D300,'FDE 10-23 '!$A$4:$E$3180,2,0),IF(C300="INFRA",VLOOKUP(D300,#REF!,2,0),""))))))),"")</f>
        <v>ELETROD ACO GALV QUENTE (NBR 5624) 32 MM (1 1/4") - INCL CONEXOES</v>
      </c>
      <c r="F300" s="65" t="str">
        <f>VLOOKUP(D300,'FDE 10-23 '!$A$4:$E$3180,3,0)</f>
        <v>M</v>
      </c>
      <c r="G300" s="66">
        <v>118</v>
      </c>
      <c r="H300" s="67">
        <f>VLOOKUP(D300,'FDE 10-23 '!$A$4:$E$3180,5,0)</f>
        <v>72.27</v>
      </c>
      <c r="I300" s="68">
        <f t="shared" si="54"/>
        <v>0.23</v>
      </c>
      <c r="J300" s="67">
        <f t="shared" si="55"/>
        <v>88.89</v>
      </c>
      <c r="K300" s="71">
        <f t="shared" si="56"/>
        <v>10489.02</v>
      </c>
      <c r="L300" s="51"/>
      <c r="M300" s="52"/>
    </row>
    <row r="301" spans="2:13" s="25" customFormat="1" ht="30" customHeight="1" outlineLevel="1">
      <c r="B301" s="61" t="s">
        <v>640</v>
      </c>
      <c r="C301" s="62" t="s">
        <v>26</v>
      </c>
      <c r="D301" s="63" t="s">
        <v>641</v>
      </c>
      <c r="E301" s="64" t="str">
        <f>IFERROR(UPPER(IF(C301="CPU",VLOOKUP(D301,#REF!,2,0),IF(C301="SINAPI",VLOOKUP(D301,#REF!,2,0),IF(C301="EDIF",VLOOKUP(D301,#REF!,2,0),IF(C301="CDHU",VLOOKUP(D301,#REF!,2,0),IF(C301="FDE",VLOOKUP(D301,'FDE 10-23 '!$A$4:$E$3180,2,0),IF(C301="INFRA",VLOOKUP(D301,#REF!,2,0),""))))))),"")</f>
        <v>ELETROD ACO GALV QUENTE (NBR 5624) 40 MM (1 1/2") - INCL CONEXOES</v>
      </c>
      <c r="F301" s="65" t="str">
        <f>VLOOKUP(D301,'FDE 10-23 '!$A$4:$E$3180,3,0)</f>
        <v>M</v>
      </c>
      <c r="G301" s="66">
        <v>75</v>
      </c>
      <c r="H301" s="67">
        <f>VLOOKUP(D301,'FDE 10-23 '!$A$4:$E$3180,5,0)</f>
        <v>84.55</v>
      </c>
      <c r="I301" s="68">
        <f t="shared" si="54"/>
        <v>0.23</v>
      </c>
      <c r="J301" s="67">
        <f t="shared" si="55"/>
        <v>104</v>
      </c>
      <c r="K301" s="71">
        <f t="shared" si="56"/>
        <v>7800</v>
      </c>
      <c r="L301" s="51"/>
      <c r="M301" s="52"/>
    </row>
    <row r="302" spans="2:13" s="25" customFormat="1" ht="30" customHeight="1" outlineLevel="1">
      <c r="B302" s="61" t="s">
        <v>642</v>
      </c>
      <c r="C302" s="62" t="s">
        <v>26</v>
      </c>
      <c r="D302" s="63" t="s">
        <v>643</v>
      </c>
      <c r="E302" s="64" t="str">
        <f>IFERROR(UPPER(IF(C302="CPU",VLOOKUP(D302,#REF!,2,0),IF(C302="SINAPI",VLOOKUP(D302,#REF!,2,0),IF(C302="EDIF",VLOOKUP(D302,#REF!,2,0),IF(C302="CDHU",VLOOKUP(D302,#REF!,2,0),IF(C302="FDE",VLOOKUP(D302,'FDE 10-23 '!$A$4:$E$3180,2,0),IF(C302="INFRA",VLOOKUP(D302,#REF!,2,0),""))))))),"")</f>
        <v>ELETROD ACO GALV QUENTE (NBR 5624) 50 MM (2") - INCL CONEXOES</v>
      </c>
      <c r="F302" s="65" t="str">
        <f>VLOOKUP(D302,'FDE 10-23 '!$A$4:$E$3180,3,0)</f>
        <v>M</v>
      </c>
      <c r="G302" s="66">
        <v>6</v>
      </c>
      <c r="H302" s="67">
        <f>VLOOKUP(D302,'FDE 10-23 '!$A$4:$E$3180,5,0)</f>
        <v>102.06</v>
      </c>
      <c r="I302" s="68">
        <f t="shared" si="54"/>
        <v>0.23</v>
      </c>
      <c r="J302" s="67">
        <f t="shared" si="55"/>
        <v>125.53</v>
      </c>
      <c r="K302" s="71">
        <f t="shared" si="56"/>
        <v>753.18000000000006</v>
      </c>
      <c r="L302" s="51"/>
      <c r="M302" s="52"/>
    </row>
    <row r="303" spans="2:13" s="25" customFormat="1" ht="30" customHeight="1" outlineLevel="1">
      <c r="B303" s="61" t="s">
        <v>644</v>
      </c>
      <c r="C303" s="62" t="s">
        <v>26</v>
      </c>
      <c r="D303" s="63" t="s">
        <v>645</v>
      </c>
      <c r="E303" s="64" t="str">
        <f>IFERROR(UPPER(IF(C303="CPU",VLOOKUP(D303,#REF!,2,0),IF(C303="SINAPI",VLOOKUP(D303,#REF!,2,0),IF(C303="EDIF",VLOOKUP(D303,#REF!,2,0),IF(C303="CDHU",VLOOKUP(D303,#REF!,2,0),IF(C303="FDE",VLOOKUP(D303,'FDE 10-23 '!$A$4:$E$3180,2,0),IF(C303="INFRA",VLOOKUP(D303,#REF!,2,0),""))))))),"")</f>
        <v>ELETRODUTO DE PVC RIGIDO ROSCAVEL DE 25MM - INCL CONEXOES</v>
      </c>
      <c r="F303" s="65" t="str">
        <f>VLOOKUP(D303,'FDE 10-23 '!$A$4:$E$3180,3,0)</f>
        <v>M</v>
      </c>
      <c r="G303" s="66">
        <v>516</v>
      </c>
      <c r="H303" s="67">
        <f>VLOOKUP(D303,'FDE 10-23 '!$A$4:$E$3180,5,0)</f>
        <v>23.74</v>
      </c>
      <c r="I303" s="68">
        <f t="shared" si="54"/>
        <v>0.23</v>
      </c>
      <c r="J303" s="67">
        <f t="shared" si="55"/>
        <v>29.2</v>
      </c>
      <c r="K303" s="71">
        <f t="shared" si="56"/>
        <v>15067.199999999999</v>
      </c>
      <c r="L303" s="51"/>
      <c r="M303" s="52"/>
    </row>
    <row r="304" spans="2:13" s="25" customFormat="1" ht="30" customHeight="1" outlineLevel="1">
      <c r="B304" s="61" t="s">
        <v>646</v>
      </c>
      <c r="C304" s="62" t="s">
        <v>26</v>
      </c>
      <c r="D304" s="63" t="s">
        <v>647</v>
      </c>
      <c r="E304" s="64" t="str">
        <f>IFERROR(UPPER(IF(C304="CPU",VLOOKUP(D304,#REF!,2,0),IF(C304="SINAPI",VLOOKUP(D304,#REF!,2,0),IF(C304="EDIF",VLOOKUP(D304,#REF!,2,0),IF(C304="CDHU",VLOOKUP(D304,#REF!,2,0),IF(C304="FDE",VLOOKUP(D304,'FDE 10-23 '!$A$4:$E$3180,2,0),IF(C304="INFRA",VLOOKUP(D304,#REF!,2,0),""))))))),"")</f>
        <v>ELETRODUTO DE PVC RIGIDO ROSCAVEL DE 32MM - INCL CONEXOES</v>
      </c>
      <c r="F304" s="65" t="str">
        <f>VLOOKUP(D304,'FDE 10-23 '!$A$4:$E$3180,3,0)</f>
        <v>M</v>
      </c>
      <c r="G304" s="66">
        <v>512</v>
      </c>
      <c r="H304" s="67">
        <f>VLOOKUP(D304,'FDE 10-23 '!$A$4:$E$3180,5,0)</f>
        <v>30.18</v>
      </c>
      <c r="I304" s="68">
        <f t="shared" si="54"/>
        <v>0.23</v>
      </c>
      <c r="J304" s="67">
        <f t="shared" si="55"/>
        <v>37.119999999999997</v>
      </c>
      <c r="K304" s="71">
        <f t="shared" si="56"/>
        <v>19005.439999999999</v>
      </c>
      <c r="L304" s="51"/>
      <c r="M304" s="52"/>
    </row>
    <row r="305" spans="2:13" s="25" customFormat="1" ht="30" customHeight="1" outlineLevel="1">
      <c r="B305" s="61" t="s">
        <v>648</v>
      </c>
      <c r="C305" s="62" t="s">
        <v>26</v>
      </c>
      <c r="D305" s="63" t="s">
        <v>649</v>
      </c>
      <c r="E305" s="64" t="str">
        <f>IFERROR(UPPER(IF(C305="CPU",VLOOKUP(D305,#REF!,2,0),IF(C305="SINAPI",VLOOKUP(D305,#REF!,2,0),IF(C305="EDIF",VLOOKUP(D305,#REF!,2,0),IF(C305="CDHU",VLOOKUP(D305,#REF!,2,0),IF(C305="FDE",VLOOKUP(D305,'FDE 10-23 '!$A$4:$E$3180,2,0),IF(C305="INFRA",VLOOKUP(D305,#REF!,2,0),""))))))),"")</f>
        <v>ELETRODUTO DE PVC RIGIDO ROSCAVEL DE 40MM - INCL CONEXOES</v>
      </c>
      <c r="F305" s="65" t="str">
        <f>VLOOKUP(D305,'FDE 10-23 '!$A$4:$E$3180,3,0)</f>
        <v>M</v>
      </c>
      <c r="G305" s="66">
        <v>297</v>
      </c>
      <c r="H305" s="67">
        <f>VLOOKUP(D305,'FDE 10-23 '!$A$4:$E$3180,5,0)</f>
        <v>38.21</v>
      </c>
      <c r="I305" s="68">
        <f t="shared" si="54"/>
        <v>0.23</v>
      </c>
      <c r="J305" s="67">
        <f t="shared" si="55"/>
        <v>47</v>
      </c>
      <c r="K305" s="71">
        <f t="shared" si="56"/>
        <v>13959</v>
      </c>
      <c r="L305" s="51"/>
      <c r="M305" s="52"/>
    </row>
    <row r="306" spans="2:13" s="25" customFormat="1" ht="30" customHeight="1" outlineLevel="1">
      <c r="B306" s="61" t="s">
        <v>650</v>
      </c>
      <c r="C306" s="62" t="s">
        <v>26</v>
      </c>
      <c r="D306" s="63" t="s">
        <v>651</v>
      </c>
      <c r="E306" s="64" t="str">
        <f>IFERROR(UPPER(IF(C306="CPU",VLOOKUP(D306,#REF!,2,0),IF(C306="SINAPI",VLOOKUP(D306,#REF!,2,0),IF(C306="EDIF",VLOOKUP(D306,#REF!,2,0),IF(C306="CDHU",VLOOKUP(D306,#REF!,2,0),IF(C306="FDE",VLOOKUP(D306,'FDE 10-23 '!$A$4:$E$3180,2,0),IF(C306="INFRA",VLOOKUP(D306,#REF!,2,0),""))))))),"")</f>
        <v>ELETRODUTO DE PVC RIGIDO ROSCAVEL DE 50MM - INCL CONEXOES</v>
      </c>
      <c r="F306" s="65" t="str">
        <f>VLOOKUP(D306,'FDE 10-23 '!$A$4:$E$3180,3,0)</f>
        <v>M</v>
      </c>
      <c r="G306" s="66">
        <v>45</v>
      </c>
      <c r="H306" s="67">
        <f>VLOOKUP(D306,'FDE 10-23 '!$A$4:$E$3180,5,0)</f>
        <v>41.04</v>
      </c>
      <c r="I306" s="68">
        <f t="shared" si="54"/>
        <v>0.23</v>
      </c>
      <c r="J306" s="67">
        <f t="shared" si="55"/>
        <v>50.48</v>
      </c>
      <c r="K306" s="71">
        <f t="shared" si="56"/>
        <v>2271.6</v>
      </c>
      <c r="L306" s="51"/>
      <c r="M306" s="52"/>
    </row>
    <row r="307" spans="2:13" s="25" customFormat="1" ht="30" customHeight="1" outlineLevel="1">
      <c r="B307" s="61" t="s">
        <v>652</v>
      </c>
      <c r="C307" s="62" t="s">
        <v>26</v>
      </c>
      <c r="D307" s="63" t="s">
        <v>653</v>
      </c>
      <c r="E307" s="64" t="str">
        <f>IFERROR(UPPER(IF(C307="CPU",VLOOKUP(D307,#REF!,2,0),IF(C307="SINAPI",VLOOKUP(D307,#REF!,2,0),IF(C307="EDIF",VLOOKUP(D307,#REF!,2,0),IF(C307="CDHU",VLOOKUP(D307,#REF!,2,0),IF(C307="FDE",VLOOKUP(D307,'FDE 10-23 '!$A$4:$E$3180,2,0),IF(C307="INFRA",VLOOKUP(D307,#REF!,2,0),""))))))),"")</f>
        <v>ENVELOPE DE CONCRETO PARA DUTOS</v>
      </c>
      <c r="F307" s="65" t="str">
        <f>VLOOKUP(D307,'FDE 10-23 '!$A$4:$E$3180,3,0)</f>
        <v>M</v>
      </c>
      <c r="G307" s="66">
        <v>414</v>
      </c>
      <c r="H307" s="67">
        <f>VLOOKUP(D307,'FDE 10-23 '!$A$4:$E$3180,5,0)</f>
        <v>16.23</v>
      </c>
      <c r="I307" s="68">
        <f t="shared" si="54"/>
        <v>0.23</v>
      </c>
      <c r="J307" s="67">
        <f t="shared" si="55"/>
        <v>19.96</v>
      </c>
      <c r="K307" s="71">
        <f t="shared" si="56"/>
        <v>8263.44</v>
      </c>
      <c r="L307" s="51"/>
      <c r="M307" s="52"/>
    </row>
    <row r="308" spans="2:13" s="25" customFormat="1" ht="30" customHeight="1" outlineLevel="1">
      <c r="B308" s="61" t="s">
        <v>654</v>
      </c>
      <c r="C308" s="62" t="s">
        <v>26</v>
      </c>
      <c r="D308" s="63" t="s">
        <v>655</v>
      </c>
      <c r="E308" s="64" t="str">
        <f>IFERROR(UPPER(IF(C308="CPU",VLOOKUP(D308,#REF!,2,0),IF(C308="SINAPI",VLOOKUP(D308,#REF!,2,0),IF(C308="EDIF",VLOOKUP(D308,#REF!,2,0),IF(C308="CDHU",VLOOKUP(D308,#REF!,2,0),IF(C308="FDE",VLOOKUP(D308,'FDE 10-23 '!$A$4:$E$3180,2,0),IF(C308="INFRA",VLOOKUP(D308,#REF!,2,0),""))))))),"")</f>
        <v>QUADRO DISTRIBUICAO, DISJ. GERAL 30A P/ 4 A 8 DISJS.</v>
      </c>
      <c r="F308" s="65" t="str">
        <f>VLOOKUP(D308,'FDE 10-23 '!$A$4:$E$3180,3,0)</f>
        <v>UN</v>
      </c>
      <c r="G308" s="66">
        <v>3</v>
      </c>
      <c r="H308" s="67">
        <f>VLOOKUP(D308,'FDE 10-23 '!$A$4:$E$3180,5,0)</f>
        <v>340.62</v>
      </c>
      <c r="I308" s="68">
        <f t="shared" si="54"/>
        <v>0.23</v>
      </c>
      <c r="J308" s="67">
        <f t="shared" si="55"/>
        <v>418.96</v>
      </c>
      <c r="K308" s="71">
        <f t="shared" si="56"/>
        <v>1256.8799999999999</v>
      </c>
      <c r="L308" s="51"/>
      <c r="M308" s="52"/>
    </row>
    <row r="309" spans="2:13" s="25" customFormat="1" ht="30" customHeight="1" outlineLevel="1">
      <c r="B309" s="61" t="s">
        <v>656</v>
      </c>
      <c r="C309" s="62" t="s">
        <v>26</v>
      </c>
      <c r="D309" s="63" t="s">
        <v>657</v>
      </c>
      <c r="E309" s="64" t="str">
        <f>IFERROR(UPPER(IF(C309="CPU",VLOOKUP(D309,#REF!,2,0),IF(C309="SINAPI",VLOOKUP(D309,#REF!,2,0),IF(C309="EDIF",VLOOKUP(D309,#REF!,2,0),IF(C309="CDHU",VLOOKUP(D309,#REF!,2,0),IF(C309="FDE",VLOOKUP(D309,'FDE 10-23 '!$A$4:$E$3180,2,0),IF(C309="INFRA",VLOOKUP(D309,#REF!,2,0),""))))))),"")</f>
        <v>QUADRO DISTRIBUICAO, DISJ. GERAL 50A P/ 10 A 12 DISJS.</v>
      </c>
      <c r="F309" s="65" t="str">
        <f>VLOOKUP(D309,'FDE 10-23 '!$A$4:$E$3180,3,0)</f>
        <v>UN</v>
      </c>
      <c r="G309" s="66">
        <v>8</v>
      </c>
      <c r="H309" s="67">
        <f>VLOOKUP(D309,'FDE 10-23 '!$A$4:$E$3180,5,0)</f>
        <v>408.72</v>
      </c>
      <c r="I309" s="68">
        <f t="shared" si="54"/>
        <v>0.23</v>
      </c>
      <c r="J309" s="67">
        <f t="shared" si="55"/>
        <v>502.73</v>
      </c>
      <c r="K309" s="71">
        <f t="shared" si="56"/>
        <v>4021.84</v>
      </c>
      <c r="L309" s="51"/>
      <c r="M309" s="52"/>
    </row>
    <row r="310" spans="2:13" s="25" customFormat="1" ht="30" customHeight="1" outlineLevel="1">
      <c r="B310" s="61" t="s">
        <v>658</v>
      </c>
      <c r="C310" s="62" t="s">
        <v>26</v>
      </c>
      <c r="D310" s="63" t="s">
        <v>659</v>
      </c>
      <c r="E310" s="64" t="str">
        <f>IFERROR(UPPER(IF(C310="CPU",VLOOKUP(D310,#REF!,2,0),IF(C310="SINAPI",VLOOKUP(D310,#REF!,2,0),IF(C310="EDIF",VLOOKUP(D310,#REF!,2,0),IF(C310="CDHU",VLOOKUP(D310,#REF!,2,0),IF(C310="FDE",VLOOKUP(D310,'FDE 10-23 '!$A$4:$E$3180,2,0),IF(C310="INFRA",VLOOKUP(D310,#REF!,2,0),""))))))),"")</f>
        <v>QUADRO DISTRIBUICAO, DISJ. GERAL 60A P/ 14 A 20 DISJS.</v>
      </c>
      <c r="F310" s="65" t="str">
        <f>VLOOKUP(D310,'FDE 10-23 '!$A$4:$E$3180,3,0)</f>
        <v>UN</v>
      </c>
      <c r="G310" s="66">
        <v>3</v>
      </c>
      <c r="H310" s="67">
        <f>VLOOKUP(D310,'FDE 10-23 '!$A$4:$E$3180,5,0)</f>
        <v>579.51</v>
      </c>
      <c r="I310" s="68">
        <f t="shared" si="54"/>
        <v>0.23</v>
      </c>
      <c r="J310" s="67">
        <f t="shared" si="55"/>
        <v>712.8</v>
      </c>
      <c r="K310" s="71">
        <f t="shared" si="56"/>
        <v>2138.3999999999996</v>
      </c>
      <c r="L310" s="51"/>
      <c r="M310" s="52"/>
    </row>
    <row r="311" spans="2:13" s="25" customFormat="1" ht="30" customHeight="1" outlineLevel="1">
      <c r="B311" s="61" t="s">
        <v>660</v>
      </c>
      <c r="C311" s="62" t="s">
        <v>26</v>
      </c>
      <c r="D311" s="63" t="s">
        <v>661</v>
      </c>
      <c r="E311" s="64" t="str">
        <f>IFERROR(UPPER(IF(C311="CPU",VLOOKUP(D311,#REF!,2,0),IF(C311="SINAPI",VLOOKUP(D311,#REF!,2,0),IF(C311="EDIF",VLOOKUP(D311,#REF!,2,0),IF(C311="CDHU",VLOOKUP(D311,#REF!,2,0),IF(C311="FDE",VLOOKUP(D311,'FDE 10-23 '!$A$4:$E$3180,2,0),IF(C311="INFRA",VLOOKUP(D311,#REF!,2,0),""))))))),"")</f>
        <v>INTERRUPTOR TIPO AUTOMÁTICO DE BÓIA</v>
      </c>
      <c r="F311" s="65" t="str">
        <f>VLOOKUP(D311,'FDE 10-23 '!$A$4:$E$3180,3,0)</f>
        <v>UN</v>
      </c>
      <c r="G311" s="66">
        <v>3</v>
      </c>
      <c r="H311" s="67">
        <f>VLOOKUP(D311,'FDE 10-23 '!$A$4:$E$3180,5,0)</f>
        <v>78.28</v>
      </c>
      <c r="I311" s="68">
        <f t="shared" si="54"/>
        <v>0.23</v>
      </c>
      <c r="J311" s="67">
        <f t="shared" si="55"/>
        <v>96.28</v>
      </c>
      <c r="K311" s="71">
        <f t="shared" si="56"/>
        <v>288.84000000000003</v>
      </c>
      <c r="L311" s="51"/>
      <c r="M311" s="52"/>
    </row>
    <row r="312" spans="2:13" s="25" customFormat="1" ht="30" customHeight="1" outlineLevel="1">
      <c r="B312" s="61" t="s">
        <v>662</v>
      </c>
      <c r="C312" s="62" t="s">
        <v>26</v>
      </c>
      <c r="D312" s="63" t="s">
        <v>663</v>
      </c>
      <c r="E312" s="64" t="str">
        <f>IFERROR(UPPER(IF(C312="CPU",VLOOKUP(D312,#REF!,2,0),IF(C312="SINAPI",VLOOKUP(D312,#REF!,2,0),IF(C312="EDIF",VLOOKUP(D312,#REF!,2,0),IF(C312="CDHU",VLOOKUP(D312,#REF!,2,0),IF(C312="FDE",VLOOKUP(D312,'FDE 10-23 '!$A$4:$E$3180,2,0),IF(C312="INFRA",VLOOKUP(D312,#REF!,2,0),""))))))),"")</f>
        <v>DISJUNTOR BIPOLAR TERMOMAGNETICO 2X10A A 2X50A</v>
      </c>
      <c r="F312" s="65" t="str">
        <f>VLOOKUP(D312,'FDE 10-23 '!$A$4:$E$3180,3,0)</f>
        <v>UN</v>
      </c>
      <c r="G312" s="66">
        <v>45</v>
      </c>
      <c r="H312" s="67">
        <f>VLOOKUP(D312,'FDE 10-23 '!$A$4:$E$3180,5,0)</f>
        <v>77.3</v>
      </c>
      <c r="I312" s="68">
        <f t="shared" si="54"/>
        <v>0.23</v>
      </c>
      <c r="J312" s="67">
        <f t="shared" si="55"/>
        <v>95.08</v>
      </c>
      <c r="K312" s="71">
        <f t="shared" si="56"/>
        <v>4278.6000000000004</v>
      </c>
      <c r="L312" s="51"/>
      <c r="M312" s="52"/>
    </row>
    <row r="313" spans="2:13" s="25" customFormat="1" ht="30" customHeight="1" outlineLevel="1">
      <c r="B313" s="61" t="s">
        <v>664</v>
      </c>
      <c r="C313" s="62" t="s">
        <v>26</v>
      </c>
      <c r="D313" s="63" t="s">
        <v>665</v>
      </c>
      <c r="E313" s="64" t="str">
        <f>IFERROR(UPPER(IF(C313="CPU",VLOOKUP(D313,#REF!,2,0),IF(C313="SINAPI",VLOOKUP(D313,#REF!,2,0),IF(C313="EDIF",VLOOKUP(D313,#REF!,2,0),IF(C313="CDHU",VLOOKUP(D313,#REF!,2,0),IF(C313="FDE",VLOOKUP(D313,'FDE 10-23 '!$A$4:$E$3180,2,0),IF(C313="INFRA",VLOOKUP(D313,#REF!,2,0),""))))))),"")</f>
        <v>DISJUNTOR UNIPOLAR TERMOMAGNETICO 1X10A A 1X30A</v>
      </c>
      <c r="F313" s="65" t="str">
        <f>VLOOKUP(D313,'FDE 10-23 '!$A$4:$E$3180,3,0)</f>
        <v>UN</v>
      </c>
      <c r="G313" s="66">
        <v>53</v>
      </c>
      <c r="H313" s="67">
        <f>VLOOKUP(D313,'FDE 10-23 '!$A$4:$E$3180,5,0)</f>
        <v>20.79</v>
      </c>
      <c r="I313" s="68">
        <f t="shared" si="54"/>
        <v>0.23</v>
      </c>
      <c r="J313" s="67">
        <f t="shared" si="55"/>
        <v>25.57</v>
      </c>
      <c r="K313" s="71">
        <f t="shared" si="56"/>
        <v>1355.21</v>
      </c>
      <c r="L313" s="51"/>
      <c r="M313" s="52"/>
    </row>
    <row r="314" spans="2:13" s="25" customFormat="1" ht="30" customHeight="1" outlineLevel="1">
      <c r="B314" s="61" t="s">
        <v>666</v>
      </c>
      <c r="C314" s="62" t="s">
        <v>26</v>
      </c>
      <c r="D314" s="63" t="s">
        <v>667</v>
      </c>
      <c r="E314" s="64" t="str">
        <f>IFERROR(UPPER(IF(C314="CPU",VLOOKUP(D314,#REF!,2,0),IF(C314="SINAPI",VLOOKUP(D314,#REF!,2,0),IF(C314="EDIF",VLOOKUP(D314,#REF!,2,0),IF(C314="CDHU",VLOOKUP(D314,#REF!,2,0),IF(C314="FDE",VLOOKUP(D314,'FDE 10-23 '!$A$4:$E$3180,2,0),IF(C314="INFRA",VLOOKUP(D314,#REF!,2,0),""))))))),"")</f>
        <v>DISJUNTOR TRIPOLAR TERMOMAGNETICO 3X10A A 3X50A</v>
      </c>
      <c r="F314" s="65" t="str">
        <f>VLOOKUP(D314,'FDE 10-23 '!$A$4:$E$3180,3,0)</f>
        <v>UN</v>
      </c>
      <c r="G314" s="66">
        <v>16</v>
      </c>
      <c r="H314" s="67">
        <f>VLOOKUP(D314,'FDE 10-23 '!$A$4:$E$3180,5,0)</f>
        <v>101.58</v>
      </c>
      <c r="I314" s="68">
        <f t="shared" si="54"/>
        <v>0.23</v>
      </c>
      <c r="J314" s="67">
        <f t="shared" si="55"/>
        <v>124.94</v>
      </c>
      <c r="K314" s="71">
        <f t="shared" si="56"/>
        <v>1999.04</v>
      </c>
      <c r="L314" s="51"/>
      <c r="M314" s="52"/>
    </row>
    <row r="315" spans="2:13" s="25" customFormat="1" ht="30" customHeight="1" outlineLevel="1">
      <c r="B315" s="61" t="s">
        <v>668</v>
      </c>
      <c r="C315" s="62" t="s">
        <v>26</v>
      </c>
      <c r="D315" s="63" t="s">
        <v>669</v>
      </c>
      <c r="E315" s="64" t="str">
        <f>IFERROR(UPPER(IF(C315="CPU",VLOOKUP(D315,#REF!,2,0),IF(C315="SINAPI",VLOOKUP(D315,#REF!,2,0),IF(C315="EDIF",VLOOKUP(D315,#REF!,2,0),IF(C315="CDHU",VLOOKUP(D315,#REF!,2,0),IF(C315="FDE",VLOOKUP(D315,'FDE 10-23 '!$A$4:$E$3180,2,0),IF(C315="INFRA",VLOOKUP(D315,#REF!,2,0),""))))))),"")</f>
        <v>QUADRO COMANDO PARA CONJUNTO MOTOR BOMBA TRIFASICO DE 1 1/2 A 2 HP</v>
      </c>
      <c r="F315" s="65" t="str">
        <f>VLOOKUP(D315,'FDE 10-23 '!$A$4:$E$3180,3,0)</f>
        <v>UN</v>
      </c>
      <c r="G315" s="66">
        <v>2</v>
      </c>
      <c r="H315" s="67">
        <f>VLOOKUP(D315,'FDE 10-23 '!$A$4:$E$3180,5,0)</f>
        <v>1606.2</v>
      </c>
      <c r="I315" s="68">
        <f t="shared" si="54"/>
        <v>0.23</v>
      </c>
      <c r="J315" s="67">
        <f t="shared" si="55"/>
        <v>1975.63</v>
      </c>
      <c r="K315" s="71">
        <f t="shared" si="56"/>
        <v>3951.26</v>
      </c>
      <c r="L315" s="51"/>
      <c r="M315" s="52"/>
    </row>
    <row r="316" spans="2:13" s="25" customFormat="1" ht="30" customHeight="1" outlineLevel="1">
      <c r="B316" s="61" t="s">
        <v>670</v>
      </c>
      <c r="C316" s="62" t="s">
        <v>26</v>
      </c>
      <c r="D316" s="63" t="s">
        <v>671</v>
      </c>
      <c r="E316" s="64" t="str">
        <f>IFERROR(UPPER(IF(C316="CPU",VLOOKUP(D316,#REF!,2,0),IF(C316="SINAPI",VLOOKUP(D316,#REF!,2,0),IF(C316="EDIF",VLOOKUP(D316,#REF!,2,0),IF(C316="CDHU",VLOOKUP(D316,#REF!,2,0),IF(C316="FDE",VLOOKUP(D316,'FDE 10-23 '!$A$4:$E$3180,2,0),IF(C316="INFRA",VLOOKUP(D316,#REF!,2,0),""))))))),"")</f>
        <v>QUADRO COMANDO PARA BOMBA DE INCENDIO TRIFASICO DE 5 HP</v>
      </c>
      <c r="F316" s="65" t="str">
        <f>VLOOKUP(D316,'FDE 10-23 '!$A$4:$E$3180,3,0)</f>
        <v>UN</v>
      </c>
      <c r="G316" s="66">
        <v>1</v>
      </c>
      <c r="H316" s="67">
        <f>VLOOKUP(D316,'FDE 10-23 '!$A$4:$E$3180,5,0)</f>
        <v>802.99</v>
      </c>
      <c r="I316" s="68">
        <f t="shared" si="54"/>
        <v>0.23</v>
      </c>
      <c r="J316" s="67">
        <f t="shared" si="55"/>
        <v>987.68</v>
      </c>
      <c r="K316" s="71">
        <f t="shared" si="56"/>
        <v>987.68</v>
      </c>
      <c r="L316" s="51"/>
      <c r="M316" s="52"/>
    </row>
    <row r="317" spans="2:13" s="25" customFormat="1" ht="30" customHeight="1" outlineLevel="1">
      <c r="B317" s="61" t="s">
        <v>672</v>
      </c>
      <c r="C317" s="62" t="s">
        <v>26</v>
      </c>
      <c r="D317" s="63" t="s">
        <v>673</v>
      </c>
      <c r="E317" s="64" t="str">
        <f>IFERROR(UPPER(IF(C317="CPU",VLOOKUP(D317,#REF!,2,0),IF(C317="SINAPI",VLOOKUP(D317,#REF!,2,0),IF(C317="EDIF",VLOOKUP(D317,#REF!,2,0),IF(C317="CDHU",VLOOKUP(D317,#REF!,2,0),IF(C317="FDE",VLOOKUP(D317,'FDE 10-23 '!$A$4:$E$3180,2,0),IF(C317="INFRA",VLOOKUP(D317,#REF!,2,0),""))))))),"")</f>
        <v>INTERRUPTOR AUTOMATICO DIFERENCIAL (DISPOSITIVO DR) 40A/30 MA</v>
      </c>
      <c r="F317" s="65" t="str">
        <f>VLOOKUP(D317,'FDE 10-23 '!$A$4:$E$3180,3,0)</f>
        <v>UN</v>
      </c>
      <c r="G317" s="66">
        <v>3</v>
      </c>
      <c r="H317" s="67">
        <f>VLOOKUP(D317,'FDE 10-23 '!$A$4:$E$3180,5,0)</f>
        <v>478.19</v>
      </c>
      <c r="I317" s="68">
        <f t="shared" si="54"/>
        <v>0.23</v>
      </c>
      <c r="J317" s="67">
        <f t="shared" si="55"/>
        <v>588.16999999999996</v>
      </c>
      <c r="K317" s="71">
        <f t="shared" si="56"/>
        <v>1764.5099999999998</v>
      </c>
      <c r="L317" s="51"/>
      <c r="M317" s="52"/>
    </row>
    <row r="318" spans="2:13" s="25" customFormat="1" ht="30" customHeight="1" outlineLevel="1">
      <c r="B318" s="61" t="s">
        <v>674</v>
      </c>
      <c r="C318" s="62" t="s">
        <v>26</v>
      </c>
      <c r="D318" s="63" t="s">
        <v>675</v>
      </c>
      <c r="E318" s="64" t="str">
        <f>IFERROR(UPPER(IF(C318="CPU",VLOOKUP(D318,#REF!,2,0),IF(C318="SINAPI",VLOOKUP(D318,#REF!,2,0),IF(C318="EDIF",VLOOKUP(D318,#REF!,2,0),IF(C318="CDHU",VLOOKUP(D318,#REF!,2,0),IF(C318="FDE",VLOOKUP(D318,'FDE 10-23 '!$A$4:$E$3180,2,0),IF(C318="INFRA",VLOOKUP(D318,#REF!,2,0),""))))))),"")</f>
        <v>INTERRUPTOR AUTOMATICO DIFERENCIAL (DISPOSITIVO DR) 63A/30 MA</v>
      </c>
      <c r="F318" s="65" t="str">
        <f>VLOOKUP(D318,'FDE 10-23 '!$A$4:$E$3180,3,0)</f>
        <v>UN</v>
      </c>
      <c r="G318" s="66">
        <v>3</v>
      </c>
      <c r="H318" s="67">
        <f>VLOOKUP(D318,'FDE 10-23 '!$A$4:$E$3180,5,0)</f>
        <v>533.94000000000005</v>
      </c>
      <c r="I318" s="68">
        <f t="shared" si="54"/>
        <v>0.23</v>
      </c>
      <c r="J318" s="67">
        <f t="shared" si="55"/>
        <v>656.75</v>
      </c>
      <c r="K318" s="71">
        <f t="shared" si="56"/>
        <v>1970.25</v>
      </c>
      <c r="L318" s="51"/>
      <c r="M318" s="52"/>
    </row>
    <row r="319" spans="2:13" s="25" customFormat="1" ht="30" customHeight="1" outlineLevel="1">
      <c r="B319" s="61" t="s">
        <v>676</v>
      </c>
      <c r="C319" s="62" t="s">
        <v>26</v>
      </c>
      <c r="D319" s="63" t="s">
        <v>677</v>
      </c>
      <c r="E319" s="64" t="str">
        <f>IFERROR(UPPER(IF(C319="CPU",VLOOKUP(D319,#REF!,2,0),IF(C319="SINAPI",VLOOKUP(D319,#REF!,2,0),IF(C319="EDIF",VLOOKUP(D319,#REF!,2,0),IF(C319="CDHU",VLOOKUP(D319,#REF!,2,0),IF(C319="FDE",VLOOKUP(D319,'FDE 10-23 '!$A$4:$E$3180,2,0),IF(C319="INFRA",VLOOKUP(D319,#REF!,2,0),""))))))),"")</f>
        <v>CENTRAL DE SISTEMA DE ALARME ATÉ 12 ENDEREÇOS</v>
      </c>
      <c r="F319" s="65" t="str">
        <f>VLOOKUP(D319,'FDE 10-23 '!$A$4:$E$3180,3,0)</f>
        <v>UN</v>
      </c>
      <c r="G319" s="66">
        <v>2</v>
      </c>
      <c r="H319" s="67">
        <f>VLOOKUP(D319,'FDE 10-23 '!$A$4:$E$3180,5,0)</f>
        <v>731.22</v>
      </c>
      <c r="I319" s="68">
        <f t="shared" si="54"/>
        <v>0.23</v>
      </c>
      <c r="J319" s="67">
        <f t="shared" si="55"/>
        <v>899.4</v>
      </c>
      <c r="K319" s="71">
        <f t="shared" si="56"/>
        <v>1798.8</v>
      </c>
      <c r="L319" s="51"/>
      <c r="M319" s="52"/>
    </row>
    <row r="320" spans="2:13" s="25" customFormat="1" ht="30" customHeight="1" outlineLevel="1">
      <c r="B320" s="53" t="s">
        <v>678</v>
      </c>
      <c r="C320" s="54"/>
      <c r="D320" s="54" t="s">
        <v>679</v>
      </c>
      <c r="E320" s="55" t="s">
        <v>680</v>
      </c>
      <c r="F320" s="56" t="str">
        <f>IFERROR(UPPER(IF(C320="CPU",VLOOKUP(D320,#REF!,3,0),IF(C320="SINAPI",VLOOKUP(D320,#REF!,3,0),IF(C320="EDIF",VLOOKUP(D320,#REF!,3,0),IF(C320="CDHU",VLOOKUP(D320,#REF!,3,0),IF(C320="FDE",VLOOKUP(D320,#REF!,3,0),IF(C320="INFRA",VLOOKUP(D320,#REF!,3,0),""))))))),"")</f>
        <v/>
      </c>
      <c r="G320" s="57"/>
      <c r="H32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20" s="59"/>
      <c r="J320" s="59"/>
      <c r="K320" s="82">
        <f>SUBTOTAL(9,K321:K326)</f>
        <v>10080.870000000001</v>
      </c>
      <c r="L320" s="51"/>
      <c r="M320" s="52"/>
    </row>
    <row r="321" spans="2:13" s="25" customFormat="1" ht="30" customHeight="1" outlineLevel="1">
      <c r="B321" s="61" t="s">
        <v>681</v>
      </c>
      <c r="C321" s="62" t="s">
        <v>26</v>
      </c>
      <c r="D321" s="63" t="s">
        <v>682</v>
      </c>
      <c r="E321" s="64" t="str">
        <f>IFERROR(UPPER(IF(C321="CPU",VLOOKUP(D321,#REF!,2,0),IF(C321="SINAPI",VLOOKUP(D321,#REF!,2,0),IF(C321="EDIF",VLOOKUP(D321,#REF!,2,0),IF(C321="CDHU",VLOOKUP(D321,#REF!,2,0),IF(C321="FDE",VLOOKUP(D321,'FDE 10-23 '!$A$4:$E$3180,2,0),IF(C321="INFRA",VLOOKUP(D321,#REF!,2,0),""))))))),"")</f>
        <v>CAIXA DE PASSAGEM ESTAMPADA COM TAMPA PLASTICA DE 4"X4"</v>
      </c>
      <c r="F321" s="65" t="str">
        <f>VLOOKUP(D321,'FDE 10-23 '!$A$4:$E$3180,3,0)</f>
        <v>UN</v>
      </c>
      <c r="G321" s="66">
        <v>41</v>
      </c>
      <c r="H321" s="67">
        <f>VLOOKUP(D321,'FDE 10-23 '!$A$4:$E$3180,5,0)</f>
        <v>30.71</v>
      </c>
      <c r="I321" s="68">
        <f t="shared" ref="I321:I326" si="57">$L$10</f>
        <v>0.23</v>
      </c>
      <c r="J321" s="67">
        <f t="shared" ref="J321:J326" si="58">ROUND(H321*(1+I321),2)</f>
        <v>37.770000000000003</v>
      </c>
      <c r="K321" s="71">
        <f t="shared" ref="K321:K326" si="59">SUM(G321*J321)</f>
        <v>1548.5700000000002</v>
      </c>
      <c r="L321" s="51"/>
      <c r="M321" s="52"/>
    </row>
    <row r="322" spans="2:13" s="25" customFormat="1" ht="30" customHeight="1" outlineLevel="1">
      <c r="B322" s="61" t="s">
        <v>683</v>
      </c>
      <c r="C322" s="62" t="s">
        <v>26</v>
      </c>
      <c r="D322" s="63" t="s">
        <v>684</v>
      </c>
      <c r="E322" s="64" t="str">
        <f>IFERROR(UPPER(IF(C322="CPU",VLOOKUP(D322,#REF!,2,0),IF(C322="SINAPI",VLOOKUP(D322,#REF!,2,0),IF(C322="EDIF",VLOOKUP(D322,#REF!,2,0),IF(C322="CDHU",VLOOKUP(D322,#REF!,2,0),IF(C322="FDE",VLOOKUP(D322,'FDE 10-23 '!$A$4:$E$3180,2,0),IF(C322="INFRA",VLOOKUP(D322,#REF!,2,0),""))))))),"")</f>
        <v>CAIXA DE PASSAGEM CHAPA TAMPA PARAFUSADA DE 20X20X10 CM</v>
      </c>
      <c r="F322" s="65" t="str">
        <f>VLOOKUP(D322,'FDE 10-23 '!$A$4:$E$3180,3,0)</f>
        <v>UN</v>
      </c>
      <c r="G322" s="66">
        <v>9</v>
      </c>
      <c r="H322" s="67">
        <f>VLOOKUP(D322,'FDE 10-23 '!$A$4:$E$3180,5,0)</f>
        <v>49.7</v>
      </c>
      <c r="I322" s="68">
        <f t="shared" si="57"/>
        <v>0.23</v>
      </c>
      <c r="J322" s="67">
        <f t="shared" si="58"/>
        <v>61.13</v>
      </c>
      <c r="K322" s="71">
        <f t="shared" si="59"/>
        <v>550.17000000000007</v>
      </c>
      <c r="L322" s="51"/>
      <c r="M322" s="52"/>
    </row>
    <row r="323" spans="2:13" s="25" customFormat="1" ht="30" customHeight="1" outlineLevel="1">
      <c r="B323" s="61" t="s">
        <v>685</v>
      </c>
      <c r="C323" s="62" t="s">
        <v>26</v>
      </c>
      <c r="D323" s="63" t="s">
        <v>686</v>
      </c>
      <c r="E323" s="64" t="str">
        <f>IFERROR(UPPER(IF(C323="CPU",VLOOKUP(D323,#REF!,2,0),IF(C323="SINAPI",VLOOKUP(D323,#REF!,2,0),IF(C323="EDIF",VLOOKUP(D323,#REF!,2,0),IF(C323="CDHU",VLOOKUP(D323,#REF!,2,0),IF(C323="FDE",VLOOKUP(D323,'FDE 10-23 '!$A$4:$E$3180,2,0),IF(C323="INFRA",VLOOKUP(D323,#REF!,2,0),""))))))),"")</f>
        <v>CAIXA DE PASSAGEM CHAPA TAMPA PARAFUSADA DE 40X40X15 CM</v>
      </c>
      <c r="F323" s="65" t="str">
        <f>VLOOKUP(D323,'FDE 10-23 '!$A$4:$E$3180,3,0)</f>
        <v>UN</v>
      </c>
      <c r="G323" s="66">
        <v>4</v>
      </c>
      <c r="H323" s="67">
        <f>VLOOKUP(D323,'FDE 10-23 '!$A$4:$E$3180,5,0)</f>
        <v>111.43</v>
      </c>
      <c r="I323" s="68">
        <f t="shared" si="57"/>
        <v>0.23</v>
      </c>
      <c r="J323" s="67">
        <f t="shared" si="58"/>
        <v>137.06</v>
      </c>
      <c r="K323" s="71">
        <f t="shared" si="59"/>
        <v>548.24</v>
      </c>
      <c r="L323" s="51"/>
      <c r="M323" s="52"/>
    </row>
    <row r="324" spans="2:13" s="25" customFormat="1" ht="30" customHeight="1" outlineLevel="1">
      <c r="B324" s="61" t="s">
        <v>687</v>
      </c>
      <c r="C324" s="62" t="s">
        <v>26</v>
      </c>
      <c r="D324" s="63" t="s">
        <v>688</v>
      </c>
      <c r="E324" s="64" t="str">
        <f>IFERROR(UPPER(IF(C324="CPU",VLOOKUP(D324,#REF!,2,0),IF(C324="SINAPI",VLOOKUP(D324,#REF!,2,0),IF(C324="EDIF",VLOOKUP(D324,#REF!,2,0),IF(C324="CDHU",VLOOKUP(D324,#REF!,2,0),IF(C324="FDE",VLOOKUP(D324,'FDE 10-23 '!$A$4:$E$3180,2,0),IF(C324="INFRA",VLOOKUP(D324,#REF!,2,0),""))))))),"")</f>
        <v>CAIXA DE PASSAGEM EM ALVENARIA DE 0,40X0,40X0,40 M</v>
      </c>
      <c r="F324" s="65" t="str">
        <f>VLOOKUP(D324,'FDE 10-23 '!$A$4:$E$3180,3,0)</f>
        <v>UN</v>
      </c>
      <c r="G324" s="66">
        <v>29</v>
      </c>
      <c r="H324" s="67">
        <f>VLOOKUP(D324,'FDE 10-23 '!$A$4:$E$3180,5,0)</f>
        <v>189.05</v>
      </c>
      <c r="I324" s="68">
        <f t="shared" si="57"/>
        <v>0.23</v>
      </c>
      <c r="J324" s="67">
        <f t="shared" si="58"/>
        <v>232.53</v>
      </c>
      <c r="K324" s="71">
        <f t="shared" si="59"/>
        <v>6743.37</v>
      </c>
      <c r="L324" s="51"/>
      <c r="M324" s="52"/>
    </row>
    <row r="325" spans="2:13" s="25" customFormat="1" ht="30" customHeight="1" outlineLevel="1">
      <c r="B325" s="61" t="s">
        <v>689</v>
      </c>
      <c r="C325" s="62" t="s">
        <v>26</v>
      </c>
      <c r="D325" s="63" t="s">
        <v>690</v>
      </c>
      <c r="E325" s="64" t="str">
        <f>IFERROR(UPPER(IF(C325="CPU",VLOOKUP(D325,#REF!,2,0),IF(C325="SINAPI",VLOOKUP(D325,#REF!,2,0),IF(C325="EDIF",VLOOKUP(D325,#REF!,2,0),IF(C325="CDHU",VLOOKUP(D325,#REF!,2,0),IF(C325="FDE",VLOOKUP(D325,'FDE 10-23 '!$A$4:$E$3180,2,0),IF(C325="INFRA",VLOOKUP(D325,#REF!,2,0),""))))))),"")</f>
        <v>CAIXA DE PASSAGEM A PROVA DE UMIDADE EM ALUMINIO 15X15X10CM</v>
      </c>
      <c r="F325" s="65" t="str">
        <f>VLOOKUP(D325,'FDE 10-23 '!$A$4:$E$3180,3,0)</f>
        <v>UN</v>
      </c>
      <c r="G325" s="66">
        <v>2</v>
      </c>
      <c r="H325" s="67">
        <f>VLOOKUP(D325,'FDE 10-23 '!$A$4:$E$3180,5,0)</f>
        <v>93.49</v>
      </c>
      <c r="I325" s="68">
        <f t="shared" si="57"/>
        <v>0.23</v>
      </c>
      <c r="J325" s="67">
        <f t="shared" si="58"/>
        <v>114.99</v>
      </c>
      <c r="K325" s="71">
        <f t="shared" si="59"/>
        <v>229.98</v>
      </c>
      <c r="L325" s="51"/>
      <c r="M325" s="52"/>
    </row>
    <row r="326" spans="2:13" s="25" customFormat="1" ht="30" customHeight="1" outlineLevel="1">
      <c r="B326" s="61" t="s">
        <v>691</v>
      </c>
      <c r="C326" s="62" t="s">
        <v>26</v>
      </c>
      <c r="D326" s="63" t="s">
        <v>692</v>
      </c>
      <c r="E326" s="64" t="str">
        <f>IFERROR(UPPER(IF(C326="CPU",VLOOKUP(D326,#REF!,2,0),IF(C326="SINAPI",VLOOKUP(D326,#REF!,2,0),IF(C326="EDIF",VLOOKUP(D326,#REF!,2,0),IF(C326="CDHU",VLOOKUP(D326,#REF!,2,0),IF(C326="FDE",VLOOKUP(D326,'FDE 10-23 '!$A$4:$E$3180,2,0),IF(C326="INFRA",VLOOKUP(D326,#REF!,2,0),""))))))),"")</f>
        <v>QUADRO EM CHAPA COM PORTA E FECHADURA (TELEBRAS) DE 40X40X12CM</v>
      </c>
      <c r="F326" s="65" t="str">
        <f>VLOOKUP(D326,'FDE 10-23 '!$A$4:$E$3180,3,0)</f>
        <v>UN</v>
      </c>
      <c r="G326" s="66">
        <v>2</v>
      </c>
      <c r="H326" s="67">
        <f>VLOOKUP(D326,'FDE 10-23 '!$A$4:$E$3180,5,0)</f>
        <v>187.21</v>
      </c>
      <c r="I326" s="68">
        <f t="shared" si="57"/>
        <v>0.23</v>
      </c>
      <c r="J326" s="67">
        <f t="shared" si="58"/>
        <v>230.27</v>
      </c>
      <c r="K326" s="71">
        <f t="shared" si="59"/>
        <v>460.54</v>
      </c>
      <c r="L326" s="51"/>
      <c r="M326" s="52"/>
    </row>
    <row r="327" spans="2:13" s="25" customFormat="1" ht="30" customHeight="1" outlineLevel="1">
      <c r="B327" s="53" t="s">
        <v>693</v>
      </c>
      <c r="C327" s="54"/>
      <c r="D327" s="54" t="s">
        <v>694</v>
      </c>
      <c r="E327" s="55" t="s">
        <v>695</v>
      </c>
      <c r="F327" s="56" t="str">
        <f>IFERROR(UPPER(IF(C327="CPU",VLOOKUP(D327,#REF!,3,0),IF(C327="SINAPI",VLOOKUP(D327,#REF!,3,0),IF(C327="EDIF",VLOOKUP(D327,#REF!,3,0),IF(C327="CDHU",VLOOKUP(D327,#REF!,3,0),IF(C327="FDE",VLOOKUP(D327,#REF!,3,0),IF(C327="INFRA",VLOOKUP(D327,#REF!,3,0),""))))))),"")</f>
        <v/>
      </c>
      <c r="G327" s="57"/>
      <c r="H32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27" s="59"/>
      <c r="J327" s="59"/>
      <c r="K327" s="82">
        <f>SUBTOTAL(9,K328:K333)</f>
        <v>53482.5</v>
      </c>
      <c r="L327" s="51"/>
      <c r="M327" s="52"/>
    </row>
    <row r="328" spans="2:13" s="25" customFormat="1" ht="30" customHeight="1" outlineLevel="1">
      <c r="B328" s="61" t="s">
        <v>696</v>
      </c>
      <c r="C328" s="62" t="s">
        <v>26</v>
      </c>
      <c r="D328" s="63" t="s">
        <v>697</v>
      </c>
      <c r="E328" s="64" t="str">
        <f>IFERROR(UPPER(IF(C328="CPU",VLOOKUP(D328,#REF!,2,0),IF(C328="SINAPI",VLOOKUP(D328,#REF!,2,0),IF(C328="EDIF",VLOOKUP(D328,#REF!,2,0),IF(C328="CDHU",VLOOKUP(D328,#REF!,2,0),IF(C328="FDE",VLOOKUP(D328,'FDE 10-23 '!$A$4:$E$3180,2,0),IF(C328="INFRA",VLOOKUP(D328,#REF!,2,0),""))))))),"")</f>
        <v>FIO DE 1,50 MM2 - 750 V DE ISOLACAO</v>
      </c>
      <c r="F328" s="65" t="str">
        <f>VLOOKUP(D328,'FDE 10-23 '!$A$4:$E$3180,3,0)</f>
        <v>M</v>
      </c>
      <c r="G328" s="66">
        <v>453</v>
      </c>
      <c r="H328" s="67">
        <f>VLOOKUP(D328,'FDE 10-23 '!$A$4:$E$3180,5,0)</f>
        <v>2.46</v>
      </c>
      <c r="I328" s="68">
        <f t="shared" ref="I328:I333" si="60">$L$10</f>
        <v>0.23</v>
      </c>
      <c r="J328" s="67">
        <f t="shared" ref="J328:J333" si="61">ROUND(H328*(1+I328),2)</f>
        <v>3.03</v>
      </c>
      <c r="K328" s="71">
        <f t="shared" ref="K328:K333" si="62">SUM(G328*J328)</f>
        <v>1372.59</v>
      </c>
      <c r="L328" s="51"/>
      <c r="M328" s="52"/>
    </row>
    <row r="329" spans="2:13" s="25" customFormat="1" ht="30" customHeight="1" outlineLevel="1">
      <c r="B329" s="61" t="s">
        <v>698</v>
      </c>
      <c r="C329" s="62" t="s">
        <v>26</v>
      </c>
      <c r="D329" s="63" t="s">
        <v>699</v>
      </c>
      <c r="E329" s="64" t="str">
        <f>IFERROR(UPPER(IF(C329="CPU",VLOOKUP(D329,#REF!,2,0),IF(C329="SINAPI",VLOOKUP(D329,#REF!,2,0),IF(C329="EDIF",VLOOKUP(D329,#REF!,2,0),IF(C329="CDHU",VLOOKUP(D329,#REF!,2,0),IF(C329="FDE",VLOOKUP(D329,'FDE 10-23 '!$A$4:$E$3180,2,0),IF(C329="INFRA",VLOOKUP(D329,#REF!,2,0),""))))))),"")</f>
        <v>FIO DE 2,50 MM2 - 750 V DE ISOLACAO</v>
      </c>
      <c r="F329" s="65" t="str">
        <f>VLOOKUP(D329,'FDE 10-23 '!$A$4:$E$3180,3,0)</f>
        <v>M</v>
      </c>
      <c r="G329" s="66">
        <v>183</v>
      </c>
      <c r="H329" s="67">
        <f>VLOOKUP(D329,'FDE 10-23 '!$A$4:$E$3180,5,0)</f>
        <v>3.31</v>
      </c>
      <c r="I329" s="68">
        <f t="shared" si="60"/>
        <v>0.23</v>
      </c>
      <c r="J329" s="67">
        <f t="shared" si="61"/>
        <v>4.07</v>
      </c>
      <c r="K329" s="71">
        <f t="shared" si="62"/>
        <v>744.81000000000006</v>
      </c>
      <c r="L329" s="51"/>
      <c r="M329" s="52"/>
    </row>
    <row r="330" spans="2:13" s="25" customFormat="1" ht="30" customHeight="1" outlineLevel="1">
      <c r="B330" s="61" t="s">
        <v>700</v>
      </c>
      <c r="C330" s="62" t="s">
        <v>26</v>
      </c>
      <c r="D330" s="63" t="s">
        <v>701</v>
      </c>
      <c r="E330" s="64" t="str">
        <f>IFERROR(UPPER(IF(C330="CPU",VLOOKUP(D330,#REF!,2,0),IF(C330="SINAPI",VLOOKUP(D330,#REF!,2,0),IF(C330="EDIF",VLOOKUP(D330,#REF!,2,0),IF(C330="CDHU",VLOOKUP(D330,#REF!,2,0),IF(C330="FDE",VLOOKUP(D330,'FDE 10-23 '!$A$4:$E$3180,2,0),IF(C330="INFRA",VLOOKUP(D330,#REF!,2,0),""))))))),"")</f>
        <v>FIO DE 6 MM2 - 750 V DE ISOLACAO</v>
      </c>
      <c r="F330" s="65" t="str">
        <f>VLOOKUP(D330,'FDE 10-23 '!$A$4:$E$3180,3,0)</f>
        <v>M</v>
      </c>
      <c r="G330" s="66">
        <v>3670</v>
      </c>
      <c r="H330" s="67">
        <f>VLOOKUP(D330,'FDE 10-23 '!$A$4:$E$3180,5,0)</f>
        <v>6.28</v>
      </c>
      <c r="I330" s="68">
        <f t="shared" si="60"/>
        <v>0.23</v>
      </c>
      <c r="J330" s="67">
        <f t="shared" si="61"/>
        <v>7.72</v>
      </c>
      <c r="K330" s="71">
        <f t="shared" si="62"/>
        <v>28332.399999999998</v>
      </c>
      <c r="L330" s="51"/>
      <c r="M330" s="52"/>
    </row>
    <row r="331" spans="2:13" s="25" customFormat="1" ht="30" customHeight="1" outlineLevel="1">
      <c r="B331" s="61" t="s">
        <v>702</v>
      </c>
      <c r="C331" s="62" t="s">
        <v>26</v>
      </c>
      <c r="D331" s="63" t="s">
        <v>703</v>
      </c>
      <c r="E331" s="64" t="str">
        <f>IFERROR(UPPER(IF(C331="CPU",VLOOKUP(D331,#REF!,2,0),IF(C331="SINAPI",VLOOKUP(D331,#REF!,2,0),IF(C331="EDIF",VLOOKUP(D331,#REF!,2,0),IF(C331="CDHU",VLOOKUP(D331,#REF!,2,0),IF(C331="FDE",VLOOKUP(D331,'FDE 10-23 '!$A$4:$E$3180,2,0),IF(C331="INFRA",VLOOKUP(D331,#REF!,2,0),""))))))),"")</f>
        <v>CABO DE 10 MM2 - 750 V DE ISOLACAO</v>
      </c>
      <c r="F331" s="65" t="str">
        <f>VLOOKUP(D331,'FDE 10-23 '!$A$4:$E$3180,3,0)</f>
        <v>M</v>
      </c>
      <c r="G331" s="66">
        <v>1708</v>
      </c>
      <c r="H331" s="67">
        <f>VLOOKUP(D331,'FDE 10-23 '!$A$4:$E$3180,5,0)</f>
        <v>10.53</v>
      </c>
      <c r="I331" s="68">
        <f t="shared" si="60"/>
        <v>0.23</v>
      </c>
      <c r="J331" s="67">
        <f t="shared" si="61"/>
        <v>12.95</v>
      </c>
      <c r="K331" s="71">
        <f t="shared" si="62"/>
        <v>22118.6</v>
      </c>
      <c r="L331" s="51"/>
      <c r="M331" s="52"/>
    </row>
    <row r="332" spans="2:13" s="25" customFormat="1" ht="30" customHeight="1" outlineLevel="1">
      <c r="B332" s="61" t="s">
        <v>704</v>
      </c>
      <c r="C332" s="62" t="s">
        <v>26</v>
      </c>
      <c r="D332" s="63" t="s">
        <v>705</v>
      </c>
      <c r="E332" s="64" t="str">
        <f>IFERROR(UPPER(IF(C332="CPU",VLOOKUP(D332,#REF!,2,0),IF(C332="SINAPI",VLOOKUP(D332,#REF!,2,0),IF(C332="EDIF",VLOOKUP(D332,#REF!,2,0),IF(C332="CDHU",VLOOKUP(D332,#REF!,2,0),IF(C332="FDE",VLOOKUP(D332,'FDE 10-23 '!$A$4:$E$3180,2,0),IF(C332="INFRA",VLOOKUP(D332,#REF!,2,0),""))))))),"")</f>
        <v>CABO DE 16 MM2 - 750 V DE ISOLACAO</v>
      </c>
      <c r="F332" s="65" t="str">
        <f>VLOOKUP(D332,'FDE 10-23 '!$A$4:$E$3180,3,0)</f>
        <v>M</v>
      </c>
      <c r="G332" s="66">
        <v>6</v>
      </c>
      <c r="H332" s="67">
        <f>VLOOKUP(D332,'FDE 10-23 '!$A$4:$E$3180,5,0)</f>
        <v>16.25</v>
      </c>
      <c r="I332" s="68">
        <f t="shared" si="60"/>
        <v>0.23</v>
      </c>
      <c r="J332" s="67">
        <f t="shared" si="61"/>
        <v>19.989999999999998</v>
      </c>
      <c r="K332" s="71">
        <f t="shared" si="62"/>
        <v>119.94</v>
      </c>
      <c r="L332" s="51"/>
      <c r="M332" s="52"/>
    </row>
    <row r="333" spans="2:13" s="25" customFormat="1" ht="30" customHeight="1" outlineLevel="1">
      <c r="B333" s="61" t="s">
        <v>706</v>
      </c>
      <c r="C333" s="62" t="s">
        <v>26</v>
      </c>
      <c r="D333" s="63" t="s">
        <v>707</v>
      </c>
      <c r="E333" s="64" t="str">
        <f>IFERROR(UPPER(IF(C333="CPU",VLOOKUP(D333,#REF!,2,0),IF(C333="SINAPI",VLOOKUP(D333,#REF!,2,0),IF(C333="EDIF",VLOOKUP(D333,#REF!,2,0),IF(C333="CDHU",VLOOKUP(D333,#REF!,2,0),IF(C333="FDE",VLOOKUP(D333,'FDE 10-23 '!$A$4:$E$3180,2,0),IF(C333="INFRA",VLOOKUP(D333,#REF!,2,0),""))))))),"")</f>
        <v>CABO DE 25 MM2 - 750 V DE ISOLACAO</v>
      </c>
      <c r="F333" s="65" t="str">
        <f>VLOOKUP(D333,'FDE 10-23 '!$A$4:$E$3180,3,0)</f>
        <v>M</v>
      </c>
      <c r="G333" s="66">
        <v>24</v>
      </c>
      <c r="H333" s="67">
        <f>VLOOKUP(D333,'FDE 10-23 '!$A$4:$E$3180,5,0)</f>
        <v>26.9</v>
      </c>
      <c r="I333" s="68">
        <f t="shared" si="60"/>
        <v>0.23</v>
      </c>
      <c r="J333" s="67">
        <f t="shared" si="61"/>
        <v>33.090000000000003</v>
      </c>
      <c r="K333" s="71">
        <f t="shared" si="62"/>
        <v>794.16000000000008</v>
      </c>
      <c r="L333" s="51"/>
      <c r="M333" s="52"/>
    </row>
    <row r="334" spans="2:13" s="25" customFormat="1" ht="30" customHeight="1" outlineLevel="1">
      <c r="B334" s="53" t="s">
        <v>708</v>
      </c>
      <c r="C334" s="54"/>
      <c r="D334" s="54" t="s">
        <v>709</v>
      </c>
      <c r="E334" s="55" t="s">
        <v>710</v>
      </c>
      <c r="F334" s="56" t="str">
        <f>IFERROR(UPPER(IF(C334="CPU",VLOOKUP(D334,#REF!,3,0),IF(C334="SINAPI",VLOOKUP(D334,#REF!,3,0),IF(C334="EDIF",VLOOKUP(D334,#REF!,3,0),IF(C334="CDHU",VLOOKUP(D334,#REF!,3,0),IF(C334="FDE",VLOOKUP(D334,#REF!,3,0),IF(C334="INFRA",VLOOKUP(D334,#REF!,3,0),""))))))),"")</f>
        <v/>
      </c>
      <c r="G334" s="57"/>
      <c r="H334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34" s="59"/>
      <c r="J334" s="59"/>
      <c r="K334" s="82">
        <f>SUBTOTAL(9,K335:K346)</f>
        <v>58668.569999999992</v>
      </c>
      <c r="L334" s="51"/>
      <c r="M334" s="52"/>
    </row>
    <row r="335" spans="2:13" s="25" customFormat="1" ht="30" customHeight="1" outlineLevel="1">
      <c r="B335" s="61"/>
      <c r="C335" s="62" t="s">
        <v>26</v>
      </c>
      <c r="D335" s="63" t="s">
        <v>712</v>
      </c>
      <c r="E335" s="64" t="str">
        <f>IFERROR(UPPER(IF(C335="CPU",VLOOKUP(D335,#REF!,2,0),IF(C335="SINAPI",VLOOKUP(D335,#REF!,2,0),IF(C335="EDIF",VLOOKUP(D335,#REF!,2,0),IF(C335="CDHU",VLOOKUP(D335,#REF!,2,0),IF(C335="FDE",VLOOKUP(D335,'FDE 10-23 '!$A$4:$E$3180,2,0),IF(C335="INFRA",VLOOKUP(D335,#REF!,2,0),""))))))),"")</f>
        <v>BOTOEIRA PARA ACIONAMENTO DA BOMBA DE INCENDIO</v>
      </c>
      <c r="F335" s="65" t="str">
        <f>VLOOKUP(D335,'FDE 10-23 '!$A$4:$E$3180,3,0)</f>
        <v>UN</v>
      </c>
      <c r="G335" s="66">
        <v>2</v>
      </c>
      <c r="H335" s="67">
        <f>VLOOKUP(D335,'FDE 10-23 '!$A$4:$E$3180,5,0)</f>
        <v>349.42</v>
      </c>
      <c r="I335" s="68">
        <f t="shared" ref="I335:I346" si="63">$L$10</f>
        <v>0.23</v>
      </c>
      <c r="J335" s="67">
        <f t="shared" ref="J335:J346" si="64">ROUND(H335*(1+I335),2)</f>
        <v>429.79</v>
      </c>
      <c r="K335" s="71">
        <f t="shared" ref="K335:K346" si="65">SUM(G335*J335)</f>
        <v>859.58</v>
      </c>
      <c r="L335" s="51"/>
      <c r="M335" s="52"/>
    </row>
    <row r="336" spans="2:13" s="25" customFormat="1" ht="30" customHeight="1" outlineLevel="1">
      <c r="B336" s="61"/>
      <c r="C336" s="62" t="s">
        <v>26</v>
      </c>
      <c r="D336" s="63" t="s">
        <v>714</v>
      </c>
      <c r="E336" s="64" t="str">
        <f>IFERROR(UPPER(IF(C336="CPU",VLOOKUP(D336,#REF!,2,0),IF(C336="SINAPI",VLOOKUP(D336,#REF!,2,0),IF(C336="EDIF",VLOOKUP(D336,#REF!,2,0),IF(C336="CDHU",VLOOKUP(D336,#REF!,2,0),IF(C336="FDE",VLOOKUP(D336,'FDE 10-23 '!$A$4:$E$3180,2,0),IF(C336="INFRA",VLOOKUP(D336,#REF!,2,0),""))))))),"")</f>
        <v>INTERRUPTOR 1 TECLA BIPOLAR SIMPLES CAIXA 4"X2"- ELETR PVC RIGIDO</v>
      </c>
      <c r="F336" s="65" t="str">
        <f>VLOOKUP(D336,'FDE 10-23 '!$A$4:$E$3180,3,0)</f>
        <v>UN</v>
      </c>
      <c r="G336" s="66">
        <v>12</v>
      </c>
      <c r="H336" s="67">
        <f>VLOOKUP(D336,'FDE 10-23 '!$A$4:$E$3180,5,0)</f>
        <v>145.65</v>
      </c>
      <c r="I336" s="68">
        <f t="shared" si="63"/>
        <v>0.23</v>
      </c>
      <c r="J336" s="67">
        <f t="shared" si="64"/>
        <v>179.15</v>
      </c>
      <c r="K336" s="71">
        <f t="shared" si="65"/>
        <v>2149.8000000000002</v>
      </c>
      <c r="L336" s="51"/>
      <c r="M336" s="52"/>
    </row>
    <row r="337" spans="2:13" s="25" customFormat="1" ht="30" customHeight="1" outlineLevel="1">
      <c r="B337" s="61"/>
      <c r="C337" s="62" t="s">
        <v>26</v>
      </c>
      <c r="D337" s="63" t="s">
        <v>716</v>
      </c>
      <c r="E337" s="64" t="str">
        <f>IFERROR(UPPER(IF(C337="CPU",VLOOKUP(D337,#REF!,2,0),IF(C337="SINAPI",VLOOKUP(D337,#REF!,2,0),IF(C337="EDIF",VLOOKUP(D337,#REF!,2,0),IF(C337="CDHU",VLOOKUP(D337,#REF!,2,0),IF(C337="FDE",VLOOKUP(D337,'FDE 10-23 '!$A$4:$E$3180,2,0),IF(C337="INFRA",VLOOKUP(D337,#REF!,2,0),""))))))),"")</f>
        <v>2 INTERRUPTORES 1 TECLA BIPOLAR SIMPLES CAIXA 4"X4"-ELETR PVC RIGIDO</v>
      </c>
      <c r="F337" s="65" t="str">
        <f>VLOOKUP(D337,'FDE 10-23 '!$A$4:$E$3180,3,0)</f>
        <v>UN</v>
      </c>
      <c r="G337" s="66">
        <v>10</v>
      </c>
      <c r="H337" s="67">
        <f>VLOOKUP(D337,'FDE 10-23 '!$A$4:$E$3180,5,0)</f>
        <v>226.31</v>
      </c>
      <c r="I337" s="68">
        <f t="shared" si="63"/>
        <v>0.23</v>
      </c>
      <c r="J337" s="67">
        <f t="shared" si="64"/>
        <v>278.36</v>
      </c>
      <c r="K337" s="71">
        <f t="shared" si="65"/>
        <v>2783.6000000000004</v>
      </c>
      <c r="L337" s="51"/>
      <c r="M337" s="52"/>
    </row>
    <row r="338" spans="2:13" s="25" customFormat="1" ht="30" customHeight="1" outlineLevel="1">
      <c r="B338" s="61"/>
      <c r="C338" s="62" t="s">
        <v>26</v>
      </c>
      <c r="D338" s="63" t="s">
        <v>718</v>
      </c>
      <c r="E338" s="64" t="str">
        <f>IFERROR(UPPER(IF(C338="CPU",VLOOKUP(D338,#REF!,2,0),IF(C338="SINAPI",VLOOKUP(D338,#REF!,2,0),IF(C338="EDIF",VLOOKUP(D338,#REF!,2,0),IF(C338="CDHU",VLOOKUP(D338,#REF!,2,0),IF(C338="FDE",VLOOKUP(D338,'FDE 10-23 '!$A$4:$E$3180,2,0),IF(C338="INFRA",VLOOKUP(D338,#REF!,2,0),""))))))),"")</f>
        <v>3 INTERRUPTORES DE 1 TECLA BIPOLAR EM CAIXA 4"X4"-ELETRODUTO DE PVC</v>
      </c>
      <c r="F338" s="65" t="str">
        <f>VLOOKUP(D338,'FDE 10-23 '!$A$4:$E$3180,3,0)</f>
        <v>UN</v>
      </c>
      <c r="G338" s="66">
        <v>5</v>
      </c>
      <c r="H338" s="67">
        <f>VLOOKUP(D338,'FDE 10-23 '!$A$4:$E$3180,5,0)</f>
        <v>232.89</v>
      </c>
      <c r="I338" s="68">
        <f t="shared" si="63"/>
        <v>0.23</v>
      </c>
      <c r="J338" s="67">
        <f t="shared" si="64"/>
        <v>286.45</v>
      </c>
      <c r="K338" s="71">
        <f t="shared" si="65"/>
        <v>1432.25</v>
      </c>
      <c r="L338" s="51"/>
      <c r="M338" s="52"/>
    </row>
    <row r="339" spans="2:13" s="25" customFormat="1" ht="30" customHeight="1" outlineLevel="1">
      <c r="B339" s="61"/>
      <c r="C339" s="62" t="s">
        <v>26</v>
      </c>
      <c r="D339" s="63" t="s">
        <v>720</v>
      </c>
      <c r="E339" s="64" t="str">
        <f>IFERROR(UPPER(IF(C339="CPU",VLOOKUP(D339,#REF!,2,0),IF(C339="SINAPI",VLOOKUP(D339,#REF!,2,0),IF(C339="EDIF",VLOOKUP(D339,#REF!,2,0),IF(C339="CDHU",VLOOKUP(D339,#REF!,2,0),IF(C339="FDE",VLOOKUP(D339,'FDE 10-23 '!$A$4:$E$3180,2,0),IF(C339="INFRA",VLOOKUP(D339,#REF!,2,0),""))))))),"")</f>
        <v>INTERRUPTOR 1 TECLA SIMPLES/TOMADA 2P+T PADRÃO NBR 14136 CORRENTE 10A ELETROD.PVC RIGIDO</v>
      </c>
      <c r="F339" s="65" t="str">
        <f>VLOOKUP(D339,'FDE 10-23 '!$A$4:$E$3180,3,0)</f>
        <v>UN</v>
      </c>
      <c r="G339" s="66">
        <v>2</v>
      </c>
      <c r="H339" s="67">
        <f>VLOOKUP(D339,'FDE 10-23 '!$A$4:$E$3180,5,0)</f>
        <v>129.35</v>
      </c>
      <c r="I339" s="68">
        <f t="shared" si="63"/>
        <v>0.23</v>
      </c>
      <c r="J339" s="67">
        <f t="shared" si="64"/>
        <v>159.1</v>
      </c>
      <c r="K339" s="71">
        <f t="shared" si="65"/>
        <v>318.2</v>
      </c>
      <c r="L339" s="51"/>
      <c r="M339" s="52"/>
    </row>
    <row r="340" spans="2:13" s="25" customFormat="1" ht="30" customHeight="1" outlineLevel="1">
      <c r="B340" s="61"/>
      <c r="C340" s="62" t="s">
        <v>26</v>
      </c>
      <c r="D340" s="63" t="s">
        <v>722</v>
      </c>
      <c r="E340" s="64" t="str">
        <f>IFERROR(UPPER(IF(C340="CPU",VLOOKUP(D340,#REF!,2,0),IF(C340="SINAPI",VLOOKUP(D340,#REF!,2,0),IF(C340="EDIF",VLOOKUP(D340,#REF!,2,0),IF(C340="CDHU",VLOOKUP(D340,#REF!,2,0),IF(C340="FDE",VLOOKUP(D340,'FDE 10-23 '!$A$4:$E$3180,2,0),IF(C340="INFRA",VLOOKUP(D340,#REF!,2,0),""))))))),"")</f>
        <v>TOMADA 2P+T PADRAO NBR 14136 CORRENTE 10A-250V-ELETR. PVC RÍGIDO</v>
      </c>
      <c r="F340" s="65" t="str">
        <f>VLOOKUP(D340,'FDE 10-23 '!$A$4:$E$3180,3,0)</f>
        <v>UN</v>
      </c>
      <c r="G340" s="66">
        <v>233</v>
      </c>
      <c r="H340" s="67">
        <f>VLOOKUP(D340,'FDE 10-23 '!$A$4:$E$3180,5,0)</f>
        <v>126.05</v>
      </c>
      <c r="I340" s="68">
        <f t="shared" si="63"/>
        <v>0.23</v>
      </c>
      <c r="J340" s="67">
        <f t="shared" si="64"/>
        <v>155.04</v>
      </c>
      <c r="K340" s="71">
        <f t="shared" si="65"/>
        <v>36124.32</v>
      </c>
      <c r="L340" s="51"/>
      <c r="M340" s="52"/>
    </row>
    <row r="341" spans="2:13" s="25" customFormat="1" ht="30" customHeight="1" outlineLevel="1">
      <c r="B341" s="61"/>
      <c r="C341" s="62" t="s">
        <v>26</v>
      </c>
      <c r="D341" s="63" t="s">
        <v>724</v>
      </c>
      <c r="E341" s="64" t="str">
        <f>IFERROR(UPPER(IF(C341="CPU",VLOOKUP(D341,#REF!,2,0),IF(C341="SINAPI",VLOOKUP(D341,#REF!,2,0),IF(C341="EDIF",VLOOKUP(D341,#REF!,2,0),IF(C341="CDHU",VLOOKUP(D341,#REF!,2,0),IF(C341="FDE",VLOOKUP(D341,'FDE 10-23 '!$A$4:$E$3180,2,0),IF(C341="INFRA",VLOOKUP(D341,#REF!,2,0),""))))))),"")</f>
        <v>PONTO SECO PARA TELEFONE-ELETRODUTO DE PVC</v>
      </c>
      <c r="F341" s="65" t="str">
        <f>VLOOKUP(D341,'FDE 10-23 '!$A$4:$E$3180,3,0)</f>
        <v>UN</v>
      </c>
      <c r="G341" s="66">
        <v>6</v>
      </c>
      <c r="H341" s="67">
        <f>VLOOKUP(D341,'FDE 10-23 '!$A$4:$E$3180,5,0)</f>
        <v>103.06</v>
      </c>
      <c r="I341" s="68">
        <f t="shared" si="63"/>
        <v>0.23</v>
      </c>
      <c r="J341" s="67">
        <f t="shared" si="64"/>
        <v>126.76</v>
      </c>
      <c r="K341" s="71">
        <f t="shared" si="65"/>
        <v>760.56000000000006</v>
      </c>
      <c r="L341" s="51"/>
      <c r="M341" s="52"/>
    </row>
    <row r="342" spans="2:13" s="25" customFormat="1" ht="30" customHeight="1" outlineLevel="1">
      <c r="B342" s="61"/>
      <c r="C342" s="62" t="s">
        <v>26</v>
      </c>
      <c r="D342" s="63" t="s">
        <v>726</v>
      </c>
      <c r="E342" s="64" t="str">
        <f>IFERROR(UPPER(IF(C342="CPU",VLOOKUP(D342,#REF!,2,0),IF(C342="SINAPI",VLOOKUP(D342,#REF!,2,0),IF(C342="EDIF",VLOOKUP(D342,#REF!,2,0),IF(C342="CDHU",VLOOKUP(D342,#REF!,2,0),IF(C342="FDE",VLOOKUP(D342,'FDE 10-23 '!$A$4:$E$3180,2,0),IF(C342="INFRA",VLOOKUP(D342,#REF!,2,0),""))))))),"")</f>
        <v>BOTAO PARA CIGARRA - ELETRODUTO DE PVC</v>
      </c>
      <c r="F342" s="65" t="str">
        <f>VLOOKUP(D342,'FDE 10-23 '!$A$4:$E$3180,3,0)</f>
        <v>UN</v>
      </c>
      <c r="G342" s="66">
        <v>1</v>
      </c>
      <c r="H342" s="67">
        <f>VLOOKUP(D342,'FDE 10-23 '!$A$4:$E$3180,5,0)</f>
        <v>126.22</v>
      </c>
      <c r="I342" s="68">
        <f t="shared" si="63"/>
        <v>0.23</v>
      </c>
      <c r="J342" s="67">
        <f t="shared" si="64"/>
        <v>155.25</v>
      </c>
      <c r="K342" s="71">
        <f t="shared" si="65"/>
        <v>155.25</v>
      </c>
      <c r="L342" s="51"/>
      <c r="M342" s="52"/>
    </row>
    <row r="343" spans="2:13" s="25" customFormat="1" ht="30" customHeight="1" outlineLevel="1">
      <c r="B343" s="61"/>
      <c r="C343" s="62" t="s">
        <v>26</v>
      </c>
      <c r="D343" s="63" t="s">
        <v>728</v>
      </c>
      <c r="E343" s="64" t="str">
        <f>IFERROR(UPPER(IF(C343="CPU",VLOOKUP(D343,#REF!,2,0),IF(C343="SINAPI",VLOOKUP(D343,#REF!,2,0),IF(C343="EDIF",VLOOKUP(D343,#REF!,2,0),IF(C343="CDHU",VLOOKUP(D343,#REF!,2,0),IF(C343="FDE",VLOOKUP(D343,'FDE 10-23 '!$A$4:$E$3180,2,0),IF(C343="INFRA",VLOOKUP(D343,#REF!,2,0),""))))))),"")</f>
        <v>CIGARRA PARA CHAMADA DE AULA - ELETRODUTO DE PVC</v>
      </c>
      <c r="F343" s="65" t="str">
        <f>VLOOKUP(D343,'FDE 10-23 '!$A$4:$E$3180,3,0)</f>
        <v>UN</v>
      </c>
      <c r="G343" s="66">
        <v>3</v>
      </c>
      <c r="H343" s="67">
        <f>VLOOKUP(D343,'FDE 10-23 '!$A$4:$E$3180,5,0)</f>
        <v>221.36</v>
      </c>
      <c r="I343" s="68">
        <f t="shared" si="63"/>
        <v>0.23</v>
      </c>
      <c r="J343" s="67">
        <f t="shared" si="64"/>
        <v>272.27</v>
      </c>
      <c r="K343" s="71">
        <f t="shared" si="65"/>
        <v>816.81</v>
      </c>
      <c r="L343" s="51"/>
      <c r="M343" s="52"/>
    </row>
    <row r="344" spans="2:13" s="25" customFormat="1" ht="30" customHeight="1" outlineLevel="1">
      <c r="B344" s="61"/>
      <c r="C344" s="62" t="s">
        <v>26</v>
      </c>
      <c r="D344" s="63" t="s">
        <v>730</v>
      </c>
      <c r="E344" s="64" t="str">
        <f>IFERROR(UPPER(IF(C344="CPU",VLOOKUP(D344,#REF!,2,0),IF(C344="SINAPI",VLOOKUP(D344,#REF!,2,0),IF(C344="EDIF",VLOOKUP(D344,#REF!,2,0),IF(C344="CDHU",VLOOKUP(D344,#REF!,2,0),IF(C344="FDE",VLOOKUP(D344,'FDE 10-23 '!$A$4:$E$3180,2,0),IF(C344="INFRA",VLOOKUP(D344,#REF!,2,0),""))))))),"")</f>
        <v>PONTO SECO P/INSTALACAO DE SOM/TV/ALARME/LOGICA - ELETRODUTO PVC</v>
      </c>
      <c r="F344" s="65" t="str">
        <f>VLOOKUP(D344,'FDE 10-23 '!$A$4:$E$3180,3,0)</f>
        <v>UN</v>
      </c>
      <c r="G344" s="66">
        <v>93</v>
      </c>
      <c r="H344" s="67">
        <f>VLOOKUP(D344,'FDE 10-23 '!$A$4:$E$3180,5,0)</f>
        <v>103.06</v>
      </c>
      <c r="I344" s="68">
        <f t="shared" si="63"/>
        <v>0.23</v>
      </c>
      <c r="J344" s="67">
        <f t="shared" si="64"/>
        <v>126.76</v>
      </c>
      <c r="K344" s="71">
        <f t="shared" si="65"/>
        <v>11788.68</v>
      </c>
      <c r="L344" s="51"/>
      <c r="M344" s="52"/>
    </row>
    <row r="345" spans="2:13" s="25" customFormat="1" ht="30" customHeight="1" outlineLevel="1">
      <c r="B345" s="61"/>
      <c r="C345" s="62" t="s">
        <v>26</v>
      </c>
      <c r="D345" s="63" t="s">
        <v>732</v>
      </c>
      <c r="E345" s="64" t="str">
        <f>IFERROR(UPPER(IF(C345="CPU",VLOOKUP(D345,#REF!,2,0),IF(C345="SINAPI",VLOOKUP(D345,#REF!,2,0),IF(C345="EDIF",VLOOKUP(D345,#REF!,2,0),IF(C345="CDHU",VLOOKUP(D345,#REF!,2,0),IF(C345="FDE",VLOOKUP(D345,'FDE 10-23 '!$A$4:$E$3180,2,0),IF(C345="INFRA",VLOOKUP(D345,#REF!,2,0),""))))))),"")</f>
        <v>ACIONADOR DO ALARME DE INCENDIO</v>
      </c>
      <c r="F345" s="65" t="str">
        <f>VLOOKUP(D345,'FDE 10-23 '!$A$4:$E$3180,3,0)</f>
        <v>UN</v>
      </c>
      <c r="G345" s="66">
        <v>4</v>
      </c>
      <c r="H345" s="67">
        <f>VLOOKUP(D345,'FDE 10-23 '!$A$4:$E$3180,5,0)</f>
        <v>196.99</v>
      </c>
      <c r="I345" s="68">
        <f t="shared" si="63"/>
        <v>0.23</v>
      </c>
      <c r="J345" s="67">
        <f t="shared" si="64"/>
        <v>242.3</v>
      </c>
      <c r="K345" s="71">
        <f t="shared" si="65"/>
        <v>969.2</v>
      </c>
      <c r="L345" s="51"/>
      <c r="M345" s="52"/>
    </row>
    <row r="346" spans="2:13" s="25" customFormat="1" ht="30" customHeight="1" outlineLevel="1">
      <c r="B346" s="61"/>
      <c r="C346" s="62" t="s">
        <v>26</v>
      </c>
      <c r="D346" s="63" t="s">
        <v>734</v>
      </c>
      <c r="E346" s="64" t="str">
        <f>IFERROR(UPPER(IF(C346="CPU",VLOOKUP(D346,#REF!,2,0),IF(C346="SINAPI",VLOOKUP(D346,#REF!,2,0),IF(C346="EDIF",VLOOKUP(D346,#REF!,2,0),IF(C346="CDHU",VLOOKUP(D346,#REF!,2,0),IF(C346="FDE",VLOOKUP(D346,'FDE 10-23 '!$A$4:$E$3180,2,0),IF(C346="INFRA",VLOOKUP(D346,#REF!,2,0),""))))))),"")</f>
        <v>SIRENE PARA ALARME DE EMERGENCIA- ELETRODUTO DE PVC</v>
      </c>
      <c r="F346" s="65" t="str">
        <f>VLOOKUP(D346,'FDE 10-23 '!$A$4:$E$3180,3,0)</f>
        <v>UN</v>
      </c>
      <c r="G346" s="66">
        <v>4</v>
      </c>
      <c r="H346" s="67">
        <f>VLOOKUP(D346,'FDE 10-23 '!$A$4:$E$3180,5,0)</f>
        <v>103.72</v>
      </c>
      <c r="I346" s="68">
        <f t="shared" si="63"/>
        <v>0.23</v>
      </c>
      <c r="J346" s="67">
        <f t="shared" si="64"/>
        <v>127.58</v>
      </c>
      <c r="K346" s="71">
        <f t="shared" si="65"/>
        <v>510.32</v>
      </c>
      <c r="L346" s="51"/>
      <c r="M346" s="52"/>
    </row>
    <row r="347" spans="2:13" s="25" customFormat="1" ht="30" customHeight="1" outlineLevel="1">
      <c r="B347" s="53" t="s">
        <v>735</v>
      </c>
      <c r="C347" s="54"/>
      <c r="D347" s="54" t="s">
        <v>736</v>
      </c>
      <c r="E347" s="55" t="s">
        <v>737</v>
      </c>
      <c r="F347" s="56" t="str">
        <f>IFERROR(UPPER(IF(C347="CPU",VLOOKUP(D347,#REF!,3,0),IF(C347="SINAPI",VLOOKUP(D347,#REF!,3,0),IF(C347="EDIF",VLOOKUP(D347,#REF!,3,0),IF(C347="CDHU",VLOOKUP(D347,#REF!,3,0),IF(C347="FDE",VLOOKUP(D347,#REF!,3,0),IF(C347="INFRA",VLOOKUP(D347,#REF!,3,0),""))))))),"")</f>
        <v/>
      </c>
      <c r="G347" s="57"/>
      <c r="H34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47" s="59"/>
      <c r="J347" s="59"/>
      <c r="K347" s="82">
        <f>SUBTOTAL(9,K348:K359)</f>
        <v>97206.43</v>
      </c>
      <c r="L347" s="51"/>
      <c r="M347" s="52"/>
    </row>
    <row r="348" spans="2:13" s="25" customFormat="1" ht="30" customHeight="1" outlineLevel="1">
      <c r="B348" s="61"/>
      <c r="C348" s="62" t="s">
        <v>26</v>
      </c>
      <c r="D348" s="63" t="s">
        <v>739</v>
      </c>
      <c r="E348" s="64" t="str">
        <f>IFERROR(UPPER(IF(C348="CPU",VLOOKUP(D348,#REF!,2,0),IF(C348="SINAPI",VLOOKUP(D348,#REF!,2,0),IF(C348="EDIF",VLOOKUP(D348,#REF!,2,0),IF(C348="CDHU",VLOOKUP(D348,#REF!,2,0),IF(C348="FDE",VLOOKUP(D348,'FDE 10-23 '!$A$4:$E$3180,2,0),IF(C348="INFRA",VLOOKUP(D348,#REF!,2,0),""))))))),"")</f>
        <v>IL-42 LUMINARIA C/ DIFUSOR TRANSPARENTE P/ LAMPADA FLUOR (2X32W)</v>
      </c>
      <c r="F348" s="65" t="str">
        <f>VLOOKUP(D348,'FDE 10-23 '!$A$4:$E$3180,3,0)</f>
        <v>UN</v>
      </c>
      <c r="G348" s="66">
        <v>23</v>
      </c>
      <c r="H348" s="67">
        <f>VLOOKUP(D348,'FDE 10-23 '!$A$4:$E$3180,5,0)</f>
        <v>242.91</v>
      </c>
      <c r="I348" s="68">
        <f t="shared" ref="I348:I359" si="66">$L$10</f>
        <v>0.23</v>
      </c>
      <c r="J348" s="67">
        <f t="shared" ref="J348:J359" si="67">ROUND(H348*(1+I348),2)</f>
        <v>298.77999999999997</v>
      </c>
      <c r="K348" s="71">
        <f t="shared" ref="K348:K359" si="68">SUM(G348*J348)</f>
        <v>6871.94</v>
      </c>
      <c r="L348" s="51"/>
      <c r="M348" s="52"/>
    </row>
    <row r="349" spans="2:13" s="25" customFormat="1" ht="30" customHeight="1" outlineLevel="1">
      <c r="B349" s="61"/>
      <c r="C349" s="62" t="s">
        <v>26</v>
      </c>
      <c r="D349" s="63" t="s">
        <v>741</v>
      </c>
      <c r="E349" s="64" t="str">
        <f>IFERROR(UPPER(IF(C349="CPU",VLOOKUP(D349,#REF!,2,0),IF(C349="SINAPI",VLOOKUP(D349,#REF!,2,0),IF(C349="EDIF",VLOOKUP(D349,#REF!,2,0),IF(C349="CDHU",VLOOKUP(D349,#REF!,2,0),IF(C349="FDE",VLOOKUP(D349,'FDE 10-23 '!$A$4:$E$3180,2,0),IF(C349="INFRA",VLOOKUP(D349,#REF!,2,0),""))))))),"")</f>
        <v>IL-57 REFLETOR C/ GRADE P/ VAPOR MET 150W</v>
      </c>
      <c r="F349" s="65" t="str">
        <f>VLOOKUP(D349,'FDE 10-23 '!$A$4:$E$3180,3,0)</f>
        <v>UN</v>
      </c>
      <c r="G349" s="66">
        <v>7</v>
      </c>
      <c r="H349" s="67">
        <f>VLOOKUP(D349,'FDE 10-23 '!$A$4:$E$3180,5,0)</f>
        <v>795.39</v>
      </c>
      <c r="I349" s="68">
        <f t="shared" si="66"/>
        <v>0.23</v>
      </c>
      <c r="J349" s="67">
        <f t="shared" si="67"/>
        <v>978.33</v>
      </c>
      <c r="K349" s="71">
        <f t="shared" si="68"/>
        <v>6848.31</v>
      </c>
      <c r="L349" s="51"/>
      <c r="M349" s="52"/>
    </row>
    <row r="350" spans="2:13" s="25" customFormat="1" ht="30" customHeight="1" outlineLevel="1">
      <c r="B350" s="61"/>
      <c r="C350" s="62" t="s">
        <v>26</v>
      </c>
      <c r="D350" s="63" t="s">
        <v>743</v>
      </c>
      <c r="E350" s="64" t="str">
        <f>IFERROR(UPPER(IF(C350="CPU",VLOOKUP(D350,#REF!,2,0),IF(C350="SINAPI",VLOOKUP(D350,#REF!,2,0),IF(C350="EDIF",VLOOKUP(D350,#REF!,2,0),IF(C350="CDHU",VLOOKUP(D350,#REF!,2,0),IF(C350="FDE",VLOOKUP(D350,'FDE 10-23 '!$A$4:$E$3180,2,0),IF(C350="INFRA",VLOOKUP(D350,#REF!,2,0),""))))))),"")</f>
        <v>IL-58 ILUMINACAO P/ QUADRA DE ESP. COB. LAMP. VAPOR METALICO (1X250W)</v>
      </c>
      <c r="F350" s="65" t="str">
        <f>VLOOKUP(D350,'FDE 10-23 '!$A$4:$E$3180,3,0)</f>
        <v>UN</v>
      </c>
      <c r="G350" s="66">
        <v>8</v>
      </c>
      <c r="H350" s="67">
        <f>VLOOKUP(D350,'FDE 10-23 '!$A$4:$E$3180,5,0)</f>
        <v>855.75</v>
      </c>
      <c r="I350" s="68">
        <f t="shared" si="66"/>
        <v>0.23</v>
      </c>
      <c r="J350" s="67">
        <f t="shared" si="67"/>
        <v>1052.57</v>
      </c>
      <c r="K350" s="71">
        <f t="shared" si="68"/>
        <v>8420.56</v>
      </c>
      <c r="L350" s="51"/>
      <c r="M350" s="52"/>
    </row>
    <row r="351" spans="2:13" s="25" customFormat="1" ht="30" customHeight="1" outlineLevel="1">
      <c r="B351" s="61"/>
      <c r="C351" s="62" t="s">
        <v>26</v>
      </c>
      <c r="D351" s="63" t="s">
        <v>745</v>
      </c>
      <c r="E351" s="64" t="str">
        <f>IFERROR(UPPER(IF(C351="CPU",VLOOKUP(D351,#REF!,2,0),IF(C351="SINAPI",VLOOKUP(D351,#REF!,2,0),IF(C351="EDIF",VLOOKUP(D351,#REF!,2,0),IF(C351="CDHU",VLOOKUP(D351,#REF!,2,0),IF(C351="FDE",VLOOKUP(D351,'FDE 10-23 '!$A$4:$E$3180,2,0),IF(C351="INFRA",VLOOKUP(D351,#REF!,2,0),""))))))),"")</f>
        <v>IL-05 ARANDELA BLINDADA</v>
      </c>
      <c r="F351" s="65" t="str">
        <f>VLOOKUP(D351,'FDE 10-23 '!$A$4:$E$3180,3,0)</f>
        <v>UN</v>
      </c>
      <c r="G351" s="66">
        <v>1</v>
      </c>
      <c r="H351" s="67">
        <f>VLOOKUP(D351,'FDE 10-23 '!$A$4:$E$3180,5,0)</f>
        <v>338.83</v>
      </c>
      <c r="I351" s="68">
        <f t="shared" si="66"/>
        <v>0.23</v>
      </c>
      <c r="J351" s="67">
        <f t="shared" si="67"/>
        <v>416.76</v>
      </c>
      <c r="K351" s="71">
        <f t="shared" si="68"/>
        <v>416.76</v>
      </c>
      <c r="L351" s="51"/>
      <c r="M351" s="52"/>
    </row>
    <row r="352" spans="2:13" s="25" customFormat="1" ht="30" customHeight="1" outlineLevel="1">
      <c r="B352" s="61"/>
      <c r="C352" s="62" t="s">
        <v>26</v>
      </c>
      <c r="D352" s="63" t="s">
        <v>747</v>
      </c>
      <c r="E352" s="64" t="str">
        <f>IFERROR(UPPER(IF(C352="CPU",VLOOKUP(D352,#REF!,2,0),IF(C352="SINAPI",VLOOKUP(D352,#REF!,2,0),IF(C352="EDIF",VLOOKUP(D352,#REF!,2,0),IF(C352="CDHU",VLOOKUP(D352,#REF!,2,0),IF(C352="FDE",VLOOKUP(D352,'FDE 10-23 '!$A$4:$E$3180,2,0),IF(C352="INFRA",VLOOKUP(D352,#REF!,2,0),""))))))),"")</f>
        <v>IL-59 ILUMINAÇÃO P/PASSAGEM COBERTA E CIRCULAÇÕES</v>
      </c>
      <c r="F352" s="65" t="str">
        <f>VLOOKUP(D352,'FDE 10-23 '!$A$4:$E$3180,3,0)</f>
        <v>UN</v>
      </c>
      <c r="G352" s="66">
        <v>4</v>
      </c>
      <c r="H352" s="67">
        <f>VLOOKUP(D352,'FDE 10-23 '!$A$4:$E$3180,5,0)</f>
        <v>193.39</v>
      </c>
      <c r="I352" s="68">
        <f t="shared" si="66"/>
        <v>0.23</v>
      </c>
      <c r="J352" s="67">
        <f t="shared" si="67"/>
        <v>237.87</v>
      </c>
      <c r="K352" s="71">
        <f t="shared" si="68"/>
        <v>951.48</v>
      </c>
      <c r="L352" s="51"/>
      <c r="M352" s="52"/>
    </row>
    <row r="353" spans="2:13" s="25" customFormat="1" ht="30" customHeight="1" outlineLevel="1">
      <c r="B353" s="61"/>
      <c r="C353" s="62" t="s">
        <v>26</v>
      </c>
      <c r="D353" s="63" t="s">
        <v>749</v>
      </c>
      <c r="E353" s="64" t="str">
        <f>IFERROR(UPPER(IF(C353="CPU",VLOOKUP(D353,#REF!,2,0),IF(C353="SINAPI",VLOOKUP(D353,#REF!,2,0),IF(C353="EDIF",VLOOKUP(D353,#REF!,2,0),IF(C353="CDHU",VLOOKUP(D353,#REF!,2,0),IF(C353="FDE",VLOOKUP(D353,'FDE 10-23 '!$A$4:$E$3180,2,0),IF(C353="INFRA",VLOOKUP(D353,#REF!,2,0),""))))))),"")</f>
        <v>IL-44 LUMINARIA PARA LAMPADA FLUORESCENTE (1X32W)</v>
      </c>
      <c r="F353" s="65" t="str">
        <f>VLOOKUP(D353,'FDE 10-23 '!$A$4:$E$3180,3,0)</f>
        <v>UN</v>
      </c>
      <c r="G353" s="66">
        <v>4</v>
      </c>
      <c r="H353" s="67">
        <f>VLOOKUP(D353,'FDE 10-23 '!$A$4:$E$3180,5,0)</f>
        <v>163.6</v>
      </c>
      <c r="I353" s="68">
        <f t="shared" si="66"/>
        <v>0.23</v>
      </c>
      <c r="J353" s="67">
        <f t="shared" si="67"/>
        <v>201.23</v>
      </c>
      <c r="K353" s="71">
        <f t="shared" si="68"/>
        <v>804.92</v>
      </c>
      <c r="L353" s="51"/>
      <c r="M353" s="52"/>
    </row>
    <row r="354" spans="2:13" s="25" customFormat="1" ht="30" customHeight="1" outlineLevel="1">
      <c r="B354" s="61"/>
      <c r="C354" s="62" t="s">
        <v>26</v>
      </c>
      <c r="D354" s="63" t="s">
        <v>751</v>
      </c>
      <c r="E354" s="64" t="str">
        <f>IFERROR(UPPER(IF(C354="CPU",VLOOKUP(D354,#REF!,2,0),IF(C354="SINAPI",VLOOKUP(D354,#REF!,2,0),IF(C354="EDIF",VLOOKUP(D354,#REF!,2,0),IF(C354="CDHU",VLOOKUP(D354,#REF!,2,0),IF(C354="FDE",VLOOKUP(D354,'FDE 10-23 '!$A$4:$E$3180,2,0),IF(C354="INFRA",VLOOKUP(D354,#REF!,2,0),""))))))),"")</f>
        <v>IL-45 LUMINARIA PARA LAMPADA FLUORESCENTE (2X32W)</v>
      </c>
      <c r="F354" s="65" t="str">
        <f>VLOOKUP(D354,'FDE 10-23 '!$A$4:$E$3180,3,0)</f>
        <v>UN</v>
      </c>
      <c r="G354" s="66">
        <v>51</v>
      </c>
      <c r="H354" s="67">
        <f>VLOOKUP(D354,'FDE 10-23 '!$A$4:$E$3180,5,0)</f>
        <v>227.56</v>
      </c>
      <c r="I354" s="68">
        <f t="shared" si="66"/>
        <v>0.23</v>
      </c>
      <c r="J354" s="67">
        <f t="shared" si="67"/>
        <v>279.89999999999998</v>
      </c>
      <c r="K354" s="71">
        <f t="shared" si="68"/>
        <v>14274.9</v>
      </c>
      <c r="L354" s="51"/>
      <c r="M354" s="52"/>
    </row>
    <row r="355" spans="2:13" s="25" customFormat="1" ht="30" customHeight="1" outlineLevel="1">
      <c r="B355" s="61"/>
      <c r="C355" s="62" t="s">
        <v>26</v>
      </c>
      <c r="D355" s="63" t="s">
        <v>753</v>
      </c>
      <c r="E355" s="64" t="str">
        <f>IFERROR(UPPER(IF(C355="CPU",VLOOKUP(D355,#REF!,2,0),IF(C355="SINAPI",VLOOKUP(D355,#REF!,2,0),IF(C355="EDIF",VLOOKUP(D355,#REF!,2,0),IF(C355="CDHU",VLOOKUP(D355,#REF!,2,0),IF(C355="FDE",VLOOKUP(D355,'FDE 10-23 '!$A$4:$E$3180,2,0),IF(C355="INFRA",VLOOKUP(D355,#REF!,2,0),""))))))),"")</f>
        <v>IL-60 LUMINARIA DE SOBREPOR C/REFLETOR E ALETAS P/LAMP.FLUORESCENTE (2X32W)</v>
      </c>
      <c r="F355" s="65" t="str">
        <f>VLOOKUP(D355,'FDE 10-23 '!$A$4:$E$3180,3,0)</f>
        <v>UN</v>
      </c>
      <c r="G355" s="66">
        <v>20</v>
      </c>
      <c r="H355" s="67">
        <f>VLOOKUP(D355,'FDE 10-23 '!$A$4:$E$3180,5,0)</f>
        <v>323.27</v>
      </c>
      <c r="I355" s="68">
        <f t="shared" si="66"/>
        <v>0.23</v>
      </c>
      <c r="J355" s="67">
        <f t="shared" si="67"/>
        <v>397.62</v>
      </c>
      <c r="K355" s="71">
        <f t="shared" si="68"/>
        <v>7952.4</v>
      </c>
      <c r="L355" s="51"/>
      <c r="M355" s="52"/>
    </row>
    <row r="356" spans="2:13" s="25" customFormat="1" ht="30" customHeight="1" outlineLevel="1">
      <c r="B356" s="61"/>
      <c r="C356" s="62" t="s">
        <v>26</v>
      </c>
      <c r="D356" s="63" t="s">
        <v>755</v>
      </c>
      <c r="E356" s="64" t="str">
        <f>IFERROR(UPPER(IF(C356="CPU",VLOOKUP(D356,#REF!,2,0),IF(C356="SINAPI",VLOOKUP(D356,#REF!,2,0),IF(C356="EDIF",VLOOKUP(D356,#REF!,2,0),IF(C356="CDHU",VLOOKUP(D356,#REF!,2,0),IF(C356="FDE",VLOOKUP(D356,'FDE 10-23 '!$A$4:$E$3180,2,0),IF(C356="INFRA",VLOOKUP(D356,#REF!,2,0),""))))))),"")</f>
        <v>IL-61 LUMINARIA DE EMBUTIR C/ REFLETOR E ALETAS P/ LAMP. FLUORESCENTE (2X32W)</v>
      </c>
      <c r="F356" s="65" t="str">
        <f>VLOOKUP(D356,'FDE 10-23 '!$A$4:$E$3180,3,0)</f>
        <v>UN</v>
      </c>
      <c r="G356" s="66">
        <v>48</v>
      </c>
      <c r="H356" s="67">
        <f>VLOOKUP(D356,'FDE 10-23 '!$A$4:$E$3180,5,0)</f>
        <v>276.58999999999997</v>
      </c>
      <c r="I356" s="68">
        <f t="shared" si="66"/>
        <v>0.23</v>
      </c>
      <c r="J356" s="67">
        <f t="shared" si="67"/>
        <v>340.21</v>
      </c>
      <c r="K356" s="71">
        <f t="shared" si="68"/>
        <v>16330.079999999998</v>
      </c>
      <c r="L356" s="51"/>
      <c r="M356" s="52"/>
    </row>
    <row r="357" spans="2:13" s="25" customFormat="1" ht="30" customHeight="1" outlineLevel="1">
      <c r="B357" s="61"/>
      <c r="C357" s="62" t="s">
        <v>26</v>
      </c>
      <c r="D357" s="63" t="s">
        <v>757</v>
      </c>
      <c r="E357" s="64" t="str">
        <f>IFERROR(UPPER(IF(C357="CPU",VLOOKUP(D357,#REF!,2,0),IF(C357="SINAPI",VLOOKUP(D357,#REF!,2,0),IF(C357="EDIF",VLOOKUP(D357,#REF!,2,0),IF(C357="CDHU",VLOOKUP(D357,#REF!,2,0),IF(C357="FDE",VLOOKUP(D357,'FDE 10-23 '!$A$4:$E$3180,2,0),IF(C357="INFRA",VLOOKUP(D357,#REF!,2,0),""))))))),"")</f>
        <v>IL-67 LUMINÁRIA DE EMBUTIR C/REFLETOR SEM ALETAS (2X32W)</v>
      </c>
      <c r="F357" s="65" t="str">
        <f>VLOOKUP(D357,'FDE 10-23 '!$A$4:$E$3180,3,0)</f>
        <v>UN</v>
      </c>
      <c r="G357" s="66">
        <v>96</v>
      </c>
      <c r="H357" s="67">
        <f>VLOOKUP(D357,'FDE 10-23 '!$A$4:$E$3180,5,0)</f>
        <v>272.11</v>
      </c>
      <c r="I357" s="68">
        <f t="shared" si="66"/>
        <v>0.23</v>
      </c>
      <c r="J357" s="67">
        <f t="shared" si="67"/>
        <v>334.7</v>
      </c>
      <c r="K357" s="71">
        <f t="shared" si="68"/>
        <v>32131.199999999997</v>
      </c>
      <c r="L357" s="51"/>
      <c r="M357" s="52"/>
    </row>
    <row r="358" spans="2:13" s="25" customFormat="1" ht="30" customHeight="1" outlineLevel="1">
      <c r="B358" s="61"/>
      <c r="C358" s="62" t="s">
        <v>26</v>
      </c>
      <c r="D358" s="63" t="s">
        <v>759</v>
      </c>
      <c r="E358" s="64" t="str">
        <f>IFERROR(UPPER(IF(C358="CPU",VLOOKUP(D358,#REF!,2,0),IF(C358="SINAPI",VLOOKUP(D358,#REF!,2,0),IF(C358="EDIF",VLOOKUP(D358,#REF!,2,0),IF(C358="CDHU",VLOOKUP(D358,#REF!,2,0),IF(C358="FDE",VLOOKUP(D358,'FDE 10-23 '!$A$4:$E$3180,2,0),IF(C358="INFRA",VLOOKUP(D358,#REF!,2,0),""))))))),"")</f>
        <v>IL-74 LUMINARIA ABERTA C/REFLETOR P/LAMPADAS FLUOR. (2X28W)</v>
      </c>
      <c r="F358" s="65" t="str">
        <f>VLOOKUP(D358,'FDE 10-23 '!$A$4:$E$3180,3,0)</f>
        <v>UN</v>
      </c>
      <c r="G358" s="66">
        <v>3</v>
      </c>
      <c r="H358" s="67">
        <f>VLOOKUP(D358,'FDE 10-23 '!$A$4:$E$3180,5,0)</f>
        <v>270.14</v>
      </c>
      <c r="I358" s="68">
        <f t="shared" si="66"/>
        <v>0.23</v>
      </c>
      <c r="J358" s="67">
        <f t="shared" si="67"/>
        <v>332.27</v>
      </c>
      <c r="K358" s="71">
        <f t="shared" si="68"/>
        <v>996.81</v>
      </c>
      <c r="L358" s="51"/>
      <c r="M358" s="52"/>
    </row>
    <row r="359" spans="2:13" s="25" customFormat="1" ht="30" customHeight="1" outlineLevel="1">
      <c r="B359" s="61"/>
      <c r="C359" s="62" t="s">
        <v>26</v>
      </c>
      <c r="D359" s="63" t="s">
        <v>761</v>
      </c>
      <c r="E359" s="64" t="str">
        <f>IFERROR(UPPER(IF(C359="CPU",VLOOKUP(D359,#REF!,2,0),IF(C359="SINAPI",VLOOKUP(D359,#REF!,2,0),IF(C359="EDIF",VLOOKUP(D359,#REF!,2,0),IF(C359="CDHU",VLOOKUP(D359,#REF!,2,0),IF(C359="FDE",VLOOKUP(D359,'FDE 10-23 '!$A$4:$E$3180,2,0),IF(C359="INFRA",VLOOKUP(D359,#REF!,2,0),""))))))),"")</f>
        <v>IL-83 ILUMINAÇÃO AUTONOMA DE EMERGÊNCIA - LED</v>
      </c>
      <c r="F359" s="65" t="str">
        <f>VLOOKUP(D359,'FDE 10-23 '!$A$4:$E$3180,3,0)</f>
        <v>UN</v>
      </c>
      <c r="G359" s="66">
        <v>19</v>
      </c>
      <c r="H359" s="67">
        <f>VLOOKUP(D359,'FDE 10-23 '!$A$4:$E$3180,5,0)</f>
        <v>51.65</v>
      </c>
      <c r="I359" s="68">
        <f t="shared" si="66"/>
        <v>0.23</v>
      </c>
      <c r="J359" s="67">
        <f t="shared" si="67"/>
        <v>63.53</v>
      </c>
      <c r="K359" s="71">
        <f t="shared" si="68"/>
        <v>1207.07</v>
      </c>
      <c r="L359" s="51"/>
      <c r="M359" s="52"/>
    </row>
    <row r="360" spans="2:13" s="25" customFormat="1" ht="30" customHeight="1" outlineLevel="1">
      <c r="B360" s="53" t="s">
        <v>762</v>
      </c>
      <c r="C360" s="54"/>
      <c r="D360" s="54" t="s">
        <v>763</v>
      </c>
      <c r="E360" s="55" t="s">
        <v>764</v>
      </c>
      <c r="F360" s="56" t="str">
        <f>IFERROR(UPPER(IF(C360="CPU",VLOOKUP(D360,#REF!,3,0),IF(C360="SINAPI",VLOOKUP(D360,#REF!,3,0),IF(C360="EDIF",VLOOKUP(D360,#REF!,3,0),IF(C360="CDHU",VLOOKUP(D360,#REF!,3,0),IF(C360="FDE",VLOOKUP(D360,#REF!,3,0),IF(C360="INFRA",VLOOKUP(D360,#REF!,3,0),""))))))),"")</f>
        <v/>
      </c>
      <c r="G360" s="57"/>
      <c r="H36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60" s="59"/>
      <c r="J360" s="59"/>
      <c r="K360" s="82">
        <f>SUBTOTAL(9,K361:K362)</f>
        <v>70027.290000000008</v>
      </c>
      <c r="L360" s="51"/>
      <c r="M360" s="52"/>
    </row>
    <row r="361" spans="2:13" s="25" customFormat="1" ht="30" customHeight="1" outlineLevel="1">
      <c r="B361" s="61"/>
      <c r="C361" s="62" t="s">
        <v>26</v>
      </c>
      <c r="D361" s="63" t="s">
        <v>766</v>
      </c>
      <c r="E361" s="64" t="str">
        <f>IFERROR(UPPER(IF(C361="CPU",VLOOKUP(D361,#REF!,2,0),IF(C361="SINAPI",VLOOKUP(D361,#REF!,2,0),IF(C361="EDIF",VLOOKUP(D361,#REF!,2,0),IF(C361="CDHU",VLOOKUP(D361,#REF!,2,0),IF(C361="FDE",VLOOKUP(D361,'FDE 10-23 '!$A$4:$E$3180,2,0),IF(C361="INFRA",VLOOKUP(D361,#REF!,2,0),""))))))),"")</f>
        <v>CENTRO DE LUZ EM CAIXA FM ELETRODUTO DE PVC</v>
      </c>
      <c r="F361" s="65" t="str">
        <f>VLOOKUP(D361,'FDE 10-23 '!$A$4:$E$3180,3,0)</f>
        <v>UN</v>
      </c>
      <c r="G361" s="66">
        <v>15</v>
      </c>
      <c r="H361" s="67">
        <f>VLOOKUP(D361,'FDE 10-23 '!$A$4:$E$3180,5,0)</f>
        <v>191.98</v>
      </c>
      <c r="I361" s="68">
        <f>$L$10</f>
        <v>0.23</v>
      </c>
      <c r="J361" s="67">
        <f>ROUND(H361*(1+I361),2)</f>
        <v>236.14</v>
      </c>
      <c r="K361" s="71">
        <f>SUM(G361*J361)</f>
        <v>3542.1</v>
      </c>
      <c r="L361" s="51"/>
      <c r="M361" s="52"/>
    </row>
    <row r="362" spans="2:13" s="25" customFormat="1" ht="30" customHeight="1" outlineLevel="1">
      <c r="B362" s="61"/>
      <c r="C362" s="62" t="s">
        <v>26</v>
      </c>
      <c r="D362" s="63" t="s">
        <v>768</v>
      </c>
      <c r="E362" s="64" t="str">
        <f>IFERROR(UPPER(IF(C362="CPU",VLOOKUP(D362,#REF!,2,0),IF(C362="SINAPI",VLOOKUP(D362,#REF!,2,0),IF(C362="EDIF",VLOOKUP(D362,#REF!,2,0),IF(C362="CDHU",VLOOKUP(D362,#REF!,2,0),IF(C362="FDE",VLOOKUP(D362,'FDE 10-23 '!$A$4:$E$3180,2,0),IF(C362="INFRA",VLOOKUP(D362,#REF!,2,0),""))))))),"")</f>
        <v>CENTRO DE LUZ EM CONDULETE-ELETRODUTO DE PVC</v>
      </c>
      <c r="F362" s="65" t="str">
        <f>VLOOKUP(D362,'FDE 10-23 '!$A$4:$E$3180,3,0)</f>
        <v>UN</v>
      </c>
      <c r="G362" s="66">
        <v>283</v>
      </c>
      <c r="H362" s="67">
        <f>VLOOKUP(D362,'FDE 10-23 '!$A$4:$E$3180,5,0)</f>
        <v>191</v>
      </c>
      <c r="I362" s="68">
        <f>$L$10</f>
        <v>0.23</v>
      </c>
      <c r="J362" s="67">
        <f>ROUND(H362*(1+I362),2)</f>
        <v>234.93</v>
      </c>
      <c r="K362" s="71">
        <f>SUM(G362*J362)</f>
        <v>66485.19</v>
      </c>
      <c r="L362" s="51"/>
      <c r="M362" s="52"/>
    </row>
    <row r="363" spans="2:13" s="25" customFormat="1" ht="30" customHeight="1" outlineLevel="1">
      <c r="B363" s="53" t="s">
        <v>769</v>
      </c>
      <c r="C363" s="54"/>
      <c r="D363" s="54" t="s">
        <v>770</v>
      </c>
      <c r="E363" s="55" t="s">
        <v>771</v>
      </c>
      <c r="F363" s="56" t="str">
        <f>IFERROR(UPPER(IF(C363="CPU",VLOOKUP(D363,#REF!,3,0),IF(C363="SINAPI",VLOOKUP(D363,#REF!,3,0),IF(C363="EDIF",VLOOKUP(D363,#REF!,3,0),IF(C363="CDHU",VLOOKUP(D363,#REF!,3,0),IF(C363="FDE",VLOOKUP(D363,#REF!,3,0),IF(C363="INFRA",VLOOKUP(D363,#REF!,3,0),""))))))),"")</f>
        <v/>
      </c>
      <c r="G363" s="57"/>
      <c r="H363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63" s="59"/>
      <c r="J363" s="59"/>
      <c r="K363" s="82">
        <f>SUBTOTAL(9,K364:K366)</f>
        <v>29896.369999999995</v>
      </c>
      <c r="L363" s="51"/>
      <c r="M363" s="52"/>
    </row>
    <row r="364" spans="2:13" s="25" customFormat="1" ht="30" customHeight="1" outlineLevel="1">
      <c r="B364" s="61"/>
      <c r="C364" s="62" t="s">
        <v>26</v>
      </c>
      <c r="D364" s="63" t="s">
        <v>773</v>
      </c>
      <c r="E364" s="64" t="str">
        <f>IFERROR(UPPER(IF(C364="CPU",VLOOKUP(D364,#REF!,2,0),IF(C364="SINAPI",VLOOKUP(D364,#REF!,2,0),IF(C364="EDIF",VLOOKUP(D364,#REF!,2,0),IF(C364="CDHU",VLOOKUP(D364,#REF!,2,0),IF(C364="FDE",VLOOKUP(D364,'FDE 10-23 '!$A$4:$E$3180,2,0),IF(C364="INFRA",VLOOKUP(D364,#REF!,2,0),""))))))),"")</f>
        <v>IL-06 LUZ DE OBSTACULO COM LAMPADA</v>
      </c>
      <c r="F364" s="65" t="str">
        <f>VLOOKUP(D364,'FDE 10-23 '!$A$4:$E$3180,3,0)</f>
        <v>UN</v>
      </c>
      <c r="G364" s="66">
        <v>1</v>
      </c>
      <c r="H364" s="67">
        <f>VLOOKUP(D364,'FDE 10-23 '!$A$4:$E$3180,5,0)</f>
        <v>333.36</v>
      </c>
      <c r="I364" s="68">
        <f>$L$10</f>
        <v>0.23</v>
      </c>
      <c r="J364" s="67">
        <f>ROUND(H364*(1+I364),2)</f>
        <v>410.03</v>
      </c>
      <c r="K364" s="71">
        <f>SUM(G364*J364)</f>
        <v>410.03</v>
      </c>
      <c r="L364" s="51"/>
      <c r="M364" s="52"/>
    </row>
    <row r="365" spans="2:13" s="25" customFormat="1" ht="30" customHeight="1" outlineLevel="1">
      <c r="B365" s="61"/>
      <c r="C365" s="62" t="s">
        <v>26</v>
      </c>
      <c r="D365" s="63" t="s">
        <v>775</v>
      </c>
      <c r="E365" s="64" t="str">
        <f>IFERROR(UPPER(IF(C365="CPU",VLOOKUP(D365,#REF!,2,0),IF(C365="SINAPI",VLOOKUP(D365,#REF!,2,0),IF(C365="EDIF",VLOOKUP(D365,#REF!,2,0),IF(C365="CDHU",VLOOKUP(D365,#REF!,2,0),IF(C365="FDE",VLOOKUP(D365,'FDE 10-23 '!$A$4:$E$3180,2,0),IF(C365="INFRA",VLOOKUP(D365,#REF!,2,0),""))))))),"")</f>
        <v>IL-53 LUMINARIA P/ VAPOR DE SODIO 1X150W EM POSTE 6M</v>
      </c>
      <c r="F365" s="65" t="str">
        <f>VLOOKUP(D365,'FDE 10-23 '!$A$4:$E$3180,3,0)</f>
        <v>UN</v>
      </c>
      <c r="G365" s="66">
        <v>6</v>
      </c>
      <c r="H365" s="67">
        <f>VLOOKUP(D365,'FDE 10-23 '!$A$4:$E$3180,5,0)</f>
        <v>2934.92</v>
      </c>
      <c r="I365" s="68">
        <f>$L$10</f>
        <v>0.23</v>
      </c>
      <c r="J365" s="67">
        <f>ROUND(H365*(1+I365),2)</f>
        <v>3609.95</v>
      </c>
      <c r="K365" s="71">
        <f>SUM(G365*J365)</f>
        <v>21659.699999999997</v>
      </c>
      <c r="L365" s="51"/>
      <c r="M365" s="52"/>
    </row>
    <row r="366" spans="2:13" s="25" customFormat="1" ht="30" customHeight="1" outlineLevel="1">
      <c r="B366" s="61"/>
      <c r="C366" s="62" t="s">
        <v>26</v>
      </c>
      <c r="D366" s="63" t="s">
        <v>741</v>
      </c>
      <c r="E366" s="64" t="str">
        <f>IFERROR(UPPER(IF(C366="CPU",VLOOKUP(D366,#REF!,2,0),IF(C366="SINAPI",VLOOKUP(D366,#REF!,2,0),IF(C366="EDIF",VLOOKUP(D366,#REF!,2,0),IF(C366="CDHU",VLOOKUP(D366,#REF!,2,0),IF(C366="FDE",VLOOKUP(D366,'FDE 10-23 '!$A$4:$E$3180,2,0),IF(C366="INFRA",VLOOKUP(D366,#REF!,2,0),""))))))),"")</f>
        <v>IL-57 REFLETOR C/ GRADE P/ VAPOR MET 150W</v>
      </c>
      <c r="F366" s="65" t="str">
        <f>VLOOKUP(D366,'FDE 10-23 '!$A$4:$E$3180,3,0)</f>
        <v>UN</v>
      </c>
      <c r="G366" s="66">
        <v>8</v>
      </c>
      <c r="H366" s="67">
        <f>VLOOKUP(D366,'FDE 10-23 '!$A$4:$E$3180,5,0)</f>
        <v>795.39</v>
      </c>
      <c r="I366" s="68">
        <f>$L$10</f>
        <v>0.23</v>
      </c>
      <c r="J366" s="67">
        <f>ROUND(H366*(1+I366),2)</f>
        <v>978.33</v>
      </c>
      <c r="K366" s="71">
        <f>SUM(G366*J366)</f>
        <v>7826.64</v>
      </c>
      <c r="L366" s="51"/>
      <c r="M366" s="52"/>
    </row>
    <row r="367" spans="2:13" s="25" customFormat="1" ht="30" customHeight="1" outlineLevel="1">
      <c r="B367" s="53" t="s">
        <v>777</v>
      </c>
      <c r="C367" s="54"/>
      <c r="D367" s="54" t="s">
        <v>778</v>
      </c>
      <c r="E367" s="55" t="s">
        <v>779</v>
      </c>
      <c r="F367" s="56" t="str">
        <f>IFERROR(UPPER(IF(C367="CPU",VLOOKUP(D367,#REF!,3,0),IF(C367="SINAPI",VLOOKUP(D367,#REF!,3,0),IF(C367="EDIF",VLOOKUP(D367,#REF!,3,0),IF(C367="CDHU",VLOOKUP(D367,#REF!,3,0),IF(C367="FDE",VLOOKUP(D367,#REF!,3,0),IF(C367="INFRA",VLOOKUP(D367,#REF!,3,0),""))))))),"")</f>
        <v/>
      </c>
      <c r="G367" s="57"/>
      <c r="H36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67" s="59"/>
      <c r="J367" s="59"/>
      <c r="K367" s="82">
        <f>SUBTOTAL(9,K368)</f>
        <v>1925.21</v>
      </c>
      <c r="L367" s="51"/>
      <c r="M367" s="52"/>
    </row>
    <row r="368" spans="2:13" s="25" customFormat="1" ht="30" customHeight="1" outlineLevel="1">
      <c r="B368" s="61"/>
      <c r="C368" s="62" t="s">
        <v>26</v>
      </c>
      <c r="D368" s="63" t="s">
        <v>781</v>
      </c>
      <c r="E368" s="64" t="str">
        <f>IFERROR(UPPER(IF(C368="CPU",VLOOKUP(D368,#REF!,2,0),IF(C368="SINAPI",VLOOKUP(D368,#REF!,2,0),IF(C368="EDIF",VLOOKUP(D368,#REF!,2,0),IF(C368="CDHU",VLOOKUP(D368,#REF!,2,0),IF(C368="FDE",VLOOKUP(D368,'FDE 10-23 '!$A$4:$E$3180,2,0),IF(C368="INFRA",VLOOKUP(D368,#REF!,2,0),""))))))),"")</f>
        <v>EX-01 EXAUSTOR AXIAL DN 40CM</v>
      </c>
      <c r="F368" s="65" t="str">
        <f>VLOOKUP(D368,'FDE 10-23 '!$A$4:$E$3180,3,0)</f>
        <v>UN</v>
      </c>
      <c r="G368" s="66">
        <v>1</v>
      </c>
      <c r="H368" s="67">
        <f>VLOOKUP(D368,'FDE 10-23 '!$A$4:$E$3180,5,0)</f>
        <v>1565.21</v>
      </c>
      <c r="I368" s="68">
        <f>$L$10</f>
        <v>0.23</v>
      </c>
      <c r="J368" s="67">
        <f>ROUND(H368*(1+I368),2)</f>
        <v>1925.21</v>
      </c>
      <c r="K368" s="71">
        <f>SUM(G368*J368)</f>
        <v>1925.21</v>
      </c>
      <c r="L368" s="51"/>
      <c r="M368" s="52"/>
    </row>
    <row r="369" spans="2:13" s="25" customFormat="1" ht="30" customHeight="1" outlineLevel="1">
      <c r="B369" s="53" t="s">
        <v>782</v>
      </c>
      <c r="C369" s="54"/>
      <c r="D369" s="54" t="s">
        <v>783</v>
      </c>
      <c r="E369" s="55" t="s">
        <v>784</v>
      </c>
      <c r="F369" s="56" t="str">
        <f>IFERROR(UPPER(IF(C369="CPU",VLOOKUP(D369,#REF!,3,0),IF(C369="SINAPI",VLOOKUP(D369,#REF!,3,0),IF(C369="EDIF",VLOOKUP(D369,#REF!,3,0),IF(C369="CDHU",VLOOKUP(D369,#REF!,3,0),IF(C369="FDE",VLOOKUP(D369,#REF!,3,0),IF(C369="INFRA",VLOOKUP(D369,#REF!,3,0),""))))))),"")</f>
        <v/>
      </c>
      <c r="G369" s="57"/>
      <c r="H369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69" s="59"/>
      <c r="J369" s="59"/>
      <c r="K369" s="82">
        <f>SUBTOTAL(9,K370:K377)</f>
        <v>53566.87</v>
      </c>
      <c r="L369" s="51"/>
      <c r="M369" s="52"/>
    </row>
    <row r="370" spans="2:13" s="25" customFormat="1" ht="30" customHeight="1" outlineLevel="1">
      <c r="B370" s="61"/>
      <c r="C370" s="62" t="s">
        <v>26</v>
      </c>
      <c r="D370" s="63" t="s">
        <v>786</v>
      </c>
      <c r="E370" s="64" t="str">
        <f>IFERROR(UPPER(IF(C370="CPU",VLOOKUP(D370,#REF!,2,0),IF(C370="SINAPI",VLOOKUP(D370,#REF!,2,0),IF(C370="EDIF",VLOOKUP(D370,#REF!,2,0),IF(C370="CDHU",VLOOKUP(D370,#REF!,2,0),IF(C370="FDE",VLOOKUP(D370,'FDE 10-23 '!$A$4:$E$3180,2,0),IF(C370="INFRA",VLOOKUP(D370,#REF!,2,0),""))))))),"")</f>
        <v>PP-02 PARA RAIOS FRANKLIN COM MASTRO AÇO GALVANIZADO 02" X 3,00M</v>
      </c>
      <c r="F370" s="65" t="str">
        <f>VLOOKUP(D370,'FDE 10-23 '!$A$4:$E$3180,3,0)</f>
        <v>UN</v>
      </c>
      <c r="G370" s="66">
        <v>1</v>
      </c>
      <c r="H370" s="67">
        <f>VLOOKUP(D370,'FDE 10-23 '!$A$4:$E$3180,5,0)</f>
        <v>964.07</v>
      </c>
      <c r="I370" s="68">
        <f t="shared" ref="I370:I377" si="69">$L$10</f>
        <v>0.23</v>
      </c>
      <c r="J370" s="67">
        <f t="shared" ref="J370:J377" si="70">ROUND(H370*(1+I370),2)</f>
        <v>1185.81</v>
      </c>
      <c r="K370" s="71">
        <f t="shared" ref="K370:K377" si="71">SUM(G370*J370)</f>
        <v>1185.81</v>
      </c>
      <c r="L370" s="51"/>
      <c r="M370" s="52"/>
    </row>
    <row r="371" spans="2:13" s="25" customFormat="1" ht="30" customHeight="1" outlineLevel="1">
      <c r="B371" s="61"/>
      <c r="C371" s="62" t="s">
        <v>26</v>
      </c>
      <c r="D371" s="63" t="s">
        <v>788</v>
      </c>
      <c r="E371" s="64" t="str">
        <f>IFERROR(UPPER(IF(C371="CPU",VLOOKUP(D371,#REF!,2,0),IF(C371="SINAPI",VLOOKUP(D371,#REF!,2,0),IF(C371="EDIF",VLOOKUP(D371,#REF!,2,0),IF(C371="CDHU",VLOOKUP(D371,#REF!,2,0),IF(C371="FDE",VLOOKUP(D371,'FDE 10-23 '!$A$4:$E$3180,2,0),IF(C371="INFRA",VLOOKUP(D371,#REF!,2,0),""))))))),"")</f>
        <v>CORDOALHA DE AÇO GALV. A QUENTE 80MM2 (7/16") SOB A TERRA</v>
      </c>
      <c r="F371" s="65" t="str">
        <f>VLOOKUP(D371,'FDE 10-23 '!$A$4:$E$3180,3,0)</f>
        <v>M</v>
      </c>
      <c r="G371" s="66">
        <v>366</v>
      </c>
      <c r="H371" s="67">
        <f>VLOOKUP(D371,'FDE 10-23 '!$A$4:$E$3180,5,0)</f>
        <v>33.75</v>
      </c>
      <c r="I371" s="68">
        <f t="shared" si="69"/>
        <v>0.23</v>
      </c>
      <c r="J371" s="67">
        <f t="shared" si="70"/>
        <v>41.51</v>
      </c>
      <c r="K371" s="71">
        <f t="shared" si="71"/>
        <v>15192.66</v>
      </c>
      <c r="L371" s="51"/>
      <c r="M371" s="52"/>
    </row>
    <row r="372" spans="2:13" s="25" customFormat="1" ht="30" customHeight="1" outlineLevel="1">
      <c r="B372" s="61"/>
      <c r="C372" s="62" t="s">
        <v>26</v>
      </c>
      <c r="D372" s="63" t="s">
        <v>790</v>
      </c>
      <c r="E372" s="64" t="str">
        <f>IFERROR(UPPER(IF(C372="CPU",VLOOKUP(D372,#REF!,2,0),IF(C372="SINAPI",VLOOKUP(D372,#REF!,2,0),IF(C372="EDIF",VLOOKUP(D372,#REF!,2,0),IF(C372="CDHU",VLOOKUP(D372,#REF!,2,0),IF(C372="FDE",VLOOKUP(D372,'FDE 10-23 '!$A$4:$E$3180,2,0),IF(C372="INFRA",VLOOKUP(D372,#REF!,2,0),""))))))),"")</f>
        <v>TERRA SIMPLES - 1 HASTE COM CAIXA DE INSPEÇÃO E TAMPA DE CONCRETO</v>
      </c>
      <c r="F372" s="65" t="str">
        <f>VLOOKUP(D372,'FDE 10-23 '!$A$4:$E$3180,3,0)</f>
        <v>UN</v>
      </c>
      <c r="G372" s="66">
        <v>24</v>
      </c>
      <c r="H372" s="67">
        <f>VLOOKUP(D372,'FDE 10-23 '!$A$4:$E$3180,5,0)</f>
        <v>352.49</v>
      </c>
      <c r="I372" s="68">
        <f t="shared" si="69"/>
        <v>0.23</v>
      </c>
      <c r="J372" s="67">
        <f t="shared" si="70"/>
        <v>433.56</v>
      </c>
      <c r="K372" s="71">
        <f t="shared" si="71"/>
        <v>10405.44</v>
      </c>
      <c r="L372" s="51"/>
      <c r="M372" s="52"/>
    </row>
    <row r="373" spans="2:13" s="25" customFormat="1" ht="30" customHeight="1" outlineLevel="1">
      <c r="B373" s="61"/>
      <c r="C373" s="62" t="s">
        <v>26</v>
      </c>
      <c r="D373" s="63" t="s">
        <v>792</v>
      </c>
      <c r="E373" s="64" t="str">
        <f>IFERROR(UPPER(IF(C373="CPU",VLOOKUP(D373,#REF!,2,0),IF(C373="SINAPI",VLOOKUP(D373,#REF!,2,0),IF(C373="EDIF",VLOOKUP(D373,#REF!,2,0),IF(C373="CDHU",VLOOKUP(D373,#REF!,2,0),IF(C373="FDE",VLOOKUP(D373,'FDE 10-23 '!$A$4:$E$3180,2,0),IF(C373="INFRA",VLOOKUP(D373,#REF!,2,0),""))))))),"")</f>
        <v>CONEXAO EXOTERMICA CABO/CABO</v>
      </c>
      <c r="F373" s="65" t="str">
        <f>VLOOKUP(D373,'FDE 10-23 '!$A$4:$E$3180,3,0)</f>
        <v>UN</v>
      </c>
      <c r="G373" s="66">
        <v>16</v>
      </c>
      <c r="H373" s="67">
        <f>VLOOKUP(D373,'FDE 10-23 '!$A$4:$E$3180,5,0)</f>
        <v>50.29</v>
      </c>
      <c r="I373" s="68">
        <f t="shared" si="69"/>
        <v>0.23</v>
      </c>
      <c r="J373" s="67">
        <f t="shared" si="70"/>
        <v>61.86</v>
      </c>
      <c r="K373" s="71">
        <f t="shared" si="71"/>
        <v>989.76</v>
      </c>
      <c r="L373" s="51"/>
      <c r="M373" s="52"/>
    </row>
    <row r="374" spans="2:13" s="25" customFormat="1" ht="30" customHeight="1" outlineLevel="1">
      <c r="B374" s="61"/>
      <c r="C374" s="62" t="s">
        <v>26</v>
      </c>
      <c r="D374" s="63" t="s">
        <v>794</v>
      </c>
      <c r="E374" s="64" t="str">
        <f>IFERROR(UPPER(IF(C374="CPU",VLOOKUP(D374,#REF!,2,0),IF(C374="SINAPI",VLOOKUP(D374,#REF!,2,0),IF(C374="EDIF",VLOOKUP(D374,#REF!,2,0),IF(C374="CDHU",VLOOKUP(D374,#REF!,2,0),IF(C374="FDE",VLOOKUP(D374,'FDE 10-23 '!$A$4:$E$3180,2,0),IF(C374="INFRA",VLOOKUP(D374,#REF!,2,0),""))))))),"")</f>
        <v>CONEXAO EXOTERMICA CABO/HASTE</v>
      </c>
      <c r="F374" s="65" t="str">
        <f>VLOOKUP(D374,'FDE 10-23 '!$A$4:$E$3180,3,0)</f>
        <v>UN</v>
      </c>
      <c r="G374" s="66">
        <v>25</v>
      </c>
      <c r="H374" s="67">
        <f>VLOOKUP(D374,'FDE 10-23 '!$A$4:$E$3180,5,0)</f>
        <v>50.49</v>
      </c>
      <c r="I374" s="68">
        <f t="shared" si="69"/>
        <v>0.23</v>
      </c>
      <c r="J374" s="67">
        <f t="shared" si="70"/>
        <v>62.1</v>
      </c>
      <c r="K374" s="71">
        <f t="shared" si="71"/>
        <v>1552.5</v>
      </c>
      <c r="L374" s="51"/>
      <c r="M374" s="52"/>
    </row>
    <row r="375" spans="2:13" s="25" customFormat="1" ht="30" customHeight="1" outlineLevel="1">
      <c r="B375" s="61"/>
      <c r="C375" s="62" t="s">
        <v>26</v>
      </c>
      <c r="D375" s="63" t="s">
        <v>796</v>
      </c>
      <c r="E375" s="64" t="str">
        <f>IFERROR(UPPER(IF(C375="CPU",VLOOKUP(D375,#REF!,2,0),IF(C375="SINAPI",VLOOKUP(D375,#REF!,2,0),IF(C375="EDIF",VLOOKUP(D375,#REF!,2,0),IF(C375="CDHU",VLOOKUP(D375,#REF!,2,0),IF(C375="FDE",VLOOKUP(D375,'FDE 10-23 '!$A$4:$E$3180,2,0),IF(C375="INFRA",VLOOKUP(D375,#REF!,2,0),""))))))),"")</f>
        <v>CONEXAO EXOTERMICA EM ESTRUTURA METALICA</v>
      </c>
      <c r="F375" s="65" t="str">
        <f>VLOOKUP(D375,'FDE 10-23 '!$A$4:$E$3180,3,0)</f>
        <v>UN</v>
      </c>
      <c r="G375" s="66">
        <v>14</v>
      </c>
      <c r="H375" s="67">
        <f>VLOOKUP(D375,'FDE 10-23 '!$A$4:$E$3180,5,0)</f>
        <v>38.700000000000003</v>
      </c>
      <c r="I375" s="68">
        <f t="shared" si="69"/>
        <v>0.23</v>
      </c>
      <c r="J375" s="67">
        <f t="shared" si="70"/>
        <v>47.6</v>
      </c>
      <c r="K375" s="71">
        <f t="shared" si="71"/>
        <v>666.4</v>
      </c>
      <c r="L375" s="51"/>
      <c r="M375" s="52"/>
    </row>
    <row r="376" spans="2:13" s="25" customFormat="1" ht="30" customHeight="1" outlineLevel="1">
      <c r="B376" s="61"/>
      <c r="C376" s="62" t="s">
        <v>26</v>
      </c>
      <c r="D376" s="63" t="s">
        <v>798</v>
      </c>
      <c r="E376" s="64" t="str">
        <f>IFERROR(UPPER(IF(C376="CPU",VLOOKUP(D376,#REF!,2,0),IF(C376="SINAPI",VLOOKUP(D376,#REF!,2,0),IF(C376="EDIF",VLOOKUP(D376,#REF!,2,0),IF(C376="CDHU",VLOOKUP(D376,#REF!,2,0),IF(C376="FDE",VLOOKUP(D376,'FDE 10-23 '!$A$4:$E$3180,2,0),IF(C376="INFRA",VLOOKUP(D376,#REF!,2,0),""))))))),"")</f>
        <v>TUBO DE PVC Ø 2'' X 3,00M PARA PROTEÇAO  DESCIDA DE CORDOALHA</v>
      </c>
      <c r="F376" s="65" t="str">
        <f>VLOOKUP(D376,'FDE 10-23 '!$A$4:$E$3180,3,0)</f>
        <v>UN</v>
      </c>
      <c r="G376" s="66">
        <v>16</v>
      </c>
      <c r="H376" s="67">
        <f>VLOOKUP(D376,'FDE 10-23 '!$A$4:$E$3180,5,0)</f>
        <v>93.27</v>
      </c>
      <c r="I376" s="68">
        <f t="shared" si="69"/>
        <v>0.23</v>
      </c>
      <c r="J376" s="67">
        <f t="shared" si="70"/>
        <v>114.72</v>
      </c>
      <c r="K376" s="71">
        <f t="shared" si="71"/>
        <v>1835.52</v>
      </c>
      <c r="L376" s="51"/>
      <c r="M376" s="52"/>
    </row>
    <row r="377" spans="2:13" s="25" customFormat="1" ht="30" customHeight="1" outlineLevel="1">
      <c r="B377" s="61"/>
      <c r="C377" s="62" t="s">
        <v>26</v>
      </c>
      <c r="D377" s="63" t="s">
        <v>800</v>
      </c>
      <c r="E377" s="64" t="str">
        <f>IFERROR(UPPER(IF(C377="CPU",VLOOKUP(D377,#REF!,2,0),IF(C377="SINAPI",VLOOKUP(D377,#REF!,2,0),IF(C377="EDIF",VLOOKUP(D377,#REF!,2,0),IF(C377="CDHU",VLOOKUP(D377,#REF!,2,0),IF(C377="FDE",VLOOKUP(D377,'FDE 10-23 '!$A$4:$E$3180,2,0),IF(C377="INFRA",VLOOKUP(D377,#REF!,2,0),""))))))),"")</f>
        <v>CORDOALHA DE AÇO GALV. A QUENTE 50 MM2 (3/8") C/SUPORTE.DE FIXAÇÃO.</v>
      </c>
      <c r="F377" s="65" t="str">
        <f>VLOOKUP(D377,'FDE 10-23 '!$A$4:$E$3180,3,0)</f>
        <v>M</v>
      </c>
      <c r="G377" s="66">
        <v>497</v>
      </c>
      <c r="H377" s="67">
        <f>VLOOKUP(D377,'FDE 10-23 '!$A$4:$E$3180,5,0)</f>
        <v>35.56</v>
      </c>
      <c r="I377" s="68">
        <f t="shared" si="69"/>
        <v>0.23</v>
      </c>
      <c r="J377" s="67">
        <f t="shared" si="70"/>
        <v>43.74</v>
      </c>
      <c r="K377" s="71">
        <f t="shared" si="71"/>
        <v>21738.780000000002</v>
      </c>
      <c r="L377" s="51"/>
      <c r="M377" s="52"/>
    </row>
    <row r="378" spans="2:13" s="25" customFormat="1" ht="30" customHeight="1">
      <c r="B378" s="43">
        <v>10</v>
      </c>
      <c r="C378" s="44"/>
      <c r="D378" s="44" t="s">
        <v>801</v>
      </c>
      <c r="E378" s="45" t="s">
        <v>802</v>
      </c>
      <c r="F378" s="46" t="str">
        <f>IFERROR(UPPER(IF(C378="CPU",VLOOKUP(D378,#REF!,3,0),IF(C378="SINAPI",VLOOKUP(D378,#REF!,3,0),IF(C378="EDIF",VLOOKUP(D378,#REF!,3,0),IF(C378="CDHU",VLOOKUP(D378,#REF!,3,0),IF(C378="FDE",VLOOKUP(D378,#REF!,3,0),IF(C378="INFRA",VLOOKUP(D378,#REF!,3,0),""))))))),"")</f>
        <v/>
      </c>
      <c r="G378" s="47"/>
      <c r="H378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78" s="49"/>
      <c r="J378" s="49"/>
      <c r="K378" s="81">
        <f>SUBTOTAL(9,K379:K380)</f>
        <v>192596.008</v>
      </c>
      <c r="L378" s="51"/>
      <c r="M378" s="52"/>
    </row>
    <row r="379" spans="2:13" s="25" customFormat="1" ht="30" customHeight="1" outlineLevel="1">
      <c r="B379" s="53" t="s">
        <v>803</v>
      </c>
      <c r="C379" s="54"/>
      <c r="D379" s="54" t="s">
        <v>804</v>
      </c>
      <c r="E379" s="55" t="s">
        <v>802</v>
      </c>
      <c r="F379" s="56" t="str">
        <f>IFERROR(UPPER(IF(C379="CPU",VLOOKUP(D379,#REF!,3,0),IF(C379="SINAPI",VLOOKUP(D379,#REF!,3,0),IF(C379="EDIF",VLOOKUP(D379,#REF!,3,0),IF(C379="CDHU",VLOOKUP(D379,#REF!,3,0),IF(C379="FDE",VLOOKUP(D379,#REF!,3,0),IF(C379="INFRA",VLOOKUP(D379,#REF!,3,0),""))))))),"")</f>
        <v/>
      </c>
      <c r="G379" s="57"/>
      <c r="H379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79" s="59"/>
      <c r="J379" s="59"/>
      <c r="K379" s="82">
        <f>SUBTOTAL(9,K380)</f>
        <v>192596.008</v>
      </c>
      <c r="L379" s="51"/>
      <c r="M379" s="52"/>
    </row>
    <row r="380" spans="2:13" s="25" customFormat="1" ht="30" customHeight="1" outlineLevel="1">
      <c r="B380" s="61"/>
      <c r="C380" s="62" t="s">
        <v>26</v>
      </c>
      <c r="D380" s="63" t="s">
        <v>806</v>
      </c>
      <c r="E380" s="64" t="str">
        <f>IFERROR(UPPER(IF(C380="CPU",VLOOKUP(D380,#REF!,2,0),IF(C380="SINAPI",VLOOKUP(D380,#REF!,2,0),IF(C380="EDIF",VLOOKUP(D380,#REF!,2,0),IF(C380="CDHU",VLOOKUP(D380,#REF!,2,0),IF(C380="FDE",VLOOKUP(D380,'FDE 10-23 '!$A$4:$E$3180,2,0),IF(C380="INFRA",VLOOKUP(D380,#REF!,2,0),""))))))),"")</f>
        <v>FORRO PLACA MINERAL NRC 0,70 MP COMPLETE INCL.PERFIS FORNEC/INST.</v>
      </c>
      <c r="F380" s="65" t="str">
        <f>VLOOKUP(D380,'FDE 10-23 '!$A$4:$E$3180,3,0)</f>
        <v>M2</v>
      </c>
      <c r="G380" s="66">
        <v>965.2</v>
      </c>
      <c r="H380" s="67">
        <f>VLOOKUP(D380,'FDE 10-23 '!$A$4:$E$3180,5,0)</f>
        <v>162.22999999999999</v>
      </c>
      <c r="I380" s="68">
        <f>$L$10</f>
        <v>0.23</v>
      </c>
      <c r="J380" s="67">
        <f>ROUND(H380*(1+I380),2)</f>
        <v>199.54</v>
      </c>
      <c r="K380" s="71">
        <f>SUM(G380*J380)</f>
        <v>192596.008</v>
      </c>
      <c r="L380" s="51"/>
      <c r="M380" s="52"/>
    </row>
    <row r="381" spans="2:13" s="25" customFormat="1" ht="30" customHeight="1">
      <c r="B381" s="43">
        <v>11</v>
      </c>
      <c r="C381" s="44"/>
      <c r="D381" s="44" t="s">
        <v>807</v>
      </c>
      <c r="E381" s="45" t="s">
        <v>808</v>
      </c>
      <c r="F381" s="46" t="str">
        <f>IFERROR(UPPER(IF(C381="CPU",VLOOKUP(D381,#REF!,3,0),IF(C381="SINAPI",VLOOKUP(D381,#REF!,3,0),IF(C381="EDIF",VLOOKUP(D381,#REF!,3,0),IF(C381="CDHU",VLOOKUP(D381,#REF!,3,0),IF(C381="FDE",VLOOKUP(D381,#REF!,3,0),IF(C381="INFRA",VLOOKUP(D381,#REF!,3,0),""))))))),"")</f>
        <v/>
      </c>
      <c r="G381" s="47"/>
      <c r="H381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81" s="49"/>
      <c r="J381" s="49"/>
      <c r="K381" s="81">
        <f>SUBTOTAL(9,K382:K390)</f>
        <v>30931.815800000004</v>
      </c>
      <c r="L381" s="51"/>
      <c r="M381" s="52"/>
    </row>
    <row r="382" spans="2:13" s="25" customFormat="1" ht="30" customHeight="1" outlineLevel="1">
      <c r="B382" s="53" t="s">
        <v>809</v>
      </c>
      <c r="C382" s="54"/>
      <c r="D382" s="54" t="s">
        <v>810</v>
      </c>
      <c r="E382" s="55" t="s">
        <v>811</v>
      </c>
      <c r="F382" s="56" t="str">
        <f>IFERROR(UPPER(IF(C382="CPU",VLOOKUP(D382,#REF!,3,0),IF(C382="SINAPI",VLOOKUP(D382,#REF!,3,0),IF(C382="EDIF",VLOOKUP(D382,#REF!,3,0),IF(C382="CDHU",VLOOKUP(D382,#REF!,3,0),IF(C382="FDE",VLOOKUP(D382,#REF!,3,0),IF(C382="INFRA",VLOOKUP(D382,#REF!,3,0),""))))))),"")</f>
        <v/>
      </c>
      <c r="G382" s="57"/>
      <c r="H382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82" s="59"/>
      <c r="J382" s="59"/>
      <c r="K382" s="82">
        <f>SUBTOTAL(9,K383:K385)</f>
        <v>20903.248800000001</v>
      </c>
      <c r="L382" s="51"/>
      <c r="M382" s="52"/>
    </row>
    <row r="383" spans="2:13" s="25" customFormat="1" ht="30" customHeight="1" outlineLevel="1">
      <c r="B383" s="61"/>
      <c r="C383" s="62" t="s">
        <v>26</v>
      </c>
      <c r="D383" s="63" t="s">
        <v>813</v>
      </c>
      <c r="E383" s="64" t="str">
        <f>IFERROR(UPPER(IF(C383="CPU",VLOOKUP(D383,#REF!,2,0),IF(C383="SINAPI",VLOOKUP(D383,#REF!,2,0),IF(C383="EDIF",VLOOKUP(D383,#REF!,2,0),IF(C383="CDHU",VLOOKUP(D383,#REF!,2,0),IF(C383="FDE",VLOOKUP(D383,'FDE 10-23 '!$A$4:$E$3180,2,0),IF(C383="INFRA",VLOOKUP(D383,#REF!,2,0),""))))))),"")</f>
        <v>IMPERM C/ EMULSAO ACRILICA ESTRUT C/ VEU DE POLIESTER-6 DEMAOS / 2 EST</v>
      </c>
      <c r="F383" s="65" t="str">
        <f>VLOOKUP(D383,'FDE 10-23 '!$A$4:$E$3180,3,0)</f>
        <v>M2</v>
      </c>
      <c r="G383" s="66">
        <v>255.6</v>
      </c>
      <c r="H383" s="67">
        <f>VLOOKUP(D383,'FDE 10-23 '!$A$4:$E$3180,5,0)</f>
        <v>59.64</v>
      </c>
      <c r="I383" s="68">
        <f>$L$10</f>
        <v>0.23</v>
      </c>
      <c r="J383" s="67">
        <f>ROUND(H383*(1+I383),2)</f>
        <v>73.36</v>
      </c>
      <c r="K383" s="71">
        <f>SUM(G383*J383)</f>
        <v>18750.815999999999</v>
      </c>
      <c r="L383" s="51"/>
      <c r="M383" s="52"/>
    </row>
    <row r="384" spans="2:13" s="25" customFormat="1" ht="30" customHeight="1" outlineLevel="1">
      <c r="B384" s="61"/>
      <c r="C384" s="62" t="s">
        <v>26</v>
      </c>
      <c r="D384" s="63" t="s">
        <v>815</v>
      </c>
      <c r="E384" s="64" t="str">
        <f>IFERROR(UPPER(IF(C384="CPU",VLOOKUP(D384,#REF!,2,0),IF(C384="SINAPI",VLOOKUP(D384,#REF!,2,0),IF(C384="EDIF",VLOOKUP(D384,#REF!,2,0),IF(C384="CDHU",VLOOKUP(D384,#REF!,2,0),IF(C384="FDE",VLOOKUP(D384,'FDE 10-23 '!$A$4:$E$3180,2,0),IF(C384="INFRA",VLOOKUP(D384,#REF!,2,0),""))))))),"")</f>
        <v>REGULARIZACAO DE SUPERFICIE P/ PREPARO IMPERM 1:3 E=2,5CM</v>
      </c>
      <c r="F384" s="65" t="str">
        <f>VLOOKUP(D384,'FDE 10-23 '!$A$4:$E$3180,3,0)</f>
        <v>M2</v>
      </c>
      <c r="G384" s="66">
        <v>45.36</v>
      </c>
      <c r="H384" s="67">
        <f>VLOOKUP(D384,'FDE 10-23 '!$A$4:$E$3180,5,0)</f>
        <v>25.91</v>
      </c>
      <c r="I384" s="68">
        <f>$L$10</f>
        <v>0.23</v>
      </c>
      <c r="J384" s="67">
        <f>ROUND(H384*(1+I384),2)</f>
        <v>31.87</v>
      </c>
      <c r="K384" s="71">
        <f>SUM(G384*J384)</f>
        <v>1445.6232</v>
      </c>
      <c r="L384" s="51"/>
      <c r="M384" s="52"/>
    </row>
    <row r="385" spans="2:13" s="25" customFormat="1" ht="30" customHeight="1" outlineLevel="1">
      <c r="B385" s="61"/>
      <c r="C385" s="62" t="s">
        <v>26</v>
      </c>
      <c r="D385" s="63" t="s">
        <v>817</v>
      </c>
      <c r="E385" s="64" t="str">
        <f>IFERROR(UPPER(IF(C385="CPU",VLOOKUP(D385,#REF!,2,0),IF(C385="SINAPI",VLOOKUP(D385,#REF!,2,0),IF(C385="EDIF",VLOOKUP(D385,#REF!,2,0),IF(C385="CDHU",VLOOKUP(D385,#REF!,2,0),IF(C385="FDE",VLOOKUP(D385,'FDE 10-23 '!$A$4:$E$3180,2,0),IF(C385="INFRA",VLOOKUP(D385,#REF!,2,0),""))))))),"")</f>
        <v>ARGAMASSA PARA PROTEÇAO MECANICA SOBRE SUPERFICIE IMPERMEABILIZADA TRAÇO 1:4  ESPESSURA 3CM</v>
      </c>
      <c r="F385" s="65" t="str">
        <f>VLOOKUP(D385,'FDE 10-23 '!$A$4:$E$3180,3,0)</f>
        <v>M2</v>
      </c>
      <c r="G385" s="66">
        <v>20.16</v>
      </c>
      <c r="H385" s="67">
        <f>VLOOKUP(D385,'FDE 10-23 '!$A$4:$E$3180,5,0)</f>
        <v>28.5</v>
      </c>
      <c r="I385" s="68">
        <f>$L$10</f>
        <v>0.23</v>
      </c>
      <c r="J385" s="67">
        <f>ROUND(H385*(1+I385),2)</f>
        <v>35.06</v>
      </c>
      <c r="K385" s="71">
        <f>SUM(G385*J385)</f>
        <v>706.80960000000005</v>
      </c>
      <c r="L385" s="51"/>
      <c r="M385" s="52"/>
    </row>
    <row r="386" spans="2:13" s="25" customFormat="1" ht="30" customHeight="1" outlineLevel="1">
      <c r="B386" s="53" t="s">
        <v>818</v>
      </c>
      <c r="C386" s="54"/>
      <c r="D386" s="54" t="s">
        <v>819</v>
      </c>
      <c r="E386" s="55" t="s">
        <v>820</v>
      </c>
      <c r="F386" s="56" t="str">
        <f>IFERROR(UPPER(IF(C386="CPU",VLOOKUP(D386,#REF!,3,0),IF(C386="SINAPI",VLOOKUP(D386,#REF!,3,0),IF(C386="EDIF",VLOOKUP(D386,#REF!,3,0),IF(C386="CDHU",VLOOKUP(D386,#REF!,3,0),IF(C386="FDE",VLOOKUP(D386,#REF!,3,0),IF(C386="INFRA",VLOOKUP(D386,#REF!,3,0),""))))))),"")</f>
        <v/>
      </c>
      <c r="G386" s="57"/>
      <c r="H386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86" s="59"/>
      <c r="J386" s="59"/>
      <c r="K386" s="82">
        <f>SUBTOTAL(9,K387:K388)</f>
        <v>2502.1669999999999</v>
      </c>
      <c r="L386" s="51"/>
      <c r="M386" s="52"/>
    </row>
    <row r="387" spans="2:13" s="25" customFormat="1" ht="30" customHeight="1" outlineLevel="1">
      <c r="B387" s="61"/>
      <c r="C387" s="62" t="s">
        <v>26</v>
      </c>
      <c r="D387" s="63" t="s">
        <v>822</v>
      </c>
      <c r="E387" s="64" t="str">
        <f>IFERROR(UPPER(IF(C387="CPU",VLOOKUP(D387,#REF!,2,0),IF(C387="SINAPI",VLOOKUP(D387,#REF!,2,0),IF(C387="EDIF",VLOOKUP(D387,#REF!,2,0),IF(C387="CDHU",VLOOKUP(D387,#REF!,2,0),IF(C387="FDE",VLOOKUP(D387,'FDE 10-23 '!$A$4:$E$3180,2,0),IF(C387="INFRA",VLOOKUP(D387,#REF!,2,0),""))))))),"")</f>
        <v>IMPERMEABIL RESERV.ENTERRADO COM ARGAMASSA POLIMERICA SEMIFLEXIVEL COM APLICAÇÃO 4 DEMÃOS</v>
      </c>
      <c r="F387" s="65" t="str">
        <f>VLOOKUP(D387,'FDE 10-23 '!$A$4:$E$3180,3,0)</f>
        <v>M2</v>
      </c>
      <c r="G387" s="66">
        <v>86.78</v>
      </c>
      <c r="H387" s="67">
        <f>VLOOKUP(D387,'FDE 10-23 '!$A$4:$E$3180,5,0)</f>
        <v>22.48</v>
      </c>
      <c r="I387" s="68">
        <f>$L$10</f>
        <v>0.23</v>
      </c>
      <c r="J387" s="67">
        <f>ROUND(H387*(1+I387),2)</f>
        <v>27.65</v>
      </c>
      <c r="K387" s="71">
        <f>SUM(G387*J387)</f>
        <v>2399.4670000000001</v>
      </c>
      <c r="L387" s="51"/>
      <c r="M387" s="52"/>
    </row>
    <row r="388" spans="2:13" s="25" customFormat="1" ht="30" customHeight="1" outlineLevel="1">
      <c r="B388" s="61"/>
      <c r="C388" s="62" t="s">
        <v>26</v>
      </c>
      <c r="D388" s="63" t="s">
        <v>824</v>
      </c>
      <c r="E388" s="64" t="str">
        <f>IFERROR(UPPER(IF(C388="CPU",VLOOKUP(D388,#REF!,2,0),IF(C388="SINAPI",VLOOKUP(D388,#REF!,2,0),IF(C388="EDIF",VLOOKUP(D388,#REF!,2,0),IF(C388="CDHU",VLOOKUP(D388,#REF!,2,0),IF(C388="FDE",VLOOKUP(D388,'FDE 10-23 '!$A$4:$E$3180,2,0),IF(C388="INFRA",VLOOKUP(D388,#REF!,2,0),""))))))),"")</f>
        <v>COM TINTA BETUMINOSA (APLICACAO EXTERNA)</v>
      </c>
      <c r="F388" s="65" t="str">
        <f>VLOOKUP(D388,'FDE 10-23 '!$A$4:$E$3180,3,0)</f>
        <v>M2</v>
      </c>
      <c r="G388" s="66">
        <v>5</v>
      </c>
      <c r="H388" s="67">
        <f>VLOOKUP(D388,'FDE 10-23 '!$A$4:$E$3180,5,0)</f>
        <v>16.7</v>
      </c>
      <c r="I388" s="68">
        <f>$L$10</f>
        <v>0.23</v>
      </c>
      <c r="J388" s="67">
        <f>ROUND(H388*(1+I388),2)</f>
        <v>20.54</v>
      </c>
      <c r="K388" s="71">
        <f>SUM(G388*J388)</f>
        <v>102.69999999999999</v>
      </c>
      <c r="L388" s="51"/>
      <c r="M388" s="52"/>
    </row>
    <row r="389" spans="2:13" s="25" customFormat="1" ht="30" customHeight="1" outlineLevel="1">
      <c r="B389" s="53" t="s">
        <v>825</v>
      </c>
      <c r="C389" s="54"/>
      <c r="D389" s="54" t="s">
        <v>826</v>
      </c>
      <c r="E389" s="55" t="s">
        <v>827</v>
      </c>
      <c r="F389" s="56" t="str">
        <f>IFERROR(UPPER(IF(C389="CPU",VLOOKUP(D389,#REF!,3,0),IF(C389="SINAPI",VLOOKUP(D389,#REF!,3,0),IF(C389="EDIF",VLOOKUP(D389,#REF!,3,0),IF(C389="CDHU",VLOOKUP(D389,#REF!,3,0),IF(C389="FDE",VLOOKUP(D389,#REF!,3,0),IF(C389="INFRA",VLOOKUP(D389,#REF!,3,0),""))))))),"")</f>
        <v/>
      </c>
      <c r="G389" s="57"/>
      <c r="H389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89" s="59"/>
      <c r="J389" s="59"/>
      <c r="K389" s="82">
        <f>SUBTOTAL(9,K390)</f>
        <v>7526.4000000000005</v>
      </c>
      <c r="L389" s="51"/>
      <c r="M389" s="52"/>
    </row>
    <row r="390" spans="2:13" s="25" customFormat="1" ht="30" customHeight="1" outlineLevel="1">
      <c r="B390" s="61"/>
      <c r="C390" s="62" t="s">
        <v>26</v>
      </c>
      <c r="D390" s="63" t="s">
        <v>829</v>
      </c>
      <c r="E390" s="64" t="str">
        <f>IFERROR(UPPER(IF(C390="CPU",VLOOKUP(D390,#REF!,2,0),IF(C390="SINAPI",VLOOKUP(D390,#REF!,2,0),IF(C390="EDIF",VLOOKUP(D390,#REF!,2,0),IF(C390="CDHU",VLOOKUP(D390,#REF!,2,0),IF(C390="FDE",VLOOKUP(D390,'FDE 10-23 '!$A$4:$E$3180,2,0),IF(C390="INFRA",VLOOKUP(D390,#REF!,2,0),""))))))),"")</f>
        <v>JUNTAS DE DILATACAO/MASTIQUE ELASTICO OU POLIURETANO</v>
      </c>
      <c r="F390" s="65" t="str">
        <f>VLOOKUP(D390,'FDE 10-23 '!$A$4:$E$3180,3,0)</f>
        <v>C3</v>
      </c>
      <c r="G390" s="66">
        <v>26880</v>
      </c>
      <c r="H390" s="67">
        <f>VLOOKUP(D390,'FDE 10-23 '!$A$4:$E$3180,5,0)</f>
        <v>0.23</v>
      </c>
      <c r="I390" s="68">
        <f>$L$10</f>
        <v>0.23</v>
      </c>
      <c r="J390" s="67">
        <f>ROUND(H390*(1+I390),2)</f>
        <v>0.28000000000000003</v>
      </c>
      <c r="K390" s="71">
        <f>SUM(G390*J390)</f>
        <v>7526.4000000000005</v>
      </c>
      <c r="L390" s="51"/>
      <c r="M390" s="52"/>
    </row>
    <row r="391" spans="2:13" s="25" customFormat="1" ht="30" customHeight="1">
      <c r="B391" s="43">
        <v>12</v>
      </c>
      <c r="C391" s="44"/>
      <c r="D391" s="44" t="s">
        <v>830</v>
      </c>
      <c r="E391" s="45" t="s">
        <v>831</v>
      </c>
      <c r="F391" s="46" t="str">
        <f>IFERROR(UPPER(IF(C391="CPU",VLOOKUP(D391,#REF!,3,0),IF(C391="SINAPI",VLOOKUP(D391,#REF!,3,0),IF(C391="EDIF",VLOOKUP(D391,#REF!,3,0),IF(C391="CDHU",VLOOKUP(D391,#REF!,3,0),IF(C391="FDE",VLOOKUP(D391,#REF!,3,0),IF(C391="INFRA",VLOOKUP(D391,#REF!,3,0),""))))))),"")</f>
        <v/>
      </c>
      <c r="G391" s="47"/>
      <c r="H391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91" s="49"/>
      <c r="J391" s="49"/>
      <c r="K391" s="81">
        <f>SUBTOTAL(9,K392:K404)</f>
        <v>192940.33319999996</v>
      </c>
      <c r="L391" s="51"/>
      <c r="M391" s="52"/>
    </row>
    <row r="392" spans="2:13" s="25" customFormat="1" ht="30" customHeight="1" outlineLevel="1">
      <c r="B392" s="53" t="s">
        <v>832</v>
      </c>
      <c r="C392" s="54"/>
      <c r="D392" s="54" t="s">
        <v>833</v>
      </c>
      <c r="E392" s="55" t="s">
        <v>834</v>
      </c>
      <c r="F392" s="56" t="str">
        <f>IFERROR(UPPER(IF(C392="CPU",VLOOKUP(D392,#REF!,3,0),IF(C392="SINAPI",VLOOKUP(D392,#REF!,3,0),IF(C392="EDIF",VLOOKUP(D392,#REF!,3,0),IF(C392="CDHU",VLOOKUP(D392,#REF!,3,0),IF(C392="FDE",VLOOKUP(D392,#REF!,3,0),IF(C392="INFRA",VLOOKUP(D392,#REF!,3,0),""))))))),"")</f>
        <v/>
      </c>
      <c r="G392" s="57"/>
      <c r="H392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92" s="59"/>
      <c r="J392" s="59"/>
      <c r="K392" s="82">
        <f>SUBTOTAL(9,K393:K394)</f>
        <v>460.67599999999993</v>
      </c>
      <c r="L392" s="51"/>
      <c r="M392" s="52"/>
    </row>
    <row r="393" spans="2:13" s="25" customFormat="1" ht="30" customHeight="1" outlineLevel="1">
      <c r="B393" s="61"/>
      <c r="C393" s="62" t="s">
        <v>26</v>
      </c>
      <c r="D393" s="63" t="s">
        <v>836</v>
      </c>
      <c r="E393" s="64" t="str">
        <f>IFERROR(UPPER(IF(C393="CPU",VLOOKUP(D393,#REF!,2,0),IF(C393="SINAPI",VLOOKUP(D393,#REF!,2,0),IF(C393="EDIF",VLOOKUP(D393,#REF!,2,0),IF(C393="CDHU",VLOOKUP(D393,#REF!,2,0),IF(C393="FDE",VLOOKUP(D393,'FDE 10-23 '!$A$4:$E$3180,2,0),IF(C393="INFRA",VLOOKUP(D393,#REF!,2,0),""))))))),"")</f>
        <v>CHAPISCO</v>
      </c>
      <c r="F393" s="65" t="str">
        <f>VLOOKUP(D393,'FDE 10-23 '!$A$4:$E$3180,3,0)</f>
        <v>M2</v>
      </c>
      <c r="G393" s="66">
        <v>8.1999999999999993</v>
      </c>
      <c r="H393" s="67">
        <f>VLOOKUP(D393,'FDE 10-23 '!$A$4:$E$3180,5,0)</f>
        <v>10.06</v>
      </c>
      <c r="I393" s="68">
        <f>$L$10</f>
        <v>0.23</v>
      </c>
      <c r="J393" s="67">
        <f>ROUND(H393*(1+I393),2)</f>
        <v>12.37</v>
      </c>
      <c r="K393" s="71">
        <f>SUM(G393*J393)</f>
        <v>101.43399999999998</v>
      </c>
      <c r="L393" s="51"/>
      <c r="M393" s="52"/>
    </row>
    <row r="394" spans="2:13" s="25" customFormat="1" ht="30" customHeight="1" outlineLevel="1">
      <c r="B394" s="61"/>
      <c r="C394" s="62" t="s">
        <v>26</v>
      </c>
      <c r="D394" s="63" t="s">
        <v>838</v>
      </c>
      <c r="E394" s="64" t="str">
        <f>IFERROR(UPPER(IF(C394="CPU",VLOOKUP(D394,#REF!,2,0),IF(C394="SINAPI",VLOOKUP(D394,#REF!,2,0),IF(C394="EDIF",VLOOKUP(D394,#REF!,2,0),IF(C394="CDHU",VLOOKUP(D394,#REF!,2,0),IF(C394="FDE",VLOOKUP(D394,'FDE 10-23 '!$A$4:$E$3180,2,0),IF(C394="INFRA",VLOOKUP(D394,#REF!,2,0),""))))))),"")</f>
        <v>EMBOCO DESEMPENADO</v>
      </c>
      <c r="F394" s="65" t="str">
        <f>VLOOKUP(D394,'FDE 10-23 '!$A$4:$E$3180,3,0)</f>
        <v>M2</v>
      </c>
      <c r="G394" s="66">
        <v>8.1999999999999993</v>
      </c>
      <c r="H394" s="67">
        <f>VLOOKUP(D394,'FDE 10-23 '!$A$4:$E$3180,5,0)</f>
        <v>35.619999999999997</v>
      </c>
      <c r="I394" s="68">
        <f>$L$10</f>
        <v>0.23</v>
      </c>
      <c r="J394" s="67">
        <f>ROUND(H394*(1+I394),2)</f>
        <v>43.81</v>
      </c>
      <c r="K394" s="71">
        <f>SUM(G394*J394)</f>
        <v>359.24199999999996</v>
      </c>
      <c r="L394" s="51"/>
      <c r="M394" s="52"/>
    </row>
    <row r="395" spans="2:13" s="25" customFormat="1" ht="30" customHeight="1" outlineLevel="1">
      <c r="B395" s="53" t="s">
        <v>839</v>
      </c>
      <c r="C395" s="54"/>
      <c r="D395" s="54" t="s">
        <v>840</v>
      </c>
      <c r="E395" s="55" t="s">
        <v>841</v>
      </c>
      <c r="F395" s="56" t="str">
        <f>IFERROR(UPPER(IF(C395="CPU",VLOOKUP(D395,#REF!,3,0),IF(C395="SINAPI",VLOOKUP(D395,#REF!,3,0),IF(C395="EDIF",VLOOKUP(D395,#REF!,3,0),IF(C395="CDHU",VLOOKUP(D395,#REF!,3,0),IF(C395="FDE",VLOOKUP(D395,#REF!,3,0),IF(C395="INFRA",VLOOKUP(D395,#REF!,3,0),""))))))),"")</f>
        <v/>
      </c>
      <c r="G395" s="57"/>
      <c r="H39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95" s="59"/>
      <c r="J395" s="59"/>
      <c r="K395" s="82">
        <f>SUBTOTAL(9,K396:K401)</f>
        <v>168085.3236</v>
      </c>
      <c r="L395" s="51"/>
      <c r="M395" s="52"/>
    </row>
    <row r="396" spans="2:13" s="25" customFormat="1" ht="30" customHeight="1" outlineLevel="1">
      <c r="B396" s="61"/>
      <c r="C396" s="62" t="s">
        <v>26</v>
      </c>
      <c r="D396" s="63" t="s">
        <v>843</v>
      </c>
      <c r="E396" s="64" t="str">
        <f>IFERROR(UPPER(IF(C396="CPU",VLOOKUP(D396,#REF!,2,0),IF(C396="SINAPI",VLOOKUP(D396,#REF!,2,0),IF(C396="EDIF",VLOOKUP(D396,#REF!,2,0),IF(C396="CDHU",VLOOKUP(D396,#REF!,2,0),IF(C396="FDE",VLOOKUP(D396,'FDE 10-23 '!$A$4:$E$3180,2,0),IF(C396="INFRA",VLOOKUP(D396,#REF!,2,0),""))))))),"")</f>
        <v>CHAPISCO</v>
      </c>
      <c r="F396" s="65" t="str">
        <f>VLOOKUP(D396,'FDE 10-23 '!$A$4:$E$3180,3,0)</f>
        <v>M2</v>
      </c>
      <c r="G396" s="66">
        <v>1473.7</v>
      </c>
      <c r="H396" s="67">
        <f>VLOOKUP(D396,'FDE 10-23 '!$A$4:$E$3180,5,0)</f>
        <v>5.71</v>
      </c>
      <c r="I396" s="68">
        <f t="shared" ref="I396:I401" si="72">$L$10</f>
        <v>0.23</v>
      </c>
      <c r="J396" s="67">
        <f t="shared" ref="J396:J401" si="73">ROUND(H396*(1+I396),2)</f>
        <v>7.02</v>
      </c>
      <c r="K396" s="71">
        <f t="shared" ref="K396:K401" si="74">SUM(G396*J396)</f>
        <v>10345.374</v>
      </c>
      <c r="L396" s="51"/>
      <c r="M396" s="52"/>
    </row>
    <row r="397" spans="2:13" s="25" customFormat="1" ht="30" customHeight="1" outlineLevel="1">
      <c r="B397" s="61"/>
      <c r="C397" s="62" t="s">
        <v>26</v>
      </c>
      <c r="D397" s="63" t="s">
        <v>845</v>
      </c>
      <c r="E397" s="64" t="str">
        <f>IFERROR(UPPER(IF(C397="CPU",VLOOKUP(D397,#REF!,2,0),IF(C397="SINAPI",VLOOKUP(D397,#REF!,2,0),IF(C397="EDIF",VLOOKUP(D397,#REF!,2,0),IF(C397="CDHU",VLOOKUP(D397,#REF!,2,0),IF(C397="FDE",VLOOKUP(D397,'FDE 10-23 '!$A$4:$E$3180,2,0),IF(C397="INFRA",VLOOKUP(D397,#REF!,2,0),""))))))),"")</f>
        <v>EMBOCO</v>
      </c>
      <c r="F397" s="65" t="str">
        <f>VLOOKUP(D397,'FDE 10-23 '!$A$4:$E$3180,3,0)</f>
        <v>M2</v>
      </c>
      <c r="G397" s="66">
        <v>558.53</v>
      </c>
      <c r="H397" s="67">
        <f>VLOOKUP(D397,'FDE 10-23 '!$A$4:$E$3180,5,0)</f>
        <v>29.62</v>
      </c>
      <c r="I397" s="68">
        <f t="shared" si="72"/>
        <v>0.23</v>
      </c>
      <c r="J397" s="67">
        <f t="shared" si="73"/>
        <v>36.43</v>
      </c>
      <c r="K397" s="71">
        <f t="shared" si="74"/>
        <v>20347.247899999998</v>
      </c>
      <c r="L397" s="51"/>
      <c r="M397" s="52"/>
    </row>
    <row r="398" spans="2:13" s="25" customFormat="1" ht="30" customHeight="1" outlineLevel="1">
      <c r="B398" s="61"/>
      <c r="C398" s="62" t="s">
        <v>26</v>
      </c>
      <c r="D398" s="63" t="s">
        <v>847</v>
      </c>
      <c r="E398" s="64" t="str">
        <f>IFERROR(UPPER(IF(C398="CPU",VLOOKUP(D398,#REF!,2,0),IF(C398="SINAPI",VLOOKUP(D398,#REF!,2,0),IF(C398="EDIF",VLOOKUP(D398,#REF!,2,0),IF(C398="CDHU",VLOOKUP(D398,#REF!,2,0),IF(C398="FDE",VLOOKUP(D398,'FDE 10-23 '!$A$4:$E$3180,2,0),IF(C398="INFRA",VLOOKUP(D398,#REF!,2,0),""))))))),"")</f>
        <v>EMBOCO DESEMPENADO</v>
      </c>
      <c r="F398" s="65" t="str">
        <f>VLOOKUP(D398,'FDE 10-23 '!$A$4:$E$3180,3,0)</f>
        <v>M2</v>
      </c>
      <c r="G398" s="66">
        <v>915.22</v>
      </c>
      <c r="H398" s="67">
        <f>VLOOKUP(D398,'FDE 10-23 '!$A$4:$E$3180,5,0)</f>
        <v>35.880000000000003</v>
      </c>
      <c r="I398" s="68">
        <f t="shared" si="72"/>
        <v>0.23</v>
      </c>
      <c r="J398" s="67">
        <f t="shared" si="73"/>
        <v>44.13</v>
      </c>
      <c r="K398" s="71">
        <f t="shared" si="74"/>
        <v>40388.658600000002</v>
      </c>
      <c r="L398" s="51"/>
      <c r="M398" s="52"/>
    </row>
    <row r="399" spans="2:13" s="25" customFormat="1" ht="30" customHeight="1" outlineLevel="1">
      <c r="B399" s="61"/>
      <c r="C399" s="62" t="s">
        <v>26</v>
      </c>
      <c r="D399" s="63" t="s">
        <v>849</v>
      </c>
      <c r="E399" s="64" t="str">
        <f>IFERROR(UPPER(IF(C399="CPU",VLOOKUP(D399,#REF!,2,0),IF(C399="SINAPI",VLOOKUP(D399,#REF!,2,0),IF(C399="EDIF",VLOOKUP(D399,#REF!,2,0),IF(C399="CDHU",VLOOKUP(D399,#REF!,2,0),IF(C399="FDE",VLOOKUP(D399,'FDE 10-23 '!$A$4:$E$3180,2,0),IF(C399="INFRA",VLOOKUP(D399,#REF!,2,0),""))))))),"")</f>
        <v>REVESTIMENTO COM GESSO</v>
      </c>
      <c r="F399" s="65" t="str">
        <f>VLOOKUP(D399,'FDE 10-23 '!$A$4:$E$3180,3,0)</f>
        <v>M2</v>
      </c>
      <c r="G399" s="66">
        <v>1272.5</v>
      </c>
      <c r="H399" s="67">
        <f>VLOOKUP(D399,'FDE 10-23 '!$A$4:$E$3180,5,0)</f>
        <v>18.010000000000002</v>
      </c>
      <c r="I399" s="68">
        <f t="shared" si="72"/>
        <v>0.23</v>
      </c>
      <c r="J399" s="67">
        <f t="shared" si="73"/>
        <v>22.15</v>
      </c>
      <c r="K399" s="71">
        <f t="shared" si="74"/>
        <v>28185.875</v>
      </c>
      <c r="L399" s="51"/>
      <c r="M399" s="52"/>
    </row>
    <row r="400" spans="2:13" s="25" customFormat="1" ht="30" customHeight="1" outlineLevel="1">
      <c r="B400" s="61"/>
      <c r="C400" s="62" t="s">
        <v>26</v>
      </c>
      <c r="D400" s="63" t="s">
        <v>851</v>
      </c>
      <c r="E400" s="64" t="str">
        <f>IFERROR(UPPER(IF(C400="CPU",VLOOKUP(D400,#REF!,2,0),IF(C400="SINAPI",VLOOKUP(D400,#REF!,2,0),IF(C400="EDIF",VLOOKUP(D400,#REF!,2,0),IF(C400="CDHU",VLOOKUP(D400,#REF!,2,0),IF(C400="FDE",VLOOKUP(D400,'FDE 10-23 '!$A$4:$E$3180,2,0),IF(C400="INFRA",VLOOKUP(D400,#REF!,2,0),""))))))),"")</f>
        <v>REVESTIMENTO COM AZULEJOS  RETIFICADOS LISOS BRANCO BRILHANTE</v>
      </c>
      <c r="F400" s="65" t="str">
        <f>VLOOKUP(D400,'FDE 10-23 '!$A$4:$E$3180,3,0)</f>
        <v>M2</v>
      </c>
      <c r="G400" s="66">
        <v>558.53</v>
      </c>
      <c r="H400" s="67">
        <f>VLOOKUP(D400,'FDE 10-23 '!$A$4:$E$3180,5,0)</f>
        <v>99.81</v>
      </c>
      <c r="I400" s="68">
        <f t="shared" si="72"/>
        <v>0.23</v>
      </c>
      <c r="J400" s="67">
        <f t="shared" si="73"/>
        <v>122.77</v>
      </c>
      <c r="K400" s="71">
        <f t="shared" si="74"/>
        <v>68570.728099999993</v>
      </c>
      <c r="L400" s="51"/>
      <c r="M400" s="52"/>
    </row>
    <row r="401" spans="2:13" s="25" customFormat="1" ht="30" customHeight="1" outlineLevel="1">
      <c r="B401" s="61"/>
      <c r="C401" s="62" t="s">
        <v>26</v>
      </c>
      <c r="D401" s="63" t="s">
        <v>853</v>
      </c>
      <c r="E401" s="64" t="str">
        <f>IFERROR(UPPER(IF(C401="CPU",VLOOKUP(D401,#REF!,2,0),IF(C401="SINAPI",VLOOKUP(D401,#REF!,2,0),IF(C401="EDIF",VLOOKUP(D401,#REF!,2,0),IF(C401="CDHU",VLOOKUP(D401,#REF!,2,0),IF(C401="FDE",VLOOKUP(D401,'FDE 10-23 '!$A$4:$E$3180,2,0),IF(C401="INFRA",VLOOKUP(D401,#REF!,2,0),""))))))),"")</f>
        <v>PERFIL SEXTAVADO EM ALUMINIO PARA AZULEJO</v>
      </c>
      <c r="F401" s="65" t="str">
        <f>VLOOKUP(D401,'FDE 10-23 '!$A$4:$E$3180,3,0)</f>
        <v>M</v>
      </c>
      <c r="G401" s="66">
        <v>24</v>
      </c>
      <c r="H401" s="67">
        <f>VLOOKUP(D401,'FDE 10-23 '!$A$4:$E$3180,5,0)</f>
        <v>8.3800000000000008</v>
      </c>
      <c r="I401" s="68">
        <f t="shared" si="72"/>
        <v>0.23</v>
      </c>
      <c r="J401" s="67">
        <f t="shared" si="73"/>
        <v>10.31</v>
      </c>
      <c r="K401" s="71">
        <f t="shared" si="74"/>
        <v>247.44</v>
      </c>
      <c r="L401" s="51"/>
      <c r="M401" s="52"/>
    </row>
    <row r="402" spans="2:13" s="25" customFormat="1" ht="30" customHeight="1" outlineLevel="1">
      <c r="B402" s="53" t="s">
        <v>854</v>
      </c>
      <c r="C402" s="54"/>
      <c r="D402" s="54" t="s">
        <v>855</v>
      </c>
      <c r="E402" s="55" t="s">
        <v>856</v>
      </c>
      <c r="F402" s="56" t="str">
        <f>IFERROR(UPPER(IF(C402="CPU",VLOOKUP(D402,#REF!,3,0),IF(C402="SINAPI",VLOOKUP(D402,#REF!,3,0),IF(C402="EDIF",VLOOKUP(D402,#REF!,3,0),IF(C402="CDHU",VLOOKUP(D402,#REF!,3,0),IF(C402="FDE",VLOOKUP(D402,#REF!,3,0),IF(C402="INFRA",VLOOKUP(D402,#REF!,3,0),""))))))),"")</f>
        <v/>
      </c>
      <c r="G402" s="57"/>
      <c r="H402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02" s="59"/>
      <c r="J402" s="59"/>
      <c r="K402" s="82">
        <f>SUBTOTAL(9,K403:K404)</f>
        <v>24394.333600000002</v>
      </c>
      <c r="L402" s="51"/>
      <c r="M402" s="52"/>
    </row>
    <row r="403" spans="2:13" s="25" customFormat="1" ht="30" customHeight="1" outlineLevel="1">
      <c r="B403" s="61"/>
      <c r="C403" s="62" t="s">
        <v>26</v>
      </c>
      <c r="D403" s="63" t="s">
        <v>858</v>
      </c>
      <c r="E403" s="64" t="str">
        <f>IFERROR(UPPER(IF(C403="CPU",VLOOKUP(D403,#REF!,2,0),IF(C403="SINAPI",VLOOKUP(D403,#REF!,2,0),IF(C403="EDIF",VLOOKUP(D403,#REF!,2,0),IF(C403="CDHU",VLOOKUP(D403,#REF!,2,0),IF(C403="FDE",VLOOKUP(D403,'FDE 10-23 '!$A$4:$E$3180,2,0),IF(C403="INFRA",VLOOKUP(D403,#REF!,2,0),""))))))),"")</f>
        <v>CHAPISCO</v>
      </c>
      <c r="F403" s="65" t="str">
        <f>VLOOKUP(D403,'FDE 10-23 '!$A$4:$E$3180,3,0)</f>
        <v>M2</v>
      </c>
      <c r="G403" s="66">
        <v>479.92</v>
      </c>
      <c r="H403" s="67">
        <f>VLOOKUP(D403,'FDE 10-23 '!$A$4:$E$3180,5,0)</f>
        <v>5.71</v>
      </c>
      <c r="I403" s="68">
        <f>$L$10</f>
        <v>0.23</v>
      </c>
      <c r="J403" s="67">
        <f>ROUND(H403*(1+I403),2)</f>
        <v>7.02</v>
      </c>
      <c r="K403" s="71">
        <f>SUM(G403*J403)</f>
        <v>3369.0383999999999</v>
      </c>
      <c r="L403" s="51"/>
      <c r="M403" s="52"/>
    </row>
    <row r="404" spans="2:13" s="25" customFormat="1" ht="30" customHeight="1" outlineLevel="1">
      <c r="B404" s="61"/>
      <c r="C404" s="62" t="s">
        <v>26</v>
      </c>
      <c r="D404" s="63" t="s">
        <v>860</v>
      </c>
      <c r="E404" s="64" t="str">
        <f>IFERROR(UPPER(IF(C404="CPU",VLOOKUP(D404,#REF!,2,0),IF(C404="SINAPI",VLOOKUP(D404,#REF!,2,0),IF(C404="EDIF",VLOOKUP(D404,#REF!,2,0),IF(C404="CDHU",VLOOKUP(D404,#REF!,2,0),IF(C404="FDE",VLOOKUP(D404,'FDE 10-23 '!$A$4:$E$3180,2,0),IF(C404="INFRA",VLOOKUP(D404,#REF!,2,0),""))))))),"")</f>
        <v>EMBOCO DESEMPENADO</v>
      </c>
      <c r="F404" s="65" t="str">
        <f>VLOOKUP(D404,'FDE 10-23 '!$A$4:$E$3180,3,0)</f>
        <v>M2</v>
      </c>
      <c r="G404" s="66">
        <v>479.92</v>
      </c>
      <c r="H404" s="67">
        <f>VLOOKUP(D404,'FDE 10-23 '!$A$4:$E$3180,5,0)</f>
        <v>35.619999999999997</v>
      </c>
      <c r="I404" s="68">
        <f>$L$10</f>
        <v>0.23</v>
      </c>
      <c r="J404" s="67">
        <f>ROUND(H404*(1+I404),2)</f>
        <v>43.81</v>
      </c>
      <c r="K404" s="71">
        <f>SUM(G404*J404)</f>
        <v>21025.2952</v>
      </c>
      <c r="L404" s="51"/>
      <c r="M404" s="52"/>
    </row>
    <row r="405" spans="2:13" s="25" customFormat="1" ht="30" customHeight="1">
      <c r="B405" s="43">
        <v>13</v>
      </c>
      <c r="C405" s="44"/>
      <c r="D405" s="44" t="s">
        <v>861</v>
      </c>
      <c r="E405" s="45" t="s">
        <v>862</v>
      </c>
      <c r="F405" s="46" t="str">
        <f>IFERROR(UPPER(IF(C405="CPU",VLOOKUP(D405,#REF!,3,0),IF(C405="SINAPI",VLOOKUP(D405,#REF!,3,0),IF(C405="EDIF",VLOOKUP(D405,#REF!,3,0),IF(C405="CDHU",VLOOKUP(D405,#REF!,3,0),IF(C405="FDE",VLOOKUP(D405,#REF!,3,0),IF(C405="INFRA",VLOOKUP(D405,#REF!,3,0),""))))))),"")</f>
        <v/>
      </c>
      <c r="G405" s="47"/>
      <c r="H405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05" s="49"/>
      <c r="J405" s="49"/>
      <c r="K405" s="81">
        <f>SUBTOTAL(9,K406:K425)</f>
        <v>755041.24360000005</v>
      </c>
      <c r="L405" s="51"/>
      <c r="M405" s="52"/>
    </row>
    <row r="406" spans="2:13" s="25" customFormat="1" ht="30" customHeight="1" outlineLevel="1">
      <c r="B406" s="53" t="s">
        <v>863</v>
      </c>
      <c r="C406" s="54"/>
      <c r="D406" s="54" t="s">
        <v>864</v>
      </c>
      <c r="E406" s="55" t="s">
        <v>865</v>
      </c>
      <c r="F406" s="56" t="str">
        <f>IFERROR(UPPER(IF(C406="CPU",VLOOKUP(D406,#REF!,3,0),IF(C406="SINAPI",VLOOKUP(D406,#REF!,3,0),IF(C406="EDIF",VLOOKUP(D406,#REF!,3,0),IF(C406="CDHU",VLOOKUP(D406,#REF!,3,0),IF(C406="FDE",VLOOKUP(D406,#REF!,3,0),IF(C406="INFRA",VLOOKUP(D406,#REF!,3,0),""))))))),"")</f>
        <v/>
      </c>
      <c r="G406" s="57"/>
      <c r="H406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06" s="59"/>
      <c r="J406" s="59"/>
      <c r="K406" s="82">
        <f>SUBTOTAL(9,K407:K409)</f>
        <v>149487.356</v>
      </c>
      <c r="L406" s="51"/>
      <c r="M406" s="52"/>
    </row>
    <row r="407" spans="2:13" s="25" customFormat="1" ht="30" customHeight="1" outlineLevel="1">
      <c r="B407" s="61"/>
      <c r="C407" s="62" t="s">
        <v>26</v>
      </c>
      <c r="D407" s="63" t="s">
        <v>867</v>
      </c>
      <c r="E407" s="64" t="str">
        <f>IFERROR(UPPER(IF(C407="CPU",VLOOKUP(D407,#REF!,2,0),IF(C407="SINAPI",VLOOKUP(D407,#REF!,2,0),IF(C407="EDIF",VLOOKUP(D407,#REF!,2,0),IF(C407="CDHU",VLOOKUP(D407,#REF!,2,0),IF(C407="FDE",VLOOKUP(D407,'FDE 10-23 '!$A$4:$E$3180,2,0),IF(C407="INFRA",VLOOKUP(D407,#REF!,2,0),""))))))),"")</f>
        <v>LASTRO DE CONCRETO C/ HIDROFUGO E=5CM</v>
      </c>
      <c r="F407" s="65" t="str">
        <f>VLOOKUP(D407,'FDE 10-23 '!$A$4:$E$3180,3,0)</f>
        <v>M2</v>
      </c>
      <c r="G407" s="66">
        <v>1357.6</v>
      </c>
      <c r="H407" s="67">
        <f>VLOOKUP(D407,'FDE 10-23 '!$A$4:$E$3180,5,0)</f>
        <v>35.770000000000003</v>
      </c>
      <c r="I407" s="68">
        <f>$L$10</f>
        <v>0.23</v>
      </c>
      <c r="J407" s="67">
        <f>ROUND(H407*(1+I407),2)</f>
        <v>44</v>
      </c>
      <c r="K407" s="71">
        <f>SUM(G407*J407)</f>
        <v>59734.399999999994</v>
      </c>
      <c r="L407" s="51"/>
      <c r="M407" s="52"/>
    </row>
    <row r="408" spans="2:13" s="25" customFormat="1" ht="30" customHeight="1" outlineLevel="1">
      <c r="B408" s="61"/>
      <c r="C408" s="62" t="s">
        <v>26</v>
      </c>
      <c r="D408" s="63" t="s">
        <v>869</v>
      </c>
      <c r="E408" s="64" t="str">
        <f>IFERROR(UPPER(IF(C408="CPU",VLOOKUP(D408,#REF!,2,0),IF(C408="SINAPI",VLOOKUP(D408,#REF!,2,0),IF(C408="EDIF",VLOOKUP(D408,#REF!,2,0),IF(C408="CDHU",VLOOKUP(D408,#REF!,2,0),IF(C408="FDE",VLOOKUP(D408,'FDE 10-23 '!$A$4:$E$3180,2,0),IF(C408="INFRA",VLOOKUP(D408,#REF!,2,0),""))))))),"")</f>
        <v>LASTRO DE PEDRA BRITADA - 5CM</v>
      </c>
      <c r="F408" s="65" t="str">
        <f>VLOOKUP(D408,'FDE 10-23 '!$A$4:$E$3180,3,0)</f>
        <v>M2</v>
      </c>
      <c r="G408" s="66">
        <v>1357.6</v>
      </c>
      <c r="H408" s="67">
        <f>VLOOKUP(D408,'FDE 10-23 '!$A$4:$E$3180,5,0)</f>
        <v>9.7100000000000009</v>
      </c>
      <c r="I408" s="68">
        <f>$L$10</f>
        <v>0.23</v>
      </c>
      <c r="J408" s="67">
        <f>ROUND(H408*(1+I408),2)</f>
        <v>11.94</v>
      </c>
      <c r="K408" s="71">
        <f>SUM(G408*J408)</f>
        <v>16209.743999999999</v>
      </c>
      <c r="L408" s="51"/>
      <c r="M408" s="52"/>
    </row>
    <row r="409" spans="2:13" s="25" customFormat="1" ht="30" customHeight="1" outlineLevel="1">
      <c r="B409" s="61"/>
      <c r="C409" s="62" t="s">
        <v>26</v>
      </c>
      <c r="D409" s="63" t="s">
        <v>871</v>
      </c>
      <c r="E409" s="64" t="str">
        <f>IFERROR(UPPER(IF(C409="CPU",VLOOKUP(D409,#REF!,2,0),IF(C409="SINAPI",VLOOKUP(D409,#REF!,2,0),IF(C409="EDIF",VLOOKUP(D409,#REF!,2,0),IF(C409="CDHU",VLOOKUP(D409,#REF!,2,0),IF(C409="FDE",VLOOKUP(D409,'FDE 10-23 '!$A$4:$E$3180,2,0),IF(C409="INFRA",VLOOKUP(D409,#REF!,2,0),""))))))),"")</f>
        <v>ARGAMASSA DE REGULARIZACAO CIM/AREIA 1:3 ESP=2,50CM</v>
      </c>
      <c r="F409" s="65" t="str">
        <f>VLOOKUP(D409,'FDE 10-23 '!$A$4:$E$3180,3,0)</f>
        <v>M2</v>
      </c>
      <c r="G409" s="66">
        <v>2307.6</v>
      </c>
      <c r="H409" s="67">
        <f>VLOOKUP(D409,'FDE 10-23 '!$A$4:$E$3180,5,0)</f>
        <v>25.91</v>
      </c>
      <c r="I409" s="68">
        <f>$L$10</f>
        <v>0.23</v>
      </c>
      <c r="J409" s="67">
        <f>ROUND(H409*(1+I409),2)</f>
        <v>31.87</v>
      </c>
      <c r="K409" s="71">
        <f>SUM(G409*J409)</f>
        <v>73543.212</v>
      </c>
      <c r="L409" s="51"/>
      <c r="M409" s="52"/>
    </row>
    <row r="410" spans="2:13" s="25" customFormat="1" ht="30" customHeight="1" outlineLevel="1">
      <c r="B410" s="53" t="s">
        <v>872</v>
      </c>
      <c r="C410" s="54"/>
      <c r="D410" s="54" t="s">
        <v>873</v>
      </c>
      <c r="E410" s="55" t="s">
        <v>874</v>
      </c>
      <c r="F410" s="56" t="str">
        <f>IFERROR(UPPER(IF(C410="CPU",VLOOKUP(D410,#REF!,3,0),IF(C410="SINAPI",VLOOKUP(D410,#REF!,3,0),IF(C410="EDIF",VLOOKUP(D410,#REF!,3,0),IF(C410="CDHU",VLOOKUP(D410,#REF!,3,0),IF(C410="FDE",VLOOKUP(D410,#REF!,3,0),IF(C410="INFRA",VLOOKUP(D410,#REF!,3,0),""))))))),"")</f>
        <v/>
      </c>
      <c r="G410" s="57"/>
      <c r="H41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10" s="59"/>
      <c r="J410" s="59"/>
      <c r="K410" s="82">
        <f>SUBTOTAL(9,K411:K414)</f>
        <v>555122.57160000002</v>
      </c>
      <c r="L410" s="51"/>
      <c r="M410" s="52"/>
    </row>
    <row r="411" spans="2:13" s="25" customFormat="1" ht="30" customHeight="1" outlineLevel="1">
      <c r="B411" s="61"/>
      <c r="C411" s="62" t="s">
        <v>26</v>
      </c>
      <c r="D411" s="63" t="s">
        <v>876</v>
      </c>
      <c r="E411" s="64" t="str">
        <f>IFERROR(UPPER(IF(C411="CPU",VLOOKUP(D411,#REF!,2,0),IF(C411="SINAPI",VLOOKUP(D411,#REF!,2,0),IF(C411="EDIF",VLOOKUP(D411,#REF!,2,0),IF(C411="CDHU",VLOOKUP(D411,#REF!,2,0),IF(C411="FDE",VLOOKUP(D411,'FDE 10-23 '!$A$4:$E$3180,2,0),IF(C411="INFRA",VLOOKUP(D411,#REF!,2,0),""))))))),"")</f>
        <v>CIMENTADO DESEMPENADO ALISADO E=3,50CM INCL ARG REG</v>
      </c>
      <c r="F411" s="65" t="str">
        <f>VLOOKUP(D411,'FDE 10-23 '!$A$4:$E$3180,3,0)</f>
        <v>M2</v>
      </c>
      <c r="G411" s="66">
        <v>113.75</v>
      </c>
      <c r="H411" s="67">
        <f>VLOOKUP(D411,'FDE 10-23 '!$A$4:$E$3180,5,0)</f>
        <v>52.28</v>
      </c>
      <c r="I411" s="68">
        <f>$L$10</f>
        <v>0.23</v>
      </c>
      <c r="J411" s="67">
        <f>ROUND(H411*(1+I411),2)</f>
        <v>64.3</v>
      </c>
      <c r="K411" s="71">
        <f>SUM(G411*J411)</f>
        <v>7314.125</v>
      </c>
      <c r="L411" s="51"/>
      <c r="M411" s="52"/>
    </row>
    <row r="412" spans="2:13" s="25" customFormat="1" ht="30" customHeight="1" outlineLevel="1">
      <c r="B412" s="61"/>
      <c r="C412" s="62" t="s">
        <v>26</v>
      </c>
      <c r="D412" s="63" t="s">
        <v>878</v>
      </c>
      <c r="E412" s="64" t="str">
        <f>IFERROR(UPPER(IF(C412="CPU",VLOOKUP(D412,#REF!,2,0),IF(C412="SINAPI",VLOOKUP(D412,#REF!,2,0),IF(C412="EDIF",VLOOKUP(D412,#REF!,2,0),IF(C412="CDHU",VLOOKUP(D412,#REF!,2,0),IF(C412="FDE",VLOOKUP(D412,'FDE 10-23 '!$A$4:$E$3180,2,0),IF(C412="INFRA",VLOOKUP(D412,#REF!,2,0),""))))))),"")</f>
        <v>BORRACHA COLADA - PISO TATIL DIRECIONAL</v>
      </c>
      <c r="F412" s="65" t="str">
        <f>VLOOKUP(D412,'FDE 10-23 '!$A$4:$E$3180,3,0)</f>
        <v>M2</v>
      </c>
      <c r="G412" s="66">
        <v>15.94</v>
      </c>
      <c r="H412" s="67">
        <f>VLOOKUP(D412,'FDE 10-23 '!$A$4:$E$3180,5,0)</f>
        <v>201.37</v>
      </c>
      <c r="I412" s="68">
        <f>$L$10</f>
        <v>0.23</v>
      </c>
      <c r="J412" s="67">
        <f>ROUND(H412*(1+I412),2)</f>
        <v>247.69</v>
      </c>
      <c r="K412" s="71">
        <f>SUM(G412*J412)</f>
        <v>3948.1785999999997</v>
      </c>
      <c r="L412" s="51"/>
      <c r="M412" s="52"/>
    </row>
    <row r="413" spans="2:13" s="25" customFormat="1" ht="30" customHeight="1" outlineLevel="1">
      <c r="B413" s="61"/>
      <c r="C413" s="62" t="s">
        <v>26</v>
      </c>
      <c r="D413" s="63" t="s">
        <v>880</v>
      </c>
      <c r="E413" s="64" t="str">
        <f>IFERROR(UPPER(IF(C413="CPU",VLOOKUP(D413,#REF!,2,0),IF(C413="SINAPI",VLOOKUP(D413,#REF!,2,0),IF(C413="EDIF",VLOOKUP(D413,#REF!,2,0),IF(C413="CDHU",VLOOKUP(D413,#REF!,2,0),IF(C413="FDE",VLOOKUP(D413,'FDE 10-23 '!$A$4:$E$3180,2,0),IF(C413="INFRA",VLOOKUP(D413,#REF!,2,0),""))))))),"")</f>
        <v>SINALIZAÇÃO VISUAL DE DEGRAUS FITA ADESIVA COR AMARELA 25X200MM (2 FAIXAS)</v>
      </c>
      <c r="F413" s="65" t="str">
        <f>VLOOKUP(D413,'FDE 10-23 '!$A$4:$E$3180,3,0)</f>
        <v>CJ</v>
      </c>
      <c r="G413" s="66">
        <v>40</v>
      </c>
      <c r="H413" s="67">
        <f>VLOOKUP(D413,'FDE 10-23 '!$A$4:$E$3180,5,0)</f>
        <v>11.83</v>
      </c>
      <c r="I413" s="68">
        <f>$L$10</f>
        <v>0.23</v>
      </c>
      <c r="J413" s="67">
        <f>ROUND(H413*(1+I413),2)</f>
        <v>14.55</v>
      </c>
      <c r="K413" s="71">
        <f>SUM(G413*J413)</f>
        <v>582</v>
      </c>
      <c r="L413" s="51"/>
      <c r="M413" s="52"/>
    </row>
    <row r="414" spans="2:13" s="25" customFormat="1" ht="30" customHeight="1" outlineLevel="1">
      <c r="B414" s="61"/>
      <c r="C414" s="62" t="s">
        <v>26</v>
      </c>
      <c r="D414" s="63" t="s">
        <v>882</v>
      </c>
      <c r="E414" s="64" t="str">
        <f>IFERROR(UPPER(IF(C414="CPU",VLOOKUP(D414,#REF!,2,0),IF(C414="SINAPI",VLOOKUP(D414,#REF!,2,0),IF(C414="EDIF",VLOOKUP(D414,#REF!,2,0),IF(C414="CDHU",VLOOKUP(D414,#REF!,2,0),IF(C414="FDE",VLOOKUP(D414,'FDE 10-23 '!$A$4:$E$3180,2,0),IF(C414="INFRA",VLOOKUP(D414,#REF!,2,0),""))))))),"")</f>
        <v>PORCELANATO ESMALTADO</v>
      </c>
      <c r="F414" s="65" t="str">
        <f>VLOOKUP(D414,'FDE 10-23 '!$A$4:$E$3180,3,0)</f>
        <v>M2</v>
      </c>
      <c r="G414" s="66">
        <v>2307.6</v>
      </c>
      <c r="H414" s="67">
        <f>VLOOKUP(D414,'FDE 10-23 '!$A$4:$E$3180,5,0)</f>
        <v>191.41</v>
      </c>
      <c r="I414" s="68">
        <f>$L$10</f>
        <v>0.23</v>
      </c>
      <c r="J414" s="67">
        <f>ROUND(H414*(1+I414),2)</f>
        <v>235.43</v>
      </c>
      <c r="K414" s="71">
        <f>SUM(G414*J414)</f>
        <v>543278.26800000004</v>
      </c>
      <c r="L414" s="51"/>
      <c r="M414" s="52"/>
    </row>
    <row r="415" spans="2:13" s="25" customFormat="1" ht="30" customHeight="1" outlineLevel="1">
      <c r="B415" s="53" t="s">
        <v>883</v>
      </c>
      <c r="C415" s="54"/>
      <c r="D415" s="54" t="s">
        <v>884</v>
      </c>
      <c r="E415" s="55" t="s">
        <v>885</v>
      </c>
      <c r="F415" s="56" t="str">
        <f>IFERROR(UPPER(IF(C415="CPU",VLOOKUP(D415,#REF!,3,0),IF(C415="SINAPI",VLOOKUP(D415,#REF!,3,0),IF(C415="EDIF",VLOOKUP(D415,#REF!,3,0),IF(C415="CDHU",VLOOKUP(D415,#REF!,3,0),IF(C415="FDE",VLOOKUP(D415,#REF!,3,0),IF(C415="INFRA",VLOOKUP(D415,#REF!,3,0),""))))))),"")</f>
        <v/>
      </c>
      <c r="G415" s="57"/>
      <c r="H41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15" s="59"/>
      <c r="J415" s="59"/>
      <c r="K415" s="82">
        <f>SUBTOTAL(9,K416)</f>
        <v>1930.7800000000002</v>
      </c>
      <c r="L415" s="51"/>
      <c r="M415" s="52"/>
    </row>
    <row r="416" spans="2:13" s="25" customFormat="1" ht="30" customHeight="1" outlineLevel="1">
      <c r="B416" s="61"/>
      <c r="C416" s="62" t="s">
        <v>26</v>
      </c>
      <c r="D416" s="63" t="s">
        <v>887</v>
      </c>
      <c r="E416" s="64" t="str">
        <f>IFERROR(UPPER(IF(C416="CPU",VLOOKUP(D416,#REF!,2,0),IF(C416="SINAPI",VLOOKUP(D416,#REF!,2,0),IF(C416="EDIF",VLOOKUP(D416,#REF!,2,0),IF(C416="CDHU",VLOOKUP(D416,#REF!,2,0),IF(C416="FDE",VLOOKUP(D416,'FDE 10-23 '!$A$4:$E$3180,2,0),IF(C416="INFRA",VLOOKUP(D416,#REF!,2,0),""))))))),"")</f>
        <v>DEGRAUS EM ARGAMASSA DE CIMENTO E AREIA 1:3 ESPESSURA DE 2 CM</v>
      </c>
      <c r="F416" s="65" t="str">
        <f>VLOOKUP(D416,'FDE 10-23 '!$A$4:$E$3180,3,0)</f>
        <v>M</v>
      </c>
      <c r="G416" s="66">
        <v>38</v>
      </c>
      <c r="H416" s="67">
        <f>VLOOKUP(D416,'FDE 10-23 '!$A$4:$E$3180,5,0)</f>
        <v>41.31</v>
      </c>
      <c r="I416" s="68">
        <f>$L$10</f>
        <v>0.23</v>
      </c>
      <c r="J416" s="67">
        <f>ROUND(H416*(1+I416),2)</f>
        <v>50.81</v>
      </c>
      <c r="K416" s="71">
        <f>SUM(G416*J416)</f>
        <v>1930.7800000000002</v>
      </c>
      <c r="L416" s="51"/>
      <c r="M416" s="52"/>
    </row>
    <row r="417" spans="2:13" s="25" customFormat="1" ht="30" customHeight="1" outlineLevel="1">
      <c r="B417" s="53" t="s">
        <v>888</v>
      </c>
      <c r="C417" s="54"/>
      <c r="D417" s="54" t="s">
        <v>889</v>
      </c>
      <c r="E417" s="55" t="s">
        <v>890</v>
      </c>
      <c r="F417" s="56" t="str">
        <f>IFERROR(UPPER(IF(C417="CPU",VLOOKUP(D417,#REF!,3,0),IF(C417="SINAPI",VLOOKUP(D417,#REF!,3,0),IF(C417="EDIF",VLOOKUP(D417,#REF!,3,0),IF(C417="CDHU",VLOOKUP(D417,#REF!,3,0),IF(C417="FDE",VLOOKUP(D417,#REF!,3,0),IF(C417="INFRA",VLOOKUP(D417,#REF!,3,0),""))))))),"")</f>
        <v/>
      </c>
      <c r="G417" s="57"/>
      <c r="H41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17" s="59"/>
      <c r="J417" s="59"/>
      <c r="K417" s="82">
        <f>SUBTOTAL(9,K418:K420)</f>
        <v>28296.002999999997</v>
      </c>
      <c r="L417" s="51"/>
      <c r="M417" s="52"/>
    </row>
    <row r="418" spans="2:13" s="25" customFormat="1" ht="30" customHeight="1" outlineLevel="1">
      <c r="B418" s="61"/>
      <c r="C418" s="62" t="s">
        <v>26</v>
      </c>
      <c r="D418" s="63" t="s">
        <v>892</v>
      </c>
      <c r="E418" s="64" t="str">
        <f>IFERROR(UPPER(IF(C418="CPU",VLOOKUP(D418,#REF!,2,0),IF(C418="SINAPI",VLOOKUP(D418,#REF!,2,0),IF(C418="EDIF",VLOOKUP(D418,#REF!,2,0),IF(C418="CDHU",VLOOKUP(D418,#REF!,2,0),IF(C418="FDE",VLOOKUP(D418,'FDE 10-23 '!$A$4:$E$3180,2,0),IF(C418="INFRA",VLOOKUP(D418,#REF!,2,0),""))))))),"")</f>
        <v>RODAPE DE ARGAMASSA DE CIM/AREIA 1:3 PARA ESCADA</v>
      </c>
      <c r="F418" s="65" t="str">
        <f>VLOOKUP(D418,'FDE 10-23 '!$A$4:$E$3180,3,0)</f>
        <v>M</v>
      </c>
      <c r="G418" s="66">
        <v>10.8</v>
      </c>
      <c r="H418" s="67">
        <f>VLOOKUP(D418,'FDE 10-23 '!$A$4:$E$3180,5,0)</f>
        <v>31.3</v>
      </c>
      <c r="I418" s="68">
        <f>$L$10</f>
        <v>0.23</v>
      </c>
      <c r="J418" s="67">
        <f>ROUND(H418*(1+I418),2)</f>
        <v>38.5</v>
      </c>
      <c r="K418" s="71">
        <f>SUM(G418*J418)</f>
        <v>415.8</v>
      </c>
      <c r="L418" s="51"/>
      <c r="M418" s="52"/>
    </row>
    <row r="419" spans="2:13" s="25" customFormat="1" ht="30" customHeight="1" outlineLevel="1">
      <c r="B419" s="61"/>
      <c r="C419" s="62" t="s">
        <v>26</v>
      </c>
      <c r="D419" s="63" t="s">
        <v>894</v>
      </c>
      <c r="E419" s="64" t="str">
        <f>IFERROR(UPPER(IF(C419="CPU",VLOOKUP(D419,#REF!,2,0),IF(C419="SINAPI",VLOOKUP(D419,#REF!,2,0),IF(C419="EDIF",VLOOKUP(D419,#REF!,2,0),IF(C419="CDHU",VLOOKUP(D419,#REF!,2,0),IF(C419="FDE",VLOOKUP(D419,'FDE 10-23 '!$A$4:$E$3180,2,0),IF(C419="INFRA",VLOOKUP(D419,#REF!,2,0),""))))))),"")</f>
        <v>RODAPÉ DE ARGAMASSA CIMENTO E AREIA 1:3 ESPESSURA 1,5CM X ALTURA DE 7CM</v>
      </c>
      <c r="F419" s="65" t="str">
        <f>VLOOKUP(D419,'FDE 10-23 '!$A$4:$E$3180,3,0)</f>
        <v>M</v>
      </c>
      <c r="G419" s="66">
        <v>103.4</v>
      </c>
      <c r="H419" s="67">
        <f>VLOOKUP(D419,'FDE 10-23 '!$A$4:$E$3180,5,0)</f>
        <v>19.05</v>
      </c>
      <c r="I419" s="68">
        <f>$L$10</f>
        <v>0.23</v>
      </c>
      <c r="J419" s="67">
        <f>ROUND(H419*(1+I419),2)</f>
        <v>23.43</v>
      </c>
      <c r="K419" s="71">
        <f>SUM(G419*J419)</f>
        <v>2422.6620000000003</v>
      </c>
      <c r="L419" s="51"/>
      <c r="M419" s="52"/>
    </row>
    <row r="420" spans="2:13" s="25" customFormat="1" ht="30" customHeight="1" outlineLevel="1">
      <c r="B420" s="61"/>
      <c r="C420" s="62" t="s">
        <v>26</v>
      </c>
      <c r="D420" s="63" t="s">
        <v>896</v>
      </c>
      <c r="E420" s="64" t="str">
        <f>IFERROR(UPPER(IF(C420="CPU",VLOOKUP(D420,#REF!,2,0),IF(C420="SINAPI",VLOOKUP(D420,#REF!,2,0),IF(C420="EDIF",VLOOKUP(D420,#REF!,2,0),IF(C420="CDHU",VLOOKUP(D420,#REF!,2,0),IF(C420="FDE",VLOOKUP(D420,'FDE 10-23 '!$A$4:$E$3180,2,0),IF(C420="INFRA",VLOOKUP(D420,#REF!,2,0),""))))))),"")</f>
        <v>RODAPE PORCELANATO ESMALTADO 7CM</v>
      </c>
      <c r="F420" s="65" t="str">
        <f>VLOOKUP(D420,'FDE 10-23 '!$A$4:$E$3180,3,0)</f>
        <v>M</v>
      </c>
      <c r="G420" s="66">
        <v>1026.0999999999999</v>
      </c>
      <c r="H420" s="67">
        <f>VLOOKUP(D420,'FDE 10-23 '!$A$4:$E$3180,5,0)</f>
        <v>20.170000000000002</v>
      </c>
      <c r="I420" s="68">
        <f>$L$10</f>
        <v>0.23</v>
      </c>
      <c r="J420" s="67">
        <f>ROUND(H420*(1+I420),2)</f>
        <v>24.81</v>
      </c>
      <c r="K420" s="71">
        <f>SUM(G420*J420)</f>
        <v>25457.540999999997</v>
      </c>
      <c r="L420" s="51"/>
      <c r="M420" s="52"/>
    </row>
    <row r="421" spans="2:13" s="25" customFormat="1" ht="30" customHeight="1" outlineLevel="1">
      <c r="B421" s="53" t="s">
        <v>897</v>
      </c>
      <c r="C421" s="54"/>
      <c r="D421" s="54" t="s">
        <v>898</v>
      </c>
      <c r="E421" s="55" t="s">
        <v>899</v>
      </c>
      <c r="F421" s="56" t="str">
        <f>IFERROR(UPPER(IF(C421="CPU",VLOOKUP(D421,#REF!,3,0),IF(C421="SINAPI",VLOOKUP(D421,#REF!,3,0),IF(C421="EDIF",VLOOKUP(D421,#REF!,3,0),IF(C421="CDHU",VLOOKUP(D421,#REF!,3,0),IF(C421="FDE",VLOOKUP(D421,#REF!,3,0),IF(C421="INFRA",VLOOKUP(D421,#REF!,3,0),""))))))),"")</f>
        <v/>
      </c>
      <c r="G421" s="57"/>
      <c r="H421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21" s="59"/>
      <c r="J421" s="59"/>
      <c r="K421" s="82">
        <f>SUBTOTAL(9,K422:K423)</f>
        <v>3306.5730000000003</v>
      </c>
      <c r="L421" s="51"/>
      <c r="M421" s="52"/>
    </row>
    <row r="422" spans="2:13" s="25" customFormat="1" ht="30" customHeight="1" outlineLevel="1">
      <c r="B422" s="61"/>
      <c r="C422" s="62" t="s">
        <v>26</v>
      </c>
      <c r="D422" s="63" t="s">
        <v>901</v>
      </c>
      <c r="E422" s="64" t="str">
        <f>IFERROR(UPPER(IF(C422="CPU",VLOOKUP(D422,#REF!,2,0),IF(C422="SINAPI",VLOOKUP(D422,#REF!,2,0),IF(C422="EDIF",VLOOKUP(D422,#REF!,2,0),IF(C422="CDHU",VLOOKUP(D422,#REF!,2,0),IF(C422="FDE",VLOOKUP(D422,'FDE 10-23 '!$A$4:$E$3180,2,0),IF(C422="INFRA",VLOOKUP(D422,#REF!,2,0),""))))))),"")</f>
        <v>SO-15 SOLEIRA RAMPADA DESNIVEL ATE 2CM (CIMENTADO / ALVENARIA 22CM)</v>
      </c>
      <c r="F422" s="65" t="str">
        <f>VLOOKUP(D422,'FDE 10-23 '!$A$4:$E$3180,3,0)</f>
        <v>M</v>
      </c>
      <c r="G422" s="66">
        <v>17</v>
      </c>
      <c r="H422" s="67">
        <f>VLOOKUP(D422,'FDE 10-23 '!$A$4:$E$3180,5,0)</f>
        <v>118.16</v>
      </c>
      <c r="I422" s="68">
        <f>$L$10</f>
        <v>0.23</v>
      </c>
      <c r="J422" s="67">
        <f>ROUND(H422*(1+I422),2)</f>
        <v>145.34</v>
      </c>
      <c r="K422" s="71">
        <f>SUM(G422*J422)</f>
        <v>2470.7800000000002</v>
      </c>
      <c r="L422" s="51"/>
      <c r="M422" s="52"/>
    </row>
    <row r="423" spans="2:13" s="25" customFormat="1" ht="30" customHeight="1" outlineLevel="1">
      <c r="B423" s="61"/>
      <c r="C423" s="62" t="s">
        <v>26</v>
      </c>
      <c r="D423" s="63" t="s">
        <v>903</v>
      </c>
      <c r="E423" s="64" t="str">
        <f>IFERROR(UPPER(IF(C423="CPU",VLOOKUP(D423,#REF!,2,0),IF(C423="SINAPI",VLOOKUP(D423,#REF!,2,0),IF(C423="EDIF",VLOOKUP(D423,#REF!,2,0),IF(C423="CDHU",VLOOKUP(D423,#REF!,2,0),IF(C423="FDE",VLOOKUP(D423,'FDE 10-23 '!$A$4:$E$3180,2,0),IF(C423="INFRA",VLOOKUP(D423,#REF!,2,0),""))))))),"")</f>
        <v>SO-23 SOLEIRA DE GRANITO EM NIVEL 1 PEÇA (L=19 A 22CM)</v>
      </c>
      <c r="F423" s="65" t="str">
        <f>VLOOKUP(D423,'FDE 10-23 '!$A$4:$E$3180,3,0)</f>
        <v>M</v>
      </c>
      <c r="G423" s="66">
        <v>3.7</v>
      </c>
      <c r="H423" s="67">
        <f>VLOOKUP(D423,'FDE 10-23 '!$A$4:$E$3180,5,0)</f>
        <v>183.65</v>
      </c>
      <c r="I423" s="68">
        <f>$L$10</f>
        <v>0.23</v>
      </c>
      <c r="J423" s="67">
        <f>ROUND(H423*(1+I423),2)</f>
        <v>225.89</v>
      </c>
      <c r="K423" s="71">
        <f>SUM(G423*J423)</f>
        <v>835.79300000000001</v>
      </c>
      <c r="L423" s="51"/>
      <c r="M423" s="52"/>
    </row>
    <row r="424" spans="2:13" s="25" customFormat="1" ht="30" customHeight="1" outlineLevel="1">
      <c r="B424" s="53" t="s">
        <v>904</v>
      </c>
      <c r="C424" s="54"/>
      <c r="D424" s="54" t="s">
        <v>905</v>
      </c>
      <c r="E424" s="55" t="s">
        <v>906</v>
      </c>
      <c r="F424" s="56" t="str">
        <f>IFERROR(UPPER(IF(C424="CPU",VLOOKUP(D424,#REF!,3,0),IF(C424="SINAPI",VLOOKUP(D424,#REF!,3,0),IF(C424="EDIF",VLOOKUP(D424,#REF!,3,0),IF(C424="CDHU",VLOOKUP(D424,#REF!,3,0),IF(C424="FDE",VLOOKUP(D424,#REF!,3,0),IF(C424="INFRA",VLOOKUP(D424,#REF!,3,0),""))))))),"")</f>
        <v/>
      </c>
      <c r="G424" s="57"/>
      <c r="H424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24" s="59"/>
      <c r="J424" s="59"/>
      <c r="K424" s="82">
        <f>SUBTOTAL(9,K425)</f>
        <v>16897.96</v>
      </c>
      <c r="L424" s="51"/>
      <c r="M424" s="52"/>
    </row>
    <row r="425" spans="2:13" s="25" customFormat="1" ht="30" customHeight="1" outlineLevel="1">
      <c r="B425" s="61"/>
      <c r="C425" s="62" t="s">
        <v>26</v>
      </c>
      <c r="D425" s="63" t="s">
        <v>908</v>
      </c>
      <c r="E425" s="64" t="str">
        <f>IFERROR(UPPER(IF(C425="CPU",VLOOKUP(D425,#REF!,2,0),IF(C425="SINAPI",VLOOKUP(D425,#REF!,2,0),IF(C425="EDIF",VLOOKUP(D425,#REF!,2,0),IF(C425="CDHU",VLOOKUP(D425,#REF!,2,0),IF(C425="FDE",VLOOKUP(D425,'FDE 10-23 '!$A$4:$E$3180,2,0),IF(C425="INFRA",VLOOKUP(D425,#REF!,2,0),""))))))),"")</f>
        <v>PE-02 PEITORIL</v>
      </c>
      <c r="F425" s="65" t="str">
        <f>VLOOKUP(D425,'FDE 10-23 '!$A$4:$E$3180,3,0)</f>
        <v>M</v>
      </c>
      <c r="G425" s="66">
        <v>191.5</v>
      </c>
      <c r="H425" s="67">
        <f>VLOOKUP(D425,'FDE 10-23 '!$A$4:$E$3180,5,0)</f>
        <v>71.739999999999995</v>
      </c>
      <c r="I425" s="68">
        <f>$L$10</f>
        <v>0.23</v>
      </c>
      <c r="J425" s="67">
        <f>ROUND(H425*(1+I425),2)</f>
        <v>88.24</v>
      </c>
      <c r="K425" s="71">
        <f>SUM(G425*J425)</f>
        <v>16897.96</v>
      </c>
      <c r="L425" s="51"/>
      <c r="M425" s="52"/>
    </row>
    <row r="426" spans="2:13" s="25" customFormat="1" ht="30" customHeight="1">
      <c r="B426" s="43">
        <v>14</v>
      </c>
      <c r="C426" s="44"/>
      <c r="D426" s="44" t="s">
        <v>909</v>
      </c>
      <c r="E426" s="45" t="s">
        <v>910</v>
      </c>
      <c r="F426" s="46" t="str">
        <f>IFERROR(UPPER(IF(C426="CPU",VLOOKUP(D426,#REF!,3,0),IF(C426="SINAPI",VLOOKUP(D426,#REF!,3,0),IF(C426="EDIF",VLOOKUP(D426,#REF!,3,0),IF(C426="CDHU",VLOOKUP(D426,#REF!,3,0),IF(C426="FDE",VLOOKUP(D426,#REF!,3,0),IF(C426="INFRA",VLOOKUP(D426,#REF!,3,0),""))))))),"")</f>
        <v/>
      </c>
      <c r="G426" s="47"/>
      <c r="H426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26" s="49"/>
      <c r="J426" s="49"/>
      <c r="K426" s="81">
        <f>SUBTOTAL(9,K427:K431)</f>
        <v>61802.564300000005</v>
      </c>
      <c r="L426" s="51"/>
      <c r="M426" s="52"/>
    </row>
    <row r="427" spans="2:13" s="25" customFormat="1" ht="30" customHeight="1" outlineLevel="1">
      <c r="B427" s="53" t="s">
        <v>911</v>
      </c>
      <c r="C427" s="54"/>
      <c r="D427" s="54" t="s">
        <v>912</v>
      </c>
      <c r="E427" s="55" t="s">
        <v>910</v>
      </c>
      <c r="F427" s="56" t="str">
        <f>IFERROR(UPPER(IF(C427="CPU",VLOOKUP(D427,#REF!,3,0),IF(C427="SINAPI",VLOOKUP(D427,#REF!,3,0),IF(C427="EDIF",VLOOKUP(D427,#REF!,3,0),IF(C427="CDHU",VLOOKUP(D427,#REF!,3,0),IF(C427="FDE",VLOOKUP(D427,#REF!,3,0),IF(C427="INFRA",VLOOKUP(D427,#REF!,3,0),""))))))),"")</f>
        <v/>
      </c>
      <c r="G427" s="57"/>
      <c r="H42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27" s="59"/>
      <c r="J427" s="59"/>
      <c r="K427" s="82">
        <f>SUBTOTAL(9,K428:K429)</f>
        <v>50533.764300000003</v>
      </c>
      <c r="L427" s="51"/>
      <c r="M427" s="52"/>
    </row>
    <row r="428" spans="2:13" s="25" customFormat="1" ht="30" customHeight="1" outlineLevel="1">
      <c r="B428" s="61"/>
      <c r="C428" s="62" t="s">
        <v>26</v>
      </c>
      <c r="D428" s="63" t="s">
        <v>914</v>
      </c>
      <c r="E428" s="64" t="str">
        <f>IFERROR(UPPER(IF(C428="CPU",VLOOKUP(D428,#REF!,2,0),IF(C428="SINAPI",VLOOKUP(D428,#REF!,2,0),IF(C428="EDIF",VLOOKUP(D428,#REF!,2,0),IF(C428="CDHU",VLOOKUP(D428,#REF!,2,0),IF(C428="FDE",VLOOKUP(D428,'FDE 10-23 '!$A$4:$E$3180,2,0),IF(C428="INFRA",VLOOKUP(D428,#REF!,2,0),""))))))),"")</f>
        <v>VIDRO LISO COMUM INCOLOR DE 3MM</v>
      </c>
      <c r="F428" s="65" t="str">
        <f>VLOOKUP(D428,'FDE 10-23 '!$A$4:$E$3180,3,0)</f>
        <v>M2</v>
      </c>
      <c r="G428" s="66">
        <v>462.32</v>
      </c>
      <c r="H428" s="67">
        <f>VLOOKUP(D428,'FDE 10-23 '!$A$4:$E$3180,5,0)</f>
        <v>82.93</v>
      </c>
      <c r="I428" s="68">
        <f>$L$10</f>
        <v>0.23</v>
      </c>
      <c r="J428" s="67">
        <f>ROUND(H428*(1+I428),2)</f>
        <v>102</v>
      </c>
      <c r="K428" s="71">
        <f>SUM(G428*J428)</f>
        <v>47156.639999999999</v>
      </c>
      <c r="L428" s="51"/>
      <c r="M428" s="52"/>
    </row>
    <row r="429" spans="2:13" s="25" customFormat="1" ht="30" customHeight="1" outlineLevel="1">
      <c r="B429" s="61"/>
      <c r="C429" s="62" t="s">
        <v>26</v>
      </c>
      <c r="D429" s="63" t="s">
        <v>916</v>
      </c>
      <c r="E429" s="64" t="str">
        <f>IFERROR(UPPER(IF(C429="CPU",VLOOKUP(D429,#REF!,2,0),IF(C429="SINAPI",VLOOKUP(D429,#REF!,2,0),IF(C429="EDIF",VLOOKUP(D429,#REF!,2,0),IF(C429="CDHU",VLOOKUP(D429,#REF!,2,0),IF(C429="FDE",VLOOKUP(D429,'FDE 10-23 '!$A$4:$E$3180,2,0),IF(C429="INFRA",VLOOKUP(D429,#REF!,2,0),""))))))),"")</f>
        <v>VIDRO IMPRESSO INCOLOR (E=4MM)</v>
      </c>
      <c r="F429" s="65" t="str">
        <f>VLOOKUP(D429,'FDE 10-23 '!$A$4:$E$3180,3,0)</f>
        <v>M2</v>
      </c>
      <c r="G429" s="66">
        <v>20.73</v>
      </c>
      <c r="H429" s="67">
        <f>VLOOKUP(D429,'FDE 10-23 '!$A$4:$E$3180,5,0)</f>
        <v>132.44999999999999</v>
      </c>
      <c r="I429" s="68">
        <f>$L$10</f>
        <v>0.23</v>
      </c>
      <c r="J429" s="67">
        <f>ROUND(H429*(1+I429),2)</f>
        <v>162.91</v>
      </c>
      <c r="K429" s="71">
        <f>SUM(G429*J429)</f>
        <v>3377.1242999999999</v>
      </c>
      <c r="L429" s="51"/>
      <c r="M429" s="52"/>
    </row>
    <row r="430" spans="2:13" s="25" customFormat="1" ht="30" customHeight="1" outlineLevel="1">
      <c r="B430" s="53" t="s">
        <v>917</v>
      </c>
      <c r="C430" s="54"/>
      <c r="D430" s="54" t="s">
        <v>918</v>
      </c>
      <c r="E430" s="55" t="s">
        <v>919</v>
      </c>
      <c r="F430" s="56" t="str">
        <f>IFERROR(UPPER(IF(C430="CPU",VLOOKUP(D430,#REF!,3,0),IF(C430="SINAPI",VLOOKUP(D430,#REF!,3,0),IF(C430="EDIF",VLOOKUP(D430,#REF!,3,0),IF(C430="CDHU",VLOOKUP(D430,#REF!,3,0),IF(C430="FDE",VLOOKUP(D430,#REF!,3,0),IF(C430="INFRA",VLOOKUP(D430,#REF!,3,0),""))))))),"")</f>
        <v/>
      </c>
      <c r="G430" s="57"/>
      <c r="H43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30" s="59"/>
      <c r="J430" s="59"/>
      <c r="K430" s="82">
        <f>SUBTOTAL(9,K431)</f>
        <v>11268.800000000001</v>
      </c>
      <c r="L430" s="51"/>
      <c r="M430" s="52"/>
    </row>
    <row r="431" spans="2:13" s="25" customFormat="1" ht="30" customHeight="1" outlineLevel="1">
      <c r="B431" s="61"/>
      <c r="C431" s="62" t="s">
        <v>26</v>
      </c>
      <c r="D431" s="63" t="s">
        <v>921</v>
      </c>
      <c r="E431" s="64" t="str">
        <f>IFERROR(UPPER(IF(C431="CPU",VLOOKUP(D431,#REF!,2,0),IF(C431="SINAPI",VLOOKUP(D431,#REF!,2,0),IF(C431="EDIF",VLOOKUP(D431,#REF!,2,0),IF(C431="CDHU",VLOOKUP(D431,#REF!,2,0),IF(C431="FDE",VLOOKUP(D431,'FDE 10-23 '!$A$4:$E$3180,2,0),IF(C431="INFRA",VLOOKUP(D431,#REF!,2,0),""))))))),"")</f>
        <v>EP-01 ESPELHO</v>
      </c>
      <c r="F431" s="65" t="str">
        <f>VLOOKUP(D431,'FDE 10-23 '!$A$4:$E$3180,3,0)</f>
        <v>UN</v>
      </c>
      <c r="G431" s="66">
        <v>20</v>
      </c>
      <c r="H431" s="67">
        <f>VLOOKUP(D431,'FDE 10-23 '!$A$4:$E$3180,5,0)</f>
        <v>458.08</v>
      </c>
      <c r="I431" s="68">
        <f>$L$10</f>
        <v>0.23</v>
      </c>
      <c r="J431" s="67">
        <f>ROUND(H431*(1+I431),2)</f>
        <v>563.44000000000005</v>
      </c>
      <c r="K431" s="71">
        <f>SUM(G431*J431)</f>
        <v>11268.800000000001</v>
      </c>
      <c r="L431" s="51"/>
      <c r="M431" s="52"/>
    </row>
    <row r="432" spans="2:13" s="25" customFormat="1" ht="30" customHeight="1">
      <c r="B432" s="43">
        <v>15</v>
      </c>
      <c r="C432" s="44"/>
      <c r="D432" s="44" t="s">
        <v>922</v>
      </c>
      <c r="E432" s="45" t="s">
        <v>923</v>
      </c>
      <c r="F432" s="46" t="str">
        <f>IFERROR(UPPER(IF(C432="CPU",VLOOKUP(D432,#REF!,3,0),IF(C432="SINAPI",VLOOKUP(D432,#REF!,3,0),IF(C432="EDIF",VLOOKUP(D432,#REF!,3,0),IF(C432="CDHU",VLOOKUP(D432,#REF!,3,0),IF(C432="FDE",VLOOKUP(D432,#REF!,3,0),IF(C432="INFRA",VLOOKUP(D432,#REF!,3,0),""))))))),"")</f>
        <v/>
      </c>
      <c r="G432" s="47"/>
      <c r="H432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32" s="49"/>
      <c r="J432" s="49"/>
      <c r="K432" s="81">
        <f>SUBTOTAL(9,K433:K443)</f>
        <v>228853.29639999999</v>
      </c>
      <c r="L432" s="51"/>
      <c r="M432" s="52"/>
    </row>
    <row r="433" spans="2:13" s="25" customFormat="1" ht="30" customHeight="1" outlineLevel="1">
      <c r="B433" s="53" t="s">
        <v>924</v>
      </c>
      <c r="C433" s="54"/>
      <c r="D433" s="54" t="s">
        <v>925</v>
      </c>
      <c r="E433" s="55" t="s">
        <v>926</v>
      </c>
      <c r="F433" s="56" t="str">
        <f>IFERROR(UPPER(IF(C433="CPU",VLOOKUP(D433,#REF!,3,0),IF(C433="SINAPI",VLOOKUP(D433,#REF!,3,0),IF(C433="EDIF",VLOOKUP(D433,#REF!,3,0),IF(C433="CDHU",VLOOKUP(D433,#REF!,3,0),IF(C433="FDE",VLOOKUP(D433,#REF!,3,0),IF(C433="INFRA",VLOOKUP(D433,#REF!,3,0),""))))))),"")</f>
        <v/>
      </c>
      <c r="G433" s="57"/>
      <c r="H433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33" s="59"/>
      <c r="J433" s="59"/>
      <c r="K433" s="82">
        <f>SUBTOTAL(9,K434)</f>
        <v>29051.37</v>
      </c>
      <c r="L433" s="51"/>
      <c r="M433" s="52"/>
    </row>
    <row r="434" spans="2:13" s="25" customFormat="1" ht="30" customHeight="1" outlineLevel="1">
      <c r="B434" s="61"/>
      <c r="C434" s="62" t="s">
        <v>26</v>
      </c>
      <c r="D434" s="63" t="s">
        <v>928</v>
      </c>
      <c r="E434" s="64" t="str">
        <f>IFERROR(UPPER(IF(C434="CPU",VLOOKUP(D434,#REF!,2,0),IF(C434="SINAPI",VLOOKUP(D434,#REF!,2,0),IF(C434="EDIF",VLOOKUP(D434,#REF!,2,0),IF(C434="CDHU",VLOOKUP(D434,#REF!,2,0),IF(C434="FDE",VLOOKUP(D434,'FDE 10-23 '!$A$4:$E$3180,2,0),IF(C434="INFRA",VLOOKUP(D434,#REF!,2,0),""))))))),"")</f>
        <v>ESMALTE EM ESTRUTURA METALICA</v>
      </c>
      <c r="F434" s="65" t="str">
        <f>VLOOKUP(D434,'FDE 10-23 '!$A$4:$E$3180,3,0)</f>
        <v>M2</v>
      </c>
      <c r="G434" s="66">
        <v>1574.6</v>
      </c>
      <c r="H434" s="67">
        <f>VLOOKUP(D434,'FDE 10-23 '!$A$4:$E$3180,5,0)</f>
        <v>15</v>
      </c>
      <c r="I434" s="68">
        <f>$L$10</f>
        <v>0.23</v>
      </c>
      <c r="J434" s="67">
        <f>ROUND(H434*(1+I434),2)</f>
        <v>18.45</v>
      </c>
      <c r="K434" s="71">
        <f>SUM(G434*J434)</f>
        <v>29051.37</v>
      </c>
      <c r="L434" s="51"/>
      <c r="M434" s="52"/>
    </row>
    <row r="435" spans="2:13" s="25" customFormat="1" ht="30" customHeight="1" outlineLevel="1">
      <c r="B435" s="53" t="s">
        <v>929</v>
      </c>
      <c r="C435" s="54"/>
      <c r="D435" s="54" t="s">
        <v>930</v>
      </c>
      <c r="E435" s="55" t="s">
        <v>931</v>
      </c>
      <c r="F435" s="56" t="str">
        <f>IFERROR(UPPER(IF(C435="CPU",VLOOKUP(D435,#REF!,3,0),IF(C435="SINAPI",VLOOKUP(D435,#REF!,3,0),IF(C435="EDIF",VLOOKUP(D435,#REF!,3,0),IF(C435="CDHU",VLOOKUP(D435,#REF!,3,0),IF(C435="FDE",VLOOKUP(D435,#REF!,3,0),IF(C435="INFRA",VLOOKUP(D435,#REF!,3,0),""))))))),"")</f>
        <v/>
      </c>
      <c r="G435" s="57"/>
      <c r="H43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35" s="59"/>
      <c r="J435" s="59"/>
      <c r="K435" s="82">
        <f>SUBTOTAL(9,K436:K437)</f>
        <v>136569.90100000001</v>
      </c>
      <c r="L435" s="51"/>
      <c r="M435" s="52"/>
    </row>
    <row r="436" spans="2:13" s="25" customFormat="1" ht="30" customHeight="1" outlineLevel="1">
      <c r="B436" s="61"/>
      <c r="C436" s="62" t="s">
        <v>26</v>
      </c>
      <c r="D436" s="63" t="s">
        <v>933</v>
      </c>
      <c r="E436" s="64" t="str">
        <f>IFERROR(UPPER(IF(C436="CPU",VLOOKUP(D436,#REF!,2,0),IF(C436="SINAPI",VLOOKUP(D436,#REF!,2,0),IF(C436="EDIF",VLOOKUP(D436,#REF!,2,0),IF(C436="CDHU",VLOOKUP(D436,#REF!,2,0),IF(C436="FDE",VLOOKUP(D436,'FDE 10-23 '!$A$4:$E$3180,2,0),IF(C436="INFRA",VLOOKUP(D436,#REF!,2,0),""))))))),"")</f>
        <v>TINTA LATEX ECONOMICA</v>
      </c>
      <c r="F436" s="65" t="str">
        <f>VLOOKUP(D436,'FDE 10-23 '!$A$4:$E$3180,3,0)</f>
        <v>M2</v>
      </c>
      <c r="G436" s="66">
        <v>1532</v>
      </c>
      <c r="H436" s="67">
        <f>VLOOKUP(D436,'FDE 10-23 '!$A$4:$E$3180,5,0)</f>
        <v>27.6</v>
      </c>
      <c r="I436" s="68">
        <f>$L$10</f>
        <v>0.23</v>
      </c>
      <c r="J436" s="67">
        <f>ROUND(H436*(1+I436),2)</f>
        <v>33.950000000000003</v>
      </c>
      <c r="K436" s="71">
        <f>SUM(G436*J436)</f>
        <v>52011.4</v>
      </c>
      <c r="L436" s="51"/>
      <c r="M436" s="52"/>
    </row>
    <row r="437" spans="2:13" s="25" customFormat="1" ht="30" customHeight="1" outlineLevel="1">
      <c r="B437" s="61"/>
      <c r="C437" s="62" t="s">
        <v>26</v>
      </c>
      <c r="D437" s="63" t="s">
        <v>935</v>
      </c>
      <c r="E437" s="64" t="str">
        <f>IFERROR(UPPER(IF(C437="CPU",VLOOKUP(D437,#REF!,2,0),IF(C437="SINAPI",VLOOKUP(D437,#REF!,2,0),IF(C437="EDIF",VLOOKUP(D437,#REF!,2,0),IF(C437="CDHU",VLOOKUP(D437,#REF!,2,0),IF(C437="FDE",VLOOKUP(D437,'FDE 10-23 '!$A$4:$E$3180,2,0),IF(C437="INFRA",VLOOKUP(D437,#REF!,2,0),""))))))),"")</f>
        <v>ESMALTE</v>
      </c>
      <c r="F437" s="65" t="str">
        <f>VLOOKUP(D437,'FDE 10-23 '!$A$4:$E$3180,3,0)</f>
        <v>M2</v>
      </c>
      <c r="G437" s="66">
        <v>2617.1</v>
      </c>
      <c r="H437" s="67">
        <f>VLOOKUP(D437,'FDE 10-23 '!$A$4:$E$3180,5,0)</f>
        <v>26.27</v>
      </c>
      <c r="I437" s="68">
        <f>$L$10</f>
        <v>0.23</v>
      </c>
      <c r="J437" s="67">
        <f>ROUND(H437*(1+I437),2)</f>
        <v>32.31</v>
      </c>
      <c r="K437" s="71">
        <f>SUM(G437*J437)</f>
        <v>84558.501000000004</v>
      </c>
      <c r="L437" s="51"/>
      <c r="M437" s="52"/>
    </row>
    <row r="438" spans="2:13" s="25" customFormat="1" ht="30" customHeight="1" outlineLevel="1">
      <c r="B438" s="53" t="s">
        <v>936</v>
      </c>
      <c r="C438" s="54"/>
      <c r="D438" s="54" t="s">
        <v>937</v>
      </c>
      <c r="E438" s="55" t="s">
        <v>938</v>
      </c>
      <c r="F438" s="56" t="str">
        <f>IFERROR(UPPER(IF(C438="CPU",VLOOKUP(D438,#REF!,3,0),IF(C438="SINAPI",VLOOKUP(D438,#REF!,3,0),IF(C438="EDIF",VLOOKUP(D438,#REF!,3,0),IF(C438="CDHU",VLOOKUP(D438,#REF!,3,0),IF(C438="FDE",VLOOKUP(D438,#REF!,3,0),IF(C438="INFRA",VLOOKUP(D438,#REF!,3,0),""))))))),"")</f>
        <v/>
      </c>
      <c r="G438" s="57"/>
      <c r="H438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38" s="59"/>
      <c r="J438" s="59"/>
      <c r="K438" s="82">
        <f>SUBTOTAL(9,K439:K441)</f>
        <v>38681.465400000001</v>
      </c>
      <c r="L438" s="51"/>
      <c r="M438" s="52"/>
    </row>
    <row r="439" spans="2:13" s="25" customFormat="1" ht="30" customHeight="1" outlineLevel="1">
      <c r="B439" s="61"/>
      <c r="C439" s="62" t="s">
        <v>26</v>
      </c>
      <c r="D439" s="63" t="s">
        <v>940</v>
      </c>
      <c r="E439" s="64" t="str">
        <f>IFERROR(UPPER(IF(C439="CPU",VLOOKUP(D439,#REF!,2,0),IF(C439="SINAPI",VLOOKUP(D439,#REF!,2,0),IF(C439="EDIF",VLOOKUP(D439,#REF!,2,0),IF(C439="CDHU",VLOOKUP(D439,#REF!,2,0),IF(C439="FDE",VLOOKUP(D439,'FDE 10-23 '!$A$4:$E$3180,2,0),IF(C439="INFRA",VLOOKUP(D439,#REF!,2,0),""))))))),"")</f>
        <v>ESMALTE COM MASSA NIVELADORA EM ESQUADRIAS DE MADEIRA</v>
      </c>
      <c r="F439" s="65" t="str">
        <f>VLOOKUP(D439,'FDE 10-23 '!$A$4:$E$3180,3,0)</f>
        <v>M2</v>
      </c>
      <c r="G439" s="66">
        <v>190.49</v>
      </c>
      <c r="H439" s="67">
        <f>VLOOKUP(D439,'FDE 10-23 '!$A$4:$E$3180,5,0)</f>
        <v>53.31</v>
      </c>
      <c r="I439" s="68">
        <f>$L$10</f>
        <v>0.23</v>
      </c>
      <c r="J439" s="67">
        <f>ROUND(H439*(1+I439),2)</f>
        <v>65.569999999999993</v>
      </c>
      <c r="K439" s="71">
        <f>SUM(G439*J439)</f>
        <v>12490.4293</v>
      </c>
      <c r="L439" s="51"/>
      <c r="M439" s="52"/>
    </row>
    <row r="440" spans="2:13" s="25" customFormat="1" ht="30" customHeight="1" outlineLevel="1">
      <c r="B440" s="61"/>
      <c r="C440" s="62" t="s">
        <v>26</v>
      </c>
      <c r="D440" s="63" t="s">
        <v>942</v>
      </c>
      <c r="E440" s="64" t="str">
        <f>IFERROR(UPPER(IF(C440="CPU",VLOOKUP(D440,#REF!,2,0),IF(C440="SINAPI",VLOOKUP(D440,#REF!,2,0),IF(C440="EDIF",VLOOKUP(D440,#REF!,2,0),IF(C440="CDHU",VLOOKUP(D440,#REF!,2,0),IF(C440="FDE",VLOOKUP(D440,'FDE 10-23 '!$A$4:$E$3180,2,0),IF(C440="INFRA",VLOOKUP(D440,#REF!,2,0),""))))))),"")</f>
        <v>ESMALTE EM ESQUADRIAS DE FERRO</v>
      </c>
      <c r="F440" s="65" t="str">
        <f>VLOOKUP(D440,'FDE 10-23 '!$A$4:$E$3180,3,0)</f>
        <v>M2</v>
      </c>
      <c r="G440" s="66">
        <v>611.01</v>
      </c>
      <c r="H440" s="67">
        <f>VLOOKUP(D440,'FDE 10-23 '!$A$4:$E$3180,5,0)</f>
        <v>26.51</v>
      </c>
      <c r="I440" s="68">
        <f>$L$10</f>
        <v>0.23</v>
      </c>
      <c r="J440" s="67">
        <f>ROUND(H440*(1+I440),2)</f>
        <v>32.61</v>
      </c>
      <c r="K440" s="71">
        <f>SUM(G440*J440)</f>
        <v>19925.036100000001</v>
      </c>
      <c r="L440" s="51"/>
      <c r="M440" s="52"/>
    </row>
    <row r="441" spans="2:13" s="25" customFormat="1" ht="30" customHeight="1" outlineLevel="1">
      <c r="B441" s="61"/>
      <c r="C441" s="62" t="s">
        <v>26</v>
      </c>
      <c r="D441" s="63" t="s">
        <v>944</v>
      </c>
      <c r="E441" s="64" t="str">
        <f>IFERROR(UPPER(IF(C441="CPU",VLOOKUP(D441,#REF!,2,0),IF(C441="SINAPI",VLOOKUP(D441,#REF!,2,0),IF(C441="EDIF",VLOOKUP(D441,#REF!,2,0),IF(C441="CDHU",VLOOKUP(D441,#REF!,2,0),IF(C441="FDE",VLOOKUP(D441,'FDE 10-23 '!$A$4:$E$3180,2,0),IF(C441="INFRA",VLOOKUP(D441,#REF!,2,0),""))))))),"")</f>
        <v>FACE EXTERNA DE CALHAS/CONDUTORES COM TINTA SINTETICA (ESMALTE)</v>
      </c>
      <c r="F441" s="65" t="str">
        <f>VLOOKUP(D441,'FDE 10-23 '!$A$4:$E$3180,3,0)</f>
        <v>M</v>
      </c>
      <c r="G441" s="66">
        <v>385.6</v>
      </c>
      <c r="H441" s="67">
        <f>VLOOKUP(D441,'FDE 10-23 '!$A$4:$E$3180,5,0)</f>
        <v>13.21</v>
      </c>
      <c r="I441" s="68">
        <f>$L$10</f>
        <v>0.23</v>
      </c>
      <c r="J441" s="67">
        <f>ROUND(H441*(1+I441),2)</f>
        <v>16.25</v>
      </c>
      <c r="K441" s="71">
        <f>SUM(G441*J441)</f>
        <v>6266</v>
      </c>
      <c r="L441" s="51"/>
      <c r="M441" s="52"/>
    </row>
    <row r="442" spans="2:13" s="25" customFormat="1" ht="30" customHeight="1" outlineLevel="1">
      <c r="B442" s="53" t="s">
        <v>945</v>
      </c>
      <c r="C442" s="54"/>
      <c r="D442" s="54" t="s">
        <v>946</v>
      </c>
      <c r="E442" s="55" t="s">
        <v>947</v>
      </c>
      <c r="F442" s="56" t="str">
        <f>IFERROR(UPPER(IF(C442="CPU",VLOOKUP(D442,#REF!,3,0),IF(C442="SINAPI",VLOOKUP(D442,#REF!,3,0),IF(C442="EDIF",VLOOKUP(D442,#REF!,3,0),IF(C442="CDHU",VLOOKUP(D442,#REF!,3,0),IF(C442="FDE",VLOOKUP(D442,#REF!,3,0),IF(C442="INFRA",VLOOKUP(D442,#REF!,3,0),""))))))),"")</f>
        <v/>
      </c>
      <c r="G442" s="57"/>
      <c r="H442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42" s="59"/>
      <c r="J442" s="59"/>
      <c r="K442" s="82">
        <f>SUBTOTAL(9,K443)</f>
        <v>24550.559999999998</v>
      </c>
      <c r="L442" s="51"/>
      <c r="M442" s="52"/>
    </row>
    <row r="443" spans="2:13" s="25" customFormat="1" ht="30" customHeight="1" outlineLevel="1">
      <c r="B443" s="61"/>
      <c r="C443" s="62" t="s">
        <v>26</v>
      </c>
      <c r="D443" s="63" t="s">
        <v>949</v>
      </c>
      <c r="E443" s="64" t="str">
        <f>IFERROR(UPPER(IF(C443="CPU",VLOOKUP(D443,#REF!,2,0),IF(C443="SINAPI",VLOOKUP(D443,#REF!,2,0),IF(C443="EDIF",VLOOKUP(D443,#REF!,2,0),IF(C443="CDHU",VLOOKUP(D443,#REF!,2,0),IF(C443="FDE",VLOOKUP(D443,'FDE 10-23 '!$A$4:$E$3180,2,0),IF(C443="INFRA",VLOOKUP(D443,#REF!,2,0),""))))))),"")</f>
        <v>TINTA LATEX STANDARD</v>
      </c>
      <c r="F443" s="65" t="str">
        <f>VLOOKUP(D443,'FDE 10-23 '!$A$4:$E$3180,3,0)</f>
        <v>M2</v>
      </c>
      <c r="G443" s="66">
        <v>909.28</v>
      </c>
      <c r="H443" s="67">
        <f>VLOOKUP(D443,'FDE 10-23 '!$A$4:$E$3180,5,0)</f>
        <v>21.95</v>
      </c>
      <c r="I443" s="68">
        <f>$L$10</f>
        <v>0.23</v>
      </c>
      <c r="J443" s="67">
        <f>ROUND(H443*(1+I443),2)</f>
        <v>27</v>
      </c>
      <c r="K443" s="71">
        <f>SUM(G443*J443)</f>
        <v>24550.559999999998</v>
      </c>
      <c r="L443" s="51"/>
      <c r="M443" s="52"/>
    </row>
    <row r="444" spans="2:13" s="25" customFormat="1" ht="30" customHeight="1">
      <c r="B444" s="43">
        <v>16</v>
      </c>
      <c r="C444" s="44"/>
      <c r="D444" s="44" t="s">
        <v>950</v>
      </c>
      <c r="E444" s="45" t="s">
        <v>951</v>
      </c>
      <c r="F444" s="46" t="str">
        <f>IFERROR(UPPER(IF(C444="CPU",VLOOKUP(D444,#REF!,3,0),IF(C444="SINAPI",VLOOKUP(D444,#REF!,3,0),IF(C444="EDIF",VLOOKUP(D444,#REF!,3,0),IF(C444="CDHU",VLOOKUP(D444,#REF!,3,0),IF(C444="FDE",VLOOKUP(D444,#REF!,3,0),IF(C444="INFRA",VLOOKUP(D444,#REF!,3,0),""))))))),"")</f>
        <v/>
      </c>
      <c r="G444" s="47"/>
      <c r="H444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44" s="49"/>
      <c r="J444" s="49"/>
      <c r="K444" s="81">
        <f>SUBTOTAL(9,K445:K530)</f>
        <v>721933.21019999962</v>
      </c>
      <c r="L444" s="51"/>
      <c r="M444" s="52"/>
    </row>
    <row r="445" spans="2:13" s="25" customFormat="1" ht="30" customHeight="1" outlineLevel="1">
      <c r="B445" s="53" t="s">
        <v>952</v>
      </c>
      <c r="C445" s="54"/>
      <c r="D445" s="54" t="s">
        <v>953</v>
      </c>
      <c r="E445" s="55" t="s">
        <v>954</v>
      </c>
      <c r="F445" s="56" t="str">
        <f>IFERROR(UPPER(IF(C445="CPU",VLOOKUP(D445,#REF!,3,0),IF(C445="SINAPI",VLOOKUP(D445,#REF!,3,0),IF(C445="EDIF",VLOOKUP(D445,#REF!,3,0),IF(C445="CDHU",VLOOKUP(D445,#REF!,3,0),IF(C445="FDE",VLOOKUP(D445,#REF!,3,0),IF(C445="INFRA",VLOOKUP(D445,#REF!,3,0),""))))))),"")</f>
        <v/>
      </c>
      <c r="G445" s="57"/>
      <c r="H44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45" s="59"/>
      <c r="J445" s="59"/>
      <c r="K445" s="82">
        <f>SUBTOTAL(9,K446:K451)</f>
        <v>85410.754000000015</v>
      </c>
      <c r="L445" s="51"/>
      <c r="M445" s="52"/>
    </row>
    <row r="446" spans="2:13" s="25" customFormat="1" ht="30" customHeight="1" outlineLevel="1">
      <c r="B446" s="61"/>
      <c r="C446" s="62" t="s">
        <v>26</v>
      </c>
      <c r="D446" s="63" t="s">
        <v>956</v>
      </c>
      <c r="E446" s="64" t="str">
        <f>IFERROR(UPPER(IF(C446="CPU",VLOOKUP(D446,#REF!,2,0),IF(C446="SINAPI",VLOOKUP(D446,#REF!,2,0),IF(C446="EDIF",VLOOKUP(D446,#REF!,2,0),IF(C446="CDHU",VLOOKUP(D446,#REF!,2,0),IF(C446="FDE",VLOOKUP(D446,'FDE 10-23 '!$A$4:$E$3180,2,0),IF(C446="INFRA",VLOOKUP(D446,#REF!,2,0),""))))))),"")</f>
        <v>FD-16 FECHAMENTO DIVISA/BL CONCRETO/REVEST CHAPISCO FINO H=235CM/BROCA</v>
      </c>
      <c r="F446" s="65" t="str">
        <f>VLOOKUP(D446,'FDE 10-23 '!$A$4:$E$3180,3,0)</f>
        <v>M</v>
      </c>
      <c r="G446" s="66"/>
      <c r="H446" s="67">
        <f>VLOOKUP(D446,'FDE 10-23 '!$A$4:$E$3180,5,0)</f>
        <v>704.05</v>
      </c>
      <c r="I446" s="68">
        <f t="shared" ref="I446:I451" si="75">$L$10</f>
        <v>0.23</v>
      </c>
      <c r="J446" s="67">
        <f t="shared" ref="J446:J451" si="76">ROUND(H446*(1+I446),2)</f>
        <v>865.98</v>
      </c>
      <c r="K446" s="71">
        <f t="shared" ref="K446:K451" si="77">SUM(G446*J446)</f>
        <v>0</v>
      </c>
      <c r="L446" s="51"/>
      <c r="M446" s="52"/>
    </row>
    <row r="447" spans="2:13" s="25" customFormat="1" ht="30" customHeight="1" outlineLevel="1">
      <c r="B447" s="61"/>
      <c r="C447" s="62" t="s">
        <v>26</v>
      </c>
      <c r="D447" s="63" t="s">
        <v>958</v>
      </c>
      <c r="E447" s="64" t="str">
        <f>IFERROR(UPPER(IF(C447="CPU",VLOOKUP(D447,#REF!,2,0),IF(C447="SINAPI",VLOOKUP(D447,#REF!,2,0),IF(C447="EDIF",VLOOKUP(D447,#REF!,2,0),IF(C447="CDHU",VLOOKUP(D447,#REF!,2,0),IF(C447="FDE",VLOOKUP(D447,'FDE 10-23 '!$A$4:$E$3180,2,0),IF(C447="INFRA",VLOOKUP(D447,#REF!,2,0),""))))))),"")</f>
        <v>FD-24 FECHAMENTO DE DIVISA COM GRADIL ELETROFUNDIDO / BROCA (H=235CM)</v>
      </c>
      <c r="F447" s="65" t="str">
        <f>VLOOKUP(D447,'FDE 10-23 '!$A$4:$E$3180,3,0)</f>
        <v>M</v>
      </c>
      <c r="G447" s="66">
        <v>16</v>
      </c>
      <c r="H447" s="67">
        <f>VLOOKUP(D447,'FDE 10-23 '!$A$4:$E$3180,5,0)</f>
        <v>936.52</v>
      </c>
      <c r="I447" s="68">
        <f t="shared" si="75"/>
        <v>0.23</v>
      </c>
      <c r="J447" s="67">
        <f t="shared" si="76"/>
        <v>1151.92</v>
      </c>
      <c r="K447" s="71">
        <f t="shared" si="77"/>
        <v>18430.72</v>
      </c>
      <c r="L447" s="51"/>
      <c r="M447" s="52"/>
    </row>
    <row r="448" spans="2:13" s="25" customFormat="1" ht="30" customHeight="1" outlineLevel="1">
      <c r="B448" s="61"/>
      <c r="C448" s="62" t="s">
        <v>26</v>
      </c>
      <c r="D448" s="63" t="s">
        <v>960</v>
      </c>
      <c r="E448" s="64" t="str">
        <f>IFERROR(UPPER(IF(C448="CPU",VLOOKUP(D448,#REF!,2,0),IF(C448="SINAPI",VLOOKUP(D448,#REF!,2,0),IF(C448="EDIF",VLOOKUP(D448,#REF!,2,0),IF(C448="CDHU",VLOOKUP(D448,#REF!,2,0),IF(C448="FDE",VLOOKUP(D448,'FDE 10-23 '!$A$4:$E$3180,2,0),IF(C448="INFRA",VLOOKUP(D448,#REF!,2,0),""))))))),"")</f>
        <v>PT-41 PORTAO EM CHAPA DE ACO (300X235CM)</v>
      </c>
      <c r="F448" s="65" t="str">
        <f>VLOOKUP(D448,'FDE 10-23 '!$A$4:$E$3180,3,0)</f>
        <v>UN</v>
      </c>
      <c r="G448" s="66">
        <v>2</v>
      </c>
      <c r="H448" s="67">
        <f>VLOOKUP(D448,'FDE 10-23 '!$A$4:$E$3180,5,0)</f>
        <v>9783.4</v>
      </c>
      <c r="I448" s="68">
        <f t="shared" si="75"/>
        <v>0.23</v>
      </c>
      <c r="J448" s="67">
        <f t="shared" si="76"/>
        <v>12033.58</v>
      </c>
      <c r="K448" s="71">
        <f t="shared" si="77"/>
        <v>24067.16</v>
      </c>
      <c r="L448" s="51"/>
      <c r="M448" s="52"/>
    </row>
    <row r="449" spans="2:13" s="25" customFormat="1" ht="30" customHeight="1" outlineLevel="1">
      <c r="B449" s="61"/>
      <c r="C449" s="62" t="s">
        <v>26</v>
      </c>
      <c r="D449" s="63" t="s">
        <v>962</v>
      </c>
      <c r="E449" s="64" t="str">
        <f>IFERROR(UPPER(IF(C449="CPU",VLOOKUP(D449,#REF!,2,0),IF(C449="SINAPI",VLOOKUP(D449,#REF!,2,0),IF(C449="EDIF",VLOOKUP(D449,#REF!,2,0),IF(C449="CDHU",VLOOKUP(D449,#REF!,2,0),IF(C449="FDE",VLOOKUP(D449,'FDE 10-23 '!$A$4:$E$3180,2,0),IF(C449="INFRA",VLOOKUP(D449,#REF!,2,0),""))))))),"")</f>
        <v>FE-02  FECHAMENTO PARA SETORIZAÇAO (GRADIL ELETROFUNDIDO)</v>
      </c>
      <c r="F449" s="65" t="str">
        <f>VLOOKUP(D449,'FDE 10-23 '!$A$4:$E$3180,3,0)</f>
        <v>M2</v>
      </c>
      <c r="G449" s="66">
        <v>92.05</v>
      </c>
      <c r="H449" s="67">
        <f>VLOOKUP(D449,'FDE 10-23 '!$A$4:$E$3180,5,0)</f>
        <v>279.19</v>
      </c>
      <c r="I449" s="68">
        <f t="shared" si="75"/>
        <v>0.23</v>
      </c>
      <c r="J449" s="67">
        <f t="shared" si="76"/>
        <v>343.4</v>
      </c>
      <c r="K449" s="71">
        <f t="shared" si="77"/>
        <v>31609.969999999998</v>
      </c>
      <c r="L449" s="51"/>
      <c r="M449" s="52"/>
    </row>
    <row r="450" spans="2:13" s="25" customFormat="1" ht="30" customHeight="1" outlineLevel="1">
      <c r="B450" s="61"/>
      <c r="C450" s="62" t="s">
        <v>26</v>
      </c>
      <c r="D450" s="63" t="s">
        <v>964</v>
      </c>
      <c r="E450" s="64" t="str">
        <f>IFERROR(UPPER(IF(C450="CPU",VLOOKUP(D450,#REF!,2,0),IF(C450="SINAPI",VLOOKUP(D450,#REF!,2,0),IF(C450="EDIF",VLOOKUP(D450,#REF!,2,0),IF(C450="CDHU",VLOOKUP(D450,#REF!,2,0),IF(C450="FDE",VLOOKUP(D450,'FDE 10-23 '!$A$4:$E$3180,2,0),IF(C450="INFRA",VLOOKUP(D450,#REF!,2,0),""))))))),"")</f>
        <v>PT-50 PORTAO DE TELA PARA SETORIZAÇAO 120&lt;H&lt;200 CM</v>
      </c>
      <c r="F450" s="65" t="str">
        <f>VLOOKUP(D450,'FDE 10-23 '!$A$4:$E$3180,3,0)</f>
        <v>M2</v>
      </c>
      <c r="G450" s="66">
        <v>2.4</v>
      </c>
      <c r="H450" s="67">
        <f>VLOOKUP(D450,'FDE 10-23 '!$A$4:$E$3180,5,0)</f>
        <v>1103.9100000000001</v>
      </c>
      <c r="I450" s="68">
        <f t="shared" si="75"/>
        <v>0.23</v>
      </c>
      <c r="J450" s="67">
        <f t="shared" si="76"/>
        <v>1357.81</v>
      </c>
      <c r="K450" s="71">
        <f t="shared" si="77"/>
        <v>3258.7439999999997</v>
      </c>
      <c r="L450" s="51"/>
      <c r="M450" s="52"/>
    </row>
    <row r="451" spans="2:13" s="25" customFormat="1" ht="30" customHeight="1" outlineLevel="1">
      <c r="B451" s="61"/>
      <c r="C451" s="62" t="s">
        <v>26</v>
      </c>
      <c r="D451" s="63" t="s">
        <v>966</v>
      </c>
      <c r="E451" s="64" t="str">
        <f>IFERROR(UPPER(IF(C451="CPU",VLOOKUP(D451,#REF!,2,0),IF(C451="SINAPI",VLOOKUP(D451,#REF!,2,0),IF(C451="EDIF",VLOOKUP(D451,#REF!,2,0),IF(C451="CDHU",VLOOKUP(D451,#REF!,2,0),IF(C451="FDE",VLOOKUP(D451,'FDE 10-23 '!$A$4:$E$3180,2,0),IF(C451="INFRA",VLOOKUP(D451,#REF!,2,0),""))))))),"")</f>
        <v>PT-35 PORTAO GRADIL ELETROFUNDIDO / PILARETE METALICO (300X235CM)</v>
      </c>
      <c r="F451" s="65" t="str">
        <f>VLOOKUP(D451,'FDE 10-23 '!$A$4:$E$3180,3,0)</f>
        <v>UN</v>
      </c>
      <c r="G451" s="66">
        <v>1</v>
      </c>
      <c r="H451" s="67">
        <f>VLOOKUP(D451,'FDE 10-23 '!$A$4:$E$3180,5,0)</f>
        <v>6539.97</v>
      </c>
      <c r="I451" s="68">
        <f t="shared" si="75"/>
        <v>0.23</v>
      </c>
      <c r="J451" s="67">
        <f t="shared" si="76"/>
        <v>8044.16</v>
      </c>
      <c r="K451" s="71">
        <f t="shared" si="77"/>
        <v>8044.16</v>
      </c>
      <c r="L451" s="51"/>
      <c r="M451" s="52"/>
    </row>
    <row r="452" spans="2:13" s="25" customFormat="1" ht="30" customHeight="1" outlineLevel="1">
      <c r="B452" s="53" t="s">
        <v>967</v>
      </c>
      <c r="C452" s="54"/>
      <c r="D452" s="54" t="s">
        <v>968</v>
      </c>
      <c r="E452" s="55" t="s">
        <v>969</v>
      </c>
      <c r="F452" s="56" t="str">
        <f>IFERROR(UPPER(IF(C452="CPU",VLOOKUP(D452,#REF!,3,0),IF(C452="SINAPI",VLOOKUP(D452,#REF!,3,0),IF(C452="EDIF",VLOOKUP(D452,#REF!,3,0),IF(C452="CDHU",VLOOKUP(D452,#REF!,3,0),IF(C452="FDE",VLOOKUP(D452,#REF!,3,0),IF(C452="INFRA",VLOOKUP(D452,#REF!,3,0),""))))))),"")</f>
        <v/>
      </c>
      <c r="G452" s="57"/>
      <c r="H452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52" s="59"/>
      <c r="J452" s="59"/>
      <c r="K452" s="82">
        <f>SUBTOTAL(9,K453:K459)</f>
        <v>122793.88459999999</v>
      </c>
      <c r="L452" s="51"/>
      <c r="M452" s="52"/>
    </row>
    <row r="453" spans="2:13" s="25" customFormat="1" ht="30" customHeight="1" outlineLevel="1">
      <c r="B453" s="61"/>
      <c r="C453" s="62" t="s">
        <v>26</v>
      </c>
      <c r="D453" s="63" t="s">
        <v>971</v>
      </c>
      <c r="E453" s="64" t="str">
        <f>IFERROR(UPPER(IF(C453="CPU",VLOOKUP(D453,#REF!,2,0),IF(C453="SINAPI",VLOOKUP(D453,#REF!,2,0),IF(C453="EDIF",VLOOKUP(D453,#REF!,2,0),IF(C453="CDHU",VLOOKUP(D453,#REF!,2,0),IF(C453="FDE",VLOOKUP(D453,'FDE 10-23 '!$A$4:$E$3180,2,0),IF(C453="INFRA",VLOOKUP(D453,#REF!,2,0),""))))))),"")</f>
        <v>BORRACHA ASSENTADA C/ ARGAMASSA - PISO TATIL DIRECIONAL</v>
      </c>
      <c r="F453" s="65" t="str">
        <f>VLOOKUP(D453,'FDE 10-23 '!$A$4:$E$3180,3,0)</f>
        <v>M2</v>
      </c>
      <c r="G453" s="66">
        <v>2.56</v>
      </c>
      <c r="H453" s="67">
        <f>VLOOKUP(D453,'FDE 10-23 '!$A$4:$E$3180,5,0)</f>
        <v>429.95</v>
      </c>
      <c r="I453" s="68">
        <f t="shared" ref="I453:I459" si="78">$L$10</f>
        <v>0.23</v>
      </c>
      <c r="J453" s="67">
        <f t="shared" ref="J453:J459" si="79">ROUND(H453*(1+I453),2)</f>
        <v>528.84</v>
      </c>
      <c r="K453" s="71">
        <f t="shared" ref="K453:K459" si="80">SUM(G453*J453)</f>
        <v>1353.8304000000001</v>
      </c>
      <c r="L453" s="51"/>
      <c r="M453" s="52"/>
    </row>
    <row r="454" spans="2:13" s="25" customFormat="1" ht="30" customHeight="1" outlineLevel="1">
      <c r="B454" s="61"/>
      <c r="C454" s="62" t="s">
        <v>26</v>
      </c>
      <c r="D454" s="63" t="s">
        <v>973</v>
      </c>
      <c r="E454" s="64" t="str">
        <f>IFERROR(UPPER(IF(C454="CPU",VLOOKUP(D454,#REF!,2,0),IF(C454="SINAPI",VLOOKUP(D454,#REF!,2,0),IF(C454="EDIF",VLOOKUP(D454,#REF!,2,0),IF(C454="CDHU",VLOOKUP(D454,#REF!,2,0),IF(C454="FDE",VLOOKUP(D454,'FDE 10-23 '!$A$4:$E$3180,2,0),IF(C454="INFRA",VLOOKUP(D454,#REF!,2,0),""))))))),"")</f>
        <v>PAVIMENTACAO COM PEDRISCO COM ESPESS DE 5 CM</v>
      </c>
      <c r="F454" s="65" t="str">
        <f>VLOOKUP(D454,'FDE 10-23 '!$A$4:$E$3180,3,0)</f>
        <v>M2</v>
      </c>
      <c r="G454" s="66">
        <v>354.38</v>
      </c>
      <c r="H454" s="67">
        <f>VLOOKUP(D454,'FDE 10-23 '!$A$4:$E$3180,5,0)</f>
        <v>12.14</v>
      </c>
      <c r="I454" s="68">
        <f t="shared" si="78"/>
        <v>0.23</v>
      </c>
      <c r="J454" s="67">
        <f t="shared" si="79"/>
        <v>14.93</v>
      </c>
      <c r="K454" s="71">
        <f t="shared" si="80"/>
        <v>5290.8933999999999</v>
      </c>
      <c r="L454" s="51"/>
      <c r="M454" s="52"/>
    </row>
    <row r="455" spans="2:13" s="25" customFormat="1" ht="30" customHeight="1" outlineLevel="1">
      <c r="B455" s="61"/>
      <c r="C455" s="62" t="s">
        <v>26</v>
      </c>
      <c r="D455" s="63" t="s">
        <v>975</v>
      </c>
      <c r="E455" s="64" t="str">
        <f>IFERROR(UPPER(IF(C455="CPU",VLOOKUP(D455,#REF!,2,0),IF(C455="SINAPI",VLOOKUP(D455,#REF!,2,0),IF(C455="EDIF",VLOOKUP(D455,#REF!,2,0),IF(C455="CDHU",VLOOKUP(D455,#REF!,2,0),IF(C455="FDE",VLOOKUP(D455,'FDE 10-23 '!$A$4:$E$3180,2,0),IF(C455="INFRA",VLOOKUP(D455,#REF!,2,0),""))))))),"")</f>
        <v>GA-01 GUIA LEVE OU SEPARADOR DE PISOS</v>
      </c>
      <c r="F455" s="65" t="str">
        <f>VLOOKUP(D455,'FDE 10-23 '!$A$4:$E$3180,3,0)</f>
        <v>M</v>
      </c>
      <c r="G455" s="66">
        <v>16</v>
      </c>
      <c r="H455" s="67">
        <f>VLOOKUP(D455,'FDE 10-23 '!$A$4:$E$3180,5,0)</f>
        <v>47.13</v>
      </c>
      <c r="I455" s="68">
        <f t="shared" si="78"/>
        <v>0.23</v>
      </c>
      <c r="J455" s="67">
        <f t="shared" si="79"/>
        <v>57.97</v>
      </c>
      <c r="K455" s="71">
        <f t="shared" si="80"/>
        <v>927.52</v>
      </c>
      <c r="L455" s="51"/>
      <c r="M455" s="52"/>
    </row>
    <row r="456" spans="2:13" s="25" customFormat="1" ht="30" customHeight="1" outlineLevel="1">
      <c r="B456" s="61"/>
      <c r="C456" s="62" t="s">
        <v>26</v>
      </c>
      <c r="D456" s="63" t="s">
        <v>977</v>
      </c>
      <c r="E456" s="64" t="str">
        <f>IFERROR(UPPER(IF(C456="CPU",VLOOKUP(D456,#REF!,2,0),IF(C456="SINAPI",VLOOKUP(D456,#REF!,2,0),IF(C456="EDIF",VLOOKUP(D456,#REF!,2,0),IF(C456="CDHU",VLOOKUP(D456,#REF!,2,0),IF(C456="FDE",VLOOKUP(D456,'FDE 10-23 '!$A$4:$E$3180,2,0),IF(C456="INFRA",VLOOKUP(D456,#REF!,2,0),""))))))),"")</f>
        <v>PISO DE CONCRETO FCK 25MPA DESEMPENAMENTO MECÂNICO E=8CM</v>
      </c>
      <c r="F456" s="65" t="str">
        <f>VLOOKUP(D456,'FDE 10-23 '!$A$4:$E$3180,3,0)</f>
        <v>M2</v>
      </c>
      <c r="G456" s="66">
        <v>1202.5999999999999</v>
      </c>
      <c r="H456" s="67">
        <f>VLOOKUP(D456,'FDE 10-23 '!$A$4:$E$3180,5,0)</f>
        <v>65.88</v>
      </c>
      <c r="I456" s="68">
        <f t="shared" si="78"/>
        <v>0.23</v>
      </c>
      <c r="J456" s="67">
        <f t="shared" si="79"/>
        <v>81.03</v>
      </c>
      <c r="K456" s="71">
        <f t="shared" si="80"/>
        <v>97446.678</v>
      </c>
      <c r="L456" s="51"/>
      <c r="M456" s="52"/>
    </row>
    <row r="457" spans="2:13" s="25" customFormat="1" ht="30" customHeight="1" outlineLevel="1">
      <c r="B457" s="61"/>
      <c r="C457" s="62" t="s">
        <v>26</v>
      </c>
      <c r="D457" s="63" t="s">
        <v>979</v>
      </c>
      <c r="E457" s="64" t="str">
        <f>IFERROR(UPPER(IF(C457="CPU",VLOOKUP(D457,#REF!,2,0),IF(C457="SINAPI",VLOOKUP(D457,#REF!,2,0),IF(C457="EDIF",VLOOKUP(D457,#REF!,2,0),IF(C457="CDHU",VLOOKUP(D457,#REF!,2,0),IF(C457="FDE",VLOOKUP(D457,'FDE 10-23 '!$A$4:$E$3180,2,0),IF(C457="INFRA",VLOOKUP(D457,#REF!,2,0),""))))))),"")</f>
        <v>PISO DE CONCRETO ARMADO FCK 25MPA DESEMPENAMENTO MECÂNICO  E=10CM</v>
      </c>
      <c r="F457" s="65" t="str">
        <f>VLOOKUP(D457,'FDE 10-23 '!$A$4:$E$3180,3,0)</f>
        <v>M2</v>
      </c>
      <c r="G457" s="66"/>
      <c r="H457" s="67">
        <f>VLOOKUP(D457,'FDE 10-23 '!$A$4:$E$3180,5,0)</f>
        <v>102.82</v>
      </c>
      <c r="I457" s="68">
        <f t="shared" si="78"/>
        <v>0.23</v>
      </c>
      <c r="J457" s="67">
        <f t="shared" si="79"/>
        <v>126.47</v>
      </c>
      <c r="K457" s="71">
        <f t="shared" si="80"/>
        <v>0</v>
      </c>
      <c r="L457" s="51"/>
      <c r="M457" s="52"/>
    </row>
    <row r="458" spans="2:13" s="25" customFormat="1" ht="30" customHeight="1" outlineLevel="1">
      <c r="B458" s="61"/>
      <c r="C458" s="62" t="s">
        <v>26</v>
      </c>
      <c r="D458" s="63" t="s">
        <v>981</v>
      </c>
      <c r="E458" s="64" t="str">
        <f>IFERROR(UPPER(IF(C458="CPU",VLOOKUP(D458,#REF!,2,0),IF(C458="SINAPI",VLOOKUP(D458,#REF!,2,0),IF(C458="EDIF",VLOOKUP(D458,#REF!,2,0),IF(C458="CDHU",VLOOKUP(D458,#REF!,2,0),IF(C458="FDE",VLOOKUP(D458,'FDE 10-23 '!$A$4:$E$3180,2,0),IF(C458="INFRA",VLOOKUP(D458,#REF!,2,0),""))))))),"")</f>
        <v>DEGRAU DE CONCRETO ARMADO FCK 25MPA DESEMPENADO E=6CM  INCLUSIVE LASTRO DE BRITA</v>
      </c>
      <c r="F458" s="65" t="str">
        <f>VLOOKUP(D458,'FDE 10-23 '!$A$4:$E$3180,3,0)</f>
        <v>M</v>
      </c>
      <c r="G458" s="66">
        <v>48</v>
      </c>
      <c r="H458" s="67">
        <f>VLOOKUP(D458,'FDE 10-23 '!$A$4:$E$3180,5,0)</f>
        <v>57.85</v>
      </c>
      <c r="I458" s="68">
        <f t="shared" si="78"/>
        <v>0.23</v>
      </c>
      <c r="J458" s="67">
        <f t="shared" si="79"/>
        <v>71.16</v>
      </c>
      <c r="K458" s="71">
        <f t="shared" si="80"/>
        <v>3415.68</v>
      </c>
      <c r="L458" s="51"/>
      <c r="M458" s="52"/>
    </row>
    <row r="459" spans="2:13" s="25" customFormat="1" ht="30" customHeight="1" outlineLevel="1">
      <c r="B459" s="61"/>
      <c r="C459" s="62" t="s">
        <v>26</v>
      </c>
      <c r="D459" s="63" t="s">
        <v>983</v>
      </c>
      <c r="E459" s="64" t="str">
        <f>IFERROR(UPPER(IF(C459="CPU",VLOOKUP(D459,#REF!,2,0),IF(C459="SINAPI",VLOOKUP(D459,#REF!,2,0),IF(C459="EDIF",VLOOKUP(D459,#REF!,2,0),IF(C459="CDHU",VLOOKUP(D459,#REF!,2,0),IF(C459="FDE",VLOOKUP(D459,'FDE 10-23 '!$A$4:$E$3180,2,0),IF(C459="INFRA",VLOOKUP(D459,#REF!,2,0),""))))))),"")</f>
        <v>LASTRO DE PEDRA BRITADA - 5CM</v>
      </c>
      <c r="F459" s="65" t="str">
        <f>VLOOKUP(D459,'FDE 10-23 '!$A$4:$E$3180,3,0)</f>
        <v>M2</v>
      </c>
      <c r="G459" s="66">
        <v>1202.6199999999999</v>
      </c>
      <c r="H459" s="67">
        <f>VLOOKUP(D459,'FDE 10-23 '!$A$4:$E$3180,5,0)</f>
        <v>9.7100000000000009</v>
      </c>
      <c r="I459" s="68">
        <f t="shared" si="78"/>
        <v>0.23</v>
      </c>
      <c r="J459" s="67">
        <f t="shared" si="79"/>
        <v>11.94</v>
      </c>
      <c r="K459" s="71">
        <f t="shared" si="80"/>
        <v>14359.282799999997</v>
      </c>
      <c r="L459" s="51"/>
      <c r="M459" s="52"/>
    </row>
    <row r="460" spans="2:13" s="25" customFormat="1" ht="30" customHeight="1" outlineLevel="1">
      <c r="B460" s="53" t="s">
        <v>984</v>
      </c>
      <c r="C460" s="54"/>
      <c r="D460" s="54" t="s">
        <v>985</v>
      </c>
      <c r="E460" s="55" t="s">
        <v>986</v>
      </c>
      <c r="F460" s="56" t="str">
        <f>IFERROR(UPPER(IF(C460="CPU",VLOOKUP(D460,#REF!,3,0),IF(C460="SINAPI",VLOOKUP(D460,#REF!,3,0),IF(C460="EDIF",VLOOKUP(D460,#REF!,3,0),IF(C460="CDHU",VLOOKUP(D460,#REF!,3,0),IF(C460="FDE",VLOOKUP(D460,#REF!,3,0),IF(C460="INFRA",VLOOKUP(D460,#REF!,3,0),""))))))),"")</f>
        <v/>
      </c>
      <c r="G460" s="57"/>
      <c r="H46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60" s="59"/>
      <c r="J460" s="59"/>
      <c r="K460" s="82">
        <f>SUBTOTAL(9,K461:K464)</f>
        <v>108071.91700000002</v>
      </c>
      <c r="L460" s="51"/>
      <c r="M460" s="52"/>
    </row>
    <row r="461" spans="2:13" s="25" customFormat="1" ht="30" customHeight="1" outlineLevel="1">
      <c r="B461" s="61"/>
      <c r="C461" s="62" t="s">
        <v>26</v>
      </c>
      <c r="D461" s="63" t="s">
        <v>988</v>
      </c>
      <c r="E461" s="64" t="str">
        <f>IFERROR(UPPER(IF(C461="CPU",VLOOKUP(D461,#REF!,2,0),IF(C461="SINAPI",VLOOKUP(D461,#REF!,2,0),IF(C461="EDIF",VLOOKUP(D461,#REF!,2,0),IF(C461="CDHU",VLOOKUP(D461,#REF!,2,0),IF(C461="FDE",VLOOKUP(D461,'FDE 10-23 '!$A$4:$E$3180,2,0),IF(C461="INFRA",VLOOKUP(D461,#REF!,2,0),""))))))),"")</f>
        <v>GRAMA SAO CARLOS EM PLACAS</v>
      </c>
      <c r="F461" s="65" t="str">
        <f>VLOOKUP(D461,'FDE 10-23 '!$A$4:$E$3180,3,0)</f>
        <v>M2</v>
      </c>
      <c r="G461" s="66">
        <v>4037.7</v>
      </c>
      <c r="H461" s="67">
        <f>VLOOKUP(D461,'FDE 10-23 '!$A$4:$E$3180,5,0)</f>
        <v>20.329999999999998</v>
      </c>
      <c r="I461" s="68">
        <f>$L$10</f>
        <v>0.23</v>
      </c>
      <c r="J461" s="67">
        <f>ROUND(H461*(1+I461),2)</f>
        <v>25.01</v>
      </c>
      <c r="K461" s="71">
        <f>SUM(G461*J461)</f>
        <v>100982.87700000001</v>
      </c>
      <c r="L461" s="51"/>
      <c r="M461" s="52"/>
    </row>
    <row r="462" spans="2:13" s="25" customFormat="1" ht="30" customHeight="1" outlineLevel="1">
      <c r="B462" s="61"/>
      <c r="C462" s="62" t="s">
        <v>26</v>
      </c>
      <c r="D462" s="63" t="s">
        <v>990</v>
      </c>
      <c r="E462" s="64" t="str">
        <f>IFERROR(UPPER(IF(C462="CPU",VLOOKUP(D462,#REF!,2,0),IF(C462="SINAPI",VLOOKUP(D462,#REF!,2,0),IF(C462="EDIF",VLOOKUP(D462,#REF!,2,0),IF(C462="CDHU",VLOOKUP(D462,#REF!,2,0),IF(C462="FDE",VLOOKUP(D462,'FDE 10-23 '!$A$4:$E$3180,2,0),IF(C462="INFRA",VLOOKUP(D462,#REF!,2,0),""))))))),"")</f>
        <v>AP-02 PROTETOR PARA ARVORES</v>
      </c>
      <c r="F462" s="65" t="str">
        <f>VLOOKUP(D462,'FDE 10-23 '!$A$4:$E$3180,3,0)</f>
        <v>UN</v>
      </c>
      <c r="G462" s="66">
        <v>14</v>
      </c>
      <c r="H462" s="67">
        <f>VLOOKUP(D462,'FDE 10-23 '!$A$4:$E$3180,5,0)</f>
        <v>114.06</v>
      </c>
      <c r="I462" s="68">
        <f>$L$10</f>
        <v>0.23</v>
      </c>
      <c r="J462" s="67">
        <f>ROUND(H462*(1+I462),2)</f>
        <v>140.29</v>
      </c>
      <c r="K462" s="71">
        <f>SUM(G462*J462)</f>
        <v>1964.06</v>
      </c>
      <c r="L462" s="51"/>
      <c r="M462" s="52"/>
    </row>
    <row r="463" spans="2:13" s="25" customFormat="1" ht="30" customHeight="1" outlineLevel="1">
      <c r="B463" s="61"/>
      <c r="C463" s="62" t="s">
        <v>26</v>
      </c>
      <c r="D463" s="63" t="s">
        <v>992</v>
      </c>
      <c r="E463" s="64" t="str">
        <f>IFERROR(UPPER(IF(C463="CPU",VLOOKUP(D463,#REF!,2,0),IF(C463="SINAPI",VLOOKUP(D463,#REF!,2,0),IF(C463="EDIF",VLOOKUP(D463,#REF!,2,0),IF(C463="CDHU",VLOOKUP(D463,#REF!,2,0),IF(C463="FDE",VLOOKUP(D463,'FDE 10-23 '!$A$4:$E$3180,2,0),IF(C463="INFRA",VLOOKUP(D463,#REF!,2,0),""))))))),"")</f>
        <v>FRUTÍFERA PITANGUEIRA H=2,00M</v>
      </c>
      <c r="F463" s="65" t="str">
        <f>VLOOKUP(D463,'FDE 10-23 '!$A$4:$E$3180,3,0)</f>
        <v>UN</v>
      </c>
      <c r="G463" s="66">
        <v>5</v>
      </c>
      <c r="H463" s="67">
        <f>VLOOKUP(D463,'FDE 10-23 '!$A$4:$E$3180,5,0)</f>
        <v>417.62</v>
      </c>
      <c r="I463" s="68">
        <f>$L$10</f>
        <v>0.23</v>
      </c>
      <c r="J463" s="67">
        <f>ROUND(H463*(1+I463),2)</f>
        <v>513.66999999999996</v>
      </c>
      <c r="K463" s="71">
        <f>SUM(G463*J463)</f>
        <v>2568.35</v>
      </c>
      <c r="L463" s="51"/>
      <c r="M463" s="52"/>
    </row>
    <row r="464" spans="2:13" s="25" customFormat="1" ht="30" customHeight="1" outlineLevel="1">
      <c r="B464" s="61"/>
      <c r="C464" s="62" t="s">
        <v>26</v>
      </c>
      <c r="D464" s="63" t="s">
        <v>994</v>
      </c>
      <c r="E464" s="64" t="str">
        <f>IFERROR(UPPER(IF(C464="CPU",VLOOKUP(D464,#REF!,2,0),IF(C464="SINAPI",VLOOKUP(D464,#REF!,2,0),IF(C464="EDIF",VLOOKUP(D464,#REF!,2,0),IF(C464="CDHU",VLOOKUP(D464,#REF!,2,0),IF(C464="FDE",VLOOKUP(D464,'FDE 10-23 '!$A$4:$E$3180,2,0),IF(C464="INFRA",VLOOKUP(D464,#REF!,2,0),""))))))),"")</f>
        <v>ÁRVORE ORNAMENTAL PAU-BRASIL  H=2,00M</v>
      </c>
      <c r="F464" s="65" t="str">
        <f>VLOOKUP(D464,'FDE 10-23 '!$A$4:$E$3180,3,0)</f>
        <v>UN</v>
      </c>
      <c r="G464" s="66">
        <v>9</v>
      </c>
      <c r="H464" s="67">
        <f>VLOOKUP(D464,'FDE 10-23 '!$A$4:$E$3180,5,0)</f>
        <v>230.95</v>
      </c>
      <c r="I464" s="68">
        <f>$L$10</f>
        <v>0.23</v>
      </c>
      <c r="J464" s="67">
        <f>ROUND(H464*(1+I464),2)</f>
        <v>284.07</v>
      </c>
      <c r="K464" s="71">
        <f>SUM(G464*J464)</f>
        <v>2556.63</v>
      </c>
      <c r="L464" s="51"/>
      <c r="M464" s="52"/>
    </row>
    <row r="465" spans="2:13" s="25" customFormat="1" ht="30" customHeight="1" outlineLevel="1">
      <c r="B465" s="53" t="s">
        <v>995</v>
      </c>
      <c r="C465" s="54"/>
      <c r="D465" s="54" t="s">
        <v>996</v>
      </c>
      <c r="E465" s="55" t="s">
        <v>997</v>
      </c>
      <c r="F465" s="56" t="str">
        <f>IFERROR(UPPER(IF(C465="CPU",VLOOKUP(D465,#REF!,3,0),IF(C465="SINAPI",VLOOKUP(D465,#REF!,3,0),IF(C465="EDIF",VLOOKUP(D465,#REF!,3,0),IF(C465="CDHU",VLOOKUP(D465,#REF!,3,0),IF(C465="FDE",VLOOKUP(D465,#REF!,3,0),IF(C465="INFRA",VLOOKUP(D465,#REF!,3,0),""))))))),"")</f>
        <v/>
      </c>
      <c r="G465" s="57"/>
      <c r="H46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65" s="59"/>
      <c r="J465" s="59"/>
      <c r="K465" s="82">
        <f>SUBTOTAL(9,K466:K479)</f>
        <v>226298.00940000004</v>
      </c>
      <c r="L465" s="51"/>
      <c r="M465" s="52"/>
    </row>
    <row r="466" spans="2:13" s="25" customFormat="1" ht="30" customHeight="1" outlineLevel="1">
      <c r="B466" s="61"/>
      <c r="C466" s="62" t="s">
        <v>26</v>
      </c>
      <c r="D466" s="63" t="s">
        <v>999</v>
      </c>
      <c r="E466" s="64" t="str">
        <f>IFERROR(UPPER(IF(C466="CPU",VLOOKUP(D466,#REF!,2,0),IF(C466="SINAPI",VLOOKUP(D466,#REF!,2,0),IF(C466="EDIF",VLOOKUP(D466,#REF!,2,0),IF(C466="CDHU",VLOOKUP(D466,#REF!,2,0),IF(C466="FDE",VLOOKUP(D466,'FDE 10-23 '!$A$4:$E$3180,2,0),IF(C466="INFRA",VLOOKUP(D466,#REF!,2,0),""))))))),"")</f>
        <v>CA-05 CANALETA P/ AGUAS PLUVIAIS (L=60CM)</v>
      </c>
      <c r="F466" s="65" t="str">
        <f>VLOOKUP(D466,'FDE 10-23 '!$A$4:$E$3180,3,0)</f>
        <v>M</v>
      </c>
      <c r="G466" s="66">
        <v>128</v>
      </c>
      <c r="H466" s="67">
        <f>VLOOKUP(D466,'FDE 10-23 '!$A$4:$E$3180,5,0)</f>
        <v>42.9</v>
      </c>
      <c r="I466" s="68">
        <f t="shared" ref="I466:I479" si="81">$L$10</f>
        <v>0.23</v>
      </c>
      <c r="J466" s="67">
        <f t="shared" ref="J466:J479" si="82">ROUND(H466*(1+I466),2)</f>
        <v>52.77</v>
      </c>
      <c r="K466" s="71">
        <f t="shared" ref="K466:K479" si="83">SUM(G466*J466)</f>
        <v>6754.56</v>
      </c>
      <c r="L466" s="51"/>
      <c r="M466" s="52"/>
    </row>
    <row r="467" spans="2:13" s="25" customFormat="1" ht="30" customHeight="1" outlineLevel="1">
      <c r="B467" s="61"/>
      <c r="C467" s="62" t="s">
        <v>26</v>
      </c>
      <c r="D467" s="63" t="s">
        <v>1001</v>
      </c>
      <c r="E467" s="64" t="str">
        <f>IFERROR(UPPER(IF(C467="CPU",VLOOKUP(D467,#REF!,2,0),IF(C467="SINAPI",VLOOKUP(D467,#REF!,2,0),IF(C467="EDIF",VLOOKUP(D467,#REF!,2,0),IF(C467="CDHU",VLOOKUP(D467,#REF!,2,0),IF(C467="FDE",VLOOKUP(D467,'FDE 10-23 '!$A$4:$E$3180,2,0),IF(C467="INFRA",VLOOKUP(D467,#REF!,2,0),""))))))),"")</f>
        <v>CA-11 CAIXA DE AREIA COM GRELHA</v>
      </c>
      <c r="F467" s="65" t="str">
        <f>VLOOKUP(D467,'FDE 10-23 '!$A$4:$E$3180,3,0)</f>
        <v>UN</v>
      </c>
      <c r="G467" s="66">
        <v>3</v>
      </c>
      <c r="H467" s="67">
        <f>VLOOKUP(D467,'FDE 10-23 '!$A$4:$E$3180,5,0)</f>
        <v>547.94000000000005</v>
      </c>
      <c r="I467" s="68">
        <f t="shared" si="81"/>
        <v>0.23</v>
      </c>
      <c r="J467" s="67">
        <f t="shared" si="82"/>
        <v>673.97</v>
      </c>
      <c r="K467" s="71">
        <f t="shared" si="83"/>
        <v>2021.91</v>
      </c>
      <c r="L467" s="51"/>
      <c r="M467" s="52"/>
    </row>
    <row r="468" spans="2:13" s="25" customFormat="1" ht="30" customHeight="1" outlineLevel="1">
      <c r="B468" s="61"/>
      <c r="C468" s="62" t="s">
        <v>26</v>
      </c>
      <c r="D468" s="63" t="s">
        <v>1003</v>
      </c>
      <c r="E468" s="64" t="str">
        <f>IFERROR(UPPER(IF(C468="CPU",VLOOKUP(D468,#REF!,2,0),IF(C468="SINAPI",VLOOKUP(D468,#REF!,2,0),IF(C468="EDIF",VLOOKUP(D468,#REF!,2,0),IF(C468="CDHU",VLOOKUP(D468,#REF!,2,0),IF(C468="FDE",VLOOKUP(D468,'FDE 10-23 '!$A$4:$E$3180,2,0),IF(C468="INFRA",VLOOKUP(D468,#REF!,2,0),""))))))),"")</f>
        <v>CA-22 CANALETA DE AGUAS PLUVIAIS EM CONCRETO (30CM)</v>
      </c>
      <c r="F468" s="65" t="str">
        <f>VLOOKUP(D468,'FDE 10-23 '!$A$4:$E$3180,3,0)</f>
        <v>M</v>
      </c>
      <c r="G468" s="66">
        <v>31</v>
      </c>
      <c r="H468" s="67">
        <f>VLOOKUP(D468,'FDE 10-23 '!$A$4:$E$3180,5,0)</f>
        <v>144.15</v>
      </c>
      <c r="I468" s="68">
        <f t="shared" si="81"/>
        <v>0.23</v>
      </c>
      <c r="J468" s="67">
        <f t="shared" si="82"/>
        <v>177.3</v>
      </c>
      <c r="K468" s="71">
        <f t="shared" si="83"/>
        <v>5496.3</v>
      </c>
      <c r="L468" s="51"/>
      <c r="M468" s="52"/>
    </row>
    <row r="469" spans="2:13" s="25" customFormat="1" ht="30" customHeight="1" outlineLevel="1">
      <c r="B469" s="61"/>
      <c r="C469" s="62" t="s">
        <v>26</v>
      </c>
      <c r="D469" s="63" t="s">
        <v>1005</v>
      </c>
      <c r="E469" s="64" t="str">
        <f>IFERROR(UPPER(IF(C469="CPU",VLOOKUP(D469,#REF!,2,0),IF(C469="SINAPI",VLOOKUP(D469,#REF!,2,0),IF(C469="EDIF",VLOOKUP(D469,#REF!,2,0),IF(C469="CDHU",VLOOKUP(D469,#REF!,2,0),IF(C469="FDE",VLOOKUP(D469,'FDE 10-23 '!$A$4:$E$3180,2,0),IF(C469="INFRA",VLOOKUP(D469,#REF!,2,0),""))))))),"")</f>
        <v>CANALETA DE CONCRETO 1/2 CANA DN 30CM P/ AGUAS PLUVIAIS</v>
      </c>
      <c r="F469" s="65" t="str">
        <f>VLOOKUP(D469,'FDE 10-23 '!$A$4:$E$3180,3,0)</f>
        <v>M</v>
      </c>
      <c r="G469" s="66">
        <v>116</v>
      </c>
      <c r="H469" s="67">
        <f>VLOOKUP(D469,'FDE 10-23 '!$A$4:$E$3180,5,0)</f>
        <v>57.99</v>
      </c>
      <c r="I469" s="68">
        <f t="shared" si="81"/>
        <v>0.23</v>
      </c>
      <c r="J469" s="67">
        <f t="shared" si="82"/>
        <v>71.33</v>
      </c>
      <c r="K469" s="71">
        <f t="shared" si="83"/>
        <v>8274.2800000000007</v>
      </c>
      <c r="L469" s="51"/>
      <c r="M469" s="52"/>
    </row>
    <row r="470" spans="2:13" s="25" customFormat="1" ht="30" customHeight="1" outlineLevel="1">
      <c r="B470" s="61"/>
      <c r="C470" s="62" t="s">
        <v>26</v>
      </c>
      <c r="D470" s="63" t="s">
        <v>1007</v>
      </c>
      <c r="E470" s="64" t="str">
        <f>IFERROR(UPPER(IF(C470="CPU",VLOOKUP(D470,#REF!,2,0),IF(C470="SINAPI",VLOOKUP(D470,#REF!,2,0),IF(C470="EDIF",VLOOKUP(D470,#REF!,2,0),IF(C470="CDHU",VLOOKUP(D470,#REF!,2,0),IF(C470="FDE",VLOOKUP(D470,'FDE 10-23 '!$A$4:$E$3180,2,0),IF(C470="INFRA",VLOOKUP(D470,#REF!,2,0),""))))))),"")</f>
        <v>TC-08 TAMPA EM GRELHA DE FERRO GALVANIZADO P/ CANALETA (35CM)</v>
      </c>
      <c r="F470" s="65" t="str">
        <f>VLOOKUP(D470,'FDE 10-23 '!$A$4:$E$3180,3,0)</f>
        <v>M</v>
      </c>
      <c r="G470" s="66">
        <v>18</v>
      </c>
      <c r="H470" s="67">
        <f>VLOOKUP(D470,'FDE 10-23 '!$A$4:$E$3180,5,0)</f>
        <v>794.59</v>
      </c>
      <c r="I470" s="68">
        <f t="shared" si="81"/>
        <v>0.23</v>
      </c>
      <c r="J470" s="67">
        <f t="shared" si="82"/>
        <v>977.35</v>
      </c>
      <c r="K470" s="71">
        <f t="shared" si="83"/>
        <v>17592.3</v>
      </c>
      <c r="L470" s="51"/>
      <c r="M470" s="52"/>
    </row>
    <row r="471" spans="2:13" s="25" customFormat="1" ht="30" customHeight="1" outlineLevel="1">
      <c r="B471" s="61"/>
      <c r="C471" s="62" t="s">
        <v>26</v>
      </c>
      <c r="D471" s="63" t="s">
        <v>1009</v>
      </c>
      <c r="E471" s="64" t="str">
        <f>IFERROR(UPPER(IF(C471="CPU",VLOOKUP(D471,#REF!,2,0),IF(C471="SINAPI",VLOOKUP(D471,#REF!,2,0),IF(C471="EDIF",VLOOKUP(D471,#REF!,2,0),IF(C471="CDHU",VLOOKUP(D471,#REF!,2,0),IF(C471="FDE",VLOOKUP(D471,'FDE 10-23 '!$A$4:$E$3180,2,0),IF(C471="INFRA",VLOOKUP(D471,#REF!,2,0),""))))))),"")</f>
        <v>TC-11 TAMPA DE CONCRETO PRE-MOLDADA PERF. P/ CANALETA L=35CM</v>
      </c>
      <c r="F471" s="65" t="str">
        <f>VLOOKUP(D471,'FDE 10-23 '!$A$4:$E$3180,3,0)</f>
        <v>M</v>
      </c>
      <c r="G471" s="66">
        <v>13</v>
      </c>
      <c r="H471" s="67">
        <f>VLOOKUP(D471,'FDE 10-23 '!$A$4:$E$3180,5,0)</f>
        <v>170.79</v>
      </c>
      <c r="I471" s="68">
        <f t="shared" si="81"/>
        <v>0.23</v>
      </c>
      <c r="J471" s="67">
        <f t="shared" si="82"/>
        <v>210.07</v>
      </c>
      <c r="K471" s="71">
        <f t="shared" si="83"/>
        <v>2730.91</v>
      </c>
      <c r="L471" s="51"/>
      <c r="M471" s="52"/>
    </row>
    <row r="472" spans="2:13" s="25" customFormat="1" ht="30" customHeight="1" outlineLevel="1">
      <c r="B472" s="61"/>
      <c r="C472" s="62" t="s">
        <v>26</v>
      </c>
      <c r="D472" s="63" t="s">
        <v>1011</v>
      </c>
      <c r="E472" s="64" t="str">
        <f>IFERROR(UPPER(IF(C472="CPU",VLOOKUP(D472,#REF!,2,0),IF(C472="SINAPI",VLOOKUP(D472,#REF!,2,0),IF(C472="EDIF",VLOOKUP(D472,#REF!,2,0),IF(C472="CDHU",VLOOKUP(D472,#REF!,2,0),IF(C472="FDE",VLOOKUP(D472,'FDE 10-23 '!$A$4:$E$3180,2,0),IF(C472="INFRA",VLOOKUP(D472,#REF!,2,0),""))))))),"")</f>
        <v>TAMPA PRÉ-MOLDADA Ø 2,50M PARA POÇO DE RETENÇÃO DE A.P. COM TAMPA DE INSPEÇÃO Ø 0,60M</v>
      </c>
      <c r="F472" s="65" t="str">
        <f>VLOOKUP(D472,'FDE 10-23 '!$A$4:$E$3180,3,0)</f>
        <v>UN</v>
      </c>
      <c r="G472" s="66">
        <v>5</v>
      </c>
      <c r="H472" s="67">
        <f>VLOOKUP(D472,'FDE 10-23 '!$A$4:$E$3180,5,0)</f>
        <v>847.02</v>
      </c>
      <c r="I472" s="68">
        <f t="shared" si="81"/>
        <v>0.23</v>
      </c>
      <c r="J472" s="67">
        <f t="shared" si="82"/>
        <v>1041.83</v>
      </c>
      <c r="K472" s="71">
        <f t="shared" si="83"/>
        <v>5209.1499999999996</v>
      </c>
      <c r="L472" s="51"/>
      <c r="M472" s="52"/>
    </row>
    <row r="473" spans="2:13" s="25" customFormat="1" ht="30" customHeight="1" outlineLevel="1">
      <c r="B473" s="61"/>
      <c r="C473" s="62" t="s">
        <v>26</v>
      </c>
      <c r="D473" s="63" t="s">
        <v>1013</v>
      </c>
      <c r="E473" s="64" t="str">
        <f>IFERROR(UPPER(IF(C473="CPU",VLOOKUP(D473,#REF!,2,0),IF(C473="SINAPI",VLOOKUP(D473,#REF!,2,0),IF(C473="EDIF",VLOOKUP(D473,#REF!,2,0),IF(C473="CDHU",VLOOKUP(D473,#REF!,2,0),IF(C473="FDE",VLOOKUP(D473,'FDE 10-23 '!$A$4:$E$3180,2,0),IF(C473="INFRA",VLOOKUP(D473,#REF!,2,0),""))))))),"")</f>
        <v>POÇO DE RETENÇÃO DE ÁGUA PLUVIAL Ø 2,50M COM FUNDO DE CONCRETO</v>
      </c>
      <c r="F473" s="65" t="str">
        <f>VLOOKUP(D473,'FDE 10-23 '!$A$4:$E$3180,3,0)</f>
        <v>M</v>
      </c>
      <c r="G473" s="66">
        <v>15.8</v>
      </c>
      <c r="H473" s="67">
        <f>VLOOKUP(D473,'FDE 10-23 '!$A$4:$E$3180,5,0)</f>
        <v>3512.82</v>
      </c>
      <c r="I473" s="68">
        <f t="shared" si="81"/>
        <v>0.23</v>
      </c>
      <c r="J473" s="67">
        <f t="shared" si="82"/>
        <v>4320.7700000000004</v>
      </c>
      <c r="K473" s="71">
        <f t="shared" si="83"/>
        <v>68268.166000000012</v>
      </c>
      <c r="L473" s="51"/>
      <c r="M473" s="52"/>
    </row>
    <row r="474" spans="2:13" s="25" customFormat="1" ht="30" customHeight="1" outlineLevel="1">
      <c r="B474" s="61"/>
      <c r="C474" s="62" t="s">
        <v>26</v>
      </c>
      <c r="D474" s="63" t="s">
        <v>1015</v>
      </c>
      <c r="E474" s="64" t="str">
        <f>IFERROR(UPPER(IF(C474="CPU",VLOOKUP(D474,#REF!,2,0),IF(C474="SINAPI",VLOOKUP(D474,#REF!,2,0),IF(C474="EDIF",VLOOKUP(D474,#REF!,2,0),IF(C474="CDHU",VLOOKUP(D474,#REF!,2,0),IF(C474="FDE",VLOOKUP(D474,'FDE 10-23 '!$A$4:$E$3180,2,0),IF(C474="INFRA",VLOOKUP(D474,#REF!,2,0),""))))))),"")</f>
        <v>TUBO PVC OCRE JUNTA ELASTICA DN 100 INCLUSIVE CONEXOES  -  ENTERRADO</v>
      </c>
      <c r="F474" s="65" t="str">
        <f>VLOOKUP(D474,'FDE 10-23 '!$A$4:$E$3180,3,0)</f>
        <v>M</v>
      </c>
      <c r="G474" s="66">
        <v>30</v>
      </c>
      <c r="H474" s="67">
        <f>VLOOKUP(D474,'FDE 10-23 '!$A$4:$E$3180,5,0)</f>
        <v>70.989999999999995</v>
      </c>
      <c r="I474" s="68">
        <f t="shared" si="81"/>
        <v>0.23</v>
      </c>
      <c r="J474" s="67">
        <f t="shared" si="82"/>
        <v>87.32</v>
      </c>
      <c r="K474" s="71">
        <f t="shared" si="83"/>
        <v>2619.6</v>
      </c>
      <c r="L474" s="51"/>
      <c r="M474" s="52"/>
    </row>
    <row r="475" spans="2:13" s="25" customFormat="1" ht="30" customHeight="1" outlineLevel="1">
      <c r="B475" s="61"/>
      <c r="C475" s="62" t="s">
        <v>26</v>
      </c>
      <c r="D475" s="63" t="s">
        <v>1017</v>
      </c>
      <c r="E475" s="64" t="str">
        <f>IFERROR(UPPER(IF(C475="CPU",VLOOKUP(D475,#REF!,2,0),IF(C475="SINAPI",VLOOKUP(D475,#REF!,2,0),IF(C475="EDIF",VLOOKUP(D475,#REF!,2,0),IF(C475="CDHU",VLOOKUP(D475,#REF!,2,0),IF(C475="FDE",VLOOKUP(D475,'FDE 10-23 '!$A$4:$E$3180,2,0),IF(C475="INFRA",VLOOKUP(D475,#REF!,2,0),""))))))),"")</f>
        <v>TUBO PVC OCRE JUNTA ELASTICA DN 150 INCLUSIVE CONEXOES  -  ENTERRADO</v>
      </c>
      <c r="F475" s="65" t="str">
        <f>VLOOKUP(D475,'FDE 10-23 '!$A$4:$E$3180,3,0)</f>
        <v>M</v>
      </c>
      <c r="G475" s="66">
        <v>100</v>
      </c>
      <c r="H475" s="67">
        <f>VLOOKUP(D475,'FDE 10-23 '!$A$4:$E$3180,5,0)</f>
        <v>105.21</v>
      </c>
      <c r="I475" s="68">
        <f t="shared" si="81"/>
        <v>0.23</v>
      </c>
      <c r="J475" s="67">
        <f t="shared" si="82"/>
        <v>129.41</v>
      </c>
      <c r="K475" s="71">
        <f t="shared" si="83"/>
        <v>12941</v>
      </c>
      <c r="L475" s="51"/>
      <c r="M475" s="52"/>
    </row>
    <row r="476" spans="2:13" s="25" customFormat="1" ht="30" customHeight="1" outlineLevel="1">
      <c r="B476" s="61"/>
      <c r="C476" s="62" t="s">
        <v>26</v>
      </c>
      <c r="D476" s="63" t="s">
        <v>1019</v>
      </c>
      <c r="E476" s="64" t="str">
        <f>IFERROR(UPPER(IF(C476="CPU",VLOOKUP(D476,#REF!,2,0),IF(C476="SINAPI",VLOOKUP(D476,#REF!,2,0),IF(C476="EDIF",VLOOKUP(D476,#REF!,2,0),IF(C476="CDHU",VLOOKUP(D476,#REF!,2,0),IF(C476="FDE",VLOOKUP(D476,'FDE 10-23 '!$A$4:$E$3180,2,0),IF(C476="INFRA",VLOOKUP(D476,#REF!,2,0),""))))))),"")</f>
        <v>TUBO PVC OCRE JUNTA ELASTICA DN 200 INCLUSIVE CONEXOES  -  ENTERRADO</v>
      </c>
      <c r="F476" s="65" t="str">
        <f>VLOOKUP(D476,'FDE 10-23 '!$A$4:$E$3180,3,0)</f>
        <v>M</v>
      </c>
      <c r="G476" s="66">
        <v>65</v>
      </c>
      <c r="H476" s="67">
        <f>VLOOKUP(D476,'FDE 10-23 '!$A$4:$E$3180,5,0)</f>
        <v>198.58</v>
      </c>
      <c r="I476" s="68">
        <f t="shared" si="81"/>
        <v>0.23</v>
      </c>
      <c r="J476" s="67">
        <f t="shared" si="82"/>
        <v>244.25</v>
      </c>
      <c r="K476" s="71">
        <f t="shared" si="83"/>
        <v>15876.25</v>
      </c>
      <c r="L476" s="51"/>
      <c r="M476" s="52"/>
    </row>
    <row r="477" spans="2:13" s="25" customFormat="1" ht="30" customHeight="1" outlineLevel="1">
      <c r="B477" s="61"/>
      <c r="C477" s="62" t="s">
        <v>26</v>
      </c>
      <c r="D477" s="63" t="s">
        <v>1021</v>
      </c>
      <c r="E477" s="64" t="str">
        <f>IFERROR(UPPER(IF(C477="CPU",VLOOKUP(D477,#REF!,2,0),IF(C477="SINAPI",VLOOKUP(D477,#REF!,2,0),IF(C477="EDIF",VLOOKUP(D477,#REF!,2,0),IF(C477="CDHU",VLOOKUP(D477,#REF!,2,0),IF(C477="FDE",VLOOKUP(D477,'FDE 10-23 '!$A$4:$E$3180,2,0),IF(C477="INFRA",VLOOKUP(D477,#REF!,2,0),""))))))),"")</f>
        <v>TUBO PVC OCRE JUNTA ELASTICA DN 250 INCLUSIVE CONEXOES  -  ENTERRADO</v>
      </c>
      <c r="F477" s="65" t="str">
        <f>VLOOKUP(D477,'FDE 10-23 '!$A$4:$E$3180,3,0)</f>
        <v>M</v>
      </c>
      <c r="G477" s="66">
        <v>114</v>
      </c>
      <c r="H477" s="67">
        <f>VLOOKUP(D477,'FDE 10-23 '!$A$4:$E$3180,5,0)</f>
        <v>270.23</v>
      </c>
      <c r="I477" s="68">
        <f t="shared" si="81"/>
        <v>0.23</v>
      </c>
      <c r="J477" s="67">
        <f t="shared" si="82"/>
        <v>332.38</v>
      </c>
      <c r="K477" s="71">
        <f t="shared" si="83"/>
        <v>37891.32</v>
      </c>
      <c r="L477" s="51"/>
      <c r="M477" s="52"/>
    </row>
    <row r="478" spans="2:13" s="25" customFormat="1" ht="30" customHeight="1" outlineLevel="1">
      <c r="B478" s="61"/>
      <c r="C478" s="62" t="s">
        <v>26</v>
      </c>
      <c r="D478" s="63" t="s">
        <v>1023</v>
      </c>
      <c r="E478" s="64" t="str">
        <f>IFERROR(UPPER(IF(C478="CPU",VLOOKUP(D478,#REF!,2,0),IF(C478="SINAPI",VLOOKUP(D478,#REF!,2,0),IF(C478="EDIF",VLOOKUP(D478,#REF!,2,0),IF(C478="CDHU",VLOOKUP(D478,#REF!,2,0),IF(C478="FDE",VLOOKUP(D478,'FDE 10-23 '!$A$4:$E$3180,2,0),IF(C478="INFRA",VLOOKUP(D478,#REF!,2,0),""))))))),"")</f>
        <v>CA-10 CAIXA DE AREIA 50X50 CM PARA AGUAS PLUVIAIS</v>
      </c>
      <c r="F478" s="65" t="str">
        <f>VLOOKUP(D478,'FDE 10-23 '!$A$4:$E$3180,3,0)</f>
        <v>UN</v>
      </c>
      <c r="G478" s="66">
        <v>28</v>
      </c>
      <c r="H478" s="67">
        <f>VLOOKUP(D478,'FDE 10-23 '!$A$4:$E$3180,5,0)</f>
        <v>323</v>
      </c>
      <c r="I478" s="68">
        <f t="shared" si="81"/>
        <v>0.23</v>
      </c>
      <c r="J478" s="67">
        <f t="shared" si="82"/>
        <v>397.29</v>
      </c>
      <c r="K478" s="71">
        <f t="shared" si="83"/>
        <v>11124.12</v>
      </c>
      <c r="L478" s="51"/>
      <c r="M478" s="52"/>
    </row>
    <row r="479" spans="2:13" s="25" customFormat="1" ht="30" customHeight="1" outlineLevel="1">
      <c r="B479" s="61"/>
      <c r="C479" s="62" t="s">
        <v>26</v>
      </c>
      <c r="D479" s="63" t="s">
        <v>1025</v>
      </c>
      <c r="E479" s="64" t="str">
        <f>IFERROR(UPPER(IF(C479="CPU",VLOOKUP(D479,#REF!,2,0),IF(C479="SINAPI",VLOOKUP(D479,#REF!,2,0),IF(C479="EDIF",VLOOKUP(D479,#REF!,2,0),IF(C479="CDHU",VLOOKUP(D479,#REF!,2,0),IF(C479="FDE",VLOOKUP(D479,'FDE 10-23 '!$A$4:$E$3180,2,0),IF(C479="INFRA",VLOOKUP(D479,#REF!,2,0),""))))))),"")</f>
        <v>ÁGUAS PLUVIAIS E DRENAGEM DE ACABAMENTO</v>
      </c>
      <c r="F479" s="65" t="str">
        <f>VLOOKUP(D479,'FDE 10-23 '!$A$4:$E$3180,3,0)</f>
        <v>MV</v>
      </c>
      <c r="G479" s="66">
        <v>44.99</v>
      </c>
      <c r="H479" s="67">
        <f>VLOOKUP(D479,'FDE 10-23 '!$A$4:$E$3180,5,0)</f>
        <v>533.05999999999995</v>
      </c>
      <c r="I479" s="68">
        <f t="shared" si="81"/>
        <v>0.23</v>
      </c>
      <c r="J479" s="67">
        <f t="shared" si="82"/>
        <v>655.66</v>
      </c>
      <c r="K479" s="71">
        <f t="shared" si="83"/>
        <v>29498.143400000001</v>
      </c>
      <c r="L479" s="51"/>
      <c r="M479" s="52"/>
    </row>
    <row r="480" spans="2:13" s="25" customFormat="1" ht="30" customHeight="1" outlineLevel="1">
      <c r="B480" s="53" t="s">
        <v>1026</v>
      </c>
      <c r="C480" s="54"/>
      <c r="D480" s="54" t="s">
        <v>1027</v>
      </c>
      <c r="E480" s="55" t="s">
        <v>1028</v>
      </c>
      <c r="F480" s="56" t="str">
        <f>IFERROR(UPPER(IF(C480="CPU",VLOOKUP(D480,#REF!,3,0),IF(C480="SINAPI",VLOOKUP(D480,#REF!,3,0),IF(C480="EDIF",VLOOKUP(D480,#REF!,3,0),IF(C480="CDHU",VLOOKUP(D480,#REF!,3,0),IF(C480="FDE",VLOOKUP(D480,#REF!,3,0),IF(C480="INFRA",VLOOKUP(D480,#REF!,3,0),""))))))),"")</f>
        <v/>
      </c>
      <c r="G480" s="57"/>
      <c r="H48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80" s="59"/>
      <c r="J480" s="59"/>
      <c r="K480" s="82">
        <f>SUBTOTAL(9,K481:K493)</f>
        <v>51598.251199999999</v>
      </c>
      <c r="L480" s="51"/>
      <c r="M480" s="52"/>
    </row>
    <row r="481" spans="2:13" s="25" customFormat="1" ht="30" customHeight="1" outlineLevel="1">
      <c r="B481" s="61"/>
      <c r="C481" s="62" t="s">
        <v>26</v>
      </c>
      <c r="D481" s="63" t="s">
        <v>1030</v>
      </c>
      <c r="E481" s="64" t="str">
        <f>IFERROR(UPPER(IF(C481="CPU",VLOOKUP(D481,#REF!,2,0),IF(C481="SINAPI",VLOOKUP(D481,#REF!,2,0),IF(C481="EDIF",VLOOKUP(D481,#REF!,2,0),IF(C481="CDHU",VLOOKUP(D481,#REF!,2,0),IF(C481="FDE",VLOOKUP(D481,'FDE 10-23 '!$A$4:$E$3180,2,0),IF(C481="INFRA",VLOOKUP(D481,#REF!,2,0),""))))))),"")</f>
        <v>MB-03 MASTRO PARA BANDEIRAS</v>
      </c>
      <c r="F481" s="65" t="str">
        <f>VLOOKUP(D481,'FDE 10-23 '!$A$4:$E$3180,3,0)</f>
        <v>CJ</v>
      </c>
      <c r="G481" s="66">
        <v>1</v>
      </c>
      <c r="H481" s="67">
        <f>VLOOKUP(D481,'FDE 10-23 '!$A$4:$E$3180,5,0)</f>
        <v>10553.06</v>
      </c>
      <c r="I481" s="68">
        <f t="shared" ref="I481:I493" si="84">$L$10</f>
        <v>0.23</v>
      </c>
      <c r="J481" s="67">
        <f t="shared" ref="J481:J493" si="85">ROUND(H481*(1+I481),2)</f>
        <v>12980.26</v>
      </c>
      <c r="K481" s="71">
        <f t="shared" ref="K481:K493" si="86">SUM(G481*J481)</f>
        <v>12980.26</v>
      </c>
      <c r="L481" s="51"/>
      <c r="M481" s="52"/>
    </row>
    <row r="482" spans="2:13" s="25" customFormat="1" ht="30" customHeight="1" outlineLevel="1">
      <c r="B482" s="61"/>
      <c r="C482" s="62" t="s">
        <v>26</v>
      </c>
      <c r="D482" s="63" t="s">
        <v>1032</v>
      </c>
      <c r="E482" s="64" t="str">
        <f>IFERROR(UPPER(IF(C482="CPU",VLOOKUP(D482,#REF!,2,0),IF(C482="SINAPI",VLOOKUP(D482,#REF!,2,0),IF(C482="EDIF",VLOOKUP(D482,#REF!,2,0),IF(C482="CDHU",VLOOKUP(D482,#REF!,2,0),IF(C482="FDE",VLOOKUP(D482,'FDE 10-23 '!$A$4:$E$3180,2,0),IF(C482="INFRA",VLOOKUP(D482,#REF!,2,0),""))))))),"")</f>
        <v>AL-01 ABRIGO PARA LIXO</v>
      </c>
      <c r="F482" s="65" t="str">
        <f>VLOOKUP(D482,'FDE 10-23 '!$A$4:$E$3180,3,0)</f>
        <v>UN</v>
      </c>
      <c r="G482" s="66">
        <v>0.75</v>
      </c>
      <c r="H482" s="67">
        <f>VLOOKUP(D482,'FDE 10-23 '!$A$4:$E$3180,5,0)</f>
        <v>5544.85</v>
      </c>
      <c r="I482" s="68">
        <f t="shared" si="84"/>
        <v>0.23</v>
      </c>
      <c r="J482" s="67">
        <f t="shared" si="85"/>
        <v>6820.17</v>
      </c>
      <c r="K482" s="71">
        <f t="shared" si="86"/>
        <v>5115.1275000000005</v>
      </c>
      <c r="L482" s="51"/>
      <c r="M482" s="52"/>
    </row>
    <row r="483" spans="2:13" s="25" customFormat="1" ht="30" customHeight="1" outlineLevel="1">
      <c r="B483" s="61"/>
      <c r="C483" s="62" t="s">
        <v>26</v>
      </c>
      <c r="D483" s="63" t="s">
        <v>1034</v>
      </c>
      <c r="E483" s="64" t="str">
        <f>IFERROR(UPPER(IF(C483="CPU",VLOOKUP(D483,#REF!,2,0),IF(C483="SINAPI",VLOOKUP(D483,#REF!,2,0),IF(C483="EDIF",VLOOKUP(D483,#REF!,2,0),IF(C483="CDHU",VLOOKUP(D483,#REF!,2,0),IF(C483="FDE",VLOOKUP(D483,'FDE 10-23 '!$A$4:$E$3180,2,0),IF(C483="INFRA",VLOOKUP(D483,#REF!,2,0),""))))))),"")</f>
        <v>AL-02 ABRIGO PARA RESÍDUOS RECICLÁVEIS</v>
      </c>
      <c r="F483" s="65" t="str">
        <f>VLOOKUP(D483,'FDE 10-23 '!$A$4:$E$3180,3,0)</f>
        <v>UN</v>
      </c>
      <c r="G483" s="66">
        <v>0.75</v>
      </c>
      <c r="H483" s="67">
        <f>VLOOKUP(D483,'FDE 10-23 '!$A$4:$E$3180,5,0)</f>
        <v>5544.85</v>
      </c>
      <c r="I483" s="68">
        <f t="shared" si="84"/>
        <v>0.23</v>
      </c>
      <c r="J483" s="67">
        <f t="shared" si="85"/>
        <v>6820.17</v>
      </c>
      <c r="K483" s="71">
        <f t="shared" si="86"/>
        <v>5115.1275000000005</v>
      </c>
      <c r="L483" s="51"/>
      <c r="M483" s="52"/>
    </row>
    <row r="484" spans="2:13" s="25" customFormat="1" ht="30" customHeight="1" outlineLevel="1">
      <c r="B484" s="61"/>
      <c r="C484" s="62" t="s">
        <v>26</v>
      </c>
      <c r="D484" s="63" t="s">
        <v>1036</v>
      </c>
      <c r="E484" s="64" t="str">
        <f>IFERROR(UPPER(IF(C484="CPU",VLOOKUP(D484,#REF!,2,0),IF(C484="SINAPI",VLOOKUP(D484,#REF!,2,0),IF(C484="EDIF",VLOOKUP(D484,#REF!,2,0),IF(C484="CDHU",VLOOKUP(D484,#REF!,2,0),IF(C484="FDE",VLOOKUP(D484,'FDE 10-23 '!$A$4:$E$3180,2,0),IF(C484="INFRA",VLOOKUP(D484,#REF!,2,0),""))))))),"")</f>
        <v>CANTEIRO DE OBRAS - LARG 3.30M</v>
      </c>
      <c r="F484" s="65" t="str">
        <f>VLOOKUP(D484,'FDE 10-23 '!$A$4:$E$3180,3,0)</f>
        <v>M2</v>
      </c>
      <c r="G484" s="66">
        <v>47.19</v>
      </c>
      <c r="H484" s="67">
        <f>VLOOKUP(D484,'FDE 10-23 '!$A$4:$E$3180,5,0)</f>
        <v>427.63</v>
      </c>
      <c r="I484" s="68">
        <f t="shared" si="84"/>
        <v>0.23</v>
      </c>
      <c r="J484" s="67">
        <f t="shared" si="85"/>
        <v>525.98</v>
      </c>
      <c r="K484" s="71">
        <f t="shared" si="86"/>
        <v>24820.996200000001</v>
      </c>
      <c r="L484" s="51"/>
      <c r="M484" s="52"/>
    </row>
    <row r="485" spans="2:13" s="25" customFormat="1" ht="30" customHeight="1" outlineLevel="1">
      <c r="B485" s="61"/>
      <c r="C485" s="62" t="s">
        <v>26</v>
      </c>
      <c r="D485" s="63" t="s">
        <v>1038</v>
      </c>
      <c r="E485" s="64" t="str">
        <f>IFERROR(UPPER(IF(C485="CPU",VLOOKUP(D485,#REF!,2,0),IF(C485="SINAPI",VLOOKUP(D485,#REF!,2,0),IF(C485="EDIF",VLOOKUP(D485,#REF!,2,0),IF(C485="CDHU",VLOOKUP(D485,#REF!,2,0),IF(C485="FDE",VLOOKUP(D485,'FDE 10-23 '!$A$4:$E$3180,2,0),IF(C485="INFRA",VLOOKUP(D485,#REF!,2,0),""))))))),"")</f>
        <v>INSTALAÇÃO CH-01 CHUVEIRO E LAVA OLHOS / FACE</v>
      </c>
      <c r="F485" s="65" t="str">
        <f>VLOOKUP(D485,'FDE 10-23 '!$A$4:$E$3180,3,0)</f>
        <v>UN</v>
      </c>
      <c r="G485" s="66">
        <v>1</v>
      </c>
      <c r="H485" s="67">
        <f>VLOOKUP(D485,'FDE 10-23 '!$A$4:$E$3180,5,0)</f>
        <v>24.14</v>
      </c>
      <c r="I485" s="68">
        <f t="shared" si="84"/>
        <v>0.23</v>
      </c>
      <c r="J485" s="67">
        <f t="shared" si="85"/>
        <v>29.69</v>
      </c>
      <c r="K485" s="71">
        <f t="shared" si="86"/>
        <v>29.69</v>
      </c>
      <c r="L485" s="51"/>
      <c r="M485" s="52"/>
    </row>
    <row r="486" spans="2:13" s="25" customFormat="1" ht="30" customHeight="1" outlineLevel="1">
      <c r="B486" s="61"/>
      <c r="C486" s="62" t="s">
        <v>26</v>
      </c>
      <c r="D486" s="63" t="s">
        <v>1040</v>
      </c>
      <c r="E486" s="64" t="str">
        <f>IFERROR(UPPER(IF(C486="CPU",VLOOKUP(D486,#REF!,2,0),IF(C486="SINAPI",VLOOKUP(D486,#REF!,2,0),IF(C486="EDIF",VLOOKUP(D486,#REF!,2,0),IF(C486="CDHU",VLOOKUP(D486,#REF!,2,0),IF(C486="FDE",VLOOKUP(D486,'FDE 10-23 '!$A$4:$E$3180,2,0),IF(C486="INFRA",VLOOKUP(D486,#REF!,2,0),""))))))),"")</f>
        <v>INSTALAÇÃO DE QUADRO BRANCO (QB-01)</v>
      </c>
      <c r="F486" s="65" t="str">
        <f>VLOOKUP(D486,'FDE 10-23 '!$A$4:$E$3180,3,0)</f>
        <v>UN</v>
      </c>
      <c r="G486" s="66">
        <v>118</v>
      </c>
      <c r="H486" s="67">
        <f>VLOOKUP(D486,'FDE 10-23 '!$A$4:$E$3180,5,0)</f>
        <v>17.05</v>
      </c>
      <c r="I486" s="68">
        <f t="shared" si="84"/>
        <v>0.23</v>
      </c>
      <c r="J486" s="67">
        <f t="shared" si="85"/>
        <v>20.97</v>
      </c>
      <c r="K486" s="71">
        <f t="shared" si="86"/>
        <v>2474.46</v>
      </c>
      <c r="L486" s="51"/>
      <c r="M486" s="52"/>
    </row>
    <row r="487" spans="2:13" s="25" customFormat="1" ht="30" customHeight="1" outlineLevel="1">
      <c r="B487" s="61"/>
      <c r="C487" s="62" t="s">
        <v>26</v>
      </c>
      <c r="D487" s="63" t="s">
        <v>1042</v>
      </c>
      <c r="E487" s="64" t="str">
        <f>IFERROR(UPPER(IF(C487="CPU",VLOOKUP(D487,#REF!,2,0),IF(C487="SINAPI",VLOOKUP(D487,#REF!,2,0),IF(C487="EDIF",VLOOKUP(D487,#REF!,2,0),IF(C487="CDHU",VLOOKUP(D487,#REF!,2,0),IF(C487="FDE",VLOOKUP(D487,'FDE 10-23 '!$A$4:$E$3180,2,0),IF(C487="INFRA",VLOOKUP(D487,#REF!,2,0),""))))))),"")</f>
        <v>INSTALACÃO DE FAIXAS DE PROTECAO (FP-03/FP-04) POR REGUA</v>
      </c>
      <c r="F487" s="65" t="str">
        <f>VLOOKUP(D487,'FDE 10-23 '!$A$4:$E$3180,3,0)</f>
        <v>UN</v>
      </c>
      <c r="G487" s="66">
        <v>42</v>
      </c>
      <c r="H487" s="67">
        <f>VLOOKUP(D487,'FDE 10-23 '!$A$4:$E$3180,5,0)</f>
        <v>6.82</v>
      </c>
      <c r="I487" s="68">
        <f t="shared" si="84"/>
        <v>0.23</v>
      </c>
      <c r="J487" s="67">
        <f t="shared" si="85"/>
        <v>8.39</v>
      </c>
      <c r="K487" s="71">
        <f t="shared" si="86"/>
        <v>352.38</v>
      </c>
      <c r="L487" s="51"/>
      <c r="M487" s="52"/>
    </row>
    <row r="488" spans="2:13" s="25" customFormat="1" ht="30" customHeight="1" outlineLevel="1">
      <c r="B488" s="61"/>
      <c r="C488" s="62" t="s">
        <v>26</v>
      </c>
      <c r="D488" s="63" t="s">
        <v>1044</v>
      </c>
      <c r="E488" s="64" t="str">
        <f>IFERROR(UPPER(IF(C488="CPU",VLOOKUP(D488,#REF!,2,0),IF(C488="SINAPI",VLOOKUP(D488,#REF!,2,0),IF(C488="EDIF",VLOOKUP(D488,#REF!,2,0),IF(C488="CDHU",VLOOKUP(D488,#REF!,2,0),IF(C488="FDE",VLOOKUP(D488,'FDE 10-23 '!$A$4:$E$3180,2,0),IF(C488="INFRA",VLOOKUP(D488,#REF!,2,0),""))))))),"")</f>
        <v>INSTALACÃO DE LOUSA (LG-07)</v>
      </c>
      <c r="F488" s="65" t="str">
        <f>VLOOKUP(D488,'FDE 10-23 '!$A$4:$E$3180,3,0)</f>
        <v>UN</v>
      </c>
      <c r="G488" s="66">
        <v>9</v>
      </c>
      <c r="H488" s="67">
        <f>VLOOKUP(D488,'FDE 10-23 '!$A$4:$E$3180,5,0)</f>
        <v>34.11</v>
      </c>
      <c r="I488" s="68">
        <f t="shared" si="84"/>
        <v>0.23</v>
      </c>
      <c r="J488" s="67">
        <f t="shared" si="85"/>
        <v>41.96</v>
      </c>
      <c r="K488" s="71">
        <f t="shared" si="86"/>
        <v>377.64</v>
      </c>
      <c r="L488" s="51"/>
      <c r="M488" s="52"/>
    </row>
    <row r="489" spans="2:13" s="25" customFormat="1" ht="30" customHeight="1" outlineLevel="1">
      <c r="B489" s="61"/>
      <c r="C489" s="62" t="s">
        <v>26</v>
      </c>
      <c r="D489" s="63" t="s">
        <v>1046</v>
      </c>
      <c r="E489" s="64" t="str">
        <f>IFERROR(UPPER(IF(C489="CPU",VLOOKUP(D489,#REF!,2,0),IF(C489="SINAPI",VLOOKUP(D489,#REF!,2,0),IF(C489="EDIF",VLOOKUP(D489,#REF!,2,0),IF(C489="CDHU",VLOOKUP(D489,#REF!,2,0),IF(C489="FDE",VLOOKUP(D489,'FDE 10-23 '!$A$4:$E$3180,2,0),IF(C489="INFRA",VLOOKUP(D489,#REF!,2,0),""))))))),"")</f>
        <v>INSTALACÃO DE MURAL (MR-02)</v>
      </c>
      <c r="F489" s="65" t="str">
        <f>VLOOKUP(D489,'FDE 10-23 '!$A$4:$E$3180,3,0)</f>
        <v>UN</v>
      </c>
      <c r="G489" s="66">
        <v>17</v>
      </c>
      <c r="H489" s="67">
        <f>VLOOKUP(D489,'FDE 10-23 '!$A$4:$E$3180,5,0)</f>
        <v>8.5299999999999994</v>
      </c>
      <c r="I489" s="68">
        <f t="shared" si="84"/>
        <v>0.23</v>
      </c>
      <c r="J489" s="67">
        <f t="shared" si="85"/>
        <v>10.49</v>
      </c>
      <c r="K489" s="71">
        <f t="shared" si="86"/>
        <v>178.33</v>
      </c>
      <c r="L489" s="51"/>
      <c r="M489" s="52"/>
    </row>
    <row r="490" spans="2:13" s="25" customFormat="1" ht="30" customHeight="1" outlineLevel="1">
      <c r="B490" s="61"/>
      <c r="C490" s="62" t="s">
        <v>26</v>
      </c>
      <c r="D490" s="63" t="s">
        <v>1048</v>
      </c>
      <c r="E490" s="64" t="str">
        <f>IFERROR(UPPER(IF(C490="CPU",VLOOKUP(D490,#REF!,2,0),IF(C490="SINAPI",VLOOKUP(D490,#REF!,2,0),IF(C490="EDIF",VLOOKUP(D490,#REF!,2,0),IF(C490="CDHU",VLOOKUP(D490,#REF!,2,0),IF(C490="FDE",VLOOKUP(D490,'FDE 10-23 '!$A$4:$E$3180,2,0),IF(C490="INFRA",VLOOKUP(D490,#REF!,2,0),""))))))),"")</f>
        <v>INSTALACÃO DE FOGAO INDUSTRIAL</v>
      </c>
      <c r="F490" s="65" t="str">
        <f>VLOOKUP(D490,'FDE 10-23 '!$A$4:$E$3180,3,0)</f>
        <v>UN</v>
      </c>
      <c r="G490" s="66">
        <v>1</v>
      </c>
      <c r="H490" s="67">
        <f>VLOOKUP(D490,'FDE 10-23 '!$A$4:$E$3180,5,0)</f>
        <v>17.05</v>
      </c>
      <c r="I490" s="68">
        <f t="shared" si="84"/>
        <v>0.23</v>
      </c>
      <c r="J490" s="67">
        <f t="shared" si="85"/>
        <v>20.97</v>
      </c>
      <c r="K490" s="71">
        <f t="shared" si="86"/>
        <v>20.97</v>
      </c>
      <c r="L490" s="51"/>
      <c r="M490" s="52"/>
    </row>
    <row r="491" spans="2:13" s="25" customFormat="1" ht="30" customHeight="1" outlineLevel="1">
      <c r="B491" s="61"/>
      <c r="C491" s="62" t="s">
        <v>26</v>
      </c>
      <c r="D491" s="63" t="s">
        <v>1050</v>
      </c>
      <c r="E491" s="64" t="str">
        <f>IFERROR(UPPER(IF(C491="CPU",VLOOKUP(D491,#REF!,2,0),IF(C491="SINAPI",VLOOKUP(D491,#REF!,2,0),IF(C491="EDIF",VLOOKUP(D491,#REF!,2,0),IF(C491="CDHU",VLOOKUP(D491,#REF!,2,0),IF(C491="FDE",VLOOKUP(D491,'FDE 10-23 '!$A$4:$E$3180,2,0),IF(C491="INFRA",VLOOKUP(D491,#REF!,2,0),""))))))),"")</f>
        <v>INSTALACÃO DE SUPORTE TV/VIDEO</v>
      </c>
      <c r="F491" s="65" t="str">
        <f>VLOOKUP(D491,'FDE 10-23 '!$A$4:$E$3180,3,0)</f>
        <v>UN</v>
      </c>
      <c r="G491" s="66">
        <v>1</v>
      </c>
      <c r="H491" s="67">
        <f>VLOOKUP(D491,'FDE 10-23 '!$A$4:$E$3180,5,0)</f>
        <v>8.5299999999999994</v>
      </c>
      <c r="I491" s="68">
        <f t="shared" si="84"/>
        <v>0.23</v>
      </c>
      <c r="J491" s="67">
        <f t="shared" si="85"/>
        <v>10.49</v>
      </c>
      <c r="K491" s="71">
        <f t="shared" si="86"/>
        <v>10.49</v>
      </c>
      <c r="L491" s="51"/>
      <c r="M491" s="52"/>
    </row>
    <row r="492" spans="2:13" s="25" customFormat="1" ht="30" customHeight="1" outlineLevel="1">
      <c r="B492" s="61"/>
      <c r="C492" s="62" t="s">
        <v>26</v>
      </c>
      <c r="D492" s="63" t="s">
        <v>1052</v>
      </c>
      <c r="E492" s="64" t="str">
        <f>IFERROR(UPPER(IF(C492="CPU",VLOOKUP(D492,#REF!,2,0),IF(C492="SINAPI",VLOOKUP(D492,#REF!,2,0),IF(C492="EDIF",VLOOKUP(D492,#REF!,2,0),IF(C492="CDHU",VLOOKUP(D492,#REF!,2,0),IF(C492="FDE",VLOOKUP(D492,'FDE 10-23 '!$A$4:$E$3180,2,0),IF(C492="INFRA",VLOOKUP(D492,#REF!,2,0),""))))))),"")</f>
        <v>INSTALAÇÃO DE VENTILADOR DE PAREDE VN-02</v>
      </c>
      <c r="F492" s="65" t="str">
        <f>VLOOKUP(D492,'FDE 10-23 '!$A$4:$E$3180,3,0)</f>
        <v>UN</v>
      </c>
      <c r="G492" s="66">
        <v>6</v>
      </c>
      <c r="H492" s="67">
        <f>VLOOKUP(D492,'FDE 10-23 '!$A$4:$E$3180,5,0)</f>
        <v>8.5299999999999994</v>
      </c>
      <c r="I492" s="68">
        <f t="shared" si="84"/>
        <v>0.23</v>
      </c>
      <c r="J492" s="67">
        <f t="shared" si="85"/>
        <v>10.49</v>
      </c>
      <c r="K492" s="71">
        <f t="shared" si="86"/>
        <v>62.94</v>
      </c>
      <c r="L492" s="51"/>
      <c r="M492" s="52"/>
    </row>
    <row r="493" spans="2:13" s="25" customFormat="1" ht="30" customHeight="1" outlineLevel="1">
      <c r="B493" s="61"/>
      <c r="C493" s="62" t="s">
        <v>26</v>
      </c>
      <c r="D493" s="63" t="s">
        <v>1054</v>
      </c>
      <c r="E493" s="64" t="str">
        <f>IFERROR(UPPER(IF(C493="CPU",VLOOKUP(D493,#REF!,2,0),IF(C493="SINAPI",VLOOKUP(D493,#REF!,2,0),IF(C493="EDIF",VLOOKUP(D493,#REF!,2,0),IF(C493="CDHU",VLOOKUP(D493,#REF!,2,0),IF(C493="FDE",VLOOKUP(D493,'FDE 10-23 '!$A$4:$E$3180,2,0),IF(C493="INFRA",VLOOKUP(D493,#REF!,2,0),""))))))),"")</f>
        <v>INSTALAÇÃO DO BALCAO TERMICO  BT-02</v>
      </c>
      <c r="F493" s="65" t="str">
        <f>VLOOKUP(D493,'FDE 10-23 '!$A$4:$E$3180,3,0)</f>
        <v>UN</v>
      </c>
      <c r="G493" s="66">
        <v>1</v>
      </c>
      <c r="H493" s="67">
        <f>VLOOKUP(D493,'FDE 10-23 '!$A$4:$E$3180,5,0)</f>
        <v>48.65</v>
      </c>
      <c r="I493" s="68">
        <f t="shared" si="84"/>
        <v>0.23</v>
      </c>
      <c r="J493" s="67">
        <f t="shared" si="85"/>
        <v>59.84</v>
      </c>
      <c r="K493" s="71">
        <f t="shared" si="86"/>
        <v>59.84</v>
      </c>
      <c r="L493" s="51"/>
      <c r="M493" s="52"/>
    </row>
    <row r="494" spans="2:13" s="25" customFormat="1" ht="30" customHeight="1" outlineLevel="1">
      <c r="B494" s="53" t="s">
        <v>1055</v>
      </c>
      <c r="C494" s="54"/>
      <c r="D494" s="54" t="s">
        <v>1056</v>
      </c>
      <c r="E494" s="55" t="s">
        <v>1057</v>
      </c>
      <c r="F494" s="56" t="str">
        <f>IFERROR(UPPER(IF(C494="CPU",VLOOKUP(D494,#REF!,3,0),IF(C494="SINAPI",VLOOKUP(D494,#REF!,3,0),IF(C494="EDIF",VLOOKUP(D494,#REF!,3,0),IF(C494="CDHU",VLOOKUP(D494,#REF!,3,0),IF(C494="FDE",VLOOKUP(D494,#REF!,3,0),IF(C494="INFRA",VLOOKUP(D494,#REF!,3,0),""))))))),"")</f>
        <v/>
      </c>
      <c r="G494" s="57"/>
      <c r="H494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94" s="59"/>
      <c r="J494" s="59"/>
      <c r="K494" s="82">
        <f>SUBTOTAL(9,K495:K496)</f>
        <v>17908.677</v>
      </c>
      <c r="L494" s="51"/>
      <c r="M494" s="52"/>
    </row>
    <row r="495" spans="2:13" s="25" customFormat="1" ht="30" customHeight="1" outlineLevel="1">
      <c r="B495" s="61"/>
      <c r="C495" s="62" t="s">
        <v>26</v>
      </c>
      <c r="D495" s="63" t="s">
        <v>1059</v>
      </c>
      <c r="E495" s="64" t="str">
        <f>IFERROR(UPPER(IF(C495="CPU",VLOOKUP(D495,#REF!,2,0),IF(C495="SINAPI",VLOOKUP(D495,#REF!,2,0),IF(C495="EDIF",VLOOKUP(D495,#REF!,2,0),IF(C495="CDHU",VLOOKUP(D495,#REF!,2,0),IF(C495="FDE",VLOOKUP(D495,'FDE 10-23 '!$A$4:$E$3180,2,0),IF(C495="INFRA",VLOOKUP(D495,#REF!,2,0),""))))))),"")</f>
        <v>BL-02 BICICLETÁRIO SOBRE CIMENTADO OU BLOCO INTERTRAVADO</v>
      </c>
      <c r="F495" s="65" t="str">
        <f>VLOOKUP(D495,'FDE 10-23 '!$A$4:$E$3180,3,0)</f>
        <v>UN</v>
      </c>
      <c r="G495" s="66">
        <v>6</v>
      </c>
      <c r="H495" s="67">
        <f>VLOOKUP(D495,'FDE 10-23 '!$A$4:$E$3180,5,0)</f>
        <v>1498.73</v>
      </c>
      <c r="I495" s="68">
        <f>$L$10</f>
        <v>0.23</v>
      </c>
      <c r="J495" s="67">
        <f>ROUND(H495*(1+I495),2)</f>
        <v>1843.44</v>
      </c>
      <c r="K495" s="71">
        <f>SUM(G495*J495)</f>
        <v>11060.64</v>
      </c>
      <c r="L495" s="51"/>
      <c r="M495" s="52"/>
    </row>
    <row r="496" spans="2:13" s="25" customFormat="1" ht="30" customHeight="1" outlineLevel="1">
      <c r="B496" s="61"/>
      <c r="C496" s="62" t="s">
        <v>26</v>
      </c>
      <c r="D496" s="63" t="s">
        <v>1061</v>
      </c>
      <c r="E496" s="64" t="str">
        <f>IFERROR(UPPER(IF(C496="CPU",VLOOKUP(D496,#REF!,2,0),IF(C496="SINAPI",VLOOKUP(D496,#REF!,2,0),IF(C496="EDIF",VLOOKUP(D496,#REF!,2,0),IF(C496="CDHU",VLOOKUP(D496,#REF!,2,0),IF(C496="FDE",VLOOKUP(D496,'FDE 10-23 '!$A$4:$E$3180,2,0),IF(C496="INFRA",VLOOKUP(D496,#REF!,2,0),""))))))),"")</f>
        <v>BANCO COM ASSENTO DE CONCRETO ARMADO LISO DESEMPENADO COM PINTURA VERNIZ ACRÍLICO  FUNDAÇÃO SAPATA ISOLADA E PILARETE BLOCO CONCRETO REVESTIDO</v>
      </c>
      <c r="F496" s="65" t="str">
        <f>VLOOKUP(D496,'FDE 10-23 '!$A$4:$E$3180,3,0)</f>
        <v>M</v>
      </c>
      <c r="G496" s="66">
        <v>18.899999999999999</v>
      </c>
      <c r="H496" s="67">
        <f>VLOOKUP(D496,'FDE 10-23 '!$A$4:$E$3180,5,0)</f>
        <v>294.58</v>
      </c>
      <c r="I496" s="68">
        <f>$L$10</f>
        <v>0.23</v>
      </c>
      <c r="J496" s="67">
        <f>ROUND(H496*(1+I496),2)</f>
        <v>362.33</v>
      </c>
      <c r="K496" s="71">
        <f>SUM(G496*J496)</f>
        <v>6848.0369999999994</v>
      </c>
      <c r="L496" s="51"/>
      <c r="M496" s="52"/>
    </row>
    <row r="497" spans="1:15" s="25" customFormat="1" ht="30" customHeight="1" outlineLevel="1">
      <c r="B497" s="53" t="s">
        <v>1062</v>
      </c>
      <c r="C497" s="54"/>
      <c r="D497" s="54" t="s">
        <v>1063</v>
      </c>
      <c r="E497" s="55" t="s">
        <v>1064</v>
      </c>
      <c r="F497" s="56" t="str">
        <f>IFERROR(UPPER(IF(C497="CPU",VLOOKUP(D497,#REF!,3,0),IF(C497="SINAPI",VLOOKUP(D497,#REF!,3,0),IF(C497="EDIF",VLOOKUP(D497,#REF!,3,0),IF(C497="CDHU",VLOOKUP(D497,#REF!,3,0),IF(C497="FDE",VLOOKUP(D497,#REF!,3,0),IF(C497="INFRA",VLOOKUP(D497,#REF!,3,0),""))))))),"")</f>
        <v/>
      </c>
      <c r="G497" s="57"/>
      <c r="H49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97" s="59"/>
      <c r="J497" s="59"/>
      <c r="K497" s="82">
        <f>SUBTOTAL(9,K498:K504)</f>
        <v>25405.387000000002</v>
      </c>
      <c r="L497" s="51"/>
      <c r="M497" s="52"/>
    </row>
    <row r="498" spans="1:15" s="25" customFormat="1" ht="30" customHeight="1" outlineLevel="1">
      <c r="B498" s="61"/>
      <c r="C498" s="62" t="s">
        <v>26</v>
      </c>
      <c r="D498" s="63" t="s">
        <v>1066</v>
      </c>
      <c r="E498" s="64" t="str">
        <f>IFERROR(UPPER(IF(C498="CPU",VLOOKUP(D498,#REF!,2,0),IF(C498="SINAPI",VLOOKUP(D498,#REF!,2,0),IF(C498="EDIF",VLOOKUP(D498,#REF!,2,0),IF(C498="CDHU",VLOOKUP(D498,#REF!,2,0),IF(C498="FDE",VLOOKUP(D498,'FDE 10-23 '!$A$4:$E$3180,2,0),IF(C498="INFRA",VLOOKUP(D498,#REF!,2,0),""))))))),"")</f>
        <v>CI-02 CAIXA DE INSPEÇÃO 80X80CM PARA ESGOTO</v>
      </c>
      <c r="F498" s="65" t="str">
        <f>VLOOKUP(D498,'FDE 10-23 '!$A$4:$E$3180,3,0)</f>
        <v>UN</v>
      </c>
      <c r="G498" s="66">
        <v>11</v>
      </c>
      <c r="H498" s="67">
        <f>VLOOKUP(D498,'FDE 10-23 '!$A$4:$E$3180,5,0)</f>
        <v>1012.74</v>
      </c>
      <c r="I498" s="68">
        <f t="shared" ref="I498:I504" si="87">$L$10</f>
        <v>0.23</v>
      </c>
      <c r="J498" s="67">
        <f t="shared" ref="J498:J504" si="88">ROUND(H498*(1+I498),2)</f>
        <v>1245.67</v>
      </c>
      <c r="K498" s="71">
        <f t="shared" ref="K498:K504" si="89">SUM(G498*J498)</f>
        <v>13702.37</v>
      </c>
      <c r="L498" s="51"/>
      <c r="M498" s="52"/>
    </row>
    <row r="499" spans="1:15" s="25" customFormat="1" ht="30" customHeight="1" outlineLevel="1">
      <c r="B499" s="61"/>
      <c r="C499" s="62" t="s">
        <v>26</v>
      </c>
      <c r="D499" s="63" t="s">
        <v>1068</v>
      </c>
      <c r="E499" s="64" t="str">
        <f>IFERROR(UPPER(IF(C499="CPU",VLOOKUP(D499,#REF!,2,0),IF(C499="SINAPI",VLOOKUP(D499,#REF!,2,0),IF(C499="EDIF",VLOOKUP(D499,#REF!,2,0),IF(C499="CDHU",VLOOKUP(D499,#REF!,2,0),IF(C499="FDE",VLOOKUP(D499,'FDE 10-23 '!$A$4:$E$3180,2,0),IF(C499="INFRA",VLOOKUP(D499,#REF!,2,0),""))))))),"")</f>
        <v>CG-01 CAIXA DE GORDURA EM ALVENARIA</v>
      </c>
      <c r="F499" s="65" t="str">
        <f>VLOOKUP(D499,'FDE 10-23 '!$A$4:$E$3180,3,0)</f>
        <v>UN</v>
      </c>
      <c r="G499" s="66">
        <v>5</v>
      </c>
      <c r="H499" s="67">
        <f>VLOOKUP(D499,'FDE 10-23 '!$A$4:$E$3180,5,0)</f>
        <v>1368.63</v>
      </c>
      <c r="I499" s="68">
        <f t="shared" si="87"/>
        <v>0.23</v>
      </c>
      <c r="J499" s="67">
        <f t="shared" si="88"/>
        <v>1683.41</v>
      </c>
      <c r="K499" s="71">
        <f t="shared" si="89"/>
        <v>8417.0500000000011</v>
      </c>
      <c r="L499" s="51"/>
      <c r="M499" s="52"/>
    </row>
    <row r="500" spans="1:15" ht="30" customHeight="1" outlineLevel="1">
      <c r="A500" s="25"/>
      <c r="B500" s="61"/>
      <c r="C500" s="62" t="s">
        <v>26</v>
      </c>
      <c r="D500" s="63" t="s">
        <v>1070</v>
      </c>
      <c r="E500" s="64" t="str">
        <f>IFERROR(UPPER(IF(C500="CPU",VLOOKUP(D500,#REF!,2,0),IF(C500="SINAPI",VLOOKUP(D500,#REF!,2,0),IF(C500="EDIF",VLOOKUP(D500,#REF!,2,0),IF(C500="CDHU",VLOOKUP(D500,#REF!,2,0),IF(C500="FDE",VLOOKUP(D500,'FDE 10-23 '!$A$4:$E$3180,2,0),IF(C500="INFRA",VLOOKUP(D500,#REF!,2,0),""))))))),"")</f>
        <v>CI-01 CAIXA DE INSPECAO 60X60CM PARA ESGOTO</v>
      </c>
      <c r="F500" s="65" t="str">
        <f>VLOOKUP(D500,'FDE 10-23 '!$A$4:$E$3180,3,0)</f>
        <v>UN</v>
      </c>
      <c r="G500" s="66">
        <v>4</v>
      </c>
      <c r="H500" s="67">
        <f>VLOOKUP(D500,'FDE 10-23 '!$A$4:$E$3180,5,0)</f>
        <v>535.05999999999995</v>
      </c>
      <c r="I500" s="68">
        <f t="shared" si="87"/>
        <v>0.23</v>
      </c>
      <c r="J500" s="67">
        <f t="shared" si="88"/>
        <v>658.12</v>
      </c>
      <c r="K500" s="71">
        <f t="shared" si="89"/>
        <v>2632.48</v>
      </c>
      <c r="L500" s="51"/>
      <c r="M500" s="52"/>
      <c r="N500" s="25"/>
      <c r="O500" s="25"/>
    </row>
    <row r="501" spans="1:15" ht="30" customHeight="1" outlineLevel="1">
      <c r="A501" s="25"/>
      <c r="B501" s="61"/>
      <c r="C501" s="62" t="s">
        <v>26</v>
      </c>
      <c r="D501" s="63" t="s">
        <v>1072</v>
      </c>
      <c r="E501" s="64" t="str">
        <f>IFERROR(UPPER(IF(C501="CPU",VLOOKUP(D501,#REF!,2,0),IF(C501="SINAPI",VLOOKUP(D501,#REF!,2,0),IF(C501="EDIF",VLOOKUP(D501,#REF!,2,0),IF(C501="CDHU",VLOOKUP(D501,#REF!,2,0),IF(C501="FDE",VLOOKUP(D501,'FDE 10-23 '!$A$4:$E$3180,2,0),IF(C501="INFRA",VLOOKUP(D501,#REF!,2,0),""))))))),"")</f>
        <v>CAIXA DE ALVENARIA - ESCAVACAO MANUAL COM APILOAMENTO DO FUNDO</v>
      </c>
      <c r="F501" s="65" t="str">
        <f>VLOOKUP(D501,'FDE 10-23 '!$A$4:$E$3180,3,0)</f>
        <v>M3</v>
      </c>
      <c r="G501" s="66">
        <v>0.3</v>
      </c>
      <c r="H501" s="67">
        <f>VLOOKUP(D501,'FDE 10-23 '!$A$4:$E$3180,5,0)</f>
        <v>76.98</v>
      </c>
      <c r="I501" s="68">
        <f t="shared" si="87"/>
        <v>0.23</v>
      </c>
      <c r="J501" s="67">
        <f t="shared" si="88"/>
        <v>94.69</v>
      </c>
      <c r="K501" s="71">
        <f t="shared" si="89"/>
        <v>28.407</v>
      </c>
      <c r="L501" s="51"/>
      <c r="M501" s="52"/>
      <c r="N501" s="25"/>
      <c r="O501" s="25"/>
    </row>
    <row r="502" spans="1:15" ht="30" customHeight="1" outlineLevel="1">
      <c r="A502" s="25"/>
      <c r="B502" s="61"/>
      <c r="C502" s="62" t="s">
        <v>26</v>
      </c>
      <c r="D502" s="63" t="s">
        <v>1074</v>
      </c>
      <c r="E502" s="64" t="str">
        <f>IFERROR(UPPER(IF(C502="CPU",VLOOKUP(D502,#REF!,2,0),IF(C502="SINAPI",VLOOKUP(D502,#REF!,2,0),IF(C502="EDIF",VLOOKUP(D502,#REF!,2,0),IF(C502="CDHU",VLOOKUP(D502,#REF!,2,0),IF(C502="FDE",VLOOKUP(D502,'FDE 10-23 '!$A$4:$E$3180,2,0),IF(C502="INFRA",VLOOKUP(D502,#REF!,2,0),""))))))),"")</f>
        <v>CAIXA DE ALVENARIA - LASTRO DE CONCRETO</v>
      </c>
      <c r="F502" s="65" t="str">
        <f>VLOOKUP(D502,'FDE 10-23 '!$A$4:$E$3180,3,0)</f>
        <v>M3</v>
      </c>
      <c r="G502" s="66">
        <v>0.15</v>
      </c>
      <c r="H502" s="67">
        <f>VLOOKUP(D502,'FDE 10-23 '!$A$4:$E$3180,5,0)</f>
        <v>737.41</v>
      </c>
      <c r="I502" s="68">
        <f t="shared" si="87"/>
        <v>0.23</v>
      </c>
      <c r="J502" s="67">
        <f t="shared" si="88"/>
        <v>907.01</v>
      </c>
      <c r="K502" s="71">
        <f t="shared" si="89"/>
        <v>136.0515</v>
      </c>
      <c r="L502" s="51"/>
      <c r="M502" s="52"/>
      <c r="N502" s="25"/>
      <c r="O502" s="25"/>
    </row>
    <row r="503" spans="1:15" ht="30" customHeight="1" outlineLevel="1">
      <c r="A503" s="25"/>
      <c r="B503" s="61"/>
      <c r="C503" s="62" t="s">
        <v>26</v>
      </c>
      <c r="D503" s="63" t="s">
        <v>1076</v>
      </c>
      <c r="E503" s="64" t="str">
        <f>IFERROR(UPPER(IF(C503="CPU",VLOOKUP(D503,#REF!,2,0),IF(C503="SINAPI",VLOOKUP(D503,#REF!,2,0),IF(C503="EDIF",VLOOKUP(D503,#REF!,2,0),IF(C503="CDHU",VLOOKUP(D503,#REF!,2,0),IF(C503="FDE",VLOOKUP(D503,'FDE 10-23 '!$A$4:$E$3180,2,0),IF(C503="INFRA",VLOOKUP(D503,#REF!,2,0),""))))))),"")</f>
        <v>CAIXA DE ALVENARIA - PAREDE DE 1 TIJOLO REVESTIDO</v>
      </c>
      <c r="F503" s="65" t="str">
        <f>VLOOKUP(D503,'FDE 10-23 '!$A$4:$E$3180,3,0)</f>
        <v>M2</v>
      </c>
      <c r="G503" s="66">
        <v>0.45</v>
      </c>
      <c r="H503" s="67">
        <f>VLOOKUP(D503,'FDE 10-23 '!$A$4:$E$3180,5,0)</f>
        <v>307.02</v>
      </c>
      <c r="I503" s="68">
        <f t="shared" si="87"/>
        <v>0.23</v>
      </c>
      <c r="J503" s="67">
        <f t="shared" si="88"/>
        <v>377.63</v>
      </c>
      <c r="K503" s="71">
        <f t="shared" si="89"/>
        <v>169.93350000000001</v>
      </c>
      <c r="L503" s="51"/>
      <c r="M503" s="52"/>
      <c r="N503" s="25"/>
      <c r="O503" s="25"/>
    </row>
    <row r="504" spans="1:15" ht="30" customHeight="1" outlineLevel="1">
      <c r="A504" s="25"/>
      <c r="B504" s="61"/>
      <c r="C504" s="62" t="s">
        <v>26</v>
      </c>
      <c r="D504" s="63" t="s">
        <v>1078</v>
      </c>
      <c r="E504" s="64" t="str">
        <f>IFERROR(UPPER(IF(C504="CPU",VLOOKUP(D504,#REF!,2,0),IF(C504="SINAPI",VLOOKUP(D504,#REF!,2,0),IF(C504="EDIF",VLOOKUP(D504,#REF!,2,0),IF(C504="CDHU",VLOOKUP(D504,#REF!,2,0),IF(C504="FDE",VLOOKUP(D504,'FDE 10-23 '!$A$4:$E$3180,2,0),IF(C504="INFRA",VLOOKUP(D504,#REF!,2,0),""))))))),"")</f>
        <v>CAIXA DE ALVENARIA - TAMPA DE CONCRETO</v>
      </c>
      <c r="F504" s="65" t="str">
        <f>VLOOKUP(D504,'FDE 10-23 '!$A$4:$E$3180,3,0)</f>
        <v>M2</v>
      </c>
      <c r="G504" s="66">
        <v>1.5</v>
      </c>
      <c r="H504" s="67">
        <f>VLOOKUP(D504,'FDE 10-23 '!$A$4:$E$3180,5,0)</f>
        <v>172.95</v>
      </c>
      <c r="I504" s="68">
        <f t="shared" si="87"/>
        <v>0.23</v>
      </c>
      <c r="J504" s="67">
        <f t="shared" si="88"/>
        <v>212.73</v>
      </c>
      <c r="K504" s="71">
        <f t="shared" si="89"/>
        <v>319.09499999999997</v>
      </c>
      <c r="L504" s="51"/>
      <c r="M504" s="52"/>
      <c r="N504" s="25"/>
      <c r="O504" s="25"/>
    </row>
    <row r="505" spans="1:15" ht="30" customHeight="1" outlineLevel="1">
      <c r="A505" s="25"/>
      <c r="B505" s="53" t="s">
        <v>1079</v>
      </c>
      <c r="C505" s="54"/>
      <c r="D505" s="54" t="s">
        <v>1080</v>
      </c>
      <c r="E505" s="55" t="s">
        <v>1081</v>
      </c>
      <c r="F505" s="56" t="str">
        <f>IFERROR(UPPER(IF(C505="CPU",VLOOKUP(D505,#REF!,3,0),IF(C505="SINAPI",VLOOKUP(D505,#REF!,3,0),IF(C505="EDIF",VLOOKUP(D505,#REF!,3,0),IF(C505="CDHU",VLOOKUP(D505,#REF!,3,0),IF(C505="FDE",VLOOKUP(D505,#REF!,3,0),IF(C505="INFRA",VLOOKUP(D505,#REF!,3,0),""))))))),"")</f>
        <v/>
      </c>
      <c r="G505" s="57"/>
      <c r="H50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505" s="59"/>
      <c r="J505" s="59"/>
      <c r="K505" s="82">
        <f>SUBTOTAL(9,K506)</f>
        <v>39980.550000000003</v>
      </c>
      <c r="L505" s="51"/>
      <c r="M505" s="52"/>
      <c r="N505" s="25"/>
      <c r="O505" s="25"/>
    </row>
    <row r="506" spans="1:15" ht="30" customHeight="1" outlineLevel="1">
      <c r="A506" s="25"/>
      <c r="B506" s="61"/>
      <c r="C506" s="62" t="s">
        <v>26</v>
      </c>
      <c r="D506" s="63" t="s">
        <v>1083</v>
      </c>
      <c r="E506" s="64" t="str">
        <f>IFERROR(UPPER(IF(C506="CPU",VLOOKUP(D506,#REF!,2,0),IF(C506="SINAPI",VLOOKUP(D506,#REF!,2,0),IF(C506="EDIF",VLOOKUP(D506,#REF!,2,0),IF(C506="CDHU",VLOOKUP(D506,#REF!,2,0),IF(C506="FDE",VLOOKUP(D506,'FDE 10-23 '!$A$4:$E$3180,2,0),IF(C506="INFRA",VLOOKUP(D506,#REF!,2,0),""))))))),"")</f>
        <v>LIMPEZA DA OBRA</v>
      </c>
      <c r="F506" s="65" t="str">
        <f>VLOOKUP(D506,'FDE 10-23 '!$A$4:$E$3180,3,0)</f>
        <v>M2</v>
      </c>
      <c r="G506" s="66">
        <v>3017.4</v>
      </c>
      <c r="H506" s="67">
        <f>VLOOKUP(D506,'FDE 10-23 '!$A$4:$E$3180,5,0)</f>
        <v>10.77</v>
      </c>
      <c r="I506" s="68">
        <f>$L$10</f>
        <v>0.23</v>
      </c>
      <c r="J506" s="67">
        <f>ROUND(H506*(1+I506),2)</f>
        <v>13.25</v>
      </c>
      <c r="K506" s="71">
        <f>SUM(G506*J506)</f>
        <v>39980.550000000003</v>
      </c>
      <c r="L506" s="51"/>
      <c r="M506" s="52"/>
      <c r="N506" s="25"/>
      <c r="O506" s="25"/>
    </row>
    <row r="507" spans="1:15" ht="30" customHeight="1" outlineLevel="1">
      <c r="A507" s="25"/>
      <c r="B507" s="53" t="s">
        <v>1084</v>
      </c>
      <c r="C507" s="54"/>
      <c r="D507" s="54" t="s">
        <v>1085</v>
      </c>
      <c r="E507" s="55" t="s">
        <v>1086</v>
      </c>
      <c r="F507" s="56" t="str">
        <f>IFERROR(UPPER(IF(C507="CPU",VLOOKUP(D507,#REF!,3,0),IF(C507="SINAPI",VLOOKUP(D507,#REF!,3,0),IF(C507="EDIF",VLOOKUP(D507,#REF!,3,0),IF(C507="CDHU",VLOOKUP(D507,#REF!,3,0),IF(C507="FDE",VLOOKUP(D507,#REF!,3,0),IF(C507="INFRA",VLOOKUP(D507,#REF!,3,0),""))))))),"")</f>
        <v/>
      </c>
      <c r="G507" s="57"/>
      <c r="H50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507" s="59"/>
      <c r="J507" s="59"/>
      <c r="K507" s="82">
        <f>SUBTOTAL(9,K508:K512)</f>
        <v>0</v>
      </c>
      <c r="L507" s="51"/>
      <c r="M507" s="52"/>
      <c r="N507" s="25"/>
      <c r="O507" s="25"/>
    </row>
    <row r="508" spans="1:15" ht="30" customHeight="1" outlineLevel="1">
      <c r="A508" s="25"/>
      <c r="B508" s="61"/>
      <c r="C508" s="62" t="s">
        <v>26</v>
      </c>
      <c r="D508" s="63" t="s">
        <v>1088</v>
      </c>
      <c r="E508" s="64" t="str">
        <f>IFERROR(UPPER(IF(C508="CPU",VLOOKUP(D508,#REF!,2,0),IF(C508="SINAPI",VLOOKUP(D508,#REF!,2,0),IF(C508="EDIF",VLOOKUP(D508,#REF!,2,0),IF(C508="CDHU",VLOOKUP(D508,#REF!,2,0),IF(C508="FDE",VLOOKUP(D508,'FDE 10-23 '!$A$4:$E$3180,2,0),IF(C508="INFRA",VLOOKUP(D508,#REF!,2,0),""))))))),"")</f>
        <v>ESCAVACAO MANUAL - PROFUNDIDADE ATE 1.80 M</v>
      </c>
      <c r="F508" s="65" t="str">
        <f>VLOOKUP(D508,'FDE 10-23 '!$A$4:$E$3180,3,0)</f>
        <v>M3</v>
      </c>
      <c r="G508" s="66"/>
      <c r="H508" s="67">
        <f>VLOOKUP(D508,'FDE 10-23 '!$A$4:$E$3180,5,0)</f>
        <v>61.58</v>
      </c>
      <c r="I508" s="68">
        <f>$L$10</f>
        <v>0.23</v>
      </c>
      <c r="J508" s="67">
        <f>ROUND(H508*(1+I508),2)</f>
        <v>75.739999999999995</v>
      </c>
      <c r="K508" s="71">
        <f>SUM(G508*J508)</f>
        <v>0</v>
      </c>
      <c r="L508" s="51"/>
      <c r="M508" s="52"/>
      <c r="N508" s="25"/>
      <c r="O508" s="25"/>
    </row>
    <row r="509" spans="1:15" ht="30" customHeight="1" outlineLevel="1">
      <c r="A509" s="25"/>
      <c r="B509" s="61"/>
      <c r="C509" s="62" t="s">
        <v>26</v>
      </c>
      <c r="D509" s="63" t="s">
        <v>1090</v>
      </c>
      <c r="E509" s="64" t="str">
        <f>IFERROR(UPPER(IF(C509="CPU",VLOOKUP(D509,#REF!,2,0),IF(C509="SINAPI",VLOOKUP(D509,#REF!,2,0),IF(C509="EDIF",VLOOKUP(D509,#REF!,2,0),IF(C509="CDHU",VLOOKUP(D509,#REF!,2,0),IF(C509="FDE",VLOOKUP(D509,'FDE 10-23 '!$A$4:$E$3180,2,0),IF(C509="INFRA",VLOOKUP(D509,#REF!,2,0),""))))))),"")</f>
        <v>APILOAMENTO PARA SIMPLES REGULARIZACAO</v>
      </c>
      <c r="F509" s="65" t="str">
        <f>VLOOKUP(D509,'FDE 10-23 '!$A$4:$E$3180,3,0)</f>
        <v>M2</v>
      </c>
      <c r="G509" s="66"/>
      <c r="H509" s="67">
        <f>VLOOKUP(D509,'FDE 10-23 '!$A$4:$E$3180,5,0)</f>
        <v>6.15</v>
      </c>
      <c r="I509" s="68">
        <f>$L$10</f>
        <v>0.23</v>
      </c>
      <c r="J509" s="67">
        <f>ROUND(H509*(1+I509),2)</f>
        <v>7.56</v>
      </c>
      <c r="K509" s="71">
        <f>SUM(G509*J509)</f>
        <v>0</v>
      </c>
      <c r="L509" s="51"/>
      <c r="M509" s="52"/>
      <c r="N509" s="25"/>
      <c r="O509" s="25"/>
    </row>
    <row r="510" spans="1:15" ht="30" customHeight="1" outlineLevel="1">
      <c r="A510" s="25"/>
      <c r="B510" s="61"/>
      <c r="C510" s="62" t="s">
        <v>26</v>
      </c>
      <c r="D510" s="63" t="s">
        <v>1092</v>
      </c>
      <c r="E510" s="64" t="str">
        <f>IFERROR(UPPER(IF(C510="CPU",VLOOKUP(D510,#REF!,2,0),IF(C510="SINAPI",VLOOKUP(D510,#REF!,2,0),IF(C510="EDIF",VLOOKUP(D510,#REF!,2,0),IF(C510="CDHU",VLOOKUP(D510,#REF!,2,0),IF(C510="FDE",VLOOKUP(D510,'FDE 10-23 '!$A$4:$E$3180,2,0),IF(C510="INFRA",VLOOKUP(D510,#REF!,2,0),""))))))),"")</f>
        <v>REATERRO INTERNO APILOADO</v>
      </c>
      <c r="F510" s="65" t="str">
        <f>VLOOKUP(D510,'FDE 10-23 '!$A$4:$E$3180,3,0)</f>
        <v>M3</v>
      </c>
      <c r="G510" s="66"/>
      <c r="H510" s="67">
        <f>VLOOKUP(D510,'FDE 10-23 '!$A$4:$E$3180,5,0)</f>
        <v>53.88</v>
      </c>
      <c r="I510" s="68">
        <f>$L$10</f>
        <v>0.23</v>
      </c>
      <c r="J510" s="67">
        <f>ROUND(H510*(1+I510),2)</f>
        <v>66.27</v>
      </c>
      <c r="K510" s="71">
        <f>SUM(G510*J510)</f>
        <v>0</v>
      </c>
      <c r="L510" s="51"/>
      <c r="M510" s="52"/>
      <c r="N510" s="25"/>
      <c r="O510" s="25"/>
    </row>
    <row r="511" spans="1:15" ht="30" customHeight="1" outlineLevel="1">
      <c r="A511" s="25"/>
      <c r="B511" s="61"/>
      <c r="C511" s="62" t="s">
        <v>26</v>
      </c>
      <c r="D511" s="63" t="s">
        <v>1094</v>
      </c>
      <c r="E511" s="64" t="str">
        <f>IFERROR(UPPER(IF(C511="CPU",VLOOKUP(D511,#REF!,2,0),IF(C511="SINAPI",VLOOKUP(D511,#REF!,2,0),IF(C511="EDIF",VLOOKUP(D511,#REF!,2,0),IF(C511="CDHU",VLOOKUP(D511,#REF!,2,0),IF(C511="FDE",VLOOKUP(D511,'FDE 10-23 '!$A$4:$E$3180,2,0),IF(C511="INFRA",VLOOKUP(D511,#REF!,2,0),""))))))),"")</f>
        <v>LASTRO DE CONCRETO - 5CM</v>
      </c>
      <c r="F511" s="65" t="str">
        <f>VLOOKUP(D511,'FDE 10-23 '!$A$4:$E$3180,3,0)</f>
        <v>M2</v>
      </c>
      <c r="G511" s="66"/>
      <c r="H511" s="67">
        <f>VLOOKUP(D511,'FDE 10-23 '!$A$4:$E$3180,5,0)</f>
        <v>33.81</v>
      </c>
      <c r="I511" s="68">
        <f>$L$10</f>
        <v>0.23</v>
      </c>
      <c r="J511" s="67">
        <f>ROUND(H511*(1+I511),2)</f>
        <v>41.59</v>
      </c>
      <c r="K511" s="71">
        <f>SUM(G511*J511)</f>
        <v>0</v>
      </c>
      <c r="L511" s="51"/>
      <c r="M511" s="52"/>
      <c r="N511" s="25"/>
      <c r="O511" s="25"/>
    </row>
    <row r="512" spans="1:15" ht="30" customHeight="1" outlineLevel="1">
      <c r="A512" s="25"/>
      <c r="B512" s="61"/>
      <c r="C512" s="62" t="s">
        <v>26</v>
      </c>
      <c r="D512" s="63" t="s">
        <v>1096</v>
      </c>
      <c r="E512" s="64" t="str">
        <f>IFERROR(UPPER(IF(C512="CPU",VLOOKUP(D512,#REF!,2,0),IF(C512="SINAPI",VLOOKUP(D512,#REF!,2,0),IF(C512="EDIF",VLOOKUP(D512,#REF!,2,0),IF(C512="CDHU",VLOOKUP(D512,#REF!,2,0),IF(C512="FDE",VLOOKUP(D512,'FDE 10-23 '!$A$4:$E$3180,2,0),IF(C512="INFRA",VLOOKUP(D512,#REF!,2,0),""))))))),"")</f>
        <v>LASTRO DE PEDRA BRITADA - 5CM</v>
      </c>
      <c r="F512" s="65" t="str">
        <f>VLOOKUP(D512,'FDE 10-23 '!$A$4:$E$3180,3,0)</f>
        <v>M2</v>
      </c>
      <c r="G512" s="66"/>
      <c r="H512" s="67">
        <f>VLOOKUP(D512,'FDE 10-23 '!$A$4:$E$3180,5,0)</f>
        <v>9.7100000000000009</v>
      </c>
      <c r="I512" s="68">
        <f>$L$10</f>
        <v>0.23</v>
      </c>
      <c r="J512" s="67">
        <f>ROUND(H512*(1+I512),2)</f>
        <v>11.94</v>
      </c>
      <c r="K512" s="71">
        <f>SUM(G512*J512)</f>
        <v>0</v>
      </c>
      <c r="L512" s="51"/>
      <c r="M512" s="52"/>
      <c r="N512" s="25"/>
      <c r="O512" s="25"/>
    </row>
    <row r="513" spans="1:15" ht="30" customHeight="1" outlineLevel="1">
      <c r="A513" s="25"/>
      <c r="B513" s="53" t="s">
        <v>1097</v>
      </c>
      <c r="C513" s="54"/>
      <c r="D513" s="54" t="s">
        <v>1098</v>
      </c>
      <c r="E513" s="55" t="s">
        <v>1099</v>
      </c>
      <c r="F513" s="56" t="str">
        <f>IFERROR(UPPER(IF(C513="CPU",VLOOKUP(D513,#REF!,3,0),IF(C513="SINAPI",VLOOKUP(D513,#REF!,3,0),IF(C513="EDIF",VLOOKUP(D513,#REF!,3,0),IF(C513="CDHU",VLOOKUP(D513,#REF!,3,0),IF(C513="FDE",VLOOKUP(D513,#REF!,3,0),IF(C513="INFRA",VLOOKUP(D513,#REF!,3,0),""))))))),"")</f>
        <v/>
      </c>
      <c r="G513" s="57"/>
      <c r="H513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513" s="59"/>
      <c r="J513" s="59"/>
      <c r="K513" s="82">
        <f>SUBTOTAL(9,K514:K518)</f>
        <v>0</v>
      </c>
      <c r="L513" s="51"/>
      <c r="M513" s="52"/>
      <c r="N513" s="25"/>
      <c r="O513" s="25"/>
    </row>
    <row r="514" spans="1:15" ht="30" customHeight="1" outlineLevel="1">
      <c r="A514" s="25"/>
      <c r="B514" s="61"/>
      <c r="C514" s="62" t="s">
        <v>26</v>
      </c>
      <c r="D514" s="63" t="s">
        <v>1101</v>
      </c>
      <c r="E514" s="64" t="str">
        <f>IFERROR(UPPER(IF(C514="CPU",VLOOKUP(D514,#REF!,2,0),IF(C514="SINAPI",VLOOKUP(D514,#REF!,2,0),IF(C514="EDIF",VLOOKUP(D514,#REF!,2,0),IF(C514="CDHU",VLOOKUP(D514,#REF!,2,0),IF(C514="FDE",VLOOKUP(D514,'FDE 10-23 '!$A$4:$E$3180,2,0),IF(C514="INFRA",VLOOKUP(D514,#REF!,2,0),""))))))),"")</f>
        <v>FORMAS DE MADEIRA MACICA</v>
      </c>
      <c r="F514" s="65" t="str">
        <f>VLOOKUP(D514,'FDE 10-23 '!$A$4:$E$3180,3,0)</f>
        <v>M2</v>
      </c>
      <c r="G514" s="66"/>
      <c r="H514" s="67">
        <f>VLOOKUP(D514,'FDE 10-23 '!$A$4:$E$3180,5,0)</f>
        <v>110.26</v>
      </c>
      <c r="I514" s="68">
        <f>$L$10</f>
        <v>0.23</v>
      </c>
      <c r="J514" s="67">
        <f>ROUND(H514*(1+I514),2)</f>
        <v>135.62</v>
      </c>
      <c r="K514" s="71">
        <f>SUM(G514*J514)</f>
        <v>0</v>
      </c>
      <c r="L514" s="51"/>
      <c r="M514" s="52"/>
      <c r="N514" s="25"/>
      <c r="O514" s="25"/>
    </row>
    <row r="515" spans="1:15" ht="30" customHeight="1" outlineLevel="1">
      <c r="A515" s="25"/>
      <c r="B515" s="61"/>
      <c r="C515" s="62" t="s">
        <v>26</v>
      </c>
      <c r="D515" s="63" t="s">
        <v>1103</v>
      </c>
      <c r="E515" s="64" t="str">
        <f>IFERROR(UPPER(IF(C515="CPU",VLOOKUP(D515,#REF!,2,0),IF(C515="SINAPI",VLOOKUP(D515,#REF!,2,0),IF(C515="EDIF",VLOOKUP(D515,#REF!,2,0),IF(C515="CDHU",VLOOKUP(D515,#REF!,2,0),IF(C515="FDE",VLOOKUP(D515,'FDE 10-23 '!$A$4:$E$3180,2,0),IF(C515="INFRA",VLOOKUP(D515,#REF!,2,0),""))))))),"")</f>
        <v>ACO CA 50 (A OU B) FYK = 500 M PA</v>
      </c>
      <c r="F515" s="65" t="str">
        <f>VLOOKUP(D515,'FDE 10-23 '!$A$4:$E$3180,3,0)</f>
        <v>KG</v>
      </c>
      <c r="G515" s="66"/>
      <c r="H515" s="67">
        <f>VLOOKUP(D515,'FDE 10-23 '!$A$4:$E$3180,5,0)</f>
        <v>12.18</v>
      </c>
      <c r="I515" s="68">
        <f>$L$10</f>
        <v>0.23</v>
      </c>
      <c r="J515" s="67">
        <f>ROUND(H515*(1+I515),2)</f>
        <v>14.98</v>
      </c>
      <c r="K515" s="71">
        <f>SUM(G515*J515)</f>
        <v>0</v>
      </c>
      <c r="L515" s="51"/>
      <c r="M515" s="52"/>
      <c r="N515" s="25"/>
      <c r="O515" s="25"/>
    </row>
    <row r="516" spans="1:15" ht="30" customHeight="1" outlineLevel="1">
      <c r="A516" s="25"/>
      <c r="B516" s="61"/>
      <c r="C516" s="62" t="s">
        <v>26</v>
      </c>
      <c r="D516" s="63" t="s">
        <v>1105</v>
      </c>
      <c r="E516" s="64" t="str">
        <f>IFERROR(UPPER(IF(C516="CPU",VLOOKUP(D516,#REF!,2,0),IF(C516="SINAPI",VLOOKUP(D516,#REF!,2,0),IF(C516="EDIF",VLOOKUP(D516,#REF!,2,0),IF(C516="CDHU",VLOOKUP(D516,#REF!,2,0),IF(C516="FDE",VLOOKUP(D516,'FDE 10-23 '!$A$4:$E$3180,2,0),IF(C516="INFRA",VLOOKUP(D516,#REF!,2,0),""))))))),"")</f>
        <v>ACO CA 60 (A OU B) FYK = 600 M PA</v>
      </c>
      <c r="F516" s="65" t="str">
        <f>VLOOKUP(D516,'FDE 10-23 '!$A$4:$E$3180,3,0)</f>
        <v>KG</v>
      </c>
      <c r="G516" s="66"/>
      <c r="H516" s="67">
        <f>VLOOKUP(D516,'FDE 10-23 '!$A$4:$E$3180,5,0)</f>
        <v>12.58</v>
      </c>
      <c r="I516" s="68">
        <f>$L$10</f>
        <v>0.23</v>
      </c>
      <c r="J516" s="67">
        <f>ROUND(H516*(1+I516),2)</f>
        <v>15.47</v>
      </c>
      <c r="K516" s="71">
        <f>SUM(G516*J516)</f>
        <v>0</v>
      </c>
      <c r="L516" s="51"/>
      <c r="M516" s="52"/>
      <c r="N516" s="25"/>
      <c r="O516" s="25"/>
    </row>
    <row r="517" spans="1:15" ht="30" customHeight="1" outlineLevel="1">
      <c r="A517" s="25"/>
      <c r="B517" s="61"/>
      <c r="C517" s="62" t="s">
        <v>26</v>
      </c>
      <c r="D517" s="63" t="s">
        <v>1107</v>
      </c>
      <c r="E517" s="64" t="str">
        <f>IFERROR(UPPER(IF(C517="CPU",VLOOKUP(D517,#REF!,2,0),IF(C517="SINAPI",VLOOKUP(D517,#REF!,2,0),IF(C517="EDIF",VLOOKUP(D517,#REF!,2,0),IF(C517="CDHU",VLOOKUP(D517,#REF!,2,0),IF(C517="FDE",VLOOKUP(D517,'FDE 10-23 '!$A$4:$E$3180,2,0),IF(C517="INFRA",VLOOKUP(D517,#REF!,2,0),""))))))),"")</f>
        <v>CONCRETO DOSADO E LANCADO FCK=25 MPA</v>
      </c>
      <c r="F517" s="65" t="str">
        <f>VLOOKUP(D517,'FDE 10-23 '!$A$4:$E$3180,3,0)</f>
        <v>M3</v>
      </c>
      <c r="G517" s="66"/>
      <c r="H517" s="67">
        <f>VLOOKUP(D517,'FDE 10-23 '!$A$4:$E$3180,5,0)</f>
        <v>523.76</v>
      </c>
      <c r="I517" s="68">
        <f>$L$10</f>
        <v>0.23</v>
      </c>
      <c r="J517" s="67">
        <f>ROUND(H517*(1+I517),2)</f>
        <v>644.22</v>
      </c>
      <c r="K517" s="71">
        <f>SUM(G517*J517)</f>
        <v>0</v>
      </c>
      <c r="L517" s="51"/>
      <c r="M517" s="52"/>
      <c r="N517" s="25"/>
      <c r="O517" s="25"/>
    </row>
    <row r="518" spans="1:15" ht="30" customHeight="1" outlineLevel="1">
      <c r="A518" s="25"/>
      <c r="B518" s="61"/>
      <c r="C518" s="62" t="s">
        <v>26</v>
      </c>
      <c r="D518" s="63" t="s">
        <v>1109</v>
      </c>
      <c r="E518" s="64" t="str">
        <f>IFERROR(UPPER(IF(C518="CPU",VLOOKUP(D518,#REF!,2,0),IF(C518="SINAPI",VLOOKUP(D518,#REF!,2,0),IF(C518="EDIF",VLOOKUP(D518,#REF!,2,0),IF(C518="CDHU",VLOOKUP(D518,#REF!,2,0),IF(C518="FDE",VLOOKUP(D518,'FDE 10-23 '!$A$4:$E$3180,2,0),IF(C518="INFRA",VLOOKUP(D518,#REF!,2,0),""))))))),"")</f>
        <v>CONCRETO GROUT, PREPARADO NO LOCAL, LANÇADO E ADENSADO</v>
      </c>
      <c r="F518" s="65" t="str">
        <f>VLOOKUP(D518,'FDE 10-23 '!$A$4:$E$3180,3,0)</f>
        <v>M3</v>
      </c>
      <c r="G518" s="66"/>
      <c r="H518" s="67">
        <f>VLOOKUP(D518,'FDE 10-23 '!$A$4:$E$3180,5,0)</f>
        <v>485.76</v>
      </c>
      <c r="I518" s="68">
        <f>$L$10</f>
        <v>0.23</v>
      </c>
      <c r="J518" s="67">
        <f>ROUND(H518*(1+I518),2)</f>
        <v>597.48</v>
      </c>
      <c r="K518" s="71">
        <f>SUM(G518*J518)</f>
        <v>0</v>
      </c>
      <c r="L518" s="51"/>
      <c r="M518" s="52"/>
      <c r="N518" s="25"/>
      <c r="O518" s="25"/>
    </row>
    <row r="519" spans="1:15" ht="30" customHeight="1" outlineLevel="1">
      <c r="A519" s="25"/>
      <c r="B519" s="53" t="s">
        <v>1110</v>
      </c>
      <c r="C519" s="54"/>
      <c r="D519" s="54" t="s">
        <v>1111</v>
      </c>
      <c r="E519" s="55" t="s">
        <v>1112</v>
      </c>
      <c r="F519" s="56" t="str">
        <f>IFERROR(UPPER(IF(C519="CPU",VLOOKUP(D519,#REF!,3,0),IF(C519="SINAPI",VLOOKUP(D519,#REF!,3,0),IF(C519="EDIF",VLOOKUP(D519,#REF!,3,0),IF(C519="CDHU",VLOOKUP(D519,#REF!,3,0),IF(C519="FDE",VLOOKUP(D519,#REF!,3,0),IF(C519="INFRA",VLOOKUP(D519,#REF!,3,0),""))))))),"")</f>
        <v/>
      </c>
      <c r="G519" s="57"/>
      <c r="H519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519" s="59"/>
      <c r="J519" s="59"/>
      <c r="K519" s="82">
        <f>SUBTOTAL(9,K520:K521)</f>
        <v>0</v>
      </c>
      <c r="L519" s="51"/>
      <c r="M519" s="52"/>
      <c r="N519" s="25"/>
      <c r="O519" s="25"/>
    </row>
    <row r="520" spans="1:15" ht="30" customHeight="1" outlineLevel="1">
      <c r="A520" s="25"/>
      <c r="B520" s="61"/>
      <c r="C520" s="62" t="s">
        <v>26</v>
      </c>
      <c r="D520" s="63" t="s">
        <v>1114</v>
      </c>
      <c r="E520" s="64" t="str">
        <f>IFERROR(UPPER(IF(C520="CPU",VLOOKUP(D520,#REF!,2,0),IF(C520="SINAPI",VLOOKUP(D520,#REF!,2,0),IF(C520="EDIF",VLOOKUP(D520,#REF!,2,0),IF(C520="CDHU",VLOOKUP(D520,#REF!,2,0),IF(C520="FDE",VLOOKUP(D520,'FDE 10-23 '!$A$4:$E$3180,2,0),IF(C520="INFRA",VLOOKUP(D520,#REF!,2,0),""))))))),"")</f>
        <v>ALVENARIA AUTO PORTANTE BLOCO DE CONCRETO ESTRUTURAL DE 19X19X39 CM CLASSE A</v>
      </c>
      <c r="F520" s="65" t="str">
        <f>VLOOKUP(D520,'FDE 10-23 '!$A$4:$E$3180,3,0)</f>
        <v>M2</v>
      </c>
      <c r="G520" s="66"/>
      <c r="H520" s="67">
        <f>VLOOKUP(D520,'FDE 10-23 '!$A$4:$E$3180,5,0)</f>
        <v>114.13</v>
      </c>
      <c r="I520" s="68">
        <f>$L$10</f>
        <v>0.23</v>
      </c>
      <c r="J520" s="67">
        <f>ROUND(H520*(1+I520),2)</f>
        <v>140.38</v>
      </c>
      <c r="K520" s="71">
        <f>SUM(G520*J520)</f>
        <v>0</v>
      </c>
      <c r="L520" s="51"/>
      <c r="M520" s="52"/>
      <c r="N520" s="25"/>
      <c r="O520" s="25"/>
    </row>
    <row r="521" spans="1:15" ht="30" customHeight="1" outlineLevel="1">
      <c r="A521" s="25"/>
      <c r="B521" s="61"/>
      <c r="C521" s="62" t="s">
        <v>26</v>
      </c>
      <c r="D521" s="63" t="s">
        <v>1116</v>
      </c>
      <c r="E521" s="64" t="str">
        <f>IFERROR(UPPER(IF(C521="CPU",VLOOKUP(D521,#REF!,2,0),IF(C521="SINAPI",VLOOKUP(D521,#REF!,2,0),IF(C521="EDIF",VLOOKUP(D521,#REF!,2,0),IF(C521="CDHU",VLOOKUP(D521,#REF!,2,0),IF(C521="FDE",VLOOKUP(D521,'FDE 10-23 '!$A$4:$E$3180,2,0),IF(C521="INFRA",VLOOKUP(D521,#REF!,2,0),""))))))),"")</f>
        <v>IMPERMEABILIZACAO POR CRISTALIZACAO - MUROS DE ARRIMO</v>
      </c>
      <c r="F521" s="65" t="str">
        <f>VLOOKUP(D521,'FDE 10-23 '!$A$4:$E$3180,3,0)</f>
        <v>M2</v>
      </c>
      <c r="G521" s="66"/>
      <c r="H521" s="67">
        <f>VLOOKUP(D521,'FDE 10-23 '!$A$4:$E$3180,5,0)</f>
        <v>11</v>
      </c>
      <c r="I521" s="68">
        <f>$L$10</f>
        <v>0.23</v>
      </c>
      <c r="J521" s="67">
        <f>ROUND(H521*(1+I521),2)</f>
        <v>13.53</v>
      </c>
      <c r="K521" s="71">
        <f>SUM(G521*J521)</f>
        <v>0</v>
      </c>
      <c r="L521" s="51"/>
      <c r="M521" s="52"/>
      <c r="N521" s="25"/>
      <c r="O521" s="25"/>
    </row>
    <row r="522" spans="1:15" ht="30" customHeight="1" outlineLevel="1">
      <c r="A522" s="25"/>
      <c r="B522" s="53" t="s">
        <v>1117</v>
      </c>
      <c r="C522" s="54"/>
      <c r="D522" s="54" t="s">
        <v>1118</v>
      </c>
      <c r="E522" s="55" t="s">
        <v>1119</v>
      </c>
      <c r="F522" s="56" t="str">
        <f>IFERROR(UPPER(IF(C522="CPU",VLOOKUP(D522,#REF!,3,0),IF(C522="SINAPI",VLOOKUP(D522,#REF!,3,0),IF(C522="EDIF",VLOOKUP(D522,#REF!,3,0),IF(C522="CDHU",VLOOKUP(D522,#REF!,3,0),IF(C522="FDE",VLOOKUP(D522,#REF!,3,0),IF(C522="INFRA",VLOOKUP(D522,#REF!,3,0),""))))))),"")</f>
        <v/>
      </c>
      <c r="G522" s="57"/>
      <c r="H522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522" s="59"/>
      <c r="J522" s="59"/>
      <c r="K522" s="82">
        <f>SUBTOTAL(9,K523:K526)</f>
        <v>22605.769999999997</v>
      </c>
      <c r="L522" s="51"/>
      <c r="M522" s="52"/>
      <c r="N522" s="25"/>
      <c r="O522" s="25"/>
    </row>
    <row r="523" spans="1:15" ht="30" customHeight="1" outlineLevel="1">
      <c r="A523" s="25"/>
      <c r="B523" s="61"/>
      <c r="C523" s="62" t="s">
        <v>26</v>
      </c>
      <c r="D523" s="63" t="s">
        <v>1121</v>
      </c>
      <c r="E523" s="64" t="str">
        <f>IFERROR(UPPER(IF(C523="CPU",VLOOKUP(D523,#REF!,2,0),IF(C523="SINAPI",VLOOKUP(D523,#REF!,2,0),IF(C523="EDIF",VLOOKUP(D523,#REF!,2,0),IF(C523="CDHU",VLOOKUP(D523,#REF!,2,0),IF(C523="FDE",VLOOKUP(D523,'FDE 10-23 '!$A$4:$E$3180,2,0),IF(C523="INFRA",VLOOKUP(D523,#REF!,2,0),""))))))),"")</f>
        <v>SI-01 PLACA DE SINALIZAÇÃO DE AMBIENTE 200X200MM (PORTA)</v>
      </c>
      <c r="F523" s="65" t="str">
        <f>VLOOKUP(D523,'FDE 10-23 '!$A$4:$E$3180,3,0)</f>
        <v>UN</v>
      </c>
      <c r="G523" s="66">
        <v>43</v>
      </c>
      <c r="H523" s="67">
        <f>VLOOKUP(D523,'FDE 10-23 '!$A$4:$E$3180,5,0)</f>
        <v>94.3</v>
      </c>
      <c r="I523" s="68">
        <f>$L$10</f>
        <v>0.23</v>
      </c>
      <c r="J523" s="67">
        <f>ROUND(H523*(1+I523),2)</f>
        <v>115.99</v>
      </c>
      <c r="K523" s="71">
        <f>SUM(G523*J523)</f>
        <v>4987.57</v>
      </c>
      <c r="L523" s="51"/>
      <c r="M523" s="52"/>
      <c r="N523" s="25"/>
      <c r="O523" s="25"/>
    </row>
    <row r="524" spans="1:15" ht="30" customHeight="1" outlineLevel="1">
      <c r="A524" s="25"/>
      <c r="B524" s="61"/>
      <c r="C524" s="62" t="s">
        <v>26</v>
      </c>
      <c r="D524" s="63" t="s">
        <v>1123</v>
      </c>
      <c r="E524" s="64" t="str">
        <f>IFERROR(UPPER(IF(C524="CPU",VLOOKUP(D524,#REF!,2,0),IF(C524="SINAPI",VLOOKUP(D524,#REF!,2,0),IF(C524="EDIF",VLOOKUP(D524,#REF!,2,0),IF(C524="CDHU",VLOOKUP(D524,#REF!,2,0),IF(C524="FDE",VLOOKUP(D524,'FDE 10-23 '!$A$4:$E$3180,2,0),IF(C524="INFRA",VLOOKUP(D524,#REF!,2,0),""))))))),"")</f>
        <v>SI-03 PLACA DE SINALIZAÇÃO DE AMBIENTE 200X200MM (PAREDE INTERNA)</v>
      </c>
      <c r="F524" s="65" t="str">
        <f>VLOOKUP(D524,'FDE 10-23 '!$A$4:$E$3180,3,0)</f>
        <v>UN</v>
      </c>
      <c r="G524" s="66">
        <v>12</v>
      </c>
      <c r="H524" s="67">
        <f>VLOOKUP(D524,'FDE 10-23 '!$A$4:$E$3180,5,0)</f>
        <v>141.96</v>
      </c>
      <c r="I524" s="68">
        <f>$L$10</f>
        <v>0.23</v>
      </c>
      <c r="J524" s="67">
        <f>ROUND(H524*(1+I524),2)</f>
        <v>174.61</v>
      </c>
      <c r="K524" s="71">
        <f>SUM(G524*J524)</f>
        <v>2095.3200000000002</v>
      </c>
      <c r="L524" s="51"/>
      <c r="M524" s="52"/>
      <c r="N524" s="25"/>
      <c r="O524" s="25"/>
    </row>
    <row r="525" spans="1:15" ht="30" customHeight="1" outlineLevel="1">
      <c r="A525" s="25"/>
      <c r="B525" s="61"/>
      <c r="C525" s="62" t="s">
        <v>26</v>
      </c>
      <c r="D525" s="63" t="s">
        <v>1125</v>
      </c>
      <c r="E525" s="64" t="str">
        <f>IFERROR(UPPER(IF(C525="CPU",VLOOKUP(D525,#REF!,2,0),IF(C525="SINAPI",VLOOKUP(D525,#REF!,2,0),IF(C525="EDIF",VLOOKUP(D525,#REF!,2,0),IF(C525="CDHU",VLOOKUP(D525,#REF!,2,0),IF(C525="FDE",VLOOKUP(D525,'FDE 10-23 '!$A$4:$E$3180,2,0),IF(C525="INFRA",VLOOKUP(D525,#REF!,2,0),""))))))),"")</f>
        <v>SI-11 SINALIZAÇÃO HORIZONTAL PARA VAGA ACESSIVEL</v>
      </c>
      <c r="F525" s="65" t="str">
        <f>VLOOKUP(D525,'FDE 10-23 '!$A$4:$E$3180,3,0)</f>
        <v>UN</v>
      </c>
      <c r="G525" s="66">
        <v>2</v>
      </c>
      <c r="H525" s="67">
        <f>VLOOKUP(D525,'FDE 10-23 '!$A$4:$E$3180,5,0)</f>
        <v>333.97</v>
      </c>
      <c r="I525" s="68">
        <f>$L$10</f>
        <v>0.23</v>
      </c>
      <c r="J525" s="67">
        <f>ROUND(H525*(1+I525),2)</f>
        <v>410.78</v>
      </c>
      <c r="K525" s="71">
        <f>SUM(G525*J525)</f>
        <v>821.56</v>
      </c>
      <c r="L525" s="51"/>
      <c r="M525" s="52"/>
      <c r="N525" s="25"/>
      <c r="O525" s="25"/>
    </row>
    <row r="526" spans="1:15" ht="30" customHeight="1" outlineLevel="1">
      <c r="A526" s="25"/>
      <c r="B526" s="61"/>
      <c r="C526" s="62" t="s">
        <v>26</v>
      </c>
      <c r="D526" s="63" t="s">
        <v>1127</v>
      </c>
      <c r="E526" s="64" t="str">
        <f>IFERROR(UPPER(IF(C526="CPU",VLOOKUP(D526,#REF!,2,0),IF(C526="SINAPI",VLOOKUP(D526,#REF!,2,0),IF(C526="EDIF",VLOOKUP(D526,#REF!,2,0),IF(C526="CDHU",VLOOKUP(D526,#REF!,2,0),IF(C526="FDE",VLOOKUP(D526,'FDE 10-23 '!$A$4:$E$3180,2,0),IF(C526="INFRA",VLOOKUP(D526,#REF!,2,0),""))))))),"")</f>
        <v>SI-12 TOTEM DE IDENTIFICAÇÃO</v>
      </c>
      <c r="F526" s="65" t="str">
        <f>VLOOKUP(D526,'FDE 10-23 '!$A$4:$E$3180,3,0)</f>
        <v>UN</v>
      </c>
      <c r="G526" s="66">
        <v>1</v>
      </c>
      <c r="H526" s="67">
        <f>VLOOKUP(D526,'FDE 10-23 '!$A$4:$E$3180,5,0)</f>
        <v>11952.29</v>
      </c>
      <c r="I526" s="68">
        <f>$L$10</f>
        <v>0.23</v>
      </c>
      <c r="J526" s="67">
        <f>ROUND(H526*(1+I526),2)</f>
        <v>14701.32</v>
      </c>
      <c r="K526" s="71">
        <f>SUM(G526*J526)</f>
        <v>14701.32</v>
      </c>
      <c r="L526" s="51"/>
      <c r="M526" s="52"/>
      <c r="N526" s="25"/>
      <c r="O526" s="25"/>
    </row>
    <row r="527" spans="1:15" ht="30" customHeight="1" outlineLevel="1">
      <c r="A527" s="25"/>
      <c r="B527" s="53" t="s">
        <v>1128</v>
      </c>
      <c r="C527" s="54"/>
      <c r="D527" s="54" t="s">
        <v>1129</v>
      </c>
      <c r="E527" s="55" t="s">
        <v>1130</v>
      </c>
      <c r="F527" s="56" t="str">
        <f>IFERROR(UPPER(IF(C527="CPU",VLOOKUP(D527,#REF!,3,0),IF(C527="SINAPI",VLOOKUP(D527,#REF!,3,0),IF(C527="EDIF",VLOOKUP(D527,#REF!,3,0),IF(C527="CDHU",VLOOKUP(D527,#REF!,3,0),IF(C527="FDE",VLOOKUP(D527,#REF!,3,0),IF(C527="INFRA",VLOOKUP(D527,#REF!,3,0),""))))))),"")</f>
        <v/>
      </c>
      <c r="G527" s="57"/>
      <c r="H52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527" s="59"/>
      <c r="J527" s="59"/>
      <c r="K527" s="82">
        <f>SUBTOTAL(9,K528)</f>
        <v>3790.08</v>
      </c>
      <c r="L527" s="51"/>
      <c r="M527" s="52"/>
      <c r="N527" s="25"/>
      <c r="O527" s="25"/>
    </row>
    <row r="528" spans="1:15" ht="30" customHeight="1" outlineLevel="1">
      <c r="A528" s="25"/>
      <c r="B528" s="61"/>
      <c r="C528" s="62" t="s">
        <v>26</v>
      </c>
      <c r="D528" s="63" t="s">
        <v>1132</v>
      </c>
      <c r="E528" s="64" t="str">
        <f>IFERROR(UPPER(IF(C528="CPU",VLOOKUP(D528,#REF!,2,0),IF(C528="SINAPI",VLOOKUP(D528,#REF!,2,0),IF(C528="EDIF",VLOOKUP(D528,#REF!,2,0),IF(C528="CDHU",VLOOKUP(D528,#REF!,2,0),IF(C528="FDE",VLOOKUP(D528,'FDE 10-23 '!$A$4:$E$3180,2,0),IF(C528="INFRA",VLOOKUP(D528,#REF!,2,0),""))))))),"")</f>
        <v>FUROS EM CONCRETO COM D=3/4" E PROFUNDIDADE 15CM</v>
      </c>
      <c r="F528" s="65" t="str">
        <f>VLOOKUP(D528,'FDE 10-23 '!$A$4:$E$3180,3,0)</f>
        <v>UN</v>
      </c>
      <c r="G528" s="66">
        <v>128</v>
      </c>
      <c r="H528" s="67">
        <f>VLOOKUP(D528,'FDE 10-23 '!$A$4:$E$3180,5,0)</f>
        <v>24.07</v>
      </c>
      <c r="I528" s="68">
        <f>$L$10</f>
        <v>0.23</v>
      </c>
      <c r="J528" s="67">
        <f>ROUND(H528*(1+I528),2)</f>
        <v>29.61</v>
      </c>
      <c r="K528" s="71">
        <f>SUM(G528*J528)</f>
        <v>3790.08</v>
      </c>
      <c r="L528" s="51"/>
      <c r="M528" s="52"/>
      <c r="N528" s="25"/>
      <c r="O528" s="25"/>
    </row>
    <row r="529" spans="1:15" ht="30" customHeight="1" outlineLevel="1">
      <c r="A529" s="25"/>
      <c r="B529" s="53" t="s">
        <v>1133</v>
      </c>
      <c r="C529" s="54"/>
      <c r="D529" s="54" t="s">
        <v>1134</v>
      </c>
      <c r="E529" s="55" t="s">
        <v>1135</v>
      </c>
      <c r="F529" s="56" t="str">
        <f>IFERROR(UPPER(IF(C529="CPU",VLOOKUP(D529,#REF!,3,0),IF(C529="SINAPI",VLOOKUP(D529,#REF!,3,0),IF(C529="EDIF",VLOOKUP(D529,#REF!,3,0),IF(C529="CDHU",VLOOKUP(D529,#REF!,3,0),IF(C529="FDE",VLOOKUP(D529,#REF!,3,0),IF(C529="INFRA",VLOOKUP(D529,#REF!,3,0),""))))))),"")</f>
        <v/>
      </c>
      <c r="G529" s="57"/>
      <c r="H529" s="58"/>
      <c r="I529" s="59"/>
      <c r="J529" s="59"/>
      <c r="K529" s="82">
        <f>SUBTOTAL(9,K530)</f>
        <v>18069.93</v>
      </c>
      <c r="L529" s="51"/>
      <c r="M529" s="52"/>
      <c r="N529" s="25"/>
      <c r="O529" s="25"/>
    </row>
    <row r="530" spans="1:15" ht="30" customHeight="1" outlineLevel="1">
      <c r="A530" s="25"/>
      <c r="B530" s="61"/>
      <c r="C530" s="62" t="s">
        <v>26</v>
      </c>
      <c r="D530" s="63" t="s">
        <v>1137</v>
      </c>
      <c r="E530" s="64" t="str">
        <f>IFERROR(UPPER(IF(C530="CPU",VLOOKUP(D530,#REF!,2,0),IF(C530="SINAPI",VLOOKUP(D530,#REF!,2,0),IF(C530="EDIF",VLOOKUP(D530,#REF!,2,0),IF(C530="CDHU",VLOOKUP(D530,#REF!,2,0),IF(C530="FDE",VLOOKUP(D530,'FDE 10-23 '!$A$4:$E$3180,2,0),IF(C530="INFRA",VLOOKUP(D530,#REF!,2,0),""))))))),"")</f>
        <v>APARELHO DE APOIO DE NEOPRENE FRETADO</v>
      </c>
      <c r="F530" s="65" t="str">
        <f>VLOOKUP(D530,'FDE 10-23 '!$A$4:$E$3180,3,0)</f>
        <v>D3</v>
      </c>
      <c r="G530" s="66">
        <v>83</v>
      </c>
      <c r="H530" s="67">
        <f>VLOOKUP(D530,'FDE 10-23 '!$A$4:$E$3180,5,0)</f>
        <v>177</v>
      </c>
      <c r="I530" s="68">
        <f>$L$10</f>
        <v>0.23</v>
      </c>
      <c r="J530" s="67">
        <f>ROUND(H530*(1+I530),2)</f>
        <v>217.71</v>
      </c>
      <c r="K530" s="71">
        <f>SUM(G530*J530)</f>
        <v>18069.93</v>
      </c>
      <c r="L530" s="51"/>
      <c r="M530" s="52"/>
      <c r="N530" s="25"/>
      <c r="O530" s="25"/>
    </row>
    <row r="531" spans="1:15" ht="30" customHeight="1" outlineLevel="1">
      <c r="A531" s="25"/>
      <c r="B531" s="61"/>
      <c r="C531" s="62"/>
      <c r="D531" s="63"/>
      <c r="E531" s="64"/>
      <c r="F531" s="65"/>
      <c r="G531" s="66"/>
      <c r="H531" s="67"/>
      <c r="I531" s="67"/>
      <c r="J531" s="67"/>
      <c r="K531" s="71"/>
      <c r="L531" s="51"/>
      <c r="M531" s="52"/>
      <c r="N531" s="25"/>
      <c r="O531" s="25"/>
    </row>
    <row r="532" spans="1:15" ht="36.75" customHeight="1">
      <c r="B532" s="72" t="str">
        <f>IFERROR(UPPER(IF(C532="CPU",VLOOKUP(D532,#REF!,2,0),IF(C532="SINAPI",VLOOKUP(D532,#REF!,2,0),IF(C532="EDIF",VLOOKUP(D532,#REF!,2,0),IF(C532="CPOS",VLOOKUP(D532,#REF!,3,0),IF(C532="FDE",VLOOKUP(D532,#REF!,2,0),IF(C532="INFRA",VLOOKUP(D532,#REF!,2,0),""))))))),"")</f>
        <v/>
      </c>
      <c r="C532" s="73"/>
      <c r="D532" s="73"/>
      <c r="E532" s="73"/>
      <c r="F532" s="73"/>
      <c r="G532" s="74"/>
      <c r="H532" s="75" t="s">
        <v>1138</v>
      </c>
      <c r="I532" s="76"/>
      <c r="J532" s="76"/>
      <c r="K532" s="77">
        <f>K534/1.23</f>
        <v>8425654.7183739953</v>
      </c>
    </row>
    <row r="533" spans="1:15" ht="36.75" customHeight="1">
      <c r="B533" s="7" t="str">
        <f>IFERROR(UPPER(IF(C533="CPU",VLOOKUP(D533,#REF!,2,0),IF(C533="SINAPI",VLOOKUP(D533,#REF!,2,0),IF(C533="EDIF",VLOOKUP(D533,#REF!,2,0),IF(C533="CPOS",VLOOKUP(D533,#REF!,3,0),IF(C533="FDE",VLOOKUP(D533,#REF!,2,0),IF(C533="INFRA",VLOOKUP(D533,#REF!,2,0),""))))))),"")</f>
        <v/>
      </c>
      <c r="C533" s="7"/>
      <c r="D533" s="7"/>
      <c r="E533" s="7"/>
      <c r="F533" s="7"/>
      <c r="G533" s="7"/>
      <c r="H533" s="75" t="s">
        <v>1139</v>
      </c>
      <c r="I533" s="76"/>
      <c r="J533" s="76"/>
      <c r="K533" s="77">
        <f>K534-K532</f>
        <v>1937900.585226018</v>
      </c>
    </row>
    <row r="534" spans="1:15" ht="36.75" customHeight="1">
      <c r="B534" s="7" t="str">
        <f>IFERROR(UPPER(IF(C534="CPU",VLOOKUP(D534,#REF!,2,0),IF(C534="SINAPI",VLOOKUP(D534,#REF!,2,0),IF(C534="EDIF",VLOOKUP(D534,#REF!,2,0),IF(C534="CPOS",VLOOKUP(D534,#REF!,3,0),IF(C534="FDE",VLOOKUP(D534,#REF!,2,0),IF(C534="INFRA",VLOOKUP(D534,#REF!,2,0),""))))))),"")</f>
        <v/>
      </c>
      <c r="C534" s="7"/>
      <c r="D534" s="7"/>
      <c r="E534" s="7"/>
      <c r="F534" s="7"/>
      <c r="G534" s="7"/>
      <c r="H534" s="75" t="s">
        <v>1140</v>
      </c>
      <c r="I534" s="76"/>
      <c r="J534" s="76"/>
      <c r="K534" s="77">
        <f>SUBTOTAL(9,K11:K531)</f>
        <v>10363555.303600013</v>
      </c>
    </row>
    <row r="537" spans="1:15">
      <c r="K537" s="20">
        <v>10616148.3036</v>
      </c>
    </row>
    <row r="538" spans="1:15">
      <c r="K538" s="20">
        <f>K537-K534</f>
        <v>252592.99999998696</v>
      </c>
    </row>
  </sheetData>
  <autoFilter ref="B10:K534" xr:uid="{00000000-0009-0000-0000-000001000000}"/>
  <mergeCells count="13">
    <mergeCell ref="B533:G533"/>
    <mergeCell ref="B534:G534"/>
    <mergeCell ref="B6:C6"/>
    <mergeCell ref="D6:K6"/>
    <mergeCell ref="B7:C7"/>
    <mergeCell ref="D7:K7"/>
    <mergeCell ref="B8:C8"/>
    <mergeCell ref="D8:K8"/>
    <mergeCell ref="B1:K3"/>
    <mergeCell ref="B4:C4"/>
    <mergeCell ref="D4:K4"/>
    <mergeCell ref="B5:C5"/>
    <mergeCell ref="D5:K5"/>
  </mergeCells>
  <printOptions horizontalCentered="1" verticalCentered="1"/>
  <pageMargins left="0.27569444444444402" right="0.27569444444444402" top="0.59027777777777801" bottom="0.86666666666666703" header="0.511811023622047" footer="0.196527777777778"/>
  <pageSetup paperSize="9" scale="10" orientation="landscape" horizontalDpi="300" verticalDpi="300" r:id="rId1"/>
  <headerFooter>
    <oddFooter>&amp;C&amp;P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66CC"/>
    <pageSetUpPr fitToPage="1"/>
  </sheetPr>
  <dimension ref="A1:O541"/>
  <sheetViews>
    <sheetView view="pageBreakPreview" topLeftCell="C536" zoomScale="90" zoomScaleNormal="80" zoomScalePageLayoutView="90" workbookViewId="0">
      <selection activeCell="C349" sqref="C349"/>
    </sheetView>
  </sheetViews>
  <sheetFormatPr defaultColWidth="11.88671875" defaultRowHeight="13.2" outlineLevelRow="1"/>
  <cols>
    <col min="1" max="1" width="11.88671875" style="15"/>
    <col min="2" max="2" width="10" style="16" customWidth="1"/>
    <col min="3" max="3" width="15.33203125" style="16" customWidth="1"/>
    <col min="4" max="4" width="11.33203125" style="17" customWidth="1"/>
    <col min="5" max="5" width="71.6640625" style="16" customWidth="1"/>
    <col min="6" max="6" width="11.44140625" style="18" customWidth="1"/>
    <col min="7" max="7" width="15.5546875" style="19" customWidth="1"/>
    <col min="8" max="11" width="21" style="20" customWidth="1"/>
    <col min="12" max="12" width="20.5546875" style="21" customWidth="1"/>
    <col min="13" max="13" width="20.109375" style="15" customWidth="1"/>
    <col min="14" max="14" width="15.5546875" style="22" customWidth="1"/>
    <col min="15" max="15" width="14.33203125" style="15" customWidth="1"/>
    <col min="16" max="16384" width="11.88671875" style="15"/>
  </cols>
  <sheetData>
    <row r="1" spans="1:15" customFormat="1" ht="22.5" customHeight="1">
      <c r="B1" s="5" t="s">
        <v>0</v>
      </c>
      <c r="C1" s="5"/>
      <c r="D1" s="5"/>
      <c r="E1" s="5"/>
      <c r="F1" s="5"/>
      <c r="G1" s="5"/>
      <c r="H1" s="5"/>
      <c r="I1" s="5"/>
      <c r="J1" s="5"/>
      <c r="K1" s="5"/>
    </row>
    <row r="2" spans="1:15" customFormat="1">
      <c r="B2" s="5"/>
      <c r="C2" s="5"/>
      <c r="D2" s="5"/>
      <c r="E2" s="5"/>
      <c r="F2" s="5"/>
      <c r="G2" s="5"/>
      <c r="H2" s="5"/>
      <c r="I2" s="5"/>
      <c r="J2" s="5"/>
      <c r="K2" s="5"/>
    </row>
    <row r="3" spans="1:15" customFormat="1" ht="56.25" customHeight="1">
      <c r="B3" s="5"/>
      <c r="C3" s="5"/>
      <c r="D3" s="5"/>
      <c r="E3" s="5"/>
      <c r="F3" s="5"/>
      <c r="G3" s="5"/>
      <c r="H3" s="5"/>
      <c r="I3" s="5"/>
      <c r="J3" s="5"/>
      <c r="K3" s="5"/>
    </row>
    <row r="4" spans="1:15" customFormat="1" ht="29.25" customHeight="1">
      <c r="B4" s="13" t="s">
        <v>1</v>
      </c>
      <c r="C4" s="13"/>
      <c r="D4" s="4"/>
      <c r="E4" s="4"/>
      <c r="F4" s="4"/>
      <c r="G4" s="4"/>
      <c r="H4" s="4"/>
      <c r="I4" s="4"/>
      <c r="J4" s="4"/>
      <c r="K4" s="4"/>
      <c r="L4" s="23"/>
    </row>
    <row r="5" spans="1:15" customFormat="1" ht="29.25" customHeight="1">
      <c r="B5" s="13" t="s">
        <v>3</v>
      </c>
      <c r="C5" s="13"/>
      <c r="D5" s="11"/>
      <c r="E5" s="11"/>
      <c r="F5" s="11"/>
      <c r="G5" s="11"/>
      <c r="H5" s="11"/>
      <c r="I5" s="11"/>
      <c r="J5" s="11"/>
      <c r="K5" s="11"/>
      <c r="L5" s="23"/>
    </row>
    <row r="6" spans="1:15" customFormat="1" ht="29.25" customHeight="1">
      <c r="B6" s="10" t="s">
        <v>5</v>
      </c>
      <c r="C6" s="10"/>
      <c r="D6" s="11"/>
      <c r="E6" s="11"/>
      <c r="F6" s="11"/>
      <c r="G6" s="11"/>
      <c r="H6" s="11"/>
      <c r="I6" s="11"/>
      <c r="J6" s="11"/>
      <c r="K6" s="11"/>
      <c r="L6" s="23"/>
    </row>
    <row r="7" spans="1:15" s="24" customFormat="1" ht="29.25" customHeight="1">
      <c r="A7"/>
      <c r="B7" s="10" t="s">
        <v>7</v>
      </c>
      <c r="C7" s="10"/>
      <c r="D7" s="3"/>
      <c r="E7" s="3"/>
      <c r="F7" s="3"/>
      <c r="G7" s="3"/>
      <c r="H7" s="3"/>
      <c r="I7" s="3"/>
      <c r="J7" s="3"/>
      <c r="K7" s="3"/>
      <c r="L7" s="23"/>
      <c r="M7"/>
      <c r="N7"/>
      <c r="O7"/>
    </row>
    <row r="8" spans="1:15" s="25" customFormat="1" ht="29.25" customHeight="1">
      <c r="A8"/>
      <c r="B8" s="10" t="s">
        <v>9</v>
      </c>
      <c r="C8" s="10"/>
      <c r="D8" s="2"/>
      <c r="E8" s="2"/>
      <c r="F8" s="2"/>
      <c r="G8" s="2"/>
      <c r="H8" s="2"/>
      <c r="I8" s="2"/>
      <c r="J8" s="2"/>
      <c r="K8" s="2"/>
      <c r="L8" s="23"/>
      <c r="M8"/>
      <c r="N8"/>
      <c r="O8"/>
    </row>
    <row r="9" spans="1:15" s="25" customFormat="1" ht="29.25" customHeight="1">
      <c r="A9"/>
      <c r="B9" s="26"/>
      <c r="C9" s="27"/>
      <c r="D9" s="28"/>
      <c r="E9" s="29"/>
      <c r="F9" s="29"/>
      <c r="G9" s="29"/>
      <c r="H9" s="30"/>
      <c r="I9" s="30"/>
      <c r="J9" s="30"/>
      <c r="K9" s="31"/>
      <c r="L9" s="23"/>
      <c r="M9"/>
      <c r="N9"/>
      <c r="O9"/>
    </row>
    <row r="10" spans="1:15" s="25" customFormat="1" ht="50.25" customHeight="1">
      <c r="A10" s="24"/>
      <c r="B10" s="32" t="s">
        <v>10</v>
      </c>
      <c r="C10" s="33" t="s">
        <v>11</v>
      </c>
      <c r="D10" s="34" t="s">
        <v>12</v>
      </c>
      <c r="E10" s="35" t="s">
        <v>13</v>
      </c>
      <c r="F10" s="36" t="s">
        <v>14</v>
      </c>
      <c r="G10" s="37" t="s">
        <v>15</v>
      </c>
      <c r="H10" s="38" t="s">
        <v>16</v>
      </c>
      <c r="I10" s="39" t="s">
        <v>17</v>
      </c>
      <c r="J10" s="38" t="s">
        <v>18</v>
      </c>
      <c r="K10" s="40" t="s">
        <v>19</v>
      </c>
      <c r="L10" s="41">
        <v>0.23</v>
      </c>
      <c r="M10" s="24"/>
      <c r="N10" s="42"/>
      <c r="O10" s="24"/>
    </row>
    <row r="11" spans="1:15" s="25" customFormat="1" ht="30" customHeight="1">
      <c r="B11" s="43">
        <v>1</v>
      </c>
      <c r="C11" s="44"/>
      <c r="D11" s="44" t="s">
        <v>20</v>
      </c>
      <c r="E11" s="45" t="s">
        <v>21</v>
      </c>
      <c r="F11" s="46"/>
      <c r="G11" s="47"/>
      <c r="H11" s="48"/>
      <c r="I11" s="49"/>
      <c r="J11" s="49"/>
      <c r="K11" s="81">
        <f>SUBTOTAL(9,K12:K17)</f>
        <v>0</v>
      </c>
      <c r="L11" s="51"/>
      <c r="M11" s="52"/>
    </row>
    <row r="12" spans="1:15" s="25" customFormat="1" ht="30" customHeight="1" outlineLevel="1">
      <c r="B12" s="53"/>
      <c r="C12" s="54"/>
      <c r="D12" s="54" t="s">
        <v>23</v>
      </c>
      <c r="E12" s="55" t="s">
        <v>24</v>
      </c>
      <c r="F12" s="56"/>
      <c r="G12" s="57"/>
      <c r="H12" s="58"/>
      <c r="I12" s="59"/>
      <c r="J12" s="59"/>
      <c r="K12" s="82">
        <f>SUBTOTAL(9,K13)</f>
        <v>0</v>
      </c>
      <c r="L12" s="51"/>
      <c r="M12" s="52"/>
    </row>
    <row r="13" spans="1:15" s="25" customFormat="1" ht="30" customHeight="1" outlineLevel="1">
      <c r="B13" s="83"/>
      <c r="C13" s="84" t="s">
        <v>26</v>
      </c>
      <c r="D13" s="85" t="s">
        <v>27</v>
      </c>
      <c r="E13" s="86" t="str">
        <f>IFERROR(UPPER(IF(C13="CPU",VLOOKUP(D13,#REF!,2,0),IF(C13="SINAPI",VLOOKUP(D13,#REF!,2,0),IF(C13="EDIF",VLOOKUP(D13,#REF!,2,0),IF(C13="CDHU",VLOOKUP(D13,#REF!,2,0),IF(C13="FDE",VLOOKUP(D13,'FDE 10-23 '!$A$4:$E$3180,2,0),IF(C13="INFRA",VLOOKUP(D13,#REF!,2,0),""))))))),"")</f>
        <v>RETIRANDO A VEGETACAO, TRONCOS ATE 5CM DE DIAMETRO E RASPAGEM.</v>
      </c>
      <c r="F13" s="87" t="str">
        <f>VLOOKUP(D13,'FDE 10-23 '!$A$4:$E$3180,3,0)</f>
        <v>M2</v>
      </c>
      <c r="G13" s="88"/>
      <c r="H13" s="89">
        <f>VLOOKUP(D13,'FDE 10-23 '!$A$4:$E$3180,5,0)</f>
        <v>3.07</v>
      </c>
      <c r="I13" s="90">
        <f>$L$10</f>
        <v>0.23</v>
      </c>
      <c r="J13" s="89">
        <f>ROUND(H13*(1+I13),2)</f>
        <v>3.78</v>
      </c>
      <c r="K13" s="91">
        <f>SUM(G13*J13)</f>
        <v>0</v>
      </c>
      <c r="L13" s="51"/>
      <c r="M13" s="52"/>
    </row>
    <row r="14" spans="1:15" s="25" customFormat="1" ht="30" customHeight="1" outlineLevel="1">
      <c r="B14" s="53"/>
      <c r="C14" s="54"/>
      <c r="D14" s="54" t="s">
        <v>29</v>
      </c>
      <c r="E14" s="55" t="s">
        <v>30</v>
      </c>
      <c r="F14" s="56"/>
      <c r="G14" s="57"/>
      <c r="H14" s="58"/>
      <c r="I14" s="59"/>
      <c r="J14" s="59"/>
      <c r="K14" s="82">
        <f>SUBTOTAL(9,K15:K17)</f>
        <v>0</v>
      </c>
      <c r="L14" s="51"/>
      <c r="M14" s="52"/>
    </row>
    <row r="15" spans="1:15" s="25" customFormat="1" ht="30" customHeight="1" outlineLevel="1">
      <c r="B15" s="83"/>
      <c r="C15" s="84" t="s">
        <v>26</v>
      </c>
      <c r="D15" s="85" t="s">
        <v>32</v>
      </c>
      <c r="E15" s="86" t="str">
        <f>IFERROR(UPPER(IF(C15="CPU",VLOOKUP(D15,#REF!,2,0),IF(C15="SINAPI",VLOOKUP(D15,#REF!,2,0),IF(C15="EDIF",VLOOKUP(D15,#REF!,2,0),IF(C15="CDHU",VLOOKUP(D15,#REF!,2,0),IF(C15="FDE",VLOOKUP(D15,'FDE 10-23 '!$A$4:$E$3180,2,0),IF(C15="INFRA",VLOOKUP(D15,#REF!,2,0),""))))))),"")</f>
        <v>CORTE E ATERRO DENTRO DA OBRA COM TRANSPORTE INTERNO</v>
      </c>
      <c r="F15" s="87" t="str">
        <f>VLOOKUP(D15,'FDE 10-23 '!$A$4:$E$3180,3,0)</f>
        <v>M3</v>
      </c>
      <c r="G15" s="88"/>
      <c r="H15" s="89">
        <f>VLOOKUP(D15,'FDE 10-23 '!$A$4:$E$3180,5,0)</f>
        <v>9.0299999999999994</v>
      </c>
      <c r="I15" s="90">
        <f>$L$10</f>
        <v>0.23</v>
      </c>
      <c r="J15" s="89">
        <f>ROUND(H15*(1+I15),2)</f>
        <v>11.11</v>
      </c>
      <c r="K15" s="91">
        <f>SUM(G15*J15)</f>
        <v>0</v>
      </c>
      <c r="L15" s="51"/>
      <c r="M15" s="52"/>
    </row>
    <row r="16" spans="1:15" s="25" customFormat="1" ht="30" customHeight="1" outlineLevel="1">
      <c r="B16" s="83"/>
      <c r="C16" s="84" t="s">
        <v>26</v>
      </c>
      <c r="D16" s="85" t="s">
        <v>34</v>
      </c>
      <c r="E16" s="86" t="str">
        <f>IFERROR(UPPER(IF(C16="CPU",VLOOKUP(D16,#REF!,2,0),IF(C16="SINAPI",VLOOKUP(D16,#REF!,2,0),IF(C16="EDIF",VLOOKUP(D16,#REF!,2,0),IF(C16="CDHU",VLOOKUP(D16,#REF!,2,0),IF(C16="FDE",VLOOKUP(D16,'FDE 10-23 '!$A$4:$E$3180,2,0),IF(C16="INFRA",VLOOKUP(D16,#REF!,2,0),""))))))),"")</f>
        <v>CORTE COM RETIRADA POR CAMINHAO NOS PRIMEIROS 100 M</v>
      </c>
      <c r="F16" s="87" t="str">
        <f>VLOOKUP(D16,'FDE 10-23 '!$A$4:$E$3180,3,0)</f>
        <v>M3</v>
      </c>
      <c r="G16" s="88"/>
      <c r="H16" s="89">
        <f>VLOOKUP(D16,'FDE 10-23 '!$A$4:$E$3180,5,0)</f>
        <v>25.05</v>
      </c>
      <c r="I16" s="90">
        <f>$L$10</f>
        <v>0.23</v>
      </c>
      <c r="J16" s="89">
        <f>ROUND(H16*(1+I16),2)</f>
        <v>30.81</v>
      </c>
      <c r="K16" s="91">
        <f>SUM(G16*J16)</f>
        <v>0</v>
      </c>
      <c r="L16" s="51"/>
      <c r="M16" s="52"/>
    </row>
    <row r="17" spans="2:13" s="25" customFormat="1" ht="30" customHeight="1" outlineLevel="1">
      <c r="B17" s="83"/>
      <c r="C17" s="84" t="s">
        <v>26</v>
      </c>
      <c r="D17" s="85" t="s">
        <v>36</v>
      </c>
      <c r="E17" s="86" t="str">
        <f>IFERROR(UPPER(IF(C17="CPU",VLOOKUP(D17,#REF!,2,0),IF(C17="SINAPI",VLOOKUP(D17,#REF!,2,0),IF(C17="EDIF",VLOOKUP(D17,#REF!,2,0),IF(C17="CDHU",VLOOKUP(D17,#REF!,2,0),IF(C17="FDE",VLOOKUP(D17,'FDE 10-23 '!$A$4:$E$3180,2,0),IF(C17="INFRA",VLOOKUP(D17,#REF!,2,0),""))))))),"")</f>
        <v>TRANSPORTE POR CAMINHAO                                                 M3X</v>
      </c>
      <c r="F17" s="87" t="str">
        <f>VLOOKUP(D17,'FDE 10-23 '!$A$4:$E$3180,3,0)</f>
        <v>KM</v>
      </c>
      <c r="G17" s="88"/>
      <c r="H17" s="89">
        <f>VLOOKUP(D17,'FDE 10-23 '!$A$4:$E$3180,5,0)</f>
        <v>2.69</v>
      </c>
      <c r="I17" s="90">
        <f>$L$10</f>
        <v>0.23</v>
      </c>
      <c r="J17" s="89">
        <f>ROUND(H17*(1+I17),2)</f>
        <v>3.31</v>
      </c>
      <c r="K17" s="91">
        <f>SUM(G17*J17)</f>
        <v>0</v>
      </c>
      <c r="L17" s="51"/>
      <c r="M17" s="52"/>
    </row>
    <row r="18" spans="2:13" s="25" customFormat="1" ht="30" customHeight="1">
      <c r="B18" s="43">
        <v>2</v>
      </c>
      <c r="C18" s="44"/>
      <c r="D18" s="44" t="s">
        <v>37</v>
      </c>
      <c r="E18" s="45" t="s">
        <v>38</v>
      </c>
      <c r="F18" s="46"/>
      <c r="G18" s="47"/>
      <c r="H18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8" s="49"/>
      <c r="J18" s="49"/>
      <c r="K18" s="81">
        <f>SUBTOTAL(9,K19:K43)</f>
        <v>97651.561000000002</v>
      </c>
      <c r="L18" s="51"/>
      <c r="M18" s="52"/>
    </row>
    <row r="19" spans="2:13" s="25" customFormat="1" ht="30" customHeight="1" outlineLevel="1">
      <c r="B19" s="53"/>
      <c r="C19" s="54"/>
      <c r="D19" s="54" t="s">
        <v>40</v>
      </c>
      <c r="E19" s="55" t="s">
        <v>41</v>
      </c>
      <c r="F19" s="56"/>
      <c r="G19" s="57"/>
      <c r="H19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9" s="59"/>
      <c r="J19" s="59"/>
      <c r="K19" s="82">
        <f>SUBTOTAL(9,K20:K24)</f>
        <v>10948.634</v>
      </c>
      <c r="L19" s="51"/>
      <c r="M19" s="52"/>
    </row>
    <row r="20" spans="2:13" s="25" customFormat="1" ht="30" customHeight="1" outlineLevel="1">
      <c r="B20" s="83"/>
      <c r="C20" s="84" t="s">
        <v>26</v>
      </c>
      <c r="D20" s="85" t="s">
        <v>43</v>
      </c>
      <c r="E20" s="86" t="str">
        <f>IFERROR(UPPER(IF(C20="CPU",VLOOKUP(D20,#REF!,2,0),IF(C20="SINAPI",VLOOKUP(D20,#REF!,2,0),IF(C20="EDIF",VLOOKUP(D20,#REF!,2,0),IF(C20="CDHU",VLOOKUP(D20,#REF!,2,0),IF(C20="FDE",VLOOKUP(D20,'FDE 10-23 '!$A$4:$E$3180,2,0),IF(C20="INFRA",VLOOKUP(D20,#REF!,2,0),""))))))),"")</f>
        <v>ESCAVACAO MANUAL - PROFUNDIDADE ATE 1.80 M</v>
      </c>
      <c r="F20" s="87" t="str">
        <f>VLOOKUP(D20,'FDE 10-23 '!$A$4:$E$3180,3,0)</f>
        <v>M3</v>
      </c>
      <c r="G20" s="88">
        <v>15</v>
      </c>
      <c r="H20" s="89">
        <f>VLOOKUP(D20,'FDE 10-23 '!$A$4:$E$3180,5,0)</f>
        <v>61.58</v>
      </c>
      <c r="I20" s="90">
        <f>$L$10</f>
        <v>0.23</v>
      </c>
      <c r="J20" s="89">
        <f>ROUND(H20*(1+I20),2)</f>
        <v>75.739999999999995</v>
      </c>
      <c r="K20" s="91">
        <f>SUM(G20*J20)</f>
        <v>1136.0999999999999</v>
      </c>
      <c r="L20" s="51"/>
      <c r="M20" s="52"/>
    </row>
    <row r="21" spans="2:13" s="25" customFormat="1" ht="30" customHeight="1" outlineLevel="1">
      <c r="B21" s="83"/>
      <c r="C21" s="84" t="s">
        <v>26</v>
      </c>
      <c r="D21" s="85" t="s">
        <v>45</v>
      </c>
      <c r="E21" s="86" t="str">
        <f>IFERROR(UPPER(IF(C21="CPU",VLOOKUP(D21,#REF!,2,0),IF(C21="SINAPI",VLOOKUP(D21,#REF!,2,0),IF(C21="EDIF",VLOOKUP(D21,#REF!,2,0),IF(C21="CDHU",VLOOKUP(D21,#REF!,2,0),IF(C21="FDE",VLOOKUP(D21,'FDE 10-23 '!$A$4:$E$3180,2,0),IF(C21="INFRA",VLOOKUP(D21,#REF!,2,0),""))))))),"")</f>
        <v>APILOAMENTO PARA SIMPLES REGULARIZACAO</v>
      </c>
      <c r="F21" s="87" t="str">
        <f>VLOOKUP(D21,'FDE 10-23 '!$A$4:$E$3180,3,0)</f>
        <v>M2</v>
      </c>
      <c r="G21" s="88">
        <v>20.6</v>
      </c>
      <c r="H21" s="89">
        <f>VLOOKUP(D21,'FDE 10-23 '!$A$4:$E$3180,5,0)</f>
        <v>6.15</v>
      </c>
      <c r="I21" s="90">
        <f>$L$10</f>
        <v>0.23</v>
      </c>
      <c r="J21" s="89">
        <f>ROUND(H21*(1+I21),2)</f>
        <v>7.56</v>
      </c>
      <c r="K21" s="91">
        <f>SUM(G21*J21)</f>
        <v>155.73599999999999</v>
      </c>
      <c r="L21" s="51"/>
      <c r="M21" s="52"/>
    </row>
    <row r="22" spans="2:13" s="25" customFormat="1" ht="30" customHeight="1" outlineLevel="1">
      <c r="B22" s="83"/>
      <c r="C22" s="84" t="s">
        <v>26</v>
      </c>
      <c r="D22" s="85" t="s">
        <v>47</v>
      </c>
      <c r="E22" s="86" t="str">
        <f>IFERROR(UPPER(IF(C22="CPU",VLOOKUP(D22,#REF!,2,0),IF(C22="SINAPI",VLOOKUP(D22,#REF!,2,0),IF(C22="EDIF",VLOOKUP(D22,#REF!,2,0),IF(C22="CDHU",VLOOKUP(D22,#REF!,2,0),IF(C22="FDE",VLOOKUP(D22,'FDE 10-23 '!$A$4:$E$3180,2,0),IF(C22="INFRA",VLOOKUP(D22,#REF!,2,0),""))))))),"")</f>
        <v>LASTRO DE PEDRA BRITADA - 5CM</v>
      </c>
      <c r="F22" s="87" t="str">
        <f>VLOOKUP(D22,'FDE 10-23 '!$A$4:$E$3180,3,0)</f>
        <v>M2</v>
      </c>
      <c r="G22" s="88">
        <v>20.6</v>
      </c>
      <c r="H22" s="89">
        <f>VLOOKUP(D22,'FDE 10-23 '!$A$4:$E$3180,5,0)</f>
        <v>9.7100000000000009</v>
      </c>
      <c r="I22" s="90">
        <f>$L$10</f>
        <v>0.23</v>
      </c>
      <c r="J22" s="89">
        <f>ROUND(H22*(1+I22),2)</f>
        <v>11.94</v>
      </c>
      <c r="K22" s="91">
        <f>SUM(G22*J22)</f>
        <v>245.964</v>
      </c>
      <c r="L22" s="51"/>
      <c r="M22" s="52"/>
    </row>
    <row r="23" spans="2:13" s="25" customFormat="1" ht="30" customHeight="1" outlineLevel="1">
      <c r="B23" s="83"/>
      <c r="C23" s="84" t="s">
        <v>26</v>
      </c>
      <c r="D23" s="85" t="s">
        <v>49</v>
      </c>
      <c r="E23" s="86" t="str">
        <f>IFERROR(UPPER(IF(C23="CPU",VLOOKUP(D23,#REF!,2,0),IF(C23="SINAPI",VLOOKUP(D23,#REF!,2,0),IF(C23="EDIF",VLOOKUP(D23,#REF!,2,0),IF(C23="CDHU",VLOOKUP(D23,#REF!,2,0),IF(C23="FDE",VLOOKUP(D23,'FDE 10-23 '!$A$4:$E$3180,2,0),IF(C23="INFRA",VLOOKUP(D23,#REF!,2,0),""))))))),"")</f>
        <v>LASTRO DE CONCRETO - 5 CM</v>
      </c>
      <c r="F23" s="87" t="str">
        <f>VLOOKUP(D23,'FDE 10-23 '!$A$4:$E$3180,3,0)</f>
        <v>M2</v>
      </c>
      <c r="G23" s="88">
        <v>20.6</v>
      </c>
      <c r="H23" s="89">
        <f>VLOOKUP(D23,'FDE 10-23 '!$A$4:$E$3180,5,0)</f>
        <v>33.81</v>
      </c>
      <c r="I23" s="90">
        <f>$L$10</f>
        <v>0.23</v>
      </c>
      <c r="J23" s="89">
        <f>ROUND(H23*(1+I23),2)</f>
        <v>41.59</v>
      </c>
      <c r="K23" s="91">
        <f>SUM(G23*J23)</f>
        <v>856.75400000000013</v>
      </c>
      <c r="L23" s="51"/>
      <c r="M23" s="52"/>
    </row>
    <row r="24" spans="2:13" s="25" customFormat="1" ht="30" customHeight="1" outlineLevel="1">
      <c r="B24" s="83"/>
      <c r="C24" s="84" t="s">
        <v>26</v>
      </c>
      <c r="D24" s="85" t="s">
        <v>51</v>
      </c>
      <c r="E24" s="86" t="str">
        <f>IFERROR(UPPER(IF(C24="CPU",VLOOKUP(D24,#REF!,2,0),IF(C24="SINAPI",VLOOKUP(D24,#REF!,2,0),IF(C24="EDIF",VLOOKUP(D24,#REF!,2,0),IF(C24="CDHU",VLOOKUP(D24,#REF!,2,0),IF(C24="FDE",VLOOKUP(D24,'FDE 10-23 '!$A$4:$E$3180,2,0),IF(C24="INFRA",VLOOKUP(D24,#REF!,2,0),""))))))),"")</f>
        <v>REATERRO INTERNO APILOADO</v>
      </c>
      <c r="F24" s="87" t="str">
        <f>VLOOKUP(D24,'FDE 10-23 '!$A$4:$E$3180,3,0)</f>
        <v>M3</v>
      </c>
      <c r="G24" s="88">
        <v>150.6</v>
      </c>
      <c r="H24" s="89">
        <f>VLOOKUP(D24,'FDE 10-23 '!$A$4:$E$3180,5,0)</f>
        <v>46.18</v>
      </c>
      <c r="I24" s="90">
        <f>$L$10</f>
        <v>0.23</v>
      </c>
      <c r="J24" s="89">
        <f>ROUND(H24*(1+I24),2)</f>
        <v>56.8</v>
      </c>
      <c r="K24" s="91">
        <f>SUM(G24*J24)</f>
        <v>8554.08</v>
      </c>
      <c r="L24" s="51"/>
      <c r="M24" s="52"/>
    </row>
    <row r="25" spans="2:13" s="25" customFormat="1" ht="30" customHeight="1" outlineLevel="1">
      <c r="B25" s="53"/>
      <c r="C25" s="54"/>
      <c r="D25" s="54" t="s">
        <v>53</v>
      </c>
      <c r="E25" s="55" t="s">
        <v>54</v>
      </c>
      <c r="F25" s="56"/>
      <c r="G25" s="57"/>
      <c r="H2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5" s="59"/>
      <c r="J25" s="59"/>
      <c r="K25" s="82">
        <f>SUBTOTAL(9,K26:K31)</f>
        <v>0</v>
      </c>
      <c r="L25" s="51"/>
      <c r="M25" s="52"/>
    </row>
    <row r="26" spans="2:13" s="25" customFormat="1" ht="30" customHeight="1" outlineLevel="1">
      <c r="B26" s="83"/>
      <c r="C26" s="84" t="s">
        <v>26</v>
      </c>
      <c r="D26" s="85" t="s">
        <v>56</v>
      </c>
      <c r="E26" s="86" t="str">
        <f>IFERROR(UPPER(IF(C26="CPU",VLOOKUP(D26,#REF!,2,0),IF(C26="SINAPI",VLOOKUP(D26,#REF!,2,0),IF(C26="EDIF",VLOOKUP(D26,#REF!,2,0),IF(C26="CDHU",VLOOKUP(D26,#REF!,2,0),IF(C26="FDE",VLOOKUP(D26,'FDE 10-23 '!$A$4:$E$3180,2,0),IF(C26="INFRA",VLOOKUP(D26,#REF!,2,0),""))))))),"")</f>
        <v>ACO CA-50 (A OU B) FYK = 500 MPA</v>
      </c>
      <c r="F26" s="87" t="str">
        <f>VLOOKUP(D26,'FDE 10-23 '!$A$4:$E$3180,3,0)</f>
        <v>KG</v>
      </c>
      <c r="G26" s="88"/>
      <c r="H26" s="89">
        <f>VLOOKUP(D26,'FDE 10-23 '!$A$4:$E$3180,5,0)</f>
        <v>12.18</v>
      </c>
      <c r="I26" s="90">
        <f t="shared" ref="I26:I31" si="0">$L$10</f>
        <v>0.23</v>
      </c>
      <c r="J26" s="89">
        <f t="shared" ref="J26:J31" si="1">ROUND(H26*(1+I26),2)</f>
        <v>14.98</v>
      </c>
      <c r="K26" s="91">
        <f t="shared" ref="K26:K31" si="2">SUM(G26*J26)</f>
        <v>0</v>
      </c>
      <c r="L26" s="51"/>
      <c r="M26" s="52"/>
    </row>
    <row r="27" spans="2:13" s="25" customFormat="1" ht="30" customHeight="1" outlineLevel="1">
      <c r="B27" s="83"/>
      <c r="C27" s="84" t="s">
        <v>26</v>
      </c>
      <c r="D27" s="85" t="s">
        <v>58</v>
      </c>
      <c r="E27" s="86" t="str">
        <f>IFERROR(UPPER(IF(C27="CPU",VLOOKUP(D27,#REF!,2,0),IF(C27="SINAPI",VLOOKUP(D27,#REF!,2,0),IF(C27="EDIF",VLOOKUP(D27,#REF!,2,0),IF(C27="CDHU",VLOOKUP(D27,#REF!,2,0),IF(C27="FDE",VLOOKUP(D27,'FDE 10-23 '!$A$4:$E$3180,2,0),IF(C27="INFRA",VLOOKUP(D27,#REF!,2,0),""))))))),"")</f>
        <v>BROCA DE CONCRETO DE DIAMETRO 25CM - INCL ARRANQUES</v>
      </c>
      <c r="F27" s="87" t="str">
        <f>VLOOKUP(D27,'FDE 10-23 '!$A$4:$E$3180,3,0)</f>
        <v>M</v>
      </c>
      <c r="G27" s="88"/>
      <c r="H27" s="89">
        <f>VLOOKUP(D27,'FDE 10-23 '!$A$4:$E$3180,5,0)</f>
        <v>71.069999999999993</v>
      </c>
      <c r="I27" s="90">
        <f t="shared" si="0"/>
        <v>0.23</v>
      </c>
      <c r="J27" s="89">
        <f t="shared" si="1"/>
        <v>87.42</v>
      </c>
      <c r="K27" s="91">
        <f t="shared" si="2"/>
        <v>0</v>
      </c>
      <c r="L27" s="51"/>
      <c r="M27" s="52"/>
    </row>
    <row r="28" spans="2:13" s="25" customFormat="1" ht="30" customHeight="1" outlineLevel="1">
      <c r="B28" s="83"/>
      <c r="C28" s="84" t="s">
        <v>26</v>
      </c>
      <c r="D28" s="85" t="s">
        <v>60</v>
      </c>
      <c r="E28" s="86" t="str">
        <f>IFERROR(UPPER(IF(C28="CPU",VLOOKUP(D28,#REF!,2,0),IF(C28="SINAPI",VLOOKUP(D28,#REF!,2,0),IF(C28="EDIF",VLOOKUP(D28,#REF!,2,0),IF(C28="CDHU",VLOOKUP(D28,#REF!,2,0),IF(C28="FDE",VLOOKUP(D28,'FDE 10-23 '!$A$4:$E$3180,2,0),IF(C28="INFRA",VLOOKUP(D28,#REF!,2,0),""))))))),"")</f>
        <v>ESTACA TIPO HELICE DN 25CM</v>
      </c>
      <c r="F28" s="87" t="str">
        <f>VLOOKUP(D28,'FDE 10-23 '!$A$4:$E$3180,3,0)</f>
        <v>M</v>
      </c>
      <c r="G28" s="88"/>
      <c r="H28" s="89">
        <f>VLOOKUP(D28,'FDE 10-23 '!$A$4:$E$3180,5,0)</f>
        <v>62.61</v>
      </c>
      <c r="I28" s="90">
        <f t="shared" si="0"/>
        <v>0.23</v>
      </c>
      <c r="J28" s="89">
        <f t="shared" si="1"/>
        <v>77.010000000000005</v>
      </c>
      <c r="K28" s="91">
        <f t="shared" si="2"/>
        <v>0</v>
      </c>
      <c r="L28" s="51"/>
      <c r="M28" s="52"/>
    </row>
    <row r="29" spans="2:13" s="25" customFormat="1" ht="30" customHeight="1" outlineLevel="1">
      <c r="B29" s="83"/>
      <c r="C29" s="84" t="s">
        <v>26</v>
      </c>
      <c r="D29" s="85" t="s">
        <v>62</v>
      </c>
      <c r="E29" s="86" t="str">
        <f>IFERROR(UPPER(IF(C29="CPU",VLOOKUP(D29,#REF!,2,0),IF(C29="SINAPI",VLOOKUP(D29,#REF!,2,0),IF(C29="EDIF",VLOOKUP(D29,#REF!,2,0),IF(C29="CDHU",VLOOKUP(D29,#REF!,2,0),IF(C29="FDE",VLOOKUP(D29,'FDE 10-23 '!$A$4:$E$3180,2,0),IF(C29="INFRA",VLOOKUP(D29,#REF!,2,0),""))))))),"")</f>
        <v>ESTACA TIPO HELICE DN 30CM</v>
      </c>
      <c r="F29" s="87" t="str">
        <f>VLOOKUP(D29,'FDE 10-23 '!$A$4:$E$3180,3,0)</f>
        <v>M</v>
      </c>
      <c r="G29" s="88"/>
      <c r="H29" s="89">
        <f>VLOOKUP(D29,'FDE 10-23 '!$A$4:$E$3180,5,0)</f>
        <v>80.69</v>
      </c>
      <c r="I29" s="90">
        <f t="shared" si="0"/>
        <v>0.23</v>
      </c>
      <c r="J29" s="89">
        <f t="shared" si="1"/>
        <v>99.25</v>
      </c>
      <c r="K29" s="91">
        <f t="shared" si="2"/>
        <v>0</v>
      </c>
      <c r="L29" s="51"/>
      <c r="M29" s="52"/>
    </row>
    <row r="30" spans="2:13" s="25" customFormat="1" ht="30" customHeight="1" outlineLevel="1">
      <c r="B30" s="83"/>
      <c r="C30" s="84" t="s">
        <v>26</v>
      </c>
      <c r="D30" s="85" t="s">
        <v>64</v>
      </c>
      <c r="E30" s="86" t="str">
        <f>IFERROR(UPPER(IF(C30="CPU",VLOOKUP(D30,#REF!,2,0),IF(C30="SINAPI",VLOOKUP(D30,#REF!,2,0),IF(C30="EDIF",VLOOKUP(D30,#REF!,2,0),IF(C30="CDHU",VLOOKUP(D30,#REF!,2,0),IF(C30="FDE",VLOOKUP(D30,'FDE 10-23 '!$A$4:$E$3180,2,0),IF(C30="INFRA",VLOOKUP(D30,#REF!,2,0),""))))))),"")</f>
        <v>ESTACA TIPO HELICE DN 35CM</v>
      </c>
      <c r="F30" s="87" t="str">
        <f>VLOOKUP(D30,'FDE 10-23 '!$A$4:$E$3180,3,0)</f>
        <v>M</v>
      </c>
      <c r="G30" s="88"/>
      <c r="H30" s="89">
        <f>VLOOKUP(D30,'FDE 10-23 '!$A$4:$E$3180,5,0)</f>
        <v>101.64</v>
      </c>
      <c r="I30" s="90">
        <f t="shared" si="0"/>
        <v>0.23</v>
      </c>
      <c r="J30" s="89">
        <f t="shared" si="1"/>
        <v>125.02</v>
      </c>
      <c r="K30" s="91">
        <f t="shared" si="2"/>
        <v>0</v>
      </c>
      <c r="L30" s="51"/>
      <c r="M30" s="52"/>
    </row>
    <row r="31" spans="2:13" s="25" customFormat="1" ht="30" customHeight="1" outlineLevel="1">
      <c r="B31" s="83"/>
      <c r="C31" s="84" t="s">
        <v>26</v>
      </c>
      <c r="D31" s="85" t="s">
        <v>66</v>
      </c>
      <c r="E31" s="86" t="str">
        <f>IFERROR(UPPER(IF(C31="CPU",VLOOKUP(D31,#REF!,2,0),IF(C31="SINAPI",VLOOKUP(D31,#REF!,2,0),IF(C31="EDIF",VLOOKUP(D31,#REF!,2,0),IF(C31="CDHU",VLOOKUP(D31,#REF!,2,0),IF(C31="FDE",VLOOKUP(D31,'FDE 10-23 '!$A$4:$E$3180,2,0),IF(C31="INFRA",VLOOKUP(D31,#REF!,2,0),""))))))),"")</f>
        <v>TRANSPORTE E ATERRO INTERNO DE MATERIAL ESCAVADO DE FUNDAÇÃO-ESTACA-TUBULÃO</v>
      </c>
      <c r="F31" s="87" t="str">
        <f>VLOOKUP(D31,'FDE 10-23 '!$A$4:$E$3180,3,0)</f>
        <v>M3</v>
      </c>
      <c r="G31" s="88"/>
      <c r="H31" s="89">
        <f>VLOOKUP(D31,'FDE 10-23 '!$A$4:$E$3180,5,0)</f>
        <v>56.96</v>
      </c>
      <c r="I31" s="90">
        <f t="shared" si="0"/>
        <v>0.23</v>
      </c>
      <c r="J31" s="89">
        <f t="shared" si="1"/>
        <v>70.06</v>
      </c>
      <c r="K31" s="91">
        <f t="shared" si="2"/>
        <v>0</v>
      </c>
      <c r="L31" s="51"/>
      <c r="M31" s="52"/>
    </row>
    <row r="32" spans="2:13" s="25" customFormat="1" ht="30" customHeight="1" outlineLevel="1">
      <c r="B32" s="53"/>
      <c r="C32" s="54"/>
      <c r="D32" s="54" t="s">
        <v>68</v>
      </c>
      <c r="E32" s="55" t="s">
        <v>69</v>
      </c>
      <c r="F32" s="56"/>
      <c r="G32" s="57"/>
      <c r="H32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2" s="59"/>
      <c r="J32" s="59"/>
      <c r="K32" s="82">
        <f>SUBTOTAL(9,K33)</f>
        <v>15146.088</v>
      </c>
      <c r="L32" s="51"/>
      <c r="M32" s="52"/>
    </row>
    <row r="33" spans="2:13" s="25" customFormat="1" ht="30" customHeight="1" outlineLevel="1">
      <c r="B33" s="83"/>
      <c r="C33" s="84" t="s">
        <v>26</v>
      </c>
      <c r="D33" s="85" t="s">
        <v>71</v>
      </c>
      <c r="E33" s="86" t="str">
        <f>IFERROR(UPPER(IF(C33="CPU",VLOOKUP(D33,#REF!,2,0),IF(C33="SINAPI",VLOOKUP(D33,#REF!,2,0),IF(C33="EDIF",VLOOKUP(D33,#REF!,2,0),IF(C33="CDHU",VLOOKUP(D33,#REF!,2,0),IF(C33="FDE",VLOOKUP(D33,'FDE 10-23 '!$A$4:$E$3180,2,0),IF(C33="INFRA",VLOOKUP(D33,#REF!,2,0),""))))))),"")</f>
        <v>FORMA DE MADEIRA MACICA</v>
      </c>
      <c r="F33" s="87" t="str">
        <f>VLOOKUP(D33,'FDE 10-23 '!$A$4:$E$3180,3,0)</f>
        <v>M2</v>
      </c>
      <c r="G33" s="88">
        <v>163.6</v>
      </c>
      <c r="H33" s="89">
        <f>VLOOKUP(D33,'FDE 10-23 '!$A$4:$E$3180,5,0)</f>
        <v>75.27</v>
      </c>
      <c r="I33" s="90">
        <f>$L$10</f>
        <v>0.23</v>
      </c>
      <c r="J33" s="89">
        <f>ROUND(H33*(1+I33),2)</f>
        <v>92.58</v>
      </c>
      <c r="K33" s="91">
        <f>SUM(G33*J33)</f>
        <v>15146.088</v>
      </c>
      <c r="L33" s="51"/>
      <c r="M33" s="52"/>
    </row>
    <row r="34" spans="2:13" s="25" customFormat="1" ht="30" customHeight="1" outlineLevel="1">
      <c r="B34" s="53"/>
      <c r="C34" s="54"/>
      <c r="D34" s="54" t="s">
        <v>73</v>
      </c>
      <c r="E34" s="55" t="s">
        <v>74</v>
      </c>
      <c r="F34" s="56"/>
      <c r="G34" s="57"/>
      <c r="H34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4" s="59"/>
      <c r="J34" s="59"/>
      <c r="K34" s="82">
        <f>SUBTOTAL(9,K35:K36)</f>
        <v>9229.8080000000009</v>
      </c>
      <c r="L34" s="51"/>
      <c r="M34" s="52"/>
    </row>
    <row r="35" spans="2:13" s="25" customFormat="1" ht="30" customHeight="1" outlineLevel="1">
      <c r="B35" s="83"/>
      <c r="C35" s="84" t="s">
        <v>26</v>
      </c>
      <c r="D35" s="85" t="s">
        <v>76</v>
      </c>
      <c r="E35" s="86" t="str">
        <f>IFERROR(UPPER(IF(C35="CPU",VLOOKUP(D35,#REF!,2,0),IF(C35="SINAPI",VLOOKUP(D35,#REF!,2,0),IF(C35="EDIF",VLOOKUP(D35,#REF!,2,0),IF(C35="CDHU",VLOOKUP(D35,#REF!,2,0),IF(C35="FDE",VLOOKUP(D35,'FDE 10-23 '!$A$4:$E$3180,2,0),IF(C35="INFRA",VLOOKUP(D35,#REF!,2,0),""))))))),"")</f>
        <v>ACO CA 50 (A OU B) FYK= 500 M PA</v>
      </c>
      <c r="F35" s="87" t="str">
        <f>VLOOKUP(D35,'FDE 10-23 '!$A$4:$E$3180,3,0)</f>
        <v>KG</v>
      </c>
      <c r="G35" s="88">
        <v>520.1</v>
      </c>
      <c r="H35" s="89">
        <f>VLOOKUP(D35,'FDE 10-23 '!$A$4:$E$3180,5,0)</f>
        <v>12.18</v>
      </c>
      <c r="I35" s="90">
        <f>$L$10</f>
        <v>0.23</v>
      </c>
      <c r="J35" s="89">
        <f>ROUND(H35*(1+I35),2)</f>
        <v>14.98</v>
      </c>
      <c r="K35" s="91">
        <f>SUM(G35*J35)</f>
        <v>7791.0980000000009</v>
      </c>
      <c r="L35" s="51"/>
      <c r="M35" s="52"/>
    </row>
    <row r="36" spans="2:13" s="25" customFormat="1" ht="30" customHeight="1" outlineLevel="1">
      <c r="B36" s="83"/>
      <c r="C36" s="84" t="s">
        <v>26</v>
      </c>
      <c r="D36" s="85" t="s">
        <v>78</v>
      </c>
      <c r="E36" s="86" t="str">
        <f>IFERROR(UPPER(IF(C36="CPU",VLOOKUP(D36,#REF!,2,0),IF(C36="SINAPI",VLOOKUP(D36,#REF!,2,0),IF(C36="EDIF",VLOOKUP(D36,#REF!,2,0),IF(C36="CDHU",VLOOKUP(D36,#REF!,2,0),IF(C36="FDE",VLOOKUP(D36,'FDE 10-23 '!$A$4:$E$3180,2,0),IF(C36="INFRA",VLOOKUP(D36,#REF!,2,0),""))))))),"")</f>
        <v>ACO CA 60 (A OU B) FYK= 600 M PA</v>
      </c>
      <c r="F36" s="87" t="str">
        <f>VLOOKUP(D36,'FDE 10-23 '!$A$4:$E$3180,3,0)</f>
        <v>KG</v>
      </c>
      <c r="G36" s="88">
        <v>93</v>
      </c>
      <c r="H36" s="89">
        <f>VLOOKUP(D36,'FDE 10-23 '!$A$4:$E$3180,5,0)</f>
        <v>12.58</v>
      </c>
      <c r="I36" s="90">
        <f>$L$10</f>
        <v>0.23</v>
      </c>
      <c r="J36" s="89">
        <f>ROUND(H36*(1+I36),2)</f>
        <v>15.47</v>
      </c>
      <c r="K36" s="91">
        <f>SUM(G36*J36)</f>
        <v>1438.71</v>
      </c>
      <c r="L36" s="51"/>
      <c r="M36" s="52"/>
    </row>
    <row r="37" spans="2:13" s="25" customFormat="1" ht="30" customHeight="1" outlineLevel="1">
      <c r="B37" s="53"/>
      <c r="C37" s="54"/>
      <c r="D37" s="54" t="s">
        <v>80</v>
      </c>
      <c r="E37" s="55" t="s">
        <v>81</v>
      </c>
      <c r="F37" s="56"/>
      <c r="G37" s="57"/>
      <c r="H3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7" s="59"/>
      <c r="J37" s="59"/>
      <c r="K37" s="82">
        <f>SUBTOTAL(9,K38:K39)</f>
        <v>18225.342000000001</v>
      </c>
      <c r="L37" s="51"/>
      <c r="M37" s="52"/>
    </row>
    <row r="38" spans="2:13" s="25" customFormat="1" ht="30" customHeight="1" outlineLevel="1">
      <c r="B38" s="83"/>
      <c r="C38" s="84" t="s">
        <v>26</v>
      </c>
      <c r="D38" s="85" t="s">
        <v>83</v>
      </c>
      <c r="E38" s="86" t="str">
        <f>IFERROR(UPPER(IF(C38="CPU",VLOOKUP(D38,#REF!,2,0),IF(C38="SINAPI",VLOOKUP(D38,#REF!,2,0),IF(C38="EDIF",VLOOKUP(D38,#REF!,2,0),IF(C38="CDHU",VLOOKUP(D38,#REF!,2,0),IF(C38="FDE",VLOOKUP(D38,'FDE 10-23 '!$A$4:$E$3180,2,0),IF(C38="INFRA",VLOOKUP(D38,#REF!,2,0),""))))))),"")</f>
        <v>CONCRETO DOSADO E LANCADO FCK=25MPA</v>
      </c>
      <c r="F38" s="87" t="str">
        <f>VLOOKUP(D38,'FDE 10-23 '!$A$4:$E$3180,3,0)</f>
        <v>M3</v>
      </c>
      <c r="G38" s="88">
        <v>20.5</v>
      </c>
      <c r="H38" s="89">
        <f>VLOOKUP(D38,'FDE 10-23 '!$A$4:$E$3180,5,0)</f>
        <v>523.76</v>
      </c>
      <c r="I38" s="90">
        <f>$L$10</f>
        <v>0.23</v>
      </c>
      <c r="J38" s="89">
        <f>ROUND(H38*(1+I38),2)</f>
        <v>644.22</v>
      </c>
      <c r="K38" s="91">
        <f>SUM(G38*J38)</f>
        <v>13206.51</v>
      </c>
      <c r="L38" s="51"/>
      <c r="M38" s="52"/>
    </row>
    <row r="39" spans="2:13" s="25" customFormat="1" ht="30" customHeight="1" outlineLevel="1">
      <c r="B39" s="83"/>
      <c r="C39" s="84" t="s">
        <v>26</v>
      </c>
      <c r="D39" s="85" t="s">
        <v>85</v>
      </c>
      <c r="E39" s="86" t="str">
        <f>IFERROR(UPPER(IF(C39="CPU",VLOOKUP(D39,#REF!,2,0),IF(C39="SINAPI",VLOOKUP(D39,#REF!,2,0),IF(C39="EDIF",VLOOKUP(D39,#REF!,2,0),IF(C39="CDHU",VLOOKUP(D39,#REF!,2,0),IF(C39="FDE",VLOOKUP(D39,'FDE 10-23 '!$A$4:$E$3180,2,0),IF(C39="INFRA",VLOOKUP(D39,#REF!,2,0),""))))))),"")</f>
        <v>CONCRETO GROUT, PREPARADO NO LOCAL, LANÇADO E ADENSADO</v>
      </c>
      <c r="F39" s="87" t="str">
        <f>VLOOKUP(D39,'FDE 10-23 '!$A$4:$E$3180,3,0)</f>
        <v>M3</v>
      </c>
      <c r="G39" s="88">
        <v>8.4</v>
      </c>
      <c r="H39" s="89">
        <f>VLOOKUP(D39,'FDE 10-23 '!$A$4:$E$3180,5,0)</f>
        <v>485.76</v>
      </c>
      <c r="I39" s="90">
        <f>$L$10</f>
        <v>0.23</v>
      </c>
      <c r="J39" s="89">
        <f>ROUND(H39*(1+I39),2)</f>
        <v>597.48</v>
      </c>
      <c r="K39" s="91">
        <f>SUM(G39*J39)</f>
        <v>5018.8320000000003</v>
      </c>
      <c r="L39" s="51"/>
      <c r="M39" s="52"/>
    </row>
    <row r="40" spans="2:13" s="25" customFormat="1" ht="30" customHeight="1" outlineLevel="1">
      <c r="B40" s="53"/>
      <c r="C40" s="54"/>
      <c r="D40" s="54" t="s">
        <v>87</v>
      </c>
      <c r="E40" s="55" t="s">
        <v>88</v>
      </c>
      <c r="F40" s="56"/>
      <c r="G40" s="57"/>
      <c r="H4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0" s="59"/>
      <c r="J40" s="59"/>
      <c r="K40" s="82">
        <f>SUBTOTAL(9,K41)</f>
        <v>24210.536999999997</v>
      </c>
      <c r="L40" s="51"/>
      <c r="M40" s="52"/>
    </row>
    <row r="41" spans="2:13" s="25" customFormat="1" ht="30" customHeight="1" outlineLevel="1">
      <c r="B41" s="61"/>
      <c r="C41" s="62" t="s">
        <v>26</v>
      </c>
      <c r="D41" s="63" t="s">
        <v>90</v>
      </c>
      <c r="E41" s="64" t="str">
        <f>IFERROR(UPPER(IF(C41="CPU",VLOOKUP(D41,#REF!,2,0),IF(C41="SINAPI",VLOOKUP(D41,#REF!,2,0),IF(C41="EDIF",VLOOKUP(D41,#REF!,2,0),IF(C41="CDHU",VLOOKUP(D41,#REF!,2,0),IF(C41="FDE",VLOOKUP(D41,'FDE 10-23 '!$A$4:$E$3180,2,0),IF(C41="INFRA",VLOOKUP(D41,#REF!,2,0),""))))))),"")</f>
        <v>ALVENARIA EMBASAMENTO TIJOLO BARRO MACIÇO E = 1 TIJOLO</v>
      </c>
      <c r="F41" s="65" t="str">
        <f>VLOOKUP(D41,'FDE 10-23 '!$A$4:$E$3180,3,0)</f>
        <v>M2</v>
      </c>
      <c r="G41" s="66">
        <v>104.1</v>
      </c>
      <c r="H41" s="67">
        <f>VLOOKUP(D41,'FDE 10-23 '!$A$4:$E$3180,5,0)</f>
        <v>189.08</v>
      </c>
      <c r="I41" s="92">
        <f>$L$10</f>
        <v>0.23</v>
      </c>
      <c r="J41" s="67">
        <f>ROUND(H41*(1+I41),2)</f>
        <v>232.57</v>
      </c>
      <c r="K41" s="71">
        <f>SUM(G41*J41)</f>
        <v>24210.536999999997</v>
      </c>
      <c r="L41" s="51"/>
      <c r="M41" s="52"/>
    </row>
    <row r="42" spans="2:13" s="25" customFormat="1" ht="30" customHeight="1" outlineLevel="1">
      <c r="B42" s="53"/>
      <c r="C42" s="54"/>
      <c r="D42" s="54" t="s">
        <v>92</v>
      </c>
      <c r="E42" s="55" t="s">
        <v>93</v>
      </c>
      <c r="F42" s="56"/>
      <c r="G42" s="57"/>
      <c r="H42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2" s="59"/>
      <c r="J42" s="59"/>
      <c r="K42" s="82">
        <f>SUBTOTAL(9,K43)</f>
        <v>19891.151999999998</v>
      </c>
      <c r="L42" s="51"/>
      <c r="M42" s="52"/>
    </row>
    <row r="43" spans="2:13" s="25" customFormat="1" ht="30" customHeight="1" outlineLevel="1">
      <c r="B43" s="61"/>
      <c r="C43" s="62" t="s">
        <v>26</v>
      </c>
      <c r="D43" s="63" t="s">
        <v>95</v>
      </c>
      <c r="E43" s="64" t="str">
        <f>IFERROR(UPPER(IF(C43="CPU",VLOOKUP(D43,#REF!,2,0),IF(C43="SINAPI",VLOOKUP(D43,#REF!,2,0),IF(C43="EDIF",VLOOKUP(D43,#REF!,2,0),IF(C43="CDHU",VLOOKUP(D43,#REF!,2,0),IF(C43="FDE",VLOOKUP(D43,'FDE 10-23 '!$A$4:$E$3180,2,0),IF(C43="INFRA",VLOOKUP(D43,#REF!,2,0),""))))))),"")</f>
        <v>IMPERM RESP ALV EMBAS COM ARGAM CIM-AREIA 1:3 CONTENDO HIDROFUGO</v>
      </c>
      <c r="F43" s="65" t="str">
        <f>VLOOKUP(D43,'FDE 10-23 '!$A$4:$E$3180,3,0)</f>
        <v>M2</v>
      </c>
      <c r="G43" s="66">
        <v>338.4</v>
      </c>
      <c r="H43" s="67">
        <f>VLOOKUP(D43,'FDE 10-23 '!$A$4:$E$3180,5,0)</f>
        <v>47.79</v>
      </c>
      <c r="I43" s="92">
        <f>$L$10</f>
        <v>0.23</v>
      </c>
      <c r="J43" s="67">
        <f>ROUND(H43*(1+I43),2)</f>
        <v>58.78</v>
      </c>
      <c r="K43" s="71">
        <f>SUM(G43*J43)</f>
        <v>19891.151999999998</v>
      </c>
      <c r="L43" s="51"/>
      <c r="M43" s="52"/>
    </row>
    <row r="44" spans="2:13" s="25" customFormat="1" ht="30" customHeight="1">
      <c r="B44" s="43">
        <v>3</v>
      </c>
      <c r="C44" s="44"/>
      <c r="D44" s="44" t="s">
        <v>96</v>
      </c>
      <c r="E44" s="45" t="s">
        <v>97</v>
      </c>
      <c r="F44" s="46"/>
      <c r="G44" s="47"/>
      <c r="H44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4" s="49"/>
      <c r="J44" s="49"/>
      <c r="K44" s="81">
        <f>SUBTOTAL(9,K45:K61)</f>
        <v>3314123.1360000004</v>
      </c>
      <c r="L44" s="51"/>
      <c r="M44" s="52"/>
    </row>
    <row r="45" spans="2:13" s="25" customFormat="1" ht="30" customHeight="1" outlineLevel="1">
      <c r="B45" s="53"/>
      <c r="C45" s="54"/>
      <c r="D45" s="54" t="s">
        <v>99</v>
      </c>
      <c r="E45" s="55" t="s">
        <v>69</v>
      </c>
      <c r="F45" s="56"/>
      <c r="G45" s="57"/>
      <c r="H4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5" s="59"/>
      <c r="J45" s="59"/>
      <c r="K45" s="82">
        <f>SUBTOTAL(9,K46)</f>
        <v>1278.2979999999998</v>
      </c>
      <c r="L45" s="51"/>
      <c r="M45" s="52"/>
    </row>
    <row r="46" spans="2:13" s="25" customFormat="1" ht="30" customHeight="1" outlineLevel="1">
      <c r="B46" s="61"/>
      <c r="C46" s="62" t="s">
        <v>26</v>
      </c>
      <c r="D46" s="63" t="s">
        <v>101</v>
      </c>
      <c r="E46" s="64" t="str">
        <f>IFERROR(UPPER(IF(C46="CPU",VLOOKUP(D46,#REF!,2,0),IF(C46="SINAPI",VLOOKUP(D46,#REF!,2,0),IF(C46="EDIF",VLOOKUP(D46,#REF!,2,0),IF(C46="CDHU",VLOOKUP(D46,#REF!,2,0),IF(C46="FDE",VLOOKUP(D46,'FDE 10-23 '!$A$4:$E$3180,2,0),IF(C46="INFRA",VLOOKUP(D46,#REF!,2,0),""))))))),"")</f>
        <v>FORMAS PLANAS PLASTIFICADA PARA CONCRETO APARENTE</v>
      </c>
      <c r="F46" s="65" t="str">
        <f>VLOOKUP(D46,'FDE 10-23 '!$A$4:$E$3180,3,0)</f>
        <v>M2</v>
      </c>
      <c r="G46" s="66">
        <v>8.1999999999999993</v>
      </c>
      <c r="H46" s="67">
        <f>VLOOKUP(D46,'FDE 10-23 '!$A$4:$E$3180,5,0)</f>
        <v>126.74</v>
      </c>
      <c r="I46" s="92">
        <f>$L$10</f>
        <v>0.23</v>
      </c>
      <c r="J46" s="67">
        <f>ROUND(H46*(1+I46),2)</f>
        <v>155.88999999999999</v>
      </c>
      <c r="K46" s="71">
        <f>SUM(G46*J46)</f>
        <v>1278.2979999999998</v>
      </c>
      <c r="L46" s="51"/>
      <c r="M46" s="52"/>
    </row>
    <row r="47" spans="2:13" s="25" customFormat="1" ht="30" customHeight="1" outlineLevel="1">
      <c r="B47" s="53"/>
      <c r="C47" s="54"/>
      <c r="D47" s="54" t="s">
        <v>103</v>
      </c>
      <c r="E47" s="55" t="s">
        <v>74</v>
      </c>
      <c r="F47" s="56"/>
      <c r="G47" s="57"/>
      <c r="H4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7" s="59"/>
      <c r="J47" s="59"/>
      <c r="K47" s="82">
        <f>SUBTOTAL(9,K48:K52)</f>
        <v>255624.486</v>
      </c>
      <c r="L47" s="51"/>
      <c r="M47" s="52"/>
    </row>
    <row r="48" spans="2:13" s="25" customFormat="1" ht="30" customHeight="1" outlineLevel="1">
      <c r="B48" s="61"/>
      <c r="C48" s="62" t="s">
        <v>26</v>
      </c>
      <c r="D48" s="63" t="s">
        <v>105</v>
      </c>
      <c r="E48" s="64" t="str">
        <f>IFERROR(UPPER(IF(C48="CPU",VLOOKUP(D48,#REF!,2,0),IF(C48="SINAPI",VLOOKUP(D48,#REF!,2,0),IF(C48="EDIF",VLOOKUP(D48,#REF!,2,0),IF(C48="CDHU",VLOOKUP(D48,#REF!,2,0),IF(C48="FDE",VLOOKUP(D48,'FDE 10-23 '!$A$4:$E$3180,2,0),IF(C48="INFRA",VLOOKUP(D48,#REF!,2,0),""))))))),"")</f>
        <v>ACO CA 50 (A OU B) FYK= 500 M PA</v>
      </c>
      <c r="F48" s="65" t="str">
        <f>VLOOKUP(D48,'FDE 10-23 '!$A$4:$E$3180,3,0)</f>
        <v>KG</v>
      </c>
      <c r="G48" s="66">
        <v>4608</v>
      </c>
      <c r="H48" s="67">
        <f>VLOOKUP(D48,'FDE 10-23 '!$A$4:$E$3180,5,0)</f>
        <v>12.18</v>
      </c>
      <c r="I48" s="92">
        <f>$L$10</f>
        <v>0.23</v>
      </c>
      <c r="J48" s="67">
        <f>ROUND(H48*(1+I48),2)</f>
        <v>14.98</v>
      </c>
      <c r="K48" s="71">
        <f>SUM(G48*J48)</f>
        <v>69027.839999999997</v>
      </c>
      <c r="L48" s="51"/>
      <c r="M48" s="52"/>
    </row>
    <row r="49" spans="2:13" s="25" customFormat="1" ht="30" customHeight="1" outlineLevel="1">
      <c r="B49" s="61"/>
      <c r="C49" s="62" t="s">
        <v>26</v>
      </c>
      <c r="D49" s="63" t="s">
        <v>107</v>
      </c>
      <c r="E49" s="64" t="str">
        <f>IFERROR(UPPER(IF(C49="CPU",VLOOKUP(D49,#REF!,2,0),IF(C49="SINAPI",VLOOKUP(D49,#REF!,2,0),IF(C49="EDIF",VLOOKUP(D49,#REF!,2,0),IF(C49="CDHU",VLOOKUP(D49,#REF!,2,0),IF(C49="FDE",VLOOKUP(D49,'FDE 10-23 '!$A$4:$E$3180,2,0),IF(C49="INFRA",VLOOKUP(D49,#REF!,2,0),""))))))),"")</f>
        <v>TELA ARMADURA (MALHA ACO CA 60 FYK= 600 M PA)</v>
      </c>
      <c r="F49" s="65" t="str">
        <f>VLOOKUP(D49,'FDE 10-23 '!$A$4:$E$3180,3,0)</f>
        <v>KG</v>
      </c>
      <c r="G49" s="66">
        <v>6456</v>
      </c>
      <c r="H49" s="67">
        <f>VLOOKUP(D49,'FDE 10-23 '!$A$4:$E$3180,5,0)</f>
        <v>11.44</v>
      </c>
      <c r="I49" s="92">
        <f>$L$10</f>
        <v>0.23</v>
      </c>
      <c r="J49" s="67">
        <f>ROUND(H49*(1+I49),2)</f>
        <v>14.07</v>
      </c>
      <c r="K49" s="71">
        <f>SUM(G49*J49)</f>
        <v>90835.92</v>
      </c>
      <c r="L49" s="51"/>
      <c r="M49" s="52"/>
    </row>
    <row r="50" spans="2:13" s="25" customFormat="1" ht="30" customHeight="1" outlineLevel="1">
      <c r="B50" s="61"/>
      <c r="C50" s="62" t="s">
        <v>26</v>
      </c>
      <c r="D50" s="63" t="s">
        <v>109</v>
      </c>
      <c r="E50" s="64" t="str">
        <f>IFERROR(UPPER(IF(C50="CPU",VLOOKUP(D50,#REF!,2,0),IF(C50="SINAPI",VLOOKUP(D50,#REF!,2,0),IF(C50="EDIF",VLOOKUP(D50,#REF!,2,0),IF(C50="CDHU",VLOOKUP(D50,#REF!,2,0),IF(C50="FDE",VLOOKUP(D50,'FDE 10-23 '!$A$4:$E$3180,2,0),IF(C50="INFRA",VLOOKUP(D50,#REF!,2,0),""))))))),"")</f>
        <v>INSERTS EM CANTONEIRAS OU CHAPA AÇO A-36 P/SOLIDARIZAÇÃO DE VIGAS E PILARES</v>
      </c>
      <c r="F50" s="65" t="str">
        <f>VLOOKUP(D50,'FDE 10-23 '!$A$4:$E$3180,3,0)</f>
        <v>KG</v>
      </c>
      <c r="G50" s="66">
        <v>885.9</v>
      </c>
      <c r="H50" s="67">
        <f>VLOOKUP(D50,'FDE 10-23 '!$A$4:$E$3180,5,0)</f>
        <v>60.44</v>
      </c>
      <c r="I50" s="92">
        <f>$L$10</f>
        <v>0.23</v>
      </c>
      <c r="J50" s="67">
        <f>ROUND(H50*(1+I50),2)</f>
        <v>74.34</v>
      </c>
      <c r="K50" s="71">
        <f>SUM(G50*J50)</f>
        <v>65857.805999999997</v>
      </c>
      <c r="L50" s="51"/>
      <c r="M50" s="52"/>
    </row>
    <row r="51" spans="2:13" s="25" customFormat="1" ht="30" customHeight="1" outlineLevel="1">
      <c r="B51" s="61"/>
      <c r="C51" s="62" t="s">
        <v>26</v>
      </c>
      <c r="D51" s="63" t="s">
        <v>111</v>
      </c>
      <c r="E51" s="64" t="str">
        <f>IFERROR(UPPER(IF(C51="CPU",VLOOKUP(D51,#REF!,2,0),IF(C51="SINAPI",VLOOKUP(D51,#REF!,2,0),IF(C51="EDIF",VLOOKUP(D51,#REF!,2,0),IF(C51="CDHU",VLOOKUP(D51,#REF!,2,0),IF(C51="FDE",VLOOKUP(D51,'FDE 10-23 '!$A$4:$E$3180,2,0),IF(C51="INFRA",VLOOKUP(D51,#REF!,2,0),""))))))),"")</f>
        <v>CONJUNTO DE LUVAS E PINO ROSCAVEL DN 12,5MM P/SOLIDARIZAÇÃO DE VIGA FORNEC. E INST.</v>
      </c>
      <c r="F51" s="65" t="str">
        <f>VLOOKUP(D51,'FDE 10-23 '!$A$4:$E$3180,3,0)</f>
        <v>UN</v>
      </c>
      <c r="G51" s="66">
        <v>24</v>
      </c>
      <c r="H51" s="67">
        <f>VLOOKUP(D51,'FDE 10-23 '!$A$4:$E$3180,5,0)</f>
        <v>88.07</v>
      </c>
      <c r="I51" s="92">
        <f>$L$10</f>
        <v>0.23</v>
      </c>
      <c r="J51" s="67">
        <f>ROUND(H51*(1+I51),2)</f>
        <v>108.33</v>
      </c>
      <c r="K51" s="71">
        <f>SUM(G51*J51)</f>
        <v>2599.92</v>
      </c>
      <c r="L51" s="51"/>
      <c r="M51" s="52"/>
    </row>
    <row r="52" spans="2:13" s="25" customFormat="1" ht="30" customHeight="1" outlineLevel="1">
      <c r="B52" s="61"/>
      <c r="C52" s="62" t="s">
        <v>26</v>
      </c>
      <c r="D52" s="63" t="s">
        <v>113</v>
      </c>
      <c r="E52" s="64" t="str">
        <f>IFERROR(UPPER(IF(C52="CPU",VLOOKUP(D52,#REF!,2,0),IF(C52="SINAPI",VLOOKUP(D52,#REF!,2,0),IF(C52="EDIF",VLOOKUP(D52,#REF!,2,0),IF(C52="CDHU",VLOOKUP(D52,#REF!,2,0),IF(C52="FDE",VLOOKUP(D52,'FDE 10-23 '!$A$4:$E$3180,2,0),IF(C52="INFRA",VLOOKUP(D52,#REF!,2,0),""))))))),"")</f>
        <v>CONJUNTO DE LUVAS E PINO ROSCAVEL DN 20MM P/SOLIDARIZAÇÃO DE VIGA FORNEC. E INST.</v>
      </c>
      <c r="F52" s="65" t="str">
        <f>VLOOKUP(D52,'FDE 10-23 '!$A$4:$E$3180,3,0)</f>
        <v>UN</v>
      </c>
      <c r="G52" s="66">
        <v>150</v>
      </c>
      <c r="H52" s="67">
        <f>VLOOKUP(D52,'FDE 10-23 '!$A$4:$E$3180,5,0)</f>
        <v>147.97999999999999</v>
      </c>
      <c r="I52" s="92">
        <f>$L$10</f>
        <v>0.23</v>
      </c>
      <c r="J52" s="67">
        <f>ROUND(H52*(1+I52),2)</f>
        <v>182.02</v>
      </c>
      <c r="K52" s="71">
        <f>SUM(G52*J52)</f>
        <v>27303</v>
      </c>
      <c r="L52" s="51"/>
      <c r="M52" s="52"/>
    </row>
    <row r="53" spans="2:13" s="25" customFormat="1" ht="30" customHeight="1" outlineLevel="1">
      <c r="B53" s="53"/>
      <c r="C53" s="54"/>
      <c r="D53" s="54" t="s">
        <v>115</v>
      </c>
      <c r="E53" s="55" t="s">
        <v>81</v>
      </c>
      <c r="F53" s="56"/>
      <c r="G53" s="57"/>
      <c r="H53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53" s="59"/>
      <c r="J53" s="59"/>
      <c r="K53" s="82">
        <f>SUBTOTAL(9,K54:K59)</f>
        <v>2900403.7119999998</v>
      </c>
      <c r="L53" s="51"/>
      <c r="M53" s="52"/>
    </row>
    <row r="54" spans="2:13" s="25" customFormat="1" ht="30" customHeight="1" outlineLevel="1">
      <c r="B54" s="61"/>
      <c r="C54" s="62" t="s">
        <v>26</v>
      </c>
      <c r="D54" s="63" t="s">
        <v>117</v>
      </c>
      <c r="E54" s="64" t="str">
        <f>IFERROR(UPPER(IF(C54="CPU",VLOOKUP(D54,#REF!,2,0),IF(C54="SINAPI",VLOOKUP(D54,#REF!,2,0),IF(C54="EDIF",VLOOKUP(D54,#REF!,2,0),IF(C54="CDHU",VLOOKUP(D54,#REF!,2,0),IF(C54="FDE",VLOOKUP(D54,'FDE 10-23 '!$A$4:$E$3180,2,0),IF(C54="INFRA",VLOOKUP(D54,#REF!,2,0),""))))))),"")</f>
        <v>CONCRETO DOSADO,BOMBEADO E LANCADO FCK 25 MPA</v>
      </c>
      <c r="F54" s="65" t="str">
        <f>VLOOKUP(D54,'FDE 10-23 '!$A$4:$E$3180,3,0)</f>
        <v>M3</v>
      </c>
      <c r="G54" s="66">
        <v>37.799999999999997</v>
      </c>
      <c r="H54" s="67">
        <f>VLOOKUP(D54,'FDE 10-23 '!$A$4:$E$3180,5,0)</f>
        <v>563.26</v>
      </c>
      <c r="I54" s="92">
        <f t="shared" ref="I54:I59" si="3">$L$10</f>
        <v>0.23</v>
      </c>
      <c r="J54" s="67">
        <f t="shared" ref="J54:J59" si="4">ROUND(H54*(1+I54),2)</f>
        <v>692.81</v>
      </c>
      <c r="K54" s="71">
        <f t="shared" ref="K54:K59" si="5">SUM(G54*J54)</f>
        <v>26188.217999999997</v>
      </c>
      <c r="L54" s="51"/>
      <c r="M54" s="52"/>
    </row>
    <row r="55" spans="2:13" s="25" customFormat="1" ht="30" customHeight="1" outlineLevel="1">
      <c r="B55" s="61"/>
      <c r="C55" s="62" t="s">
        <v>26</v>
      </c>
      <c r="D55" s="63" t="s">
        <v>119</v>
      </c>
      <c r="E55" s="64" t="str">
        <f>IFERROR(UPPER(IF(C55="CPU",VLOOKUP(D55,#REF!,2,0),IF(C55="SINAPI",VLOOKUP(D55,#REF!,2,0),IF(C55="EDIF",VLOOKUP(D55,#REF!,2,0),IF(C55="CDHU",VLOOKUP(D55,#REF!,2,0),IF(C55="FDE",VLOOKUP(D55,'FDE 10-23 '!$A$4:$E$3180,2,0),IF(C55="INFRA",VLOOKUP(D55,#REF!,2,0),""))))))),"")</f>
        <v>LAJE PRE-FABRICADA PAINEL ALVEOLAR CONCRETO PROTENDIDO H15-100KGF/M2</v>
      </c>
      <c r="F55" s="65" t="str">
        <f>VLOOKUP(D55,'FDE 10-23 '!$A$4:$E$3180,3,0)</f>
        <v>M2</v>
      </c>
      <c r="G55" s="66">
        <v>1360.8</v>
      </c>
      <c r="H55" s="67">
        <f>VLOOKUP(D55,'FDE 10-23 '!$A$4:$E$3180,5,0)</f>
        <v>303.82</v>
      </c>
      <c r="I55" s="92">
        <f t="shared" si="3"/>
        <v>0.23</v>
      </c>
      <c r="J55" s="67">
        <f t="shared" si="4"/>
        <v>373.7</v>
      </c>
      <c r="K55" s="71">
        <f t="shared" si="5"/>
        <v>508530.95999999996</v>
      </c>
      <c r="L55" s="51"/>
      <c r="M55" s="52"/>
    </row>
    <row r="56" spans="2:13" s="25" customFormat="1" ht="30" customHeight="1" outlineLevel="1">
      <c r="B56" s="61"/>
      <c r="C56" s="62" t="s">
        <v>26</v>
      </c>
      <c r="D56" s="63" t="s">
        <v>121</v>
      </c>
      <c r="E56" s="64" t="str">
        <f>IFERROR(UPPER(IF(C56="CPU",VLOOKUP(D56,#REF!,2,0),IF(C56="SINAPI",VLOOKUP(D56,#REF!,2,0),IF(C56="EDIF",VLOOKUP(D56,#REF!,2,0),IF(C56="CDHU",VLOOKUP(D56,#REF!,2,0),IF(C56="FDE",VLOOKUP(D56,'FDE 10-23 '!$A$4:$E$3180,2,0),IF(C56="INFRA",VLOOKUP(D56,#REF!,2,0),""))))))),"")</f>
        <v>LAJE PRE-FABRICADA PAINEL ALVEOLAR CONCRETO PROTENDIDO H15-300KGF/M2</v>
      </c>
      <c r="F56" s="65" t="str">
        <f>VLOOKUP(D56,'FDE 10-23 '!$A$4:$E$3180,3,0)</f>
        <v>M2</v>
      </c>
      <c r="G56" s="66">
        <v>794</v>
      </c>
      <c r="H56" s="67">
        <f>VLOOKUP(D56,'FDE 10-23 '!$A$4:$E$3180,5,0)</f>
        <v>301.29000000000002</v>
      </c>
      <c r="I56" s="92">
        <f t="shared" si="3"/>
        <v>0.23</v>
      </c>
      <c r="J56" s="67">
        <f t="shared" si="4"/>
        <v>370.59</v>
      </c>
      <c r="K56" s="71">
        <f t="shared" si="5"/>
        <v>294248.45999999996</v>
      </c>
      <c r="L56" s="51"/>
      <c r="M56" s="52"/>
    </row>
    <row r="57" spans="2:13" s="25" customFormat="1" ht="30" customHeight="1" outlineLevel="1">
      <c r="B57" s="61"/>
      <c r="C57" s="62" t="s">
        <v>26</v>
      </c>
      <c r="D57" s="63" t="s">
        <v>123</v>
      </c>
      <c r="E57" s="64" t="str">
        <f>IFERROR(UPPER(IF(C57="CPU",VLOOKUP(D57,#REF!,2,0),IF(C57="SINAPI",VLOOKUP(D57,#REF!,2,0),IF(C57="EDIF",VLOOKUP(D57,#REF!,2,0),IF(C57="CDHU",VLOOKUP(D57,#REF!,2,0),IF(C57="FDE",VLOOKUP(D57,'FDE 10-23 '!$A$4:$E$3180,2,0),IF(C57="INFRA",VLOOKUP(D57,#REF!,2,0),""))))))),"")</f>
        <v>LAJE PRE-FABRICADA PAINEL ALVEOLAR CONCRETO PROTENDIDO H15-500KGF/M2</v>
      </c>
      <c r="F57" s="65" t="str">
        <f>VLOOKUP(D57,'FDE 10-23 '!$A$4:$E$3180,3,0)</f>
        <v>M2</v>
      </c>
      <c r="G57" s="66">
        <v>290.2</v>
      </c>
      <c r="H57" s="67">
        <f>VLOOKUP(D57,'FDE 10-23 '!$A$4:$E$3180,5,0)</f>
        <v>307.3</v>
      </c>
      <c r="I57" s="92">
        <f t="shared" si="3"/>
        <v>0.23</v>
      </c>
      <c r="J57" s="67">
        <f t="shared" si="4"/>
        <v>377.98</v>
      </c>
      <c r="K57" s="71">
        <f t="shared" si="5"/>
        <v>109689.796</v>
      </c>
      <c r="L57" s="51"/>
      <c r="M57" s="52"/>
    </row>
    <row r="58" spans="2:13" s="25" customFormat="1" ht="30" customHeight="1" outlineLevel="1">
      <c r="B58" s="61"/>
      <c r="C58" s="62" t="s">
        <v>26</v>
      </c>
      <c r="D58" s="63" t="s">
        <v>125</v>
      </c>
      <c r="E58" s="64" t="str">
        <f>IFERROR(UPPER(IF(C58="CPU",VLOOKUP(D58,#REF!,2,0),IF(C58="SINAPI",VLOOKUP(D58,#REF!,2,0),IF(C58="EDIF",VLOOKUP(D58,#REF!,2,0),IF(C58="CDHU",VLOOKUP(D58,#REF!,2,0),IF(C58="FDE",VLOOKUP(D58,'FDE 10-23 '!$A$4:$E$3180,2,0),IF(C58="INFRA",VLOOKUP(D58,#REF!,2,0),""))))))),"")</f>
        <v>FORNEC. E MONTAGEM DE VIGA PROTENDIDA PRÉ-MOLDADA DE CONCRETO</v>
      </c>
      <c r="F58" s="65" t="str">
        <f>VLOOKUP(D58,'FDE 10-23 '!$A$4:$E$3180,3,0)</f>
        <v>M3</v>
      </c>
      <c r="G58" s="66">
        <v>72.2</v>
      </c>
      <c r="H58" s="67">
        <f>VLOOKUP(D58,'FDE 10-23 '!$A$4:$E$3180,5,0)</f>
        <v>6119.1</v>
      </c>
      <c r="I58" s="92">
        <f t="shared" si="3"/>
        <v>0.23</v>
      </c>
      <c r="J58" s="67">
        <f t="shared" si="4"/>
        <v>7526.49</v>
      </c>
      <c r="K58" s="71">
        <f t="shared" si="5"/>
        <v>543412.57799999998</v>
      </c>
      <c r="L58" s="51"/>
      <c r="M58" s="52"/>
    </row>
    <row r="59" spans="2:13" s="25" customFormat="1" ht="30" customHeight="1" outlineLevel="1">
      <c r="B59" s="61"/>
      <c r="C59" s="62" t="s">
        <v>26</v>
      </c>
      <c r="D59" s="63" t="s">
        <v>127</v>
      </c>
      <c r="E59" s="64" t="str">
        <f>IFERROR(UPPER(IF(C59="CPU",VLOOKUP(D59,#REF!,2,0),IF(C59="SINAPI",VLOOKUP(D59,#REF!,2,0),IF(C59="EDIF",VLOOKUP(D59,#REF!,2,0),IF(C59="CDHU",VLOOKUP(D59,#REF!,2,0),IF(C59="FDE",VLOOKUP(D59,'FDE 10-23 '!$A$4:$E$3180,2,0),IF(C59="INFRA",VLOOKUP(D59,#REF!,2,0),""))))))),"")</f>
        <v>FORNECIMENTO E MONTAGEM DE ESTRUTURA PRE-MOLDADA DE CONCRETO</v>
      </c>
      <c r="F59" s="65" t="str">
        <f>VLOOKUP(D59,'FDE 10-23 '!$A$4:$E$3180,3,0)</f>
        <v>M3</v>
      </c>
      <c r="G59" s="66">
        <v>210</v>
      </c>
      <c r="H59" s="67">
        <f>VLOOKUP(D59,'FDE 10-23 '!$A$4:$E$3180,5,0)</f>
        <v>5491.03</v>
      </c>
      <c r="I59" s="92">
        <f t="shared" si="3"/>
        <v>0.23</v>
      </c>
      <c r="J59" s="67">
        <f t="shared" si="4"/>
        <v>6753.97</v>
      </c>
      <c r="K59" s="71">
        <f t="shared" si="5"/>
        <v>1418333.7</v>
      </c>
      <c r="L59" s="51"/>
      <c r="M59" s="52"/>
    </row>
    <row r="60" spans="2:13" s="25" customFormat="1" ht="30" customHeight="1" outlineLevel="1">
      <c r="B60" s="53"/>
      <c r="C60" s="54"/>
      <c r="D60" s="54" t="s">
        <v>129</v>
      </c>
      <c r="E60" s="55" t="s">
        <v>1147</v>
      </c>
      <c r="F60" s="56" t="str">
        <f>IFERROR(UPPER(IF(C60="CPU",VLOOKUP(D60,#REF!,3,0),IF(C60="SINAPI",VLOOKUP(D60,#REF!,3,0),IF(C60="EDIF",VLOOKUP(D60,#REF!,3,0),IF(C60="CDHU",VLOOKUP(D60,#REF!,3,0),IF(C60="FDE",VLOOKUP(D60,#REF!,3,0),IF(C60="INFRA",VLOOKUP(D60,#REF!,3,0),""))))))),"")</f>
        <v/>
      </c>
      <c r="G60" s="57"/>
      <c r="H6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60" s="59"/>
      <c r="J60" s="59"/>
      <c r="K60" s="82">
        <f>SUBTOTAL(9,K61)</f>
        <v>156816.64000000001</v>
      </c>
      <c r="L60" s="51"/>
      <c r="M60" s="52"/>
    </row>
    <row r="61" spans="2:13" s="25" customFormat="1" ht="30" customHeight="1" outlineLevel="1">
      <c r="B61" s="61"/>
      <c r="C61" s="62" t="s">
        <v>26</v>
      </c>
      <c r="D61" s="63" t="s">
        <v>132</v>
      </c>
      <c r="E61" s="64" t="str">
        <f>IFERROR(UPPER(IF(C61="CPU",VLOOKUP(D61,#REF!,2,0),IF(C61="SINAPI",VLOOKUP(D61,#REF!,2,0),IF(C61="EDIF",VLOOKUP(D61,#REF!,2,0),IF(C61="CDHU",VLOOKUP(D61,#REF!,2,0),IF(C61="FDE",VLOOKUP(D61,'FDE 10-23 '!$A$4:$E$3180,2,0),IF(C61="INFRA",VLOOKUP(D61,#REF!,2,0),""))))))),"")</f>
        <v>FORNECIMENTO E MONTAGEM DE ESTRUTURA METALICA COM AÇO NAO PATINAVE (ASTM A36/A570)</v>
      </c>
      <c r="F61" s="65" t="str">
        <f>VLOOKUP(D61,'FDE 10-23 '!$A$4:$E$3180,3,0)</f>
        <v>KG</v>
      </c>
      <c r="G61" s="66">
        <v>4852</v>
      </c>
      <c r="H61" s="67">
        <f>VLOOKUP(D61,'FDE 10-23 '!$A$4:$E$3180,5,0)</f>
        <v>26.28</v>
      </c>
      <c r="I61" s="92">
        <f>$L$10</f>
        <v>0.23</v>
      </c>
      <c r="J61" s="67">
        <f>ROUND(H61*(1+I61),2)</f>
        <v>32.32</v>
      </c>
      <c r="K61" s="71">
        <f>SUM(G61*J61)</f>
        <v>156816.64000000001</v>
      </c>
      <c r="L61" s="51"/>
      <c r="M61" s="52"/>
    </row>
    <row r="62" spans="2:13" s="25" customFormat="1" ht="30" customHeight="1">
      <c r="B62" s="43">
        <v>4</v>
      </c>
      <c r="C62" s="44"/>
      <c r="D62" s="44" t="s">
        <v>133</v>
      </c>
      <c r="E62" s="45" t="s">
        <v>1148</v>
      </c>
      <c r="F62" s="46" t="str">
        <f>IFERROR(UPPER(IF(C62="CPU",VLOOKUP(D62,#REF!,3,0),IF(C62="SINAPI",VLOOKUP(D62,#REF!,3,0),IF(C62="EDIF",VLOOKUP(D62,#REF!,3,0),IF(C62="CDHU",VLOOKUP(D62,#REF!,3,0),IF(C62="FDE",VLOOKUP(D62,#REF!,3,0),IF(C62="INFRA",VLOOKUP(D62,#REF!,3,0),""))))))),"")</f>
        <v/>
      </c>
      <c r="G62" s="47"/>
      <c r="H62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62" s="49"/>
      <c r="J62" s="49"/>
      <c r="K62" s="81">
        <f>SUBTOTAL(9,K63:K75)</f>
        <v>289471.52030000003</v>
      </c>
      <c r="L62" s="51"/>
      <c r="M62" s="52"/>
    </row>
    <row r="63" spans="2:13" s="25" customFormat="1" ht="30" customHeight="1" outlineLevel="1">
      <c r="B63" s="53"/>
      <c r="C63" s="54"/>
      <c r="D63" s="54" t="s">
        <v>136</v>
      </c>
      <c r="E63" s="55" t="s">
        <v>137</v>
      </c>
      <c r="F63" s="56" t="str">
        <f>IFERROR(UPPER(IF(C63="CPU",VLOOKUP(D63,#REF!,3,0),IF(C63="SINAPI",VLOOKUP(D63,#REF!,3,0),IF(C63="EDIF",VLOOKUP(D63,#REF!,3,0),IF(C63="CDHU",VLOOKUP(D63,#REF!,3,0),IF(C63="FDE",VLOOKUP(D63,#REF!,3,0),IF(C63="INFRA",VLOOKUP(D63,#REF!,3,0),""))))))),"")</f>
        <v/>
      </c>
      <c r="G63" s="57"/>
      <c r="H63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63" s="59"/>
      <c r="J63" s="59"/>
      <c r="K63" s="82">
        <f>SUBTOTAL(9,K64:K69)</f>
        <v>248071.20529999997</v>
      </c>
      <c r="L63" s="51"/>
      <c r="M63" s="52"/>
    </row>
    <row r="64" spans="2:13" s="25" customFormat="1" ht="30" customHeight="1" outlineLevel="1">
      <c r="B64" s="61"/>
      <c r="C64" s="62" t="s">
        <v>26</v>
      </c>
      <c r="D64" s="63" t="s">
        <v>139</v>
      </c>
      <c r="E64" s="64" t="str">
        <f>IFERROR(UPPER(IF(C64="CPU",VLOOKUP(D64,#REF!,2,0),IF(C64="SINAPI",VLOOKUP(D64,#REF!,2,0),IF(C64="EDIF",VLOOKUP(D64,#REF!,2,0),IF(C64="CDHU",VLOOKUP(D64,#REF!,2,0),IF(C64="FDE",VLOOKUP(D64,'FDE 10-23 '!$A$4:$E$3180,2,0),IF(C64="INFRA",VLOOKUP(D64,#REF!,2,0),""))))))),"")</f>
        <v>ALVENARIA DE BLOCO DE CONCRETO 14X19X39 CM CLASSE C</v>
      </c>
      <c r="F64" s="65" t="str">
        <f>VLOOKUP(D64,'FDE 10-23 '!$A$4:$E$3180,3,0)</f>
        <v>M2</v>
      </c>
      <c r="G64" s="66">
        <v>268.73</v>
      </c>
      <c r="H64" s="67">
        <f>VLOOKUP(D64,'FDE 10-23 '!$A$4:$E$3180,5,0)</f>
        <v>79.31</v>
      </c>
      <c r="I64" s="92">
        <f t="shared" ref="I64:I69" si="6">$L$10</f>
        <v>0.23</v>
      </c>
      <c r="J64" s="67">
        <f t="shared" ref="J64:J69" si="7">ROUND(H64*(1+I64),2)</f>
        <v>97.55</v>
      </c>
      <c r="K64" s="71">
        <f t="shared" ref="K64:K69" si="8">SUM(G64*J64)</f>
        <v>26214.611500000003</v>
      </c>
      <c r="L64" s="51"/>
      <c r="M64" s="52"/>
    </row>
    <row r="65" spans="2:13" s="25" customFormat="1" ht="30" customHeight="1" outlineLevel="1">
      <c r="B65" s="61"/>
      <c r="C65" s="62" t="s">
        <v>26</v>
      </c>
      <c r="D65" s="63" t="s">
        <v>141</v>
      </c>
      <c r="E65" s="64" t="str">
        <f>IFERROR(UPPER(IF(C65="CPU",VLOOKUP(D65,#REF!,2,0),IF(C65="SINAPI",VLOOKUP(D65,#REF!,2,0),IF(C65="EDIF",VLOOKUP(D65,#REF!,2,0),IF(C65="CDHU",VLOOKUP(D65,#REF!,2,0),IF(C65="FDE",VLOOKUP(D65,'FDE 10-23 '!$A$4:$E$3180,2,0),IF(C65="INFRA",VLOOKUP(D65,#REF!,2,0),""))))))),"")</f>
        <v>ALVENARIA DE BLOCO DE CONCRETO 19X19X39 CM CLASSE C</v>
      </c>
      <c r="F65" s="65" t="str">
        <f>VLOOKUP(D65,'FDE 10-23 '!$A$4:$E$3180,3,0)</f>
        <v>M2</v>
      </c>
      <c r="G65" s="66">
        <v>1743.8</v>
      </c>
      <c r="H65" s="67">
        <f>VLOOKUP(D65,'FDE 10-23 '!$A$4:$E$3180,5,0)</f>
        <v>96.19</v>
      </c>
      <c r="I65" s="92">
        <f t="shared" si="6"/>
        <v>0.23</v>
      </c>
      <c r="J65" s="67">
        <f t="shared" si="7"/>
        <v>118.31</v>
      </c>
      <c r="K65" s="71">
        <f t="shared" si="8"/>
        <v>206308.978</v>
      </c>
      <c r="L65" s="51"/>
      <c r="M65" s="52"/>
    </row>
    <row r="66" spans="2:13" s="25" customFormat="1" ht="30" customHeight="1" outlineLevel="1">
      <c r="B66" s="61"/>
      <c r="C66" s="62" t="s">
        <v>26</v>
      </c>
      <c r="D66" s="63" t="s">
        <v>143</v>
      </c>
      <c r="E66" s="64" t="str">
        <f>IFERROR(UPPER(IF(C66="CPU",VLOOKUP(D66,#REF!,2,0),IF(C66="SINAPI",VLOOKUP(D66,#REF!,2,0),IF(C66="EDIF",VLOOKUP(D66,#REF!,2,0),IF(C66="CDHU",VLOOKUP(D66,#REF!,2,0),IF(C66="FDE",VLOOKUP(D66,'FDE 10-23 '!$A$4:$E$3180,2,0),IF(C66="INFRA",VLOOKUP(D66,#REF!,2,0),""))))))),"")</f>
        <v>CONCRETO GROUT, PREPARADO NO LOCAL, LANÇADO E ADENSADO</v>
      </c>
      <c r="F66" s="65" t="str">
        <f>VLOOKUP(D66,'FDE 10-23 '!$A$4:$E$3180,3,0)</f>
        <v>M3</v>
      </c>
      <c r="G66" s="66">
        <v>7</v>
      </c>
      <c r="H66" s="67">
        <f>VLOOKUP(D66,'FDE 10-23 '!$A$4:$E$3180,5,0)</f>
        <v>485.76</v>
      </c>
      <c r="I66" s="92">
        <f t="shared" si="6"/>
        <v>0.23</v>
      </c>
      <c r="J66" s="67">
        <f t="shared" si="7"/>
        <v>597.48</v>
      </c>
      <c r="K66" s="71">
        <f t="shared" si="8"/>
        <v>4182.3600000000006</v>
      </c>
      <c r="L66" s="51"/>
      <c r="M66" s="52"/>
    </row>
    <row r="67" spans="2:13" s="25" customFormat="1" ht="30" customHeight="1" outlineLevel="1">
      <c r="B67" s="61"/>
      <c r="C67" s="62" t="s">
        <v>26</v>
      </c>
      <c r="D67" s="63" t="s">
        <v>145</v>
      </c>
      <c r="E67" s="64" t="str">
        <f>IFERROR(UPPER(IF(C67="CPU",VLOOKUP(D67,#REF!,2,0),IF(C67="SINAPI",VLOOKUP(D67,#REF!,2,0),IF(C67="EDIF",VLOOKUP(D67,#REF!,2,0),IF(C67="CDHU",VLOOKUP(D67,#REF!,2,0),IF(C67="FDE",VLOOKUP(D67,'FDE 10-23 '!$A$4:$E$3180,2,0),IF(C67="INFRA",VLOOKUP(D67,#REF!,2,0),""))))))),"")</f>
        <v>ARMADURA CA 50 PARA PAREDE AUTO-PORTANTE</v>
      </c>
      <c r="F67" s="65" t="str">
        <f>VLOOKUP(D67,'FDE 10-23 '!$A$4:$E$3180,3,0)</f>
        <v>KG</v>
      </c>
      <c r="G67" s="66">
        <v>446</v>
      </c>
      <c r="H67" s="67">
        <f>VLOOKUP(D67,'FDE 10-23 '!$A$4:$E$3180,5,0)</f>
        <v>12.18</v>
      </c>
      <c r="I67" s="92">
        <f t="shared" si="6"/>
        <v>0.23</v>
      </c>
      <c r="J67" s="67">
        <f t="shared" si="7"/>
        <v>14.98</v>
      </c>
      <c r="K67" s="71">
        <f t="shared" si="8"/>
        <v>6681.08</v>
      </c>
      <c r="L67" s="51"/>
      <c r="M67" s="52"/>
    </row>
    <row r="68" spans="2:13" s="25" customFormat="1" ht="30" customHeight="1" outlineLevel="1">
      <c r="B68" s="61"/>
      <c r="C68" s="62" t="s">
        <v>26</v>
      </c>
      <c r="D68" s="63" t="s">
        <v>147</v>
      </c>
      <c r="E68" s="64" t="str">
        <f>IFERROR(UPPER(IF(C68="CPU",VLOOKUP(D68,#REF!,2,0),IF(C68="SINAPI",VLOOKUP(D68,#REF!,2,0),IF(C68="EDIF",VLOOKUP(D68,#REF!,2,0),IF(C68="CDHU",VLOOKUP(D68,#REF!,2,0),IF(C68="FDE",VLOOKUP(D68,'FDE 10-23 '!$A$4:$E$3180,2,0),IF(C68="INFRA",VLOOKUP(D68,#REF!,2,0),""))))))),"")</f>
        <v>ALVENARIA AUTO-PORTANTE: BLOCO CONCRETO ESTRUTURAL DE 19X19X19CM CLASSE B</v>
      </c>
      <c r="F68" s="65" t="str">
        <f>VLOOKUP(D68,'FDE 10-23 '!$A$4:$E$3180,3,0)</f>
        <v>M2</v>
      </c>
      <c r="G68" s="66">
        <v>16.8</v>
      </c>
      <c r="H68" s="67">
        <f>VLOOKUP(D68,'FDE 10-23 '!$A$4:$E$3180,5,0)</f>
        <v>140.87</v>
      </c>
      <c r="I68" s="92">
        <f t="shared" si="6"/>
        <v>0.23</v>
      </c>
      <c r="J68" s="67">
        <f t="shared" si="7"/>
        <v>173.27</v>
      </c>
      <c r="K68" s="71">
        <f t="shared" si="8"/>
        <v>2910.9360000000001</v>
      </c>
      <c r="L68" s="51"/>
      <c r="M68" s="52"/>
    </row>
    <row r="69" spans="2:13" s="25" customFormat="1" ht="30" customHeight="1" outlineLevel="1">
      <c r="B69" s="61"/>
      <c r="C69" s="62" t="s">
        <v>26</v>
      </c>
      <c r="D69" s="63" t="s">
        <v>149</v>
      </c>
      <c r="E69" s="64" t="str">
        <f>IFERROR(UPPER(IF(C69="CPU",VLOOKUP(D69,#REF!,2,0),IF(C69="SINAPI",VLOOKUP(D69,#REF!,2,0),IF(C69="EDIF",VLOOKUP(D69,#REF!,2,0),IF(C69="CDHU",VLOOKUP(D69,#REF!,2,0),IF(C69="FDE",VLOOKUP(D69,'FDE 10-23 '!$A$4:$E$3180,2,0),IF(C69="INFRA",VLOOKUP(D69,#REF!,2,0),""))))))),"")</f>
        <v>ALVENARIA DE CONCRETO CELULAR - BLOCOS E=10CM</v>
      </c>
      <c r="F69" s="65" t="str">
        <f>VLOOKUP(D69,'FDE 10-23 '!$A$4:$E$3180,3,0)</f>
        <v>M2</v>
      </c>
      <c r="G69" s="66">
        <v>10.73</v>
      </c>
      <c r="H69" s="67">
        <f>VLOOKUP(D69,'FDE 10-23 '!$A$4:$E$3180,5,0)</f>
        <v>134.36000000000001</v>
      </c>
      <c r="I69" s="92">
        <f t="shared" si="6"/>
        <v>0.23</v>
      </c>
      <c r="J69" s="67">
        <f t="shared" si="7"/>
        <v>165.26</v>
      </c>
      <c r="K69" s="71">
        <f t="shared" si="8"/>
        <v>1773.2398000000001</v>
      </c>
      <c r="L69" s="51"/>
      <c r="M69" s="52"/>
    </row>
    <row r="70" spans="2:13" s="25" customFormat="1" ht="30" customHeight="1" outlineLevel="1">
      <c r="B70" s="53"/>
      <c r="C70" s="54"/>
      <c r="D70" s="54" t="s">
        <v>151</v>
      </c>
      <c r="E70" s="55" t="s">
        <v>1149</v>
      </c>
      <c r="F70" s="56" t="str">
        <f>IFERROR(UPPER(IF(C70="CPU",VLOOKUP(D70,#REF!,3,0),IF(C70="SINAPI",VLOOKUP(D70,#REF!,3,0),IF(C70="EDIF",VLOOKUP(D70,#REF!,3,0),IF(C70="CDHU",VLOOKUP(D70,#REF!,3,0),IF(C70="FDE",VLOOKUP(D70,#REF!,3,0),IF(C70="INFRA",VLOOKUP(D70,#REF!,3,0),""))))))),"")</f>
        <v/>
      </c>
      <c r="G70" s="57"/>
      <c r="H7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70" s="59"/>
      <c r="J70" s="59"/>
      <c r="K70" s="82">
        <f>SUBTOTAL(9,K71:K75)</f>
        <v>41400.315000000002</v>
      </c>
      <c r="L70" s="51"/>
      <c r="M70" s="52"/>
    </row>
    <row r="71" spans="2:13" s="25" customFormat="1" ht="30" customHeight="1" outlineLevel="1">
      <c r="B71" s="61"/>
      <c r="C71" s="62" t="s">
        <v>26</v>
      </c>
      <c r="D71" s="63" t="s">
        <v>154</v>
      </c>
      <c r="E71" s="64" t="str">
        <f>IFERROR(UPPER(IF(C71="CPU",VLOOKUP(D71,#REF!,2,0),IF(C71="SINAPI",VLOOKUP(D71,#REF!,2,0),IF(C71="EDIF",VLOOKUP(D71,#REF!,2,0),IF(C71="CDHU",VLOOKUP(D71,#REF!,2,0),IF(C71="FDE",VLOOKUP(D71,'FDE 10-23 '!$A$4:$E$3180,2,0),IF(C71="INFRA",VLOOKUP(D71,#REF!,2,0),""))))))),"")</f>
        <v>DV-01 DIVISORIA DE GRANILITE - LATERAL ABERTA</v>
      </c>
      <c r="F71" s="65" t="str">
        <f>VLOOKUP(D71,'FDE 10-23 '!$A$4:$E$3180,3,0)</f>
        <v>M</v>
      </c>
      <c r="G71" s="66">
        <v>15.2</v>
      </c>
      <c r="H71" s="67">
        <f>VLOOKUP(D71,'FDE 10-23 '!$A$4:$E$3180,5,0)</f>
        <v>527.53</v>
      </c>
      <c r="I71" s="92">
        <f>$L$10</f>
        <v>0.23</v>
      </c>
      <c r="J71" s="67">
        <f>ROUND(H71*(1+I71),2)</f>
        <v>648.86</v>
      </c>
      <c r="K71" s="71">
        <f>SUM(G71*J71)</f>
        <v>9862.6720000000005</v>
      </c>
      <c r="L71" s="51"/>
      <c r="M71" s="52"/>
    </row>
    <row r="72" spans="2:13" s="25" customFormat="1" ht="30" customHeight="1" outlineLevel="1">
      <c r="B72" s="61"/>
      <c r="C72" s="62" t="s">
        <v>26</v>
      </c>
      <c r="D72" s="63" t="s">
        <v>156</v>
      </c>
      <c r="E72" s="64" t="str">
        <f>IFERROR(UPPER(IF(C72="CPU",VLOOKUP(D72,#REF!,2,0),IF(C72="SINAPI",VLOOKUP(D72,#REF!,2,0),IF(C72="EDIF",VLOOKUP(D72,#REF!,2,0),IF(C72="CDHU",VLOOKUP(D72,#REF!,2,0),IF(C72="FDE",VLOOKUP(D72,'FDE 10-23 '!$A$4:$E$3180,2,0),IF(C72="INFRA",VLOOKUP(D72,#REF!,2,0),""))))))),"")</f>
        <v>DV-02 DIVISORIA DE GRANILITE - LATERAL FECHADA</v>
      </c>
      <c r="F72" s="65" t="str">
        <f>VLOOKUP(D72,'FDE 10-23 '!$A$4:$E$3180,3,0)</f>
        <v>M</v>
      </c>
      <c r="G72" s="66">
        <v>13.8</v>
      </c>
      <c r="H72" s="67">
        <f>VLOOKUP(D72,'FDE 10-23 '!$A$4:$E$3180,5,0)</f>
        <v>527.53</v>
      </c>
      <c r="I72" s="92">
        <f>$L$10</f>
        <v>0.23</v>
      </c>
      <c r="J72" s="67">
        <f>ROUND(H72*(1+I72),2)</f>
        <v>648.86</v>
      </c>
      <c r="K72" s="71">
        <f>SUM(G72*J72)</f>
        <v>8954.268</v>
      </c>
      <c r="L72" s="51"/>
      <c r="M72" s="52"/>
    </row>
    <row r="73" spans="2:13" s="25" customFormat="1" ht="30" customHeight="1" outlineLevel="1">
      <c r="B73" s="61"/>
      <c r="C73" s="62" t="s">
        <v>26</v>
      </c>
      <c r="D73" s="63" t="s">
        <v>158</v>
      </c>
      <c r="E73" s="64" t="str">
        <f>IFERROR(UPPER(IF(C73="CPU",VLOOKUP(D73,#REF!,2,0),IF(C73="SINAPI",VLOOKUP(D73,#REF!,2,0),IF(C73="EDIF",VLOOKUP(D73,#REF!,2,0),IF(C73="CDHU",VLOOKUP(D73,#REF!,2,0),IF(C73="FDE",VLOOKUP(D73,'FDE 10-23 '!$A$4:$E$3180,2,0),IF(C73="INFRA",VLOOKUP(D73,#REF!,2,0),""))))))),"")</f>
        <v>DV-03 DIVISORIA DE GRANILITE - FRONTAL</v>
      </c>
      <c r="F73" s="65" t="str">
        <f>VLOOKUP(D73,'FDE 10-23 '!$A$4:$E$3180,3,0)</f>
        <v>M</v>
      </c>
      <c r="G73" s="66">
        <v>6.9</v>
      </c>
      <c r="H73" s="67">
        <f>VLOOKUP(D73,'FDE 10-23 '!$A$4:$E$3180,5,0)</f>
        <v>1826.33</v>
      </c>
      <c r="I73" s="92">
        <f>$L$10</f>
        <v>0.23</v>
      </c>
      <c r="J73" s="67">
        <f>ROUND(H73*(1+I73),2)</f>
        <v>2246.39</v>
      </c>
      <c r="K73" s="71">
        <f>SUM(G73*J73)</f>
        <v>15500.091</v>
      </c>
      <c r="L73" s="51"/>
      <c r="M73" s="52"/>
    </row>
    <row r="74" spans="2:13" s="25" customFormat="1" ht="30" customHeight="1" outlineLevel="1">
      <c r="B74" s="61"/>
      <c r="C74" s="62" t="s">
        <v>26</v>
      </c>
      <c r="D74" s="63" t="s">
        <v>160</v>
      </c>
      <c r="E74" s="64" t="str">
        <f>IFERROR(UPPER(IF(C74="CPU",VLOOKUP(D74,#REF!,2,0),IF(C74="SINAPI",VLOOKUP(D74,#REF!,2,0),IF(C74="EDIF",VLOOKUP(D74,#REF!,2,0),IF(C74="CDHU",VLOOKUP(D74,#REF!,2,0),IF(C74="FDE",VLOOKUP(D74,'FDE 10-23 '!$A$4:$E$3180,2,0),IF(C74="INFRA",VLOOKUP(D74,#REF!,2,0),""))))))),"")</f>
        <v>DV-04 DIVISÓRIA DE GRANILITE - ANTEPARO</v>
      </c>
      <c r="F74" s="65" t="str">
        <f>VLOOKUP(D74,'FDE 10-23 '!$A$4:$E$3180,3,0)</f>
        <v>M</v>
      </c>
      <c r="G74" s="66">
        <v>1.6</v>
      </c>
      <c r="H74" s="67">
        <f>VLOOKUP(D74,'FDE 10-23 '!$A$4:$E$3180,5,0)</f>
        <v>552.02</v>
      </c>
      <c r="I74" s="92">
        <f>$L$10</f>
        <v>0.23</v>
      </c>
      <c r="J74" s="67">
        <f>ROUND(H74*(1+I74),2)</f>
        <v>678.98</v>
      </c>
      <c r="K74" s="71">
        <f>SUM(G74*J74)</f>
        <v>1086.3680000000002</v>
      </c>
      <c r="L74" s="51"/>
      <c r="M74" s="52"/>
    </row>
    <row r="75" spans="2:13" s="25" customFormat="1" ht="30" customHeight="1" outlineLevel="1">
      <c r="B75" s="61"/>
      <c r="C75" s="62" t="s">
        <v>26</v>
      </c>
      <c r="D75" s="63" t="s">
        <v>162</v>
      </c>
      <c r="E75" s="64" t="str">
        <f>IFERROR(UPPER(IF(C75="CPU",VLOOKUP(D75,#REF!,2,0),IF(C75="SINAPI",VLOOKUP(D75,#REF!,2,0),IF(C75="EDIF",VLOOKUP(D75,#REF!,2,0),IF(C75="CDHU",VLOOKUP(D75,#REF!,2,0),IF(C75="FDE",VLOOKUP(D75,'FDE 10-23 '!$A$4:$E$3180,2,0),IF(C75="INFRA",VLOOKUP(D75,#REF!,2,0),""))))))),"")</f>
        <v>DIVISORIA CHAPA FIBRA MAD PRENS BP/PAINEL CEGO 1,20X2,11M E=35MM</v>
      </c>
      <c r="F75" s="65" t="str">
        <f>VLOOKUP(D75,'FDE 10-23 '!$A$4:$E$3180,3,0)</f>
        <v>M2</v>
      </c>
      <c r="G75" s="66">
        <v>32.4</v>
      </c>
      <c r="H75" s="67">
        <f>VLOOKUP(D75,'FDE 10-23 '!$A$4:$E$3180,5,0)</f>
        <v>150.47999999999999</v>
      </c>
      <c r="I75" s="92">
        <f>$L$10</f>
        <v>0.23</v>
      </c>
      <c r="J75" s="67">
        <f>ROUND(H75*(1+I75),2)</f>
        <v>185.09</v>
      </c>
      <c r="K75" s="71">
        <f>SUM(G75*J75)</f>
        <v>5996.9160000000002</v>
      </c>
      <c r="L75" s="51"/>
      <c r="M75" s="52"/>
    </row>
    <row r="76" spans="2:13" s="25" customFormat="1" ht="30" customHeight="1">
      <c r="B76" s="43">
        <v>5</v>
      </c>
      <c r="C76" s="44"/>
      <c r="D76" s="44" t="s">
        <v>163</v>
      </c>
      <c r="E76" s="45" t="s">
        <v>164</v>
      </c>
      <c r="F76" s="46" t="str">
        <f>IFERROR(UPPER(IF(C76="CPU",VLOOKUP(D76,#REF!,3,0),IF(C76="SINAPI",VLOOKUP(D76,#REF!,3,0),IF(C76="EDIF",VLOOKUP(D76,#REF!,3,0),IF(C76="CDHU",VLOOKUP(D76,#REF!,3,0),IF(C76="FDE",VLOOKUP(D76,#REF!,3,0),IF(C76="INFRA",VLOOKUP(D76,#REF!,3,0),""))))))),"")</f>
        <v/>
      </c>
      <c r="G76" s="47"/>
      <c r="H76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76" s="49"/>
      <c r="J76" s="49"/>
      <c r="K76" s="81">
        <f>SUBTOTAL(9,K77:K105)</f>
        <v>237171.212</v>
      </c>
      <c r="L76" s="51"/>
      <c r="M76" s="52"/>
    </row>
    <row r="77" spans="2:13" s="25" customFormat="1" ht="30" customHeight="1" outlineLevel="1">
      <c r="B77" s="53"/>
      <c r="C77" s="54"/>
      <c r="D77" s="54" t="s">
        <v>166</v>
      </c>
      <c r="E77" s="55" t="s">
        <v>167</v>
      </c>
      <c r="F77" s="56" t="str">
        <f>IFERROR(UPPER(IF(C77="CPU",VLOOKUP(D77,#REF!,3,0),IF(C77="SINAPI",VLOOKUP(D77,#REF!,3,0),IF(C77="EDIF",VLOOKUP(D77,#REF!,3,0),IF(C77="CDHU",VLOOKUP(D77,#REF!,3,0),IF(C77="FDE",VLOOKUP(D77,#REF!,3,0),IF(C77="INFRA",VLOOKUP(D77,#REF!,3,0),""))))))),"")</f>
        <v/>
      </c>
      <c r="G77" s="57"/>
      <c r="H7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77" s="59"/>
      <c r="J77" s="59"/>
      <c r="K77" s="82">
        <f>SUBTOTAL(9,K78:K84)</f>
        <v>87826.02</v>
      </c>
      <c r="L77" s="51"/>
      <c r="M77" s="52"/>
    </row>
    <row r="78" spans="2:13" s="25" customFormat="1" ht="30" customHeight="1" outlineLevel="1">
      <c r="B78" s="61"/>
      <c r="C78" s="62" t="s">
        <v>26</v>
      </c>
      <c r="D78" s="63" t="s">
        <v>169</v>
      </c>
      <c r="E78" s="64" t="str">
        <f>IFERROR(UPPER(IF(C78="CPU",VLOOKUP(D78,#REF!,2,0),IF(C78="SINAPI",VLOOKUP(D78,#REF!,2,0),IF(C78="EDIF",VLOOKUP(D78,#REF!,2,0),IF(C78="CDHU",VLOOKUP(D78,#REF!,2,0),IF(C78="FDE",VLOOKUP(D78,'FDE 10-23 '!$A$4:$E$3180,2,0),IF(C78="INFRA",VLOOKUP(D78,#REF!,2,0),""))))))),"")</f>
        <v>PM-67 PORTA DE MADEIRA MACHO/FEMEA P/ PINT. BAT. MET. L=82CM</v>
      </c>
      <c r="F78" s="65" t="str">
        <f>VLOOKUP(D78,'FDE 10-23 '!$A$4:$E$3180,3,0)</f>
        <v>UN</v>
      </c>
      <c r="G78" s="66">
        <v>2</v>
      </c>
      <c r="H78" s="67">
        <f>VLOOKUP(D78,'FDE 10-23 '!$A$4:$E$3180,5,0)</f>
        <v>2435.36</v>
      </c>
      <c r="I78" s="92">
        <f t="shared" ref="I78:I84" si="9">$L$10</f>
        <v>0.23</v>
      </c>
      <c r="J78" s="67">
        <f t="shared" ref="J78:J84" si="10">ROUND(H78*(1+I78),2)</f>
        <v>2995.49</v>
      </c>
      <c r="K78" s="71">
        <f t="shared" ref="K78:K84" si="11">SUM(G78*J78)</f>
        <v>5990.98</v>
      </c>
      <c r="L78" s="51"/>
      <c r="M78" s="52"/>
    </row>
    <row r="79" spans="2:13" s="25" customFormat="1" ht="30" customHeight="1" outlineLevel="1">
      <c r="B79" s="61"/>
      <c r="C79" s="62" t="s">
        <v>26</v>
      </c>
      <c r="D79" s="63" t="s">
        <v>171</v>
      </c>
      <c r="E79" s="64" t="str">
        <f>IFERROR(UPPER(IF(C79="CPU",VLOOKUP(D79,#REF!,2,0),IF(C79="SINAPI",VLOOKUP(D79,#REF!,2,0),IF(C79="EDIF",VLOOKUP(D79,#REF!,2,0),IF(C79="CDHU",VLOOKUP(D79,#REF!,2,0),IF(C79="FDE",VLOOKUP(D79,'FDE 10-23 '!$A$4:$E$3180,2,0),IF(C79="INFRA",VLOOKUP(D79,#REF!,2,0),""))))))),"")</f>
        <v>PM-68 PORTA DE MADEIRA MACHO/FEMEA P/ PINT. BAT. MET. L=92CM</v>
      </c>
      <c r="F79" s="65" t="str">
        <f>VLOOKUP(D79,'FDE 10-23 '!$A$4:$E$3180,3,0)</f>
        <v>UN</v>
      </c>
      <c r="G79" s="66">
        <v>14</v>
      </c>
      <c r="H79" s="67">
        <f>VLOOKUP(D79,'FDE 10-23 '!$A$4:$E$3180,5,0)</f>
        <v>2539.69</v>
      </c>
      <c r="I79" s="92">
        <f t="shared" si="9"/>
        <v>0.23</v>
      </c>
      <c r="J79" s="67">
        <f t="shared" si="10"/>
        <v>3123.82</v>
      </c>
      <c r="K79" s="71">
        <f t="shared" si="11"/>
        <v>43733.48</v>
      </c>
      <c r="L79" s="51"/>
      <c r="M79" s="52"/>
    </row>
    <row r="80" spans="2:13" s="25" customFormat="1" ht="30" customHeight="1" outlineLevel="1">
      <c r="B80" s="61"/>
      <c r="C80" s="62" t="s">
        <v>26</v>
      </c>
      <c r="D80" s="63" t="s">
        <v>173</v>
      </c>
      <c r="E80" s="64" t="str">
        <f>IFERROR(UPPER(IF(C80="CPU",VLOOKUP(D80,#REF!,2,0),IF(C80="SINAPI",VLOOKUP(D80,#REF!,2,0),IF(C80="EDIF",VLOOKUP(D80,#REF!,2,0),IF(C80="CDHU",VLOOKUP(D80,#REF!,2,0),IF(C80="FDE",VLOOKUP(D80,'FDE 10-23 '!$A$4:$E$3180,2,0),IF(C80="INFRA",VLOOKUP(D80,#REF!,2,0),""))))))),"")</f>
        <v>PORTAS PARA DIVISORIAS CHAPA FIBRA MAD PRENS BP COM FERRAGENS</v>
      </c>
      <c r="F80" s="65" t="str">
        <f>VLOOKUP(D80,'FDE 10-23 '!$A$4:$E$3180,3,0)</f>
        <v>UN</v>
      </c>
      <c r="G80" s="66">
        <v>5</v>
      </c>
      <c r="H80" s="67">
        <f>VLOOKUP(D80,'FDE 10-23 '!$A$4:$E$3180,5,0)</f>
        <v>540.78</v>
      </c>
      <c r="I80" s="92">
        <f t="shared" si="9"/>
        <v>0.23</v>
      </c>
      <c r="J80" s="67">
        <f t="shared" si="10"/>
        <v>665.16</v>
      </c>
      <c r="K80" s="71">
        <f t="shared" si="11"/>
        <v>3325.7999999999997</v>
      </c>
      <c r="L80" s="51"/>
      <c r="M80" s="52"/>
    </row>
    <row r="81" spans="2:13" s="25" customFormat="1" ht="30" customHeight="1" outlineLevel="1">
      <c r="B81" s="61"/>
      <c r="C81" s="62" t="s">
        <v>26</v>
      </c>
      <c r="D81" s="63" t="s">
        <v>175</v>
      </c>
      <c r="E81" s="64" t="str">
        <f>IFERROR(UPPER(IF(C81="CPU",VLOOKUP(D81,#REF!,2,0),IF(C81="SINAPI",VLOOKUP(D81,#REF!,2,0),IF(C81="EDIF",VLOOKUP(D81,#REF!,2,0),IF(C81="CDHU",VLOOKUP(D81,#REF!,2,0),IF(C81="FDE",VLOOKUP(D81,'FDE 10-23 '!$A$4:$E$3180,2,0),IF(C81="INFRA",VLOOKUP(D81,#REF!,2,0),""))))))),"")</f>
        <v>PM-74 PORTA SARRAFEADO MACIÇO P/BOXES L=62CM-COMPLETA</v>
      </c>
      <c r="F81" s="65" t="str">
        <f>VLOOKUP(D81,'FDE 10-23 '!$A$4:$E$3180,3,0)</f>
        <v>UN</v>
      </c>
      <c r="G81" s="66">
        <v>23</v>
      </c>
      <c r="H81" s="67">
        <f>VLOOKUP(D81,'FDE 10-23 '!$A$4:$E$3180,5,0)</f>
        <v>603.87</v>
      </c>
      <c r="I81" s="92">
        <f t="shared" si="9"/>
        <v>0.23</v>
      </c>
      <c r="J81" s="67">
        <f t="shared" si="10"/>
        <v>742.76</v>
      </c>
      <c r="K81" s="71">
        <f t="shared" si="11"/>
        <v>17083.48</v>
      </c>
      <c r="L81" s="51"/>
      <c r="M81" s="52"/>
    </row>
    <row r="82" spans="2:13" s="25" customFormat="1" ht="30" customHeight="1" outlineLevel="1">
      <c r="B82" s="61"/>
      <c r="C82" s="62" t="s">
        <v>26</v>
      </c>
      <c r="D82" s="63" t="s">
        <v>177</v>
      </c>
      <c r="E82" s="64" t="str">
        <f>IFERROR(UPPER(IF(C82="CPU",VLOOKUP(D82,#REF!,2,0),IF(C82="SINAPI",VLOOKUP(D82,#REF!,2,0),IF(C82="EDIF",VLOOKUP(D82,#REF!,2,0),IF(C82="CDHU",VLOOKUP(D82,#REF!,2,0),IF(C82="FDE",VLOOKUP(D82,'FDE 10-23 '!$A$4:$E$3180,2,0),IF(C82="INFRA",VLOOKUP(D82,#REF!,2,0),""))))))),"")</f>
        <v>PM-72 PORTA DE MADEIRA SARRAFEADA P/ PINT. BAT. MET. L=92CM</v>
      </c>
      <c r="F82" s="65" t="str">
        <f>VLOOKUP(D82,'FDE 10-23 '!$A$4:$E$3180,3,0)</f>
        <v>UN</v>
      </c>
      <c r="G82" s="66">
        <v>2</v>
      </c>
      <c r="H82" s="67">
        <f>VLOOKUP(D82,'FDE 10-23 '!$A$4:$E$3180,5,0)</f>
        <v>1935.33</v>
      </c>
      <c r="I82" s="92">
        <f t="shared" si="9"/>
        <v>0.23</v>
      </c>
      <c r="J82" s="67">
        <f t="shared" si="10"/>
        <v>2380.46</v>
      </c>
      <c r="K82" s="71">
        <f t="shared" si="11"/>
        <v>4760.92</v>
      </c>
      <c r="L82" s="51"/>
      <c r="M82" s="52"/>
    </row>
    <row r="83" spans="2:13" s="25" customFormat="1" ht="30" customHeight="1" outlineLevel="1">
      <c r="B83" s="61"/>
      <c r="C83" s="62" t="s">
        <v>26</v>
      </c>
      <c r="D83" s="63" t="s">
        <v>179</v>
      </c>
      <c r="E83" s="64" t="str">
        <f>IFERROR(UPPER(IF(C83="CPU",VLOOKUP(D83,#REF!,2,0),IF(C83="SINAPI",VLOOKUP(D83,#REF!,2,0),IF(C83="EDIF",VLOOKUP(D83,#REF!,2,0),IF(C83="CDHU",VLOOKUP(D83,#REF!,2,0),IF(C83="FDE",VLOOKUP(D83,'FDE 10-23 '!$A$4:$E$3180,2,0),IF(C83="INFRA",VLOOKUP(D83,#REF!,2,0),""))))))),"")</f>
        <v>PM-75 PORTA SARRAFEADA MACICA SANIT. ACESSIVEL BAT. MET.</v>
      </c>
      <c r="F83" s="65" t="str">
        <f>VLOOKUP(D83,'FDE 10-23 '!$A$4:$E$3180,3,0)</f>
        <v>UN</v>
      </c>
      <c r="G83" s="66">
        <v>2</v>
      </c>
      <c r="H83" s="67">
        <f>VLOOKUP(D83,'FDE 10-23 '!$A$4:$E$3180,5,0)</f>
        <v>2153.5</v>
      </c>
      <c r="I83" s="92">
        <f t="shared" si="9"/>
        <v>0.23</v>
      </c>
      <c r="J83" s="67">
        <f t="shared" si="10"/>
        <v>2648.81</v>
      </c>
      <c r="K83" s="71">
        <f t="shared" si="11"/>
        <v>5297.62</v>
      </c>
      <c r="L83" s="51"/>
      <c r="M83" s="52"/>
    </row>
    <row r="84" spans="2:13" s="25" customFormat="1" ht="30" customHeight="1" outlineLevel="1">
      <c r="B84" s="61"/>
      <c r="C84" s="62" t="s">
        <v>26</v>
      </c>
      <c r="D84" s="63" t="s">
        <v>181</v>
      </c>
      <c r="E84" s="64" t="str">
        <f>IFERROR(UPPER(IF(C84="CPU",VLOOKUP(D84,#REF!,2,0),IF(C84="SINAPI",VLOOKUP(D84,#REF!,2,0),IF(C84="EDIF",VLOOKUP(D84,#REF!,2,0),IF(C84="CDHU",VLOOKUP(D84,#REF!,2,0),IF(C84="FDE",VLOOKUP(D84,'FDE 10-23 '!$A$4:$E$3180,2,0),IF(C84="INFRA",VLOOKUP(D84,#REF!,2,0),""))))))),"")</f>
        <v>PM-83 PORTA DE CORRER ACESSIVEL SARRAFEADA MACIÇA G1-C1 P/PINTURA L=101CM</v>
      </c>
      <c r="F84" s="65" t="str">
        <f>VLOOKUP(D84,'FDE 10-23 '!$A$4:$E$3180,3,0)</f>
        <v>UN</v>
      </c>
      <c r="G84" s="66">
        <v>2</v>
      </c>
      <c r="H84" s="67">
        <f>VLOOKUP(D84,'FDE 10-23 '!$A$4:$E$3180,5,0)</f>
        <v>3103.15</v>
      </c>
      <c r="I84" s="92">
        <f t="shared" si="9"/>
        <v>0.23</v>
      </c>
      <c r="J84" s="67">
        <f t="shared" si="10"/>
        <v>3816.87</v>
      </c>
      <c r="K84" s="71">
        <f t="shared" si="11"/>
        <v>7633.74</v>
      </c>
      <c r="L84" s="51"/>
      <c r="M84" s="52"/>
    </row>
    <row r="85" spans="2:13" s="25" customFormat="1" ht="30" customHeight="1" outlineLevel="1">
      <c r="B85" s="53"/>
      <c r="C85" s="54"/>
      <c r="D85" s="54" t="s">
        <v>183</v>
      </c>
      <c r="E85" s="55" t="s">
        <v>184</v>
      </c>
      <c r="F85" s="56" t="str">
        <f>IFERROR(UPPER(IF(C85="CPU",VLOOKUP(D85,#REF!,3,0),IF(C85="SINAPI",VLOOKUP(D85,#REF!,3,0),IF(C85="EDIF",VLOOKUP(D85,#REF!,3,0),IF(C85="CDHU",VLOOKUP(D85,#REF!,3,0),IF(C85="FDE",VLOOKUP(D85,#REF!,3,0),IF(C85="INFRA",VLOOKUP(D85,#REF!,3,0),""))))))),"")</f>
        <v/>
      </c>
      <c r="G85" s="57"/>
      <c r="H8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85" s="59"/>
      <c r="J85" s="59"/>
      <c r="K85" s="82">
        <f>SUBTOTAL(9,K86:K105)</f>
        <v>149345.19200000001</v>
      </c>
      <c r="L85" s="51"/>
      <c r="M85" s="52"/>
    </row>
    <row r="86" spans="2:13" s="25" customFormat="1" ht="30" customHeight="1" outlineLevel="1">
      <c r="B86" s="61"/>
      <c r="C86" s="62" t="s">
        <v>26</v>
      </c>
      <c r="D86" s="63" t="s">
        <v>186</v>
      </c>
      <c r="E86" s="64" t="str">
        <f>IFERROR(UPPER(IF(C86="CPU",VLOOKUP(D86,#REF!,2,0),IF(C86="SINAPI",VLOOKUP(D86,#REF!,2,0),IF(C86="EDIF",VLOOKUP(D86,#REF!,2,0),IF(C86="CDHU",VLOOKUP(D86,#REF!,2,0),IF(C86="FDE",VLOOKUP(D86,'FDE 10-23 '!$A$4:$E$3180,2,0),IF(C86="INFRA",VLOOKUP(D86,#REF!,2,0),""))))))),"")</f>
        <v>BS-05 BANCADA PARA COZINHA - GRANITO POLIDO 20MM</v>
      </c>
      <c r="F86" s="65" t="str">
        <f>VLOOKUP(D86,'FDE 10-23 '!$A$4:$E$3180,3,0)</f>
        <v>M</v>
      </c>
      <c r="G86" s="66">
        <v>13.2</v>
      </c>
      <c r="H86" s="67">
        <f>VLOOKUP(D86,'FDE 10-23 '!$A$4:$E$3180,5,0)</f>
        <v>430.57</v>
      </c>
      <c r="I86" s="92">
        <f t="shared" ref="I86:I105" si="12">$L$10</f>
        <v>0.23</v>
      </c>
      <c r="J86" s="67">
        <f t="shared" ref="J86:J105" si="13">ROUND(H86*(1+I86),2)</f>
        <v>529.6</v>
      </c>
      <c r="K86" s="71">
        <f t="shared" ref="K86:K105" si="14">SUM(G86*J86)</f>
        <v>6990.72</v>
      </c>
      <c r="L86" s="51"/>
      <c r="M86" s="52"/>
    </row>
    <row r="87" spans="2:13" s="25" customFormat="1" ht="30" customHeight="1" outlineLevel="1">
      <c r="B87" s="61"/>
      <c r="C87" s="62" t="s">
        <v>26</v>
      </c>
      <c r="D87" s="63" t="s">
        <v>188</v>
      </c>
      <c r="E87" s="64" t="str">
        <f>IFERROR(UPPER(IF(C87="CPU",VLOOKUP(D87,#REF!,2,0),IF(C87="SINAPI",VLOOKUP(D87,#REF!,2,0),IF(C87="EDIF",VLOOKUP(D87,#REF!,2,0),IF(C87="CDHU",VLOOKUP(D87,#REF!,2,0),IF(C87="FDE",VLOOKUP(D87,'FDE 10-23 '!$A$4:$E$3180,2,0),IF(C87="INFRA",VLOOKUP(D87,#REF!,2,0),""))))))),"")</f>
        <v>BE-08 BANCADA ALUNOS / QUIMICA E BIOLOGIA (150CM)</v>
      </c>
      <c r="F87" s="65" t="str">
        <f>VLOOKUP(D87,'FDE 10-23 '!$A$4:$E$3180,3,0)</f>
        <v>UN</v>
      </c>
      <c r="G87" s="66">
        <v>4</v>
      </c>
      <c r="H87" s="67">
        <f>VLOOKUP(D87,'FDE 10-23 '!$A$4:$E$3180,5,0)</f>
        <v>1691.7</v>
      </c>
      <c r="I87" s="92">
        <f t="shared" si="12"/>
        <v>0.23</v>
      </c>
      <c r="J87" s="67">
        <f t="shared" si="13"/>
        <v>2080.79</v>
      </c>
      <c r="K87" s="71">
        <f t="shared" si="14"/>
        <v>8323.16</v>
      </c>
      <c r="L87" s="51"/>
      <c r="M87" s="52"/>
    </row>
    <row r="88" spans="2:13" s="25" customFormat="1" ht="30" customHeight="1" outlineLevel="1">
      <c r="B88" s="61"/>
      <c r="C88" s="62" t="s">
        <v>26</v>
      </c>
      <c r="D88" s="63" t="s">
        <v>190</v>
      </c>
      <c r="E88" s="64" t="str">
        <f>IFERROR(UPPER(IF(C88="CPU",VLOOKUP(D88,#REF!,2,0),IF(C88="SINAPI",VLOOKUP(D88,#REF!,2,0),IF(C88="EDIF",VLOOKUP(D88,#REF!,2,0),IF(C88="CDHU",VLOOKUP(D88,#REF!,2,0),IF(C88="FDE",VLOOKUP(D88,'FDE 10-23 '!$A$4:$E$3180,2,0),IF(C88="INFRA",VLOOKUP(D88,#REF!,2,0),""))))))),"")</f>
        <v>BE-09 BANCADA ALUNOS / QUIMICA E BIOLOGIA (195CM)</v>
      </c>
      <c r="F88" s="65" t="str">
        <f>VLOOKUP(D88,'FDE 10-23 '!$A$4:$E$3180,3,0)</f>
        <v>UN</v>
      </c>
      <c r="G88" s="66">
        <v>2</v>
      </c>
      <c r="H88" s="67">
        <f>VLOOKUP(D88,'FDE 10-23 '!$A$4:$E$3180,5,0)</f>
        <v>1943.14</v>
      </c>
      <c r="I88" s="92">
        <f t="shared" si="12"/>
        <v>0.23</v>
      </c>
      <c r="J88" s="67">
        <f t="shared" si="13"/>
        <v>2390.06</v>
      </c>
      <c r="K88" s="71">
        <f t="shared" si="14"/>
        <v>4780.12</v>
      </c>
      <c r="L88" s="51"/>
      <c r="M88" s="52"/>
    </row>
    <row r="89" spans="2:13" s="25" customFormat="1" ht="30" customHeight="1" outlineLevel="1">
      <c r="B89" s="61"/>
      <c r="C89" s="62" t="s">
        <v>26</v>
      </c>
      <c r="D89" s="63" t="s">
        <v>192</v>
      </c>
      <c r="E89" s="64" t="str">
        <f>IFERROR(UPPER(IF(C89="CPU",VLOOKUP(D89,#REF!,2,0),IF(C89="SINAPI",VLOOKUP(D89,#REF!,2,0),IF(C89="EDIF",VLOOKUP(D89,#REF!,2,0),IF(C89="CDHU",VLOOKUP(D89,#REF!,2,0),IF(C89="FDE",VLOOKUP(D89,'FDE 10-23 '!$A$4:$E$3180,2,0),IF(C89="INFRA",VLOOKUP(D89,#REF!,2,0),""))))))),"")</f>
        <v>BE-10 BANCADA ALUNOS / MATEMATICA E FISICA (280CM)</v>
      </c>
      <c r="F89" s="65" t="str">
        <f>VLOOKUP(D89,'FDE 10-23 '!$A$4:$E$3180,3,0)</f>
        <v>UN</v>
      </c>
      <c r="G89" s="66">
        <v>4</v>
      </c>
      <c r="H89" s="67">
        <f>VLOOKUP(D89,'FDE 10-23 '!$A$4:$E$3180,5,0)</f>
        <v>3028.7</v>
      </c>
      <c r="I89" s="92">
        <f t="shared" si="12"/>
        <v>0.23</v>
      </c>
      <c r="J89" s="67">
        <f t="shared" si="13"/>
        <v>3725.3</v>
      </c>
      <c r="K89" s="71">
        <f t="shared" si="14"/>
        <v>14901.2</v>
      </c>
      <c r="L89" s="51"/>
      <c r="M89" s="52"/>
    </row>
    <row r="90" spans="2:13" s="25" customFormat="1" ht="30" customHeight="1" outlineLevel="1">
      <c r="B90" s="61"/>
      <c r="C90" s="62" t="s">
        <v>26</v>
      </c>
      <c r="D90" s="63" t="s">
        <v>194</v>
      </c>
      <c r="E90" s="64" t="str">
        <f>IFERROR(UPPER(IF(C90="CPU",VLOOKUP(D90,#REF!,2,0),IF(C90="SINAPI",VLOOKUP(D90,#REF!,2,0),IF(C90="EDIF",VLOOKUP(D90,#REF!,2,0),IF(C90="CDHU",VLOOKUP(D90,#REF!,2,0),IF(C90="FDE",VLOOKUP(D90,'FDE 10-23 '!$A$4:$E$3180,2,0),IF(C90="INFRA",VLOOKUP(D90,#REF!,2,0),""))))))),"")</f>
        <v>BE-14 BANCADA APOIO PARA CAPELA</v>
      </c>
      <c r="F90" s="65" t="str">
        <f>VLOOKUP(D90,'FDE 10-23 '!$A$4:$E$3180,3,0)</f>
        <v>UN</v>
      </c>
      <c r="G90" s="66">
        <v>1</v>
      </c>
      <c r="H90" s="67">
        <f>VLOOKUP(D90,'FDE 10-23 '!$A$4:$E$3180,5,0)</f>
        <v>914.29</v>
      </c>
      <c r="I90" s="92">
        <f t="shared" si="12"/>
        <v>0.23</v>
      </c>
      <c r="J90" s="67">
        <f t="shared" si="13"/>
        <v>1124.58</v>
      </c>
      <c r="K90" s="71">
        <f t="shared" si="14"/>
        <v>1124.58</v>
      </c>
      <c r="L90" s="51"/>
      <c r="M90" s="52"/>
    </row>
    <row r="91" spans="2:13" s="25" customFormat="1" ht="30" customHeight="1" outlineLevel="1">
      <c r="B91" s="61"/>
      <c r="C91" s="62" t="s">
        <v>26</v>
      </c>
      <c r="D91" s="63" t="s">
        <v>196</v>
      </c>
      <c r="E91" s="64" t="str">
        <f>IFERROR(UPPER(IF(C91="CPU",VLOOKUP(D91,#REF!,2,0),IF(C91="SINAPI",VLOOKUP(D91,#REF!,2,0),IF(C91="EDIF",VLOOKUP(D91,#REF!,2,0),IF(C91="CDHU",VLOOKUP(D91,#REF!,2,0),IF(C91="FDE",VLOOKUP(D91,'FDE 10-23 '!$A$4:$E$3180,2,0),IF(C91="INFRA",VLOOKUP(D91,#REF!,2,0),""))))))),"")</f>
        <v>BE-15 BANCADA LABORATORIO COM PRATELEIRA</v>
      </c>
      <c r="F91" s="65" t="str">
        <f>VLOOKUP(D91,'FDE 10-23 '!$A$4:$E$3180,3,0)</f>
        <v>M</v>
      </c>
      <c r="G91" s="66">
        <v>12.7</v>
      </c>
      <c r="H91" s="67">
        <f>VLOOKUP(D91,'FDE 10-23 '!$A$4:$E$3180,5,0)</f>
        <v>1526.22</v>
      </c>
      <c r="I91" s="92">
        <f t="shared" si="12"/>
        <v>0.23</v>
      </c>
      <c r="J91" s="67">
        <f t="shared" si="13"/>
        <v>1877.25</v>
      </c>
      <c r="K91" s="71">
        <f t="shared" si="14"/>
        <v>23841.074999999997</v>
      </c>
      <c r="L91" s="51"/>
      <c r="M91" s="52"/>
    </row>
    <row r="92" spans="2:13" s="25" customFormat="1" ht="30" customHeight="1" outlineLevel="1">
      <c r="B92" s="61"/>
      <c r="C92" s="62" t="s">
        <v>26</v>
      </c>
      <c r="D92" s="63" t="s">
        <v>198</v>
      </c>
      <c r="E92" s="64" t="str">
        <f>IFERROR(UPPER(IF(C92="CPU",VLOOKUP(D92,#REF!,2,0),IF(C92="SINAPI",VLOOKUP(D92,#REF!,2,0),IF(C92="EDIF",VLOOKUP(D92,#REF!,2,0),IF(C92="CDHU",VLOOKUP(D92,#REF!,2,0),IF(C92="FDE",VLOOKUP(D92,'FDE 10-23 '!$A$4:$E$3180,2,0),IF(C92="INFRA",VLOOKUP(D92,#REF!,2,0),""))))))),"")</f>
        <v>BE-16 BANCADA LABORATORIO 2 CUBAS 50X40X25CM (L=180CM)</v>
      </c>
      <c r="F92" s="65" t="str">
        <f>VLOOKUP(D92,'FDE 10-23 '!$A$4:$E$3180,3,0)</f>
        <v>UN</v>
      </c>
      <c r="G92" s="66">
        <v>1</v>
      </c>
      <c r="H92" s="67">
        <f>VLOOKUP(D92,'FDE 10-23 '!$A$4:$E$3180,5,0)</f>
        <v>4269.84</v>
      </c>
      <c r="I92" s="92">
        <f t="shared" si="12"/>
        <v>0.23</v>
      </c>
      <c r="J92" s="67">
        <f t="shared" si="13"/>
        <v>5251.9</v>
      </c>
      <c r="K92" s="71">
        <f t="shared" si="14"/>
        <v>5251.9</v>
      </c>
      <c r="L92" s="51"/>
      <c r="M92" s="52"/>
    </row>
    <row r="93" spans="2:13" s="25" customFormat="1" ht="30" customHeight="1" outlineLevel="1">
      <c r="B93" s="61"/>
      <c r="C93" s="62" t="s">
        <v>26</v>
      </c>
      <c r="D93" s="63" t="s">
        <v>200</v>
      </c>
      <c r="E93" s="64" t="str">
        <f>IFERROR(UPPER(IF(C93="CPU",VLOOKUP(D93,#REF!,2,0),IF(C93="SINAPI",VLOOKUP(D93,#REF!,2,0),IF(C93="EDIF",VLOOKUP(D93,#REF!,2,0),IF(C93="CDHU",VLOOKUP(D93,#REF!,2,0),IF(C93="FDE",VLOOKUP(D93,'FDE 10-23 '!$A$4:$E$3180,2,0),IF(C93="INFRA",VLOOKUP(D93,#REF!,2,0),""))))))),"")</f>
        <v>PR-08 PRATELEIRA DE GRANITO</v>
      </c>
      <c r="F93" s="65" t="str">
        <f>VLOOKUP(D93,'FDE 10-23 '!$A$4:$E$3180,3,0)</f>
        <v>M</v>
      </c>
      <c r="G93" s="66">
        <v>23.9</v>
      </c>
      <c r="H93" s="67">
        <f>VLOOKUP(D93,'FDE 10-23 '!$A$4:$E$3180,5,0)</f>
        <v>210.23</v>
      </c>
      <c r="I93" s="92">
        <f t="shared" si="12"/>
        <v>0.23</v>
      </c>
      <c r="J93" s="67">
        <f t="shared" si="13"/>
        <v>258.58</v>
      </c>
      <c r="K93" s="71">
        <f t="shared" si="14"/>
        <v>6180.061999999999</v>
      </c>
      <c r="L93" s="51"/>
      <c r="M93" s="52"/>
    </row>
    <row r="94" spans="2:13" s="25" customFormat="1" ht="30" customHeight="1" outlineLevel="1">
      <c r="B94" s="61"/>
      <c r="C94" s="62" t="s">
        <v>26</v>
      </c>
      <c r="D94" s="63" t="s">
        <v>202</v>
      </c>
      <c r="E94" s="64" t="str">
        <f>IFERROR(UPPER(IF(C94="CPU",VLOOKUP(D94,#REF!,2,0),IF(C94="SINAPI",VLOOKUP(D94,#REF!,2,0),IF(C94="EDIF",VLOOKUP(D94,#REF!,2,0),IF(C94="CDHU",VLOOKUP(D94,#REF!,2,0),IF(C94="FDE",VLOOKUP(D94,'FDE 10-23 '!$A$4:$E$3180,2,0),IF(C94="INFRA",VLOOKUP(D94,#REF!,2,0),""))))))),"")</f>
        <v>PR-03 PRATELEIRA DE GRANILITE - L=30CM</v>
      </c>
      <c r="F94" s="65" t="str">
        <f>VLOOKUP(D94,'FDE 10-23 '!$A$4:$E$3180,3,0)</f>
        <v>M</v>
      </c>
      <c r="G94" s="66">
        <v>4.3</v>
      </c>
      <c r="H94" s="67">
        <f>VLOOKUP(D94,'FDE 10-23 '!$A$4:$E$3180,5,0)</f>
        <v>980.64</v>
      </c>
      <c r="I94" s="92">
        <f t="shared" si="12"/>
        <v>0.23</v>
      </c>
      <c r="J94" s="67">
        <f t="shared" si="13"/>
        <v>1206.19</v>
      </c>
      <c r="K94" s="71">
        <f t="shared" si="14"/>
        <v>5186.6170000000002</v>
      </c>
      <c r="L94" s="51"/>
      <c r="M94" s="52"/>
    </row>
    <row r="95" spans="2:13" s="25" customFormat="1" ht="30" customHeight="1" outlineLevel="1">
      <c r="B95" s="61"/>
      <c r="C95" s="62" t="s">
        <v>26</v>
      </c>
      <c r="D95" s="63" t="s">
        <v>204</v>
      </c>
      <c r="E95" s="64" t="str">
        <f>IFERROR(UPPER(IF(C95="CPU",VLOOKUP(D95,#REF!,2,0),IF(C95="SINAPI",VLOOKUP(D95,#REF!,2,0),IF(C95="EDIF",VLOOKUP(D95,#REF!,2,0),IF(C95="CDHU",VLOOKUP(D95,#REF!,2,0),IF(C95="FDE",VLOOKUP(D95,'FDE 10-23 '!$A$4:$E$3180,2,0),IF(C95="INFRA",VLOOKUP(D95,#REF!,2,0),""))))))),"")</f>
        <v>BE-18 BANCADA LABORATORIO 1 CUBA 60X50X30CM (L=180CM)</v>
      </c>
      <c r="F95" s="65" t="str">
        <f>VLOOKUP(D95,'FDE 10-23 '!$A$4:$E$3180,3,0)</f>
        <v>UN</v>
      </c>
      <c r="G95" s="66">
        <v>1</v>
      </c>
      <c r="H95" s="67">
        <f>VLOOKUP(D95,'FDE 10-23 '!$A$4:$E$3180,5,0)</f>
        <v>3494.64</v>
      </c>
      <c r="I95" s="92">
        <f t="shared" si="12"/>
        <v>0.23</v>
      </c>
      <c r="J95" s="67">
        <f t="shared" si="13"/>
        <v>4298.41</v>
      </c>
      <c r="K95" s="71">
        <f t="shared" si="14"/>
        <v>4298.41</v>
      </c>
      <c r="L95" s="51"/>
      <c r="M95" s="52"/>
    </row>
    <row r="96" spans="2:13" s="25" customFormat="1" ht="30" customHeight="1" outlineLevel="1">
      <c r="B96" s="61"/>
      <c r="C96" s="62" t="s">
        <v>26</v>
      </c>
      <c r="D96" s="63" t="s">
        <v>206</v>
      </c>
      <c r="E96" s="64" t="str">
        <f>IFERROR(UPPER(IF(C96="CPU",VLOOKUP(D96,#REF!,2,0),IF(C96="SINAPI",VLOOKUP(D96,#REF!,2,0),IF(C96="EDIF",VLOOKUP(D96,#REF!,2,0),IF(C96="CDHU",VLOOKUP(D96,#REF!,2,0),IF(C96="FDE",VLOOKUP(D96,'FDE 10-23 '!$A$4:$E$3180,2,0),IF(C96="INFRA",VLOOKUP(D96,#REF!,2,0),""))))))),"")</f>
        <v>BE-19 BANCADA LABORATORIO SIMPLES</v>
      </c>
      <c r="F96" s="65" t="str">
        <f>VLOOKUP(D96,'FDE 10-23 '!$A$4:$E$3180,3,0)</f>
        <v>M</v>
      </c>
      <c r="G96" s="66">
        <v>6.3</v>
      </c>
      <c r="H96" s="67">
        <f>VLOOKUP(D96,'FDE 10-23 '!$A$4:$E$3180,5,0)</f>
        <v>734.43</v>
      </c>
      <c r="I96" s="92">
        <f t="shared" si="12"/>
        <v>0.23</v>
      </c>
      <c r="J96" s="67">
        <f t="shared" si="13"/>
        <v>903.35</v>
      </c>
      <c r="K96" s="71">
        <f t="shared" si="14"/>
        <v>5691.1049999999996</v>
      </c>
      <c r="L96" s="51"/>
      <c r="M96" s="52"/>
    </row>
    <row r="97" spans="2:13" s="25" customFormat="1" ht="30" customHeight="1" outlineLevel="1">
      <c r="B97" s="61"/>
      <c r="C97" s="62" t="s">
        <v>26</v>
      </c>
      <c r="D97" s="63" t="s">
        <v>208</v>
      </c>
      <c r="E97" s="64" t="str">
        <f>IFERROR(UPPER(IF(C97="CPU",VLOOKUP(D97,#REF!,2,0),IF(C97="SINAPI",VLOOKUP(D97,#REF!,2,0),IF(C97="EDIF",VLOOKUP(D97,#REF!,2,0),IF(C97="CDHU",VLOOKUP(D97,#REF!,2,0),IF(C97="FDE",VLOOKUP(D97,'FDE 10-23 '!$A$4:$E$3180,2,0),IF(C97="INFRA",VLOOKUP(D97,#REF!,2,0),""))))))),"")</f>
        <v>PR-09 PRATELEIRA EM GRANILITE - L=55CM</v>
      </c>
      <c r="F97" s="65" t="str">
        <f>VLOOKUP(D97,'FDE 10-23 '!$A$4:$E$3180,3,0)</f>
        <v>M</v>
      </c>
      <c r="G97" s="66">
        <v>13.7</v>
      </c>
      <c r="H97" s="67">
        <f>VLOOKUP(D97,'FDE 10-23 '!$A$4:$E$3180,5,0)</f>
        <v>1154.6300000000001</v>
      </c>
      <c r="I97" s="92">
        <f t="shared" si="12"/>
        <v>0.23</v>
      </c>
      <c r="J97" s="67">
        <f t="shared" si="13"/>
        <v>1420.19</v>
      </c>
      <c r="K97" s="71">
        <f t="shared" si="14"/>
        <v>19456.602999999999</v>
      </c>
      <c r="L97" s="51"/>
      <c r="M97" s="52"/>
    </row>
    <row r="98" spans="2:13" s="25" customFormat="1" ht="30" customHeight="1" outlineLevel="1">
      <c r="B98" s="61"/>
      <c r="C98" s="62" t="s">
        <v>26</v>
      </c>
      <c r="D98" s="63" t="s">
        <v>210</v>
      </c>
      <c r="E98" s="64" t="str">
        <f>IFERROR(UPPER(IF(C98="CPU",VLOOKUP(D98,#REF!,2,0),IF(C98="SINAPI",VLOOKUP(D98,#REF!,2,0),IF(C98="EDIF",VLOOKUP(D98,#REF!,2,0),IF(C98="CDHU",VLOOKUP(D98,#REF!,2,0),IF(C98="FDE",VLOOKUP(D98,'FDE 10-23 '!$A$4:$E$3180,2,0),IF(C98="INFRA",VLOOKUP(D98,#REF!,2,0),""))))))),"")</f>
        <v>GS-03 GUICHE DE SECRETARIA/JANELA DE 2 FOLHAS</v>
      </c>
      <c r="F98" s="65" t="str">
        <f>VLOOKUP(D98,'FDE 10-23 '!$A$4:$E$3180,3,0)</f>
        <v>UN</v>
      </c>
      <c r="G98" s="66">
        <v>1</v>
      </c>
      <c r="H98" s="67">
        <f>VLOOKUP(D98,'FDE 10-23 '!$A$4:$E$3180,5,0)</f>
        <v>3541.89</v>
      </c>
      <c r="I98" s="92">
        <f t="shared" si="12"/>
        <v>0.23</v>
      </c>
      <c r="J98" s="67">
        <f t="shared" si="13"/>
        <v>4356.5200000000004</v>
      </c>
      <c r="K98" s="71">
        <f t="shared" si="14"/>
        <v>4356.5200000000004</v>
      </c>
      <c r="L98" s="51"/>
      <c r="M98" s="52"/>
    </row>
    <row r="99" spans="2:13" s="25" customFormat="1" ht="30" customHeight="1" outlineLevel="1">
      <c r="B99" s="61"/>
      <c r="C99" s="62" t="s">
        <v>26</v>
      </c>
      <c r="D99" s="63" t="s">
        <v>212</v>
      </c>
      <c r="E99" s="64" t="str">
        <f>IFERROR(UPPER(IF(C99="CPU",VLOOKUP(D99,#REF!,2,0),IF(C99="SINAPI",VLOOKUP(D99,#REF!,2,0),IF(C99="EDIF",VLOOKUP(D99,#REF!,2,0),IF(C99="CDHU",VLOOKUP(D99,#REF!,2,0),IF(C99="FDE",VLOOKUP(D99,'FDE 10-23 '!$A$4:$E$3180,2,0),IF(C99="INFRA",VLOOKUP(D99,#REF!,2,0),""))))))),"")</f>
        <v>ET-05 ESTRADO DE POLIPROPILENO</v>
      </c>
      <c r="F99" s="65" t="str">
        <f>VLOOKUP(D99,'FDE 10-23 '!$A$4:$E$3180,3,0)</f>
        <v>M</v>
      </c>
      <c r="G99" s="66">
        <v>5</v>
      </c>
      <c r="H99" s="67">
        <f>VLOOKUP(D99,'FDE 10-23 '!$A$4:$E$3180,5,0)</f>
        <v>105.62</v>
      </c>
      <c r="I99" s="92">
        <f t="shared" si="12"/>
        <v>0.23</v>
      </c>
      <c r="J99" s="67">
        <f t="shared" si="13"/>
        <v>129.91</v>
      </c>
      <c r="K99" s="71">
        <f t="shared" si="14"/>
        <v>649.54999999999995</v>
      </c>
      <c r="L99" s="51"/>
      <c r="M99" s="52"/>
    </row>
    <row r="100" spans="2:13" s="25" customFormat="1" ht="30" customHeight="1" outlineLevel="1">
      <c r="B100" s="61"/>
      <c r="C100" s="62" t="s">
        <v>26</v>
      </c>
      <c r="D100" s="63" t="s">
        <v>214</v>
      </c>
      <c r="E100" s="64" t="str">
        <f>IFERROR(UPPER(IF(C100="CPU",VLOOKUP(D100,#REF!,2,0),IF(C100="SINAPI",VLOOKUP(D100,#REF!,2,0),IF(C100="EDIF",VLOOKUP(D100,#REF!,2,0),IF(C100="CDHU",VLOOKUP(D100,#REF!,2,0),IF(C100="FDE",VLOOKUP(D100,'FDE 10-23 '!$A$4:$E$3180,2,0),IF(C100="INFRA",VLOOKUP(D100,#REF!,2,0),""))))))),"")</f>
        <v>BA-13 BALCAO ATENDIMENTO - GRANITO</v>
      </c>
      <c r="F100" s="65" t="str">
        <f>VLOOKUP(D100,'FDE 10-23 '!$A$4:$E$3180,3,0)</f>
        <v>UN</v>
      </c>
      <c r="G100" s="66">
        <v>1</v>
      </c>
      <c r="H100" s="67">
        <f>VLOOKUP(D100,'FDE 10-23 '!$A$4:$E$3180,5,0)</f>
        <v>4632.92</v>
      </c>
      <c r="I100" s="92">
        <f t="shared" si="12"/>
        <v>0.23</v>
      </c>
      <c r="J100" s="67">
        <f t="shared" si="13"/>
        <v>5698.49</v>
      </c>
      <c r="K100" s="71">
        <f t="shared" si="14"/>
        <v>5698.49</v>
      </c>
      <c r="L100" s="51"/>
      <c r="M100" s="52"/>
    </row>
    <row r="101" spans="2:13" s="25" customFormat="1" ht="30" customHeight="1" outlineLevel="1">
      <c r="B101" s="61"/>
      <c r="C101" s="62" t="s">
        <v>26</v>
      </c>
      <c r="D101" s="63" t="s">
        <v>216</v>
      </c>
      <c r="E101" s="64" t="str">
        <f>IFERROR(UPPER(IF(C101="CPU",VLOOKUP(D101,#REF!,2,0),IF(C101="SINAPI",VLOOKUP(D101,#REF!,2,0),IF(C101="EDIF",VLOOKUP(D101,#REF!,2,0),IF(C101="CDHU",VLOOKUP(D101,#REF!,2,0),IF(C101="FDE",VLOOKUP(D101,'FDE 10-23 '!$A$4:$E$3180,2,0),IF(C101="INFRA",VLOOKUP(D101,#REF!,2,0),""))))))),"")</f>
        <v>BA-10 BALCÃO DE DISTRIB.DE GRANITO (L=350CM)</v>
      </c>
      <c r="F101" s="65" t="str">
        <f>VLOOKUP(D101,'FDE 10-23 '!$A$4:$E$3180,3,0)</f>
        <v>UN</v>
      </c>
      <c r="G101" s="66">
        <v>1</v>
      </c>
      <c r="H101" s="67">
        <f>VLOOKUP(D101,'FDE 10-23 '!$A$4:$E$3180,5,0)</f>
        <v>8507.15</v>
      </c>
      <c r="I101" s="92">
        <f t="shared" si="12"/>
        <v>0.23</v>
      </c>
      <c r="J101" s="67">
        <f t="shared" si="13"/>
        <v>10463.790000000001</v>
      </c>
      <c r="K101" s="71">
        <f t="shared" si="14"/>
        <v>10463.790000000001</v>
      </c>
      <c r="L101" s="51"/>
      <c r="M101" s="52"/>
    </row>
    <row r="102" spans="2:13" s="25" customFormat="1" ht="30" customHeight="1" outlineLevel="1">
      <c r="B102" s="61"/>
      <c r="C102" s="62" t="s">
        <v>26</v>
      </c>
      <c r="D102" s="63" t="s">
        <v>218</v>
      </c>
      <c r="E102" s="64" t="str">
        <f>IFERROR(UPPER(IF(C102="CPU",VLOOKUP(D102,#REF!,2,0),IF(C102="SINAPI",VLOOKUP(D102,#REF!,2,0),IF(C102="EDIF",VLOOKUP(D102,#REF!,2,0),IF(C102="CDHU",VLOOKUP(D102,#REF!,2,0),IF(C102="FDE",VLOOKUP(D102,'FDE 10-23 '!$A$4:$E$3180,2,0),IF(C102="INFRA",VLOOKUP(D102,#REF!,2,0),""))))))),"")</f>
        <v>BA-11 BALCÃO DE DEVOLUÇÃO DE GRANITO (L=70CM)</v>
      </c>
      <c r="F102" s="65" t="str">
        <f>VLOOKUP(D102,'FDE 10-23 '!$A$4:$E$3180,3,0)</f>
        <v>UN</v>
      </c>
      <c r="G102" s="66">
        <v>1</v>
      </c>
      <c r="H102" s="67">
        <f>VLOOKUP(D102,'FDE 10-23 '!$A$4:$E$3180,5,0)</f>
        <v>2704.18</v>
      </c>
      <c r="I102" s="92">
        <f t="shared" si="12"/>
        <v>0.23</v>
      </c>
      <c r="J102" s="67">
        <f t="shared" si="13"/>
        <v>3326.14</v>
      </c>
      <c r="K102" s="71">
        <f t="shared" si="14"/>
        <v>3326.14</v>
      </c>
      <c r="L102" s="51"/>
      <c r="M102" s="52"/>
    </row>
    <row r="103" spans="2:13" s="25" customFormat="1" ht="30" customHeight="1" outlineLevel="1">
      <c r="B103" s="61"/>
      <c r="C103" s="62" t="s">
        <v>26</v>
      </c>
      <c r="D103" s="63" t="s">
        <v>220</v>
      </c>
      <c r="E103" s="64" t="str">
        <f>IFERROR(UPPER(IF(C103="CPU",VLOOKUP(D103,#REF!,2,0),IF(C103="SINAPI",VLOOKUP(D103,#REF!,2,0),IF(C103="EDIF",VLOOKUP(D103,#REF!,2,0),IF(C103="CDHU",VLOOKUP(D103,#REF!,2,0),IF(C103="FDE",VLOOKUP(D103,'FDE 10-23 '!$A$4:$E$3180,2,0),IF(C103="INFRA",VLOOKUP(D103,#REF!,2,0),""))))))),"")</f>
        <v>CC-01 CUBA INOX (60X50X30CM) INCLUSIVE VÁLVULA AMERICANA-GRANITO</v>
      </c>
      <c r="F103" s="65" t="str">
        <f>VLOOKUP(D103,'FDE 10-23 '!$A$4:$E$3180,3,0)</f>
        <v>UN</v>
      </c>
      <c r="G103" s="66">
        <v>1</v>
      </c>
      <c r="H103" s="67">
        <f>VLOOKUP(D103,'FDE 10-23 '!$A$4:$E$3180,5,0)</f>
        <v>2916.61</v>
      </c>
      <c r="I103" s="92">
        <f t="shared" si="12"/>
        <v>0.23</v>
      </c>
      <c r="J103" s="67">
        <f t="shared" si="13"/>
        <v>3587.43</v>
      </c>
      <c r="K103" s="71">
        <f t="shared" si="14"/>
        <v>3587.43</v>
      </c>
      <c r="L103" s="51"/>
      <c r="M103" s="52"/>
    </row>
    <row r="104" spans="2:13" s="25" customFormat="1" ht="30" customHeight="1" outlineLevel="1">
      <c r="B104" s="61"/>
      <c r="C104" s="62" t="s">
        <v>26</v>
      </c>
      <c r="D104" s="63" t="s">
        <v>222</v>
      </c>
      <c r="E104" s="64" t="str">
        <f>IFERROR(UPPER(IF(C104="CPU",VLOOKUP(D104,#REF!,2,0),IF(C104="SINAPI",VLOOKUP(D104,#REF!,2,0),IF(C104="EDIF",VLOOKUP(D104,#REF!,2,0),IF(C104="CDHU",VLOOKUP(D104,#REF!,2,0),IF(C104="FDE",VLOOKUP(D104,'FDE 10-23 '!$A$4:$E$3180,2,0),IF(C104="INFRA",VLOOKUP(D104,#REF!,2,0),""))))))),"")</f>
        <v>CC-03 CUBA INOX (50X40X25CM) TORNEIRA DE PAREDE INCL.VÁLVULA AMERICANA-GRANITO</v>
      </c>
      <c r="F104" s="65" t="str">
        <f>VLOOKUP(D104,'FDE 10-23 '!$A$4:$E$3180,3,0)</f>
        <v>UN</v>
      </c>
      <c r="G104" s="66">
        <v>3</v>
      </c>
      <c r="H104" s="67">
        <f>VLOOKUP(D104,'FDE 10-23 '!$A$4:$E$3180,5,0)</f>
        <v>2525.2800000000002</v>
      </c>
      <c r="I104" s="92">
        <f t="shared" si="12"/>
        <v>0.23</v>
      </c>
      <c r="J104" s="67">
        <f t="shared" si="13"/>
        <v>3106.09</v>
      </c>
      <c r="K104" s="71">
        <f t="shared" si="14"/>
        <v>9318.27</v>
      </c>
      <c r="L104" s="51"/>
      <c r="M104" s="52"/>
    </row>
    <row r="105" spans="2:13" s="25" customFormat="1" ht="30" customHeight="1" outlineLevel="1">
      <c r="B105" s="61"/>
      <c r="C105" s="62" t="s">
        <v>26</v>
      </c>
      <c r="D105" s="63" t="s">
        <v>224</v>
      </c>
      <c r="E105" s="64" t="str">
        <f>IFERROR(UPPER(IF(C105="CPU",VLOOKUP(D105,#REF!,2,0),IF(C105="SINAPI",VLOOKUP(D105,#REF!,2,0),IF(C105="EDIF",VLOOKUP(D105,#REF!,2,0),IF(C105="CDHU",VLOOKUP(D105,#REF!,2,0),IF(C105="FDE",VLOOKUP(D105,'FDE 10-23 '!$A$4:$E$3180,2,0),IF(C105="INFRA",VLOOKUP(D105,#REF!,2,0),""))))))),"")</f>
        <v>CC-04 CUBA DUPLA INOX (102X40X25CM) INCLUSIVE VÁLVULA AMERICANA-GRANITO</v>
      </c>
      <c r="F105" s="65" t="str">
        <f>VLOOKUP(D105,'FDE 10-23 '!$A$4:$E$3180,3,0)</f>
        <v>UN</v>
      </c>
      <c r="G105" s="66">
        <v>1</v>
      </c>
      <c r="H105" s="67">
        <f>VLOOKUP(D105,'FDE 10-23 '!$A$4:$E$3180,5,0)</f>
        <v>4812.5600000000004</v>
      </c>
      <c r="I105" s="92">
        <f t="shared" si="12"/>
        <v>0.23</v>
      </c>
      <c r="J105" s="67">
        <f t="shared" si="13"/>
        <v>5919.45</v>
      </c>
      <c r="K105" s="71">
        <f t="shared" si="14"/>
        <v>5919.45</v>
      </c>
      <c r="L105" s="51"/>
      <c r="M105" s="52"/>
    </row>
    <row r="106" spans="2:13" s="25" customFormat="1" ht="30" customHeight="1">
      <c r="B106" s="43">
        <v>6</v>
      </c>
      <c r="C106" s="44"/>
      <c r="D106" s="44" t="s">
        <v>225</v>
      </c>
      <c r="E106" s="45" t="s">
        <v>226</v>
      </c>
      <c r="F106" s="46" t="str">
        <f>IFERROR(UPPER(IF(C106="CPU",VLOOKUP(D106,#REF!,3,0),IF(C106="SINAPI",VLOOKUP(D106,#REF!,3,0),IF(C106="EDIF",VLOOKUP(D106,#REF!,3,0),IF(C106="CDHU",VLOOKUP(D106,#REF!,3,0),IF(C106="FDE",VLOOKUP(D106,#REF!,3,0),IF(C106="INFRA",VLOOKUP(D106,#REF!,3,0),""))))))),"")</f>
        <v/>
      </c>
      <c r="G106" s="47"/>
      <c r="H106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06" s="49"/>
      <c r="J106" s="49"/>
      <c r="K106" s="81">
        <f>SUBTOTAL(9,K107:K138)</f>
        <v>1249270.5094000001</v>
      </c>
      <c r="L106" s="51"/>
      <c r="M106" s="52"/>
    </row>
    <row r="107" spans="2:13" s="25" customFormat="1" ht="30" customHeight="1" outlineLevel="1">
      <c r="B107" s="53"/>
      <c r="C107" s="54"/>
      <c r="D107" s="54" t="s">
        <v>228</v>
      </c>
      <c r="E107" s="55" t="s">
        <v>229</v>
      </c>
      <c r="F107" s="56" t="str">
        <f>IFERROR(UPPER(IF(C107="CPU",VLOOKUP(D107,#REF!,3,0),IF(C107="SINAPI",VLOOKUP(D107,#REF!,3,0),IF(C107="EDIF",VLOOKUP(D107,#REF!,3,0),IF(C107="CDHU",VLOOKUP(D107,#REF!,3,0),IF(C107="FDE",VLOOKUP(D107,#REF!,3,0),IF(C107="INFRA",VLOOKUP(D107,#REF!,3,0),""))))))),"")</f>
        <v/>
      </c>
      <c r="G107" s="57"/>
      <c r="H10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07" s="59"/>
      <c r="J107" s="59"/>
      <c r="K107" s="82">
        <f>SUBTOTAL(9,K108:K118)</f>
        <v>677902.45669999998</v>
      </c>
      <c r="L107" s="51"/>
      <c r="M107" s="52"/>
    </row>
    <row r="108" spans="2:13" s="25" customFormat="1" ht="30" customHeight="1" outlineLevel="1">
      <c r="B108" s="61"/>
      <c r="C108" s="62" t="s">
        <v>26</v>
      </c>
      <c r="D108" s="63" t="s">
        <v>231</v>
      </c>
      <c r="E108" s="64" t="str">
        <f>IFERROR(UPPER(IF(C108="CPU",VLOOKUP(D108,#REF!,2,0),IF(C108="SINAPI",VLOOKUP(D108,#REF!,2,0),IF(C108="EDIF",VLOOKUP(D108,#REF!,2,0),IF(C108="CDHU",VLOOKUP(D108,#REF!,2,0),IF(C108="FDE",VLOOKUP(D108,'FDE 10-23 '!$A$4:$E$3180,2,0),IF(C108="INFRA",VLOOKUP(D108,#REF!,2,0),""))))))),"")</f>
        <v>EF-01 ESQUADRIA DE FERRO 90X60CM</v>
      </c>
      <c r="F108" s="65" t="str">
        <f>VLOOKUP(D108,'FDE 10-23 '!$A$4:$E$3180,3,0)</f>
        <v>UN</v>
      </c>
      <c r="G108" s="66">
        <v>2</v>
      </c>
      <c r="H108" s="67">
        <f>VLOOKUP(D108,'FDE 10-23 '!$A$4:$E$3180,5,0)</f>
        <v>772.08</v>
      </c>
      <c r="I108" s="92">
        <f t="shared" ref="I108:I118" si="15">$L$10</f>
        <v>0.23</v>
      </c>
      <c r="J108" s="67">
        <f t="shared" ref="J108:J118" si="16">ROUND(H108*(1+I108),2)</f>
        <v>949.66</v>
      </c>
      <c r="K108" s="71">
        <f t="shared" ref="K108:K118" si="17">SUM(G108*J108)</f>
        <v>1899.32</v>
      </c>
      <c r="L108" s="51"/>
      <c r="M108" s="52"/>
    </row>
    <row r="109" spans="2:13" s="25" customFormat="1" ht="30" customHeight="1" outlineLevel="1">
      <c r="B109" s="61"/>
      <c r="C109" s="62" t="s">
        <v>26</v>
      </c>
      <c r="D109" s="63" t="s">
        <v>233</v>
      </c>
      <c r="E109" s="64" t="str">
        <f>IFERROR(UPPER(IF(C109="CPU",VLOOKUP(D109,#REF!,2,0),IF(C109="SINAPI",VLOOKUP(D109,#REF!,2,0),IF(C109="EDIF",VLOOKUP(D109,#REF!,2,0),IF(C109="CDHU",VLOOKUP(D109,#REF!,2,0),IF(C109="FDE",VLOOKUP(D109,'FDE 10-23 '!$A$4:$E$3180,2,0),IF(C109="INFRA",VLOOKUP(D109,#REF!,2,0),""))))))),"")</f>
        <v>EF-02 ESQUADRIA DE FERRO 90X120CM</v>
      </c>
      <c r="F109" s="65" t="str">
        <f>VLOOKUP(D109,'FDE 10-23 '!$A$4:$E$3180,3,0)</f>
        <v>UN</v>
      </c>
      <c r="G109" s="66">
        <v>2</v>
      </c>
      <c r="H109" s="67">
        <f>VLOOKUP(D109,'FDE 10-23 '!$A$4:$E$3180,5,0)</f>
        <v>1525.82</v>
      </c>
      <c r="I109" s="92">
        <f t="shared" si="15"/>
        <v>0.23</v>
      </c>
      <c r="J109" s="67">
        <f t="shared" si="16"/>
        <v>1876.76</v>
      </c>
      <c r="K109" s="71">
        <f t="shared" si="17"/>
        <v>3753.52</v>
      </c>
      <c r="L109" s="51"/>
      <c r="M109" s="52"/>
    </row>
    <row r="110" spans="2:13" s="25" customFormat="1" ht="30" customHeight="1" outlineLevel="1">
      <c r="B110" s="61"/>
      <c r="C110" s="62" t="s">
        <v>26</v>
      </c>
      <c r="D110" s="63" t="s">
        <v>235</v>
      </c>
      <c r="E110" s="64" t="str">
        <f>IFERROR(UPPER(IF(C110="CPU",VLOOKUP(D110,#REF!,2,0),IF(C110="SINAPI",VLOOKUP(D110,#REF!,2,0),IF(C110="EDIF",VLOOKUP(D110,#REF!,2,0),IF(C110="CDHU",VLOOKUP(D110,#REF!,2,0),IF(C110="FDE",VLOOKUP(D110,'FDE 10-23 '!$A$4:$E$3180,2,0),IF(C110="INFRA",VLOOKUP(D110,#REF!,2,0),""))))))),"")</f>
        <v>EF-03 ESQUADRIA DE FERRO 90X150CM</v>
      </c>
      <c r="F110" s="65" t="str">
        <f>VLOOKUP(D110,'FDE 10-23 '!$A$4:$E$3180,3,0)</f>
        <v>UN</v>
      </c>
      <c r="G110" s="66">
        <v>9</v>
      </c>
      <c r="H110" s="67">
        <f>VLOOKUP(D110,'FDE 10-23 '!$A$4:$E$3180,5,0)</f>
        <v>1912.63</v>
      </c>
      <c r="I110" s="92">
        <f t="shared" si="15"/>
        <v>0.23</v>
      </c>
      <c r="J110" s="67">
        <f t="shared" si="16"/>
        <v>2352.5300000000002</v>
      </c>
      <c r="K110" s="71">
        <f t="shared" si="17"/>
        <v>21172.77</v>
      </c>
      <c r="L110" s="51"/>
      <c r="M110" s="52"/>
    </row>
    <row r="111" spans="2:13" s="25" customFormat="1" ht="30" customHeight="1" outlineLevel="1">
      <c r="B111" s="61"/>
      <c r="C111" s="62" t="s">
        <v>26</v>
      </c>
      <c r="D111" s="63" t="s">
        <v>237</v>
      </c>
      <c r="E111" s="64" t="str">
        <f>IFERROR(UPPER(IF(C111="CPU",VLOOKUP(D111,#REF!,2,0),IF(C111="SINAPI",VLOOKUP(D111,#REF!,2,0),IF(C111="EDIF",VLOOKUP(D111,#REF!,2,0),IF(C111="CDHU",VLOOKUP(D111,#REF!,2,0),IF(C111="FDE",VLOOKUP(D111,'FDE 10-23 '!$A$4:$E$3180,2,0),IF(C111="INFRA",VLOOKUP(D111,#REF!,2,0),""))))))),"")</f>
        <v>EF-04 ESQUADRIA DE FERRO 180X60CM</v>
      </c>
      <c r="F111" s="65" t="str">
        <f>VLOOKUP(D111,'FDE 10-23 '!$A$4:$E$3180,3,0)</f>
        <v>UN</v>
      </c>
      <c r="G111" s="66">
        <v>64</v>
      </c>
      <c r="H111" s="67">
        <f>VLOOKUP(D111,'FDE 10-23 '!$A$4:$E$3180,5,0)</f>
        <v>1537.61</v>
      </c>
      <c r="I111" s="92">
        <f t="shared" si="15"/>
        <v>0.23</v>
      </c>
      <c r="J111" s="67">
        <f t="shared" si="16"/>
        <v>1891.26</v>
      </c>
      <c r="K111" s="71">
        <f t="shared" si="17"/>
        <v>121040.64</v>
      </c>
      <c r="L111" s="51"/>
      <c r="M111" s="52"/>
    </row>
    <row r="112" spans="2:13" s="25" customFormat="1" ht="30" customHeight="1" outlineLevel="1">
      <c r="B112" s="61"/>
      <c r="C112" s="62" t="s">
        <v>26</v>
      </c>
      <c r="D112" s="63" t="s">
        <v>239</v>
      </c>
      <c r="E112" s="64" t="str">
        <f>IFERROR(UPPER(IF(C112="CPU",VLOOKUP(D112,#REF!,2,0),IF(C112="SINAPI",VLOOKUP(D112,#REF!,2,0),IF(C112="EDIF",VLOOKUP(D112,#REF!,2,0),IF(C112="CDHU",VLOOKUP(D112,#REF!,2,0),IF(C112="FDE",VLOOKUP(D112,'FDE 10-23 '!$A$4:$E$3180,2,0),IF(C112="INFRA",VLOOKUP(D112,#REF!,2,0),""))))))),"")</f>
        <v>EF-05 ESQUADRIA DE FERRO 180X120CM</v>
      </c>
      <c r="F112" s="65" t="str">
        <f>VLOOKUP(D112,'FDE 10-23 '!$A$4:$E$3180,3,0)</f>
        <v>UN</v>
      </c>
      <c r="G112" s="66">
        <v>7</v>
      </c>
      <c r="H112" s="67">
        <f>VLOOKUP(D112,'FDE 10-23 '!$A$4:$E$3180,5,0)</f>
        <v>3076.4</v>
      </c>
      <c r="I112" s="92">
        <f t="shared" si="15"/>
        <v>0.23</v>
      </c>
      <c r="J112" s="67">
        <f t="shared" si="16"/>
        <v>3783.97</v>
      </c>
      <c r="K112" s="71">
        <f t="shared" si="17"/>
        <v>26487.789999999997</v>
      </c>
      <c r="L112" s="51"/>
      <c r="M112" s="52"/>
    </row>
    <row r="113" spans="2:13" s="25" customFormat="1" ht="30" customHeight="1" outlineLevel="1">
      <c r="B113" s="61"/>
      <c r="C113" s="62" t="s">
        <v>26</v>
      </c>
      <c r="D113" s="63" t="s">
        <v>241</v>
      </c>
      <c r="E113" s="64" t="str">
        <f>IFERROR(UPPER(IF(C113="CPU",VLOOKUP(D113,#REF!,2,0),IF(C113="SINAPI",VLOOKUP(D113,#REF!,2,0),IF(C113="EDIF",VLOOKUP(D113,#REF!,2,0),IF(C113="CDHU",VLOOKUP(D113,#REF!,2,0),IF(C113="FDE",VLOOKUP(D113,'FDE 10-23 '!$A$4:$E$3180,2,0),IF(C113="INFRA",VLOOKUP(D113,#REF!,2,0),""))))))),"")</f>
        <v>EF-06 ESQUADRIA DE FERRO 180X150CM</v>
      </c>
      <c r="F113" s="65" t="str">
        <f>VLOOKUP(D113,'FDE 10-23 '!$A$4:$E$3180,3,0)</f>
        <v>UN</v>
      </c>
      <c r="G113" s="66">
        <v>22</v>
      </c>
      <c r="H113" s="67">
        <f>VLOOKUP(D113,'FDE 10-23 '!$A$4:$E$3180,5,0)</f>
        <v>3807.41</v>
      </c>
      <c r="I113" s="92">
        <f t="shared" si="15"/>
        <v>0.23</v>
      </c>
      <c r="J113" s="67">
        <f t="shared" si="16"/>
        <v>4683.1099999999997</v>
      </c>
      <c r="K113" s="71">
        <f t="shared" si="17"/>
        <v>103028.42</v>
      </c>
      <c r="L113" s="51"/>
      <c r="M113" s="52"/>
    </row>
    <row r="114" spans="2:13" s="25" customFormat="1" ht="30" customHeight="1" outlineLevel="1">
      <c r="B114" s="61"/>
      <c r="C114" s="62" t="s">
        <v>26</v>
      </c>
      <c r="D114" s="63" t="s">
        <v>243</v>
      </c>
      <c r="E114" s="64" t="str">
        <f>IFERROR(UPPER(IF(C114="CPU",VLOOKUP(D114,#REF!,2,0),IF(C114="SINAPI",VLOOKUP(D114,#REF!,2,0),IF(C114="EDIF",VLOOKUP(D114,#REF!,2,0),IF(C114="CDHU",VLOOKUP(D114,#REF!,2,0),IF(C114="FDE",VLOOKUP(D114,'FDE 10-23 '!$A$4:$E$3180,2,0),IF(C114="INFRA",VLOOKUP(D114,#REF!,2,0),""))))))),"")</f>
        <v>EF-17 ESQUADRIA DE FERRO FIXA L=180CM</v>
      </c>
      <c r="F114" s="65" t="str">
        <f>VLOOKUP(D114,'FDE 10-23 '!$A$4:$E$3180,3,0)</f>
        <v>UN</v>
      </c>
      <c r="G114" s="66">
        <v>16</v>
      </c>
      <c r="H114" s="67">
        <f>VLOOKUP(D114,'FDE 10-23 '!$A$4:$E$3180,5,0)</f>
        <v>4406.57</v>
      </c>
      <c r="I114" s="92">
        <f t="shared" si="15"/>
        <v>0.23</v>
      </c>
      <c r="J114" s="67">
        <f t="shared" si="16"/>
        <v>5420.08</v>
      </c>
      <c r="K114" s="71">
        <f t="shared" si="17"/>
        <v>86721.279999999999</v>
      </c>
      <c r="L114" s="51"/>
      <c r="M114" s="52"/>
    </row>
    <row r="115" spans="2:13" s="25" customFormat="1" ht="30" customHeight="1" outlineLevel="1">
      <c r="B115" s="61"/>
      <c r="C115" s="62" t="s">
        <v>26</v>
      </c>
      <c r="D115" s="63" t="s">
        <v>245</v>
      </c>
      <c r="E115" s="64" t="str">
        <f>IFERROR(UPPER(IF(C115="CPU",VLOOKUP(D115,#REF!,2,0),IF(C115="SINAPI",VLOOKUP(D115,#REF!,2,0),IF(C115="EDIF",VLOOKUP(D115,#REF!,2,0),IF(C115="CDHU",VLOOKUP(D115,#REF!,2,0),IF(C115="FDE",VLOOKUP(D115,'FDE 10-23 '!$A$4:$E$3180,2,0),IF(C115="INFRA",VLOOKUP(D115,#REF!,2,0),""))))))),"")</f>
        <v>EF-20 ESQUADRIA DE FERRO 180X180CM</v>
      </c>
      <c r="F115" s="65" t="str">
        <f>VLOOKUP(D115,'FDE 10-23 '!$A$4:$E$3180,3,0)</f>
        <v>UN</v>
      </c>
      <c r="G115" s="66">
        <v>1</v>
      </c>
      <c r="H115" s="67">
        <f>VLOOKUP(D115,'FDE 10-23 '!$A$4:$E$3180,5,0)</f>
        <v>3744.38</v>
      </c>
      <c r="I115" s="92">
        <f t="shared" si="15"/>
        <v>0.23</v>
      </c>
      <c r="J115" s="67">
        <f t="shared" si="16"/>
        <v>4605.59</v>
      </c>
      <c r="K115" s="71">
        <f t="shared" si="17"/>
        <v>4605.59</v>
      </c>
      <c r="L115" s="51"/>
      <c r="M115" s="52"/>
    </row>
    <row r="116" spans="2:13" s="25" customFormat="1" ht="30" customHeight="1" outlineLevel="1">
      <c r="B116" s="61"/>
      <c r="C116" s="62" t="s">
        <v>26</v>
      </c>
      <c r="D116" s="63" t="s">
        <v>247</v>
      </c>
      <c r="E116" s="64" t="str">
        <f>IFERROR(UPPER(IF(C116="CPU",VLOOKUP(D116,#REF!,2,0),IF(C116="SINAPI",VLOOKUP(D116,#REF!,2,0),IF(C116="EDIF",VLOOKUP(D116,#REF!,2,0),IF(C116="CDHU",VLOOKUP(D116,#REF!,2,0),IF(C116="FDE",VLOOKUP(D116,'FDE 10-23 '!$A$4:$E$3180,2,0),IF(C116="INFRA",VLOOKUP(D116,#REF!,2,0),""))))))),"")</f>
        <v>EF-21 ESQUADRIA DE FERRO 180X210CM</v>
      </c>
      <c r="F116" s="65" t="str">
        <f>VLOOKUP(D116,'FDE 10-23 '!$A$4:$E$3180,3,0)</f>
        <v>UN</v>
      </c>
      <c r="G116" s="66">
        <v>57</v>
      </c>
      <c r="H116" s="67">
        <f>VLOOKUP(D116,'FDE 10-23 '!$A$4:$E$3180,5,0)</f>
        <v>4346.2299999999996</v>
      </c>
      <c r="I116" s="92">
        <f t="shared" si="15"/>
        <v>0.23</v>
      </c>
      <c r="J116" s="67">
        <f t="shared" si="16"/>
        <v>5345.86</v>
      </c>
      <c r="K116" s="71">
        <f t="shared" si="17"/>
        <v>304714.01999999996</v>
      </c>
      <c r="L116" s="51"/>
      <c r="M116" s="52"/>
    </row>
    <row r="117" spans="2:13" s="25" customFormat="1" ht="30" customHeight="1" outlineLevel="1">
      <c r="B117" s="61"/>
      <c r="C117" s="62" t="s">
        <v>26</v>
      </c>
      <c r="D117" s="63" t="s">
        <v>249</v>
      </c>
      <c r="E117" s="64" t="str">
        <f>IFERROR(UPPER(IF(C117="CPU",VLOOKUP(D117,#REF!,2,0),IF(C117="SINAPI",VLOOKUP(D117,#REF!,2,0),IF(C117="EDIF",VLOOKUP(D117,#REF!,2,0),IF(C117="CDHU",VLOOKUP(D117,#REF!,2,0),IF(C117="FDE",VLOOKUP(D117,'FDE 10-23 '!$A$4:$E$3180,2,0),IF(C117="INFRA",VLOOKUP(D117,#REF!,2,0),""))))))),"")</f>
        <v>CAIXILHOS DE FERRO -BASCULANTES</v>
      </c>
      <c r="F117" s="65" t="str">
        <f>VLOOKUP(D117,'FDE 10-23 '!$A$4:$E$3180,3,0)</f>
        <v>M2</v>
      </c>
      <c r="G117" s="66">
        <v>1.89</v>
      </c>
      <c r="H117" s="67">
        <f>VLOOKUP(D117,'FDE 10-23 '!$A$4:$E$3180,5,0)</f>
        <v>1411.41</v>
      </c>
      <c r="I117" s="92">
        <f t="shared" si="15"/>
        <v>0.23</v>
      </c>
      <c r="J117" s="67">
        <f t="shared" si="16"/>
        <v>1736.03</v>
      </c>
      <c r="K117" s="71">
        <f t="shared" si="17"/>
        <v>3281.0966999999996</v>
      </c>
      <c r="L117" s="51"/>
      <c r="M117" s="52"/>
    </row>
    <row r="118" spans="2:13" s="25" customFormat="1" ht="30" customHeight="1" outlineLevel="1">
      <c r="B118" s="61"/>
      <c r="C118" s="62" t="s">
        <v>26</v>
      </c>
      <c r="D118" s="63" t="s">
        <v>251</v>
      </c>
      <c r="E118" s="64" t="str">
        <f>IFERROR(UPPER(IF(C118="CPU",VLOOKUP(D118,#REF!,2,0),IF(C118="SINAPI",VLOOKUP(D118,#REF!,2,0),IF(C118="EDIF",VLOOKUP(D118,#REF!,2,0),IF(C118="CDHU",VLOOKUP(D118,#REF!,2,0),IF(C118="FDE",VLOOKUP(D118,'FDE 10-23 '!$A$4:$E$3180,2,0),IF(C118="INFRA",VLOOKUP(D118,#REF!,2,0),""))))))),"")</f>
        <v>EF-24 ESQ FERRO VENEZIANA DA CAIXA DO ELEVADOR (0.80X0.40M)</v>
      </c>
      <c r="F118" s="65" t="str">
        <f>VLOOKUP(D118,'FDE 10-23 '!$A$4:$E$3180,3,0)</f>
        <v>UN</v>
      </c>
      <c r="G118" s="66">
        <v>1</v>
      </c>
      <c r="H118" s="67">
        <f>VLOOKUP(D118,'FDE 10-23 '!$A$4:$E$3180,5,0)</f>
        <v>973.99</v>
      </c>
      <c r="I118" s="92">
        <f t="shared" si="15"/>
        <v>0.23</v>
      </c>
      <c r="J118" s="67">
        <f t="shared" si="16"/>
        <v>1198.01</v>
      </c>
      <c r="K118" s="71">
        <f t="shared" si="17"/>
        <v>1198.01</v>
      </c>
      <c r="L118" s="51"/>
      <c r="M118" s="52"/>
    </row>
    <row r="119" spans="2:13" s="25" customFormat="1" ht="30" customHeight="1" outlineLevel="1">
      <c r="B119" s="53"/>
      <c r="C119" s="54"/>
      <c r="D119" s="54" t="s">
        <v>253</v>
      </c>
      <c r="E119" s="55" t="s">
        <v>254</v>
      </c>
      <c r="F119" s="56" t="str">
        <f>IFERROR(UPPER(IF(C119="CPU",VLOOKUP(D119,#REF!,3,0),IF(C119="SINAPI",VLOOKUP(D119,#REF!,3,0),IF(C119="EDIF",VLOOKUP(D119,#REF!,3,0),IF(C119="CDHU",VLOOKUP(D119,#REF!,3,0),IF(C119="FDE",VLOOKUP(D119,#REF!,3,0),IF(C119="INFRA",VLOOKUP(D119,#REF!,3,0),""))))))),"")</f>
        <v/>
      </c>
      <c r="G119" s="57"/>
      <c r="H119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19" s="59"/>
      <c r="J119" s="59"/>
      <c r="K119" s="82">
        <f>SUBTOTAL(9,K120:K129)</f>
        <v>243692.204</v>
      </c>
      <c r="L119" s="51"/>
      <c r="M119" s="52"/>
    </row>
    <row r="120" spans="2:13" s="25" customFormat="1" ht="30" customHeight="1" outlineLevel="1">
      <c r="B120" s="61"/>
      <c r="C120" s="62" t="s">
        <v>26</v>
      </c>
      <c r="D120" s="63" t="s">
        <v>256</v>
      </c>
      <c r="E120" s="64" t="str">
        <f>IFERROR(UPPER(IF(C120="CPU",VLOOKUP(D120,#REF!,2,0),IF(C120="SINAPI",VLOOKUP(D120,#REF!,2,0),IF(C120="EDIF",VLOOKUP(D120,#REF!,2,0),IF(C120="CDHU",VLOOKUP(D120,#REF!,2,0),IF(C120="FDE",VLOOKUP(D120,'FDE 10-23 '!$A$4:$E$3180,2,0),IF(C120="INFRA",VLOOKUP(D120,#REF!,2,0),""))))))),"")</f>
        <v>PF-11 PORTA/JANELA DE FERRO 180X260CM</v>
      </c>
      <c r="F120" s="65" t="str">
        <f>VLOOKUP(D120,'FDE 10-23 '!$A$4:$E$3180,3,0)</f>
        <v>UN</v>
      </c>
      <c r="G120" s="66">
        <v>4</v>
      </c>
      <c r="H120" s="67">
        <f>VLOOKUP(D120,'FDE 10-23 '!$A$4:$E$3180,5,0)</f>
        <v>9034.44</v>
      </c>
      <c r="I120" s="92">
        <f t="shared" ref="I120:I129" si="18">$L$10</f>
        <v>0.23</v>
      </c>
      <c r="J120" s="67">
        <f t="shared" ref="J120:J129" si="19">ROUND(H120*(1+I120),2)</f>
        <v>11112.36</v>
      </c>
      <c r="K120" s="71">
        <f t="shared" ref="K120:K129" si="20">SUM(G120*J120)</f>
        <v>44449.440000000002</v>
      </c>
      <c r="L120" s="51"/>
      <c r="M120" s="52"/>
    </row>
    <row r="121" spans="2:13" s="25" customFormat="1" ht="30" customHeight="1" outlineLevel="1">
      <c r="B121" s="61"/>
      <c r="C121" s="62" t="s">
        <v>26</v>
      </c>
      <c r="D121" s="63" t="s">
        <v>258</v>
      </c>
      <c r="E121" s="64" t="str">
        <f>IFERROR(UPPER(IF(C121="CPU",VLOOKUP(D121,#REF!,2,0),IF(C121="SINAPI",VLOOKUP(D121,#REF!,2,0),IF(C121="EDIF",VLOOKUP(D121,#REF!,2,0),IF(C121="CDHU",VLOOKUP(D121,#REF!,2,0),IF(C121="FDE",VLOOKUP(D121,'FDE 10-23 '!$A$4:$E$3180,2,0),IF(C121="INFRA",VLOOKUP(D121,#REF!,2,0),""))))))),"")</f>
        <v>PF-15 PORTA EM CHAPA DE FERRO (L=82 CM)</v>
      </c>
      <c r="F121" s="65" t="str">
        <f>VLOOKUP(D121,'FDE 10-23 '!$A$4:$E$3180,3,0)</f>
        <v>UN</v>
      </c>
      <c r="G121" s="66">
        <v>6</v>
      </c>
      <c r="H121" s="67">
        <f>VLOOKUP(D121,'FDE 10-23 '!$A$4:$E$3180,5,0)</f>
        <v>4468.3100000000004</v>
      </c>
      <c r="I121" s="92">
        <f t="shared" si="18"/>
        <v>0.23</v>
      </c>
      <c r="J121" s="67">
        <f t="shared" si="19"/>
        <v>5496.02</v>
      </c>
      <c r="K121" s="71">
        <f t="shared" si="20"/>
        <v>32976.120000000003</v>
      </c>
      <c r="L121" s="51"/>
      <c r="M121" s="52"/>
    </row>
    <row r="122" spans="2:13" s="25" customFormat="1" ht="30" customHeight="1" outlineLevel="1">
      <c r="B122" s="61"/>
      <c r="C122" s="62" t="s">
        <v>26</v>
      </c>
      <c r="D122" s="63" t="s">
        <v>260</v>
      </c>
      <c r="E122" s="64" t="str">
        <f>IFERROR(UPPER(IF(C122="CPU",VLOOKUP(D122,#REF!,2,0),IF(C122="SINAPI",VLOOKUP(D122,#REF!,2,0),IF(C122="EDIF",VLOOKUP(D122,#REF!,2,0),IF(C122="CDHU",VLOOKUP(D122,#REF!,2,0),IF(C122="FDE",VLOOKUP(D122,'FDE 10-23 '!$A$4:$E$3180,2,0),IF(C122="INFRA",VLOOKUP(D122,#REF!,2,0),""))))))),"")</f>
        <v>PF-16 PORTA EM CHAPA DE FERRO (L=92 CM)</v>
      </c>
      <c r="F122" s="65" t="str">
        <f>VLOOKUP(D122,'FDE 10-23 '!$A$4:$E$3180,3,0)</f>
        <v>UN</v>
      </c>
      <c r="G122" s="66">
        <v>6</v>
      </c>
      <c r="H122" s="67">
        <f>VLOOKUP(D122,'FDE 10-23 '!$A$4:$E$3180,5,0)</f>
        <v>4838.41</v>
      </c>
      <c r="I122" s="92">
        <f t="shared" si="18"/>
        <v>0.23</v>
      </c>
      <c r="J122" s="67">
        <f t="shared" si="19"/>
        <v>5951.24</v>
      </c>
      <c r="K122" s="71">
        <f t="shared" si="20"/>
        <v>35707.440000000002</v>
      </c>
      <c r="L122" s="51"/>
      <c r="M122" s="52"/>
    </row>
    <row r="123" spans="2:13" s="25" customFormat="1" ht="30" customHeight="1" outlineLevel="1">
      <c r="B123" s="61"/>
      <c r="C123" s="62" t="s">
        <v>26</v>
      </c>
      <c r="D123" s="63" t="s">
        <v>262</v>
      </c>
      <c r="E123" s="64" t="str">
        <f>IFERROR(UPPER(IF(C123="CPU",VLOOKUP(D123,#REF!,2,0),IF(C123="SINAPI",VLOOKUP(D123,#REF!,2,0),IF(C123="EDIF",VLOOKUP(D123,#REF!,2,0),IF(C123="CDHU",VLOOKUP(D123,#REF!,2,0),IF(C123="FDE",VLOOKUP(D123,'FDE 10-23 '!$A$4:$E$3180,2,0),IF(C123="INFRA",VLOOKUP(D123,#REF!,2,0),""))))))),"")</f>
        <v>PF-19 PORTA DE FERRO P/ RESERVATORIO - GALVANIZADA</v>
      </c>
      <c r="F123" s="65" t="str">
        <f>VLOOKUP(D123,'FDE 10-23 '!$A$4:$E$3180,3,0)</f>
        <v>UN</v>
      </c>
      <c r="G123" s="66">
        <v>4</v>
      </c>
      <c r="H123" s="67">
        <f>VLOOKUP(D123,'FDE 10-23 '!$A$4:$E$3180,5,0)</f>
        <v>3624.85</v>
      </c>
      <c r="I123" s="92">
        <f t="shared" si="18"/>
        <v>0.23</v>
      </c>
      <c r="J123" s="67">
        <f t="shared" si="19"/>
        <v>4458.57</v>
      </c>
      <c r="K123" s="71">
        <f t="shared" si="20"/>
        <v>17834.28</v>
      </c>
      <c r="L123" s="51"/>
      <c r="M123" s="52"/>
    </row>
    <row r="124" spans="2:13" s="25" customFormat="1" ht="30" customHeight="1" outlineLevel="1">
      <c r="B124" s="61"/>
      <c r="C124" s="62" t="s">
        <v>26</v>
      </c>
      <c r="D124" s="63" t="s">
        <v>264</v>
      </c>
      <c r="E124" s="64" t="str">
        <f>IFERROR(UPPER(IF(C124="CPU",VLOOKUP(D124,#REF!,2,0),IF(C124="SINAPI",VLOOKUP(D124,#REF!,2,0),IF(C124="EDIF",VLOOKUP(D124,#REF!,2,0),IF(C124="CDHU",VLOOKUP(D124,#REF!,2,0),IF(C124="FDE",VLOOKUP(D124,'FDE 10-23 '!$A$4:$E$3180,2,0),IF(C124="INFRA",VLOOKUP(D124,#REF!,2,0),""))))))),"")</f>
        <v>PF-20 PORTA DE FERRO COM BANDEIRA CHAPA PERFURADA  L=180CM</v>
      </c>
      <c r="F124" s="65" t="str">
        <f>VLOOKUP(D124,'FDE 10-23 '!$A$4:$E$3180,3,0)</f>
        <v>UN</v>
      </c>
      <c r="G124" s="66">
        <v>3</v>
      </c>
      <c r="H124" s="67">
        <f>VLOOKUP(D124,'FDE 10-23 '!$A$4:$E$3180,5,0)</f>
        <v>7952.44</v>
      </c>
      <c r="I124" s="92">
        <f t="shared" si="18"/>
        <v>0.23</v>
      </c>
      <c r="J124" s="67">
        <f t="shared" si="19"/>
        <v>9781.5</v>
      </c>
      <c r="K124" s="71">
        <f t="shared" si="20"/>
        <v>29344.5</v>
      </c>
      <c r="L124" s="51"/>
      <c r="M124" s="52"/>
    </row>
    <row r="125" spans="2:13" s="25" customFormat="1" ht="30" customHeight="1" outlineLevel="1">
      <c r="B125" s="61"/>
      <c r="C125" s="62" t="s">
        <v>26</v>
      </c>
      <c r="D125" s="63" t="s">
        <v>266</v>
      </c>
      <c r="E125" s="64" t="str">
        <f>IFERROR(UPPER(IF(C125="CPU",VLOOKUP(D125,#REF!,2,0),IF(C125="SINAPI",VLOOKUP(D125,#REF!,2,0),IF(C125="EDIF",VLOOKUP(D125,#REF!,2,0),IF(C125="CDHU",VLOOKUP(D125,#REF!,2,0),IF(C125="FDE",VLOOKUP(D125,'FDE 10-23 '!$A$4:$E$3180,2,0),IF(C125="INFRA",VLOOKUP(D125,#REF!,2,0),""))))))),"")</f>
        <v>PF-27 PORTA DE FERRO 90X215CM</v>
      </c>
      <c r="F125" s="65" t="str">
        <f>VLOOKUP(D125,'FDE 10-23 '!$A$4:$E$3180,3,0)</f>
        <v>UN</v>
      </c>
      <c r="G125" s="66">
        <v>1</v>
      </c>
      <c r="H125" s="67">
        <f>VLOOKUP(D125,'FDE 10-23 '!$A$4:$E$3180,5,0)</f>
        <v>2806.66</v>
      </c>
      <c r="I125" s="92">
        <f t="shared" si="18"/>
        <v>0.23</v>
      </c>
      <c r="J125" s="67">
        <f t="shared" si="19"/>
        <v>3452.19</v>
      </c>
      <c r="K125" s="71">
        <f t="shared" si="20"/>
        <v>3452.19</v>
      </c>
      <c r="L125" s="51"/>
      <c r="M125" s="52"/>
    </row>
    <row r="126" spans="2:13" s="25" customFormat="1" ht="30" customHeight="1" outlineLevel="1">
      <c r="B126" s="61"/>
      <c r="C126" s="62" t="s">
        <v>26</v>
      </c>
      <c r="D126" s="63" t="s">
        <v>268</v>
      </c>
      <c r="E126" s="64" t="str">
        <f>IFERROR(UPPER(IF(C126="CPU",VLOOKUP(D126,#REF!,2,0),IF(C126="SINAPI",VLOOKUP(D126,#REF!,2,0),IF(C126="EDIF",VLOOKUP(D126,#REF!,2,0),IF(C126="CDHU",VLOOKUP(D126,#REF!,2,0),IF(C126="FDE",VLOOKUP(D126,'FDE 10-23 '!$A$4:$E$3180,2,0),IF(C126="INFRA",VLOOKUP(D126,#REF!,2,0),""))))))),"")</f>
        <v>PF-30 PORTA EM CHAPA DE AÇO C/VENT.PERM (L=140CM)</v>
      </c>
      <c r="F126" s="65" t="str">
        <f>VLOOKUP(D126,'FDE 10-23 '!$A$4:$E$3180,3,0)</f>
        <v>UN</v>
      </c>
      <c r="G126" s="66">
        <v>1</v>
      </c>
      <c r="H126" s="67">
        <f>VLOOKUP(D126,'FDE 10-23 '!$A$4:$E$3180,5,0)</f>
        <v>5537.91</v>
      </c>
      <c r="I126" s="92">
        <f t="shared" si="18"/>
        <v>0.23</v>
      </c>
      <c r="J126" s="67">
        <f t="shared" si="19"/>
        <v>6811.63</v>
      </c>
      <c r="K126" s="71">
        <f t="shared" si="20"/>
        <v>6811.63</v>
      </c>
      <c r="L126" s="51"/>
      <c r="M126" s="52"/>
    </row>
    <row r="127" spans="2:13" s="25" customFormat="1" ht="30" customHeight="1" outlineLevel="1">
      <c r="B127" s="61"/>
      <c r="C127" s="62" t="s">
        <v>26</v>
      </c>
      <c r="D127" s="63" t="s">
        <v>270</v>
      </c>
      <c r="E127" s="64" t="str">
        <f>IFERROR(UPPER(IF(C127="CPU",VLOOKUP(D127,#REF!,2,0),IF(C127="SINAPI",VLOOKUP(D127,#REF!,2,0),IF(C127="EDIF",VLOOKUP(D127,#REF!,2,0),IF(C127="CDHU",VLOOKUP(D127,#REF!,2,0),IF(C127="FDE",VLOOKUP(D127,'FDE 10-23 '!$A$4:$E$3180,2,0),IF(C127="INFRA",VLOOKUP(D127,#REF!,2,0),""))))))),"")</f>
        <v>PF-32 PORTA EM CHAPA DE AÇO 82X210CM C/VENTILAÇÃO</v>
      </c>
      <c r="F127" s="65" t="str">
        <f>VLOOKUP(D127,'FDE 10-23 '!$A$4:$E$3180,3,0)</f>
        <v>UN</v>
      </c>
      <c r="G127" s="66">
        <v>3</v>
      </c>
      <c r="H127" s="67">
        <f>VLOOKUP(D127,'FDE 10-23 '!$A$4:$E$3180,5,0)</f>
        <v>3339.61</v>
      </c>
      <c r="I127" s="92">
        <f t="shared" si="18"/>
        <v>0.23</v>
      </c>
      <c r="J127" s="67">
        <f t="shared" si="19"/>
        <v>4107.72</v>
      </c>
      <c r="K127" s="71">
        <f t="shared" si="20"/>
        <v>12323.16</v>
      </c>
      <c r="L127" s="51"/>
      <c r="M127" s="52"/>
    </row>
    <row r="128" spans="2:13" s="25" customFormat="1" ht="30" customHeight="1" outlineLevel="1">
      <c r="B128" s="61"/>
      <c r="C128" s="62" t="s">
        <v>26</v>
      </c>
      <c r="D128" s="63" t="s">
        <v>272</v>
      </c>
      <c r="E128" s="64" t="str">
        <f>IFERROR(UPPER(IF(C128="CPU",VLOOKUP(D128,#REF!,2,0),IF(C128="SINAPI",VLOOKUP(D128,#REF!,2,0),IF(C128="EDIF",VLOOKUP(D128,#REF!,2,0),IF(C128="CDHU",VLOOKUP(D128,#REF!,2,0),IF(C128="FDE",VLOOKUP(D128,'FDE 10-23 '!$A$4:$E$3180,2,0),IF(C128="INFRA",VLOOKUP(D128,#REF!,2,0),""))))))),"")</f>
        <v>PT-39 PORTAO EM GRADIL ELETROFUNDIDO (165X230CM)</v>
      </c>
      <c r="F128" s="65" t="str">
        <f>VLOOKUP(D128,'FDE 10-23 '!$A$4:$E$3180,3,0)</f>
        <v>UN</v>
      </c>
      <c r="G128" s="66">
        <v>9</v>
      </c>
      <c r="H128" s="67">
        <f>VLOOKUP(D128,'FDE 10-23 '!$A$4:$E$3180,5,0)</f>
        <v>3765.79</v>
      </c>
      <c r="I128" s="92">
        <f t="shared" si="18"/>
        <v>0.23</v>
      </c>
      <c r="J128" s="67">
        <f t="shared" si="19"/>
        <v>4631.92</v>
      </c>
      <c r="K128" s="71">
        <f t="shared" si="20"/>
        <v>41687.279999999999</v>
      </c>
      <c r="L128" s="51"/>
      <c r="M128" s="52"/>
    </row>
    <row r="129" spans="2:13" s="25" customFormat="1" ht="30" customHeight="1" outlineLevel="1">
      <c r="B129" s="61"/>
      <c r="C129" s="62" t="s">
        <v>26</v>
      </c>
      <c r="D129" s="63" t="s">
        <v>274</v>
      </c>
      <c r="E129" s="64" t="str">
        <f>IFERROR(UPPER(IF(C129="CPU",VLOOKUP(D129,#REF!,2,0),IF(C129="SINAPI",VLOOKUP(D129,#REF!,2,0),IF(C129="EDIF",VLOOKUP(D129,#REF!,2,0),IF(C129="CDHU",VLOOKUP(D129,#REF!,2,0),IF(C129="FDE",VLOOKUP(D129,'FDE 10-23 '!$A$4:$E$3180,2,0),IF(C129="INFRA",VLOOKUP(D129,#REF!,2,0),""))))))),"")</f>
        <v>ME-02 MONTANTE ESTRUTURAL VERTICAL P/ESQUADRIAS EM VÃO DE 7,20M</v>
      </c>
      <c r="F129" s="65" t="str">
        <f>VLOOKUP(D129,'FDE 10-23 '!$A$4:$E$3180,3,0)</f>
        <v>M</v>
      </c>
      <c r="G129" s="66">
        <v>114.8</v>
      </c>
      <c r="H129" s="67">
        <f>VLOOKUP(D129,'FDE 10-23 '!$A$4:$E$3180,5,0)</f>
        <v>135.31</v>
      </c>
      <c r="I129" s="92">
        <f t="shared" si="18"/>
        <v>0.23</v>
      </c>
      <c r="J129" s="67">
        <f t="shared" si="19"/>
        <v>166.43</v>
      </c>
      <c r="K129" s="71">
        <f t="shared" si="20"/>
        <v>19106.164000000001</v>
      </c>
      <c r="L129" s="51"/>
      <c r="M129" s="52"/>
    </row>
    <row r="130" spans="2:13" s="25" customFormat="1" ht="30" customHeight="1" outlineLevel="1">
      <c r="B130" s="53"/>
      <c r="C130" s="54"/>
      <c r="D130" s="54" t="s">
        <v>276</v>
      </c>
      <c r="E130" s="55" t="s">
        <v>277</v>
      </c>
      <c r="F130" s="56" t="str">
        <f>IFERROR(UPPER(IF(C130="CPU",VLOOKUP(D130,#REF!,3,0),IF(C130="SINAPI",VLOOKUP(D130,#REF!,3,0),IF(C130="EDIF",VLOOKUP(D130,#REF!,3,0),IF(C130="CDHU",VLOOKUP(D130,#REF!,3,0),IF(C130="FDE",VLOOKUP(D130,#REF!,3,0),IF(C130="INFRA",VLOOKUP(D130,#REF!,3,0),""))))))),"")</f>
        <v/>
      </c>
      <c r="G130" s="57"/>
      <c r="H13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30" s="59"/>
      <c r="J130" s="59"/>
      <c r="K130" s="82">
        <f>SUBTOTAL(9,K131:K138)</f>
        <v>327675.84869999997</v>
      </c>
      <c r="L130" s="51"/>
      <c r="M130" s="52"/>
    </row>
    <row r="131" spans="2:13" s="25" customFormat="1" ht="30" customHeight="1" outlineLevel="1">
      <c r="B131" s="61"/>
      <c r="C131" s="62" t="s">
        <v>26</v>
      </c>
      <c r="D131" s="63" t="s">
        <v>279</v>
      </c>
      <c r="E131" s="64" t="str">
        <f>IFERROR(UPPER(IF(C131="CPU",VLOOKUP(D131,#REF!,2,0),IF(C131="SINAPI",VLOOKUP(D131,#REF!,2,0),IF(C131="EDIF",VLOOKUP(D131,#REF!,2,0),IF(C131="CDHU",VLOOKUP(D131,#REF!,2,0),IF(C131="FDE",VLOOKUP(D131,'FDE 10-23 '!$A$4:$E$3180,2,0),IF(C131="INFRA",VLOOKUP(D131,#REF!,2,0),""))))))),"")</f>
        <v>TI-01 TAMPA DE INSPECAO - ACO</v>
      </c>
      <c r="F131" s="65" t="str">
        <f>VLOOKUP(D131,'FDE 10-23 '!$A$4:$E$3180,3,0)</f>
        <v>UN</v>
      </c>
      <c r="G131" s="66">
        <v>3</v>
      </c>
      <c r="H131" s="67">
        <f>VLOOKUP(D131,'FDE 10-23 '!$A$4:$E$3180,5,0)</f>
        <v>942.55</v>
      </c>
      <c r="I131" s="92">
        <f t="shared" ref="I131:I138" si="21">$L$10</f>
        <v>0.23</v>
      </c>
      <c r="J131" s="67">
        <f t="shared" ref="J131:J138" si="22">ROUND(H131*(1+I131),2)</f>
        <v>1159.3399999999999</v>
      </c>
      <c r="K131" s="71">
        <f t="shared" ref="K131:K138" si="23">SUM(G131*J131)</f>
        <v>3478.0199999999995</v>
      </c>
      <c r="L131" s="51"/>
      <c r="M131" s="52"/>
    </row>
    <row r="132" spans="2:13" s="25" customFormat="1" ht="30" customHeight="1" outlineLevel="1">
      <c r="B132" s="61"/>
      <c r="C132" s="62" t="s">
        <v>26</v>
      </c>
      <c r="D132" s="63" t="s">
        <v>281</v>
      </c>
      <c r="E132" s="64" t="str">
        <f>IFERROR(UPPER(IF(C132="CPU",VLOOKUP(D132,#REF!,2,0),IF(C132="SINAPI",VLOOKUP(D132,#REF!,2,0),IF(C132="EDIF",VLOOKUP(D132,#REF!,2,0),IF(C132="CDHU",VLOOKUP(D132,#REF!,2,0),IF(C132="FDE",VLOOKUP(D132,'FDE 10-23 '!$A$4:$E$3180,2,0),IF(C132="INFRA",VLOOKUP(D132,#REF!,2,0),""))))))),"")</f>
        <v>BP-02 BARRA ANTIPANICO DUPLA</v>
      </c>
      <c r="F132" s="65" t="str">
        <f>VLOOKUP(D132,'FDE 10-23 '!$A$4:$E$3180,3,0)</f>
        <v>UN</v>
      </c>
      <c r="G132" s="66">
        <v>2</v>
      </c>
      <c r="H132" s="67">
        <f>VLOOKUP(D132,'FDE 10-23 '!$A$4:$E$3180,5,0)</f>
        <v>1818.89</v>
      </c>
      <c r="I132" s="92">
        <f t="shared" si="21"/>
        <v>0.23</v>
      </c>
      <c r="J132" s="67">
        <f t="shared" si="22"/>
        <v>2237.23</v>
      </c>
      <c r="K132" s="71">
        <f t="shared" si="23"/>
        <v>4474.46</v>
      </c>
      <c r="L132" s="51"/>
      <c r="M132" s="52"/>
    </row>
    <row r="133" spans="2:13" s="25" customFormat="1" ht="30" customHeight="1" outlineLevel="1">
      <c r="B133" s="61"/>
      <c r="C133" s="62" t="s">
        <v>26</v>
      </c>
      <c r="D133" s="63" t="s">
        <v>283</v>
      </c>
      <c r="E133" s="64" t="str">
        <f>IFERROR(UPPER(IF(C133="CPU",VLOOKUP(D133,#REF!,2,0),IF(C133="SINAPI",VLOOKUP(D133,#REF!,2,0),IF(C133="EDIF",VLOOKUP(D133,#REF!,2,0),IF(C133="CDHU",VLOOKUP(D133,#REF!,2,0),IF(C133="FDE",VLOOKUP(D133,'FDE 10-23 '!$A$4:$E$3180,2,0),IF(C133="INFRA",VLOOKUP(D133,#REF!,2,0),""))))))),"")</f>
        <v>TP-03 TELA DE PROTEÇÃO ARAME GALVANIZADO ONDULADO  - REQUADRO DE FERRO</v>
      </c>
      <c r="F133" s="65" t="str">
        <f>VLOOKUP(D133,'FDE 10-23 '!$A$4:$E$3180,3,0)</f>
        <v>M2</v>
      </c>
      <c r="G133" s="66">
        <v>13.85</v>
      </c>
      <c r="H133" s="67">
        <f>VLOOKUP(D133,'FDE 10-23 '!$A$4:$E$3180,5,0)</f>
        <v>462.9</v>
      </c>
      <c r="I133" s="92">
        <f t="shared" si="21"/>
        <v>0.23</v>
      </c>
      <c r="J133" s="67">
        <f t="shared" si="22"/>
        <v>569.37</v>
      </c>
      <c r="K133" s="71">
        <f t="shared" si="23"/>
        <v>7885.7744999999995</v>
      </c>
      <c r="L133" s="51"/>
      <c r="M133" s="52"/>
    </row>
    <row r="134" spans="2:13" s="25" customFormat="1" ht="30" customHeight="1" outlineLevel="1">
      <c r="B134" s="61"/>
      <c r="C134" s="62" t="s">
        <v>26</v>
      </c>
      <c r="D134" s="63" t="s">
        <v>285</v>
      </c>
      <c r="E134" s="64" t="str">
        <f>IFERROR(UPPER(IF(C134="CPU",VLOOKUP(D134,#REF!,2,0),IF(C134="SINAPI",VLOOKUP(D134,#REF!,2,0),IF(C134="EDIF",VLOOKUP(D134,#REF!,2,0),IF(C134="CDHU",VLOOKUP(D134,#REF!,2,0),IF(C134="FDE",VLOOKUP(D134,'FDE 10-23 '!$A$4:$E$3180,2,0),IF(C134="INFRA",VLOOKUP(D134,#REF!,2,0),""))))))),"")</f>
        <v>EM-05 ESCADA MARINHEIRO (GALVANIZADA)</v>
      </c>
      <c r="F134" s="65" t="str">
        <f>VLOOKUP(D134,'FDE 10-23 '!$A$4:$E$3180,3,0)</f>
        <v>M</v>
      </c>
      <c r="G134" s="66">
        <v>8</v>
      </c>
      <c r="H134" s="67">
        <f>VLOOKUP(D134,'FDE 10-23 '!$A$4:$E$3180,5,0)</f>
        <v>811.59</v>
      </c>
      <c r="I134" s="92">
        <f t="shared" si="21"/>
        <v>0.23</v>
      </c>
      <c r="J134" s="67">
        <f t="shared" si="22"/>
        <v>998.26</v>
      </c>
      <c r="K134" s="71">
        <f t="shared" si="23"/>
        <v>7986.08</v>
      </c>
      <c r="L134" s="51"/>
      <c r="M134" s="52"/>
    </row>
    <row r="135" spans="2:13" s="25" customFormat="1" ht="30" customHeight="1" outlineLevel="1">
      <c r="B135" s="61"/>
      <c r="C135" s="62" t="s">
        <v>26</v>
      </c>
      <c r="D135" s="63" t="s">
        <v>287</v>
      </c>
      <c r="E135" s="64" t="str">
        <f>IFERROR(UPPER(IF(C135="CPU",VLOOKUP(D135,#REF!,2,0),IF(C135="SINAPI",VLOOKUP(D135,#REF!,2,0),IF(C135="EDIF",VLOOKUP(D135,#REF!,2,0),IF(C135="CDHU",VLOOKUP(D135,#REF!,2,0),IF(C135="FDE",VLOOKUP(D135,'FDE 10-23 '!$A$4:$E$3180,2,0),IF(C135="INFRA",VLOOKUP(D135,#REF!,2,0),""))))))),"")</f>
        <v>EM-06 ESCADA DE MARINHEIRO C/GUARDA CORPO GALVANIZADA</v>
      </c>
      <c r="F135" s="65" t="str">
        <f>VLOOKUP(D135,'FDE 10-23 '!$A$4:$E$3180,3,0)</f>
        <v>M</v>
      </c>
      <c r="G135" s="66">
        <v>18</v>
      </c>
      <c r="H135" s="67">
        <f>VLOOKUP(D135,'FDE 10-23 '!$A$4:$E$3180,5,0)</f>
        <v>1411.13</v>
      </c>
      <c r="I135" s="92">
        <f t="shared" si="21"/>
        <v>0.23</v>
      </c>
      <c r="J135" s="67">
        <f t="shared" si="22"/>
        <v>1735.69</v>
      </c>
      <c r="K135" s="71">
        <f t="shared" si="23"/>
        <v>31242.420000000002</v>
      </c>
      <c r="L135" s="51"/>
      <c r="M135" s="52"/>
    </row>
    <row r="136" spans="2:13" s="25" customFormat="1" ht="30" customHeight="1" outlineLevel="1">
      <c r="B136" s="61"/>
      <c r="C136" s="62" t="s">
        <v>26</v>
      </c>
      <c r="D136" s="63" t="s">
        <v>289</v>
      </c>
      <c r="E136" s="64" t="str">
        <f>IFERROR(UPPER(IF(C136="CPU",VLOOKUP(D136,#REF!,2,0),IF(C136="SINAPI",VLOOKUP(D136,#REF!,2,0),IF(C136="EDIF",VLOOKUP(D136,#REF!,2,0),IF(C136="CDHU",VLOOKUP(D136,#REF!,2,0),IF(C136="FDE",VLOOKUP(D136,'FDE 10-23 '!$A$4:$E$3180,2,0),IF(C136="INFRA",VLOOKUP(D136,#REF!,2,0),""))))))),"")</f>
        <v>TP-12 TELA DE PROTECAO REMOVIVEL</v>
      </c>
      <c r="F136" s="65" t="str">
        <f>VLOOKUP(D136,'FDE 10-23 '!$A$4:$E$3180,3,0)</f>
        <v>M2</v>
      </c>
      <c r="G136" s="66">
        <v>86.86</v>
      </c>
      <c r="H136" s="67">
        <f>VLOOKUP(D136,'FDE 10-23 '!$A$4:$E$3180,5,0)</f>
        <v>1075.0999999999999</v>
      </c>
      <c r="I136" s="92">
        <f t="shared" si="21"/>
        <v>0.23</v>
      </c>
      <c r="J136" s="67">
        <f t="shared" si="22"/>
        <v>1322.37</v>
      </c>
      <c r="K136" s="71">
        <f t="shared" si="23"/>
        <v>114861.05819999998</v>
      </c>
      <c r="L136" s="51"/>
      <c r="M136" s="52"/>
    </row>
    <row r="137" spans="2:13" s="25" customFormat="1" ht="30" customHeight="1" outlineLevel="1">
      <c r="B137" s="61"/>
      <c r="C137" s="62" t="s">
        <v>26</v>
      </c>
      <c r="D137" s="63" t="s">
        <v>291</v>
      </c>
      <c r="E137" s="64" t="str">
        <f>IFERROR(UPPER(IF(C137="CPU",VLOOKUP(D137,#REF!,2,0),IF(C137="SINAPI",VLOOKUP(D137,#REF!,2,0),IF(C137="EDIF",VLOOKUP(D137,#REF!,2,0),IF(C137="CDHU",VLOOKUP(D137,#REF!,2,0),IF(C137="FDE",VLOOKUP(D137,'FDE 10-23 '!$A$4:$E$3180,2,0),IF(C137="INFRA",VLOOKUP(D137,#REF!,2,0),""))))))),"")</f>
        <v>CO-34 CORRIMÃO DUPLO AÇO GALVANIZADO COM PINTURA ESMALTE.</v>
      </c>
      <c r="F137" s="65" t="str">
        <f>VLOOKUP(D137,'FDE 10-23 '!$A$4:$E$3180,3,0)</f>
        <v>M</v>
      </c>
      <c r="G137" s="66">
        <v>157.69999999999999</v>
      </c>
      <c r="H137" s="67">
        <f>VLOOKUP(D137,'FDE 10-23 '!$A$4:$E$3180,5,0)</f>
        <v>568.98</v>
      </c>
      <c r="I137" s="92">
        <f t="shared" si="21"/>
        <v>0.23</v>
      </c>
      <c r="J137" s="67">
        <f t="shared" si="22"/>
        <v>699.85</v>
      </c>
      <c r="K137" s="71">
        <f t="shared" si="23"/>
        <v>110366.345</v>
      </c>
      <c r="L137" s="51"/>
      <c r="M137" s="52"/>
    </row>
    <row r="138" spans="2:13" s="25" customFormat="1" ht="30" customHeight="1" outlineLevel="1">
      <c r="B138" s="61"/>
      <c r="C138" s="62" t="s">
        <v>26</v>
      </c>
      <c r="D138" s="63" t="s">
        <v>293</v>
      </c>
      <c r="E138" s="64" t="str">
        <f>IFERROR(UPPER(IF(C138="CPU",VLOOKUP(D138,#REF!,2,0),IF(C138="SINAPI",VLOOKUP(D138,#REF!,2,0),IF(C138="EDIF",VLOOKUP(D138,#REF!,2,0),IF(C138="CDHU",VLOOKUP(D138,#REF!,2,0),IF(C138="FDE",VLOOKUP(D138,'FDE 10-23 '!$A$4:$E$3180,2,0),IF(C138="INFRA",VLOOKUP(D138,#REF!,2,0),""))))))),"")</f>
        <v>CO-40 GUARDA-CORPO TUBULAR H=15CM SOBRE ALVENARIA AÇO GALVANIZADO COM PINTURA ESMALTE</v>
      </c>
      <c r="F138" s="65" t="str">
        <f>VLOOKUP(D138,'FDE 10-23 '!$A$4:$E$3180,3,0)</f>
        <v>M</v>
      </c>
      <c r="G138" s="66">
        <v>79.099999999999994</v>
      </c>
      <c r="H138" s="67">
        <f>VLOOKUP(D138,'FDE 10-23 '!$A$4:$E$3180,5,0)</f>
        <v>487</v>
      </c>
      <c r="I138" s="92">
        <f t="shared" si="21"/>
        <v>0.23</v>
      </c>
      <c r="J138" s="67">
        <f t="shared" si="22"/>
        <v>599.01</v>
      </c>
      <c r="K138" s="71">
        <f t="shared" si="23"/>
        <v>47381.690999999999</v>
      </c>
      <c r="L138" s="51"/>
      <c r="M138" s="52"/>
    </row>
    <row r="139" spans="2:13" s="25" customFormat="1" ht="30" customHeight="1">
      <c r="B139" s="43">
        <v>7</v>
      </c>
      <c r="C139" s="44"/>
      <c r="D139" s="44" t="s">
        <v>294</v>
      </c>
      <c r="E139" s="45" t="s">
        <v>295</v>
      </c>
      <c r="F139" s="46" t="str">
        <f>IFERROR(UPPER(IF(C139="CPU",VLOOKUP(D139,#REF!,3,0),IF(C139="SINAPI",VLOOKUP(D139,#REF!,3,0),IF(C139="EDIF",VLOOKUP(D139,#REF!,3,0),IF(C139="CDHU",VLOOKUP(D139,#REF!,3,0),IF(C139="FDE",VLOOKUP(D139,#REF!,3,0),IF(C139="INFRA",VLOOKUP(D139,#REF!,3,0),""))))))),"")</f>
        <v/>
      </c>
      <c r="G139" s="47"/>
      <c r="H139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39" s="49"/>
      <c r="J139" s="49"/>
      <c r="K139" s="81">
        <f>SUBTOTAL(9,K140:K151)</f>
        <v>1424016.5486000003</v>
      </c>
      <c r="L139" s="51"/>
      <c r="M139" s="52"/>
    </row>
    <row r="140" spans="2:13" s="25" customFormat="1" ht="30" customHeight="1" outlineLevel="1">
      <c r="B140" s="53"/>
      <c r="C140" s="54"/>
      <c r="D140" s="54" t="s">
        <v>297</v>
      </c>
      <c r="E140" s="55" t="s">
        <v>298</v>
      </c>
      <c r="F140" s="56" t="str">
        <f>IFERROR(UPPER(IF(C140="CPU",VLOOKUP(D140,#REF!,3,0),IF(C140="SINAPI",VLOOKUP(D140,#REF!,3,0),IF(C140="EDIF",VLOOKUP(D140,#REF!,3,0),IF(C140="CDHU",VLOOKUP(D140,#REF!,3,0),IF(C140="FDE",VLOOKUP(D140,#REF!,3,0),IF(C140="INFRA",VLOOKUP(D140,#REF!,3,0),""))))))),"")</f>
        <v/>
      </c>
      <c r="G140" s="57"/>
      <c r="H14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40" s="59"/>
      <c r="J140" s="59"/>
      <c r="K140" s="82">
        <f>SUBTOTAL(9,K141)</f>
        <v>963200.64</v>
      </c>
      <c r="L140" s="51"/>
      <c r="M140" s="52"/>
    </row>
    <row r="141" spans="2:13" s="25" customFormat="1" ht="30" customHeight="1" outlineLevel="1">
      <c r="B141" s="61"/>
      <c r="C141" s="62" t="s">
        <v>26</v>
      </c>
      <c r="D141" s="63" t="s">
        <v>300</v>
      </c>
      <c r="E141" s="64" t="str">
        <f>IFERROR(UPPER(IF(C141="CPU",VLOOKUP(D141,#REF!,2,0),IF(C141="SINAPI",VLOOKUP(D141,#REF!,2,0),IF(C141="EDIF",VLOOKUP(D141,#REF!,2,0),IF(C141="CDHU",VLOOKUP(D141,#REF!,2,0),IF(C141="FDE",VLOOKUP(D141,'FDE 10-23 '!$A$4:$E$3180,2,0),IF(C141="INFRA",VLOOKUP(D141,#REF!,2,0),""))))))),"")</f>
        <v>FORNECIMENTO E MONTAGEM DE ESTRUTURA METALICA COM AÇO NAO PATINAVE (ASTM A36/A570)</v>
      </c>
      <c r="F141" s="65" t="str">
        <f>VLOOKUP(D141,'FDE 10-23 '!$A$4:$E$3180,3,0)</f>
        <v>KG</v>
      </c>
      <c r="G141" s="66">
        <v>29802</v>
      </c>
      <c r="H141" s="67">
        <f>VLOOKUP(D141,'FDE 10-23 '!$A$4:$E$3180,5,0)</f>
        <v>26.28</v>
      </c>
      <c r="I141" s="92">
        <f>$L$10</f>
        <v>0.23</v>
      </c>
      <c r="J141" s="67">
        <f>ROUND(H141*(1+I141),2)</f>
        <v>32.32</v>
      </c>
      <c r="K141" s="71">
        <f>SUM(G141*J141)</f>
        <v>963200.64</v>
      </c>
      <c r="L141" s="51"/>
      <c r="M141" s="52"/>
    </row>
    <row r="142" spans="2:13" s="25" customFormat="1" ht="30" customHeight="1" outlineLevel="1">
      <c r="B142" s="53"/>
      <c r="C142" s="54"/>
      <c r="D142" s="54" t="s">
        <v>302</v>
      </c>
      <c r="E142" s="55" t="s">
        <v>295</v>
      </c>
      <c r="F142" s="56" t="str">
        <f>IFERROR(UPPER(IF(C142="CPU",VLOOKUP(D142,#REF!,3,0),IF(C142="SINAPI",VLOOKUP(D142,#REF!,3,0),IF(C142="EDIF",VLOOKUP(D142,#REF!,3,0),IF(C142="CDHU",VLOOKUP(D142,#REF!,3,0),IF(C142="FDE",VLOOKUP(D142,#REF!,3,0),IF(C142="INFRA",VLOOKUP(D142,#REF!,3,0),""))))))),"")</f>
        <v/>
      </c>
      <c r="G142" s="57"/>
      <c r="H142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42" s="59"/>
      <c r="J142" s="59"/>
      <c r="K142" s="82">
        <f>SUBTOTAL(9,K143:K145)</f>
        <v>347926.83979999996</v>
      </c>
      <c r="L142" s="51"/>
      <c r="M142" s="52"/>
    </row>
    <row r="143" spans="2:13" s="25" customFormat="1" ht="30" customHeight="1" outlineLevel="1">
      <c r="B143" s="61"/>
      <c r="C143" s="62" t="s">
        <v>26</v>
      </c>
      <c r="D143" s="63" t="s">
        <v>304</v>
      </c>
      <c r="E143" s="64" t="str">
        <f>IFERROR(UPPER(IF(C143="CPU",VLOOKUP(D143,#REF!,2,0),IF(C143="SINAPI",VLOOKUP(D143,#REF!,2,0),IF(C143="EDIF",VLOOKUP(D143,#REF!,2,0),IF(C143="CDHU",VLOOKUP(D143,#REF!,2,0),IF(C143="FDE",VLOOKUP(D143,'FDE 10-23 '!$A$4:$E$3180,2,0),IF(C143="INFRA",VLOOKUP(D143,#REF!,2,0),""))))))),"")</f>
        <v>TELHA DE POLIESTER (PERFIL DA TRAPEZOIDAL ACO H ATE 40MM) - E=1,2MM</v>
      </c>
      <c r="F143" s="65" t="str">
        <f>VLOOKUP(D143,'FDE 10-23 '!$A$4:$E$3180,3,0)</f>
        <v>M2</v>
      </c>
      <c r="G143" s="66">
        <v>111.73</v>
      </c>
      <c r="H143" s="67">
        <f>VLOOKUP(D143,'FDE 10-23 '!$A$4:$E$3180,5,0)</f>
        <v>74.930000000000007</v>
      </c>
      <c r="I143" s="92">
        <f>$L$10</f>
        <v>0.23</v>
      </c>
      <c r="J143" s="67">
        <f>ROUND(H143*(1+I143),2)</f>
        <v>92.16</v>
      </c>
      <c r="K143" s="71">
        <f>SUM(G143*J143)</f>
        <v>10297.0368</v>
      </c>
      <c r="L143" s="51"/>
      <c r="M143" s="52"/>
    </row>
    <row r="144" spans="2:13" s="25" customFormat="1" ht="30" customHeight="1" outlineLevel="1">
      <c r="B144" s="61"/>
      <c r="C144" s="62" t="s">
        <v>26</v>
      </c>
      <c r="D144" s="63" t="s">
        <v>306</v>
      </c>
      <c r="E144" s="70" t="str">
        <f>IFERROR(UPPER(IF(C144="CPU",VLOOKUP(D144,#REF!,2,0),IF(C144="SINAPI",VLOOKUP(D144,#REF!,2,0),IF(C144="EDIF",VLOOKUP(D144,#REF!,2,0),IF(C144="CDHU",VLOOKUP(D144,#REF!,2,0),IF(C144="FDE",VLOOKUP(D144,'FDE 10-23 '!$A$4:$E$3180,2,0),IF(C144="INFRA",VLOOKUP(D144,#REF!,2,0),""))))))),"")</f>
        <v>TELHA GALVALUME / ACO GALV ACABAMENTO.NATURAL TRAPEZ H=40MM
.E=0,65MM</v>
      </c>
      <c r="F144" s="65" t="str">
        <f>VLOOKUP(D144,'FDE 10-23 '!$A$4:$E$3180,3,0)</f>
        <v>M2</v>
      </c>
      <c r="G144" s="66">
        <v>1496.6</v>
      </c>
      <c r="H144" s="67">
        <f>VLOOKUP(D144,'FDE 10-23 '!$A$4:$E$3180,5,0)</f>
        <v>100.09</v>
      </c>
      <c r="I144" s="92">
        <f>$L$10</f>
        <v>0.23</v>
      </c>
      <c r="J144" s="67">
        <f>ROUND(H144*(1+I144),2)</f>
        <v>123.11</v>
      </c>
      <c r="K144" s="71">
        <f>SUM(G144*J144)</f>
        <v>184246.42599999998</v>
      </c>
      <c r="L144" s="51"/>
      <c r="M144" s="52"/>
    </row>
    <row r="145" spans="2:13" s="25" customFormat="1" ht="30" customHeight="1" outlineLevel="1">
      <c r="B145" s="61"/>
      <c r="C145" s="62" t="s">
        <v>26</v>
      </c>
      <c r="D145" s="63" t="s">
        <v>308</v>
      </c>
      <c r="E145" s="64" t="str">
        <f>IFERROR(UPPER(IF(C145="CPU",VLOOKUP(D145,#REF!,2,0),IF(C145="SINAPI",VLOOKUP(D145,#REF!,2,0),IF(C145="EDIF",VLOOKUP(D145,#REF!,2,0),IF(C145="CDHU",VLOOKUP(D145,#REF!,2,0),IF(C145="FDE",VLOOKUP(D145,'FDE 10-23 '!$A$4:$E$3180,2,0),IF(C145="INFRA",VLOOKUP(D145,#REF!,2,0),""))))))),"")</f>
        <v>TELHA GALVALUME / ACO GALV SANDUICHE  E=50MM (PUR) / (PIR) SUPERIOR TRAPEZ H=40MM / INFERIOR PLANO  E= 0,50MM  COM PINT FACES APARENTES</v>
      </c>
      <c r="F145" s="65" t="str">
        <f>VLOOKUP(D145,'FDE 10-23 '!$A$4:$E$3180,3,0)</f>
        <v>M2</v>
      </c>
      <c r="G145" s="66">
        <v>607.82000000000005</v>
      </c>
      <c r="H145" s="67">
        <f>VLOOKUP(D145,'FDE 10-23 '!$A$4:$E$3180,5,0)</f>
        <v>205.16</v>
      </c>
      <c r="I145" s="92">
        <f>$L$10</f>
        <v>0.23</v>
      </c>
      <c r="J145" s="67">
        <f>ROUND(H145*(1+I145),2)</f>
        <v>252.35</v>
      </c>
      <c r="K145" s="71">
        <f>SUM(G145*J145)</f>
        <v>153383.37700000001</v>
      </c>
      <c r="L145" s="51"/>
      <c r="M145" s="52"/>
    </row>
    <row r="146" spans="2:13" s="25" customFormat="1" ht="30" customHeight="1" outlineLevel="1">
      <c r="B146" s="53"/>
      <c r="C146" s="54"/>
      <c r="D146" s="54" t="s">
        <v>310</v>
      </c>
      <c r="E146" s="55" t="s">
        <v>311</v>
      </c>
      <c r="F146" s="56" t="str">
        <f>IFERROR(UPPER(IF(C146="CPU",VLOOKUP(D146,#REF!,3,0),IF(C146="SINAPI",VLOOKUP(D146,#REF!,3,0),IF(C146="EDIF",VLOOKUP(D146,#REF!,3,0),IF(C146="CDHU",VLOOKUP(D146,#REF!,3,0),IF(C146="FDE",VLOOKUP(D146,#REF!,3,0),IF(C146="INFRA",VLOOKUP(D146,#REF!,3,0),""))))))),"")</f>
        <v/>
      </c>
      <c r="G146" s="57"/>
      <c r="H146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46" s="59"/>
      <c r="J146" s="59"/>
      <c r="K146" s="82">
        <f>SUBTOTAL(9,K147:K148)</f>
        <v>16519.968000000001</v>
      </c>
      <c r="L146" s="51"/>
      <c r="M146" s="52"/>
    </row>
    <row r="147" spans="2:13" s="25" customFormat="1" ht="30" customHeight="1" outlineLevel="1">
      <c r="B147" s="61"/>
      <c r="C147" s="62" t="s">
        <v>26</v>
      </c>
      <c r="D147" s="63" t="s">
        <v>313</v>
      </c>
      <c r="E147" s="64" t="str">
        <f>IFERROR(UPPER(IF(C147="CPU",VLOOKUP(D147,#REF!,2,0),IF(C147="SINAPI",VLOOKUP(D147,#REF!,2,0),IF(C147="EDIF",VLOOKUP(D147,#REF!,2,0),IF(C147="CDHU",VLOOKUP(D147,#REF!,2,0),IF(C147="FDE",VLOOKUP(D147,'FDE 10-23 '!$A$4:$E$3180,2,0),IF(C147="INFRA",VLOOKUP(D147,#REF!,2,0),""))))))),"")</f>
        <v>CUMEEIRA ACO GALV PINT PO/COIL-COATING PERFIL TRAPEZ H=100MM  E=0,65MM</v>
      </c>
      <c r="F147" s="65" t="str">
        <f>VLOOKUP(D147,'FDE 10-23 '!$A$4:$E$3180,3,0)</f>
        <v>M</v>
      </c>
      <c r="G147" s="66">
        <v>28.8</v>
      </c>
      <c r="H147" s="67">
        <f>VLOOKUP(D147,'FDE 10-23 '!$A$4:$E$3180,5,0)</f>
        <v>139.13</v>
      </c>
      <c r="I147" s="92">
        <f>$L$10</f>
        <v>0.23</v>
      </c>
      <c r="J147" s="67">
        <f>ROUND(H147*(1+I147),2)</f>
        <v>171.13</v>
      </c>
      <c r="K147" s="71">
        <f>SUM(G147*J147)</f>
        <v>4928.5439999999999</v>
      </c>
      <c r="L147" s="51"/>
      <c r="M147" s="52"/>
    </row>
    <row r="148" spans="2:13" s="25" customFormat="1" ht="30" customHeight="1" outlineLevel="1">
      <c r="B148" s="61"/>
      <c r="C148" s="62" t="s">
        <v>26</v>
      </c>
      <c r="D148" s="63" t="s">
        <v>315</v>
      </c>
      <c r="E148" s="64" t="str">
        <f>IFERROR(UPPER(IF(C148="CPU",VLOOKUP(D148,#REF!,2,0),IF(C148="SINAPI",VLOOKUP(D148,#REF!,2,0),IF(C148="EDIF",VLOOKUP(D148,#REF!,2,0),IF(C148="CDHU",VLOOKUP(D148,#REF!,2,0),IF(C148="FDE",VLOOKUP(D148,'FDE 10-23 '!$A$4:$E$3180,2,0),IF(C148="INFRA",VLOOKUP(D148,#REF!,2,0),""))))))),"")</f>
        <v>CUMEEIRA DE ACO GALV NATURAL PERFIL TRAP E=0,5MM H=100MM</v>
      </c>
      <c r="F148" s="65" t="str">
        <f>VLOOKUP(D148,'FDE 10-23 '!$A$4:$E$3180,3,0)</f>
        <v>M</v>
      </c>
      <c r="G148" s="66">
        <v>64.8</v>
      </c>
      <c r="H148" s="67">
        <f>VLOOKUP(D148,'FDE 10-23 '!$A$4:$E$3180,5,0)</f>
        <v>145.43</v>
      </c>
      <c r="I148" s="92">
        <f>$L$10</f>
        <v>0.23</v>
      </c>
      <c r="J148" s="67">
        <f>ROUND(H148*(1+I148),2)</f>
        <v>178.88</v>
      </c>
      <c r="K148" s="71">
        <f>SUM(G148*J148)</f>
        <v>11591.423999999999</v>
      </c>
      <c r="L148" s="51"/>
      <c r="M148" s="52"/>
    </row>
    <row r="149" spans="2:13" s="25" customFormat="1" ht="30" customHeight="1" outlineLevel="1">
      <c r="B149" s="53"/>
      <c r="C149" s="54"/>
      <c r="D149" s="54" t="s">
        <v>317</v>
      </c>
      <c r="E149" s="55" t="s">
        <v>318</v>
      </c>
      <c r="F149" s="56" t="str">
        <f>IFERROR(UPPER(IF(C149="CPU",VLOOKUP(D149,#REF!,3,0),IF(C149="SINAPI",VLOOKUP(D149,#REF!,3,0),IF(C149="EDIF",VLOOKUP(D149,#REF!,3,0),IF(C149="CDHU",VLOOKUP(D149,#REF!,3,0),IF(C149="FDE",VLOOKUP(D149,#REF!,3,0),IF(C149="INFRA",VLOOKUP(D149,#REF!,3,0),""))))))),"")</f>
        <v/>
      </c>
      <c r="G149" s="57"/>
      <c r="H149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49" s="59"/>
      <c r="J149" s="59"/>
      <c r="K149" s="82">
        <f>SUBTOTAL(9,K150:K151)</f>
        <v>96369.100799999986</v>
      </c>
      <c r="L149" s="51"/>
      <c r="M149" s="52"/>
    </row>
    <row r="150" spans="2:13" s="25" customFormat="1" ht="30" customHeight="1" outlineLevel="1">
      <c r="B150" s="61"/>
      <c r="C150" s="62" t="s">
        <v>26</v>
      </c>
      <c r="D150" s="63" t="s">
        <v>320</v>
      </c>
      <c r="E150" s="70" t="str">
        <f>IFERROR(UPPER(IF(C150="CPU",VLOOKUP(D150,#REF!,2,0),IF(C150="SINAPI",VLOOKUP(D150,#REF!,2,0),IF(C150="EDIF",VLOOKUP(D150,#REF!,2,0),IF(C150="CDHU",VLOOKUP(D150,#REF!,2,0),IF(C150="FDE",VLOOKUP(D150,'FDE 10-23 '!$A$4:$E$3180,2,0),IF(C150="INFRA",VLOOKUP(D150,#REF!,2,0),""))))))),"")</f>
        <v>FECHAMENTO TELHA PERF GALVALUME / ACO GALV
TRAPEZ H=40MM E=0,65MM PINT PO 2 FACES  Ø FURO ATE 3,17MM AREA PERFURADA ATÉ 40%</v>
      </c>
      <c r="F150" s="65" t="str">
        <f>VLOOKUP(D150,'FDE 10-23 '!$A$4:$E$3180,3,0)</f>
        <v>M2</v>
      </c>
      <c r="G150" s="66">
        <v>368.2</v>
      </c>
      <c r="H150" s="67">
        <f>VLOOKUP(D150,'FDE 10-23 '!$A$4:$E$3180,5,0)</f>
        <v>136.38999999999999</v>
      </c>
      <c r="I150" s="92">
        <f>$L$10</f>
        <v>0.23</v>
      </c>
      <c r="J150" s="67">
        <f>ROUND(H150*(1+I150),2)</f>
        <v>167.76</v>
      </c>
      <c r="K150" s="71">
        <f>SUM(G150*J150)</f>
        <v>61769.231999999996</v>
      </c>
      <c r="L150" s="51"/>
      <c r="M150" s="52"/>
    </row>
    <row r="151" spans="2:13" s="25" customFormat="1" ht="30" customHeight="1" outlineLevel="1">
      <c r="B151" s="61"/>
      <c r="C151" s="62" t="s">
        <v>26</v>
      </c>
      <c r="D151" s="63" t="s">
        <v>322</v>
      </c>
      <c r="E151" s="64" t="str">
        <f>IFERROR(UPPER(IF(C151="CPU",VLOOKUP(D151,#REF!,2,0),IF(C151="SINAPI",VLOOKUP(D151,#REF!,2,0),IF(C151="EDIF",VLOOKUP(D151,#REF!,2,0),IF(C151="CDHU",VLOOKUP(D151,#REF!,2,0),IF(C151="FDE",VLOOKUP(D151,'FDE 10-23 '!$A$4:$E$3180,2,0),IF(C151="INFRA",VLOOKUP(D151,#REF!,2,0),""))))))),"")</f>
        <v>FECHAMENTO TELHA PERF GALVALUME / ACO GALV TRAPEZ H=35MM E=0,65MM PINT PO 2 FACES  Ø FURO ATE 3,17MM AREA PERFURADA ATÉ 40%</v>
      </c>
      <c r="F151" s="65" t="str">
        <f>VLOOKUP(D151,'FDE 10-23 '!$A$4:$E$3180,3,0)</f>
        <v>M2</v>
      </c>
      <c r="G151" s="66">
        <v>221.34</v>
      </c>
      <c r="H151" s="67">
        <f>VLOOKUP(D151,'FDE 10-23 '!$A$4:$E$3180,5,0)</f>
        <v>127.09</v>
      </c>
      <c r="I151" s="92">
        <f>$L$10</f>
        <v>0.23</v>
      </c>
      <c r="J151" s="67">
        <f>ROUND(H151*(1+I151),2)</f>
        <v>156.32</v>
      </c>
      <c r="K151" s="71">
        <f>SUM(G151*J151)</f>
        <v>34599.868799999997</v>
      </c>
      <c r="L151" s="51"/>
      <c r="M151" s="52"/>
    </row>
    <row r="152" spans="2:13" s="25" customFormat="1" ht="30" customHeight="1">
      <c r="B152" s="43">
        <v>8</v>
      </c>
      <c r="C152" s="44"/>
      <c r="D152" s="44" t="s">
        <v>323</v>
      </c>
      <c r="E152" s="45" t="s">
        <v>1150</v>
      </c>
      <c r="F152" s="46" t="str">
        <f>IFERROR(UPPER(IF(C152="CPU",VLOOKUP(D152,#REF!,3,0),IF(C152="SINAPI",VLOOKUP(D152,#REF!,3,0),IF(C152="EDIF",VLOOKUP(D152,#REF!,3,0),IF(C152="CDHU",VLOOKUP(D152,#REF!,3,0),IF(C152="FDE",VLOOKUP(D152,#REF!,3,0),IF(C152="INFRA",VLOOKUP(D152,#REF!,3,0),""))))))),"")</f>
        <v/>
      </c>
      <c r="G152" s="47"/>
      <c r="H152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52" s="49"/>
      <c r="J152" s="49"/>
      <c r="K152" s="81">
        <f>SUBTOTAL(9,K153:K269)</f>
        <v>1021958.1135999998</v>
      </c>
      <c r="L152" s="51"/>
      <c r="M152" s="52"/>
    </row>
    <row r="153" spans="2:13" s="25" customFormat="1" ht="30" customHeight="1" outlineLevel="1">
      <c r="B153" s="53"/>
      <c r="C153" s="54"/>
      <c r="D153" s="54" t="s">
        <v>326</v>
      </c>
      <c r="E153" s="55" t="s">
        <v>327</v>
      </c>
      <c r="F153" s="56" t="str">
        <f>IFERROR(UPPER(IF(C153="CPU",VLOOKUP(D153,#REF!,3,0),IF(C153="SINAPI",VLOOKUP(D153,#REF!,3,0),IF(C153="EDIF",VLOOKUP(D153,#REF!,3,0),IF(C153="CDHU",VLOOKUP(D153,#REF!,3,0),IF(C153="FDE",VLOOKUP(D153,#REF!,3,0),IF(C153="INFRA",VLOOKUP(D153,#REF!,3,0),""))))))),"")</f>
        <v/>
      </c>
      <c r="G153" s="57"/>
      <c r="H153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53" s="59"/>
      <c r="J153" s="59"/>
      <c r="K153" s="82">
        <f>SUBTOTAL(9,K154)</f>
        <v>2041.58</v>
      </c>
      <c r="L153" s="51"/>
      <c r="M153" s="52"/>
    </row>
    <row r="154" spans="2:13" s="25" customFormat="1" ht="30" customHeight="1" outlineLevel="1">
      <c r="B154" s="61"/>
      <c r="C154" s="62" t="s">
        <v>26</v>
      </c>
      <c r="D154" s="63" t="s">
        <v>329</v>
      </c>
      <c r="E154" s="64" t="str">
        <f>IFERROR(UPPER(IF(C154="CPU",VLOOKUP(D154,#REF!,2,0),IF(C154="SINAPI",VLOOKUP(D154,#REF!,2,0),IF(C154="EDIF",VLOOKUP(D154,#REF!,2,0),IF(C154="CDHU",VLOOKUP(D154,#REF!,2,0),IF(C154="FDE",VLOOKUP(D154,'FDE 10-23 '!$A$4:$E$3180,2,0),IF(C154="INFRA",VLOOKUP(D154,#REF!,2,0),""))))))),"")</f>
        <v>AC-05 ABRIGO E CAVALETE DE 1" COMPLETO 85X65X30CM</v>
      </c>
      <c r="F154" s="65" t="str">
        <f>VLOOKUP(D154,'FDE 10-23 '!$A$4:$E$3180,3,0)</f>
        <v>UN</v>
      </c>
      <c r="G154" s="66">
        <v>1</v>
      </c>
      <c r="H154" s="67">
        <f>VLOOKUP(D154,'FDE 10-23 '!$A$4:$E$3180,5,0)</f>
        <v>1659.82</v>
      </c>
      <c r="I154" s="92">
        <f>$L$10</f>
        <v>0.23</v>
      </c>
      <c r="J154" s="67">
        <f>ROUND(H154*(1+I154),2)</f>
        <v>2041.58</v>
      </c>
      <c r="K154" s="71">
        <f>SUM(G154*J154)</f>
        <v>2041.58</v>
      </c>
      <c r="L154" s="51"/>
      <c r="M154" s="52"/>
    </row>
    <row r="155" spans="2:13" s="25" customFormat="1" ht="30" customHeight="1" outlineLevel="1">
      <c r="B155" s="53"/>
      <c r="C155" s="54"/>
      <c r="D155" s="54" t="s">
        <v>331</v>
      </c>
      <c r="E155" s="55" t="s">
        <v>332</v>
      </c>
      <c r="F155" s="56" t="str">
        <f>IFERROR(UPPER(IF(C155="CPU",VLOOKUP(D155,#REF!,3,0),IF(C155="SINAPI",VLOOKUP(D155,#REF!,3,0),IF(C155="EDIF",VLOOKUP(D155,#REF!,3,0),IF(C155="CDHU",VLOOKUP(D155,#REF!,3,0),IF(C155="FDE",VLOOKUP(D155,#REF!,3,0),IF(C155="INFRA",VLOOKUP(D155,#REF!,3,0),""))))))),"")</f>
        <v/>
      </c>
      <c r="G155" s="57"/>
      <c r="H15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55" s="59"/>
      <c r="J155" s="59"/>
      <c r="K155" s="82">
        <f>SUBTOTAL(9,K156:K159)</f>
        <v>41940.320000000007</v>
      </c>
      <c r="L155" s="51"/>
      <c r="M155" s="52"/>
    </row>
    <row r="156" spans="2:13" s="25" customFormat="1" ht="30" customHeight="1" outlineLevel="1">
      <c r="B156" s="61"/>
      <c r="C156" s="62" t="s">
        <v>26</v>
      </c>
      <c r="D156" s="63" t="s">
        <v>334</v>
      </c>
      <c r="E156" s="64" t="str">
        <f>IFERROR(UPPER(IF(C156="CPU",VLOOKUP(D156,#REF!,2,0),IF(C156="SINAPI",VLOOKUP(D156,#REF!,2,0),IF(C156="EDIF",VLOOKUP(D156,#REF!,2,0),IF(C156="CDHU",VLOOKUP(D156,#REF!,2,0),IF(C156="FDE",VLOOKUP(D156,'FDE 10-23 '!$A$4:$E$3180,2,0),IF(C156="INFRA",VLOOKUP(D156,#REF!,2,0),""))))))),"")</f>
        <v>AG-06 ABRIGO PARA GAS COM 6 CILINDROS DE 45 KG</v>
      </c>
      <c r="F156" s="65" t="str">
        <f>VLOOKUP(D156,'FDE 10-23 '!$A$4:$E$3180,3,0)</f>
        <v>UN</v>
      </c>
      <c r="G156" s="66">
        <v>1</v>
      </c>
      <c r="H156" s="67">
        <f>VLOOKUP(D156,'FDE 10-23 '!$A$4:$E$3180,5,0)</f>
        <v>17832.990000000002</v>
      </c>
      <c r="I156" s="92">
        <f>$L$10</f>
        <v>0.23</v>
      </c>
      <c r="J156" s="67">
        <f>ROUND(H156*(1+I156),2)</f>
        <v>21934.58</v>
      </c>
      <c r="K156" s="71">
        <f>SUM(G156*J156)</f>
        <v>21934.58</v>
      </c>
      <c r="L156" s="51"/>
      <c r="M156" s="52"/>
    </row>
    <row r="157" spans="2:13" s="25" customFormat="1" ht="30" customHeight="1" outlineLevel="1">
      <c r="B157" s="61"/>
      <c r="C157" s="62" t="s">
        <v>26</v>
      </c>
      <c r="D157" s="63" t="s">
        <v>336</v>
      </c>
      <c r="E157" s="64" t="str">
        <f>IFERROR(UPPER(IF(C157="CPU",VLOOKUP(D157,#REF!,2,0),IF(C157="SINAPI",VLOOKUP(D157,#REF!,2,0),IF(C157="EDIF",VLOOKUP(D157,#REF!,2,0),IF(C157="CDHU",VLOOKUP(D157,#REF!,2,0),IF(C157="FDE",VLOOKUP(D157,'FDE 10-23 '!$A$4:$E$3180,2,0),IF(C157="INFRA",VLOOKUP(D157,#REF!,2,0),""))))))),"")</f>
        <v>PROTECAO ANTICORROSIVA PARA RAMAIS SOB A TERRA</v>
      </c>
      <c r="F157" s="65" t="str">
        <f>VLOOKUP(D157,'FDE 10-23 '!$A$4:$E$3180,3,0)</f>
        <v>M</v>
      </c>
      <c r="G157" s="66">
        <v>76</v>
      </c>
      <c r="H157" s="67">
        <f>VLOOKUP(D157,'FDE 10-23 '!$A$4:$E$3180,5,0)</f>
        <v>27.62</v>
      </c>
      <c r="I157" s="92">
        <f>$L$10</f>
        <v>0.23</v>
      </c>
      <c r="J157" s="67">
        <f>ROUND(H157*(1+I157),2)</f>
        <v>33.97</v>
      </c>
      <c r="K157" s="71">
        <f>SUM(G157*J157)</f>
        <v>2581.7199999999998</v>
      </c>
      <c r="L157" s="51"/>
      <c r="M157" s="52"/>
    </row>
    <row r="158" spans="2:13" s="25" customFormat="1" ht="30" customHeight="1" outlineLevel="1">
      <c r="B158" s="61"/>
      <c r="C158" s="62" t="s">
        <v>26</v>
      </c>
      <c r="D158" s="63" t="s">
        <v>338</v>
      </c>
      <c r="E158" s="64" t="str">
        <f>IFERROR(UPPER(IF(C158="CPU",VLOOKUP(D158,#REF!,2,0),IF(C158="SINAPI",VLOOKUP(D158,#REF!,2,0),IF(C158="EDIF",VLOOKUP(D158,#REF!,2,0),IF(C158="CDHU",VLOOKUP(D158,#REF!,2,0),IF(C158="FDE",VLOOKUP(D158,'FDE 10-23 '!$A$4:$E$3180,2,0),IF(C158="INFRA",VLOOKUP(D158,#REF!,2,0),""))))))),"")</f>
        <v>VG-01 VALVULA E REGULADOR DE PRESSAO DE GAS</v>
      </c>
      <c r="F158" s="65" t="str">
        <f>VLOOKUP(D158,'FDE 10-23 '!$A$4:$E$3180,3,0)</f>
        <v>UN</v>
      </c>
      <c r="G158" s="66">
        <v>1</v>
      </c>
      <c r="H158" s="67">
        <f>VLOOKUP(D158,'FDE 10-23 '!$A$4:$E$3180,5,0)</f>
        <v>728.08</v>
      </c>
      <c r="I158" s="92">
        <f>$L$10</f>
        <v>0.23</v>
      </c>
      <c r="J158" s="67">
        <f>ROUND(H158*(1+I158),2)</f>
        <v>895.54</v>
      </c>
      <c r="K158" s="71">
        <f>SUM(G158*J158)</f>
        <v>895.54</v>
      </c>
      <c r="L158" s="51"/>
      <c r="M158" s="52"/>
    </row>
    <row r="159" spans="2:13" s="25" customFormat="1" ht="30" customHeight="1" outlineLevel="1">
      <c r="B159" s="61"/>
      <c r="C159" s="62" t="s">
        <v>26</v>
      </c>
      <c r="D159" s="63" t="s">
        <v>340</v>
      </c>
      <c r="E159" s="64" t="str">
        <f>IFERROR(UPPER(IF(C159="CPU",VLOOKUP(D159,#REF!,2,0),IF(C159="SINAPI",VLOOKUP(D159,#REF!,2,0),IF(C159="EDIF",VLOOKUP(D159,#REF!,2,0),IF(C159="CDHU",VLOOKUP(D159,#REF!,2,0),IF(C159="FDE",VLOOKUP(D159,'FDE 10-23 '!$A$4:$E$3180,2,0),IF(C159="INFRA",VLOOKUP(D159,#REF!,2,0),""))))))),"")</f>
        <v>TUBO ACO GALV NBR5590-CLASSE PESADA DN 25MM (1") INCL CONEXOES</v>
      </c>
      <c r="F159" s="65" t="str">
        <f>VLOOKUP(D159,'FDE 10-23 '!$A$4:$E$3180,3,0)</f>
        <v>M</v>
      </c>
      <c r="G159" s="66">
        <v>76</v>
      </c>
      <c r="H159" s="67">
        <f>VLOOKUP(D159,'FDE 10-23 '!$A$4:$E$3180,5,0)</f>
        <v>176.81</v>
      </c>
      <c r="I159" s="92">
        <f>$L$10</f>
        <v>0.23</v>
      </c>
      <c r="J159" s="67">
        <f>ROUND(H159*(1+I159),2)</f>
        <v>217.48</v>
      </c>
      <c r="K159" s="71">
        <f>SUM(G159*J159)</f>
        <v>16528.48</v>
      </c>
      <c r="L159" s="51"/>
      <c r="M159" s="52"/>
    </row>
    <row r="160" spans="2:13" s="25" customFormat="1" ht="30" customHeight="1" outlineLevel="1">
      <c r="B160" s="53"/>
      <c r="C160" s="54"/>
      <c r="D160" s="54" t="s">
        <v>342</v>
      </c>
      <c r="E160" s="55" t="s">
        <v>343</v>
      </c>
      <c r="F160" s="56" t="str">
        <f>IFERROR(UPPER(IF(C160="CPU",VLOOKUP(D160,#REF!,3,0),IF(C160="SINAPI",VLOOKUP(D160,#REF!,3,0),IF(C160="EDIF",VLOOKUP(D160,#REF!,3,0),IF(C160="CDHU",VLOOKUP(D160,#REF!,3,0),IF(C160="FDE",VLOOKUP(D160,#REF!,3,0),IF(C160="INFRA",VLOOKUP(D160,#REF!,3,0),""))))))),"")</f>
        <v/>
      </c>
      <c r="G160" s="57"/>
      <c r="H16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60" s="59"/>
      <c r="J160" s="59"/>
      <c r="K160" s="82">
        <f>SUBTOTAL(9,K161:K170)</f>
        <v>43563.295400000003</v>
      </c>
      <c r="L160" s="51"/>
      <c r="M160" s="52"/>
    </row>
    <row r="161" spans="2:13" s="25" customFormat="1" ht="30" customHeight="1" outlineLevel="1">
      <c r="B161" s="61"/>
      <c r="C161" s="62" t="s">
        <v>26</v>
      </c>
      <c r="D161" s="63" t="s">
        <v>345</v>
      </c>
      <c r="E161" s="64" t="str">
        <f>IFERROR(UPPER(IF(C161="CPU",VLOOKUP(D161,#REF!,2,0),IF(C161="SINAPI",VLOOKUP(D161,#REF!,2,0),IF(C161="EDIF",VLOOKUP(D161,#REF!,2,0),IF(C161="CDHU",VLOOKUP(D161,#REF!,2,0),IF(C161="FDE",VLOOKUP(D161,'FDE 10-23 '!$A$4:$E$3180,2,0),IF(C161="INFRA",VLOOKUP(D161,#REF!,2,0),""))))))),"")</f>
        <v>TUBO ACO GALVANIZ NBR5580-CL MEDIA, DN20MM (3/4") - INCL CONEXOES</v>
      </c>
      <c r="F161" s="65" t="str">
        <f>VLOOKUP(D161,'FDE 10-23 '!$A$4:$E$3180,3,0)</f>
        <v>M</v>
      </c>
      <c r="G161" s="66">
        <v>20</v>
      </c>
      <c r="H161" s="67">
        <f>VLOOKUP(D161,'FDE 10-23 '!$A$4:$E$3180,5,0)</f>
        <v>76.3</v>
      </c>
      <c r="I161" s="92">
        <f t="shared" ref="I161:I170" si="24">$L$10</f>
        <v>0.23</v>
      </c>
      <c r="J161" s="67">
        <f t="shared" ref="J161:J170" si="25">ROUND(H161*(1+I161),2)</f>
        <v>93.85</v>
      </c>
      <c r="K161" s="71">
        <f t="shared" ref="K161:K170" si="26">SUM(G161*J161)</f>
        <v>1877</v>
      </c>
      <c r="L161" s="51"/>
      <c r="M161" s="52"/>
    </row>
    <row r="162" spans="2:13" s="25" customFormat="1" ht="30" customHeight="1" outlineLevel="1">
      <c r="B162" s="61"/>
      <c r="C162" s="62" t="s">
        <v>26</v>
      </c>
      <c r="D162" s="63" t="s">
        <v>347</v>
      </c>
      <c r="E162" s="64" t="str">
        <f>IFERROR(UPPER(IF(C162="CPU",VLOOKUP(D162,#REF!,2,0),IF(C162="SINAPI",VLOOKUP(D162,#REF!,2,0),IF(C162="EDIF",VLOOKUP(D162,#REF!,2,0),IF(C162="CDHU",VLOOKUP(D162,#REF!,2,0),IF(C162="FDE",VLOOKUP(D162,'FDE 10-23 '!$A$4:$E$3180,2,0),IF(C162="INFRA",VLOOKUP(D162,#REF!,2,0),""))))))),"")</f>
        <v>TUBO ACO GALVANIZ NBR5580-CL MEDIA, DN25MM (1") - INCL. CONEXOES</v>
      </c>
      <c r="F162" s="65" t="str">
        <f>VLOOKUP(D162,'FDE 10-23 '!$A$4:$E$3180,3,0)</f>
        <v>M</v>
      </c>
      <c r="G162" s="66">
        <v>5.2</v>
      </c>
      <c r="H162" s="67">
        <f>VLOOKUP(D162,'FDE 10-23 '!$A$4:$E$3180,5,0)</f>
        <v>107.93</v>
      </c>
      <c r="I162" s="92">
        <f t="shared" si="24"/>
        <v>0.23</v>
      </c>
      <c r="J162" s="67">
        <f t="shared" si="25"/>
        <v>132.75</v>
      </c>
      <c r="K162" s="71">
        <f t="shared" si="26"/>
        <v>690.30000000000007</v>
      </c>
      <c r="L162" s="51"/>
      <c r="M162" s="52"/>
    </row>
    <row r="163" spans="2:13" s="25" customFormat="1" ht="30" customHeight="1" outlineLevel="1">
      <c r="B163" s="61"/>
      <c r="C163" s="62" t="s">
        <v>26</v>
      </c>
      <c r="D163" s="63" t="s">
        <v>349</v>
      </c>
      <c r="E163" s="64" t="str">
        <f>IFERROR(UPPER(IF(C163="CPU",VLOOKUP(D163,#REF!,2,0),IF(C163="SINAPI",VLOOKUP(D163,#REF!,2,0),IF(C163="EDIF",VLOOKUP(D163,#REF!,2,0),IF(C163="CDHU",VLOOKUP(D163,#REF!,2,0),IF(C163="FDE",VLOOKUP(D163,'FDE 10-23 '!$A$4:$E$3180,2,0),IF(C163="INFRA",VLOOKUP(D163,#REF!,2,0),""))))))),"")</f>
        <v>TUBO PVC RÍGIDO JUNTA SOLDÁVEL DE 25 INCL CONEXÕES</v>
      </c>
      <c r="F163" s="65" t="str">
        <f>VLOOKUP(D163,'FDE 10-23 '!$A$4:$E$3180,3,0)</f>
        <v>M</v>
      </c>
      <c r="G163" s="66">
        <v>220.5</v>
      </c>
      <c r="H163" s="67">
        <f>VLOOKUP(D163,'FDE 10-23 '!$A$4:$E$3180,5,0)</f>
        <v>19.850000000000001</v>
      </c>
      <c r="I163" s="92">
        <f t="shared" si="24"/>
        <v>0.23</v>
      </c>
      <c r="J163" s="67">
        <f t="shared" si="25"/>
        <v>24.42</v>
      </c>
      <c r="K163" s="71">
        <f t="shared" si="26"/>
        <v>5384.6100000000006</v>
      </c>
      <c r="L163" s="51"/>
      <c r="M163" s="52"/>
    </row>
    <row r="164" spans="2:13" s="25" customFormat="1" ht="30" customHeight="1" outlineLevel="1">
      <c r="B164" s="61"/>
      <c r="C164" s="62" t="s">
        <v>26</v>
      </c>
      <c r="D164" s="63" t="s">
        <v>351</v>
      </c>
      <c r="E164" s="64" t="str">
        <f>IFERROR(UPPER(IF(C164="CPU",VLOOKUP(D164,#REF!,2,0),IF(C164="SINAPI",VLOOKUP(D164,#REF!,2,0),IF(C164="EDIF",VLOOKUP(D164,#REF!,2,0),IF(C164="CDHU",VLOOKUP(D164,#REF!,2,0),IF(C164="FDE",VLOOKUP(D164,'FDE 10-23 '!$A$4:$E$3180,2,0),IF(C164="INFRA",VLOOKUP(D164,#REF!,2,0),""))))))),"")</f>
        <v>TUBO PVC RÍGIDO JUNTA SOLDÁVEL DE 32 INCL CONEXÕES</v>
      </c>
      <c r="F164" s="65" t="str">
        <f>VLOOKUP(D164,'FDE 10-23 '!$A$4:$E$3180,3,0)</f>
        <v>M</v>
      </c>
      <c r="G164" s="66">
        <v>116.5</v>
      </c>
      <c r="H164" s="67">
        <f>VLOOKUP(D164,'FDE 10-23 '!$A$4:$E$3180,5,0)</f>
        <v>29.03</v>
      </c>
      <c r="I164" s="92">
        <f t="shared" si="24"/>
        <v>0.23</v>
      </c>
      <c r="J164" s="67">
        <f t="shared" si="25"/>
        <v>35.71</v>
      </c>
      <c r="K164" s="71">
        <f t="shared" si="26"/>
        <v>4160.2150000000001</v>
      </c>
      <c r="L164" s="51"/>
      <c r="M164" s="52"/>
    </row>
    <row r="165" spans="2:13" s="25" customFormat="1" ht="30" customHeight="1" outlineLevel="1">
      <c r="B165" s="61"/>
      <c r="C165" s="62" t="s">
        <v>26</v>
      </c>
      <c r="D165" s="63" t="s">
        <v>353</v>
      </c>
      <c r="E165" s="64" t="str">
        <f>IFERROR(UPPER(IF(C165="CPU",VLOOKUP(D165,#REF!,2,0),IF(C165="SINAPI",VLOOKUP(D165,#REF!,2,0),IF(C165="EDIF",VLOOKUP(D165,#REF!,2,0),IF(C165="CDHU",VLOOKUP(D165,#REF!,2,0),IF(C165="FDE",VLOOKUP(D165,'FDE 10-23 '!$A$4:$E$3180,2,0),IF(C165="INFRA",VLOOKUP(D165,#REF!,2,0),""))))))),"")</f>
        <v>TUBO PVC RÍGIDO JUNTA SOLDÁVEL DE 40 INCL CONEXÕES</v>
      </c>
      <c r="F165" s="65" t="str">
        <f>VLOOKUP(D165,'FDE 10-23 '!$A$4:$E$3180,3,0)</f>
        <v>M</v>
      </c>
      <c r="G165" s="66">
        <v>44</v>
      </c>
      <c r="H165" s="67">
        <f>VLOOKUP(D165,'FDE 10-23 '!$A$4:$E$3180,5,0)</f>
        <v>38.11</v>
      </c>
      <c r="I165" s="92">
        <f t="shared" si="24"/>
        <v>0.23</v>
      </c>
      <c r="J165" s="67">
        <f t="shared" si="25"/>
        <v>46.88</v>
      </c>
      <c r="K165" s="71">
        <f t="shared" si="26"/>
        <v>2062.7200000000003</v>
      </c>
      <c r="L165" s="51"/>
      <c r="M165" s="52"/>
    </row>
    <row r="166" spans="2:13" s="25" customFormat="1" ht="30" customHeight="1" outlineLevel="1">
      <c r="B166" s="61"/>
      <c r="C166" s="62" t="s">
        <v>26</v>
      </c>
      <c r="D166" s="63" t="s">
        <v>355</v>
      </c>
      <c r="E166" s="64" t="str">
        <f>IFERROR(UPPER(IF(C166="CPU",VLOOKUP(D166,#REF!,2,0),IF(C166="SINAPI",VLOOKUP(D166,#REF!,2,0),IF(C166="EDIF",VLOOKUP(D166,#REF!,2,0),IF(C166="CDHU",VLOOKUP(D166,#REF!,2,0),IF(C166="FDE",VLOOKUP(D166,'FDE 10-23 '!$A$4:$E$3180,2,0),IF(C166="INFRA",VLOOKUP(D166,#REF!,2,0),""))))))),"")</f>
        <v>TUBO PVC RÍGIDO JUNTA SOLDÁVEL DE 50 INCL CONEXÕES</v>
      </c>
      <c r="F166" s="65" t="str">
        <f>VLOOKUP(D166,'FDE 10-23 '!$A$4:$E$3180,3,0)</f>
        <v>M</v>
      </c>
      <c r="G166" s="66">
        <v>79.5</v>
      </c>
      <c r="H166" s="67">
        <f>VLOOKUP(D166,'FDE 10-23 '!$A$4:$E$3180,5,0)</f>
        <v>41.48</v>
      </c>
      <c r="I166" s="92">
        <f t="shared" si="24"/>
        <v>0.23</v>
      </c>
      <c r="J166" s="67">
        <f t="shared" si="25"/>
        <v>51.02</v>
      </c>
      <c r="K166" s="71">
        <f t="shared" si="26"/>
        <v>4056.09</v>
      </c>
      <c r="L166" s="51"/>
      <c r="M166" s="52"/>
    </row>
    <row r="167" spans="2:13" s="25" customFormat="1" ht="30" customHeight="1" outlineLevel="1">
      <c r="B167" s="61"/>
      <c r="C167" s="62" t="s">
        <v>26</v>
      </c>
      <c r="D167" s="63" t="s">
        <v>357</v>
      </c>
      <c r="E167" s="64" t="str">
        <f>IFERROR(UPPER(IF(C167="CPU",VLOOKUP(D167,#REF!,2,0),IF(C167="SINAPI",VLOOKUP(D167,#REF!,2,0),IF(C167="EDIF",VLOOKUP(D167,#REF!,2,0),IF(C167="CDHU",VLOOKUP(D167,#REF!,2,0),IF(C167="FDE",VLOOKUP(D167,'FDE 10-23 '!$A$4:$E$3180,2,0),IF(C167="INFRA",VLOOKUP(D167,#REF!,2,0),""))))))),"")</f>
        <v>TUBO PVC RÍGIDO JUNTA SOLDÁVEL DE 60 INCL CONEXÕES</v>
      </c>
      <c r="F167" s="65" t="str">
        <f>VLOOKUP(D167,'FDE 10-23 '!$A$4:$E$3180,3,0)</f>
        <v>M</v>
      </c>
      <c r="G167" s="66">
        <v>84.5</v>
      </c>
      <c r="H167" s="67">
        <f>VLOOKUP(D167,'FDE 10-23 '!$A$4:$E$3180,5,0)</f>
        <v>62.69</v>
      </c>
      <c r="I167" s="92">
        <f t="shared" si="24"/>
        <v>0.23</v>
      </c>
      <c r="J167" s="67">
        <f t="shared" si="25"/>
        <v>77.11</v>
      </c>
      <c r="K167" s="71">
        <f t="shared" si="26"/>
        <v>6515.7950000000001</v>
      </c>
      <c r="L167" s="51"/>
      <c r="M167" s="52"/>
    </row>
    <row r="168" spans="2:13" s="25" customFormat="1" ht="30" customHeight="1" outlineLevel="1">
      <c r="B168" s="61"/>
      <c r="C168" s="62" t="s">
        <v>26</v>
      </c>
      <c r="D168" s="63" t="s">
        <v>359</v>
      </c>
      <c r="E168" s="64" t="str">
        <f>IFERROR(UPPER(IF(C168="CPU",VLOOKUP(D168,#REF!,2,0),IF(C168="SINAPI",VLOOKUP(D168,#REF!,2,0),IF(C168="EDIF",VLOOKUP(D168,#REF!,2,0),IF(C168="CDHU",VLOOKUP(D168,#REF!,2,0),IF(C168="FDE",VLOOKUP(D168,'FDE 10-23 '!$A$4:$E$3180,2,0),IF(C168="INFRA",VLOOKUP(D168,#REF!,2,0),""))))))),"")</f>
        <v>TUBO PVC RÍGIDO JUNTA SOLDÁVEL DE 75 INCL CONEXÕES</v>
      </c>
      <c r="F168" s="65" t="str">
        <f>VLOOKUP(D168,'FDE 10-23 '!$A$4:$E$3180,3,0)</f>
        <v>M</v>
      </c>
      <c r="G168" s="66">
        <v>42.5</v>
      </c>
      <c r="H168" s="67">
        <f>VLOOKUP(D168,'FDE 10-23 '!$A$4:$E$3180,5,0)</f>
        <v>90.03</v>
      </c>
      <c r="I168" s="92">
        <f t="shared" si="24"/>
        <v>0.23</v>
      </c>
      <c r="J168" s="67">
        <f t="shared" si="25"/>
        <v>110.74</v>
      </c>
      <c r="K168" s="71">
        <f t="shared" si="26"/>
        <v>4706.45</v>
      </c>
      <c r="L168" s="51"/>
      <c r="M168" s="52"/>
    </row>
    <row r="169" spans="2:13" s="25" customFormat="1" ht="30" customHeight="1" outlineLevel="1">
      <c r="B169" s="61"/>
      <c r="C169" s="62" t="s">
        <v>26</v>
      </c>
      <c r="D169" s="63" t="s">
        <v>361</v>
      </c>
      <c r="E169" s="64" t="str">
        <f>IFERROR(UPPER(IF(C169="CPU",VLOOKUP(D169,#REF!,2,0),IF(C169="SINAPI",VLOOKUP(D169,#REF!,2,0),IF(C169="EDIF",VLOOKUP(D169,#REF!,2,0),IF(C169="CDHU",VLOOKUP(D169,#REF!,2,0),IF(C169="FDE",VLOOKUP(D169,'FDE 10-23 '!$A$4:$E$3180,2,0),IF(C169="INFRA",VLOOKUP(D169,#REF!,2,0),""))))))),"")</f>
        <v>TUBO PVC RÍGIDO JUNTA SOLDÁVEL DE 85 INCL CONEXÕES</v>
      </c>
      <c r="F169" s="65" t="str">
        <f>VLOOKUP(D169,'FDE 10-23 '!$A$4:$E$3180,3,0)</f>
        <v>M</v>
      </c>
      <c r="G169" s="66">
        <v>37</v>
      </c>
      <c r="H169" s="67">
        <f>VLOOKUP(D169,'FDE 10-23 '!$A$4:$E$3180,5,0)</f>
        <v>105.61</v>
      </c>
      <c r="I169" s="92">
        <f t="shared" si="24"/>
        <v>0.23</v>
      </c>
      <c r="J169" s="67">
        <f t="shared" si="25"/>
        <v>129.9</v>
      </c>
      <c r="K169" s="71">
        <f t="shared" si="26"/>
        <v>4806.3</v>
      </c>
      <c r="L169" s="51"/>
      <c r="M169" s="52"/>
    </row>
    <row r="170" spans="2:13" s="25" customFormat="1" ht="30" customHeight="1" outlineLevel="1">
      <c r="B170" s="61"/>
      <c r="C170" s="62" t="s">
        <v>26</v>
      </c>
      <c r="D170" s="63" t="s">
        <v>363</v>
      </c>
      <c r="E170" s="64" t="str">
        <f>IFERROR(UPPER(IF(C170="CPU",VLOOKUP(D170,#REF!,2,0),IF(C170="SINAPI",VLOOKUP(D170,#REF!,2,0),IF(C170="EDIF",VLOOKUP(D170,#REF!,2,0),IF(C170="CDHU",VLOOKUP(D170,#REF!,2,0),IF(C170="FDE",VLOOKUP(D170,'FDE 10-23 '!$A$4:$E$3180,2,0),IF(C170="INFRA",VLOOKUP(D170,#REF!,2,0),""))))))),"")</f>
        <v>SERVICOS EM REDE DE AGUA FRIA</v>
      </c>
      <c r="F170" s="65" t="str">
        <f>VLOOKUP(D170,'FDE 10-23 '!$A$4:$E$3180,3,0)</f>
        <v>MV</v>
      </c>
      <c r="G170" s="66">
        <v>14.19</v>
      </c>
      <c r="H170" s="67">
        <f>VLOOKUP(D170,'FDE 10-23 '!$A$4:$E$3180,5,0)</f>
        <v>533.05999999999995</v>
      </c>
      <c r="I170" s="92">
        <f t="shared" si="24"/>
        <v>0.23</v>
      </c>
      <c r="J170" s="67">
        <f t="shared" si="25"/>
        <v>655.66</v>
      </c>
      <c r="K170" s="71">
        <f t="shared" si="26"/>
        <v>9303.8153999999995</v>
      </c>
      <c r="L170" s="51"/>
      <c r="M170" s="52"/>
    </row>
    <row r="171" spans="2:13" s="25" customFormat="1" ht="30" customHeight="1" outlineLevel="1">
      <c r="B171" s="53"/>
      <c r="C171" s="54"/>
      <c r="D171" s="54" t="s">
        <v>365</v>
      </c>
      <c r="E171" s="55" t="s">
        <v>366</v>
      </c>
      <c r="F171" s="56" t="str">
        <f>IFERROR(UPPER(IF(C171="CPU",VLOOKUP(D171,#REF!,3,0),IF(C171="SINAPI",VLOOKUP(D171,#REF!,3,0),IF(C171="EDIF",VLOOKUP(D171,#REF!,3,0),IF(C171="CDHU",VLOOKUP(D171,#REF!,3,0),IF(C171="FDE",VLOOKUP(D171,#REF!,3,0),IF(C171="INFRA",VLOOKUP(D171,#REF!,3,0),""))))))),"")</f>
        <v/>
      </c>
      <c r="G171" s="57"/>
      <c r="H171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71" s="59"/>
      <c r="J171" s="59"/>
      <c r="K171" s="82">
        <f>SUBTOTAL(9,K172:K179)</f>
        <v>82680.820000000007</v>
      </c>
      <c r="L171" s="51"/>
      <c r="M171" s="52"/>
    </row>
    <row r="172" spans="2:13" s="25" customFormat="1" ht="30" customHeight="1" outlineLevel="1">
      <c r="B172" s="61"/>
      <c r="C172" s="62" t="s">
        <v>26</v>
      </c>
      <c r="D172" s="63" t="s">
        <v>368</v>
      </c>
      <c r="E172" s="64" t="str">
        <f>IFERROR(UPPER(IF(C172="CPU",VLOOKUP(D172,#REF!,2,0),IF(C172="SINAPI",VLOOKUP(D172,#REF!,2,0),IF(C172="EDIF",VLOOKUP(D172,#REF!,2,0),IF(C172="CDHU",VLOOKUP(D172,#REF!,2,0),IF(C172="FDE",VLOOKUP(D172,'FDE 10-23 '!$A$4:$E$3180,2,0),IF(C172="INFRA",VLOOKUP(D172,#REF!,2,0),""))))))),"")</f>
        <v>REGISTRO DE GAVETA BRUTO DN 40MM 1 1/2"</v>
      </c>
      <c r="F172" s="65" t="str">
        <f>VLOOKUP(D172,'FDE 10-23 '!$A$4:$E$3180,3,0)</f>
        <v>UN</v>
      </c>
      <c r="G172" s="66">
        <v>7</v>
      </c>
      <c r="H172" s="67">
        <f>VLOOKUP(D172,'FDE 10-23 '!$A$4:$E$3180,5,0)</f>
        <v>128.87</v>
      </c>
      <c r="I172" s="92">
        <f t="shared" ref="I172:I179" si="27">$L$10</f>
        <v>0.23</v>
      </c>
      <c r="J172" s="67">
        <f t="shared" ref="J172:J179" si="28">ROUND(H172*(1+I172),2)</f>
        <v>158.51</v>
      </c>
      <c r="K172" s="71">
        <f t="shared" ref="K172:K179" si="29">SUM(G172*J172)</f>
        <v>1109.57</v>
      </c>
      <c r="L172" s="51"/>
      <c r="M172" s="52"/>
    </row>
    <row r="173" spans="2:13" s="25" customFormat="1" ht="30" customHeight="1" outlineLevel="1">
      <c r="B173" s="61"/>
      <c r="C173" s="62" t="s">
        <v>26</v>
      </c>
      <c r="D173" s="63" t="s">
        <v>370</v>
      </c>
      <c r="E173" s="64" t="str">
        <f>IFERROR(UPPER(IF(C173="CPU",VLOOKUP(D173,#REF!,2,0),IF(C173="SINAPI",VLOOKUP(D173,#REF!,2,0),IF(C173="EDIF",VLOOKUP(D173,#REF!,2,0),IF(C173="CDHU",VLOOKUP(D173,#REF!,2,0),IF(C173="FDE",VLOOKUP(D173,'FDE 10-23 '!$A$4:$E$3180,2,0),IF(C173="INFRA",VLOOKUP(D173,#REF!,2,0),""))))))),"")</f>
        <v>REGISTRO DE GAVETA BRUTO DN 50MM (2")</v>
      </c>
      <c r="F173" s="65" t="str">
        <f>VLOOKUP(D173,'FDE 10-23 '!$A$4:$E$3180,3,0)</f>
        <v>UN</v>
      </c>
      <c r="G173" s="66">
        <v>4</v>
      </c>
      <c r="H173" s="67">
        <f>VLOOKUP(D173,'FDE 10-23 '!$A$4:$E$3180,5,0)</f>
        <v>167.69</v>
      </c>
      <c r="I173" s="92">
        <f t="shared" si="27"/>
        <v>0.23</v>
      </c>
      <c r="J173" s="67">
        <f t="shared" si="28"/>
        <v>206.26</v>
      </c>
      <c r="K173" s="71">
        <f t="shared" si="29"/>
        <v>825.04</v>
      </c>
      <c r="L173" s="51"/>
      <c r="M173" s="52"/>
    </row>
    <row r="174" spans="2:13" s="25" customFormat="1" ht="30" customHeight="1" outlineLevel="1">
      <c r="B174" s="61"/>
      <c r="C174" s="62" t="s">
        <v>26</v>
      </c>
      <c r="D174" s="63" t="s">
        <v>372</v>
      </c>
      <c r="E174" s="64" t="str">
        <f>IFERROR(UPPER(IF(C174="CPU",VLOOKUP(D174,#REF!,2,0),IF(C174="SINAPI",VLOOKUP(D174,#REF!,2,0),IF(C174="EDIF",VLOOKUP(D174,#REF!,2,0),IF(C174="CDHU",VLOOKUP(D174,#REF!,2,0),IF(C174="FDE",VLOOKUP(D174,'FDE 10-23 '!$A$4:$E$3180,2,0),IF(C174="INFRA",VLOOKUP(D174,#REF!,2,0),""))))))),"")</f>
        <v>REGISTRO DE GAVETA COM CANOPLA CROMADA DN 20MM (3/4")</v>
      </c>
      <c r="F174" s="65" t="str">
        <f>VLOOKUP(D174,'FDE 10-23 '!$A$4:$E$3180,3,0)</f>
        <v>UN</v>
      </c>
      <c r="G174" s="66">
        <v>23</v>
      </c>
      <c r="H174" s="67">
        <f>VLOOKUP(D174,'FDE 10-23 '!$A$4:$E$3180,5,0)</f>
        <v>106.7</v>
      </c>
      <c r="I174" s="92">
        <f t="shared" si="27"/>
        <v>0.23</v>
      </c>
      <c r="J174" s="67">
        <f t="shared" si="28"/>
        <v>131.24</v>
      </c>
      <c r="K174" s="71">
        <f t="shared" si="29"/>
        <v>3018.5200000000004</v>
      </c>
      <c r="L174" s="51"/>
      <c r="M174" s="52"/>
    </row>
    <row r="175" spans="2:13" s="25" customFormat="1" ht="30" customHeight="1" outlineLevel="1">
      <c r="B175" s="61"/>
      <c r="C175" s="62" t="s">
        <v>26</v>
      </c>
      <c r="D175" s="63" t="s">
        <v>374</v>
      </c>
      <c r="E175" s="64" t="str">
        <f>IFERROR(UPPER(IF(C175="CPU",VLOOKUP(D175,#REF!,2,0),IF(C175="SINAPI",VLOOKUP(D175,#REF!,2,0),IF(C175="EDIF",VLOOKUP(D175,#REF!,2,0),IF(C175="CDHU",VLOOKUP(D175,#REF!,2,0),IF(C175="FDE",VLOOKUP(D175,'FDE 10-23 '!$A$4:$E$3180,2,0),IF(C175="INFRA",VLOOKUP(D175,#REF!,2,0),""))))))),"")</f>
        <v>REGISTRO DE GAVETA COM CANOPLA CROMADA DN 25MM (1")</v>
      </c>
      <c r="F175" s="65" t="str">
        <f>VLOOKUP(D175,'FDE 10-23 '!$A$4:$E$3180,3,0)</f>
        <v>UN</v>
      </c>
      <c r="G175" s="66">
        <v>4</v>
      </c>
      <c r="H175" s="67">
        <f>VLOOKUP(D175,'FDE 10-23 '!$A$4:$E$3180,5,0)</f>
        <v>144.38999999999999</v>
      </c>
      <c r="I175" s="92">
        <f t="shared" si="27"/>
        <v>0.23</v>
      </c>
      <c r="J175" s="67">
        <f t="shared" si="28"/>
        <v>177.6</v>
      </c>
      <c r="K175" s="71">
        <f t="shared" si="29"/>
        <v>710.4</v>
      </c>
      <c r="L175" s="51"/>
      <c r="M175" s="52"/>
    </row>
    <row r="176" spans="2:13" s="25" customFormat="1" ht="30" customHeight="1" outlineLevel="1">
      <c r="B176" s="61"/>
      <c r="C176" s="62" t="s">
        <v>26</v>
      </c>
      <c r="D176" s="63" t="s">
        <v>376</v>
      </c>
      <c r="E176" s="64" t="str">
        <f>IFERROR(UPPER(IF(C176="CPU",VLOOKUP(D176,#REF!,2,0),IF(C176="SINAPI",VLOOKUP(D176,#REF!,2,0),IF(C176="EDIF",VLOOKUP(D176,#REF!,2,0),IF(C176="CDHU",VLOOKUP(D176,#REF!,2,0),IF(C176="FDE",VLOOKUP(D176,'FDE 10-23 '!$A$4:$E$3180,2,0),IF(C176="INFRA",VLOOKUP(D176,#REF!,2,0),""))))))),"")</f>
        <v>REGISTRO DE PRESSAO C/ CANOPLA CROMADA DN 20MM (3/4")</v>
      </c>
      <c r="F176" s="65" t="str">
        <f>VLOOKUP(D176,'FDE 10-23 '!$A$4:$E$3180,3,0)</f>
        <v>UN</v>
      </c>
      <c r="G176" s="66">
        <v>12</v>
      </c>
      <c r="H176" s="67">
        <f>VLOOKUP(D176,'FDE 10-23 '!$A$4:$E$3180,5,0)</f>
        <v>113.24</v>
      </c>
      <c r="I176" s="92">
        <f t="shared" si="27"/>
        <v>0.23</v>
      </c>
      <c r="J176" s="67">
        <f t="shared" si="28"/>
        <v>139.29</v>
      </c>
      <c r="K176" s="71">
        <f t="shared" si="29"/>
        <v>1671.48</v>
      </c>
      <c r="L176" s="51"/>
      <c r="M176" s="52"/>
    </row>
    <row r="177" spans="2:13" s="25" customFormat="1" ht="30" customHeight="1" outlineLevel="1">
      <c r="B177" s="61"/>
      <c r="C177" s="62" t="s">
        <v>26</v>
      </c>
      <c r="D177" s="63" t="s">
        <v>378</v>
      </c>
      <c r="E177" s="64" t="str">
        <f>IFERROR(UPPER(IF(C177="CPU",VLOOKUP(D177,#REF!,2,0),IF(C177="SINAPI",VLOOKUP(D177,#REF!,2,0),IF(C177="EDIF",VLOOKUP(D177,#REF!,2,0),IF(C177="CDHU",VLOOKUP(D177,#REF!,2,0),IF(C177="FDE",VLOOKUP(D177,'FDE 10-23 '!$A$4:$E$3180,2,0),IF(C177="INFRA",VLOOKUP(D177,#REF!,2,0),""))))))),"")</f>
        <v>VALVULA DE DESCARGA C/ REG INCORP DN=40MM(1 1/2) ACAB ANTIVANDALISMO</v>
      </c>
      <c r="F177" s="65" t="str">
        <f>VLOOKUP(D177,'FDE 10-23 '!$A$4:$E$3180,3,0)</f>
        <v>UN</v>
      </c>
      <c r="G177" s="66">
        <v>7</v>
      </c>
      <c r="H177" s="67">
        <f>VLOOKUP(D177,'FDE 10-23 '!$A$4:$E$3180,5,0)</f>
        <v>454.53</v>
      </c>
      <c r="I177" s="92">
        <f t="shared" si="27"/>
        <v>0.23</v>
      </c>
      <c r="J177" s="67">
        <f t="shared" si="28"/>
        <v>559.07000000000005</v>
      </c>
      <c r="K177" s="71">
        <f t="shared" si="29"/>
        <v>3913.4900000000002</v>
      </c>
      <c r="L177" s="51"/>
      <c r="M177" s="52"/>
    </row>
    <row r="178" spans="2:13" s="25" customFormat="1" ht="30" customHeight="1" outlineLevel="1">
      <c r="B178" s="61"/>
      <c r="C178" s="62" t="s">
        <v>26</v>
      </c>
      <c r="D178" s="63" t="s">
        <v>380</v>
      </c>
      <c r="E178" s="64" t="str">
        <f>IFERROR(UPPER(IF(C178="CPU",VLOOKUP(D178,#REF!,2,0),IF(C178="SINAPI",VLOOKUP(D178,#REF!,2,0),IF(C178="EDIF",VLOOKUP(D178,#REF!,2,0),IF(C178="CDHU",VLOOKUP(D178,#REF!,2,0),IF(C178="FDE",VLOOKUP(D178,'FDE 10-23 '!$A$4:$E$3180,2,0),IF(C178="INFRA",VLOOKUP(D178,#REF!,2,0),""))))))),"")</f>
        <v>VALVULA DE DESCARGA C/ACIONAMENTO DUPLO FLUXO REGISTRO E ACABAM. DN 40MM 1 1/2"</v>
      </c>
      <c r="F178" s="65" t="str">
        <f>VLOOKUP(D178,'FDE 10-23 '!$A$4:$E$3180,3,0)</f>
        <v>UN</v>
      </c>
      <c r="G178" s="66">
        <v>12</v>
      </c>
      <c r="H178" s="67">
        <f>VLOOKUP(D178,'FDE 10-23 '!$A$4:$E$3180,5,0)</f>
        <v>397.45</v>
      </c>
      <c r="I178" s="92">
        <f t="shared" si="27"/>
        <v>0.23</v>
      </c>
      <c r="J178" s="67">
        <f t="shared" si="28"/>
        <v>488.86</v>
      </c>
      <c r="K178" s="71">
        <f t="shared" si="29"/>
        <v>5866.32</v>
      </c>
      <c r="L178" s="51"/>
      <c r="M178" s="52"/>
    </row>
    <row r="179" spans="2:13" s="25" customFormat="1" ht="30" customHeight="1" outlineLevel="1">
      <c r="B179" s="61"/>
      <c r="C179" s="62" t="s">
        <v>26</v>
      </c>
      <c r="D179" s="63" t="s">
        <v>382</v>
      </c>
      <c r="E179" s="64" t="str">
        <f>IFERROR(UPPER(IF(C179="CPU",VLOOKUP(D179,#REF!,2,0),IF(C179="SINAPI",VLOOKUP(D179,#REF!,2,0),IF(C179="EDIF",VLOOKUP(D179,#REF!,2,0),IF(C179="CDHU",VLOOKUP(D179,#REF!,2,0),IF(C179="FDE",VLOOKUP(D179,'FDE 10-23 '!$A$4:$E$3180,2,0),IF(C179="INFRA",VLOOKUP(D179,#REF!,2,0),""))))))),"")</f>
        <v>SERVICOS EM REDE DE AGUA FRIA</v>
      </c>
      <c r="F179" s="65" t="str">
        <f>VLOOKUP(D179,'FDE 10-23 '!$A$4:$E$3180,3,0)</f>
        <v>MV</v>
      </c>
      <c r="G179" s="66">
        <v>100</v>
      </c>
      <c r="H179" s="67">
        <f>VLOOKUP(D179,'FDE 10-23 '!$A$4:$E$3180,5,0)</f>
        <v>533.05999999999995</v>
      </c>
      <c r="I179" s="92">
        <f t="shared" si="27"/>
        <v>0.23</v>
      </c>
      <c r="J179" s="67">
        <f t="shared" si="28"/>
        <v>655.66</v>
      </c>
      <c r="K179" s="71">
        <f t="shared" si="29"/>
        <v>65566</v>
      </c>
      <c r="L179" s="51"/>
      <c r="M179" s="52"/>
    </row>
    <row r="180" spans="2:13" s="25" customFormat="1" ht="30" customHeight="1" outlineLevel="1">
      <c r="B180" s="53"/>
      <c r="C180" s="54"/>
      <c r="D180" s="54" t="s">
        <v>384</v>
      </c>
      <c r="E180" s="55" t="s">
        <v>385</v>
      </c>
      <c r="F180" s="56" t="str">
        <f>IFERROR(UPPER(IF(C180="CPU",VLOOKUP(D180,#REF!,3,0),IF(C180="SINAPI",VLOOKUP(D180,#REF!,3,0),IF(C180="EDIF",VLOOKUP(D180,#REF!,3,0),IF(C180="CDHU",VLOOKUP(D180,#REF!,3,0),IF(C180="FDE",VLOOKUP(D180,#REF!,3,0),IF(C180="INFRA",VLOOKUP(D180,#REF!,3,0),""))))))),"")</f>
        <v/>
      </c>
      <c r="G180" s="57"/>
      <c r="H18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80" s="59"/>
      <c r="J180" s="59"/>
      <c r="K180" s="82">
        <f>SUBTOTAL(9,K181:K183)</f>
        <v>51256.76</v>
      </c>
      <c r="L180" s="51"/>
      <c r="M180" s="52"/>
    </row>
    <row r="181" spans="2:13" s="25" customFormat="1" ht="30" customHeight="1" outlineLevel="1">
      <c r="B181" s="61"/>
      <c r="C181" s="62" t="s">
        <v>26</v>
      </c>
      <c r="D181" s="63" t="s">
        <v>387</v>
      </c>
      <c r="E181" s="64" t="str">
        <f>IFERROR(UPPER(IF(C181="CPU",VLOOKUP(D181,#REF!,2,0),IF(C181="SINAPI",VLOOKUP(D181,#REF!,2,0),IF(C181="EDIF",VLOOKUP(D181,#REF!,2,0),IF(C181="CDHU",VLOOKUP(D181,#REF!,2,0),IF(C181="FDE",VLOOKUP(D181,'FDE 10-23 '!$A$4:$E$3180,2,0),IF(C181="INFRA",VLOOKUP(D181,#REF!,2,0),""))))))),"")</f>
        <v>TUBO ACO GALVANIZ NBR5580-CL MEDIA, DN65MM (2 1/2")- INCL CONEXOES</v>
      </c>
      <c r="F181" s="65" t="str">
        <f>VLOOKUP(D181,'FDE 10-23 '!$A$4:$E$3180,3,0)</f>
        <v>M</v>
      </c>
      <c r="G181" s="66">
        <v>141.5</v>
      </c>
      <c r="H181" s="67">
        <f>VLOOKUP(D181,'FDE 10-23 '!$A$4:$E$3180,5,0)</f>
        <v>237.84</v>
      </c>
      <c r="I181" s="92">
        <f>$L$10</f>
        <v>0.23</v>
      </c>
      <c r="J181" s="67">
        <f>ROUND(H181*(1+I181),2)</f>
        <v>292.54000000000002</v>
      </c>
      <c r="K181" s="71">
        <f>SUM(G181*J181)</f>
        <v>41394.410000000003</v>
      </c>
      <c r="L181" s="51"/>
      <c r="M181" s="52"/>
    </row>
    <row r="182" spans="2:13" s="25" customFormat="1" ht="30" customHeight="1" outlineLevel="1">
      <c r="B182" s="61"/>
      <c r="C182" s="62" t="s">
        <v>26</v>
      </c>
      <c r="D182" s="63" t="s">
        <v>389</v>
      </c>
      <c r="E182" s="64" t="str">
        <f>IFERROR(UPPER(IF(C182="CPU",VLOOKUP(D182,#REF!,2,0),IF(C182="SINAPI",VLOOKUP(D182,#REF!,2,0),IF(C182="EDIF",VLOOKUP(D182,#REF!,2,0),IF(C182="CDHU",VLOOKUP(D182,#REF!,2,0),IF(C182="FDE",VLOOKUP(D182,'FDE 10-23 '!$A$4:$E$3180,2,0),IF(C182="INFRA",VLOOKUP(D182,#REF!,2,0),""))))))),"")</f>
        <v>TUBO ACO GALVANIZ NBR5580-CL MEDIA, DN80MM (3")-INCL CONEXOES</v>
      </c>
      <c r="F182" s="65" t="str">
        <f>VLOOKUP(D182,'FDE 10-23 '!$A$4:$E$3180,3,0)</f>
        <v>M</v>
      </c>
      <c r="G182" s="66">
        <v>5</v>
      </c>
      <c r="H182" s="67">
        <f>VLOOKUP(D182,'FDE 10-23 '!$A$4:$E$3180,5,0)</f>
        <v>260.2</v>
      </c>
      <c r="I182" s="92">
        <f>$L$10</f>
        <v>0.23</v>
      </c>
      <c r="J182" s="67">
        <f>ROUND(H182*(1+I182),2)</f>
        <v>320.05</v>
      </c>
      <c r="K182" s="71">
        <f>SUM(G182*J182)</f>
        <v>1600.25</v>
      </c>
      <c r="L182" s="51"/>
      <c r="M182" s="52"/>
    </row>
    <row r="183" spans="2:13" s="25" customFormat="1" ht="30" customHeight="1" outlineLevel="1">
      <c r="B183" s="61"/>
      <c r="C183" s="62" t="s">
        <v>26</v>
      </c>
      <c r="D183" s="63" t="s">
        <v>391</v>
      </c>
      <c r="E183" s="64" t="str">
        <f>IFERROR(UPPER(IF(C183="CPU",VLOOKUP(D183,#REF!,2,0),IF(C183="SINAPI",VLOOKUP(D183,#REF!,2,0),IF(C183="EDIF",VLOOKUP(D183,#REF!,2,0),IF(C183="CDHU",VLOOKUP(D183,#REF!,2,0),IF(C183="FDE",VLOOKUP(D183,'FDE 10-23 '!$A$4:$E$3180,2,0),IF(C183="INFRA",VLOOKUP(D183,#REF!,2,0),""))))))),"")</f>
        <v>PROTECAO ANTI CORROSIVA PARA RAMAIS SOB A TERRA</v>
      </c>
      <c r="F183" s="65" t="str">
        <f>VLOOKUP(D183,'FDE 10-23 '!$A$4:$E$3180,3,0)</f>
        <v>M</v>
      </c>
      <c r="G183" s="66">
        <v>129.5</v>
      </c>
      <c r="H183" s="67">
        <f>VLOOKUP(D183,'FDE 10-23 '!$A$4:$E$3180,5,0)</f>
        <v>51.87</v>
      </c>
      <c r="I183" s="92">
        <f>$L$10</f>
        <v>0.23</v>
      </c>
      <c r="J183" s="67">
        <f>ROUND(H183*(1+I183),2)</f>
        <v>63.8</v>
      </c>
      <c r="K183" s="71">
        <f>SUM(G183*J183)</f>
        <v>8262.1</v>
      </c>
      <c r="L183" s="51"/>
      <c r="M183" s="52"/>
    </row>
    <row r="184" spans="2:13" s="25" customFormat="1" ht="30" customHeight="1" outlineLevel="1">
      <c r="B184" s="53"/>
      <c r="C184" s="54"/>
      <c r="D184" s="54" t="s">
        <v>393</v>
      </c>
      <c r="E184" s="55" t="s">
        <v>394</v>
      </c>
      <c r="F184" s="56" t="str">
        <f>IFERROR(UPPER(IF(C184="CPU",VLOOKUP(D184,#REF!,3,0),IF(C184="SINAPI",VLOOKUP(D184,#REF!,3,0),IF(C184="EDIF",VLOOKUP(D184,#REF!,3,0),IF(C184="CDHU",VLOOKUP(D184,#REF!,3,0),IF(C184="FDE",VLOOKUP(D184,#REF!,3,0),IF(C184="INFRA",VLOOKUP(D184,#REF!,3,0),""))))))),"")</f>
        <v/>
      </c>
      <c r="G184" s="57"/>
      <c r="H184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84" s="59"/>
      <c r="J184" s="59"/>
      <c r="K184" s="82">
        <f>SUBTOTAL(9,K185:K195)</f>
        <v>30625.53</v>
      </c>
      <c r="L184" s="51"/>
      <c r="M184" s="52"/>
    </row>
    <row r="185" spans="2:13" s="25" customFormat="1" ht="30" customHeight="1" outlineLevel="1">
      <c r="B185" s="61"/>
      <c r="C185" s="62" t="s">
        <v>26</v>
      </c>
      <c r="D185" s="63" t="s">
        <v>396</v>
      </c>
      <c r="E185" s="64" t="str">
        <f>IFERROR(UPPER(IF(C185="CPU",VLOOKUP(D185,#REF!,2,0),IF(C185="SINAPI",VLOOKUP(D185,#REF!,2,0),IF(C185="EDIF",VLOOKUP(D185,#REF!,2,0),IF(C185="CDHU",VLOOKUP(D185,#REF!,2,0),IF(C185="FDE",VLOOKUP(D185,'FDE 10-23 '!$A$4:$E$3180,2,0),IF(C185="INFRA",VLOOKUP(D185,#REF!,2,0),""))))))),"")</f>
        <v>REGISTRO DE GAVETA BRUTO DN 65MM (2 1/2")</v>
      </c>
      <c r="F185" s="65" t="str">
        <f>VLOOKUP(D185,'FDE 10-23 '!$A$4:$E$3180,3,0)</f>
        <v>UN</v>
      </c>
      <c r="G185" s="66">
        <v>1</v>
      </c>
      <c r="H185" s="67">
        <f>VLOOKUP(D185,'FDE 10-23 '!$A$4:$E$3180,5,0)</f>
        <v>394.38</v>
      </c>
      <c r="I185" s="92">
        <f t="shared" ref="I185:I195" si="30">$L$10</f>
        <v>0.23</v>
      </c>
      <c r="J185" s="67">
        <f t="shared" ref="J185:J195" si="31">ROUND(H185*(1+I185),2)</f>
        <v>485.09</v>
      </c>
      <c r="K185" s="71">
        <f t="shared" ref="K185:K195" si="32">SUM(G185*J185)</f>
        <v>485.09</v>
      </c>
      <c r="L185" s="51"/>
      <c r="M185" s="52"/>
    </row>
    <row r="186" spans="2:13" s="25" customFormat="1" ht="30" customHeight="1" outlineLevel="1">
      <c r="B186" s="61"/>
      <c r="C186" s="62" t="s">
        <v>26</v>
      </c>
      <c r="D186" s="63" t="s">
        <v>398</v>
      </c>
      <c r="E186" s="64" t="str">
        <f>IFERROR(UPPER(IF(C186="CPU",VLOOKUP(D186,#REF!,2,0),IF(C186="SINAPI",VLOOKUP(D186,#REF!,2,0),IF(C186="EDIF",VLOOKUP(D186,#REF!,2,0),IF(C186="CDHU",VLOOKUP(D186,#REF!,2,0),IF(C186="FDE",VLOOKUP(D186,'FDE 10-23 '!$A$4:$E$3180,2,0),IF(C186="INFRA",VLOOKUP(D186,#REF!,2,0),""))))))),"")</f>
        <v>REGISTRO DE GAVETA BRUTO DN 80MM (3")</v>
      </c>
      <c r="F186" s="65" t="str">
        <f>VLOOKUP(D186,'FDE 10-23 '!$A$4:$E$3180,3,0)</f>
        <v>UN</v>
      </c>
      <c r="G186" s="66">
        <v>2</v>
      </c>
      <c r="H186" s="67">
        <f>VLOOKUP(D186,'FDE 10-23 '!$A$4:$E$3180,5,0)</f>
        <v>597.03</v>
      </c>
      <c r="I186" s="92">
        <f t="shared" si="30"/>
        <v>0.23</v>
      </c>
      <c r="J186" s="67">
        <f t="shared" si="31"/>
        <v>734.35</v>
      </c>
      <c r="K186" s="71">
        <f t="shared" si="32"/>
        <v>1468.7</v>
      </c>
      <c r="L186" s="51"/>
      <c r="M186" s="52"/>
    </row>
    <row r="187" spans="2:13" s="25" customFormat="1" ht="30" customHeight="1" outlineLevel="1">
      <c r="B187" s="61"/>
      <c r="C187" s="62" t="s">
        <v>26</v>
      </c>
      <c r="D187" s="63" t="s">
        <v>400</v>
      </c>
      <c r="E187" s="64" t="str">
        <f>IFERROR(UPPER(IF(C187="CPU",VLOOKUP(D187,#REF!,2,0),IF(C187="SINAPI",VLOOKUP(D187,#REF!,2,0),IF(C187="EDIF",VLOOKUP(D187,#REF!,2,0),IF(C187="CDHU",VLOOKUP(D187,#REF!,2,0),IF(C187="FDE",VLOOKUP(D187,'FDE 10-23 '!$A$4:$E$3180,2,0),IF(C187="INFRA",VLOOKUP(D187,#REF!,2,0),""))))))),"")</f>
        <v>REGISTRO DE RECALQUE NO PASSEIO (RR-01)</v>
      </c>
      <c r="F187" s="65" t="str">
        <f>VLOOKUP(D187,'FDE 10-23 '!$A$4:$E$3180,3,0)</f>
        <v>UN</v>
      </c>
      <c r="G187" s="66">
        <v>1</v>
      </c>
      <c r="H187" s="67">
        <f>VLOOKUP(D187,'FDE 10-23 '!$A$4:$E$3180,5,0)</f>
        <v>794.72</v>
      </c>
      <c r="I187" s="92">
        <f t="shared" si="30"/>
        <v>0.23</v>
      </c>
      <c r="J187" s="67">
        <f t="shared" si="31"/>
        <v>977.51</v>
      </c>
      <c r="K187" s="71">
        <f t="shared" si="32"/>
        <v>977.51</v>
      </c>
      <c r="L187" s="51"/>
      <c r="M187" s="52"/>
    </row>
    <row r="188" spans="2:13" s="25" customFormat="1" ht="30" customHeight="1" outlineLevel="1">
      <c r="B188" s="61"/>
      <c r="C188" s="62" t="s">
        <v>26</v>
      </c>
      <c r="D188" s="63" t="s">
        <v>402</v>
      </c>
      <c r="E188" s="64" t="str">
        <f>IFERROR(UPPER(IF(C188="CPU",VLOOKUP(D188,#REF!,2,0),IF(C188="SINAPI",VLOOKUP(D188,#REF!,2,0),IF(C188="EDIF",VLOOKUP(D188,#REF!,2,0),IF(C188="CDHU",VLOOKUP(D188,#REF!,2,0),IF(C188="FDE",VLOOKUP(D188,'FDE 10-23 '!$A$4:$E$3180,2,0),IF(C188="INFRA",VLOOKUP(D188,#REF!,2,0),""))))))),"")</f>
        <v>AH-04 ABRIGO PARA HIDRANTE COM MANGUEIRA 1 1/2"  E ESGUICHO REGULAVEL</v>
      </c>
      <c r="F188" s="65" t="str">
        <f>VLOOKUP(D188,'FDE 10-23 '!$A$4:$E$3180,3,0)</f>
        <v>UN</v>
      </c>
      <c r="G188" s="66">
        <v>4</v>
      </c>
      <c r="H188" s="67">
        <f>VLOOKUP(D188,'FDE 10-23 '!$A$4:$E$3180,5,0)</f>
        <v>1609.21</v>
      </c>
      <c r="I188" s="92">
        <f t="shared" si="30"/>
        <v>0.23</v>
      </c>
      <c r="J188" s="67">
        <f t="shared" si="31"/>
        <v>1979.33</v>
      </c>
      <c r="K188" s="71">
        <f t="shared" si="32"/>
        <v>7917.32</v>
      </c>
      <c r="L188" s="51"/>
      <c r="M188" s="52"/>
    </row>
    <row r="189" spans="2:13" s="25" customFormat="1" ht="30" customHeight="1" outlineLevel="1">
      <c r="B189" s="61"/>
      <c r="C189" s="62" t="s">
        <v>26</v>
      </c>
      <c r="D189" s="63" t="s">
        <v>404</v>
      </c>
      <c r="E189" s="64" t="str">
        <f>IFERROR(UPPER(IF(C189="CPU",VLOOKUP(D189,#REF!,2,0),IF(C189="SINAPI",VLOOKUP(D189,#REF!,2,0),IF(C189="EDIF",VLOOKUP(D189,#REF!,2,0),IF(C189="CDHU",VLOOKUP(D189,#REF!,2,0),IF(C189="FDE",VLOOKUP(D189,'FDE 10-23 '!$A$4:$E$3180,2,0),IF(C189="INFRA",VLOOKUP(D189,#REF!,2,0),""))))))),"")</f>
        <v>VALVULA RETENCAO HORIZ BRONZE DE 2 1/2"</v>
      </c>
      <c r="F189" s="65" t="str">
        <f>VLOOKUP(D189,'FDE 10-23 '!$A$4:$E$3180,3,0)</f>
        <v>UN</v>
      </c>
      <c r="G189" s="66">
        <v>2</v>
      </c>
      <c r="H189" s="67">
        <f>VLOOKUP(D189,'FDE 10-23 '!$A$4:$E$3180,5,0)</f>
        <v>573.57000000000005</v>
      </c>
      <c r="I189" s="92">
        <f t="shared" si="30"/>
        <v>0.23</v>
      </c>
      <c r="J189" s="67">
        <f t="shared" si="31"/>
        <v>705.49</v>
      </c>
      <c r="K189" s="71">
        <f t="shared" si="32"/>
        <v>1410.98</v>
      </c>
      <c r="L189" s="51"/>
      <c r="M189" s="52"/>
    </row>
    <row r="190" spans="2:13" s="25" customFormat="1" ht="30" customHeight="1" outlineLevel="1">
      <c r="B190" s="61"/>
      <c r="C190" s="62" t="s">
        <v>26</v>
      </c>
      <c r="D190" s="63" t="s">
        <v>406</v>
      </c>
      <c r="E190" s="64" t="str">
        <f>IFERROR(UPPER(IF(C190="CPU",VLOOKUP(D190,#REF!,2,0),IF(C190="SINAPI",VLOOKUP(D190,#REF!,2,0),IF(C190="EDIF",VLOOKUP(D190,#REF!,2,0),IF(C190="CDHU",VLOOKUP(D190,#REF!,2,0),IF(C190="FDE",VLOOKUP(D190,'FDE 10-23 '!$A$4:$E$3180,2,0),IF(C190="INFRA",VLOOKUP(D190,#REF!,2,0),""))))))),"")</f>
        <v>EXTINTORES MANUAIS DE CO2 COM CAPACIDADE DE 6 KG</v>
      </c>
      <c r="F190" s="65" t="str">
        <f>VLOOKUP(D190,'FDE 10-23 '!$A$4:$E$3180,3,0)</f>
        <v>UN</v>
      </c>
      <c r="G190" s="66">
        <v>2</v>
      </c>
      <c r="H190" s="67">
        <f>VLOOKUP(D190,'FDE 10-23 '!$A$4:$E$3180,5,0)</f>
        <v>603.03</v>
      </c>
      <c r="I190" s="92">
        <f t="shared" si="30"/>
        <v>0.23</v>
      </c>
      <c r="J190" s="67">
        <f t="shared" si="31"/>
        <v>741.73</v>
      </c>
      <c r="K190" s="71">
        <f t="shared" si="32"/>
        <v>1483.46</v>
      </c>
      <c r="L190" s="51"/>
      <c r="M190" s="52"/>
    </row>
    <row r="191" spans="2:13" s="25" customFormat="1" ht="30" customHeight="1" outlineLevel="1">
      <c r="B191" s="61"/>
      <c r="C191" s="62" t="s">
        <v>26</v>
      </c>
      <c r="D191" s="63" t="s">
        <v>408</v>
      </c>
      <c r="E191" s="64" t="str">
        <f>IFERROR(UPPER(IF(C191="CPU",VLOOKUP(D191,#REF!,2,0),IF(C191="SINAPI",VLOOKUP(D191,#REF!,2,0),IF(C191="EDIF",VLOOKUP(D191,#REF!,2,0),IF(C191="CDHU",VLOOKUP(D191,#REF!,2,0),IF(C191="FDE",VLOOKUP(D191,'FDE 10-23 '!$A$4:$E$3180,2,0),IF(C191="INFRA",VLOOKUP(D191,#REF!,2,0),""))))))),"")</f>
        <v>EXTINTORES MANUAIS PO QUIMICO SECO COM CAPACIDADE DE 4 KG</v>
      </c>
      <c r="F191" s="65" t="str">
        <f>VLOOKUP(D191,'FDE 10-23 '!$A$4:$E$3180,3,0)</f>
        <v>UN</v>
      </c>
      <c r="G191" s="66">
        <v>4</v>
      </c>
      <c r="H191" s="67">
        <f>VLOOKUP(D191,'FDE 10-23 '!$A$4:$E$3180,5,0)</f>
        <v>199.58</v>
      </c>
      <c r="I191" s="92">
        <f t="shared" si="30"/>
        <v>0.23</v>
      </c>
      <c r="J191" s="67">
        <f t="shared" si="31"/>
        <v>245.48</v>
      </c>
      <c r="K191" s="71">
        <f t="shared" si="32"/>
        <v>981.92</v>
      </c>
      <c r="L191" s="51"/>
      <c r="M191" s="52"/>
    </row>
    <row r="192" spans="2:13" s="25" customFormat="1" ht="30" customHeight="1" outlineLevel="1">
      <c r="B192" s="61"/>
      <c r="C192" s="62" t="s">
        <v>26</v>
      </c>
      <c r="D192" s="63" t="s">
        <v>410</v>
      </c>
      <c r="E192" s="64" t="str">
        <f>IFERROR(UPPER(IF(C192="CPU",VLOOKUP(D192,#REF!,2,0),IF(C192="SINAPI",VLOOKUP(D192,#REF!,2,0),IF(C192="EDIF",VLOOKUP(D192,#REF!,2,0),IF(C192="CDHU",VLOOKUP(D192,#REF!,2,0),IF(C192="FDE",VLOOKUP(D192,'FDE 10-23 '!$A$4:$E$3180,2,0),IF(C192="INFRA",VLOOKUP(D192,#REF!,2,0),""))))))),"")</f>
        <v>EXTINTOR MANUAL PO QUIMICO SECO C/ CAPACIDADE DE 12KG</v>
      </c>
      <c r="F192" s="65" t="str">
        <f>VLOOKUP(D192,'FDE 10-23 '!$A$4:$E$3180,3,0)</f>
        <v>UN</v>
      </c>
      <c r="G192" s="66">
        <v>1</v>
      </c>
      <c r="H192" s="67">
        <f>VLOOKUP(D192,'FDE 10-23 '!$A$4:$E$3180,5,0)</f>
        <v>313.01</v>
      </c>
      <c r="I192" s="92">
        <f t="shared" si="30"/>
        <v>0.23</v>
      </c>
      <c r="J192" s="67">
        <f t="shared" si="31"/>
        <v>385</v>
      </c>
      <c r="K192" s="71">
        <f t="shared" si="32"/>
        <v>385</v>
      </c>
      <c r="L192" s="51"/>
      <c r="M192" s="52"/>
    </row>
    <row r="193" spans="2:13" s="25" customFormat="1" ht="30" customHeight="1" outlineLevel="1">
      <c r="B193" s="61"/>
      <c r="C193" s="62" t="s">
        <v>26</v>
      </c>
      <c r="D193" s="63" t="s">
        <v>412</v>
      </c>
      <c r="E193" s="64" t="str">
        <f>IFERROR(UPPER(IF(C193="CPU",VLOOKUP(D193,#REF!,2,0),IF(C193="SINAPI",VLOOKUP(D193,#REF!,2,0),IF(C193="EDIF",VLOOKUP(D193,#REF!,2,0),IF(C193="CDHU",VLOOKUP(D193,#REF!,2,0),IF(C193="FDE",VLOOKUP(D193,'FDE 10-23 '!$A$4:$E$3180,2,0),IF(C193="INFRA",VLOOKUP(D193,#REF!,2,0),""))))))),"")</f>
        <v>EXTINTORES MANUAIS DE AGUA PRESSURIZADA CAP DE 10 L</v>
      </c>
      <c r="F193" s="65" t="str">
        <f>VLOOKUP(D193,'FDE 10-23 '!$A$4:$E$3180,3,0)</f>
        <v>UN</v>
      </c>
      <c r="G193" s="66">
        <v>1</v>
      </c>
      <c r="H193" s="67">
        <f>VLOOKUP(D193,'FDE 10-23 '!$A$4:$E$3180,5,0)</f>
        <v>216.46</v>
      </c>
      <c r="I193" s="92">
        <f t="shared" si="30"/>
        <v>0.23</v>
      </c>
      <c r="J193" s="67">
        <f t="shared" si="31"/>
        <v>266.25</v>
      </c>
      <c r="K193" s="71">
        <f t="shared" si="32"/>
        <v>266.25</v>
      </c>
      <c r="L193" s="51"/>
      <c r="M193" s="52"/>
    </row>
    <row r="194" spans="2:13" s="25" customFormat="1" ht="30" customHeight="1" outlineLevel="1">
      <c r="B194" s="61"/>
      <c r="C194" s="62" t="s">
        <v>26</v>
      </c>
      <c r="D194" s="63" t="s">
        <v>414</v>
      </c>
      <c r="E194" s="64" t="str">
        <f>IFERROR(UPPER(IF(C194="CPU",VLOOKUP(D194,#REF!,2,0),IF(C194="SINAPI",VLOOKUP(D194,#REF!,2,0),IF(C194="EDIF",VLOOKUP(D194,#REF!,2,0),IF(C194="CDHU",VLOOKUP(D194,#REF!,2,0),IF(C194="FDE",VLOOKUP(D194,'FDE 10-23 '!$A$4:$E$3180,2,0),IF(C194="INFRA",VLOOKUP(D194,#REF!,2,0),""))))))),"")</f>
        <v>PRESSOSTATO (VALVULA DE FLUXO) COM SENSOR DIAFRAGMA.</v>
      </c>
      <c r="F194" s="65" t="str">
        <f>VLOOKUP(D194,'FDE 10-23 '!$A$4:$E$3180,3,0)</f>
        <v>UN</v>
      </c>
      <c r="G194" s="66">
        <v>1</v>
      </c>
      <c r="H194" s="67">
        <f>VLOOKUP(D194,'FDE 10-23 '!$A$4:$E$3180,5,0)</f>
        <v>2546.9899999999998</v>
      </c>
      <c r="I194" s="92">
        <f t="shared" si="30"/>
        <v>0.23</v>
      </c>
      <c r="J194" s="67">
        <f t="shared" si="31"/>
        <v>3132.8</v>
      </c>
      <c r="K194" s="71">
        <f t="shared" si="32"/>
        <v>3132.8</v>
      </c>
      <c r="L194" s="51"/>
      <c r="M194" s="52"/>
    </row>
    <row r="195" spans="2:13" s="25" customFormat="1" ht="30" customHeight="1" outlineLevel="1">
      <c r="B195" s="61"/>
      <c r="C195" s="62" t="s">
        <v>26</v>
      </c>
      <c r="D195" s="63" t="s">
        <v>416</v>
      </c>
      <c r="E195" s="64" t="str">
        <f>IFERROR(UPPER(IF(C195="CPU",VLOOKUP(D195,#REF!,2,0),IF(C195="SINAPI",VLOOKUP(D195,#REF!,2,0),IF(C195="EDIF",VLOOKUP(D195,#REF!,2,0),IF(C195="CDHU",VLOOKUP(D195,#REF!,2,0),IF(C195="FDE",VLOOKUP(D195,'FDE 10-23 '!$A$4:$E$3180,2,0),IF(C195="INFRA",VLOOKUP(D195,#REF!,2,0),""))))))),"")</f>
        <v>CONJ MOTOR-BOMBA (CENTRIFUGA) 5 HP (31200 L/H -20 MCA)</v>
      </c>
      <c r="F195" s="65" t="str">
        <f>VLOOKUP(D195,'FDE 10-23 '!$A$4:$E$3180,3,0)</f>
        <v>UN</v>
      </c>
      <c r="G195" s="93">
        <v>2</v>
      </c>
      <c r="H195" s="67">
        <f>VLOOKUP(D195,'FDE 10-23 '!$A$4:$E$3180,5,0)</f>
        <v>4925.41</v>
      </c>
      <c r="I195" s="92">
        <f t="shared" si="30"/>
        <v>0.23</v>
      </c>
      <c r="J195" s="67">
        <f t="shared" si="31"/>
        <v>6058.25</v>
      </c>
      <c r="K195" s="71">
        <f t="shared" si="32"/>
        <v>12116.5</v>
      </c>
      <c r="L195" s="51"/>
      <c r="M195" s="52"/>
    </row>
    <row r="196" spans="2:13" s="25" customFormat="1" ht="30" customHeight="1" outlineLevel="1">
      <c r="B196" s="53"/>
      <c r="C196" s="54"/>
      <c r="D196" s="54" t="s">
        <v>418</v>
      </c>
      <c r="E196" s="55" t="s">
        <v>419</v>
      </c>
      <c r="F196" s="56" t="str">
        <f>IFERROR(UPPER(IF(C196="CPU",VLOOKUP(D196,#REF!,3,0),IF(C196="SINAPI",VLOOKUP(D196,#REF!,3,0),IF(C196="EDIF",VLOOKUP(D196,#REF!,3,0),IF(C196="CDHU",VLOOKUP(D196,#REF!,3,0),IF(C196="FDE",VLOOKUP(D196,#REF!,3,0),IF(C196="INFRA",VLOOKUP(D196,#REF!,3,0),""))))))),"")</f>
        <v/>
      </c>
      <c r="G196" s="57"/>
      <c r="H196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196" s="59"/>
      <c r="J196" s="59"/>
      <c r="K196" s="82">
        <f>SUBTOTAL(9,K197:K205)</f>
        <v>127721.141</v>
      </c>
      <c r="L196" s="51"/>
      <c r="M196" s="52"/>
    </row>
    <row r="197" spans="2:13" s="25" customFormat="1" ht="30" customHeight="1" outlineLevel="1">
      <c r="B197" s="61"/>
      <c r="C197" s="62" t="s">
        <v>26</v>
      </c>
      <c r="D197" s="63" t="s">
        <v>421</v>
      </c>
      <c r="E197" s="64" t="str">
        <f>IFERROR(UPPER(IF(C197="CPU",VLOOKUP(D197,#REF!,2,0),IF(C197="SINAPI",VLOOKUP(D197,#REF!,2,0),IF(C197="EDIF",VLOOKUP(D197,#REF!,2,0),IF(C197="CDHU",VLOOKUP(D197,#REF!,2,0),IF(C197="FDE",VLOOKUP(D197,'FDE 10-23 '!$A$4:$E$3180,2,0),IF(C197="INFRA",VLOOKUP(D197,#REF!,2,0),""))))))),"")</f>
        <v>TUBO DE FERRO FUNDIDO DN 50MM (2") - INCLUSIVE CONEXOES -  DESC</v>
      </c>
      <c r="F197" s="65" t="str">
        <f>VLOOKUP(D197,'FDE 10-23 '!$A$4:$E$3180,3,0)</f>
        <v>M</v>
      </c>
      <c r="G197" s="66">
        <v>17.05</v>
      </c>
      <c r="H197" s="67">
        <f>VLOOKUP(D197,'FDE 10-23 '!$A$4:$E$3180,5,0)</f>
        <v>298.41000000000003</v>
      </c>
      <c r="I197" s="92">
        <f t="shared" ref="I197:I205" si="33">$L$10</f>
        <v>0.23</v>
      </c>
      <c r="J197" s="67">
        <f t="shared" ref="J197:J205" si="34">ROUND(H197*(1+I197),2)</f>
        <v>367.04</v>
      </c>
      <c r="K197" s="71">
        <f t="shared" ref="K197:K205" si="35">SUM(G197*J197)</f>
        <v>6258.0320000000011</v>
      </c>
      <c r="L197" s="51"/>
      <c r="M197" s="52"/>
    </row>
    <row r="198" spans="2:13" s="25" customFormat="1" ht="30" customHeight="1" outlineLevel="1">
      <c r="B198" s="61"/>
      <c r="C198" s="62" t="s">
        <v>26</v>
      </c>
      <c r="D198" s="63" t="s">
        <v>423</v>
      </c>
      <c r="E198" s="64" t="str">
        <f>IFERROR(UPPER(IF(C198="CPU",VLOOKUP(D198,#REF!,2,0),IF(C198="SINAPI",VLOOKUP(D198,#REF!,2,0),IF(C198="EDIF",VLOOKUP(D198,#REF!,2,0),IF(C198="CDHU",VLOOKUP(D198,#REF!,2,0),IF(C198="FDE",VLOOKUP(D198,'FDE 10-23 '!$A$4:$E$3180,2,0),IF(C198="INFRA",VLOOKUP(D198,#REF!,2,0),""))))))),"")</f>
        <v>TUBO DE FERRO FUNDIDO DN 75MM (3") - INCLUSIVE CONEXOES -  DESC</v>
      </c>
      <c r="F198" s="65" t="str">
        <f>VLOOKUP(D198,'FDE 10-23 '!$A$4:$E$3180,3,0)</f>
        <v>M</v>
      </c>
      <c r="G198" s="66">
        <v>22.5</v>
      </c>
      <c r="H198" s="67">
        <f>VLOOKUP(D198,'FDE 10-23 '!$A$4:$E$3180,5,0)</f>
        <v>399.15</v>
      </c>
      <c r="I198" s="92">
        <f t="shared" si="33"/>
        <v>0.23</v>
      </c>
      <c r="J198" s="67">
        <f t="shared" si="34"/>
        <v>490.95</v>
      </c>
      <c r="K198" s="71">
        <f t="shared" si="35"/>
        <v>11046.375</v>
      </c>
      <c r="L198" s="51"/>
      <c r="M198" s="52"/>
    </row>
    <row r="199" spans="2:13" s="25" customFormat="1" ht="30" customHeight="1" outlineLevel="1">
      <c r="B199" s="61"/>
      <c r="C199" s="62" t="s">
        <v>26</v>
      </c>
      <c r="D199" s="63" t="s">
        <v>425</v>
      </c>
      <c r="E199" s="64" t="str">
        <f>IFERROR(UPPER(IF(C199="CPU",VLOOKUP(D199,#REF!,2,0),IF(C199="SINAPI",VLOOKUP(D199,#REF!,2,0),IF(C199="EDIF",VLOOKUP(D199,#REF!,2,0),IF(C199="CDHU",VLOOKUP(D199,#REF!,2,0),IF(C199="FDE",VLOOKUP(D199,'FDE 10-23 '!$A$4:$E$3180,2,0),IF(C199="INFRA",VLOOKUP(D199,#REF!,2,0),""))))))),"")</f>
        <v>TUBO DE FERRO FUNDIDO DN 100MM (4") - INCLUSIVE CONEXOES -  DESC</v>
      </c>
      <c r="F199" s="65" t="str">
        <f>VLOOKUP(D199,'FDE 10-23 '!$A$4:$E$3180,3,0)</f>
        <v>M</v>
      </c>
      <c r="G199" s="66">
        <v>13</v>
      </c>
      <c r="H199" s="67">
        <f>VLOOKUP(D199,'FDE 10-23 '!$A$4:$E$3180,5,0)</f>
        <v>458.86</v>
      </c>
      <c r="I199" s="92">
        <f t="shared" si="33"/>
        <v>0.23</v>
      </c>
      <c r="J199" s="67">
        <f t="shared" si="34"/>
        <v>564.4</v>
      </c>
      <c r="K199" s="71">
        <f t="shared" si="35"/>
        <v>7337.2</v>
      </c>
      <c r="L199" s="51"/>
      <c r="M199" s="52"/>
    </row>
    <row r="200" spans="2:13" s="25" customFormat="1" ht="30" customHeight="1" outlineLevel="1">
      <c r="B200" s="61"/>
      <c r="C200" s="62" t="s">
        <v>26</v>
      </c>
      <c r="D200" s="63" t="s">
        <v>427</v>
      </c>
      <c r="E200" s="64" t="str">
        <f>IFERROR(UPPER(IF(C200="CPU",VLOOKUP(D200,#REF!,2,0),IF(C200="SINAPI",VLOOKUP(D200,#REF!,2,0),IF(C200="EDIF",VLOOKUP(D200,#REF!,2,0),IF(C200="CDHU",VLOOKUP(D200,#REF!,2,0),IF(C200="FDE",VLOOKUP(D200,'FDE 10-23 '!$A$4:$E$3180,2,0),IF(C200="INFRA",VLOOKUP(D200,#REF!,2,0),""))))))),"")</f>
        <v>TUBO PVC NORMAL "SN" JUNTA SOLDÁVEL/ELÁSTICA DN 40 INCL CONEXÕES</v>
      </c>
      <c r="F200" s="65" t="str">
        <f>VLOOKUP(D200,'FDE 10-23 '!$A$4:$E$3180,3,0)</f>
        <v>M</v>
      </c>
      <c r="G200" s="66">
        <v>75.5</v>
      </c>
      <c r="H200" s="67">
        <f>VLOOKUP(D200,'FDE 10-23 '!$A$4:$E$3180,5,0)</f>
        <v>37.58</v>
      </c>
      <c r="I200" s="92">
        <f t="shared" si="33"/>
        <v>0.23</v>
      </c>
      <c r="J200" s="67">
        <f t="shared" si="34"/>
        <v>46.22</v>
      </c>
      <c r="K200" s="71">
        <f t="shared" si="35"/>
        <v>3489.61</v>
      </c>
      <c r="L200" s="51"/>
      <c r="M200" s="52"/>
    </row>
    <row r="201" spans="2:13" s="25" customFormat="1" ht="30" customHeight="1" outlineLevel="1">
      <c r="B201" s="61"/>
      <c r="C201" s="62" t="s">
        <v>26</v>
      </c>
      <c r="D201" s="63" t="s">
        <v>429</v>
      </c>
      <c r="E201" s="64" t="str">
        <f>IFERROR(UPPER(IF(C201="CPU",VLOOKUP(D201,#REF!,2,0),IF(C201="SINAPI",VLOOKUP(D201,#REF!,2,0),IF(C201="EDIF",VLOOKUP(D201,#REF!,2,0),IF(C201="CDHU",VLOOKUP(D201,#REF!,2,0),IF(C201="FDE",VLOOKUP(D201,'FDE 10-23 '!$A$4:$E$3180,2,0),IF(C201="INFRA",VLOOKUP(D201,#REF!,2,0),""))))))),"")</f>
        <v>TUBO PVC NORMAL "SN" JUNTA ELÁSTICA DN 50 INCL CONEXÕES</v>
      </c>
      <c r="F201" s="65" t="str">
        <f>VLOOKUP(D201,'FDE 10-23 '!$A$4:$E$3180,3,0)</f>
        <v>M</v>
      </c>
      <c r="G201" s="66">
        <v>69</v>
      </c>
      <c r="H201" s="67">
        <f>VLOOKUP(D201,'FDE 10-23 '!$A$4:$E$3180,5,0)</f>
        <v>42.47</v>
      </c>
      <c r="I201" s="92">
        <f t="shared" si="33"/>
        <v>0.23</v>
      </c>
      <c r="J201" s="67">
        <f t="shared" si="34"/>
        <v>52.24</v>
      </c>
      <c r="K201" s="71">
        <f t="shared" si="35"/>
        <v>3604.56</v>
      </c>
      <c r="L201" s="51"/>
      <c r="M201" s="52"/>
    </row>
    <row r="202" spans="2:13" s="25" customFormat="1" ht="30" customHeight="1" outlineLevel="1">
      <c r="B202" s="61"/>
      <c r="C202" s="62" t="s">
        <v>26</v>
      </c>
      <c r="D202" s="63" t="s">
        <v>431</v>
      </c>
      <c r="E202" s="64" t="str">
        <f>IFERROR(UPPER(IF(C202="CPU",VLOOKUP(D202,#REF!,2,0),IF(C202="SINAPI",VLOOKUP(D202,#REF!,2,0),IF(C202="EDIF",VLOOKUP(D202,#REF!,2,0),IF(C202="CDHU",VLOOKUP(D202,#REF!,2,0),IF(C202="FDE",VLOOKUP(D202,'FDE 10-23 '!$A$4:$E$3180,2,0),IF(C202="INFRA",VLOOKUP(D202,#REF!,2,0),""))))))),"")</f>
        <v>TUBO PVC NORMAL "SN" JUNTA ELÁSTICA DN 75 INCL CONEXÕES</v>
      </c>
      <c r="F202" s="65" t="str">
        <f>VLOOKUP(D202,'FDE 10-23 '!$A$4:$E$3180,3,0)</f>
        <v>M</v>
      </c>
      <c r="G202" s="66">
        <v>112</v>
      </c>
      <c r="H202" s="67">
        <f>VLOOKUP(D202,'FDE 10-23 '!$A$4:$E$3180,5,0)</f>
        <v>53.67</v>
      </c>
      <c r="I202" s="92">
        <f t="shared" si="33"/>
        <v>0.23</v>
      </c>
      <c r="J202" s="67">
        <f t="shared" si="34"/>
        <v>66.010000000000005</v>
      </c>
      <c r="K202" s="71">
        <f t="shared" si="35"/>
        <v>7393.1200000000008</v>
      </c>
      <c r="L202" s="51"/>
      <c r="M202" s="52"/>
    </row>
    <row r="203" spans="2:13" s="25" customFormat="1" ht="30" customHeight="1" outlineLevel="1">
      <c r="B203" s="61"/>
      <c r="C203" s="62" t="s">
        <v>26</v>
      </c>
      <c r="D203" s="63" t="s">
        <v>433</v>
      </c>
      <c r="E203" s="64" t="str">
        <f>IFERROR(UPPER(IF(C203="CPU",VLOOKUP(D203,#REF!,2,0),IF(C203="SINAPI",VLOOKUP(D203,#REF!,2,0),IF(C203="EDIF",VLOOKUP(D203,#REF!,2,0),IF(C203="CDHU",VLOOKUP(D203,#REF!,2,0),IF(C203="FDE",VLOOKUP(D203,'FDE 10-23 '!$A$4:$E$3180,2,0),IF(C203="INFRA",VLOOKUP(D203,#REF!,2,0),""))))))),"")</f>
        <v>TUBO PVC NORMAL "SN" JUNTA ELÁSTICA DN 100 INCL CONEXÕES</v>
      </c>
      <c r="F203" s="65" t="str">
        <f>VLOOKUP(D203,'FDE 10-23 '!$A$4:$E$3180,3,0)</f>
        <v>M</v>
      </c>
      <c r="G203" s="66">
        <v>87</v>
      </c>
      <c r="H203" s="67">
        <f>VLOOKUP(D203,'FDE 10-23 '!$A$4:$E$3180,5,0)</f>
        <v>57.15</v>
      </c>
      <c r="I203" s="92">
        <f t="shared" si="33"/>
        <v>0.23</v>
      </c>
      <c r="J203" s="67">
        <f t="shared" si="34"/>
        <v>70.290000000000006</v>
      </c>
      <c r="K203" s="71">
        <f t="shared" si="35"/>
        <v>6115.2300000000005</v>
      </c>
      <c r="L203" s="51"/>
      <c r="M203" s="52"/>
    </row>
    <row r="204" spans="2:13" s="25" customFormat="1" ht="30" customHeight="1" outlineLevel="1">
      <c r="B204" s="61"/>
      <c r="C204" s="62" t="s">
        <v>26</v>
      </c>
      <c r="D204" s="63" t="s">
        <v>435</v>
      </c>
      <c r="E204" s="64" t="str">
        <f>IFERROR(UPPER(IF(C204="CPU",VLOOKUP(D204,#REF!,2,0),IF(C204="SINAPI",VLOOKUP(D204,#REF!,2,0),IF(C204="EDIF",VLOOKUP(D204,#REF!,2,0),IF(C204="CDHU",VLOOKUP(D204,#REF!,2,0),IF(C204="FDE",VLOOKUP(D204,'FDE 10-23 '!$A$4:$E$3180,2,0),IF(C204="INFRA",VLOOKUP(D204,#REF!,2,0),""))))))),"")</f>
        <v>TUBO PVC NORMAL "SN" JUNTA ELÁSTICA DN 150 INCL CONEXÕES</v>
      </c>
      <c r="F204" s="65" t="str">
        <f>VLOOKUP(D204,'FDE 10-23 '!$A$4:$E$3180,3,0)</f>
        <v>M</v>
      </c>
      <c r="G204" s="66">
        <v>142</v>
      </c>
      <c r="H204" s="67">
        <f>VLOOKUP(D204,'FDE 10-23 '!$A$4:$E$3180,5,0)</f>
        <v>115.97</v>
      </c>
      <c r="I204" s="92">
        <f t="shared" si="33"/>
        <v>0.23</v>
      </c>
      <c r="J204" s="67">
        <f t="shared" si="34"/>
        <v>142.63999999999999</v>
      </c>
      <c r="K204" s="71">
        <f t="shared" si="35"/>
        <v>20254.879999999997</v>
      </c>
      <c r="L204" s="51"/>
      <c r="M204" s="52"/>
    </row>
    <row r="205" spans="2:13" s="25" customFormat="1" ht="30" customHeight="1" outlineLevel="1">
      <c r="B205" s="61"/>
      <c r="C205" s="62" t="s">
        <v>26</v>
      </c>
      <c r="D205" s="63" t="s">
        <v>437</v>
      </c>
      <c r="E205" s="64" t="str">
        <f>IFERROR(UPPER(IF(C205="CPU",VLOOKUP(D205,#REF!,2,0),IF(C205="SINAPI",VLOOKUP(D205,#REF!,2,0),IF(C205="EDIF",VLOOKUP(D205,#REF!,2,0),IF(C205="CDHU",VLOOKUP(D205,#REF!,2,0),IF(C205="FDE",VLOOKUP(D205,'FDE 10-23 '!$A$4:$E$3180,2,0),IF(C205="INFRA",VLOOKUP(D205,#REF!,2,0),""))))))),"")</f>
        <v>SERVICOS EM REDE DE ESGOTO</v>
      </c>
      <c r="F205" s="65" t="str">
        <f>VLOOKUP(D205,'FDE 10-23 '!$A$4:$E$3180,3,0)</f>
        <v>MV</v>
      </c>
      <c r="G205" s="66">
        <v>94.9</v>
      </c>
      <c r="H205" s="67">
        <f>VLOOKUP(D205,'FDE 10-23 '!$A$4:$E$3180,5,0)</f>
        <v>533.05999999999995</v>
      </c>
      <c r="I205" s="92">
        <f t="shared" si="33"/>
        <v>0.23</v>
      </c>
      <c r="J205" s="67">
        <f t="shared" si="34"/>
        <v>655.66</v>
      </c>
      <c r="K205" s="71">
        <f t="shared" si="35"/>
        <v>62222.133999999998</v>
      </c>
      <c r="L205" s="51"/>
      <c r="M205" s="52"/>
    </row>
    <row r="206" spans="2:13" s="25" customFormat="1" ht="30" customHeight="1" outlineLevel="1">
      <c r="B206" s="53"/>
      <c r="C206" s="54"/>
      <c r="D206" s="54" t="s">
        <v>439</v>
      </c>
      <c r="E206" s="55" t="s">
        <v>440</v>
      </c>
      <c r="F206" s="56" t="str">
        <f>IFERROR(UPPER(IF(C206="CPU",VLOOKUP(D206,#REF!,3,0),IF(C206="SINAPI",VLOOKUP(D206,#REF!,3,0),IF(C206="EDIF",VLOOKUP(D206,#REF!,3,0),IF(C206="CDHU",VLOOKUP(D206,#REF!,3,0),IF(C206="FDE",VLOOKUP(D206,#REF!,3,0),IF(C206="INFRA",VLOOKUP(D206,#REF!,3,0),""))))))),"")</f>
        <v/>
      </c>
      <c r="G206" s="57"/>
      <c r="H206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06" s="59"/>
      <c r="J206" s="59"/>
      <c r="K206" s="82">
        <f>SUBTOTAL(9,K207:K208)</f>
        <v>18974.805600000003</v>
      </c>
      <c r="L206" s="51"/>
      <c r="M206" s="52"/>
    </row>
    <row r="207" spans="2:13" s="25" customFormat="1" ht="30" customHeight="1" outlineLevel="1">
      <c r="B207" s="61"/>
      <c r="C207" s="62" t="s">
        <v>26</v>
      </c>
      <c r="D207" s="63" t="s">
        <v>442</v>
      </c>
      <c r="E207" s="64" t="str">
        <f>IFERROR(UPPER(IF(C207="CPU",VLOOKUP(D207,#REF!,2,0),IF(C207="SINAPI",VLOOKUP(D207,#REF!,2,0),IF(C207="EDIF",VLOOKUP(D207,#REF!,2,0),IF(C207="CDHU",VLOOKUP(D207,#REF!,2,0),IF(C207="FDE",VLOOKUP(D207,'FDE 10-23 '!$A$4:$E$3180,2,0),IF(C207="INFRA",VLOOKUP(D207,#REF!,2,0),""))))))),"")</f>
        <v>RALO SIFONADO DE F.FUNDIDO DN 150 MM C/GRELHA PVC CROMADO</v>
      </c>
      <c r="F207" s="65" t="str">
        <f>VLOOKUP(D207,'FDE 10-23 '!$A$4:$E$3180,3,0)</f>
        <v>UN</v>
      </c>
      <c r="G207" s="66">
        <v>26</v>
      </c>
      <c r="H207" s="67">
        <f>VLOOKUP(D207,'FDE 10-23 '!$A$4:$E$3180,5,0)</f>
        <v>549.04999999999995</v>
      </c>
      <c r="I207" s="92">
        <f>$L$10</f>
        <v>0.23</v>
      </c>
      <c r="J207" s="67">
        <f>ROUND(H207*(1+I207),2)</f>
        <v>675.33</v>
      </c>
      <c r="K207" s="71">
        <f>SUM(G207*J207)</f>
        <v>17558.580000000002</v>
      </c>
      <c r="L207" s="51"/>
      <c r="M207" s="52"/>
    </row>
    <row r="208" spans="2:13" s="25" customFormat="1" ht="30" customHeight="1" outlineLevel="1">
      <c r="B208" s="61"/>
      <c r="C208" s="62" t="s">
        <v>26</v>
      </c>
      <c r="D208" s="63" t="s">
        <v>444</v>
      </c>
      <c r="E208" s="64" t="str">
        <f>IFERROR(UPPER(IF(C208="CPU",VLOOKUP(D208,#REF!,2,0),IF(C208="SINAPI",VLOOKUP(D208,#REF!,2,0),IF(C208="EDIF",VLOOKUP(D208,#REF!,2,0),IF(C208="CDHU",VLOOKUP(D208,#REF!,2,0),IF(C208="FDE",VLOOKUP(D208,'FDE 10-23 '!$A$4:$E$3180,2,0),IF(C208="INFRA",VLOOKUP(D208,#REF!,2,0),""))))))),"")</f>
        <v>SERVICOS EM REDE DE ESGOTO</v>
      </c>
      <c r="F208" s="65" t="str">
        <f>VLOOKUP(D208,'FDE 10-23 '!$A$4:$E$3180,3,0)</f>
        <v>MV</v>
      </c>
      <c r="G208" s="66">
        <v>2.16</v>
      </c>
      <c r="H208" s="67">
        <f>VLOOKUP(D208,'FDE 10-23 '!$A$4:$E$3180,5,0)</f>
        <v>533.05999999999995</v>
      </c>
      <c r="I208" s="92">
        <f>$L$10</f>
        <v>0.23</v>
      </c>
      <c r="J208" s="67">
        <f>ROUND(H208*(1+I208),2)</f>
        <v>655.66</v>
      </c>
      <c r="K208" s="71">
        <f>SUM(G208*J208)</f>
        <v>1416.2256</v>
      </c>
      <c r="L208" s="51"/>
      <c r="M208" s="52"/>
    </row>
    <row r="209" spans="2:13" s="25" customFormat="1" ht="30" customHeight="1" outlineLevel="1">
      <c r="B209" s="53"/>
      <c r="C209" s="54"/>
      <c r="D209" s="54" t="s">
        <v>446</v>
      </c>
      <c r="E209" s="55" t="s">
        <v>447</v>
      </c>
      <c r="F209" s="56" t="str">
        <f>IFERROR(UPPER(IF(C209="CPU",VLOOKUP(D209,#REF!,3,0),IF(C209="SINAPI",VLOOKUP(D209,#REF!,3,0),IF(C209="EDIF",VLOOKUP(D209,#REF!,3,0),IF(C209="CDHU",VLOOKUP(D209,#REF!,3,0),IF(C209="FDE",VLOOKUP(D209,#REF!,3,0),IF(C209="INFRA",VLOOKUP(D209,#REF!,3,0),""))))))),"")</f>
        <v/>
      </c>
      <c r="G209" s="57"/>
      <c r="H209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09" s="59"/>
      <c r="J209" s="59"/>
      <c r="K209" s="82">
        <f>SUBTOTAL(9,K210:K213)</f>
        <v>66358.2</v>
      </c>
      <c r="L209" s="51"/>
      <c r="M209" s="52"/>
    </row>
    <row r="210" spans="2:13" s="25" customFormat="1" ht="30" customHeight="1" outlineLevel="1">
      <c r="B210" s="61"/>
      <c r="C210" s="62" t="s">
        <v>26</v>
      </c>
      <c r="D210" s="63" t="s">
        <v>449</v>
      </c>
      <c r="E210" s="64" t="str">
        <f>IFERROR(UPPER(IF(C210="CPU",VLOOKUP(D210,#REF!,2,0),IF(C210="SINAPI",VLOOKUP(D210,#REF!,2,0),IF(C210="EDIF",VLOOKUP(D210,#REF!,2,0),IF(C210="CDHU",VLOOKUP(D210,#REF!,2,0),IF(C210="FDE",VLOOKUP(D210,'FDE 10-23 '!$A$4:$E$3180,2,0),IF(C210="INFRA",VLOOKUP(D210,#REF!,2,0),""))))))),"")</f>
        <v>TUBO DE FERRO FUNDIDO DN 100MM (4") - INCLUSIVE CONEXOES</v>
      </c>
      <c r="F210" s="65" t="str">
        <f>VLOOKUP(D210,'FDE 10-23 '!$A$4:$E$3180,3,0)</f>
        <v>M</v>
      </c>
      <c r="G210" s="66">
        <v>127</v>
      </c>
      <c r="H210" s="67">
        <f>VLOOKUP(D210,'FDE 10-23 '!$A$4:$E$3180,5,0)</f>
        <v>343.37</v>
      </c>
      <c r="I210" s="92">
        <f>$L$10</f>
        <v>0.23</v>
      </c>
      <c r="J210" s="67">
        <f>ROUND(H210*(1+I210),2)</f>
        <v>422.35</v>
      </c>
      <c r="K210" s="71">
        <f>SUM(G210*J210)</f>
        <v>53638.450000000004</v>
      </c>
      <c r="L210" s="51"/>
      <c r="M210" s="52"/>
    </row>
    <row r="211" spans="2:13" s="25" customFormat="1" ht="30" customHeight="1" outlineLevel="1">
      <c r="B211" s="61"/>
      <c r="C211" s="62" t="s">
        <v>26</v>
      </c>
      <c r="D211" s="63" t="s">
        <v>451</v>
      </c>
      <c r="E211" s="64" t="str">
        <f>IFERROR(UPPER(IF(C211="CPU",VLOOKUP(D211,#REF!,2,0),IF(C211="SINAPI",VLOOKUP(D211,#REF!,2,0),IF(C211="EDIF",VLOOKUP(D211,#REF!,2,0),IF(C211="CDHU",VLOOKUP(D211,#REF!,2,0),IF(C211="FDE",VLOOKUP(D211,'FDE 10-23 '!$A$4:$E$3180,2,0),IF(C211="INFRA",VLOOKUP(D211,#REF!,2,0),""))))))),"")</f>
        <v>TUBO DE FERRO FUNDIDO DN 150MM (6") - INCLUSIVE CONEXOES</v>
      </c>
      <c r="F211" s="65" t="str">
        <f>VLOOKUP(D211,'FDE 10-23 '!$A$4:$E$3180,3,0)</f>
        <v>M</v>
      </c>
      <c r="G211" s="66">
        <v>7</v>
      </c>
      <c r="H211" s="67">
        <f>VLOOKUP(D211,'FDE 10-23 '!$A$4:$E$3180,5,0)</f>
        <v>425.35</v>
      </c>
      <c r="I211" s="92">
        <f>$L$10</f>
        <v>0.23</v>
      </c>
      <c r="J211" s="67">
        <f>ROUND(H211*(1+I211),2)</f>
        <v>523.17999999999995</v>
      </c>
      <c r="K211" s="71">
        <f>SUM(G211*J211)</f>
        <v>3662.2599999999998</v>
      </c>
      <c r="L211" s="51"/>
      <c r="M211" s="52"/>
    </row>
    <row r="212" spans="2:13" s="25" customFormat="1" ht="30" customHeight="1" outlineLevel="1">
      <c r="B212" s="61"/>
      <c r="C212" s="62" t="s">
        <v>26</v>
      </c>
      <c r="D212" s="63" t="s">
        <v>453</v>
      </c>
      <c r="E212" s="64" t="str">
        <f>IFERROR(UPPER(IF(C212="CPU",VLOOKUP(D212,#REF!,2,0),IF(C212="SINAPI",VLOOKUP(D212,#REF!,2,0),IF(C212="EDIF",VLOOKUP(D212,#REF!,2,0),IF(C212="CDHU",VLOOKUP(D212,#REF!,2,0),IF(C212="FDE",VLOOKUP(D212,'FDE 10-23 '!$A$4:$E$3180,2,0),IF(C212="INFRA",VLOOKUP(D212,#REF!,2,0),""))))))),"")</f>
        <v>TUBO DE PVC REFORÇADO "SR" JUNTA ELÁSTICA DN 50 INCL CONEXÕES</v>
      </c>
      <c r="F212" s="65" t="str">
        <f>VLOOKUP(D212,'FDE 10-23 '!$A$4:$E$3180,3,0)</f>
        <v>M</v>
      </c>
      <c r="G212" s="66">
        <v>17</v>
      </c>
      <c r="H212" s="67">
        <f>VLOOKUP(D212,'FDE 10-23 '!$A$4:$E$3180,5,0)</f>
        <v>41.75</v>
      </c>
      <c r="I212" s="92">
        <f>$L$10</f>
        <v>0.23</v>
      </c>
      <c r="J212" s="67">
        <f>ROUND(H212*(1+I212),2)</f>
        <v>51.35</v>
      </c>
      <c r="K212" s="71">
        <f>SUM(G212*J212)</f>
        <v>872.95</v>
      </c>
      <c r="L212" s="51"/>
      <c r="M212" s="52"/>
    </row>
    <row r="213" spans="2:13" s="25" customFormat="1" ht="30" customHeight="1" outlineLevel="1">
      <c r="B213" s="61"/>
      <c r="C213" s="62" t="s">
        <v>26</v>
      </c>
      <c r="D213" s="63" t="s">
        <v>455</v>
      </c>
      <c r="E213" s="64" t="str">
        <f>IFERROR(UPPER(IF(C213="CPU",VLOOKUP(D213,#REF!,2,0),IF(C213="SINAPI",VLOOKUP(D213,#REF!,2,0),IF(C213="EDIF",VLOOKUP(D213,#REF!,2,0),IF(C213="CDHU",VLOOKUP(D213,#REF!,2,0),IF(C213="FDE",VLOOKUP(D213,'FDE 10-23 '!$A$4:$E$3180,2,0),IF(C213="INFRA",VLOOKUP(D213,#REF!,2,0),""))))))),"")</f>
        <v>TUBO DE PVC REFORÇADO "SR" JUNTA ELÁSTICA DN 100 INCL CONEXÕES</v>
      </c>
      <c r="F213" s="65" t="str">
        <f>VLOOKUP(D213,'FDE 10-23 '!$A$4:$E$3180,3,0)</f>
        <v>M</v>
      </c>
      <c r="G213" s="66">
        <v>91</v>
      </c>
      <c r="H213" s="67">
        <f>VLOOKUP(D213,'FDE 10-23 '!$A$4:$E$3180,5,0)</f>
        <v>73.12</v>
      </c>
      <c r="I213" s="92">
        <f>$L$10</f>
        <v>0.23</v>
      </c>
      <c r="J213" s="67">
        <f>ROUND(H213*(1+I213),2)</f>
        <v>89.94</v>
      </c>
      <c r="K213" s="71">
        <f>SUM(G213*J213)</f>
        <v>8184.54</v>
      </c>
      <c r="L213" s="51"/>
      <c r="M213" s="52"/>
    </row>
    <row r="214" spans="2:13" s="25" customFormat="1" ht="30" customHeight="1" outlineLevel="1">
      <c r="B214" s="53"/>
      <c r="C214" s="54"/>
      <c r="D214" s="54" t="s">
        <v>457</v>
      </c>
      <c r="E214" s="55" t="s">
        <v>458</v>
      </c>
      <c r="F214" s="56" t="str">
        <f>IFERROR(UPPER(IF(C214="CPU",VLOOKUP(D214,#REF!,3,0),IF(C214="SINAPI",VLOOKUP(D214,#REF!,3,0),IF(C214="EDIF",VLOOKUP(D214,#REF!,3,0),IF(C214="CDHU",VLOOKUP(D214,#REF!,3,0),IF(C214="FDE",VLOOKUP(D214,#REF!,3,0),IF(C214="INFRA",VLOOKUP(D214,#REF!,3,0),""))))))),"")</f>
        <v/>
      </c>
      <c r="G214" s="57"/>
      <c r="H214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14" s="59"/>
      <c r="J214" s="59"/>
      <c r="K214" s="82">
        <f>SUBTOTAL(9,K215:K219)</f>
        <v>39808.9588</v>
      </c>
      <c r="L214" s="51"/>
      <c r="M214" s="52"/>
    </row>
    <row r="215" spans="2:13" s="25" customFormat="1" ht="30" customHeight="1" outlineLevel="1">
      <c r="B215" s="61"/>
      <c r="C215" s="62" t="s">
        <v>26</v>
      </c>
      <c r="D215" s="63" t="s">
        <v>460</v>
      </c>
      <c r="E215" s="64" t="str">
        <f>IFERROR(UPPER(IF(C215="CPU",VLOOKUP(D215,#REF!,2,0),IF(C215="SINAPI",VLOOKUP(D215,#REF!,2,0),IF(C215="EDIF",VLOOKUP(D215,#REF!,2,0),IF(C215="CDHU",VLOOKUP(D215,#REF!,2,0),IF(C215="FDE",VLOOKUP(D215,'FDE 10-23 '!$A$4:$E$3180,2,0),IF(C215="INFRA",VLOOKUP(D215,#REF!,2,0),""))))))),"")</f>
        <v>RUFO EM CHAPA GALVANIZADA N 24 - CORTE 0,25 M</v>
      </c>
      <c r="F215" s="65" t="str">
        <f>VLOOKUP(D215,'FDE 10-23 '!$A$4:$E$3180,3,0)</f>
        <v>M</v>
      </c>
      <c r="G215" s="66">
        <v>81</v>
      </c>
      <c r="H215" s="67">
        <f>VLOOKUP(D215,'FDE 10-23 '!$A$4:$E$3180,5,0)</f>
        <v>54.66</v>
      </c>
      <c r="I215" s="92">
        <f>$L$10</f>
        <v>0.23</v>
      </c>
      <c r="J215" s="67">
        <f>ROUND(H215*(1+I215),2)</f>
        <v>67.23</v>
      </c>
      <c r="K215" s="71">
        <f>SUM(G215*J215)</f>
        <v>5445.63</v>
      </c>
      <c r="L215" s="51"/>
      <c r="M215" s="52"/>
    </row>
    <row r="216" spans="2:13" s="25" customFormat="1" ht="30" customHeight="1" outlineLevel="1">
      <c r="B216" s="61"/>
      <c r="C216" s="62" t="s">
        <v>26</v>
      </c>
      <c r="D216" s="63" t="s">
        <v>462</v>
      </c>
      <c r="E216" s="64" t="str">
        <f>IFERROR(UPPER(IF(C216="CPU",VLOOKUP(D216,#REF!,2,0),IF(C216="SINAPI",VLOOKUP(D216,#REF!,2,0),IF(C216="EDIF",VLOOKUP(D216,#REF!,2,0),IF(C216="CDHU",VLOOKUP(D216,#REF!,2,0),IF(C216="FDE",VLOOKUP(D216,'FDE 10-23 '!$A$4:$E$3180,2,0),IF(C216="INFRA",VLOOKUP(D216,#REF!,2,0),""))))))),"")</f>
        <v>RUFO EM CHAPA GALVANIZADA N 24 - CORTE 0,33 M</v>
      </c>
      <c r="F216" s="65" t="str">
        <f>VLOOKUP(D216,'FDE 10-23 '!$A$4:$E$3180,3,0)</f>
        <v>M</v>
      </c>
      <c r="G216" s="66">
        <v>100.8</v>
      </c>
      <c r="H216" s="67">
        <f>VLOOKUP(D216,'FDE 10-23 '!$A$4:$E$3180,5,0)</f>
        <v>61.41</v>
      </c>
      <c r="I216" s="92">
        <f>$L$10</f>
        <v>0.23</v>
      </c>
      <c r="J216" s="67">
        <f>ROUND(H216*(1+I216),2)</f>
        <v>75.53</v>
      </c>
      <c r="K216" s="71">
        <f>SUM(G216*J216)</f>
        <v>7613.424</v>
      </c>
      <c r="L216" s="51"/>
      <c r="M216" s="52"/>
    </row>
    <row r="217" spans="2:13" s="25" customFormat="1" ht="30" customHeight="1" outlineLevel="1">
      <c r="B217" s="61"/>
      <c r="C217" s="62" t="s">
        <v>26</v>
      </c>
      <c r="D217" s="63" t="s">
        <v>464</v>
      </c>
      <c r="E217" s="64" t="str">
        <f>IFERROR(UPPER(IF(C217="CPU",VLOOKUP(D217,#REF!,2,0),IF(C217="SINAPI",VLOOKUP(D217,#REF!,2,0),IF(C217="EDIF",VLOOKUP(D217,#REF!,2,0),IF(C217="CDHU",VLOOKUP(D217,#REF!,2,0),IF(C217="FDE",VLOOKUP(D217,'FDE 10-23 '!$A$4:$E$3180,2,0),IF(C217="INFRA",VLOOKUP(D217,#REF!,2,0),""))))))),"")</f>
        <v>RUFO EM CHAPA GALVANIZADA N 24 - CORTE 0,50 M</v>
      </c>
      <c r="F217" s="65" t="str">
        <f>VLOOKUP(D217,'FDE 10-23 '!$A$4:$E$3180,3,0)</f>
        <v>M</v>
      </c>
      <c r="G217" s="66">
        <v>9.6</v>
      </c>
      <c r="H217" s="67">
        <f>VLOOKUP(D217,'FDE 10-23 '!$A$4:$E$3180,5,0)</f>
        <v>96.99</v>
      </c>
      <c r="I217" s="92">
        <f>$L$10</f>
        <v>0.23</v>
      </c>
      <c r="J217" s="67">
        <f>ROUND(H217*(1+I217),2)</f>
        <v>119.3</v>
      </c>
      <c r="K217" s="71">
        <f>SUM(G217*J217)</f>
        <v>1145.28</v>
      </c>
      <c r="L217" s="51"/>
      <c r="M217" s="52"/>
    </row>
    <row r="218" spans="2:13" s="25" customFormat="1" ht="30" customHeight="1" outlineLevel="1">
      <c r="B218" s="61"/>
      <c r="C218" s="62" t="s">
        <v>26</v>
      </c>
      <c r="D218" s="63" t="s">
        <v>466</v>
      </c>
      <c r="E218" s="64" t="str">
        <f>IFERROR(UPPER(IF(C218="CPU",VLOOKUP(D218,#REF!,2,0),IF(C218="SINAPI",VLOOKUP(D218,#REF!,2,0),IF(C218="EDIF",VLOOKUP(D218,#REF!,2,0),IF(C218="CDHU",VLOOKUP(D218,#REF!,2,0),IF(C218="FDE",VLOOKUP(D218,'FDE 10-23 '!$A$4:$E$3180,2,0),IF(C218="INFRA",VLOOKUP(D218,#REF!,2,0),""))))))),"")</f>
        <v>GRELHA HEMISFERICA DE FERRO FUNDIDO DN 100MM (4")</v>
      </c>
      <c r="F218" s="65" t="str">
        <f>VLOOKUP(D218,'FDE 10-23 '!$A$4:$E$3180,3,0)</f>
        <v>UN</v>
      </c>
      <c r="G218" s="66">
        <v>26</v>
      </c>
      <c r="H218" s="67">
        <f>VLOOKUP(D218,'FDE 10-23 '!$A$4:$E$3180,5,0)</f>
        <v>15.82</v>
      </c>
      <c r="I218" s="92">
        <f>$L$10</f>
        <v>0.23</v>
      </c>
      <c r="J218" s="67">
        <f>ROUND(H218*(1+I218),2)</f>
        <v>19.46</v>
      </c>
      <c r="K218" s="71">
        <f>SUM(G218*J218)</f>
        <v>505.96000000000004</v>
      </c>
      <c r="L218" s="51"/>
      <c r="M218" s="52"/>
    </row>
    <row r="219" spans="2:13" s="25" customFormat="1" ht="30" customHeight="1" outlineLevel="1">
      <c r="B219" s="61"/>
      <c r="C219" s="62" t="s">
        <v>26</v>
      </c>
      <c r="D219" s="63" t="s">
        <v>468</v>
      </c>
      <c r="E219" s="64" t="str">
        <f>IFERROR(UPPER(IF(C219="CPU",VLOOKUP(D219,#REF!,2,0),IF(C219="SINAPI",VLOOKUP(D219,#REF!,2,0),IF(C219="EDIF",VLOOKUP(D219,#REF!,2,0),IF(C219="CDHU",VLOOKUP(D219,#REF!,2,0),IF(C219="FDE",VLOOKUP(D219,'FDE 10-23 '!$A$4:$E$3180,2,0),IF(C219="INFRA",VLOOKUP(D219,#REF!,2,0),""))))))),"")</f>
        <v>SERVICOS EM REDE DE AGUAS PLUVIAIS</v>
      </c>
      <c r="F219" s="65" t="str">
        <f>VLOOKUP(D219,'FDE 10-23 '!$A$4:$E$3180,3,0)</f>
        <v>MV</v>
      </c>
      <c r="G219" s="66">
        <v>38.28</v>
      </c>
      <c r="H219" s="67">
        <f>VLOOKUP(D219,'FDE 10-23 '!$A$4:$E$3180,5,0)</f>
        <v>533.05999999999995</v>
      </c>
      <c r="I219" s="92">
        <f>$L$10</f>
        <v>0.23</v>
      </c>
      <c r="J219" s="67">
        <f>ROUND(H219*(1+I219),2)</f>
        <v>655.66</v>
      </c>
      <c r="K219" s="71">
        <f>SUM(G219*J219)</f>
        <v>25098.664799999999</v>
      </c>
      <c r="L219" s="51"/>
      <c r="M219" s="52"/>
    </row>
    <row r="220" spans="2:13" s="25" customFormat="1" ht="30" customHeight="1" outlineLevel="1">
      <c r="B220" s="53"/>
      <c r="C220" s="54"/>
      <c r="D220" s="54" t="s">
        <v>470</v>
      </c>
      <c r="E220" s="55" t="s">
        <v>471</v>
      </c>
      <c r="F220" s="56" t="str">
        <f>IFERROR(UPPER(IF(C220="CPU",VLOOKUP(D220,#REF!,3,0),IF(C220="SINAPI",VLOOKUP(D220,#REF!,3,0),IF(C220="EDIF",VLOOKUP(D220,#REF!,3,0),IF(C220="CDHU",VLOOKUP(D220,#REF!,3,0),IF(C220="FDE",VLOOKUP(D220,#REF!,3,0),IF(C220="INFRA",VLOOKUP(D220,#REF!,3,0),""))))))),"")</f>
        <v/>
      </c>
      <c r="G220" s="57"/>
      <c r="H22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20" s="59"/>
      <c r="J220" s="59"/>
      <c r="K220" s="82">
        <f>SUBTOTAL(9,K221:K226)</f>
        <v>32419.61</v>
      </c>
      <c r="L220" s="51"/>
      <c r="M220" s="52"/>
    </row>
    <row r="221" spans="2:13" s="25" customFormat="1" ht="30" customHeight="1" outlineLevel="1">
      <c r="B221" s="61"/>
      <c r="C221" s="62" t="s">
        <v>26</v>
      </c>
      <c r="D221" s="63" t="s">
        <v>473</v>
      </c>
      <c r="E221" s="64" t="str">
        <f>IFERROR(UPPER(IF(C221="CPU",VLOOKUP(D221,#REF!,2,0),IF(C221="SINAPI",VLOOKUP(D221,#REF!,2,0),IF(C221="EDIF",VLOOKUP(D221,#REF!,2,0),IF(C221="CDHU",VLOOKUP(D221,#REF!,2,0),IF(C221="FDE",VLOOKUP(D221,'FDE 10-23 '!$A$4:$E$3180,2,0),IF(C221="INFRA",VLOOKUP(D221,#REF!,2,0),""))))))),"")</f>
        <v>TUBO ACO GALVANIZ NBR5580-CL MEDIA, DN25MM (1") - INCL CONEXOES</v>
      </c>
      <c r="F221" s="65" t="str">
        <f>VLOOKUP(D221,'FDE 10-23 '!$A$4:$E$3180,3,0)</f>
        <v>M</v>
      </c>
      <c r="G221" s="66">
        <v>7</v>
      </c>
      <c r="H221" s="67">
        <f>VLOOKUP(D221,'FDE 10-23 '!$A$4:$E$3180,5,0)</f>
        <v>107.93</v>
      </c>
      <c r="I221" s="92">
        <f t="shared" ref="I221:I226" si="36">$L$10</f>
        <v>0.23</v>
      </c>
      <c r="J221" s="67">
        <f t="shared" ref="J221:J226" si="37">ROUND(H221*(1+I221),2)</f>
        <v>132.75</v>
      </c>
      <c r="K221" s="71">
        <f t="shared" ref="K221:K226" si="38">SUM(G221*J221)</f>
        <v>929.25</v>
      </c>
      <c r="L221" s="51"/>
      <c r="M221" s="52"/>
    </row>
    <row r="222" spans="2:13" s="25" customFormat="1" ht="30" customHeight="1" outlineLevel="1">
      <c r="B222" s="61"/>
      <c r="C222" s="62" t="s">
        <v>26</v>
      </c>
      <c r="D222" s="63" t="s">
        <v>475</v>
      </c>
      <c r="E222" s="64" t="str">
        <f>IFERROR(UPPER(IF(C222="CPU",VLOOKUP(D222,#REF!,2,0),IF(C222="SINAPI",VLOOKUP(D222,#REF!,2,0),IF(C222="EDIF",VLOOKUP(D222,#REF!,2,0),IF(C222="CDHU",VLOOKUP(D222,#REF!,2,0),IF(C222="FDE",VLOOKUP(D222,'FDE 10-23 '!$A$4:$E$3180,2,0),IF(C222="INFRA",VLOOKUP(D222,#REF!,2,0),""))))))),"")</f>
        <v>TUBO ACO GALVANIZ NBR5580-CL MEDIA, DN32MM (1 1/4")-INCL CONEXOES</v>
      </c>
      <c r="F222" s="65" t="str">
        <f>VLOOKUP(D222,'FDE 10-23 '!$A$4:$E$3180,3,0)</f>
        <v>M</v>
      </c>
      <c r="G222" s="66">
        <v>37</v>
      </c>
      <c r="H222" s="67">
        <f>VLOOKUP(D222,'FDE 10-23 '!$A$4:$E$3180,5,0)</f>
        <v>129.21</v>
      </c>
      <c r="I222" s="92">
        <f t="shared" si="36"/>
        <v>0.23</v>
      </c>
      <c r="J222" s="67">
        <f t="shared" si="37"/>
        <v>158.93</v>
      </c>
      <c r="K222" s="71">
        <f t="shared" si="38"/>
        <v>5880.41</v>
      </c>
      <c r="L222" s="51"/>
      <c r="M222" s="52"/>
    </row>
    <row r="223" spans="2:13" s="25" customFormat="1" ht="30" customHeight="1" outlineLevel="1">
      <c r="B223" s="61"/>
      <c r="C223" s="62" t="s">
        <v>26</v>
      </c>
      <c r="D223" s="63" t="s">
        <v>477</v>
      </c>
      <c r="E223" s="64" t="str">
        <f>IFERROR(UPPER(IF(C223="CPU",VLOOKUP(D223,#REF!,2,0),IF(C223="SINAPI",VLOOKUP(D223,#REF!,2,0),IF(C223="EDIF",VLOOKUP(D223,#REF!,2,0),IF(C223="CDHU",VLOOKUP(D223,#REF!,2,0),IF(C223="FDE",VLOOKUP(D223,'FDE 10-23 '!$A$4:$E$3180,2,0),IF(C223="INFRA",VLOOKUP(D223,#REF!,2,0),""))))))),"")</f>
        <v>TUBO ACO GALVANIZ NBR5580-CL MEDIA, DN40MM (1 1/2") - INCL CONEXOES</v>
      </c>
      <c r="F223" s="65" t="str">
        <f>VLOOKUP(D223,'FDE 10-23 '!$A$4:$E$3180,3,0)</f>
        <v>M</v>
      </c>
      <c r="G223" s="66">
        <v>68</v>
      </c>
      <c r="H223" s="67">
        <f>VLOOKUP(D223,'FDE 10-23 '!$A$4:$E$3180,5,0)</f>
        <v>146.85</v>
      </c>
      <c r="I223" s="92">
        <f t="shared" si="36"/>
        <v>0.23</v>
      </c>
      <c r="J223" s="67">
        <f t="shared" si="37"/>
        <v>180.63</v>
      </c>
      <c r="K223" s="71">
        <f t="shared" si="38"/>
        <v>12282.84</v>
      </c>
      <c r="L223" s="51"/>
      <c r="M223" s="52"/>
    </row>
    <row r="224" spans="2:13" s="25" customFormat="1" ht="30" customHeight="1" outlineLevel="1">
      <c r="B224" s="61"/>
      <c r="C224" s="62" t="s">
        <v>26</v>
      </c>
      <c r="D224" s="63" t="s">
        <v>479</v>
      </c>
      <c r="E224" s="64" t="str">
        <f>IFERROR(UPPER(IF(C224="CPU",VLOOKUP(D224,#REF!,2,0),IF(C224="SINAPI",VLOOKUP(D224,#REF!,2,0),IF(C224="EDIF",VLOOKUP(D224,#REF!,2,0),IF(C224="CDHU",VLOOKUP(D224,#REF!,2,0),IF(C224="FDE",VLOOKUP(D224,'FDE 10-23 '!$A$4:$E$3180,2,0),IF(C224="INFRA",VLOOKUP(D224,#REF!,2,0),""))))))),"")</f>
        <v>TUBO ACO GALVANIZ NBR5580-CL MEDIA, DN50MM (2") - INCL CONEXOES</v>
      </c>
      <c r="F224" s="65" t="str">
        <f>VLOOKUP(D224,'FDE 10-23 '!$A$4:$E$3180,3,0)</f>
        <v>M</v>
      </c>
      <c r="G224" s="66">
        <v>14</v>
      </c>
      <c r="H224" s="67">
        <f>VLOOKUP(D224,'FDE 10-23 '!$A$4:$E$3180,5,0)</f>
        <v>184.32</v>
      </c>
      <c r="I224" s="92">
        <f t="shared" si="36"/>
        <v>0.23</v>
      </c>
      <c r="J224" s="67">
        <f t="shared" si="37"/>
        <v>226.71</v>
      </c>
      <c r="K224" s="71">
        <f t="shared" si="38"/>
        <v>3173.94</v>
      </c>
      <c r="L224" s="51"/>
      <c r="M224" s="52"/>
    </row>
    <row r="225" spans="2:13" s="25" customFormat="1" ht="30" customHeight="1" outlineLevel="1">
      <c r="B225" s="61"/>
      <c r="C225" s="62" t="s">
        <v>26</v>
      </c>
      <c r="D225" s="63" t="s">
        <v>481</v>
      </c>
      <c r="E225" s="64" t="str">
        <f>IFERROR(UPPER(IF(C225="CPU",VLOOKUP(D225,#REF!,2,0),IF(C225="SINAPI",VLOOKUP(D225,#REF!,2,0),IF(C225="EDIF",VLOOKUP(D225,#REF!,2,0),IF(C225="CDHU",VLOOKUP(D225,#REF!,2,0),IF(C225="FDE",VLOOKUP(D225,'FDE 10-23 '!$A$4:$E$3180,2,0),IF(C225="INFRA",VLOOKUP(D225,#REF!,2,0),""))))))),"")</f>
        <v>TUBO ACO GALVANIZ NBR5580-CL MEDIA, DN80MM (3")-INCL CONEXOES</v>
      </c>
      <c r="F225" s="65" t="str">
        <f>VLOOKUP(D225,'FDE 10-23 '!$A$4:$E$3180,3,0)</f>
        <v>M</v>
      </c>
      <c r="G225" s="66">
        <v>29</v>
      </c>
      <c r="H225" s="67">
        <f>VLOOKUP(D225,'FDE 10-23 '!$A$4:$E$3180,5,0)</f>
        <v>260.2</v>
      </c>
      <c r="I225" s="92">
        <f t="shared" si="36"/>
        <v>0.23</v>
      </c>
      <c r="J225" s="67">
        <f t="shared" si="37"/>
        <v>320.05</v>
      </c>
      <c r="K225" s="71">
        <f t="shared" si="38"/>
        <v>9281.4500000000007</v>
      </c>
      <c r="L225" s="51"/>
      <c r="M225" s="52"/>
    </row>
    <row r="226" spans="2:13" s="25" customFormat="1" ht="30" customHeight="1" outlineLevel="1">
      <c r="B226" s="61"/>
      <c r="C226" s="62" t="s">
        <v>26</v>
      </c>
      <c r="D226" s="63" t="s">
        <v>483</v>
      </c>
      <c r="E226" s="64" t="str">
        <f>IFERROR(UPPER(IF(C226="CPU",VLOOKUP(D226,#REF!,2,0),IF(C226="SINAPI",VLOOKUP(D226,#REF!,2,0),IF(C226="EDIF",VLOOKUP(D226,#REF!,2,0),IF(C226="CDHU",VLOOKUP(D226,#REF!,2,0),IF(C226="FDE",VLOOKUP(D226,'FDE 10-23 '!$A$4:$E$3180,2,0),IF(C226="INFRA",VLOOKUP(D226,#REF!,2,0),""))))))),"")</f>
        <v>TUBO ACO GALVANIZ NBR5580-CL MEDIA, DN100MM (4")-INCL CONEXOES</v>
      </c>
      <c r="F226" s="65" t="str">
        <f>VLOOKUP(D226,'FDE 10-23 '!$A$4:$E$3180,3,0)</f>
        <v>M</v>
      </c>
      <c r="G226" s="66">
        <v>2</v>
      </c>
      <c r="H226" s="67">
        <f>VLOOKUP(D226,'FDE 10-23 '!$A$4:$E$3180,5,0)</f>
        <v>354.36</v>
      </c>
      <c r="I226" s="92">
        <f t="shared" si="36"/>
        <v>0.23</v>
      </c>
      <c r="J226" s="67">
        <f t="shared" si="37"/>
        <v>435.86</v>
      </c>
      <c r="K226" s="71">
        <f t="shared" si="38"/>
        <v>871.72</v>
      </c>
      <c r="L226" s="51"/>
      <c r="M226" s="52"/>
    </row>
    <row r="227" spans="2:13" s="25" customFormat="1" ht="30" customHeight="1" outlineLevel="1">
      <c r="B227" s="53"/>
      <c r="C227" s="54"/>
      <c r="D227" s="54" t="s">
        <v>485</v>
      </c>
      <c r="E227" s="55" t="s">
        <v>486</v>
      </c>
      <c r="F227" s="56" t="str">
        <f>IFERROR(UPPER(IF(C227="CPU",VLOOKUP(D227,#REF!,3,0),IF(C227="SINAPI",VLOOKUP(D227,#REF!,3,0),IF(C227="EDIF",VLOOKUP(D227,#REF!,3,0),IF(C227="CDHU",VLOOKUP(D227,#REF!,3,0),IF(C227="FDE",VLOOKUP(D227,#REF!,3,0),IF(C227="INFRA",VLOOKUP(D227,#REF!,3,0),""))))))),"")</f>
        <v/>
      </c>
      <c r="G227" s="57"/>
      <c r="H22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27" s="59"/>
      <c r="J227" s="59"/>
      <c r="K227" s="82">
        <f>SUBTOTAL(9,K228:K244)</f>
        <v>375423.46679999994</v>
      </c>
      <c r="L227" s="51"/>
      <c r="M227" s="52"/>
    </row>
    <row r="228" spans="2:13" s="25" customFormat="1" ht="30" customHeight="1" outlineLevel="1">
      <c r="B228" s="61"/>
      <c r="C228" s="62" t="s">
        <v>26</v>
      </c>
      <c r="D228" s="63" t="s">
        <v>488</v>
      </c>
      <c r="E228" s="64" t="str">
        <f>IFERROR(UPPER(IF(C228="CPU",VLOOKUP(D228,#REF!,2,0),IF(C228="SINAPI",VLOOKUP(D228,#REF!,2,0),IF(C228="EDIF",VLOOKUP(D228,#REF!,2,0),IF(C228="CDHU",VLOOKUP(D228,#REF!,2,0),IF(C228="FDE",VLOOKUP(D228,'FDE 10-23 '!$A$4:$E$3180,2,0),IF(C228="INFRA",VLOOKUP(D228,#REF!,2,0),""))))))),"")</f>
        <v>REGISTRO DE GAVETA BRUTO DN 25MM (1")</v>
      </c>
      <c r="F228" s="65" t="str">
        <f>VLOOKUP(D228,'FDE 10-23 '!$A$4:$E$3180,3,0)</f>
        <v>UN</v>
      </c>
      <c r="G228" s="66">
        <v>2</v>
      </c>
      <c r="H228" s="67">
        <f>VLOOKUP(D228,'FDE 10-23 '!$A$4:$E$3180,5,0)</f>
        <v>88.81</v>
      </c>
      <c r="I228" s="92">
        <f t="shared" ref="I228:I244" si="39">$L$10</f>
        <v>0.23</v>
      </c>
      <c r="J228" s="67">
        <f t="shared" ref="J228:J244" si="40">ROUND(H228*(1+I228),2)</f>
        <v>109.24</v>
      </c>
      <c r="K228" s="71">
        <f t="shared" ref="K228:K244" si="41">SUM(G228*J228)</f>
        <v>218.48</v>
      </c>
      <c r="L228" s="51"/>
      <c r="M228" s="52"/>
    </row>
    <row r="229" spans="2:13" s="25" customFormat="1" ht="30" customHeight="1" outlineLevel="1">
      <c r="B229" s="61"/>
      <c r="C229" s="62" t="s">
        <v>26</v>
      </c>
      <c r="D229" s="63" t="s">
        <v>490</v>
      </c>
      <c r="E229" s="64" t="str">
        <f>IFERROR(UPPER(IF(C229="CPU",VLOOKUP(D229,#REF!,2,0),IF(C229="SINAPI",VLOOKUP(D229,#REF!,2,0),IF(C229="EDIF",VLOOKUP(D229,#REF!,2,0),IF(C229="CDHU",VLOOKUP(D229,#REF!,2,0),IF(C229="FDE",VLOOKUP(D229,'FDE 10-23 '!$A$4:$E$3180,2,0),IF(C229="INFRA",VLOOKUP(D229,#REF!,2,0),""))))))),"")</f>
        <v>REGISTRO DE GAVETA BRUTO DN 32MM (1 1/4")</v>
      </c>
      <c r="F229" s="65" t="str">
        <f>VLOOKUP(D229,'FDE 10-23 '!$A$4:$E$3180,3,0)</f>
        <v>UN</v>
      </c>
      <c r="G229" s="66">
        <v>2</v>
      </c>
      <c r="H229" s="67">
        <f>VLOOKUP(D229,'FDE 10-23 '!$A$4:$E$3180,5,0)</f>
        <v>110.02</v>
      </c>
      <c r="I229" s="92">
        <f t="shared" si="39"/>
        <v>0.23</v>
      </c>
      <c r="J229" s="67">
        <f t="shared" si="40"/>
        <v>135.32</v>
      </c>
      <c r="K229" s="71">
        <f t="shared" si="41"/>
        <v>270.64</v>
      </c>
      <c r="L229" s="51"/>
      <c r="M229" s="52"/>
    </row>
    <row r="230" spans="2:13" s="25" customFormat="1" ht="30" customHeight="1" outlineLevel="1">
      <c r="B230" s="61"/>
      <c r="C230" s="62" t="s">
        <v>26</v>
      </c>
      <c r="D230" s="63" t="s">
        <v>492</v>
      </c>
      <c r="E230" s="64" t="str">
        <f>IFERROR(UPPER(IF(C230="CPU",VLOOKUP(D230,#REF!,2,0),IF(C230="SINAPI",VLOOKUP(D230,#REF!,2,0),IF(C230="EDIF",VLOOKUP(D230,#REF!,2,0),IF(C230="CDHU",VLOOKUP(D230,#REF!,2,0),IF(C230="FDE",VLOOKUP(D230,'FDE 10-23 '!$A$4:$E$3180,2,0),IF(C230="INFRA",VLOOKUP(D230,#REF!,2,0),""))))))),"")</f>
        <v>REGISTRO DE GAVETA BRUTO DN 40MM (1.1/2")</v>
      </c>
      <c r="F230" s="65" t="str">
        <f>VLOOKUP(D230,'FDE 10-23 '!$A$4:$E$3180,3,0)</f>
        <v>UN</v>
      </c>
      <c r="G230" s="66">
        <v>10</v>
      </c>
      <c r="H230" s="67">
        <f>VLOOKUP(D230,'FDE 10-23 '!$A$4:$E$3180,5,0)</f>
        <v>128.87</v>
      </c>
      <c r="I230" s="92">
        <f t="shared" si="39"/>
        <v>0.23</v>
      </c>
      <c r="J230" s="67">
        <f t="shared" si="40"/>
        <v>158.51</v>
      </c>
      <c r="K230" s="71">
        <f t="shared" si="41"/>
        <v>1585.1</v>
      </c>
      <c r="L230" s="51"/>
      <c r="M230" s="52"/>
    </row>
    <row r="231" spans="2:13" s="25" customFormat="1" ht="30" customHeight="1" outlineLevel="1">
      <c r="B231" s="61"/>
      <c r="C231" s="62" t="s">
        <v>26</v>
      </c>
      <c r="D231" s="63" t="s">
        <v>494</v>
      </c>
      <c r="E231" s="64" t="str">
        <f>IFERROR(UPPER(IF(C231="CPU",VLOOKUP(D231,#REF!,2,0),IF(C231="SINAPI",VLOOKUP(D231,#REF!,2,0),IF(C231="EDIF",VLOOKUP(D231,#REF!,2,0),IF(C231="CDHU",VLOOKUP(D231,#REF!,2,0),IF(C231="FDE",VLOOKUP(D231,'FDE 10-23 '!$A$4:$E$3180,2,0),IF(C231="INFRA",VLOOKUP(D231,#REF!,2,0),""))))))),"")</f>
        <v>REGISTRO DE GAVETA BRUTO DN 50MM (2")</v>
      </c>
      <c r="F231" s="65" t="str">
        <f>VLOOKUP(D231,'FDE 10-23 '!$A$4:$E$3180,3,0)</f>
        <v>UN</v>
      </c>
      <c r="G231" s="66">
        <v>1</v>
      </c>
      <c r="H231" s="67">
        <f>VLOOKUP(D231,'FDE 10-23 '!$A$4:$E$3180,5,0)</f>
        <v>167.69</v>
      </c>
      <c r="I231" s="92">
        <f t="shared" si="39"/>
        <v>0.23</v>
      </c>
      <c r="J231" s="67">
        <f t="shared" si="40"/>
        <v>206.26</v>
      </c>
      <c r="K231" s="71">
        <f t="shared" si="41"/>
        <v>206.26</v>
      </c>
      <c r="L231" s="51"/>
      <c r="M231" s="52"/>
    </row>
    <row r="232" spans="2:13" s="25" customFormat="1" ht="30" customHeight="1" outlineLevel="1">
      <c r="B232" s="61"/>
      <c r="C232" s="62" t="s">
        <v>26</v>
      </c>
      <c r="D232" s="63" t="s">
        <v>496</v>
      </c>
      <c r="E232" s="64" t="str">
        <f>IFERROR(UPPER(IF(C232="CPU",VLOOKUP(D232,#REF!,2,0),IF(C232="SINAPI",VLOOKUP(D232,#REF!,2,0),IF(C232="EDIF",VLOOKUP(D232,#REF!,2,0),IF(C232="CDHU",VLOOKUP(D232,#REF!,2,0),IF(C232="FDE",VLOOKUP(D232,'FDE 10-23 '!$A$4:$E$3180,2,0),IF(C232="INFRA",VLOOKUP(D232,#REF!,2,0),""))))))),"")</f>
        <v>REGISTRO DE GAVETA BRUTO DN 80MM (3")</v>
      </c>
      <c r="F232" s="65" t="str">
        <f>VLOOKUP(D232,'FDE 10-23 '!$A$4:$E$3180,3,0)</f>
        <v>UN</v>
      </c>
      <c r="G232" s="66">
        <v>4</v>
      </c>
      <c r="H232" s="67">
        <f>VLOOKUP(D232,'FDE 10-23 '!$A$4:$E$3180,5,0)</f>
        <v>597.03</v>
      </c>
      <c r="I232" s="92">
        <f t="shared" si="39"/>
        <v>0.23</v>
      </c>
      <c r="J232" s="67">
        <f t="shared" si="40"/>
        <v>734.35</v>
      </c>
      <c r="K232" s="71">
        <f t="shared" si="41"/>
        <v>2937.4</v>
      </c>
      <c r="L232" s="51"/>
      <c r="M232" s="52"/>
    </row>
    <row r="233" spans="2:13" s="25" customFormat="1" ht="30" customHeight="1" outlineLevel="1">
      <c r="B233" s="61"/>
      <c r="C233" s="62" t="s">
        <v>26</v>
      </c>
      <c r="D233" s="63" t="s">
        <v>498</v>
      </c>
      <c r="E233" s="64" t="str">
        <f>IFERROR(UPPER(IF(C233="CPU",VLOOKUP(D233,#REF!,2,0),IF(C233="SINAPI",VLOOKUP(D233,#REF!,2,0),IF(C233="EDIF",VLOOKUP(D233,#REF!,2,0),IF(C233="CDHU",VLOOKUP(D233,#REF!,2,0),IF(C233="FDE",VLOOKUP(D233,'FDE 10-23 '!$A$4:$E$3180,2,0),IF(C233="INFRA",VLOOKUP(D233,#REF!,2,0),""))))))),"")</f>
        <v>VALVULA DE RETENCAO HORIZONTAL DE BRONZE DE 1"</v>
      </c>
      <c r="F233" s="65" t="str">
        <f>VLOOKUP(D233,'FDE 10-23 '!$A$4:$E$3180,3,0)</f>
        <v>UN</v>
      </c>
      <c r="G233" s="66">
        <v>1</v>
      </c>
      <c r="H233" s="67">
        <f>VLOOKUP(D233,'FDE 10-23 '!$A$4:$E$3180,5,0)</f>
        <v>158.91</v>
      </c>
      <c r="I233" s="92">
        <f t="shared" si="39"/>
        <v>0.23</v>
      </c>
      <c r="J233" s="67">
        <f t="shared" si="40"/>
        <v>195.46</v>
      </c>
      <c r="K233" s="71">
        <f t="shared" si="41"/>
        <v>195.46</v>
      </c>
      <c r="L233" s="51"/>
      <c r="M233" s="52"/>
    </row>
    <row r="234" spans="2:13" s="25" customFormat="1" ht="30" customHeight="1" outlineLevel="1">
      <c r="B234" s="61"/>
      <c r="C234" s="62" t="s">
        <v>26</v>
      </c>
      <c r="D234" s="63" t="s">
        <v>500</v>
      </c>
      <c r="E234" s="64" t="str">
        <f>IFERROR(UPPER(IF(C234="CPU",VLOOKUP(D234,#REF!,2,0),IF(C234="SINAPI",VLOOKUP(D234,#REF!,2,0),IF(C234="EDIF",VLOOKUP(D234,#REF!,2,0),IF(C234="CDHU",VLOOKUP(D234,#REF!,2,0),IF(C234="FDE",VLOOKUP(D234,'FDE 10-23 '!$A$4:$E$3180,2,0),IF(C234="INFRA",VLOOKUP(D234,#REF!,2,0),""))))))),"")</f>
        <v>VALVULA DE RETENCAO HORIZONTAL DE BRONZE DE 1.1/2"</v>
      </c>
      <c r="F234" s="65" t="str">
        <f>VLOOKUP(D234,'FDE 10-23 '!$A$4:$E$3180,3,0)</f>
        <v>UN</v>
      </c>
      <c r="G234" s="66">
        <v>1</v>
      </c>
      <c r="H234" s="67">
        <f>VLOOKUP(D234,'FDE 10-23 '!$A$4:$E$3180,5,0)</f>
        <v>255.21</v>
      </c>
      <c r="I234" s="92">
        <f t="shared" si="39"/>
        <v>0.23</v>
      </c>
      <c r="J234" s="67">
        <f t="shared" si="40"/>
        <v>313.91000000000003</v>
      </c>
      <c r="K234" s="71">
        <f t="shared" si="41"/>
        <v>313.91000000000003</v>
      </c>
      <c r="L234" s="51"/>
      <c r="M234" s="52"/>
    </row>
    <row r="235" spans="2:13" s="25" customFormat="1" ht="30" customHeight="1" outlineLevel="1">
      <c r="B235" s="61"/>
      <c r="C235" s="62" t="s">
        <v>26</v>
      </c>
      <c r="D235" s="63" t="s">
        <v>502</v>
      </c>
      <c r="E235" s="64" t="str">
        <f>IFERROR(UPPER(IF(C235="CPU",VLOOKUP(D235,#REF!,2,0),IF(C235="SINAPI",VLOOKUP(D235,#REF!,2,0),IF(C235="EDIF",VLOOKUP(D235,#REF!,2,0),IF(C235="CDHU",VLOOKUP(D235,#REF!,2,0),IF(C235="FDE",VLOOKUP(D235,'FDE 10-23 '!$A$4:$E$3180,2,0),IF(C235="INFRA",VLOOKUP(D235,#REF!,2,0),""))))))),"")</f>
        <v>VALVULA DE RETENCAO VERTICAL DE BRONZE DE 1.1/2"</v>
      </c>
      <c r="F235" s="65" t="str">
        <f>VLOOKUP(D235,'FDE 10-23 '!$A$4:$E$3180,3,0)</f>
        <v>UN</v>
      </c>
      <c r="G235" s="66">
        <v>2</v>
      </c>
      <c r="H235" s="67">
        <f>VLOOKUP(D235,'FDE 10-23 '!$A$4:$E$3180,5,0)</f>
        <v>191.26</v>
      </c>
      <c r="I235" s="92">
        <f t="shared" si="39"/>
        <v>0.23</v>
      </c>
      <c r="J235" s="67">
        <f t="shared" si="40"/>
        <v>235.25</v>
      </c>
      <c r="K235" s="71">
        <f t="shared" si="41"/>
        <v>470.5</v>
      </c>
      <c r="L235" s="51"/>
      <c r="M235" s="52"/>
    </row>
    <row r="236" spans="2:13" s="25" customFormat="1" ht="30" customHeight="1" outlineLevel="1">
      <c r="B236" s="61"/>
      <c r="C236" s="62" t="s">
        <v>26</v>
      </c>
      <c r="D236" s="63" t="s">
        <v>504</v>
      </c>
      <c r="E236" s="64" t="str">
        <f>IFERROR(UPPER(IF(C236="CPU",VLOOKUP(D236,#REF!,2,0),IF(C236="SINAPI",VLOOKUP(D236,#REF!,2,0),IF(C236="EDIF",VLOOKUP(D236,#REF!,2,0),IF(C236="CDHU",VLOOKUP(D236,#REF!,2,0),IF(C236="FDE",VLOOKUP(D236,'FDE 10-23 '!$A$4:$E$3180,2,0),IF(C236="INFRA",VLOOKUP(D236,#REF!,2,0),""))))))),"")</f>
        <v>VALVULA DE RETENCAO VERTICAL DE BRONZE DE 3"</v>
      </c>
      <c r="F236" s="65" t="str">
        <f>VLOOKUP(D236,'FDE 10-23 '!$A$4:$E$3180,3,0)</f>
        <v>UN</v>
      </c>
      <c r="G236" s="66">
        <v>2</v>
      </c>
      <c r="H236" s="67">
        <f>VLOOKUP(D236,'FDE 10-23 '!$A$4:$E$3180,5,0)</f>
        <v>603.54999999999995</v>
      </c>
      <c r="I236" s="92">
        <f t="shared" si="39"/>
        <v>0.23</v>
      </c>
      <c r="J236" s="67">
        <f t="shared" si="40"/>
        <v>742.37</v>
      </c>
      <c r="K236" s="71">
        <f t="shared" si="41"/>
        <v>1484.74</v>
      </c>
      <c r="L236" s="51"/>
      <c r="M236" s="52"/>
    </row>
    <row r="237" spans="2:13" s="25" customFormat="1" ht="30" customHeight="1" outlineLevel="1">
      <c r="B237" s="61"/>
      <c r="C237" s="62" t="s">
        <v>26</v>
      </c>
      <c r="D237" s="63" t="s">
        <v>506</v>
      </c>
      <c r="E237" s="64" t="str">
        <f>IFERROR(UPPER(IF(C237="CPU",VLOOKUP(D237,#REF!,2,0),IF(C237="SINAPI",VLOOKUP(D237,#REF!,2,0),IF(C237="EDIF",VLOOKUP(D237,#REF!,2,0),IF(C237="CDHU",VLOOKUP(D237,#REF!,2,0),IF(C237="FDE",VLOOKUP(D237,'FDE 10-23 '!$A$4:$E$3180,2,0),IF(C237="INFRA",VLOOKUP(D237,#REF!,2,0),""))))))),"")</f>
        <v>VALVULA DE RETENCAO DE PE COM CRIVO DE BRONZE DE 1.1/2"</v>
      </c>
      <c r="F237" s="65" t="str">
        <f>VLOOKUP(D237,'FDE 10-23 '!$A$4:$E$3180,3,0)</f>
        <v>UN</v>
      </c>
      <c r="G237" s="66">
        <v>1</v>
      </c>
      <c r="H237" s="67">
        <f>VLOOKUP(D237,'FDE 10-23 '!$A$4:$E$3180,5,0)</f>
        <v>180.17</v>
      </c>
      <c r="I237" s="92">
        <f t="shared" si="39"/>
        <v>0.23</v>
      </c>
      <c r="J237" s="67">
        <f t="shared" si="40"/>
        <v>221.61</v>
      </c>
      <c r="K237" s="71">
        <f t="shared" si="41"/>
        <v>221.61</v>
      </c>
      <c r="L237" s="51"/>
      <c r="M237" s="52"/>
    </row>
    <row r="238" spans="2:13" s="25" customFormat="1" ht="30" customHeight="1" outlineLevel="1">
      <c r="B238" s="61"/>
      <c r="C238" s="62" t="s">
        <v>26</v>
      </c>
      <c r="D238" s="63" t="s">
        <v>508</v>
      </c>
      <c r="E238" s="64" t="str">
        <f>IFERROR(UPPER(IF(C238="CPU",VLOOKUP(D238,#REF!,2,0),IF(C238="SINAPI",VLOOKUP(D238,#REF!,2,0),IF(C238="EDIF",VLOOKUP(D238,#REF!,2,0),IF(C238="CDHU",VLOOKUP(D238,#REF!,2,0),IF(C238="FDE",VLOOKUP(D238,'FDE 10-23 '!$A$4:$E$3180,2,0),IF(C238="INFRA",VLOOKUP(D238,#REF!,2,0),""))))))),"")</f>
        <v>TORNEIRA DE BOIA EM LATAO (BOIA PLAST) DN 25MM (1")</v>
      </c>
      <c r="F238" s="65" t="str">
        <f>VLOOKUP(D238,'FDE 10-23 '!$A$4:$E$3180,3,0)</f>
        <v>UN</v>
      </c>
      <c r="G238" s="66">
        <v>1</v>
      </c>
      <c r="H238" s="67">
        <f>VLOOKUP(D238,'FDE 10-23 '!$A$4:$E$3180,5,0)</f>
        <v>130.13</v>
      </c>
      <c r="I238" s="92">
        <f t="shared" si="39"/>
        <v>0.23</v>
      </c>
      <c r="J238" s="67">
        <f t="shared" si="40"/>
        <v>160.06</v>
      </c>
      <c r="K238" s="71">
        <f t="shared" si="41"/>
        <v>160.06</v>
      </c>
      <c r="L238" s="51"/>
      <c r="M238" s="52"/>
    </row>
    <row r="239" spans="2:13" s="25" customFormat="1" ht="30" customHeight="1" outlineLevel="1">
      <c r="B239" s="61"/>
      <c r="C239" s="62" t="s">
        <v>26</v>
      </c>
      <c r="D239" s="63" t="s">
        <v>510</v>
      </c>
      <c r="E239" s="64" t="str">
        <f>IFERROR(UPPER(IF(C239="CPU",VLOOKUP(D239,#REF!,2,0),IF(C239="SINAPI",VLOOKUP(D239,#REF!,2,0),IF(C239="EDIF",VLOOKUP(D239,#REF!,2,0),IF(C239="CDHU",VLOOKUP(D239,#REF!,2,0),IF(C239="FDE",VLOOKUP(D239,'FDE 10-23 '!$A$4:$E$3180,2,0),IF(C239="INFRA",VLOOKUP(D239,#REF!,2,0),""))))))),"")</f>
        <v>CONJ MOTOR-BOMBA(CENTRIFUGA)1,5 HP(10000 L/H-20 MCA)</v>
      </c>
      <c r="F239" s="65" t="str">
        <f>VLOOKUP(D239,'FDE 10-23 '!$A$4:$E$3180,3,0)</f>
        <v>UN</v>
      </c>
      <c r="G239" s="66">
        <v>2</v>
      </c>
      <c r="H239" s="67">
        <f>VLOOKUP(D239,'FDE 10-23 '!$A$4:$E$3180,5,0)</f>
        <v>2322.79</v>
      </c>
      <c r="I239" s="92">
        <f t="shared" si="39"/>
        <v>0.23</v>
      </c>
      <c r="J239" s="67">
        <f t="shared" si="40"/>
        <v>2857.03</v>
      </c>
      <c r="K239" s="71">
        <f t="shared" si="41"/>
        <v>5714.06</v>
      </c>
      <c r="L239" s="51"/>
      <c r="M239" s="52"/>
    </row>
    <row r="240" spans="2:13" s="25" customFormat="1" ht="30" customHeight="1" outlineLevel="1">
      <c r="B240" s="61"/>
      <c r="C240" s="62" t="s">
        <v>26</v>
      </c>
      <c r="D240" s="63" t="s">
        <v>512</v>
      </c>
      <c r="E240" s="64" t="str">
        <f>IFERROR(UPPER(IF(C240="CPU",VLOOKUP(D240,#REF!,2,0),IF(C240="SINAPI",VLOOKUP(D240,#REF!,2,0),IF(C240="EDIF",VLOOKUP(D240,#REF!,2,0),IF(C240="CDHU",VLOOKUP(D240,#REF!,2,0),IF(C240="FDE",VLOOKUP(D240,'FDE 10-23 '!$A$4:$E$3180,2,0),IF(C240="INFRA",VLOOKUP(D240,#REF!,2,0),""))))))),"")</f>
        <v>CONJ MOTOR-BOMBA (CENTRIFUGA) 2 HP (13900 L/H-20 MCA)</v>
      </c>
      <c r="F240" s="65" t="str">
        <f>VLOOKUP(D240,'FDE 10-23 '!$A$4:$E$3180,3,0)</f>
        <v>UN</v>
      </c>
      <c r="G240" s="66">
        <v>2</v>
      </c>
      <c r="H240" s="67">
        <f>VLOOKUP(D240,'FDE 10-23 '!$A$4:$E$3180,5,0)</f>
        <v>3708.49</v>
      </c>
      <c r="I240" s="92">
        <f t="shared" si="39"/>
        <v>0.23</v>
      </c>
      <c r="J240" s="67">
        <f t="shared" si="40"/>
        <v>4561.4399999999996</v>
      </c>
      <c r="K240" s="71">
        <f t="shared" si="41"/>
        <v>9122.8799999999992</v>
      </c>
      <c r="L240" s="51"/>
      <c r="M240" s="52"/>
    </row>
    <row r="241" spans="2:13" s="25" customFormat="1" ht="30" customHeight="1" outlineLevel="1">
      <c r="B241" s="61"/>
      <c r="C241" s="62" t="s">
        <v>26</v>
      </c>
      <c r="D241" s="63" t="s">
        <v>514</v>
      </c>
      <c r="E241" s="64" t="str">
        <f>IFERROR(UPPER(IF(C241="CPU",VLOOKUP(D241,#REF!,2,0),IF(C241="SINAPI",VLOOKUP(D241,#REF!,2,0),IF(C241="EDIF",VLOOKUP(D241,#REF!,2,0),IF(C241="CDHU",VLOOKUP(D241,#REF!,2,0),IF(C241="FDE",VLOOKUP(D241,'FDE 10-23 '!$A$4:$E$3180,2,0),IF(C241="INFRA",VLOOKUP(D241,#REF!,2,0),""))))))),"")</f>
        <v>ANEIS PRE-MOLDADOS EM CONCRETO ARMADO P/ RESERVATORIO D'AGUA D=2,50M</v>
      </c>
      <c r="F241" s="65" t="str">
        <f>VLOOKUP(D241,'FDE 10-23 '!$A$4:$E$3180,3,0)</f>
        <v>M</v>
      </c>
      <c r="G241" s="66">
        <v>19</v>
      </c>
      <c r="H241" s="67">
        <f>VLOOKUP(D241,'FDE 10-23 '!$A$4:$E$3180,5,0)</f>
        <v>13516</v>
      </c>
      <c r="I241" s="92">
        <f t="shared" si="39"/>
        <v>0.23</v>
      </c>
      <c r="J241" s="67">
        <f t="shared" si="40"/>
        <v>16624.68</v>
      </c>
      <c r="K241" s="71">
        <f t="shared" si="41"/>
        <v>315868.92</v>
      </c>
      <c r="L241" s="51"/>
      <c r="M241" s="52"/>
    </row>
    <row r="242" spans="2:13" s="25" customFormat="1" ht="30" customHeight="1" outlineLevel="1">
      <c r="B242" s="61"/>
      <c r="C242" s="62" t="s">
        <v>26</v>
      </c>
      <c r="D242" s="63" t="s">
        <v>516</v>
      </c>
      <c r="E242" s="64" t="str">
        <f>IFERROR(UPPER(IF(C242="CPU",VLOOKUP(D242,#REF!,2,0),IF(C242="SINAPI",VLOOKUP(D242,#REF!,2,0),IF(C242="EDIF",VLOOKUP(D242,#REF!,2,0),IF(C242="CDHU",VLOOKUP(D242,#REF!,2,0),IF(C242="FDE",VLOOKUP(D242,'FDE 10-23 '!$A$4:$E$3180,2,0),IF(C242="INFRA",VLOOKUP(D242,#REF!,2,0),""))))))),"")</f>
        <v>LAJE PRE-MOLDADA D=2,50M E=8CM P/ RESERVATORIO</v>
      </c>
      <c r="F242" s="65" t="str">
        <f>VLOOKUP(D242,'FDE 10-23 '!$A$4:$E$3180,3,0)</f>
        <v>UN</v>
      </c>
      <c r="G242" s="66">
        <v>4</v>
      </c>
      <c r="H242" s="67">
        <f>VLOOKUP(D242,'FDE 10-23 '!$A$4:$E$3180,5,0)</f>
        <v>3331</v>
      </c>
      <c r="I242" s="92">
        <f t="shared" si="39"/>
        <v>0.23</v>
      </c>
      <c r="J242" s="67">
        <f t="shared" si="40"/>
        <v>4097.13</v>
      </c>
      <c r="K242" s="71">
        <f t="shared" si="41"/>
        <v>16388.52</v>
      </c>
      <c r="L242" s="51"/>
      <c r="M242" s="52"/>
    </row>
    <row r="243" spans="2:13" s="25" customFormat="1" ht="30" customHeight="1" outlineLevel="1">
      <c r="B243" s="61"/>
      <c r="C243" s="62" t="s">
        <v>26</v>
      </c>
      <c r="D243" s="63" t="s">
        <v>518</v>
      </c>
      <c r="E243" s="64" t="str">
        <f>IFERROR(UPPER(IF(C243="CPU",VLOOKUP(D243,#REF!,2,0),IF(C243="SINAPI",VLOOKUP(D243,#REF!,2,0),IF(C243="EDIF",VLOOKUP(D243,#REF!,2,0),IF(C243="CDHU",VLOOKUP(D243,#REF!,2,0),IF(C243="FDE",VLOOKUP(D243,'FDE 10-23 '!$A$4:$E$3180,2,0),IF(C243="INFRA",VLOOKUP(D243,#REF!,2,0),""))))))),"")</f>
        <v>LAJE PRE-MOLDADA D=2,50M E=15CM P/ RESERVATORIO</v>
      </c>
      <c r="F243" s="65" t="str">
        <f>VLOOKUP(D243,'FDE 10-23 '!$A$4:$E$3180,3,0)</f>
        <v>UN</v>
      </c>
      <c r="G243" s="66">
        <v>3</v>
      </c>
      <c r="H243" s="67">
        <f>VLOOKUP(D243,'FDE 10-23 '!$A$4:$E$3180,5,0)</f>
        <v>4873.5</v>
      </c>
      <c r="I243" s="92">
        <f t="shared" si="39"/>
        <v>0.23</v>
      </c>
      <c r="J243" s="67">
        <f t="shared" si="40"/>
        <v>5994.41</v>
      </c>
      <c r="K243" s="71">
        <f t="shared" si="41"/>
        <v>17983.23</v>
      </c>
      <c r="L243" s="51"/>
      <c r="M243" s="52"/>
    </row>
    <row r="244" spans="2:13" s="25" customFormat="1" ht="30" customHeight="1" outlineLevel="1">
      <c r="B244" s="61"/>
      <c r="C244" s="62" t="s">
        <v>26</v>
      </c>
      <c r="D244" s="63" t="s">
        <v>520</v>
      </c>
      <c r="E244" s="64" t="str">
        <f>IFERROR(UPPER(IF(C244="CPU",VLOOKUP(D244,#REF!,2,0),IF(C244="SINAPI",VLOOKUP(D244,#REF!,2,0),IF(C244="EDIF",VLOOKUP(D244,#REF!,2,0),IF(C244="CDHU",VLOOKUP(D244,#REF!,2,0),IF(C244="FDE",VLOOKUP(D244,'FDE 10-23 '!$A$4:$E$3180,2,0),IF(C244="INFRA",VLOOKUP(D244,#REF!,2,0),""))))))),"")</f>
        <v>SERVICOS RESERVATORIOS</v>
      </c>
      <c r="F244" s="65" t="str">
        <f>VLOOKUP(D244,'FDE 10-23 '!$A$4:$E$3180,3,0)</f>
        <v>MV</v>
      </c>
      <c r="G244" s="66">
        <v>3.48</v>
      </c>
      <c r="H244" s="67">
        <f>VLOOKUP(D244,'FDE 10-23 '!$A$4:$E$3180,5,0)</f>
        <v>533.05999999999995</v>
      </c>
      <c r="I244" s="92">
        <f t="shared" si="39"/>
        <v>0.23</v>
      </c>
      <c r="J244" s="67">
        <f t="shared" si="40"/>
        <v>655.66</v>
      </c>
      <c r="K244" s="71">
        <f t="shared" si="41"/>
        <v>2281.6967999999997</v>
      </c>
      <c r="L244" s="51"/>
      <c r="M244" s="52"/>
    </row>
    <row r="245" spans="2:13" s="25" customFormat="1" ht="30" customHeight="1" outlineLevel="1">
      <c r="B245" s="53"/>
      <c r="C245" s="54"/>
      <c r="D245" s="54" t="s">
        <v>522</v>
      </c>
      <c r="E245" s="55" t="s">
        <v>523</v>
      </c>
      <c r="F245" s="56" t="str">
        <f>IFERROR(UPPER(IF(C245="CPU",VLOOKUP(D245,#REF!,3,0),IF(C245="SINAPI",VLOOKUP(D245,#REF!,3,0),IF(C245="EDIF",VLOOKUP(D245,#REF!,3,0),IF(C245="CDHU",VLOOKUP(D245,#REF!,3,0),IF(C245="FDE",VLOOKUP(D245,#REF!,3,0),IF(C245="INFRA",VLOOKUP(D245,#REF!,3,0),""))))))),"")</f>
        <v/>
      </c>
      <c r="G245" s="57"/>
      <c r="H24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45" s="59"/>
      <c r="J245" s="59"/>
      <c r="K245" s="82">
        <f>SUBTOTAL(9,K246:K250)</f>
        <v>52495.456000000006</v>
      </c>
      <c r="L245" s="51"/>
      <c r="M245" s="52"/>
    </row>
    <row r="246" spans="2:13" s="25" customFormat="1" ht="30" customHeight="1" outlineLevel="1">
      <c r="B246" s="61"/>
      <c r="C246" s="62" t="s">
        <v>26</v>
      </c>
      <c r="D246" s="63" t="s">
        <v>525</v>
      </c>
      <c r="E246" s="64" t="str">
        <f>IFERROR(UPPER(IF(C246="CPU",VLOOKUP(D246,#REF!,2,0),IF(C246="SINAPI",VLOOKUP(D246,#REF!,2,0),IF(C246="EDIF",VLOOKUP(D246,#REF!,2,0),IF(C246="CDHU",VLOOKUP(D246,#REF!,2,0),IF(C246="FDE",VLOOKUP(D246,'FDE 10-23 '!$A$4:$E$3180,2,0),IF(C246="INFRA",VLOOKUP(D246,#REF!,2,0),""))))))),"")</f>
        <v>LT-04 LAVATORIO /BEBEDOURO COLETIVO COM TORNEIRA ANTIVANDALISMO</v>
      </c>
      <c r="F246" s="65" t="str">
        <f>VLOOKUP(D246,'FDE 10-23 '!$A$4:$E$3180,3,0)</f>
        <v>M</v>
      </c>
      <c r="G246" s="66">
        <v>2.5</v>
      </c>
      <c r="H246" s="67">
        <f>VLOOKUP(D246,'FDE 10-23 '!$A$4:$E$3180,5,0)</f>
        <v>1581.51</v>
      </c>
      <c r="I246" s="92">
        <f>$L$10</f>
        <v>0.23</v>
      </c>
      <c r="J246" s="67">
        <f>ROUND(H246*(1+I246),2)</f>
        <v>1945.26</v>
      </c>
      <c r="K246" s="71">
        <f>SUM(G246*J246)</f>
        <v>4863.1499999999996</v>
      </c>
      <c r="L246" s="51"/>
      <c r="M246" s="52"/>
    </row>
    <row r="247" spans="2:13" s="25" customFormat="1" ht="30" customHeight="1" outlineLevel="1">
      <c r="B247" s="61"/>
      <c r="C247" s="62" t="s">
        <v>26</v>
      </c>
      <c r="D247" s="63" t="s">
        <v>527</v>
      </c>
      <c r="E247" s="64" t="str">
        <f>IFERROR(UPPER(IF(C247="CPU",VLOOKUP(D247,#REF!,2,0),IF(C247="SINAPI",VLOOKUP(D247,#REF!,2,0),IF(C247="EDIF",VLOOKUP(D247,#REF!,2,0),IF(C247="CDHU",VLOOKUP(D247,#REF!,2,0),IF(C247="FDE",VLOOKUP(D247,'FDE 10-23 '!$A$4:$E$3180,2,0),IF(C247="INFRA",VLOOKUP(D247,#REF!,2,0),""))))))),"")</f>
        <v>BB-01 BEBEDOURO COLETIVO</v>
      </c>
      <c r="F247" s="65" t="str">
        <f>VLOOKUP(D247,'FDE 10-23 '!$A$4:$E$3180,3,0)</f>
        <v>M</v>
      </c>
      <c r="G247" s="66">
        <v>2.2999999999999998</v>
      </c>
      <c r="H247" s="67">
        <f>VLOOKUP(D247,'FDE 10-23 '!$A$4:$E$3180,5,0)</f>
        <v>847.05</v>
      </c>
      <c r="I247" s="92">
        <f>$L$10</f>
        <v>0.23</v>
      </c>
      <c r="J247" s="67">
        <f>ROUND(H247*(1+I247),2)</f>
        <v>1041.8699999999999</v>
      </c>
      <c r="K247" s="71">
        <f>SUM(G247*J247)</f>
        <v>2396.3009999999995</v>
      </c>
      <c r="L247" s="51"/>
      <c r="M247" s="52"/>
    </row>
    <row r="248" spans="2:13" s="25" customFormat="1" ht="30" customHeight="1" outlineLevel="1">
      <c r="B248" s="61"/>
      <c r="C248" s="62" t="s">
        <v>26</v>
      </c>
      <c r="D248" s="63" t="s">
        <v>529</v>
      </c>
      <c r="E248" s="64" t="str">
        <f>IFERROR(UPPER(IF(C248="CPU",VLOOKUP(D248,#REF!,2,0),IF(C248="SINAPI",VLOOKUP(D248,#REF!,2,0),IF(C248="EDIF",VLOOKUP(D248,#REF!,2,0),IF(C248="CDHU",VLOOKUP(D248,#REF!,2,0),IF(C248="FDE",VLOOKUP(D248,'FDE 10-23 '!$A$4:$E$3180,2,0),IF(C248="INFRA",VLOOKUP(D248,#REF!,2,0),""))))))),"")</f>
        <v>LT-06 LAVATÓRIO COLETIVO COM TORNEIRA ANTIVANDALISMO</v>
      </c>
      <c r="F248" s="65" t="str">
        <f>VLOOKUP(D248,'FDE 10-23 '!$A$4:$E$3180,3,0)</f>
        <v>M</v>
      </c>
      <c r="G248" s="66">
        <v>8.8000000000000007</v>
      </c>
      <c r="H248" s="67">
        <f>VLOOKUP(D248,'FDE 10-23 '!$A$4:$E$3180,5,0)</f>
        <v>2010.01</v>
      </c>
      <c r="I248" s="92">
        <f>$L$10</f>
        <v>0.23</v>
      </c>
      <c r="J248" s="67">
        <f>ROUND(H248*(1+I248),2)</f>
        <v>2472.31</v>
      </c>
      <c r="K248" s="71">
        <f>SUM(G248*J248)</f>
        <v>21756.328000000001</v>
      </c>
      <c r="L248" s="51"/>
      <c r="M248" s="52"/>
    </row>
    <row r="249" spans="2:13" s="25" customFormat="1" ht="30" customHeight="1" outlineLevel="1">
      <c r="B249" s="61"/>
      <c r="C249" s="62" t="s">
        <v>26</v>
      </c>
      <c r="D249" s="63" t="s">
        <v>531</v>
      </c>
      <c r="E249" s="64" t="str">
        <f>IFERROR(UPPER(IF(C249="CPU",VLOOKUP(D249,#REF!,2,0),IF(C249="SINAPI",VLOOKUP(D249,#REF!,2,0),IF(C249="EDIF",VLOOKUP(D249,#REF!,2,0),IF(C249="CDHU",VLOOKUP(D249,#REF!,2,0),IF(C249="FDE",VLOOKUP(D249,'FDE 10-23 '!$A$4:$E$3180,2,0),IF(C249="INFRA",VLOOKUP(D249,#REF!,2,0),""))))))),"")</f>
        <v>LT-07 LAVATÓRIO COLETIVO COM TORNEIRA DE MESA- SANIT.ADMINISTRAÇÃO</v>
      </c>
      <c r="F249" s="65" t="str">
        <f>VLOOKUP(D249,'FDE 10-23 '!$A$4:$E$3180,3,0)</f>
        <v>M</v>
      </c>
      <c r="G249" s="66">
        <v>4.3</v>
      </c>
      <c r="H249" s="67">
        <f>VLOOKUP(D249,'FDE 10-23 '!$A$4:$E$3180,5,0)</f>
        <v>2504.75</v>
      </c>
      <c r="I249" s="92">
        <f>$L$10</f>
        <v>0.23</v>
      </c>
      <c r="J249" s="67">
        <f>ROUND(H249*(1+I249),2)</f>
        <v>3080.84</v>
      </c>
      <c r="K249" s="71">
        <f>SUM(G249*J249)</f>
        <v>13247.611999999999</v>
      </c>
      <c r="L249" s="51"/>
      <c r="M249" s="52"/>
    </row>
    <row r="250" spans="2:13" s="25" customFormat="1" ht="30" customHeight="1" outlineLevel="1">
      <c r="B250" s="61"/>
      <c r="C250" s="62" t="s">
        <v>26</v>
      </c>
      <c r="D250" s="63" t="s">
        <v>533</v>
      </c>
      <c r="E250" s="64" t="str">
        <f>IFERROR(UPPER(IF(C250="CPU",VLOOKUP(D250,#REF!,2,0),IF(C250="SINAPI",VLOOKUP(D250,#REF!,2,0),IF(C250="EDIF",VLOOKUP(D250,#REF!,2,0),IF(C250="CDHU",VLOOKUP(D250,#REF!,2,0),IF(C250="FDE",VLOOKUP(D250,'FDE 10-23 '!$A$4:$E$3180,2,0),IF(C250="INFRA",VLOOKUP(D250,#REF!,2,0),""))))))),"")</f>
        <v>MT-04 MICTORIO COLETIVO</v>
      </c>
      <c r="F250" s="65" t="str">
        <f>VLOOKUP(D250,'FDE 10-23 '!$A$4:$E$3180,3,0)</f>
        <v>M</v>
      </c>
      <c r="G250" s="66">
        <v>4.3</v>
      </c>
      <c r="H250" s="67">
        <f>VLOOKUP(D250,'FDE 10-23 '!$A$4:$E$3180,5,0)</f>
        <v>1934.59</v>
      </c>
      <c r="I250" s="92">
        <f>$L$10</f>
        <v>0.23</v>
      </c>
      <c r="J250" s="67">
        <f>ROUND(H250*(1+I250),2)</f>
        <v>2379.5500000000002</v>
      </c>
      <c r="K250" s="71">
        <f>SUM(G250*J250)</f>
        <v>10232.065000000001</v>
      </c>
      <c r="L250" s="51"/>
      <c r="M250" s="52"/>
    </row>
    <row r="251" spans="2:13" s="25" customFormat="1" ht="30" customHeight="1" outlineLevel="1">
      <c r="B251" s="53"/>
      <c r="C251" s="54"/>
      <c r="D251" s="54" t="s">
        <v>535</v>
      </c>
      <c r="E251" s="55" t="s">
        <v>536</v>
      </c>
      <c r="F251" s="56" t="str">
        <f>IFERROR(UPPER(IF(C251="CPU",VLOOKUP(D251,#REF!,3,0),IF(C251="SINAPI",VLOOKUP(D251,#REF!,3,0),IF(C251="EDIF",VLOOKUP(D251,#REF!,3,0),IF(C251="CDHU",VLOOKUP(D251,#REF!,3,0),IF(C251="FDE",VLOOKUP(D251,#REF!,3,0),IF(C251="INFRA",VLOOKUP(D251,#REF!,3,0),""))))))),"")</f>
        <v/>
      </c>
      <c r="G251" s="57"/>
      <c r="H251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51" s="59"/>
      <c r="J251" s="59"/>
      <c r="K251" s="82">
        <f>SUBTOTAL(9,K252:K264)</f>
        <v>44236.02</v>
      </c>
      <c r="L251" s="51"/>
      <c r="M251" s="52"/>
    </row>
    <row r="252" spans="2:13" s="25" customFormat="1" ht="30" customHeight="1" outlineLevel="1">
      <c r="B252" s="61"/>
      <c r="C252" s="62" t="s">
        <v>26</v>
      </c>
      <c r="D252" s="63" t="s">
        <v>538</v>
      </c>
      <c r="E252" s="64" t="str">
        <f>IFERROR(UPPER(IF(C252="CPU",VLOOKUP(D252,#REF!,2,0),IF(C252="SINAPI",VLOOKUP(D252,#REF!,2,0),IF(C252="EDIF",VLOOKUP(D252,#REF!,2,0),IF(C252="CDHU",VLOOKUP(D252,#REF!,2,0),IF(C252="FDE",VLOOKUP(D252,'FDE 10-23 '!$A$4:$E$3180,2,0),IF(C252="INFRA",VLOOKUP(D252,#REF!,2,0),""))))))),"")</f>
        <v>BACIA SIFONADA DE LOUCA BRANCA (VDR 6L) C/ ASSENTO</v>
      </c>
      <c r="F252" s="65" t="str">
        <f>VLOOKUP(D252,'FDE 10-23 '!$A$4:$E$3180,3,0)</f>
        <v>UN</v>
      </c>
      <c r="G252" s="66">
        <v>17</v>
      </c>
      <c r="H252" s="67">
        <f>VLOOKUP(D252,'FDE 10-23 '!$A$4:$E$3180,5,0)</f>
        <v>304.12</v>
      </c>
      <c r="I252" s="92">
        <f t="shared" ref="I252:I264" si="42">$L$10</f>
        <v>0.23</v>
      </c>
      <c r="J252" s="67">
        <f t="shared" ref="J252:J264" si="43">ROUND(H252*(1+I252),2)</f>
        <v>374.07</v>
      </c>
      <c r="K252" s="71">
        <f t="shared" ref="K252:K264" si="44">SUM(G252*J252)</f>
        <v>6359.19</v>
      </c>
      <c r="L252" s="51"/>
      <c r="M252" s="52"/>
    </row>
    <row r="253" spans="2:13" s="25" customFormat="1" ht="30" customHeight="1" outlineLevel="1">
      <c r="B253" s="61"/>
      <c r="C253" s="62" t="s">
        <v>26</v>
      </c>
      <c r="D253" s="63" t="s">
        <v>540</v>
      </c>
      <c r="E253" s="64" t="str">
        <f>IFERROR(UPPER(IF(C253="CPU",VLOOKUP(D253,#REF!,2,0),IF(C253="SINAPI",VLOOKUP(D253,#REF!,2,0),IF(C253="EDIF",VLOOKUP(D253,#REF!,2,0),IF(C253="CDHU",VLOOKUP(D253,#REF!,2,0),IF(C253="FDE",VLOOKUP(D253,'FDE 10-23 '!$A$4:$E$3180,2,0),IF(C253="INFRA",VLOOKUP(D253,#REF!,2,0),""))))))),"")</f>
        <v>LAVATORIO DE LOUCA BRANCA SEM COLUNA C/ TORNEIRA DE FECHAM AUTOMATICO</v>
      </c>
      <c r="F253" s="65" t="str">
        <f>VLOOKUP(D253,'FDE 10-23 '!$A$4:$E$3180,3,0)</f>
        <v>UN</v>
      </c>
      <c r="G253" s="66">
        <v>1</v>
      </c>
      <c r="H253" s="67">
        <f>VLOOKUP(D253,'FDE 10-23 '!$A$4:$E$3180,5,0)</f>
        <v>1009.44</v>
      </c>
      <c r="I253" s="92">
        <f t="shared" si="42"/>
        <v>0.23</v>
      </c>
      <c r="J253" s="67">
        <f t="shared" si="43"/>
        <v>1241.6099999999999</v>
      </c>
      <c r="K253" s="71">
        <f t="shared" si="44"/>
        <v>1241.6099999999999</v>
      </c>
      <c r="L253" s="51"/>
      <c r="M253" s="52"/>
    </row>
    <row r="254" spans="2:13" s="25" customFormat="1" ht="30" customHeight="1" outlineLevel="1">
      <c r="B254" s="61"/>
      <c r="C254" s="62" t="s">
        <v>26</v>
      </c>
      <c r="D254" s="63" t="s">
        <v>542</v>
      </c>
      <c r="E254" s="64" t="str">
        <f>IFERROR(UPPER(IF(C254="CPU",VLOOKUP(D254,#REF!,2,0),IF(C254="SINAPI",VLOOKUP(D254,#REF!,2,0),IF(C254="EDIF",VLOOKUP(D254,#REF!,2,0),IF(C254="CDHU",VLOOKUP(D254,#REF!,2,0),IF(C254="FDE",VLOOKUP(D254,'FDE 10-23 '!$A$4:$E$3180,2,0),IF(C254="INFRA",VLOOKUP(D254,#REF!,2,0),""))))))),"")</f>
        <v>TANQUE DE LOUCA BRANCA,PEQUENO C/COLUNA</v>
      </c>
      <c r="F254" s="65" t="str">
        <f>VLOOKUP(D254,'FDE 10-23 '!$A$4:$E$3180,3,0)</f>
        <v>UN</v>
      </c>
      <c r="G254" s="66">
        <v>1</v>
      </c>
      <c r="H254" s="67">
        <f>VLOOKUP(D254,'FDE 10-23 '!$A$4:$E$3180,5,0)</f>
        <v>1002.61</v>
      </c>
      <c r="I254" s="92">
        <f t="shared" si="42"/>
        <v>0.23</v>
      </c>
      <c r="J254" s="67">
        <f t="shared" si="43"/>
        <v>1233.21</v>
      </c>
      <c r="K254" s="71">
        <f t="shared" si="44"/>
        <v>1233.21</v>
      </c>
      <c r="L254" s="51"/>
      <c r="M254" s="52"/>
    </row>
    <row r="255" spans="2:13" s="25" customFormat="1" ht="30" customHeight="1" outlineLevel="1">
      <c r="B255" s="61"/>
      <c r="C255" s="62" t="s">
        <v>26</v>
      </c>
      <c r="D255" s="63" t="s">
        <v>544</v>
      </c>
      <c r="E255" s="64" t="str">
        <f>IFERROR(UPPER(IF(C255="CPU",VLOOKUP(D255,#REF!,2,0),IF(C255="SINAPI",VLOOKUP(D255,#REF!,2,0),IF(C255="EDIF",VLOOKUP(D255,#REF!,2,0),IF(C255="CDHU",VLOOKUP(D255,#REF!,2,0),IF(C255="FDE",VLOOKUP(D255,'FDE 10-23 '!$A$4:$E$3180,2,0),IF(C255="INFRA",VLOOKUP(D255,#REF!,2,0),""))))))),"")</f>
        <v>SABONETEIRA DE LOUCA BRANCA DE 15X15 CM</v>
      </c>
      <c r="F255" s="65" t="str">
        <f>VLOOKUP(D255,'FDE 10-23 '!$A$4:$E$3180,3,0)</f>
        <v>UN</v>
      </c>
      <c r="G255" s="66">
        <v>6</v>
      </c>
      <c r="H255" s="67">
        <f>VLOOKUP(D255,'FDE 10-23 '!$A$4:$E$3180,5,0)</f>
        <v>92.2</v>
      </c>
      <c r="I255" s="92">
        <f t="shared" si="42"/>
        <v>0.23</v>
      </c>
      <c r="J255" s="67">
        <f t="shared" si="43"/>
        <v>113.41</v>
      </c>
      <c r="K255" s="71">
        <f t="shared" si="44"/>
        <v>680.46</v>
      </c>
      <c r="L255" s="51"/>
      <c r="M255" s="52"/>
    </row>
    <row r="256" spans="2:13" s="25" customFormat="1" ht="30" customHeight="1" outlineLevel="1">
      <c r="B256" s="61"/>
      <c r="C256" s="62" t="s">
        <v>26</v>
      </c>
      <c r="D256" s="63" t="s">
        <v>546</v>
      </c>
      <c r="E256" s="64" t="str">
        <f>IFERROR(UPPER(IF(C256="CPU",VLOOKUP(D256,#REF!,2,0),IF(C256="SINAPI",VLOOKUP(D256,#REF!,2,0),IF(C256="EDIF",VLOOKUP(D256,#REF!,2,0),IF(C256="CDHU",VLOOKUP(D256,#REF!,2,0),IF(C256="FDE",VLOOKUP(D256,'FDE 10-23 '!$A$4:$E$3180,2,0),IF(C256="INFRA",VLOOKUP(D256,#REF!,2,0),""))))))),"")</f>
        <v>PAPELEIRA DE LOUCA BRANCA DE 15X15CM</v>
      </c>
      <c r="F256" s="65" t="str">
        <f>VLOOKUP(D256,'FDE 10-23 '!$A$4:$E$3180,3,0)</f>
        <v>UN</v>
      </c>
      <c r="G256" s="66">
        <v>17</v>
      </c>
      <c r="H256" s="67">
        <f>VLOOKUP(D256,'FDE 10-23 '!$A$4:$E$3180,5,0)</f>
        <v>97.28</v>
      </c>
      <c r="I256" s="92">
        <f t="shared" si="42"/>
        <v>0.23</v>
      </c>
      <c r="J256" s="67">
        <f t="shared" si="43"/>
        <v>119.65</v>
      </c>
      <c r="K256" s="71">
        <f t="shared" si="44"/>
        <v>2034.0500000000002</v>
      </c>
      <c r="L256" s="51"/>
      <c r="M256" s="52"/>
    </row>
    <row r="257" spans="2:13" s="25" customFormat="1" ht="30" customHeight="1" outlineLevel="1">
      <c r="B257" s="61"/>
      <c r="C257" s="62" t="s">
        <v>26</v>
      </c>
      <c r="D257" s="63" t="s">
        <v>548</v>
      </c>
      <c r="E257" s="64" t="str">
        <f>IFERROR(UPPER(IF(C257="CPU",VLOOKUP(D257,#REF!,2,0),IF(C257="SINAPI",VLOOKUP(D257,#REF!,2,0),IF(C257="EDIF",VLOOKUP(D257,#REF!,2,0),IF(C257="CDHU",VLOOKUP(D257,#REF!,2,0),IF(C257="FDE",VLOOKUP(D257,'FDE 10-23 '!$A$4:$E$3180,2,0),IF(C257="INFRA",VLOOKUP(D257,#REF!,2,0),""))))))),"")</f>
        <v>CABIDE DE LOUCA BRANCA COM 2 GANCHOS</v>
      </c>
      <c r="F257" s="65" t="str">
        <f>VLOOKUP(D257,'FDE 10-23 '!$A$4:$E$3180,3,0)</f>
        <v>UN</v>
      </c>
      <c r="G257" s="66">
        <v>6</v>
      </c>
      <c r="H257" s="67">
        <f>VLOOKUP(D257,'FDE 10-23 '!$A$4:$E$3180,5,0)</f>
        <v>45.8</v>
      </c>
      <c r="I257" s="92">
        <f t="shared" si="42"/>
        <v>0.23</v>
      </c>
      <c r="J257" s="67">
        <f t="shared" si="43"/>
        <v>56.33</v>
      </c>
      <c r="K257" s="71">
        <f t="shared" si="44"/>
        <v>337.98</v>
      </c>
      <c r="L257" s="51"/>
      <c r="M257" s="52"/>
    </row>
    <row r="258" spans="2:13" s="25" customFormat="1" ht="30" customHeight="1" outlineLevel="1">
      <c r="B258" s="61"/>
      <c r="C258" s="62" t="s">
        <v>26</v>
      </c>
      <c r="D258" s="63" t="s">
        <v>550</v>
      </c>
      <c r="E258" s="64" t="str">
        <f>IFERROR(UPPER(IF(C258="CPU",VLOOKUP(D258,#REF!,2,0),IF(C258="SINAPI",VLOOKUP(D258,#REF!,2,0),IF(C258="EDIF",VLOOKUP(D258,#REF!,2,0),IF(C258="CDHU",VLOOKUP(D258,#REF!,2,0),IF(C258="FDE",VLOOKUP(D258,'FDE 10-23 '!$A$4:$E$3180,2,0),IF(C258="INFRA",VLOOKUP(D258,#REF!,2,0),""))))))),"")</f>
        <v>VA-01 VARAL/TOALHEIRO</v>
      </c>
      <c r="F258" s="65" t="str">
        <f>VLOOKUP(D258,'FDE 10-23 '!$A$4:$E$3180,3,0)</f>
        <v>UN</v>
      </c>
      <c r="G258" s="66">
        <v>2</v>
      </c>
      <c r="H258" s="67">
        <f>VLOOKUP(D258,'FDE 10-23 '!$A$4:$E$3180,5,0)</f>
        <v>456.79</v>
      </c>
      <c r="I258" s="92">
        <f t="shared" si="42"/>
        <v>0.23</v>
      </c>
      <c r="J258" s="67">
        <f t="shared" si="43"/>
        <v>561.85</v>
      </c>
      <c r="K258" s="71">
        <f t="shared" si="44"/>
        <v>1123.7</v>
      </c>
      <c r="L258" s="51"/>
      <c r="M258" s="52"/>
    </row>
    <row r="259" spans="2:13" s="25" customFormat="1" ht="30" customHeight="1" outlineLevel="1">
      <c r="B259" s="61"/>
      <c r="C259" s="62" t="s">
        <v>26</v>
      </c>
      <c r="D259" s="63" t="s">
        <v>552</v>
      </c>
      <c r="E259" s="64" t="str">
        <f>IFERROR(UPPER(IF(C259="CPU",VLOOKUP(D259,#REF!,2,0),IF(C259="SINAPI",VLOOKUP(D259,#REF!,2,0),IF(C259="EDIF",VLOOKUP(D259,#REF!,2,0),IF(C259="CDHU",VLOOKUP(D259,#REF!,2,0),IF(C259="FDE",VLOOKUP(D259,'FDE 10-23 '!$A$4:$E$3180,2,0),IF(C259="INFRA",VLOOKUP(D259,#REF!,2,0),""))))))),"")</f>
        <v>BR-01 BACIA P/ SANITARIO ACESSIVEL</v>
      </c>
      <c r="F259" s="65" t="str">
        <f>VLOOKUP(D259,'FDE 10-23 '!$A$4:$E$3180,3,0)</f>
        <v>CJ</v>
      </c>
      <c r="G259" s="66">
        <v>1</v>
      </c>
      <c r="H259" s="67">
        <f>VLOOKUP(D259,'FDE 10-23 '!$A$4:$E$3180,5,0)</f>
        <v>3026.01</v>
      </c>
      <c r="I259" s="92">
        <f t="shared" si="42"/>
        <v>0.23</v>
      </c>
      <c r="J259" s="67">
        <f t="shared" si="43"/>
        <v>3721.99</v>
      </c>
      <c r="K259" s="71">
        <f t="shared" si="44"/>
        <v>3721.99</v>
      </c>
      <c r="L259" s="51"/>
      <c r="M259" s="52"/>
    </row>
    <row r="260" spans="2:13" s="25" customFormat="1" ht="30" customHeight="1" outlineLevel="1">
      <c r="B260" s="61"/>
      <c r="C260" s="62" t="s">
        <v>26</v>
      </c>
      <c r="D260" s="63" t="s">
        <v>554</v>
      </c>
      <c r="E260" s="64" t="str">
        <f>IFERROR(UPPER(IF(C260="CPU",VLOOKUP(D260,#REF!,2,0),IF(C260="SINAPI",VLOOKUP(D260,#REF!,2,0),IF(C260="EDIF",VLOOKUP(D260,#REF!,2,0),IF(C260="CDHU",VLOOKUP(D260,#REF!,2,0),IF(C260="FDE",VLOOKUP(D260,'FDE 10-23 '!$A$4:$E$3180,2,0),IF(C260="INFRA",VLOOKUP(D260,#REF!,2,0),""))))))),"")</f>
        <v>BR-02 LAVATORIO  PARA SANITARIO ACESSIVEL</v>
      </c>
      <c r="F260" s="65" t="str">
        <f>VLOOKUP(D260,'FDE 10-23 '!$A$4:$E$3180,3,0)</f>
        <v>CJ</v>
      </c>
      <c r="G260" s="66">
        <v>1</v>
      </c>
      <c r="H260" s="67">
        <f>VLOOKUP(D260,'FDE 10-23 '!$A$4:$E$3180,5,0)</f>
        <v>1563.31</v>
      </c>
      <c r="I260" s="92">
        <f t="shared" si="42"/>
        <v>0.23</v>
      </c>
      <c r="J260" s="67">
        <f t="shared" si="43"/>
        <v>1922.87</v>
      </c>
      <c r="K260" s="71">
        <f t="shared" si="44"/>
        <v>1922.87</v>
      </c>
      <c r="L260" s="51"/>
      <c r="M260" s="52"/>
    </row>
    <row r="261" spans="2:13" s="25" customFormat="1" ht="30" customHeight="1" outlineLevel="1">
      <c r="B261" s="61"/>
      <c r="C261" s="62" t="s">
        <v>26</v>
      </c>
      <c r="D261" s="63" t="s">
        <v>556</v>
      </c>
      <c r="E261" s="64" t="str">
        <f>IFERROR(UPPER(IF(C261="CPU",VLOOKUP(D261,#REF!,2,0),IF(C261="SINAPI",VLOOKUP(D261,#REF!,2,0),IF(C261="EDIF",VLOOKUP(D261,#REF!,2,0),IF(C261="CDHU",VLOOKUP(D261,#REF!,2,0),IF(C261="FDE",VLOOKUP(D261,'FDE 10-23 '!$A$4:$E$3180,2,0),IF(C261="INFRA",VLOOKUP(D261,#REF!,2,0),""))))))),"")</f>
        <v>BR-03  CONJUNTO LAVATORIO E BACIA ACESSIVEIS</v>
      </c>
      <c r="F261" s="65" t="str">
        <f>VLOOKUP(D261,'FDE 10-23 '!$A$4:$E$3180,3,0)</f>
        <v>CJ</v>
      </c>
      <c r="G261" s="66">
        <v>2</v>
      </c>
      <c r="H261" s="67">
        <f>VLOOKUP(D261,'FDE 10-23 '!$A$4:$E$3180,5,0)</f>
        <v>3407.66</v>
      </c>
      <c r="I261" s="92">
        <f t="shared" si="42"/>
        <v>0.23</v>
      </c>
      <c r="J261" s="67">
        <f t="shared" si="43"/>
        <v>4191.42</v>
      </c>
      <c r="K261" s="71">
        <f t="shared" si="44"/>
        <v>8382.84</v>
      </c>
      <c r="L261" s="51"/>
      <c r="M261" s="52"/>
    </row>
    <row r="262" spans="2:13" s="25" customFormat="1" ht="30" customHeight="1" outlineLevel="1">
      <c r="B262" s="61"/>
      <c r="C262" s="62" t="s">
        <v>26</v>
      </c>
      <c r="D262" s="63" t="s">
        <v>558</v>
      </c>
      <c r="E262" s="64" t="str">
        <f>IFERROR(UPPER(IF(C262="CPU",VLOOKUP(D262,#REF!,2,0),IF(C262="SINAPI",VLOOKUP(D262,#REF!,2,0),IF(C262="EDIF",VLOOKUP(D262,#REF!,2,0),IF(C262="CDHU",VLOOKUP(D262,#REF!,2,0),IF(C262="FDE",VLOOKUP(D262,'FDE 10-23 '!$A$4:$E$3180,2,0),IF(C262="INFRA",VLOOKUP(D262,#REF!,2,0),""))))))),"")</f>
        <v>BR-04 BARRA DE APOIO COM FIXAÇÃO LATERAL</v>
      </c>
      <c r="F262" s="65" t="str">
        <f>VLOOKUP(D262,'FDE 10-23 '!$A$4:$E$3180,3,0)</f>
        <v>UN</v>
      </c>
      <c r="G262" s="66">
        <v>4</v>
      </c>
      <c r="H262" s="67">
        <f>VLOOKUP(D262,'FDE 10-23 '!$A$4:$E$3180,5,0)</f>
        <v>359.52</v>
      </c>
      <c r="I262" s="92">
        <f t="shared" si="42"/>
        <v>0.23</v>
      </c>
      <c r="J262" s="67">
        <f t="shared" si="43"/>
        <v>442.21</v>
      </c>
      <c r="K262" s="71">
        <f t="shared" si="44"/>
        <v>1768.84</v>
      </c>
      <c r="L262" s="51"/>
      <c r="M262" s="52"/>
    </row>
    <row r="263" spans="2:13" s="25" customFormat="1" ht="30" customHeight="1" outlineLevel="1">
      <c r="B263" s="61"/>
      <c r="C263" s="62" t="s">
        <v>26</v>
      </c>
      <c r="D263" s="63" t="s">
        <v>560</v>
      </c>
      <c r="E263" s="64" t="str">
        <f>IFERROR(UPPER(IF(C263="CPU",VLOOKUP(D263,#REF!,2,0),IF(C263="SINAPI",VLOOKUP(D263,#REF!,2,0),IF(C263="EDIF",VLOOKUP(D263,#REF!,2,0),IF(C263="CDHU",VLOOKUP(D263,#REF!,2,0),IF(C263="FDE",VLOOKUP(D263,'FDE 10-23 '!$A$4:$E$3180,2,0),IF(C263="INFRA",VLOOKUP(D263,#REF!,2,0),""))))))),"")</f>
        <v>BR-05 TROCADOR ACESSÍVEL</v>
      </c>
      <c r="F263" s="65" t="str">
        <f>VLOOKUP(D263,'FDE 10-23 '!$A$4:$E$3180,3,0)</f>
        <v>UN</v>
      </c>
      <c r="G263" s="66">
        <v>3</v>
      </c>
      <c r="H263" s="67">
        <f>VLOOKUP(D263,'FDE 10-23 '!$A$4:$E$3180,5,0)</f>
        <v>3333.92</v>
      </c>
      <c r="I263" s="92">
        <f t="shared" si="42"/>
        <v>0.23</v>
      </c>
      <c r="J263" s="67">
        <f t="shared" si="43"/>
        <v>4100.72</v>
      </c>
      <c r="K263" s="71">
        <f t="shared" si="44"/>
        <v>12302.16</v>
      </c>
      <c r="L263" s="51"/>
      <c r="M263" s="52"/>
    </row>
    <row r="264" spans="2:13" s="25" customFormat="1" ht="30" customHeight="1" outlineLevel="1">
      <c r="B264" s="61"/>
      <c r="C264" s="62" t="s">
        <v>26</v>
      </c>
      <c r="D264" s="63" t="s">
        <v>562</v>
      </c>
      <c r="E264" s="64" t="str">
        <f>IFERROR(UPPER(IF(C264="CPU",VLOOKUP(D264,#REF!,2,0),IF(C264="SINAPI",VLOOKUP(D264,#REF!,2,0),IF(C264="EDIF",VLOOKUP(D264,#REF!,2,0),IF(C264="CDHU",VLOOKUP(D264,#REF!,2,0),IF(C264="FDE",VLOOKUP(D264,'FDE 10-23 '!$A$4:$E$3180,2,0),IF(C264="INFRA",VLOOKUP(D264,#REF!,2,0),""))))))),"")</f>
        <v>BR-06 CHUVEIRO ACESSIVEL</v>
      </c>
      <c r="F264" s="65" t="str">
        <f>VLOOKUP(D264,'FDE 10-23 '!$A$4:$E$3180,3,0)</f>
        <v>CJ</v>
      </c>
      <c r="G264" s="66">
        <v>1</v>
      </c>
      <c r="H264" s="67">
        <f>VLOOKUP(D264,'FDE 10-23 '!$A$4:$E$3180,5,0)</f>
        <v>2542.37</v>
      </c>
      <c r="I264" s="92">
        <f t="shared" si="42"/>
        <v>0.23</v>
      </c>
      <c r="J264" s="67">
        <f t="shared" si="43"/>
        <v>3127.12</v>
      </c>
      <c r="K264" s="71">
        <f t="shared" si="44"/>
        <v>3127.12</v>
      </c>
      <c r="L264" s="51"/>
      <c r="M264" s="52"/>
    </row>
    <row r="265" spans="2:13" s="25" customFormat="1" ht="30" customHeight="1" outlineLevel="1">
      <c r="B265" s="53"/>
      <c r="C265" s="54"/>
      <c r="D265" s="54" t="s">
        <v>564</v>
      </c>
      <c r="E265" s="55" t="s">
        <v>565</v>
      </c>
      <c r="F265" s="56" t="str">
        <f>IFERROR(UPPER(IF(C265="CPU",VLOOKUP(D265,#REF!,3,0),IF(C265="SINAPI",VLOOKUP(D265,#REF!,3,0),IF(C265="EDIF",VLOOKUP(D265,#REF!,3,0),IF(C265="CDHU",VLOOKUP(D265,#REF!,3,0),IF(C265="FDE",VLOOKUP(D265,#REF!,3,0),IF(C265="INFRA",VLOOKUP(D265,#REF!,3,0),""))))))),"")</f>
        <v/>
      </c>
      <c r="G265" s="57"/>
      <c r="H26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65" s="59"/>
      <c r="J265" s="59"/>
      <c r="K265" s="82">
        <f>SUBTOTAL(9,K266:K269)</f>
        <v>12412.149999999998</v>
      </c>
      <c r="L265" s="51"/>
      <c r="M265" s="52"/>
    </row>
    <row r="266" spans="2:13" s="25" customFormat="1" ht="30" customHeight="1" outlineLevel="1">
      <c r="B266" s="61"/>
      <c r="C266" s="62" t="s">
        <v>26</v>
      </c>
      <c r="D266" s="63" t="s">
        <v>567</v>
      </c>
      <c r="E266" s="64" t="str">
        <f>IFERROR(UPPER(IF(C266="CPU",VLOOKUP(D266,#REF!,2,0),IF(C266="SINAPI",VLOOKUP(D266,#REF!,2,0),IF(C266="EDIF",VLOOKUP(D266,#REF!,2,0),IF(C266="CDHU",VLOOKUP(D266,#REF!,2,0),IF(C266="FDE",VLOOKUP(D266,'FDE 10-23 '!$A$4:$E$3180,2,0),IF(C266="INFRA",VLOOKUP(D266,#REF!,2,0),""))))))),"")</f>
        <v>CHUVEIRO ANTIVANDALISMO</v>
      </c>
      <c r="F266" s="65" t="str">
        <f>VLOOKUP(D266,'FDE 10-23 '!$A$4:$E$3180,3,0)</f>
        <v>UN</v>
      </c>
      <c r="G266" s="66">
        <v>6</v>
      </c>
      <c r="H266" s="67">
        <f>VLOOKUP(D266,'FDE 10-23 '!$A$4:$E$3180,5,0)</f>
        <v>1087.44</v>
      </c>
      <c r="I266" s="92">
        <f>$L$10</f>
        <v>0.23</v>
      </c>
      <c r="J266" s="67">
        <f>ROUND(H266*(1+I266),2)</f>
        <v>1337.55</v>
      </c>
      <c r="K266" s="71">
        <f>SUM(G266*J266)</f>
        <v>8025.2999999999993</v>
      </c>
      <c r="L266" s="51"/>
      <c r="M266" s="52"/>
    </row>
    <row r="267" spans="2:13" s="25" customFormat="1" ht="30" customHeight="1" outlineLevel="1">
      <c r="B267" s="61"/>
      <c r="C267" s="62" t="s">
        <v>26</v>
      </c>
      <c r="D267" s="63" t="s">
        <v>569</v>
      </c>
      <c r="E267" s="64" t="str">
        <f>IFERROR(UPPER(IF(C267="CPU",VLOOKUP(D267,#REF!,2,0),IF(C267="SINAPI",VLOOKUP(D267,#REF!,2,0),IF(C267="EDIF",VLOOKUP(D267,#REF!,2,0),IF(C267="CDHU",VLOOKUP(D267,#REF!,2,0),IF(C267="FDE",VLOOKUP(D267,'FDE 10-23 '!$A$4:$E$3180,2,0),IF(C267="INFRA",VLOOKUP(D267,#REF!,2,0),""))))))),"")</f>
        <v>FT-02 FILTRO PARA AGUA POTAVEL</v>
      </c>
      <c r="F267" s="65" t="str">
        <f>VLOOKUP(D267,'FDE 10-23 '!$A$4:$E$3180,3,0)</f>
        <v>UN</v>
      </c>
      <c r="G267" s="66">
        <v>5</v>
      </c>
      <c r="H267" s="67">
        <f>VLOOKUP(D267,'FDE 10-23 '!$A$4:$E$3180,5,0)</f>
        <v>536.36</v>
      </c>
      <c r="I267" s="92">
        <f>$L$10</f>
        <v>0.23</v>
      </c>
      <c r="J267" s="67">
        <f>ROUND(H267*(1+I267),2)</f>
        <v>659.72</v>
      </c>
      <c r="K267" s="71">
        <f>SUM(G267*J267)</f>
        <v>3298.6000000000004</v>
      </c>
      <c r="L267" s="51"/>
      <c r="M267" s="52"/>
    </row>
    <row r="268" spans="2:13" s="25" customFormat="1" ht="30" customHeight="1" outlineLevel="1">
      <c r="B268" s="61"/>
      <c r="C268" s="62" t="s">
        <v>26</v>
      </c>
      <c r="D268" s="63" t="s">
        <v>571</v>
      </c>
      <c r="E268" s="64" t="str">
        <f>IFERROR(UPPER(IF(C268="CPU",VLOOKUP(D268,#REF!,2,0),IF(C268="SINAPI",VLOOKUP(D268,#REF!,2,0),IF(C268="EDIF",VLOOKUP(D268,#REF!,2,0),IF(C268="CDHU",VLOOKUP(D268,#REF!,2,0),IF(C268="FDE",VLOOKUP(D268,'FDE 10-23 '!$A$4:$E$3180,2,0),IF(C268="INFRA",VLOOKUP(D268,#REF!,2,0),""))))))),"")</f>
        <v>TORNEIRA DE LAVAGEM COM CANOPLA DE 1/2"</v>
      </c>
      <c r="F268" s="65" t="str">
        <f>VLOOKUP(D268,'FDE 10-23 '!$A$4:$E$3180,3,0)</f>
        <v>UN</v>
      </c>
      <c r="G268" s="66">
        <v>6</v>
      </c>
      <c r="H268" s="67">
        <f>VLOOKUP(D268,'FDE 10-23 '!$A$4:$E$3180,5,0)</f>
        <v>65.78</v>
      </c>
      <c r="I268" s="92">
        <f>$L$10</f>
        <v>0.23</v>
      </c>
      <c r="J268" s="67">
        <f>ROUND(H268*(1+I268),2)</f>
        <v>80.91</v>
      </c>
      <c r="K268" s="71">
        <f>SUM(G268*J268)</f>
        <v>485.46</v>
      </c>
      <c r="L268" s="51"/>
      <c r="M268" s="52"/>
    </row>
    <row r="269" spans="2:13" s="25" customFormat="1" ht="30" customHeight="1" outlineLevel="1">
      <c r="B269" s="61"/>
      <c r="C269" s="62" t="s">
        <v>26</v>
      </c>
      <c r="D269" s="63" t="s">
        <v>573</v>
      </c>
      <c r="E269" s="64" t="str">
        <f>IFERROR(UPPER(IF(C269="CPU",VLOOKUP(D269,#REF!,2,0),IF(C269="SINAPI",VLOOKUP(D269,#REF!,2,0),IF(C269="EDIF",VLOOKUP(D269,#REF!,2,0),IF(C269="CDHU",VLOOKUP(D269,#REF!,2,0),IF(C269="FDE",VLOOKUP(D269,'FDE 10-23 '!$A$4:$E$3180,2,0),IF(C269="INFRA",VLOOKUP(D269,#REF!,2,0),""))))))),"")</f>
        <v>TJ-03 TORNEIRA DE JARDIM</v>
      </c>
      <c r="F269" s="65" t="str">
        <f>VLOOKUP(D269,'FDE 10-23 '!$A$4:$E$3180,3,0)</f>
        <v>UN</v>
      </c>
      <c r="G269" s="66">
        <v>1</v>
      </c>
      <c r="H269" s="67">
        <f>VLOOKUP(D269,'FDE 10-23 '!$A$4:$E$3180,5,0)</f>
        <v>490.07</v>
      </c>
      <c r="I269" s="92">
        <f>$L$10</f>
        <v>0.23</v>
      </c>
      <c r="J269" s="67">
        <f>ROUND(H269*(1+I269),2)</f>
        <v>602.79</v>
      </c>
      <c r="K269" s="71">
        <f>SUM(G269*J269)</f>
        <v>602.79</v>
      </c>
      <c r="L269" s="51"/>
      <c r="M269" s="52"/>
    </row>
    <row r="270" spans="2:13" s="25" customFormat="1" ht="30" customHeight="1">
      <c r="B270" s="43">
        <v>9</v>
      </c>
      <c r="C270" s="44"/>
      <c r="D270" s="44" t="s">
        <v>574</v>
      </c>
      <c r="E270" s="45" t="s">
        <v>575</v>
      </c>
      <c r="F270" s="46" t="str">
        <f>IFERROR(UPPER(IF(C270="CPU",VLOOKUP(D270,#REF!,3,0),IF(C270="SINAPI",VLOOKUP(D270,#REF!,3,0),IF(C270="EDIF",VLOOKUP(D270,#REF!,3,0),IF(C270="CDHU",VLOOKUP(D270,#REF!,3,0),IF(C270="FDE",VLOOKUP(D270,#REF!,3,0),IF(C270="INFRA",VLOOKUP(D270,#REF!,3,0),""))))))),"")</f>
        <v/>
      </c>
      <c r="G270" s="47"/>
      <c r="H270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70" s="49"/>
      <c r="J270" s="49"/>
      <c r="K270" s="81">
        <f>SUBTOTAL(9,K271:K376)</f>
        <v>738098.14619999996</v>
      </c>
      <c r="L270" s="51"/>
      <c r="M270" s="52"/>
    </row>
    <row r="271" spans="2:13" s="25" customFormat="1" ht="30" customHeight="1" outlineLevel="1">
      <c r="B271" s="53"/>
      <c r="C271" s="54"/>
      <c r="D271" s="54" t="s">
        <v>577</v>
      </c>
      <c r="E271" s="55" t="s">
        <v>578</v>
      </c>
      <c r="F271" s="56" t="str">
        <f>IFERROR(UPPER(IF(C271="CPU",VLOOKUP(D271,#REF!,3,0),IF(C271="SINAPI",VLOOKUP(D271,#REF!,3,0),IF(C271="EDIF",VLOOKUP(D271,#REF!,3,0),IF(C271="CDHU",VLOOKUP(D271,#REF!,3,0),IF(C271="FDE",VLOOKUP(D271,#REF!,3,0),IF(C271="INFRA",VLOOKUP(D271,#REF!,3,0),""))))))),"")</f>
        <v/>
      </c>
      <c r="G271" s="57"/>
      <c r="H271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71" s="59"/>
      <c r="J271" s="59"/>
      <c r="K271" s="82">
        <f>SUBTOTAL(9,K272:K279)</f>
        <v>104555.7</v>
      </c>
      <c r="L271" s="51"/>
      <c r="M271" s="52"/>
    </row>
    <row r="272" spans="2:13" s="25" customFormat="1" ht="30" customHeight="1" outlineLevel="1">
      <c r="B272" s="61"/>
      <c r="C272" s="62" t="s">
        <v>26</v>
      </c>
      <c r="D272" s="63" t="s">
        <v>580</v>
      </c>
      <c r="E272" s="64" t="str">
        <f>IFERROR(UPPER(IF(C272="CPU",VLOOKUP(D272,#REF!,2,0),IF(C272="SINAPI",VLOOKUP(D272,#REF!,2,0),IF(C272="EDIF",VLOOKUP(D272,#REF!,2,0),IF(C272="CDHU",VLOOKUP(D272,#REF!,2,0),IF(C272="FDE",VLOOKUP(D272,'FDE 10-23 '!$A$4:$E$3180,2,0),IF(C272="INFRA",VLOOKUP(D272,#REF!,2,0),""))))))),"")</f>
        <v>AT-01 ENTRADA AEREA PARA TELEFONE</v>
      </c>
      <c r="F272" s="65" t="str">
        <f>VLOOKUP(D272,'FDE 10-23 '!$A$4:$E$3180,3,0)</f>
        <v>UN</v>
      </c>
      <c r="G272" s="66">
        <v>1</v>
      </c>
      <c r="H272" s="67">
        <f>VLOOKUP(D272,'FDE 10-23 '!$A$4:$E$3180,5,0)</f>
        <v>1666.15</v>
      </c>
      <c r="I272" s="92">
        <f t="shared" ref="I272:I279" si="45">$L$10</f>
        <v>0.23</v>
      </c>
      <c r="J272" s="67">
        <f t="shared" ref="J272:J279" si="46">ROUND(H272*(1+I272),2)</f>
        <v>2049.36</v>
      </c>
      <c r="K272" s="71">
        <f t="shared" ref="K272:K279" si="47">SUM(G272*J272)</f>
        <v>2049.36</v>
      </c>
      <c r="L272" s="51"/>
      <c r="M272" s="52"/>
    </row>
    <row r="273" spans="2:13" s="25" customFormat="1" ht="30" customHeight="1" outlineLevel="1">
      <c r="B273" s="61"/>
      <c r="C273" s="62" t="s">
        <v>26</v>
      </c>
      <c r="D273" s="63" t="s">
        <v>582</v>
      </c>
      <c r="E273" s="64" t="str">
        <f>IFERROR(UPPER(IF(C273="CPU",VLOOKUP(D273,#REF!,2,0),IF(C273="SINAPI",VLOOKUP(D273,#REF!,2,0),IF(C273="EDIF",VLOOKUP(D273,#REF!,2,0),IF(C273="CDHU",VLOOKUP(D273,#REF!,2,0),IF(C273="FDE",VLOOKUP(D273,'FDE 10-23 '!$A$4:$E$3180,2,0),IF(C273="INFRA",VLOOKUP(D273,#REF!,2,0),""))))))),"")</f>
        <v>DPS - DISPOSITIVO PROTECAO CONTRA SURTOS (ENERGIA)</v>
      </c>
      <c r="F273" s="65" t="str">
        <f>VLOOKUP(D273,'FDE 10-23 '!$A$4:$E$3180,3,0)</f>
        <v>UN</v>
      </c>
      <c r="G273" s="66">
        <v>4</v>
      </c>
      <c r="H273" s="67">
        <f>VLOOKUP(D273,'FDE 10-23 '!$A$4:$E$3180,5,0)</f>
        <v>210.26</v>
      </c>
      <c r="I273" s="92">
        <f t="shared" si="45"/>
        <v>0.23</v>
      </c>
      <c r="J273" s="67">
        <f t="shared" si="46"/>
        <v>258.62</v>
      </c>
      <c r="K273" s="71">
        <f t="shared" si="47"/>
        <v>1034.48</v>
      </c>
      <c r="L273" s="51"/>
      <c r="M273" s="52"/>
    </row>
    <row r="274" spans="2:13" s="25" customFormat="1" ht="30" customHeight="1" outlineLevel="1">
      <c r="B274" s="61"/>
      <c r="C274" s="62" t="s">
        <v>26</v>
      </c>
      <c r="D274" s="63" t="s">
        <v>1151</v>
      </c>
      <c r="E274" s="64" t="str">
        <f>IFERROR(UPPER(IF(C274="CPU",VLOOKUP(D274,#REF!,2,0),IF(C274="SINAPI",VLOOKUP(D274,#REF!,2,0),IF(C274="EDIF",VLOOKUP(D274,#REF!,2,0),IF(C274="CDHU",VLOOKUP(D274,#REF!,2,0),IF(C274="FDE",VLOOKUP(D274,'FDE 10-23 '!$A$4:$E$3180,2,0),IF(C274="INFRA",VLOOKUP(D274,#REF!,2,0),""))))))),"")</f>
        <v>TE-11 ENTRADA PRIMÁRIA SIMPLIF. POSTE UNICO - NEOENERGIA - 225 KVA 15KV- 220/127 V</v>
      </c>
      <c r="F274" s="65" t="str">
        <f>VLOOKUP(D274,'FDE 10-23 '!$A$4:$E$3180,3,0)</f>
        <v>UN</v>
      </c>
      <c r="G274" s="66">
        <v>1</v>
      </c>
      <c r="H274" s="67">
        <f>VLOOKUP(D274,'FDE 10-23 '!$A$4:$E$3180,5,0)</f>
        <v>81312.509999999995</v>
      </c>
      <c r="I274" s="92">
        <f t="shared" si="45"/>
        <v>0.23</v>
      </c>
      <c r="J274" s="67">
        <f t="shared" si="46"/>
        <v>100014.39</v>
      </c>
      <c r="K274" s="71">
        <f t="shared" si="47"/>
        <v>100014.39</v>
      </c>
      <c r="L274" s="51"/>
      <c r="M274" s="52"/>
    </row>
    <row r="275" spans="2:13" s="25" customFormat="1" ht="30" customHeight="1" outlineLevel="1">
      <c r="B275" s="83"/>
      <c r="C275" s="84" t="s">
        <v>26</v>
      </c>
      <c r="D275" s="85" t="s">
        <v>584</v>
      </c>
      <c r="E275" s="86" t="str">
        <f>IFERROR(UPPER(IF(C275="CPU",VLOOKUP(D275,#REF!,2,0),IF(C275="SINAPI",VLOOKUP(D275,#REF!,2,0),IF(C275="EDIF",VLOOKUP(D275,#REF!,2,0),IF(C275="CDHU",VLOOKUP(D275,#REF!,2,0),IF(C275="FDE",VLOOKUP(D275,'FDE 10-23 '!$A$4:$E$3180,2,0),IF(C275="INFRA",VLOOKUP(D275,#REF!,2,0),""))))))),"")</f>
        <v>AE-21 ABRIGO E ENTRADA DE ENERGIA (CAIXA M OU H): AES ELETROP/BANDEIRANTE/ELEKTRO/CPFL</v>
      </c>
      <c r="F275" s="87" t="str">
        <f>VLOOKUP(D275,'FDE 10-23 '!$A$4:$E$3180,3,0)</f>
        <v>UN</v>
      </c>
      <c r="G275" s="88"/>
      <c r="H275" s="89">
        <f>VLOOKUP(D275,'FDE 10-23 '!$A$4:$E$3180,5,0)</f>
        <v>5764.32</v>
      </c>
      <c r="I275" s="90">
        <f t="shared" si="45"/>
        <v>0.23</v>
      </c>
      <c r="J275" s="89">
        <f t="shared" si="46"/>
        <v>7090.11</v>
      </c>
      <c r="K275" s="91">
        <f t="shared" si="47"/>
        <v>0</v>
      </c>
      <c r="L275" s="51"/>
      <c r="M275" s="52"/>
    </row>
    <row r="276" spans="2:13" s="25" customFormat="1" ht="30" customHeight="1" outlineLevel="1">
      <c r="B276" s="83"/>
      <c r="C276" s="84" t="s">
        <v>26</v>
      </c>
      <c r="D276" s="85" t="s">
        <v>586</v>
      </c>
      <c r="E276" s="86" t="str">
        <f>IFERROR(UPPER(IF(C276="CPU",VLOOKUP(D276,#REF!,2,0),IF(C276="SINAPI",VLOOKUP(D276,#REF!,2,0),IF(C276="EDIF",VLOOKUP(D276,#REF!,2,0),IF(C276="CDHU",VLOOKUP(D276,#REF!,2,0),IF(C276="FDE",VLOOKUP(D276,'FDE 10-23 '!$A$4:$E$3180,2,0),IF(C276="INFRA",VLOOKUP(D276,#REF!,2,0),""))))))),"")</f>
        <v>CONJ 4 CABOS P/ ENTRADA ENERGIA SECCAO 95MM2 C/ ELETRODUTOS</v>
      </c>
      <c r="F276" s="87" t="str">
        <f>VLOOKUP(D276,'FDE 10-23 '!$A$4:$E$3180,3,0)</f>
        <v>UN</v>
      </c>
      <c r="G276" s="88"/>
      <c r="H276" s="89">
        <f>VLOOKUP(D276,'FDE 10-23 '!$A$4:$E$3180,5,0)</f>
        <v>3660.7</v>
      </c>
      <c r="I276" s="90">
        <f t="shared" si="45"/>
        <v>0.23</v>
      </c>
      <c r="J276" s="89">
        <f t="shared" si="46"/>
        <v>4502.66</v>
      </c>
      <c r="K276" s="91">
        <f t="shared" si="47"/>
        <v>0</v>
      </c>
      <c r="L276" s="51"/>
      <c r="M276" s="52"/>
    </row>
    <row r="277" spans="2:13" s="25" customFormat="1" ht="30" customHeight="1" outlineLevel="1">
      <c r="B277" s="61"/>
      <c r="C277" s="62" t="s">
        <v>26</v>
      </c>
      <c r="D277" s="63" t="s">
        <v>588</v>
      </c>
      <c r="E277" s="64" t="str">
        <f>IFERROR(UPPER(IF(C277="CPU",VLOOKUP(D277,#REF!,2,0),IF(C277="SINAPI",VLOOKUP(D277,#REF!,2,0),IF(C277="EDIF",VLOOKUP(D277,#REF!,2,0),IF(C277="CDHU",VLOOKUP(D277,#REF!,2,0),IF(C277="FDE",VLOOKUP(D277,'FDE 10-23 '!$A$4:$E$3180,2,0),IF(C277="INFRA",VLOOKUP(D277,#REF!,2,0),""))))))),"")</f>
        <v>DISJUNTOR TRIPOLAR TERMOMAGNETICO 3X10A A 3X50A</v>
      </c>
      <c r="F277" s="65" t="str">
        <f>VLOOKUP(D277,'FDE 10-23 '!$A$4:$E$3180,3,0)</f>
        <v>UN</v>
      </c>
      <c r="G277" s="66">
        <v>1</v>
      </c>
      <c r="H277" s="67">
        <f>VLOOKUP(D277,'FDE 10-23 '!$A$4:$E$3180,5,0)</f>
        <v>101.58</v>
      </c>
      <c r="I277" s="92">
        <f t="shared" si="45"/>
        <v>0.23</v>
      </c>
      <c r="J277" s="67">
        <f t="shared" si="46"/>
        <v>124.94</v>
      </c>
      <c r="K277" s="71">
        <f t="shared" si="47"/>
        <v>124.94</v>
      </c>
      <c r="L277" s="51"/>
      <c r="M277" s="52"/>
    </row>
    <row r="278" spans="2:13" s="25" customFormat="1" ht="30" customHeight="1" outlineLevel="1">
      <c r="B278" s="61"/>
      <c r="C278" s="62" t="s">
        <v>26</v>
      </c>
      <c r="D278" s="63" t="s">
        <v>590</v>
      </c>
      <c r="E278" s="64" t="str">
        <f>IFERROR(UPPER(IF(C278="CPU",VLOOKUP(D278,#REF!,2,0),IF(C278="SINAPI",VLOOKUP(D278,#REF!,2,0),IF(C278="EDIF",VLOOKUP(D278,#REF!,2,0),IF(C278="CDHU",VLOOKUP(D278,#REF!,2,0),IF(C278="FDE",VLOOKUP(D278,'FDE 10-23 '!$A$4:$E$3180,2,0),IF(C278="INFRA",VLOOKUP(D278,#REF!,2,0),""))))))),"")</f>
        <v>DISJUNTOR TRIPOLAR TERMOMAGNETICO 3X125A A 3X225A</v>
      </c>
      <c r="F278" s="65" t="str">
        <f>VLOOKUP(D278,'FDE 10-23 '!$A$4:$E$3180,3,0)</f>
        <v>UN</v>
      </c>
      <c r="G278" s="66">
        <v>1</v>
      </c>
      <c r="H278" s="67">
        <f>VLOOKUP(D278,'FDE 10-23 '!$A$4:$E$3180,5,0)</f>
        <v>462.87</v>
      </c>
      <c r="I278" s="92">
        <f t="shared" si="45"/>
        <v>0.23</v>
      </c>
      <c r="J278" s="67">
        <f t="shared" si="46"/>
        <v>569.33000000000004</v>
      </c>
      <c r="K278" s="71">
        <f t="shared" si="47"/>
        <v>569.33000000000004</v>
      </c>
      <c r="L278" s="51"/>
      <c r="M278" s="52"/>
    </row>
    <row r="279" spans="2:13" s="25" customFormat="1" ht="30" customHeight="1" outlineLevel="1">
      <c r="B279" s="61"/>
      <c r="C279" s="62" t="s">
        <v>26</v>
      </c>
      <c r="D279" s="63" t="s">
        <v>592</v>
      </c>
      <c r="E279" s="64" t="str">
        <f>IFERROR(UPPER(IF(C279="CPU",VLOOKUP(D279,#REF!,2,0),IF(C279="SINAPI",VLOOKUP(D279,#REF!,2,0),IF(C279="EDIF",VLOOKUP(D279,#REF!,2,0),IF(C279="CDHU",VLOOKUP(D279,#REF!,2,0),IF(C279="FDE",VLOOKUP(D279,'FDE 10-23 '!$A$4:$E$3180,2,0),IF(C279="INFRA",VLOOKUP(D279,#REF!,2,0),""))))))),"")</f>
        <v>CONJUNTO PARA ENTRADA DE TELEFONE  NA ENTRADA DE ENERGIA</v>
      </c>
      <c r="F279" s="65" t="str">
        <f>VLOOKUP(D279,'FDE 10-23 '!$A$4:$E$3180,3,0)</f>
        <v>UN</v>
      </c>
      <c r="G279" s="66">
        <v>1</v>
      </c>
      <c r="H279" s="67">
        <f>VLOOKUP(D279,'FDE 10-23 '!$A$4:$E$3180,5,0)</f>
        <v>620.49</v>
      </c>
      <c r="I279" s="92">
        <f t="shared" si="45"/>
        <v>0.23</v>
      </c>
      <c r="J279" s="67">
        <f t="shared" si="46"/>
        <v>763.2</v>
      </c>
      <c r="K279" s="71">
        <f t="shared" si="47"/>
        <v>763.2</v>
      </c>
      <c r="L279" s="51"/>
      <c r="M279" s="52"/>
    </row>
    <row r="280" spans="2:13" s="25" customFormat="1" ht="30" customHeight="1" outlineLevel="1">
      <c r="B280" s="53"/>
      <c r="C280" s="54"/>
      <c r="D280" s="54" t="s">
        <v>594</v>
      </c>
      <c r="E280" s="55" t="s">
        <v>595</v>
      </c>
      <c r="F280" s="56" t="str">
        <f>IFERROR(UPPER(IF(C280="CPU",VLOOKUP(D280,#REF!,3,0),IF(C280="SINAPI",VLOOKUP(D280,#REF!,3,0),IF(C280="EDIF",VLOOKUP(D280,#REF!,3,0),IF(C280="CDHU",VLOOKUP(D280,#REF!,3,0),IF(C280="FDE",VLOOKUP(D280,#REF!,3,0),IF(C280="INFRA",VLOOKUP(D280,#REF!,3,0),""))))))),"")</f>
        <v/>
      </c>
      <c r="G280" s="57"/>
      <c r="H28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80" s="59"/>
      <c r="J280" s="59"/>
      <c r="K280" s="82">
        <f>SUBTOTAL(9,K281:K288)</f>
        <v>32376.339999999993</v>
      </c>
      <c r="L280" s="51"/>
      <c r="M280" s="52"/>
    </row>
    <row r="281" spans="2:13" s="25" customFormat="1" ht="30" customHeight="1" outlineLevel="1">
      <c r="B281" s="61"/>
      <c r="C281" s="62" t="s">
        <v>26</v>
      </c>
      <c r="D281" s="63" t="s">
        <v>597</v>
      </c>
      <c r="E281" s="64" t="str">
        <f>IFERROR(UPPER(IF(C281="CPU",VLOOKUP(D281,#REF!,2,0),IF(C281="SINAPI",VLOOKUP(D281,#REF!,2,0),IF(C281="EDIF",VLOOKUP(D281,#REF!,2,0),IF(C281="CDHU",VLOOKUP(D281,#REF!,2,0),IF(C281="FDE",VLOOKUP(D281,'FDE 10-23 '!$A$4:$E$3180,2,0),IF(C281="INFRA",VLOOKUP(D281,#REF!,2,0),""))))))),"")</f>
        <v>CABO DE 50 MM2 - 750 V DE ISOLACAO</v>
      </c>
      <c r="F281" s="65" t="str">
        <f>VLOOKUP(D281,'FDE 10-23 '!$A$4:$E$3180,3,0)</f>
        <v>M</v>
      </c>
      <c r="G281" s="66">
        <v>45</v>
      </c>
      <c r="H281" s="67">
        <f>VLOOKUP(D281,'FDE 10-23 '!$A$4:$E$3180,5,0)</f>
        <v>59.96</v>
      </c>
      <c r="I281" s="92">
        <f t="shared" ref="I281:I288" si="48">$L$10</f>
        <v>0.23</v>
      </c>
      <c r="J281" s="67">
        <f t="shared" ref="J281:J288" si="49">ROUND(H281*(1+I281),2)</f>
        <v>73.75</v>
      </c>
      <c r="K281" s="71">
        <f t="shared" ref="K281:K288" si="50">SUM(G281*J281)</f>
        <v>3318.75</v>
      </c>
      <c r="L281" s="51"/>
      <c r="M281" s="52"/>
    </row>
    <row r="282" spans="2:13" s="25" customFormat="1" ht="30" customHeight="1" outlineLevel="1">
      <c r="B282" s="61"/>
      <c r="C282" s="62" t="s">
        <v>26</v>
      </c>
      <c r="D282" s="63" t="s">
        <v>599</v>
      </c>
      <c r="E282" s="64" t="str">
        <f>IFERROR(UPPER(IF(C282="CPU",VLOOKUP(D282,#REF!,2,0),IF(C282="SINAPI",VLOOKUP(D282,#REF!,2,0),IF(C282="EDIF",VLOOKUP(D282,#REF!,2,0),IF(C282="CDHU",VLOOKUP(D282,#REF!,2,0),IF(C282="FDE",VLOOKUP(D282,'FDE 10-23 '!$A$4:$E$3180,2,0),IF(C282="INFRA",VLOOKUP(D282,#REF!,2,0),""))))))),"")</f>
        <v>CABO DE 95 MM2 - 750 V DE ISOLACAO</v>
      </c>
      <c r="F282" s="65" t="str">
        <f>VLOOKUP(D282,'FDE 10-23 '!$A$4:$E$3180,3,0)</f>
        <v>M</v>
      </c>
      <c r="G282" s="66">
        <v>180</v>
      </c>
      <c r="H282" s="67">
        <f>VLOOKUP(D282,'FDE 10-23 '!$A$4:$E$3180,5,0)</f>
        <v>105.93</v>
      </c>
      <c r="I282" s="92">
        <f t="shared" si="48"/>
        <v>0.23</v>
      </c>
      <c r="J282" s="67">
        <f t="shared" si="49"/>
        <v>130.29</v>
      </c>
      <c r="K282" s="71">
        <f t="shared" si="50"/>
        <v>23452.199999999997</v>
      </c>
      <c r="L282" s="51"/>
      <c r="M282" s="52"/>
    </row>
    <row r="283" spans="2:13" s="25" customFormat="1" ht="30" customHeight="1" outlineLevel="1">
      <c r="B283" s="61"/>
      <c r="C283" s="62" t="s">
        <v>26</v>
      </c>
      <c r="D283" s="63" t="s">
        <v>601</v>
      </c>
      <c r="E283" s="64" t="str">
        <f>IFERROR(UPPER(IF(C283="CPU",VLOOKUP(D283,#REF!,2,0),IF(C283="SINAPI",VLOOKUP(D283,#REF!,2,0),IF(C283="EDIF",VLOOKUP(D283,#REF!,2,0),IF(C283="CDHU",VLOOKUP(D283,#REF!,2,0),IF(C283="FDE",VLOOKUP(D283,'FDE 10-23 '!$A$4:$E$3180,2,0),IF(C283="INFRA",VLOOKUP(D283,#REF!,2,0),""))))))),"")</f>
        <v>CABO DE 10 MM2 - 750V DE ISOLAÇÃO</v>
      </c>
      <c r="F283" s="65" t="str">
        <f>VLOOKUP(D283,'FDE 10-23 '!$A$4:$E$3180,3,0)</f>
        <v>M</v>
      </c>
      <c r="G283" s="66">
        <v>8</v>
      </c>
      <c r="H283" s="67">
        <f>VLOOKUP(D283,'FDE 10-23 '!$A$4:$E$3180,5,0)</f>
        <v>10.53</v>
      </c>
      <c r="I283" s="92">
        <f t="shared" si="48"/>
        <v>0.23</v>
      </c>
      <c r="J283" s="67">
        <f t="shared" si="49"/>
        <v>12.95</v>
      </c>
      <c r="K283" s="71">
        <f t="shared" si="50"/>
        <v>103.6</v>
      </c>
      <c r="L283" s="51"/>
      <c r="M283" s="52"/>
    </row>
    <row r="284" spans="2:13" s="25" customFormat="1" ht="30" customHeight="1" outlineLevel="1">
      <c r="B284" s="61"/>
      <c r="C284" s="62" t="s">
        <v>26</v>
      </c>
      <c r="D284" s="63" t="s">
        <v>603</v>
      </c>
      <c r="E284" s="64" t="str">
        <f>IFERROR(UPPER(IF(C284="CPU",VLOOKUP(D284,#REF!,2,0),IF(C284="SINAPI",VLOOKUP(D284,#REF!,2,0),IF(C284="EDIF",VLOOKUP(D284,#REF!,2,0),IF(C284="CDHU",VLOOKUP(D284,#REF!,2,0),IF(C284="FDE",VLOOKUP(D284,'FDE 10-23 '!$A$4:$E$3180,2,0),IF(C284="INFRA",VLOOKUP(D284,#REF!,2,0),""))))))),"")</f>
        <v>ELETRODUTO DE PVC RIGIDO ROSCAVEL DE 25MM - INCL CONEXOES</v>
      </c>
      <c r="F284" s="65" t="str">
        <f>VLOOKUP(D284,'FDE 10-23 '!$A$4:$E$3180,3,0)</f>
        <v>M</v>
      </c>
      <c r="G284" s="66">
        <v>14</v>
      </c>
      <c r="H284" s="67">
        <f>VLOOKUP(D284,'FDE 10-23 '!$A$4:$E$3180,5,0)</f>
        <v>23.74</v>
      </c>
      <c r="I284" s="92">
        <f t="shared" si="48"/>
        <v>0.23</v>
      </c>
      <c r="J284" s="67">
        <f t="shared" si="49"/>
        <v>29.2</v>
      </c>
      <c r="K284" s="71">
        <f t="shared" si="50"/>
        <v>408.8</v>
      </c>
      <c r="L284" s="51"/>
      <c r="M284" s="52"/>
    </row>
    <row r="285" spans="2:13" s="25" customFormat="1" ht="30" customHeight="1" outlineLevel="1">
      <c r="B285" s="61"/>
      <c r="C285" s="62" t="s">
        <v>26</v>
      </c>
      <c r="D285" s="63" t="s">
        <v>605</v>
      </c>
      <c r="E285" s="64" t="str">
        <f>IFERROR(UPPER(IF(C285="CPU",VLOOKUP(D285,#REF!,2,0),IF(C285="SINAPI",VLOOKUP(D285,#REF!,2,0),IF(C285="EDIF",VLOOKUP(D285,#REF!,2,0),IF(C285="CDHU",VLOOKUP(D285,#REF!,2,0),IF(C285="FDE",VLOOKUP(D285,'FDE 10-23 '!$A$4:$E$3180,2,0),IF(C285="INFRA",VLOOKUP(D285,#REF!,2,0),""))))))),"")</f>
        <v>ELETRODUTO DE PVC RIGIDO ROSCAVEL DE 32MM - INCL CONEXOES</v>
      </c>
      <c r="F285" s="65" t="str">
        <f>VLOOKUP(D285,'FDE 10-23 '!$A$4:$E$3180,3,0)</f>
        <v>M</v>
      </c>
      <c r="G285" s="66">
        <v>5</v>
      </c>
      <c r="H285" s="67">
        <f>VLOOKUP(D285,'FDE 10-23 '!$A$4:$E$3180,5,0)</f>
        <v>30.18</v>
      </c>
      <c r="I285" s="92">
        <f t="shared" si="48"/>
        <v>0.23</v>
      </c>
      <c r="J285" s="67">
        <f t="shared" si="49"/>
        <v>37.119999999999997</v>
      </c>
      <c r="K285" s="71">
        <f t="shared" si="50"/>
        <v>185.6</v>
      </c>
      <c r="L285" s="51"/>
      <c r="M285" s="52"/>
    </row>
    <row r="286" spans="2:13" s="25" customFormat="1" ht="30" customHeight="1" outlineLevel="1">
      <c r="B286" s="61"/>
      <c r="C286" s="62" t="s">
        <v>26</v>
      </c>
      <c r="D286" s="63" t="s">
        <v>607</v>
      </c>
      <c r="E286" s="64" t="str">
        <f>IFERROR(UPPER(IF(C286="CPU",VLOOKUP(D286,#REF!,2,0),IF(C286="SINAPI",VLOOKUP(D286,#REF!,2,0),IF(C286="EDIF",VLOOKUP(D286,#REF!,2,0),IF(C286="CDHU",VLOOKUP(D286,#REF!,2,0),IF(C286="FDE",VLOOKUP(D286,'FDE 10-23 '!$A$4:$E$3180,2,0),IF(C286="INFRA",VLOOKUP(D286,#REF!,2,0),""))))))),"")</f>
        <v>ELETRODUTO DE PVC RIGIDO ROSCAVEL DE 40MM - INCL CONEXOES</v>
      </c>
      <c r="F286" s="65" t="str">
        <f>VLOOKUP(D286,'FDE 10-23 '!$A$4:$E$3180,3,0)</f>
        <v>M</v>
      </c>
      <c r="G286" s="66">
        <v>2</v>
      </c>
      <c r="H286" s="67">
        <f>VLOOKUP(D286,'FDE 10-23 '!$A$4:$E$3180,5,0)</f>
        <v>38.21</v>
      </c>
      <c r="I286" s="92">
        <f t="shared" si="48"/>
        <v>0.23</v>
      </c>
      <c r="J286" s="67">
        <f t="shared" si="49"/>
        <v>47</v>
      </c>
      <c r="K286" s="71">
        <f t="shared" si="50"/>
        <v>94</v>
      </c>
      <c r="L286" s="51"/>
      <c r="M286" s="52"/>
    </row>
    <row r="287" spans="2:13" s="25" customFormat="1" ht="30" customHeight="1" outlineLevel="1">
      <c r="B287" s="61"/>
      <c r="C287" s="62" t="s">
        <v>26</v>
      </c>
      <c r="D287" s="63" t="s">
        <v>609</v>
      </c>
      <c r="E287" s="64" t="str">
        <f>IFERROR(UPPER(IF(C287="CPU",VLOOKUP(D287,#REF!,2,0),IF(C287="SINAPI",VLOOKUP(D287,#REF!,2,0),IF(C287="EDIF",VLOOKUP(D287,#REF!,2,0),IF(C287="CDHU",VLOOKUP(D287,#REF!,2,0),IF(C287="FDE",VLOOKUP(D287,'FDE 10-23 '!$A$4:$E$3180,2,0),IF(C287="INFRA",VLOOKUP(D287,#REF!,2,0),""))))))),"")</f>
        <v>ELETRODUTO DE PVC RIGIDO ROSCAVEL DE 50MM - INCL CONEXOES</v>
      </c>
      <c r="F287" s="65" t="str">
        <f>VLOOKUP(D287,'FDE 10-23 '!$A$4:$E$3180,3,0)</f>
        <v>M</v>
      </c>
      <c r="G287" s="66">
        <v>8</v>
      </c>
      <c r="H287" s="67">
        <f>VLOOKUP(D287,'FDE 10-23 '!$A$4:$E$3180,5,0)</f>
        <v>41.04</v>
      </c>
      <c r="I287" s="92">
        <f t="shared" si="48"/>
        <v>0.23</v>
      </c>
      <c r="J287" s="67">
        <f t="shared" si="49"/>
        <v>50.48</v>
      </c>
      <c r="K287" s="71">
        <f t="shared" si="50"/>
        <v>403.84</v>
      </c>
      <c r="L287" s="51"/>
      <c r="M287" s="52"/>
    </row>
    <row r="288" spans="2:13" s="25" customFormat="1" ht="30" customHeight="1" outlineLevel="1">
      <c r="B288" s="61"/>
      <c r="C288" s="62" t="s">
        <v>26</v>
      </c>
      <c r="D288" s="63" t="s">
        <v>611</v>
      </c>
      <c r="E288" s="64" t="str">
        <f>IFERROR(UPPER(IF(C288="CPU",VLOOKUP(D288,#REF!,2,0),IF(C288="SINAPI",VLOOKUP(D288,#REF!,2,0),IF(C288="EDIF",VLOOKUP(D288,#REF!,2,0),IF(C288="CDHU",VLOOKUP(D288,#REF!,2,0),IF(C288="FDE",VLOOKUP(D288,'FDE 10-23 '!$A$4:$E$3180,2,0),IF(C288="INFRA",VLOOKUP(D288,#REF!,2,0),""))))))),"")</f>
        <v>ELETRODUTO DE PVC RIGIDO ROSCAVEL DE 85MM - INCL CONEXOES</v>
      </c>
      <c r="F288" s="65" t="str">
        <f>VLOOKUP(D288,'FDE 10-23 '!$A$4:$E$3180,3,0)</f>
        <v>M</v>
      </c>
      <c r="G288" s="66">
        <v>45</v>
      </c>
      <c r="H288" s="67">
        <f>VLOOKUP(D288,'FDE 10-23 '!$A$4:$E$3180,5,0)</f>
        <v>79.67</v>
      </c>
      <c r="I288" s="92">
        <f t="shared" si="48"/>
        <v>0.23</v>
      </c>
      <c r="J288" s="67">
        <f t="shared" si="49"/>
        <v>97.99</v>
      </c>
      <c r="K288" s="71">
        <f t="shared" si="50"/>
        <v>4409.55</v>
      </c>
      <c r="L288" s="51"/>
      <c r="M288" s="52"/>
    </row>
    <row r="289" spans="2:13" s="25" customFormat="1" ht="30" customHeight="1" outlineLevel="1">
      <c r="B289" s="53"/>
      <c r="C289" s="54"/>
      <c r="D289" s="54" t="s">
        <v>613</v>
      </c>
      <c r="E289" s="55" t="s">
        <v>614</v>
      </c>
      <c r="F289" s="56" t="str">
        <f>IFERROR(UPPER(IF(C289="CPU",VLOOKUP(D289,#REF!,3,0),IF(C289="SINAPI",VLOOKUP(D289,#REF!,3,0),IF(C289="EDIF",VLOOKUP(D289,#REF!,3,0),IF(C289="CDHU",VLOOKUP(D289,#REF!,3,0),IF(C289="FDE",VLOOKUP(D289,#REF!,3,0),IF(C289="INFRA",VLOOKUP(D289,#REF!,3,0),""))))))),"")</f>
        <v/>
      </c>
      <c r="G289" s="57"/>
      <c r="H289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89" s="59"/>
      <c r="J289" s="59"/>
      <c r="K289" s="82">
        <f>SUBTOTAL(9,K290:K297)</f>
        <v>7925.3262000000004</v>
      </c>
      <c r="L289" s="51"/>
      <c r="M289" s="52"/>
    </row>
    <row r="290" spans="2:13" s="25" customFormat="1" ht="30" customHeight="1" outlineLevel="1">
      <c r="B290" s="61"/>
      <c r="C290" s="62" t="s">
        <v>26</v>
      </c>
      <c r="D290" s="63" t="s">
        <v>616</v>
      </c>
      <c r="E290" s="64" t="str">
        <f>IFERROR(UPPER(IF(C290="CPU",VLOOKUP(D290,#REF!,2,0),IF(C290="SINAPI",VLOOKUP(D290,#REF!,2,0),IF(C290="EDIF",VLOOKUP(D290,#REF!,2,0),IF(C290="CDHU",VLOOKUP(D290,#REF!,2,0),IF(C290="FDE",VLOOKUP(D290,'FDE 10-23 '!$A$4:$E$3180,2,0),IF(C290="INFRA",VLOOKUP(D290,#REF!,2,0),""))))))),"")</f>
        <v>CAIXA EM CHAPA DE AÇO 16 COM PORTA E FECHO</v>
      </c>
      <c r="F290" s="65" t="str">
        <f>VLOOKUP(D290,'FDE 10-23 '!$A$4:$E$3180,3,0)</f>
        <v>M2</v>
      </c>
      <c r="G290" s="66">
        <v>1.44</v>
      </c>
      <c r="H290" s="67">
        <f>VLOOKUP(D290,'FDE 10-23 '!$A$4:$E$3180,5,0)</f>
        <v>1349.05</v>
      </c>
      <c r="I290" s="92">
        <f t="shared" ref="I290:I297" si="51">$L$10</f>
        <v>0.23</v>
      </c>
      <c r="J290" s="67">
        <f t="shared" ref="J290:J297" si="52">ROUND(H290*(1+I290),2)</f>
        <v>1659.33</v>
      </c>
      <c r="K290" s="71">
        <f t="shared" ref="K290:K297" si="53">SUM(G290*J290)</f>
        <v>2389.4351999999999</v>
      </c>
      <c r="L290" s="51"/>
      <c r="M290" s="52"/>
    </row>
    <row r="291" spans="2:13" s="25" customFormat="1" ht="30" customHeight="1" outlineLevel="1">
      <c r="B291" s="61"/>
      <c r="C291" s="62" t="s">
        <v>26</v>
      </c>
      <c r="D291" s="63" t="s">
        <v>618</v>
      </c>
      <c r="E291" s="64" t="str">
        <f>IFERROR(UPPER(IF(C291="CPU",VLOOKUP(D291,#REF!,2,0),IF(C291="SINAPI",VLOOKUP(D291,#REF!,2,0),IF(C291="EDIF",VLOOKUP(D291,#REF!,2,0),IF(C291="CDHU",VLOOKUP(D291,#REF!,2,0),IF(C291="FDE",VLOOKUP(D291,'FDE 10-23 '!$A$4:$E$3180,2,0),IF(C291="INFRA",VLOOKUP(D291,#REF!,2,0),""))))))),"")</f>
        <v>QUADRO GERAL - DISJUNTOR TERMOMAGNETICO 3X10A A 3X50A</v>
      </c>
      <c r="F291" s="65" t="str">
        <f>VLOOKUP(D291,'FDE 10-23 '!$A$4:$E$3180,3,0)</f>
        <v>UN</v>
      </c>
      <c r="G291" s="66">
        <v>25</v>
      </c>
      <c r="H291" s="67">
        <f>VLOOKUP(D291,'FDE 10-23 '!$A$4:$E$3180,5,0)</f>
        <v>101.58</v>
      </c>
      <c r="I291" s="92">
        <f t="shared" si="51"/>
        <v>0.23</v>
      </c>
      <c r="J291" s="67">
        <f t="shared" si="52"/>
        <v>124.94</v>
      </c>
      <c r="K291" s="71">
        <f t="shared" si="53"/>
        <v>3123.5</v>
      </c>
      <c r="L291" s="51"/>
      <c r="M291" s="52"/>
    </row>
    <row r="292" spans="2:13" s="25" customFormat="1" ht="30" customHeight="1" outlineLevel="1">
      <c r="B292" s="61"/>
      <c r="C292" s="62" t="s">
        <v>26</v>
      </c>
      <c r="D292" s="63" t="s">
        <v>620</v>
      </c>
      <c r="E292" s="64" t="str">
        <f>IFERROR(UPPER(IF(C292="CPU",VLOOKUP(D292,#REF!,2,0),IF(C292="SINAPI",VLOOKUP(D292,#REF!,2,0),IF(C292="EDIF",VLOOKUP(D292,#REF!,2,0),IF(C292="CDHU",VLOOKUP(D292,#REF!,2,0),IF(C292="FDE",VLOOKUP(D292,'FDE 10-23 '!$A$4:$E$3180,2,0),IF(C292="INFRA",VLOOKUP(D292,#REF!,2,0),""))))))),"")</f>
        <v>QUADRO GERAL - DISJUNTOR TERMOMAGNETICO 3X60A A 3X100A</v>
      </c>
      <c r="F292" s="65" t="str">
        <f>VLOOKUP(D292,'FDE 10-23 '!$A$4:$E$3180,3,0)</f>
        <v>UN</v>
      </c>
      <c r="G292" s="66">
        <v>2</v>
      </c>
      <c r="H292" s="67">
        <f>VLOOKUP(D292,'FDE 10-23 '!$A$4:$E$3180,5,0)</f>
        <v>130.57</v>
      </c>
      <c r="I292" s="92">
        <f t="shared" si="51"/>
        <v>0.23</v>
      </c>
      <c r="J292" s="67">
        <f t="shared" si="52"/>
        <v>160.6</v>
      </c>
      <c r="K292" s="71">
        <f t="shared" si="53"/>
        <v>321.2</v>
      </c>
      <c r="L292" s="51"/>
      <c r="M292" s="52"/>
    </row>
    <row r="293" spans="2:13" s="25" customFormat="1" ht="30" customHeight="1" outlineLevel="1">
      <c r="B293" s="61"/>
      <c r="C293" s="62" t="s">
        <v>26</v>
      </c>
      <c r="D293" s="63" t="s">
        <v>622</v>
      </c>
      <c r="E293" s="64" t="str">
        <f>IFERROR(UPPER(IF(C293="CPU",VLOOKUP(D293,#REF!,2,0),IF(C293="SINAPI",VLOOKUP(D293,#REF!,2,0),IF(C293="EDIF",VLOOKUP(D293,#REF!,2,0),IF(C293="CDHU",VLOOKUP(D293,#REF!,2,0),IF(C293="FDE",VLOOKUP(D293,'FDE 10-23 '!$A$4:$E$3180,2,0),IF(C293="INFRA",VLOOKUP(D293,#REF!,2,0),""))))))),"")</f>
        <v>QUADRO GERAL - DISJUNTOR TERMO MAGNETICO 3X200A</v>
      </c>
      <c r="F293" s="65" t="str">
        <f>VLOOKUP(D293,'FDE 10-23 '!$A$4:$E$3180,3,0)</f>
        <v>UN</v>
      </c>
      <c r="G293" s="66">
        <v>2</v>
      </c>
      <c r="H293" s="67">
        <f>VLOOKUP(D293,'FDE 10-23 '!$A$4:$E$3180,5,0)</f>
        <v>527.98</v>
      </c>
      <c r="I293" s="92">
        <f t="shared" si="51"/>
        <v>0.23</v>
      </c>
      <c r="J293" s="67">
        <f t="shared" si="52"/>
        <v>649.41999999999996</v>
      </c>
      <c r="K293" s="71">
        <f t="shared" si="53"/>
        <v>1298.8399999999999</v>
      </c>
      <c r="L293" s="51"/>
      <c r="M293" s="52"/>
    </row>
    <row r="294" spans="2:13" s="25" customFormat="1" ht="30" customHeight="1" outlineLevel="1">
      <c r="B294" s="61"/>
      <c r="C294" s="62" t="s">
        <v>26</v>
      </c>
      <c r="D294" s="63" t="s">
        <v>624</v>
      </c>
      <c r="E294" s="64" t="str">
        <f>IFERROR(UPPER(IF(C294="CPU",VLOOKUP(D294,#REF!,2,0),IF(C294="SINAPI",VLOOKUP(D294,#REF!,2,0),IF(C294="EDIF",VLOOKUP(D294,#REF!,2,0),IF(C294="CDHU",VLOOKUP(D294,#REF!,2,0),IF(C294="FDE",VLOOKUP(D294,'FDE 10-23 '!$A$4:$E$3180,2,0),IF(C294="INFRA",VLOOKUP(D294,#REF!,2,0),""))))))),"")</f>
        <v>QUADRO GERAL-BARRAMENTO DE 60 A</v>
      </c>
      <c r="F294" s="65" t="str">
        <f>VLOOKUP(D294,'FDE 10-23 '!$A$4:$E$3180,3,0)</f>
        <v>M</v>
      </c>
      <c r="G294" s="66">
        <v>8</v>
      </c>
      <c r="H294" s="67">
        <f>VLOOKUP(D294,'FDE 10-23 '!$A$4:$E$3180,5,0)</f>
        <v>19.37</v>
      </c>
      <c r="I294" s="92">
        <f t="shared" si="51"/>
        <v>0.23</v>
      </c>
      <c r="J294" s="67">
        <f t="shared" si="52"/>
        <v>23.83</v>
      </c>
      <c r="K294" s="71">
        <f t="shared" si="53"/>
        <v>190.64</v>
      </c>
      <c r="L294" s="51"/>
      <c r="M294" s="52"/>
    </row>
    <row r="295" spans="2:13" s="25" customFormat="1" ht="30" customHeight="1" outlineLevel="1">
      <c r="B295" s="61"/>
      <c r="C295" s="62" t="s">
        <v>26</v>
      </c>
      <c r="D295" s="63" t="s">
        <v>626</v>
      </c>
      <c r="E295" s="64" t="str">
        <f>IFERROR(UPPER(IF(C295="CPU",VLOOKUP(D295,#REF!,2,0),IF(C295="SINAPI",VLOOKUP(D295,#REF!,2,0),IF(C295="EDIF",VLOOKUP(D295,#REF!,2,0),IF(C295="CDHU",VLOOKUP(D295,#REF!,2,0),IF(C295="FDE",VLOOKUP(D295,'FDE 10-23 '!$A$4:$E$3180,2,0),IF(C295="INFRA",VLOOKUP(D295,#REF!,2,0),""))))))),"")</f>
        <v>QUADRO GERAL-BARRAMENTO DE 100 A</v>
      </c>
      <c r="F295" s="65" t="str">
        <f>VLOOKUP(D295,'FDE 10-23 '!$A$4:$E$3180,3,0)</f>
        <v>M</v>
      </c>
      <c r="G295" s="66">
        <v>5.5</v>
      </c>
      <c r="H295" s="67">
        <f>VLOOKUP(D295,'FDE 10-23 '!$A$4:$E$3180,5,0)</f>
        <v>34.14</v>
      </c>
      <c r="I295" s="92">
        <f t="shared" si="51"/>
        <v>0.23</v>
      </c>
      <c r="J295" s="67">
        <f t="shared" si="52"/>
        <v>41.99</v>
      </c>
      <c r="K295" s="71">
        <f t="shared" si="53"/>
        <v>230.94500000000002</v>
      </c>
      <c r="L295" s="51"/>
      <c r="M295" s="52"/>
    </row>
    <row r="296" spans="2:13" s="25" customFormat="1" ht="30" customHeight="1" outlineLevel="1">
      <c r="B296" s="61"/>
      <c r="C296" s="62" t="s">
        <v>26</v>
      </c>
      <c r="D296" s="63" t="s">
        <v>628</v>
      </c>
      <c r="E296" s="64" t="str">
        <f>IFERROR(UPPER(IF(C296="CPU",VLOOKUP(D296,#REF!,2,0),IF(C296="SINAPI",VLOOKUP(D296,#REF!,2,0),IF(C296="EDIF",VLOOKUP(D296,#REF!,2,0),IF(C296="CDHU",VLOOKUP(D296,#REF!,2,0),IF(C296="FDE",VLOOKUP(D296,'FDE 10-23 '!$A$4:$E$3180,2,0),IF(C296="INFRA",VLOOKUP(D296,#REF!,2,0),""))))))),"")</f>
        <v>QUADRO GERAL-BARRAMENTO DE 200 A</v>
      </c>
      <c r="F296" s="65" t="str">
        <f>VLOOKUP(D296,'FDE 10-23 '!$A$4:$E$3180,3,0)</f>
        <v>M</v>
      </c>
      <c r="G296" s="66">
        <v>3.6</v>
      </c>
      <c r="H296" s="67">
        <f>VLOOKUP(D296,'FDE 10-23 '!$A$4:$E$3180,5,0)</f>
        <v>65.58</v>
      </c>
      <c r="I296" s="92">
        <f t="shared" si="51"/>
        <v>0.23</v>
      </c>
      <c r="J296" s="67">
        <f t="shared" si="52"/>
        <v>80.66</v>
      </c>
      <c r="K296" s="71">
        <f t="shared" si="53"/>
        <v>290.37599999999998</v>
      </c>
      <c r="L296" s="51"/>
      <c r="M296" s="52"/>
    </row>
    <row r="297" spans="2:13" s="25" customFormat="1" ht="30" customHeight="1" outlineLevel="1">
      <c r="B297" s="61"/>
      <c r="C297" s="62" t="s">
        <v>26</v>
      </c>
      <c r="D297" s="63" t="s">
        <v>630</v>
      </c>
      <c r="E297" s="64" t="str">
        <f>IFERROR(UPPER(IF(C297="CPU",VLOOKUP(D297,#REF!,2,0),IF(C297="SINAPI",VLOOKUP(D297,#REF!,2,0),IF(C297="EDIF",VLOOKUP(D297,#REF!,2,0),IF(C297="CDHU",VLOOKUP(D297,#REF!,2,0),IF(C297="FDE",VLOOKUP(D297,'FDE 10-23 '!$A$4:$E$3180,2,0),IF(C297="INFRA",VLOOKUP(D297,#REF!,2,0),""))))))),"")</f>
        <v>DISJUNTOR BIPOLAR TERMOMAGNETICO 2X10A A 2X50A</v>
      </c>
      <c r="F297" s="65" t="str">
        <f>VLOOKUP(D297,'FDE 10-23 '!$A$4:$E$3180,3,0)</f>
        <v>UN</v>
      </c>
      <c r="G297" s="66">
        <v>1</v>
      </c>
      <c r="H297" s="67">
        <f>VLOOKUP(D297,'FDE 10-23 '!$A$4:$E$3180,5,0)</f>
        <v>65.36</v>
      </c>
      <c r="I297" s="92">
        <f t="shared" si="51"/>
        <v>0.23</v>
      </c>
      <c r="J297" s="67">
        <f t="shared" si="52"/>
        <v>80.39</v>
      </c>
      <c r="K297" s="71">
        <f t="shared" si="53"/>
        <v>80.39</v>
      </c>
      <c r="L297" s="51"/>
      <c r="M297" s="52"/>
    </row>
    <row r="298" spans="2:13" s="25" customFormat="1" ht="30" customHeight="1" outlineLevel="1">
      <c r="B298" s="53"/>
      <c r="C298" s="54"/>
      <c r="D298" s="54" t="s">
        <v>632</v>
      </c>
      <c r="E298" s="55" t="s">
        <v>633</v>
      </c>
      <c r="F298" s="56" t="str">
        <f>IFERROR(UPPER(IF(C298="CPU",VLOOKUP(D298,#REF!,3,0),IF(C298="SINAPI",VLOOKUP(D298,#REF!,3,0),IF(C298="EDIF",VLOOKUP(D298,#REF!,3,0),IF(C298="CDHU",VLOOKUP(D298,#REF!,3,0),IF(C298="FDE",VLOOKUP(D298,#REF!,3,0),IF(C298="INFRA",VLOOKUP(D298,#REF!,3,0),""))))))),"")</f>
        <v/>
      </c>
      <c r="G298" s="57"/>
      <c r="H298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298" s="59"/>
      <c r="J298" s="59"/>
      <c r="K298" s="82">
        <f>SUBTOTAL(9,K299:K320)</f>
        <v>126046.26999999999</v>
      </c>
      <c r="L298" s="51"/>
      <c r="M298" s="52"/>
    </row>
    <row r="299" spans="2:13" s="25" customFormat="1" ht="30" customHeight="1" outlineLevel="1">
      <c r="B299" s="61"/>
      <c r="C299" s="62" t="s">
        <v>26</v>
      </c>
      <c r="D299" s="63" t="s">
        <v>635</v>
      </c>
      <c r="E299" s="64" t="str">
        <f>IFERROR(UPPER(IF(C299="CPU",VLOOKUP(D299,#REF!,2,0),IF(C299="SINAPI",VLOOKUP(D299,#REF!,2,0),IF(C299="EDIF",VLOOKUP(D299,#REF!,2,0),IF(C299="CDHU",VLOOKUP(D299,#REF!,2,0),IF(C299="FDE",VLOOKUP(D299,'FDE 10-23 '!$A$4:$E$3180,2,0),IF(C299="INFRA",VLOOKUP(D299,#REF!,2,0),""))))))),"")</f>
        <v>ELETROD ACO GALV QUENTE (NBR 5624) 20 MM (3/4") - INCL CONEXOES</v>
      </c>
      <c r="F299" s="65" t="str">
        <f>VLOOKUP(D299,'FDE 10-23 '!$A$4:$E$3180,3,0)</f>
        <v>M</v>
      </c>
      <c r="G299" s="66">
        <v>71</v>
      </c>
      <c r="H299" s="67">
        <f>VLOOKUP(D299,'FDE 10-23 '!$A$4:$E$3180,5,0)</f>
        <v>43.07</v>
      </c>
      <c r="I299" s="92">
        <f t="shared" ref="I299:I320" si="54">$L$10</f>
        <v>0.23</v>
      </c>
      <c r="J299" s="67">
        <f t="shared" ref="J299:J320" si="55">ROUND(H299*(1+I299),2)</f>
        <v>52.98</v>
      </c>
      <c r="K299" s="71">
        <f t="shared" ref="K299:K320" si="56">SUM(G299*J299)</f>
        <v>3761.58</v>
      </c>
      <c r="L299" s="51"/>
      <c r="M299" s="52"/>
    </row>
    <row r="300" spans="2:13" s="25" customFormat="1" ht="30" customHeight="1" outlineLevel="1">
      <c r="B300" s="61"/>
      <c r="C300" s="62" t="s">
        <v>26</v>
      </c>
      <c r="D300" s="63" t="s">
        <v>637</v>
      </c>
      <c r="E300" s="64" t="str">
        <f>IFERROR(UPPER(IF(C300="CPU",VLOOKUP(D300,#REF!,2,0),IF(C300="SINAPI",VLOOKUP(D300,#REF!,2,0),IF(C300="EDIF",VLOOKUP(D300,#REF!,2,0),IF(C300="CDHU",VLOOKUP(D300,#REF!,2,0),IF(C300="FDE",VLOOKUP(D300,'FDE 10-23 '!$A$4:$E$3180,2,0),IF(C300="INFRA",VLOOKUP(D300,#REF!,2,0),""))))))),"")</f>
        <v>ELETROD ACO GALV QUENTE (NBR 5624) 25 MM (1") - INCL CONEXOES</v>
      </c>
      <c r="F300" s="65" t="str">
        <f>VLOOKUP(D300,'FDE 10-23 '!$A$4:$E$3180,3,0)</f>
        <v>M</v>
      </c>
      <c r="G300" s="66">
        <v>290</v>
      </c>
      <c r="H300" s="67">
        <f>VLOOKUP(D300,'FDE 10-23 '!$A$4:$E$3180,5,0)</f>
        <v>52.89</v>
      </c>
      <c r="I300" s="92">
        <f t="shared" si="54"/>
        <v>0.23</v>
      </c>
      <c r="J300" s="67">
        <f t="shared" si="55"/>
        <v>65.05</v>
      </c>
      <c r="K300" s="71">
        <f t="shared" si="56"/>
        <v>18864.5</v>
      </c>
      <c r="L300" s="51"/>
      <c r="M300" s="52"/>
    </row>
    <row r="301" spans="2:13" s="25" customFormat="1" ht="30" customHeight="1" outlineLevel="1">
      <c r="B301" s="61"/>
      <c r="C301" s="62" t="s">
        <v>26</v>
      </c>
      <c r="D301" s="63" t="s">
        <v>639</v>
      </c>
      <c r="E301" s="64" t="str">
        <f>IFERROR(UPPER(IF(C301="CPU",VLOOKUP(D301,#REF!,2,0),IF(C301="SINAPI",VLOOKUP(D301,#REF!,2,0),IF(C301="EDIF",VLOOKUP(D301,#REF!,2,0),IF(C301="CDHU",VLOOKUP(D301,#REF!,2,0),IF(C301="FDE",VLOOKUP(D301,'FDE 10-23 '!$A$4:$E$3180,2,0),IF(C301="INFRA",VLOOKUP(D301,#REF!,2,0),""))))))),"")</f>
        <v>ELETROD ACO GALV QUENTE (NBR 5624) 32 MM (1 1/4") - INCL CONEXOES</v>
      </c>
      <c r="F301" s="65" t="str">
        <f>VLOOKUP(D301,'FDE 10-23 '!$A$4:$E$3180,3,0)</f>
        <v>M</v>
      </c>
      <c r="G301" s="66">
        <v>118</v>
      </c>
      <c r="H301" s="67">
        <f>VLOOKUP(D301,'FDE 10-23 '!$A$4:$E$3180,5,0)</f>
        <v>72.27</v>
      </c>
      <c r="I301" s="92">
        <f t="shared" si="54"/>
        <v>0.23</v>
      </c>
      <c r="J301" s="67">
        <f t="shared" si="55"/>
        <v>88.89</v>
      </c>
      <c r="K301" s="71">
        <f t="shared" si="56"/>
        <v>10489.02</v>
      </c>
      <c r="L301" s="51"/>
      <c r="M301" s="52"/>
    </row>
    <row r="302" spans="2:13" s="25" customFormat="1" ht="30" customHeight="1" outlineLevel="1">
      <c r="B302" s="61"/>
      <c r="C302" s="62" t="s">
        <v>26</v>
      </c>
      <c r="D302" s="63" t="s">
        <v>641</v>
      </c>
      <c r="E302" s="64" t="str">
        <f>IFERROR(UPPER(IF(C302="CPU",VLOOKUP(D302,#REF!,2,0),IF(C302="SINAPI",VLOOKUP(D302,#REF!,2,0),IF(C302="EDIF",VLOOKUP(D302,#REF!,2,0),IF(C302="CDHU",VLOOKUP(D302,#REF!,2,0),IF(C302="FDE",VLOOKUP(D302,'FDE 10-23 '!$A$4:$E$3180,2,0),IF(C302="INFRA",VLOOKUP(D302,#REF!,2,0),""))))))),"")</f>
        <v>ELETROD ACO GALV QUENTE (NBR 5624) 40 MM (1 1/2") - INCL CONEXOES</v>
      </c>
      <c r="F302" s="65" t="str">
        <f>VLOOKUP(D302,'FDE 10-23 '!$A$4:$E$3180,3,0)</f>
        <v>M</v>
      </c>
      <c r="G302" s="66">
        <v>75</v>
      </c>
      <c r="H302" s="67">
        <f>VLOOKUP(D302,'FDE 10-23 '!$A$4:$E$3180,5,0)</f>
        <v>84.55</v>
      </c>
      <c r="I302" s="92">
        <f t="shared" si="54"/>
        <v>0.23</v>
      </c>
      <c r="J302" s="67">
        <f t="shared" si="55"/>
        <v>104</v>
      </c>
      <c r="K302" s="71">
        <f t="shared" si="56"/>
        <v>7800</v>
      </c>
      <c r="L302" s="51"/>
      <c r="M302" s="52"/>
    </row>
    <row r="303" spans="2:13" s="25" customFormat="1" ht="30" customHeight="1" outlineLevel="1">
      <c r="B303" s="61"/>
      <c r="C303" s="62" t="s">
        <v>26</v>
      </c>
      <c r="D303" s="63" t="s">
        <v>643</v>
      </c>
      <c r="E303" s="64" t="str">
        <f>IFERROR(UPPER(IF(C303="CPU",VLOOKUP(D303,#REF!,2,0),IF(C303="SINAPI",VLOOKUP(D303,#REF!,2,0),IF(C303="EDIF",VLOOKUP(D303,#REF!,2,0),IF(C303="CDHU",VLOOKUP(D303,#REF!,2,0),IF(C303="FDE",VLOOKUP(D303,'FDE 10-23 '!$A$4:$E$3180,2,0),IF(C303="INFRA",VLOOKUP(D303,#REF!,2,0),""))))))),"")</f>
        <v>ELETROD ACO GALV QUENTE (NBR 5624) 50 MM (2") - INCL CONEXOES</v>
      </c>
      <c r="F303" s="65" t="str">
        <f>VLOOKUP(D303,'FDE 10-23 '!$A$4:$E$3180,3,0)</f>
        <v>M</v>
      </c>
      <c r="G303" s="66">
        <v>6</v>
      </c>
      <c r="H303" s="67">
        <f>VLOOKUP(D303,'FDE 10-23 '!$A$4:$E$3180,5,0)</f>
        <v>102.06</v>
      </c>
      <c r="I303" s="92">
        <f t="shared" si="54"/>
        <v>0.23</v>
      </c>
      <c r="J303" s="67">
        <f t="shared" si="55"/>
        <v>125.53</v>
      </c>
      <c r="K303" s="71">
        <f t="shared" si="56"/>
        <v>753.18000000000006</v>
      </c>
      <c r="L303" s="51"/>
      <c r="M303" s="52"/>
    </row>
    <row r="304" spans="2:13" s="25" customFormat="1" ht="30" customHeight="1" outlineLevel="1">
      <c r="B304" s="61"/>
      <c r="C304" s="62" t="s">
        <v>26</v>
      </c>
      <c r="D304" s="63" t="s">
        <v>645</v>
      </c>
      <c r="E304" s="64" t="str">
        <f>IFERROR(UPPER(IF(C304="CPU",VLOOKUP(D304,#REF!,2,0),IF(C304="SINAPI",VLOOKUP(D304,#REF!,2,0),IF(C304="EDIF",VLOOKUP(D304,#REF!,2,0),IF(C304="CDHU",VLOOKUP(D304,#REF!,2,0),IF(C304="FDE",VLOOKUP(D304,'FDE 10-23 '!$A$4:$E$3180,2,0),IF(C304="INFRA",VLOOKUP(D304,#REF!,2,0),""))))))),"")</f>
        <v>ELETRODUTO DE PVC RIGIDO ROSCAVEL DE 25MM - INCL CONEXOES</v>
      </c>
      <c r="F304" s="65" t="str">
        <f>VLOOKUP(D304,'FDE 10-23 '!$A$4:$E$3180,3,0)</f>
        <v>M</v>
      </c>
      <c r="G304" s="66">
        <v>516</v>
      </c>
      <c r="H304" s="67">
        <f>VLOOKUP(D304,'FDE 10-23 '!$A$4:$E$3180,5,0)</f>
        <v>23.74</v>
      </c>
      <c r="I304" s="92">
        <f t="shared" si="54"/>
        <v>0.23</v>
      </c>
      <c r="J304" s="67">
        <f t="shared" si="55"/>
        <v>29.2</v>
      </c>
      <c r="K304" s="71">
        <f t="shared" si="56"/>
        <v>15067.199999999999</v>
      </c>
      <c r="L304" s="51"/>
      <c r="M304" s="52"/>
    </row>
    <row r="305" spans="2:13" s="25" customFormat="1" ht="30" customHeight="1" outlineLevel="1">
      <c r="B305" s="61"/>
      <c r="C305" s="62" t="s">
        <v>26</v>
      </c>
      <c r="D305" s="63" t="s">
        <v>647</v>
      </c>
      <c r="E305" s="64" t="str">
        <f>IFERROR(UPPER(IF(C305="CPU",VLOOKUP(D305,#REF!,2,0),IF(C305="SINAPI",VLOOKUP(D305,#REF!,2,0),IF(C305="EDIF",VLOOKUP(D305,#REF!,2,0),IF(C305="CDHU",VLOOKUP(D305,#REF!,2,0),IF(C305="FDE",VLOOKUP(D305,'FDE 10-23 '!$A$4:$E$3180,2,0),IF(C305="INFRA",VLOOKUP(D305,#REF!,2,0),""))))))),"")</f>
        <v>ELETRODUTO DE PVC RIGIDO ROSCAVEL DE 32MM - INCL CONEXOES</v>
      </c>
      <c r="F305" s="65" t="str">
        <f>VLOOKUP(D305,'FDE 10-23 '!$A$4:$E$3180,3,0)</f>
        <v>M</v>
      </c>
      <c r="G305" s="66">
        <v>512</v>
      </c>
      <c r="H305" s="67">
        <f>VLOOKUP(D305,'FDE 10-23 '!$A$4:$E$3180,5,0)</f>
        <v>30.18</v>
      </c>
      <c r="I305" s="92">
        <f t="shared" si="54"/>
        <v>0.23</v>
      </c>
      <c r="J305" s="67">
        <f t="shared" si="55"/>
        <v>37.119999999999997</v>
      </c>
      <c r="K305" s="71">
        <f t="shared" si="56"/>
        <v>19005.439999999999</v>
      </c>
      <c r="L305" s="51"/>
      <c r="M305" s="52"/>
    </row>
    <row r="306" spans="2:13" s="25" customFormat="1" ht="30" customHeight="1" outlineLevel="1">
      <c r="B306" s="61"/>
      <c r="C306" s="62" t="s">
        <v>26</v>
      </c>
      <c r="D306" s="63" t="s">
        <v>649</v>
      </c>
      <c r="E306" s="64" t="str">
        <f>IFERROR(UPPER(IF(C306="CPU",VLOOKUP(D306,#REF!,2,0),IF(C306="SINAPI",VLOOKUP(D306,#REF!,2,0),IF(C306="EDIF",VLOOKUP(D306,#REF!,2,0),IF(C306="CDHU",VLOOKUP(D306,#REF!,2,0),IF(C306="FDE",VLOOKUP(D306,'FDE 10-23 '!$A$4:$E$3180,2,0),IF(C306="INFRA",VLOOKUP(D306,#REF!,2,0),""))))))),"")</f>
        <v>ELETRODUTO DE PVC RIGIDO ROSCAVEL DE 40MM - INCL CONEXOES</v>
      </c>
      <c r="F306" s="65" t="str">
        <f>VLOOKUP(D306,'FDE 10-23 '!$A$4:$E$3180,3,0)</f>
        <v>M</v>
      </c>
      <c r="G306" s="66">
        <v>297</v>
      </c>
      <c r="H306" s="67">
        <f>VLOOKUP(D306,'FDE 10-23 '!$A$4:$E$3180,5,0)</f>
        <v>38.21</v>
      </c>
      <c r="I306" s="92">
        <f t="shared" si="54"/>
        <v>0.23</v>
      </c>
      <c r="J306" s="67">
        <f t="shared" si="55"/>
        <v>47</v>
      </c>
      <c r="K306" s="71">
        <f t="shared" si="56"/>
        <v>13959</v>
      </c>
      <c r="L306" s="51"/>
      <c r="M306" s="52"/>
    </row>
    <row r="307" spans="2:13" s="25" customFormat="1" ht="30" customHeight="1" outlineLevel="1">
      <c r="B307" s="61"/>
      <c r="C307" s="62" t="s">
        <v>26</v>
      </c>
      <c r="D307" s="63" t="s">
        <v>651</v>
      </c>
      <c r="E307" s="64" t="str">
        <f>IFERROR(UPPER(IF(C307="CPU",VLOOKUP(D307,#REF!,2,0),IF(C307="SINAPI",VLOOKUP(D307,#REF!,2,0),IF(C307="EDIF",VLOOKUP(D307,#REF!,2,0),IF(C307="CDHU",VLOOKUP(D307,#REF!,2,0),IF(C307="FDE",VLOOKUP(D307,'FDE 10-23 '!$A$4:$E$3180,2,0),IF(C307="INFRA",VLOOKUP(D307,#REF!,2,0),""))))))),"")</f>
        <v>ELETRODUTO DE PVC RIGIDO ROSCAVEL DE 50MM - INCL CONEXOES</v>
      </c>
      <c r="F307" s="65" t="str">
        <f>VLOOKUP(D307,'FDE 10-23 '!$A$4:$E$3180,3,0)</f>
        <v>M</v>
      </c>
      <c r="G307" s="66">
        <v>45</v>
      </c>
      <c r="H307" s="67">
        <f>VLOOKUP(D307,'FDE 10-23 '!$A$4:$E$3180,5,0)</f>
        <v>41.04</v>
      </c>
      <c r="I307" s="92">
        <f t="shared" si="54"/>
        <v>0.23</v>
      </c>
      <c r="J307" s="67">
        <f t="shared" si="55"/>
        <v>50.48</v>
      </c>
      <c r="K307" s="71">
        <f t="shared" si="56"/>
        <v>2271.6</v>
      </c>
      <c r="L307" s="51"/>
      <c r="M307" s="52"/>
    </row>
    <row r="308" spans="2:13" s="25" customFormat="1" ht="30" customHeight="1" outlineLevel="1">
      <c r="B308" s="61"/>
      <c r="C308" s="62" t="s">
        <v>26</v>
      </c>
      <c r="D308" s="63" t="s">
        <v>653</v>
      </c>
      <c r="E308" s="64" t="str">
        <f>IFERROR(UPPER(IF(C308="CPU",VLOOKUP(D308,#REF!,2,0),IF(C308="SINAPI",VLOOKUP(D308,#REF!,2,0),IF(C308="EDIF",VLOOKUP(D308,#REF!,2,0),IF(C308="CDHU",VLOOKUP(D308,#REF!,2,0),IF(C308="FDE",VLOOKUP(D308,'FDE 10-23 '!$A$4:$E$3180,2,0),IF(C308="INFRA",VLOOKUP(D308,#REF!,2,0),""))))))),"")</f>
        <v>ENVELOPE DE CONCRETO PARA DUTOS</v>
      </c>
      <c r="F308" s="65" t="str">
        <f>VLOOKUP(D308,'FDE 10-23 '!$A$4:$E$3180,3,0)</f>
        <v>M</v>
      </c>
      <c r="G308" s="66">
        <v>414</v>
      </c>
      <c r="H308" s="67">
        <f>VLOOKUP(D308,'FDE 10-23 '!$A$4:$E$3180,5,0)</f>
        <v>16.23</v>
      </c>
      <c r="I308" s="92">
        <f t="shared" si="54"/>
        <v>0.23</v>
      </c>
      <c r="J308" s="67">
        <f t="shared" si="55"/>
        <v>19.96</v>
      </c>
      <c r="K308" s="71">
        <f t="shared" si="56"/>
        <v>8263.44</v>
      </c>
      <c r="L308" s="51"/>
      <c r="M308" s="52"/>
    </row>
    <row r="309" spans="2:13" s="25" customFormat="1" ht="30" customHeight="1" outlineLevel="1">
      <c r="B309" s="61"/>
      <c r="C309" s="62" t="s">
        <v>26</v>
      </c>
      <c r="D309" s="63" t="s">
        <v>655</v>
      </c>
      <c r="E309" s="64" t="str">
        <f>IFERROR(UPPER(IF(C309="CPU",VLOOKUP(D309,#REF!,2,0),IF(C309="SINAPI",VLOOKUP(D309,#REF!,2,0),IF(C309="EDIF",VLOOKUP(D309,#REF!,2,0),IF(C309="CDHU",VLOOKUP(D309,#REF!,2,0),IF(C309="FDE",VLOOKUP(D309,'FDE 10-23 '!$A$4:$E$3180,2,0),IF(C309="INFRA",VLOOKUP(D309,#REF!,2,0),""))))))),"")</f>
        <v>QUADRO DISTRIBUICAO, DISJ. GERAL 30A P/ 4 A 8 DISJS.</v>
      </c>
      <c r="F309" s="65" t="str">
        <f>VLOOKUP(D309,'FDE 10-23 '!$A$4:$E$3180,3,0)</f>
        <v>UN</v>
      </c>
      <c r="G309" s="66">
        <v>3</v>
      </c>
      <c r="H309" s="67">
        <f>VLOOKUP(D309,'FDE 10-23 '!$A$4:$E$3180,5,0)</f>
        <v>340.62</v>
      </c>
      <c r="I309" s="92">
        <f t="shared" si="54"/>
        <v>0.23</v>
      </c>
      <c r="J309" s="67">
        <f t="shared" si="55"/>
        <v>418.96</v>
      </c>
      <c r="K309" s="71">
        <f t="shared" si="56"/>
        <v>1256.8799999999999</v>
      </c>
      <c r="L309" s="51"/>
      <c r="M309" s="52"/>
    </row>
    <row r="310" spans="2:13" s="25" customFormat="1" ht="30" customHeight="1" outlineLevel="1">
      <c r="B310" s="61"/>
      <c r="C310" s="62" t="s">
        <v>26</v>
      </c>
      <c r="D310" s="63" t="s">
        <v>657</v>
      </c>
      <c r="E310" s="64" t="str">
        <f>IFERROR(UPPER(IF(C310="CPU",VLOOKUP(D310,#REF!,2,0),IF(C310="SINAPI",VLOOKUP(D310,#REF!,2,0),IF(C310="EDIF",VLOOKUP(D310,#REF!,2,0),IF(C310="CDHU",VLOOKUP(D310,#REF!,2,0),IF(C310="FDE",VLOOKUP(D310,'FDE 10-23 '!$A$4:$E$3180,2,0),IF(C310="INFRA",VLOOKUP(D310,#REF!,2,0),""))))))),"")</f>
        <v>QUADRO DISTRIBUICAO, DISJ. GERAL 50A P/ 10 A 12 DISJS.</v>
      </c>
      <c r="F310" s="65" t="str">
        <f>VLOOKUP(D310,'FDE 10-23 '!$A$4:$E$3180,3,0)</f>
        <v>UN</v>
      </c>
      <c r="G310" s="66">
        <v>8</v>
      </c>
      <c r="H310" s="67">
        <f>VLOOKUP(D310,'FDE 10-23 '!$A$4:$E$3180,5,0)</f>
        <v>408.72</v>
      </c>
      <c r="I310" s="92">
        <f t="shared" si="54"/>
        <v>0.23</v>
      </c>
      <c r="J310" s="67">
        <f t="shared" si="55"/>
        <v>502.73</v>
      </c>
      <c r="K310" s="71">
        <f t="shared" si="56"/>
        <v>4021.84</v>
      </c>
      <c r="L310" s="51"/>
      <c r="M310" s="52"/>
    </row>
    <row r="311" spans="2:13" s="25" customFormat="1" ht="30" customHeight="1" outlineLevel="1">
      <c r="B311" s="61"/>
      <c r="C311" s="62" t="s">
        <v>26</v>
      </c>
      <c r="D311" s="63" t="s">
        <v>659</v>
      </c>
      <c r="E311" s="64" t="str">
        <f>IFERROR(UPPER(IF(C311="CPU",VLOOKUP(D311,#REF!,2,0),IF(C311="SINAPI",VLOOKUP(D311,#REF!,2,0),IF(C311="EDIF",VLOOKUP(D311,#REF!,2,0),IF(C311="CDHU",VLOOKUP(D311,#REF!,2,0),IF(C311="FDE",VLOOKUP(D311,'FDE 10-23 '!$A$4:$E$3180,2,0),IF(C311="INFRA",VLOOKUP(D311,#REF!,2,0),""))))))),"")</f>
        <v>QUADRO DISTRIBUICAO, DISJ. GERAL 60A P/ 14 A 20 DISJS.</v>
      </c>
      <c r="F311" s="65" t="str">
        <f>VLOOKUP(D311,'FDE 10-23 '!$A$4:$E$3180,3,0)</f>
        <v>UN</v>
      </c>
      <c r="G311" s="66">
        <v>3</v>
      </c>
      <c r="H311" s="67">
        <f>VLOOKUP(D311,'FDE 10-23 '!$A$4:$E$3180,5,0)</f>
        <v>579.51</v>
      </c>
      <c r="I311" s="92">
        <f t="shared" si="54"/>
        <v>0.23</v>
      </c>
      <c r="J311" s="67">
        <f t="shared" si="55"/>
        <v>712.8</v>
      </c>
      <c r="K311" s="71">
        <f t="shared" si="56"/>
        <v>2138.3999999999996</v>
      </c>
      <c r="L311" s="51"/>
      <c r="M311" s="52"/>
    </row>
    <row r="312" spans="2:13" s="25" customFormat="1" ht="30" customHeight="1" outlineLevel="1">
      <c r="B312" s="61"/>
      <c r="C312" s="62" t="s">
        <v>26</v>
      </c>
      <c r="D312" s="63" t="s">
        <v>661</v>
      </c>
      <c r="E312" s="64" t="str">
        <f>IFERROR(UPPER(IF(C312="CPU",VLOOKUP(D312,#REF!,2,0),IF(C312="SINAPI",VLOOKUP(D312,#REF!,2,0),IF(C312="EDIF",VLOOKUP(D312,#REF!,2,0),IF(C312="CDHU",VLOOKUP(D312,#REF!,2,0),IF(C312="FDE",VLOOKUP(D312,'FDE 10-23 '!$A$4:$E$3180,2,0),IF(C312="INFRA",VLOOKUP(D312,#REF!,2,0),""))))))),"")</f>
        <v>INTERRUPTOR TIPO AUTOMÁTICO DE BÓIA</v>
      </c>
      <c r="F312" s="65" t="str">
        <f>VLOOKUP(D312,'FDE 10-23 '!$A$4:$E$3180,3,0)</f>
        <v>UN</v>
      </c>
      <c r="G312" s="66">
        <v>3</v>
      </c>
      <c r="H312" s="67">
        <f>VLOOKUP(D312,'FDE 10-23 '!$A$4:$E$3180,5,0)</f>
        <v>78.28</v>
      </c>
      <c r="I312" s="92">
        <f t="shared" si="54"/>
        <v>0.23</v>
      </c>
      <c r="J312" s="67">
        <f t="shared" si="55"/>
        <v>96.28</v>
      </c>
      <c r="K312" s="71">
        <f t="shared" si="56"/>
        <v>288.84000000000003</v>
      </c>
      <c r="L312" s="51"/>
      <c r="M312" s="52"/>
    </row>
    <row r="313" spans="2:13" s="25" customFormat="1" ht="30" customHeight="1" outlineLevel="1">
      <c r="B313" s="61"/>
      <c r="C313" s="62" t="s">
        <v>26</v>
      </c>
      <c r="D313" s="63" t="s">
        <v>663</v>
      </c>
      <c r="E313" s="64" t="str">
        <f>IFERROR(UPPER(IF(C313="CPU",VLOOKUP(D313,#REF!,2,0),IF(C313="SINAPI",VLOOKUP(D313,#REF!,2,0),IF(C313="EDIF",VLOOKUP(D313,#REF!,2,0),IF(C313="CDHU",VLOOKUP(D313,#REF!,2,0),IF(C313="FDE",VLOOKUP(D313,'FDE 10-23 '!$A$4:$E$3180,2,0),IF(C313="INFRA",VLOOKUP(D313,#REF!,2,0),""))))))),"")</f>
        <v>DISJUNTOR BIPOLAR TERMOMAGNETICO 2X10A A 2X50A</v>
      </c>
      <c r="F313" s="65" t="str">
        <f>VLOOKUP(D313,'FDE 10-23 '!$A$4:$E$3180,3,0)</f>
        <v>UN</v>
      </c>
      <c r="G313" s="66">
        <v>45</v>
      </c>
      <c r="H313" s="67">
        <f>VLOOKUP(D313,'FDE 10-23 '!$A$4:$E$3180,5,0)</f>
        <v>77.3</v>
      </c>
      <c r="I313" s="92">
        <f t="shared" si="54"/>
        <v>0.23</v>
      </c>
      <c r="J313" s="67">
        <f t="shared" si="55"/>
        <v>95.08</v>
      </c>
      <c r="K313" s="71">
        <f t="shared" si="56"/>
        <v>4278.6000000000004</v>
      </c>
      <c r="L313" s="51"/>
      <c r="M313" s="52"/>
    </row>
    <row r="314" spans="2:13" s="25" customFormat="1" ht="30" customHeight="1" outlineLevel="1">
      <c r="B314" s="61"/>
      <c r="C314" s="62" t="s">
        <v>26</v>
      </c>
      <c r="D314" s="63" t="s">
        <v>665</v>
      </c>
      <c r="E314" s="64" t="str">
        <f>IFERROR(UPPER(IF(C314="CPU",VLOOKUP(D314,#REF!,2,0),IF(C314="SINAPI",VLOOKUP(D314,#REF!,2,0),IF(C314="EDIF",VLOOKUP(D314,#REF!,2,0),IF(C314="CDHU",VLOOKUP(D314,#REF!,2,0),IF(C314="FDE",VLOOKUP(D314,'FDE 10-23 '!$A$4:$E$3180,2,0),IF(C314="INFRA",VLOOKUP(D314,#REF!,2,0),""))))))),"")</f>
        <v>DISJUNTOR UNIPOLAR TERMOMAGNETICO 1X10A A 1X30A</v>
      </c>
      <c r="F314" s="65" t="str">
        <f>VLOOKUP(D314,'FDE 10-23 '!$A$4:$E$3180,3,0)</f>
        <v>UN</v>
      </c>
      <c r="G314" s="66">
        <v>53</v>
      </c>
      <c r="H314" s="67">
        <f>VLOOKUP(D314,'FDE 10-23 '!$A$4:$E$3180,5,0)</f>
        <v>20.79</v>
      </c>
      <c r="I314" s="92">
        <f t="shared" si="54"/>
        <v>0.23</v>
      </c>
      <c r="J314" s="67">
        <f t="shared" si="55"/>
        <v>25.57</v>
      </c>
      <c r="K314" s="71">
        <f t="shared" si="56"/>
        <v>1355.21</v>
      </c>
      <c r="L314" s="51"/>
      <c r="M314" s="52"/>
    </row>
    <row r="315" spans="2:13" s="25" customFormat="1" ht="30" customHeight="1" outlineLevel="1">
      <c r="B315" s="61"/>
      <c r="C315" s="62" t="s">
        <v>26</v>
      </c>
      <c r="D315" s="63" t="s">
        <v>667</v>
      </c>
      <c r="E315" s="64" t="str">
        <f>IFERROR(UPPER(IF(C315="CPU",VLOOKUP(D315,#REF!,2,0),IF(C315="SINAPI",VLOOKUP(D315,#REF!,2,0),IF(C315="EDIF",VLOOKUP(D315,#REF!,2,0),IF(C315="CDHU",VLOOKUP(D315,#REF!,2,0),IF(C315="FDE",VLOOKUP(D315,'FDE 10-23 '!$A$4:$E$3180,2,0),IF(C315="INFRA",VLOOKUP(D315,#REF!,2,0),""))))))),"")</f>
        <v>DISJUNTOR TRIPOLAR TERMOMAGNETICO 3X10A A 3X50A</v>
      </c>
      <c r="F315" s="65" t="str">
        <f>VLOOKUP(D315,'FDE 10-23 '!$A$4:$E$3180,3,0)</f>
        <v>UN</v>
      </c>
      <c r="G315" s="66">
        <v>16</v>
      </c>
      <c r="H315" s="67">
        <f>VLOOKUP(D315,'FDE 10-23 '!$A$4:$E$3180,5,0)</f>
        <v>101.58</v>
      </c>
      <c r="I315" s="92">
        <f t="shared" si="54"/>
        <v>0.23</v>
      </c>
      <c r="J315" s="67">
        <f t="shared" si="55"/>
        <v>124.94</v>
      </c>
      <c r="K315" s="71">
        <f t="shared" si="56"/>
        <v>1999.04</v>
      </c>
      <c r="L315" s="51"/>
      <c r="M315" s="52"/>
    </row>
    <row r="316" spans="2:13" s="25" customFormat="1" ht="30" customHeight="1" outlineLevel="1">
      <c r="B316" s="61"/>
      <c r="C316" s="62" t="s">
        <v>26</v>
      </c>
      <c r="D316" s="63" t="s">
        <v>669</v>
      </c>
      <c r="E316" s="64" t="str">
        <f>IFERROR(UPPER(IF(C316="CPU",VLOOKUP(D316,#REF!,2,0),IF(C316="SINAPI",VLOOKUP(D316,#REF!,2,0),IF(C316="EDIF",VLOOKUP(D316,#REF!,2,0),IF(C316="CDHU",VLOOKUP(D316,#REF!,2,0),IF(C316="FDE",VLOOKUP(D316,'FDE 10-23 '!$A$4:$E$3180,2,0),IF(C316="INFRA",VLOOKUP(D316,#REF!,2,0),""))))))),"")</f>
        <v>QUADRO COMANDO PARA CONJUNTO MOTOR BOMBA TRIFASICO DE 1 1/2 A 2 HP</v>
      </c>
      <c r="F316" s="65" t="str">
        <f>VLOOKUP(D316,'FDE 10-23 '!$A$4:$E$3180,3,0)</f>
        <v>UN</v>
      </c>
      <c r="G316" s="66">
        <v>2</v>
      </c>
      <c r="H316" s="67">
        <f>VLOOKUP(D316,'FDE 10-23 '!$A$4:$E$3180,5,0)</f>
        <v>1606.2</v>
      </c>
      <c r="I316" s="92">
        <f t="shared" si="54"/>
        <v>0.23</v>
      </c>
      <c r="J316" s="67">
        <f t="shared" si="55"/>
        <v>1975.63</v>
      </c>
      <c r="K316" s="71">
        <f t="shared" si="56"/>
        <v>3951.26</v>
      </c>
      <c r="L316" s="51"/>
      <c r="M316" s="52"/>
    </row>
    <row r="317" spans="2:13" s="25" customFormat="1" ht="30" customHeight="1" outlineLevel="1">
      <c r="B317" s="61"/>
      <c r="C317" s="62" t="s">
        <v>26</v>
      </c>
      <c r="D317" s="63" t="s">
        <v>671</v>
      </c>
      <c r="E317" s="64" t="str">
        <f>IFERROR(UPPER(IF(C317="CPU",VLOOKUP(D317,#REF!,2,0),IF(C317="SINAPI",VLOOKUP(D317,#REF!,2,0),IF(C317="EDIF",VLOOKUP(D317,#REF!,2,0),IF(C317="CDHU",VLOOKUP(D317,#REF!,2,0),IF(C317="FDE",VLOOKUP(D317,'FDE 10-23 '!$A$4:$E$3180,2,0),IF(C317="INFRA",VLOOKUP(D317,#REF!,2,0),""))))))),"")</f>
        <v>QUADRO COMANDO PARA BOMBA DE INCENDIO TRIFASICO DE 5 HP</v>
      </c>
      <c r="F317" s="65" t="str">
        <f>VLOOKUP(D317,'FDE 10-23 '!$A$4:$E$3180,3,0)</f>
        <v>UN</v>
      </c>
      <c r="G317" s="66">
        <v>1</v>
      </c>
      <c r="H317" s="67">
        <f>VLOOKUP(D317,'FDE 10-23 '!$A$4:$E$3180,5,0)</f>
        <v>802.99</v>
      </c>
      <c r="I317" s="92">
        <f t="shared" si="54"/>
        <v>0.23</v>
      </c>
      <c r="J317" s="67">
        <f t="shared" si="55"/>
        <v>987.68</v>
      </c>
      <c r="K317" s="71">
        <f t="shared" si="56"/>
        <v>987.68</v>
      </c>
      <c r="L317" s="51"/>
      <c r="M317" s="52"/>
    </row>
    <row r="318" spans="2:13" s="25" customFormat="1" ht="30" customHeight="1" outlineLevel="1">
      <c r="B318" s="61"/>
      <c r="C318" s="62" t="s">
        <v>26</v>
      </c>
      <c r="D318" s="63" t="s">
        <v>673</v>
      </c>
      <c r="E318" s="64" t="str">
        <f>IFERROR(UPPER(IF(C318="CPU",VLOOKUP(D318,#REF!,2,0),IF(C318="SINAPI",VLOOKUP(D318,#REF!,2,0),IF(C318="EDIF",VLOOKUP(D318,#REF!,2,0),IF(C318="CDHU",VLOOKUP(D318,#REF!,2,0),IF(C318="FDE",VLOOKUP(D318,'FDE 10-23 '!$A$4:$E$3180,2,0),IF(C318="INFRA",VLOOKUP(D318,#REF!,2,0),""))))))),"")</f>
        <v>INTERRUPTOR AUTOMATICO DIFERENCIAL (DISPOSITIVO DR) 40A/30 MA</v>
      </c>
      <c r="F318" s="65" t="str">
        <f>VLOOKUP(D318,'FDE 10-23 '!$A$4:$E$3180,3,0)</f>
        <v>UN</v>
      </c>
      <c r="G318" s="66">
        <v>3</v>
      </c>
      <c r="H318" s="67">
        <f>VLOOKUP(D318,'FDE 10-23 '!$A$4:$E$3180,5,0)</f>
        <v>478.19</v>
      </c>
      <c r="I318" s="92">
        <f t="shared" si="54"/>
        <v>0.23</v>
      </c>
      <c r="J318" s="67">
        <f t="shared" si="55"/>
        <v>588.16999999999996</v>
      </c>
      <c r="K318" s="71">
        <f t="shared" si="56"/>
        <v>1764.5099999999998</v>
      </c>
      <c r="L318" s="51"/>
      <c r="M318" s="52"/>
    </row>
    <row r="319" spans="2:13" s="25" customFormat="1" ht="30" customHeight="1" outlineLevel="1">
      <c r="B319" s="61"/>
      <c r="C319" s="62" t="s">
        <v>26</v>
      </c>
      <c r="D319" s="63" t="s">
        <v>675</v>
      </c>
      <c r="E319" s="64" t="str">
        <f>IFERROR(UPPER(IF(C319="CPU",VLOOKUP(D319,#REF!,2,0),IF(C319="SINAPI",VLOOKUP(D319,#REF!,2,0),IF(C319="EDIF",VLOOKUP(D319,#REF!,2,0),IF(C319="CDHU",VLOOKUP(D319,#REF!,2,0),IF(C319="FDE",VLOOKUP(D319,'FDE 10-23 '!$A$4:$E$3180,2,0),IF(C319="INFRA",VLOOKUP(D319,#REF!,2,0),""))))))),"")</f>
        <v>INTERRUPTOR AUTOMATICO DIFERENCIAL (DISPOSITIVO DR) 63A/30 MA</v>
      </c>
      <c r="F319" s="65" t="str">
        <f>VLOOKUP(D319,'FDE 10-23 '!$A$4:$E$3180,3,0)</f>
        <v>UN</v>
      </c>
      <c r="G319" s="66">
        <v>3</v>
      </c>
      <c r="H319" s="67">
        <f>VLOOKUP(D319,'FDE 10-23 '!$A$4:$E$3180,5,0)</f>
        <v>533.94000000000005</v>
      </c>
      <c r="I319" s="92">
        <f t="shared" si="54"/>
        <v>0.23</v>
      </c>
      <c r="J319" s="67">
        <f t="shared" si="55"/>
        <v>656.75</v>
      </c>
      <c r="K319" s="71">
        <f t="shared" si="56"/>
        <v>1970.25</v>
      </c>
      <c r="L319" s="51"/>
      <c r="M319" s="52"/>
    </row>
    <row r="320" spans="2:13" s="25" customFormat="1" ht="30" customHeight="1" outlineLevel="1">
      <c r="B320" s="61"/>
      <c r="C320" s="62" t="s">
        <v>26</v>
      </c>
      <c r="D320" s="63" t="s">
        <v>677</v>
      </c>
      <c r="E320" s="64" t="str">
        <f>IFERROR(UPPER(IF(C320="CPU",VLOOKUP(D320,#REF!,2,0),IF(C320="SINAPI",VLOOKUP(D320,#REF!,2,0),IF(C320="EDIF",VLOOKUP(D320,#REF!,2,0),IF(C320="CDHU",VLOOKUP(D320,#REF!,2,0),IF(C320="FDE",VLOOKUP(D320,'FDE 10-23 '!$A$4:$E$3180,2,0),IF(C320="INFRA",VLOOKUP(D320,#REF!,2,0),""))))))),"")</f>
        <v>CENTRAL DE SISTEMA DE ALARME ATÉ 12 ENDEREÇOS</v>
      </c>
      <c r="F320" s="65" t="str">
        <f>VLOOKUP(D320,'FDE 10-23 '!$A$4:$E$3180,3,0)</f>
        <v>UN</v>
      </c>
      <c r="G320" s="66">
        <v>2</v>
      </c>
      <c r="H320" s="67">
        <f>VLOOKUP(D320,'FDE 10-23 '!$A$4:$E$3180,5,0)</f>
        <v>731.22</v>
      </c>
      <c r="I320" s="92">
        <f t="shared" si="54"/>
        <v>0.23</v>
      </c>
      <c r="J320" s="67">
        <f t="shared" si="55"/>
        <v>899.4</v>
      </c>
      <c r="K320" s="71">
        <f t="shared" si="56"/>
        <v>1798.8</v>
      </c>
      <c r="L320" s="51"/>
      <c r="M320" s="52"/>
    </row>
    <row r="321" spans="2:13" s="25" customFormat="1" ht="30" customHeight="1" outlineLevel="1">
      <c r="B321" s="53"/>
      <c r="C321" s="54"/>
      <c r="D321" s="54" t="s">
        <v>679</v>
      </c>
      <c r="E321" s="55" t="s">
        <v>680</v>
      </c>
      <c r="F321" s="56" t="str">
        <f>IFERROR(UPPER(IF(C321="CPU",VLOOKUP(D321,#REF!,3,0),IF(C321="SINAPI",VLOOKUP(D321,#REF!,3,0),IF(C321="EDIF",VLOOKUP(D321,#REF!,3,0),IF(C321="CDHU",VLOOKUP(D321,#REF!,3,0),IF(C321="FDE",VLOOKUP(D321,#REF!,3,0),IF(C321="INFRA",VLOOKUP(D321,#REF!,3,0),""))))))),"")</f>
        <v/>
      </c>
      <c r="G321" s="57"/>
      <c r="H321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21" s="59"/>
      <c r="J321" s="59"/>
      <c r="K321" s="82">
        <f>SUBTOTAL(9,K322:K327)</f>
        <v>10080.870000000001</v>
      </c>
      <c r="L321" s="51"/>
      <c r="M321" s="52"/>
    </row>
    <row r="322" spans="2:13" s="25" customFormat="1" ht="30" customHeight="1" outlineLevel="1">
      <c r="B322" s="61"/>
      <c r="C322" s="62" t="s">
        <v>26</v>
      </c>
      <c r="D322" s="63" t="s">
        <v>682</v>
      </c>
      <c r="E322" s="64" t="str">
        <f>IFERROR(UPPER(IF(C322="CPU",VLOOKUP(D322,#REF!,2,0),IF(C322="SINAPI",VLOOKUP(D322,#REF!,2,0),IF(C322="EDIF",VLOOKUP(D322,#REF!,2,0),IF(C322="CDHU",VLOOKUP(D322,#REF!,2,0),IF(C322="FDE",VLOOKUP(D322,'FDE 10-23 '!$A$4:$E$3180,2,0),IF(C322="INFRA",VLOOKUP(D322,#REF!,2,0),""))))))),"")</f>
        <v>CAIXA DE PASSAGEM ESTAMPADA COM TAMPA PLASTICA DE 4"X4"</v>
      </c>
      <c r="F322" s="65" t="str">
        <f>VLOOKUP(D322,'FDE 10-23 '!$A$4:$E$3180,3,0)</f>
        <v>UN</v>
      </c>
      <c r="G322" s="66">
        <v>41</v>
      </c>
      <c r="H322" s="67">
        <f>VLOOKUP(D322,'FDE 10-23 '!$A$4:$E$3180,5,0)</f>
        <v>30.71</v>
      </c>
      <c r="I322" s="92">
        <f t="shared" ref="I322:I327" si="57">$L$10</f>
        <v>0.23</v>
      </c>
      <c r="J322" s="67">
        <f t="shared" ref="J322:J327" si="58">ROUND(H322*(1+I322),2)</f>
        <v>37.770000000000003</v>
      </c>
      <c r="K322" s="71">
        <f t="shared" ref="K322:K327" si="59">SUM(G322*J322)</f>
        <v>1548.5700000000002</v>
      </c>
      <c r="L322" s="51"/>
      <c r="M322" s="52"/>
    </row>
    <row r="323" spans="2:13" s="25" customFormat="1" ht="30" customHeight="1" outlineLevel="1">
      <c r="B323" s="61"/>
      <c r="C323" s="62" t="s">
        <v>26</v>
      </c>
      <c r="D323" s="63" t="s">
        <v>684</v>
      </c>
      <c r="E323" s="64" t="str">
        <f>IFERROR(UPPER(IF(C323="CPU",VLOOKUP(D323,#REF!,2,0),IF(C323="SINAPI",VLOOKUP(D323,#REF!,2,0),IF(C323="EDIF",VLOOKUP(D323,#REF!,2,0),IF(C323="CDHU",VLOOKUP(D323,#REF!,2,0),IF(C323="FDE",VLOOKUP(D323,'FDE 10-23 '!$A$4:$E$3180,2,0),IF(C323="INFRA",VLOOKUP(D323,#REF!,2,0),""))))))),"")</f>
        <v>CAIXA DE PASSAGEM CHAPA TAMPA PARAFUSADA DE 20X20X10 CM</v>
      </c>
      <c r="F323" s="65" t="str">
        <f>VLOOKUP(D323,'FDE 10-23 '!$A$4:$E$3180,3,0)</f>
        <v>UN</v>
      </c>
      <c r="G323" s="66">
        <v>9</v>
      </c>
      <c r="H323" s="67">
        <f>VLOOKUP(D323,'FDE 10-23 '!$A$4:$E$3180,5,0)</f>
        <v>49.7</v>
      </c>
      <c r="I323" s="92">
        <f t="shared" si="57"/>
        <v>0.23</v>
      </c>
      <c r="J323" s="67">
        <f t="shared" si="58"/>
        <v>61.13</v>
      </c>
      <c r="K323" s="71">
        <f t="shared" si="59"/>
        <v>550.17000000000007</v>
      </c>
      <c r="L323" s="51"/>
      <c r="M323" s="52"/>
    </row>
    <row r="324" spans="2:13" s="25" customFormat="1" ht="30" customHeight="1" outlineLevel="1">
      <c r="B324" s="61"/>
      <c r="C324" s="62" t="s">
        <v>26</v>
      </c>
      <c r="D324" s="63" t="s">
        <v>686</v>
      </c>
      <c r="E324" s="64" t="str">
        <f>IFERROR(UPPER(IF(C324="CPU",VLOOKUP(D324,#REF!,2,0),IF(C324="SINAPI",VLOOKUP(D324,#REF!,2,0),IF(C324="EDIF",VLOOKUP(D324,#REF!,2,0),IF(C324="CDHU",VLOOKUP(D324,#REF!,2,0),IF(C324="FDE",VLOOKUP(D324,'FDE 10-23 '!$A$4:$E$3180,2,0),IF(C324="INFRA",VLOOKUP(D324,#REF!,2,0),""))))))),"")</f>
        <v>CAIXA DE PASSAGEM CHAPA TAMPA PARAFUSADA DE 40X40X15 CM</v>
      </c>
      <c r="F324" s="65" t="str">
        <f>VLOOKUP(D324,'FDE 10-23 '!$A$4:$E$3180,3,0)</f>
        <v>UN</v>
      </c>
      <c r="G324" s="66">
        <v>4</v>
      </c>
      <c r="H324" s="67">
        <f>VLOOKUP(D324,'FDE 10-23 '!$A$4:$E$3180,5,0)</f>
        <v>111.43</v>
      </c>
      <c r="I324" s="92">
        <f t="shared" si="57"/>
        <v>0.23</v>
      </c>
      <c r="J324" s="67">
        <f t="shared" si="58"/>
        <v>137.06</v>
      </c>
      <c r="K324" s="71">
        <f t="shared" si="59"/>
        <v>548.24</v>
      </c>
      <c r="L324" s="51"/>
      <c r="M324" s="52"/>
    </row>
    <row r="325" spans="2:13" s="25" customFormat="1" ht="30" customHeight="1" outlineLevel="1">
      <c r="B325" s="61"/>
      <c r="C325" s="62" t="s">
        <v>26</v>
      </c>
      <c r="D325" s="63" t="s">
        <v>688</v>
      </c>
      <c r="E325" s="64" t="str">
        <f>IFERROR(UPPER(IF(C325="CPU",VLOOKUP(D325,#REF!,2,0),IF(C325="SINAPI",VLOOKUP(D325,#REF!,2,0),IF(C325="EDIF",VLOOKUP(D325,#REF!,2,0),IF(C325="CDHU",VLOOKUP(D325,#REF!,2,0),IF(C325="FDE",VLOOKUP(D325,'FDE 10-23 '!$A$4:$E$3180,2,0),IF(C325="INFRA",VLOOKUP(D325,#REF!,2,0),""))))))),"")</f>
        <v>CAIXA DE PASSAGEM EM ALVENARIA DE 0,40X0,40X0,40 M</v>
      </c>
      <c r="F325" s="65" t="str">
        <f>VLOOKUP(D325,'FDE 10-23 '!$A$4:$E$3180,3,0)</f>
        <v>UN</v>
      </c>
      <c r="G325" s="66">
        <v>29</v>
      </c>
      <c r="H325" s="67">
        <f>VLOOKUP(D325,'FDE 10-23 '!$A$4:$E$3180,5,0)</f>
        <v>189.05</v>
      </c>
      <c r="I325" s="92">
        <f t="shared" si="57"/>
        <v>0.23</v>
      </c>
      <c r="J325" s="67">
        <f t="shared" si="58"/>
        <v>232.53</v>
      </c>
      <c r="K325" s="71">
        <f t="shared" si="59"/>
        <v>6743.37</v>
      </c>
      <c r="L325" s="51"/>
      <c r="M325" s="52"/>
    </row>
    <row r="326" spans="2:13" s="25" customFormat="1" ht="30" customHeight="1" outlineLevel="1">
      <c r="B326" s="61"/>
      <c r="C326" s="62" t="s">
        <v>26</v>
      </c>
      <c r="D326" s="63" t="s">
        <v>690</v>
      </c>
      <c r="E326" s="64" t="str">
        <f>IFERROR(UPPER(IF(C326="CPU",VLOOKUP(D326,#REF!,2,0),IF(C326="SINAPI",VLOOKUP(D326,#REF!,2,0),IF(C326="EDIF",VLOOKUP(D326,#REF!,2,0),IF(C326="CDHU",VLOOKUP(D326,#REF!,2,0),IF(C326="FDE",VLOOKUP(D326,'FDE 10-23 '!$A$4:$E$3180,2,0),IF(C326="INFRA",VLOOKUP(D326,#REF!,2,0),""))))))),"")</f>
        <v>CAIXA DE PASSAGEM A PROVA DE UMIDADE EM ALUMINIO 15X15X10CM</v>
      </c>
      <c r="F326" s="65" t="str">
        <f>VLOOKUP(D326,'FDE 10-23 '!$A$4:$E$3180,3,0)</f>
        <v>UN</v>
      </c>
      <c r="G326" s="66">
        <v>2</v>
      </c>
      <c r="H326" s="67">
        <f>VLOOKUP(D326,'FDE 10-23 '!$A$4:$E$3180,5,0)</f>
        <v>93.49</v>
      </c>
      <c r="I326" s="92">
        <f t="shared" si="57"/>
        <v>0.23</v>
      </c>
      <c r="J326" s="67">
        <f t="shared" si="58"/>
        <v>114.99</v>
      </c>
      <c r="K326" s="71">
        <f t="shared" si="59"/>
        <v>229.98</v>
      </c>
      <c r="L326" s="51"/>
      <c r="M326" s="52"/>
    </row>
    <row r="327" spans="2:13" s="25" customFormat="1" ht="30" customHeight="1" outlineLevel="1">
      <c r="B327" s="61"/>
      <c r="C327" s="62" t="s">
        <v>26</v>
      </c>
      <c r="D327" s="63" t="s">
        <v>692</v>
      </c>
      <c r="E327" s="64" t="str">
        <f>IFERROR(UPPER(IF(C327="CPU",VLOOKUP(D327,#REF!,2,0),IF(C327="SINAPI",VLOOKUP(D327,#REF!,2,0),IF(C327="EDIF",VLOOKUP(D327,#REF!,2,0),IF(C327="CDHU",VLOOKUP(D327,#REF!,2,0),IF(C327="FDE",VLOOKUP(D327,'FDE 10-23 '!$A$4:$E$3180,2,0),IF(C327="INFRA",VLOOKUP(D327,#REF!,2,0),""))))))),"")</f>
        <v>QUADRO EM CHAPA COM PORTA E FECHADURA (TELEBRAS) DE 40X40X12CM</v>
      </c>
      <c r="F327" s="65" t="str">
        <f>VLOOKUP(D327,'FDE 10-23 '!$A$4:$E$3180,3,0)</f>
        <v>UN</v>
      </c>
      <c r="G327" s="66">
        <v>2</v>
      </c>
      <c r="H327" s="67">
        <f>VLOOKUP(D327,'FDE 10-23 '!$A$4:$E$3180,5,0)</f>
        <v>187.21</v>
      </c>
      <c r="I327" s="92">
        <f t="shared" si="57"/>
        <v>0.23</v>
      </c>
      <c r="J327" s="67">
        <f t="shared" si="58"/>
        <v>230.27</v>
      </c>
      <c r="K327" s="71">
        <f t="shared" si="59"/>
        <v>460.54</v>
      </c>
      <c r="L327" s="51"/>
      <c r="M327" s="52"/>
    </row>
    <row r="328" spans="2:13" s="25" customFormat="1" ht="30" customHeight="1" outlineLevel="1">
      <c r="B328" s="53"/>
      <c r="C328" s="54"/>
      <c r="D328" s="54" t="s">
        <v>694</v>
      </c>
      <c r="E328" s="55" t="s">
        <v>695</v>
      </c>
      <c r="F328" s="56" t="str">
        <f>IFERROR(UPPER(IF(C328="CPU",VLOOKUP(D328,#REF!,3,0),IF(C328="SINAPI",VLOOKUP(D328,#REF!,3,0),IF(C328="EDIF",VLOOKUP(D328,#REF!,3,0),IF(C328="CDHU",VLOOKUP(D328,#REF!,3,0),IF(C328="FDE",VLOOKUP(D328,#REF!,3,0),IF(C328="INFRA",VLOOKUP(D328,#REF!,3,0),""))))))),"")</f>
        <v/>
      </c>
      <c r="G328" s="57"/>
      <c r="H328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28" s="59"/>
      <c r="J328" s="59"/>
      <c r="K328" s="82">
        <f>SUBTOTAL(9,K329:K334)</f>
        <v>104019.69</v>
      </c>
      <c r="L328" s="51"/>
      <c r="M328" s="52"/>
    </row>
    <row r="329" spans="2:13" s="25" customFormat="1" ht="30" customHeight="1" outlineLevel="1">
      <c r="B329" s="61"/>
      <c r="C329" s="62" t="s">
        <v>26</v>
      </c>
      <c r="D329" s="63" t="s">
        <v>697</v>
      </c>
      <c r="E329" s="64" t="str">
        <f>IFERROR(UPPER(IF(C329="CPU",VLOOKUP(D329,#REF!,2,0),IF(C329="SINAPI",VLOOKUP(D329,#REF!,2,0),IF(C329="EDIF",VLOOKUP(D329,#REF!,2,0),IF(C329="CDHU",VLOOKUP(D329,#REF!,2,0),IF(C329="FDE",VLOOKUP(D329,'FDE 10-23 '!$A$4:$E$3180,2,0),IF(C329="INFRA",VLOOKUP(D329,#REF!,2,0),""))))))),"")</f>
        <v>FIO DE 1,50 MM2 - 750 V DE ISOLACAO</v>
      </c>
      <c r="F329" s="65" t="str">
        <f>VLOOKUP(D329,'FDE 10-23 '!$A$4:$E$3180,3,0)</f>
        <v>M</v>
      </c>
      <c r="G329" s="66">
        <v>453</v>
      </c>
      <c r="H329" s="67">
        <f>VLOOKUP(D329,'FDE 10-23 '!$A$4:$E$3180,5,0)</f>
        <v>2.46</v>
      </c>
      <c r="I329" s="92">
        <f t="shared" ref="I329:I334" si="60">$L$10</f>
        <v>0.23</v>
      </c>
      <c r="J329" s="67">
        <f t="shared" ref="J329:J334" si="61">ROUND(H329*(1+I329),2)</f>
        <v>3.03</v>
      </c>
      <c r="K329" s="71">
        <f t="shared" ref="K329:K334" si="62">SUM(G329*J329)</f>
        <v>1372.59</v>
      </c>
      <c r="L329" s="51"/>
      <c r="M329" s="52"/>
    </row>
    <row r="330" spans="2:13" s="25" customFormat="1" ht="30" customHeight="1" outlineLevel="1">
      <c r="B330" s="61"/>
      <c r="C330" s="62" t="s">
        <v>26</v>
      </c>
      <c r="D330" s="63" t="s">
        <v>699</v>
      </c>
      <c r="E330" s="64" t="str">
        <f>IFERROR(UPPER(IF(C330="CPU",VLOOKUP(D330,#REF!,2,0),IF(C330="SINAPI",VLOOKUP(D330,#REF!,2,0),IF(C330="EDIF",VLOOKUP(D330,#REF!,2,0),IF(C330="CDHU",VLOOKUP(D330,#REF!,2,0),IF(C330="FDE",VLOOKUP(D330,'FDE 10-23 '!$A$4:$E$3180,2,0),IF(C330="INFRA",VLOOKUP(D330,#REF!,2,0),""))))))),"")</f>
        <v>FIO DE 2,50 MM2 - 750 V DE ISOLACAO</v>
      </c>
      <c r="F330" s="65" t="str">
        <f>VLOOKUP(D330,'FDE 10-23 '!$A$4:$E$3180,3,0)</f>
        <v>M</v>
      </c>
      <c r="G330" s="93">
        <v>12600</v>
      </c>
      <c r="H330" s="67">
        <f>VLOOKUP(D330,'FDE 10-23 '!$A$4:$E$3180,5,0)</f>
        <v>3.31</v>
      </c>
      <c r="I330" s="92">
        <f t="shared" si="60"/>
        <v>0.23</v>
      </c>
      <c r="J330" s="67">
        <f t="shared" si="61"/>
        <v>4.07</v>
      </c>
      <c r="K330" s="71">
        <f t="shared" si="62"/>
        <v>51282</v>
      </c>
      <c r="L330" s="51"/>
      <c r="M330" s="52"/>
    </row>
    <row r="331" spans="2:13" s="25" customFormat="1" ht="30" customHeight="1" outlineLevel="1">
      <c r="B331" s="61"/>
      <c r="C331" s="62" t="s">
        <v>26</v>
      </c>
      <c r="D331" s="63" t="s">
        <v>701</v>
      </c>
      <c r="E331" s="64" t="str">
        <f>IFERROR(UPPER(IF(C331="CPU",VLOOKUP(D331,#REF!,2,0),IF(C331="SINAPI",VLOOKUP(D331,#REF!,2,0),IF(C331="EDIF",VLOOKUP(D331,#REF!,2,0),IF(C331="CDHU",VLOOKUP(D331,#REF!,2,0),IF(C331="FDE",VLOOKUP(D331,'FDE 10-23 '!$A$4:$E$3180,2,0),IF(C331="INFRA",VLOOKUP(D331,#REF!,2,0),""))))))),"")</f>
        <v>FIO DE 6 MM2 - 750 V DE ISOLACAO</v>
      </c>
      <c r="F331" s="65" t="str">
        <f>VLOOKUP(D331,'FDE 10-23 '!$A$4:$E$3180,3,0)</f>
        <v>M</v>
      </c>
      <c r="G331" s="66">
        <v>3670</v>
      </c>
      <c r="H331" s="67">
        <f>VLOOKUP(D331,'FDE 10-23 '!$A$4:$E$3180,5,0)</f>
        <v>6.28</v>
      </c>
      <c r="I331" s="92">
        <f t="shared" si="60"/>
        <v>0.23</v>
      </c>
      <c r="J331" s="67">
        <f t="shared" si="61"/>
        <v>7.72</v>
      </c>
      <c r="K331" s="71">
        <f t="shared" si="62"/>
        <v>28332.399999999998</v>
      </c>
      <c r="L331" s="51"/>
      <c r="M331" s="52"/>
    </row>
    <row r="332" spans="2:13" s="25" customFormat="1" ht="30" customHeight="1" outlineLevel="1">
      <c r="B332" s="61"/>
      <c r="C332" s="62" t="s">
        <v>26</v>
      </c>
      <c r="D332" s="63" t="s">
        <v>703</v>
      </c>
      <c r="E332" s="64" t="str">
        <f>IFERROR(UPPER(IF(C332="CPU",VLOOKUP(D332,#REF!,2,0),IF(C332="SINAPI",VLOOKUP(D332,#REF!,2,0),IF(C332="EDIF",VLOOKUP(D332,#REF!,2,0),IF(C332="CDHU",VLOOKUP(D332,#REF!,2,0),IF(C332="FDE",VLOOKUP(D332,'FDE 10-23 '!$A$4:$E$3180,2,0),IF(C332="INFRA",VLOOKUP(D332,#REF!,2,0),""))))))),"")</f>
        <v>CABO DE 10 MM2 - 750 V DE ISOLACAO</v>
      </c>
      <c r="F332" s="65" t="str">
        <f>VLOOKUP(D332,'FDE 10-23 '!$A$4:$E$3180,3,0)</f>
        <v>M</v>
      </c>
      <c r="G332" s="66">
        <v>1708</v>
      </c>
      <c r="H332" s="67">
        <f>VLOOKUP(D332,'FDE 10-23 '!$A$4:$E$3180,5,0)</f>
        <v>10.53</v>
      </c>
      <c r="I332" s="92">
        <f t="shared" si="60"/>
        <v>0.23</v>
      </c>
      <c r="J332" s="67">
        <f t="shared" si="61"/>
        <v>12.95</v>
      </c>
      <c r="K332" s="71">
        <f t="shared" si="62"/>
        <v>22118.6</v>
      </c>
      <c r="L332" s="51"/>
      <c r="M332" s="52"/>
    </row>
    <row r="333" spans="2:13" s="25" customFormat="1" ht="30" customHeight="1" outlineLevel="1">
      <c r="B333" s="61"/>
      <c r="C333" s="62" t="s">
        <v>26</v>
      </c>
      <c r="D333" s="63" t="s">
        <v>705</v>
      </c>
      <c r="E333" s="64" t="str">
        <f>IFERROR(UPPER(IF(C333="CPU",VLOOKUP(D333,#REF!,2,0),IF(C333="SINAPI",VLOOKUP(D333,#REF!,2,0),IF(C333="EDIF",VLOOKUP(D333,#REF!,2,0),IF(C333="CDHU",VLOOKUP(D333,#REF!,2,0),IF(C333="FDE",VLOOKUP(D333,'FDE 10-23 '!$A$4:$E$3180,2,0),IF(C333="INFRA",VLOOKUP(D333,#REF!,2,0),""))))))),"")</f>
        <v>CABO DE 16 MM2 - 750 V DE ISOLACAO</v>
      </c>
      <c r="F333" s="65" t="str">
        <f>VLOOKUP(D333,'FDE 10-23 '!$A$4:$E$3180,3,0)</f>
        <v>M</v>
      </c>
      <c r="G333" s="66">
        <v>6</v>
      </c>
      <c r="H333" s="67">
        <f>VLOOKUP(D333,'FDE 10-23 '!$A$4:$E$3180,5,0)</f>
        <v>16.25</v>
      </c>
      <c r="I333" s="92">
        <f t="shared" si="60"/>
        <v>0.23</v>
      </c>
      <c r="J333" s="67">
        <f t="shared" si="61"/>
        <v>19.989999999999998</v>
      </c>
      <c r="K333" s="71">
        <f t="shared" si="62"/>
        <v>119.94</v>
      </c>
      <c r="L333" s="51"/>
      <c r="M333" s="52"/>
    </row>
    <row r="334" spans="2:13" s="25" customFormat="1" ht="30" customHeight="1" outlineLevel="1">
      <c r="B334" s="61"/>
      <c r="C334" s="62" t="s">
        <v>26</v>
      </c>
      <c r="D334" s="63" t="s">
        <v>707</v>
      </c>
      <c r="E334" s="64" t="str">
        <f>IFERROR(UPPER(IF(C334="CPU",VLOOKUP(D334,#REF!,2,0),IF(C334="SINAPI",VLOOKUP(D334,#REF!,2,0),IF(C334="EDIF",VLOOKUP(D334,#REF!,2,0),IF(C334="CDHU",VLOOKUP(D334,#REF!,2,0),IF(C334="FDE",VLOOKUP(D334,'FDE 10-23 '!$A$4:$E$3180,2,0),IF(C334="INFRA",VLOOKUP(D334,#REF!,2,0),""))))))),"")</f>
        <v>CABO DE 25 MM2 - 750 V DE ISOLACAO</v>
      </c>
      <c r="F334" s="65" t="str">
        <f>VLOOKUP(D334,'FDE 10-23 '!$A$4:$E$3180,3,0)</f>
        <v>M</v>
      </c>
      <c r="G334" s="66">
        <v>24</v>
      </c>
      <c r="H334" s="67">
        <f>VLOOKUP(D334,'FDE 10-23 '!$A$4:$E$3180,5,0)</f>
        <v>26.9</v>
      </c>
      <c r="I334" s="92">
        <f t="shared" si="60"/>
        <v>0.23</v>
      </c>
      <c r="J334" s="67">
        <f t="shared" si="61"/>
        <v>33.090000000000003</v>
      </c>
      <c r="K334" s="71">
        <f t="shared" si="62"/>
        <v>794.16000000000008</v>
      </c>
      <c r="L334" s="51"/>
      <c r="M334" s="52"/>
    </row>
    <row r="335" spans="2:13" s="25" customFormat="1" ht="30" customHeight="1" outlineLevel="1">
      <c r="B335" s="53"/>
      <c r="C335" s="54"/>
      <c r="D335" s="54" t="s">
        <v>709</v>
      </c>
      <c r="E335" s="55" t="s">
        <v>710</v>
      </c>
      <c r="F335" s="56" t="str">
        <f>IFERROR(UPPER(IF(C335="CPU",VLOOKUP(D335,#REF!,3,0),IF(C335="SINAPI",VLOOKUP(D335,#REF!,3,0),IF(C335="EDIF",VLOOKUP(D335,#REF!,3,0),IF(C335="CDHU",VLOOKUP(D335,#REF!,3,0),IF(C335="FDE",VLOOKUP(D335,#REF!,3,0),IF(C335="INFRA",VLOOKUP(D335,#REF!,3,0),""))))))),"")</f>
        <v/>
      </c>
      <c r="G335" s="57"/>
      <c r="H33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35" s="59"/>
      <c r="J335" s="59"/>
      <c r="K335" s="82">
        <f>SUBTOTAL(9,K336:K347)</f>
        <v>58668.569999999992</v>
      </c>
      <c r="L335" s="51"/>
      <c r="M335" s="52"/>
    </row>
    <row r="336" spans="2:13" s="25" customFormat="1" ht="30" customHeight="1" outlineLevel="1">
      <c r="B336" s="61"/>
      <c r="C336" s="62" t="s">
        <v>26</v>
      </c>
      <c r="D336" s="63" t="s">
        <v>712</v>
      </c>
      <c r="E336" s="64" t="str">
        <f>IFERROR(UPPER(IF(C336="CPU",VLOOKUP(D336,#REF!,2,0),IF(C336="SINAPI",VLOOKUP(D336,#REF!,2,0),IF(C336="EDIF",VLOOKUP(D336,#REF!,2,0),IF(C336="CDHU",VLOOKUP(D336,#REF!,2,0),IF(C336="FDE",VLOOKUP(D336,'FDE 10-23 '!$A$4:$E$3180,2,0),IF(C336="INFRA",VLOOKUP(D336,#REF!,2,0),""))))))),"")</f>
        <v>BOTOEIRA PARA ACIONAMENTO DA BOMBA DE INCENDIO</v>
      </c>
      <c r="F336" s="65" t="str">
        <f>VLOOKUP(D336,'FDE 10-23 '!$A$4:$E$3180,3,0)</f>
        <v>UN</v>
      </c>
      <c r="G336" s="66">
        <v>2</v>
      </c>
      <c r="H336" s="67">
        <f>VLOOKUP(D336,'FDE 10-23 '!$A$4:$E$3180,5,0)</f>
        <v>349.42</v>
      </c>
      <c r="I336" s="92">
        <f t="shared" ref="I336:I347" si="63">$L$10</f>
        <v>0.23</v>
      </c>
      <c r="J336" s="67">
        <f t="shared" ref="J336:J347" si="64">ROUND(H336*(1+I336),2)</f>
        <v>429.79</v>
      </c>
      <c r="K336" s="71">
        <f t="shared" ref="K336:K347" si="65">SUM(G336*J336)</f>
        <v>859.58</v>
      </c>
      <c r="L336" s="51"/>
      <c r="M336" s="52"/>
    </row>
    <row r="337" spans="2:13" s="25" customFormat="1" ht="30" customHeight="1" outlineLevel="1">
      <c r="B337" s="61"/>
      <c r="C337" s="62" t="s">
        <v>26</v>
      </c>
      <c r="D337" s="63" t="s">
        <v>714</v>
      </c>
      <c r="E337" s="64" t="str">
        <f>IFERROR(UPPER(IF(C337="CPU",VLOOKUP(D337,#REF!,2,0),IF(C337="SINAPI",VLOOKUP(D337,#REF!,2,0),IF(C337="EDIF",VLOOKUP(D337,#REF!,2,0),IF(C337="CDHU",VLOOKUP(D337,#REF!,2,0),IF(C337="FDE",VLOOKUP(D337,'FDE 10-23 '!$A$4:$E$3180,2,0),IF(C337="INFRA",VLOOKUP(D337,#REF!,2,0),""))))))),"")</f>
        <v>INTERRUPTOR 1 TECLA BIPOLAR SIMPLES CAIXA 4"X2"- ELETR PVC RIGIDO</v>
      </c>
      <c r="F337" s="65" t="str">
        <f>VLOOKUP(D337,'FDE 10-23 '!$A$4:$E$3180,3,0)</f>
        <v>UN</v>
      </c>
      <c r="G337" s="66">
        <v>12</v>
      </c>
      <c r="H337" s="67">
        <f>VLOOKUP(D337,'FDE 10-23 '!$A$4:$E$3180,5,0)</f>
        <v>145.65</v>
      </c>
      <c r="I337" s="92">
        <f t="shared" si="63"/>
        <v>0.23</v>
      </c>
      <c r="J337" s="67">
        <f t="shared" si="64"/>
        <v>179.15</v>
      </c>
      <c r="K337" s="71">
        <f t="shared" si="65"/>
        <v>2149.8000000000002</v>
      </c>
      <c r="L337" s="51"/>
      <c r="M337" s="52"/>
    </row>
    <row r="338" spans="2:13" s="25" customFormat="1" ht="30" customHeight="1" outlineLevel="1">
      <c r="B338" s="61"/>
      <c r="C338" s="62" t="s">
        <v>26</v>
      </c>
      <c r="D338" s="63" t="s">
        <v>716</v>
      </c>
      <c r="E338" s="64" t="str">
        <f>IFERROR(UPPER(IF(C338="CPU",VLOOKUP(D338,#REF!,2,0),IF(C338="SINAPI",VLOOKUP(D338,#REF!,2,0),IF(C338="EDIF",VLOOKUP(D338,#REF!,2,0),IF(C338="CDHU",VLOOKUP(D338,#REF!,2,0),IF(C338="FDE",VLOOKUP(D338,'FDE 10-23 '!$A$4:$E$3180,2,0),IF(C338="INFRA",VLOOKUP(D338,#REF!,2,0),""))))))),"")</f>
        <v>2 INTERRUPTORES 1 TECLA BIPOLAR SIMPLES CAIXA 4"X4"-ELETR PVC RIGIDO</v>
      </c>
      <c r="F338" s="65" t="str">
        <f>VLOOKUP(D338,'FDE 10-23 '!$A$4:$E$3180,3,0)</f>
        <v>UN</v>
      </c>
      <c r="G338" s="66">
        <v>10</v>
      </c>
      <c r="H338" s="67">
        <f>VLOOKUP(D338,'FDE 10-23 '!$A$4:$E$3180,5,0)</f>
        <v>226.31</v>
      </c>
      <c r="I338" s="92">
        <f t="shared" si="63"/>
        <v>0.23</v>
      </c>
      <c r="J338" s="67">
        <f t="shared" si="64"/>
        <v>278.36</v>
      </c>
      <c r="K338" s="71">
        <f t="shared" si="65"/>
        <v>2783.6000000000004</v>
      </c>
      <c r="L338" s="51"/>
      <c r="M338" s="52"/>
    </row>
    <row r="339" spans="2:13" s="25" customFormat="1" ht="30" customHeight="1" outlineLevel="1">
      <c r="B339" s="61"/>
      <c r="C339" s="62" t="s">
        <v>26</v>
      </c>
      <c r="D339" s="63" t="s">
        <v>718</v>
      </c>
      <c r="E339" s="64" t="str">
        <f>IFERROR(UPPER(IF(C339="CPU",VLOOKUP(D339,#REF!,2,0),IF(C339="SINAPI",VLOOKUP(D339,#REF!,2,0),IF(C339="EDIF",VLOOKUP(D339,#REF!,2,0),IF(C339="CDHU",VLOOKUP(D339,#REF!,2,0),IF(C339="FDE",VLOOKUP(D339,'FDE 10-23 '!$A$4:$E$3180,2,0),IF(C339="INFRA",VLOOKUP(D339,#REF!,2,0),""))))))),"")</f>
        <v>3 INTERRUPTORES DE 1 TECLA BIPOLAR EM CAIXA 4"X4"-ELETRODUTO DE PVC</v>
      </c>
      <c r="F339" s="65" t="str">
        <f>VLOOKUP(D339,'FDE 10-23 '!$A$4:$E$3180,3,0)</f>
        <v>UN</v>
      </c>
      <c r="G339" s="66">
        <v>5</v>
      </c>
      <c r="H339" s="67">
        <f>VLOOKUP(D339,'FDE 10-23 '!$A$4:$E$3180,5,0)</f>
        <v>232.89</v>
      </c>
      <c r="I339" s="92">
        <f t="shared" si="63"/>
        <v>0.23</v>
      </c>
      <c r="J339" s="67">
        <f t="shared" si="64"/>
        <v>286.45</v>
      </c>
      <c r="K339" s="71">
        <f t="shared" si="65"/>
        <v>1432.25</v>
      </c>
      <c r="L339" s="51"/>
      <c r="M339" s="52"/>
    </row>
    <row r="340" spans="2:13" s="25" customFormat="1" ht="30" customHeight="1" outlineLevel="1">
      <c r="B340" s="61"/>
      <c r="C340" s="62" t="s">
        <v>26</v>
      </c>
      <c r="D340" s="63" t="s">
        <v>720</v>
      </c>
      <c r="E340" s="64" t="str">
        <f>IFERROR(UPPER(IF(C340="CPU",VLOOKUP(D340,#REF!,2,0),IF(C340="SINAPI",VLOOKUP(D340,#REF!,2,0),IF(C340="EDIF",VLOOKUP(D340,#REF!,2,0),IF(C340="CDHU",VLOOKUP(D340,#REF!,2,0),IF(C340="FDE",VLOOKUP(D340,'FDE 10-23 '!$A$4:$E$3180,2,0),IF(C340="INFRA",VLOOKUP(D340,#REF!,2,0),""))))))),"")</f>
        <v>INTERRUPTOR 1 TECLA SIMPLES/TOMADA 2P+T PADRÃO NBR 14136 CORRENTE 10A ELETROD.PVC RIGIDO</v>
      </c>
      <c r="F340" s="65" t="str">
        <f>VLOOKUP(D340,'FDE 10-23 '!$A$4:$E$3180,3,0)</f>
        <v>UN</v>
      </c>
      <c r="G340" s="66">
        <v>2</v>
      </c>
      <c r="H340" s="67">
        <f>VLOOKUP(D340,'FDE 10-23 '!$A$4:$E$3180,5,0)</f>
        <v>129.35</v>
      </c>
      <c r="I340" s="92">
        <f t="shared" si="63"/>
        <v>0.23</v>
      </c>
      <c r="J340" s="67">
        <f t="shared" si="64"/>
        <v>159.1</v>
      </c>
      <c r="K340" s="71">
        <f t="shared" si="65"/>
        <v>318.2</v>
      </c>
      <c r="L340" s="51"/>
      <c r="M340" s="52"/>
    </row>
    <row r="341" spans="2:13" s="25" customFormat="1" ht="30" customHeight="1" outlineLevel="1">
      <c r="B341" s="61"/>
      <c r="C341" s="62" t="s">
        <v>26</v>
      </c>
      <c r="D341" s="63" t="s">
        <v>722</v>
      </c>
      <c r="E341" s="64" t="str">
        <f>IFERROR(UPPER(IF(C341="CPU",VLOOKUP(D341,#REF!,2,0),IF(C341="SINAPI",VLOOKUP(D341,#REF!,2,0),IF(C341="EDIF",VLOOKUP(D341,#REF!,2,0),IF(C341="CDHU",VLOOKUP(D341,#REF!,2,0),IF(C341="FDE",VLOOKUP(D341,'FDE 10-23 '!$A$4:$E$3180,2,0),IF(C341="INFRA",VLOOKUP(D341,#REF!,2,0),""))))))),"")</f>
        <v>TOMADA 2P+T PADRAO NBR 14136 CORRENTE 10A-250V-ELETR. PVC RÍGIDO</v>
      </c>
      <c r="F341" s="65" t="str">
        <f>VLOOKUP(D341,'FDE 10-23 '!$A$4:$E$3180,3,0)</f>
        <v>UN</v>
      </c>
      <c r="G341" s="66">
        <v>233</v>
      </c>
      <c r="H341" s="67">
        <f>VLOOKUP(D341,'FDE 10-23 '!$A$4:$E$3180,5,0)</f>
        <v>126.05</v>
      </c>
      <c r="I341" s="92">
        <f t="shared" si="63"/>
        <v>0.23</v>
      </c>
      <c r="J341" s="67">
        <f t="shared" si="64"/>
        <v>155.04</v>
      </c>
      <c r="K341" s="71">
        <f t="shared" si="65"/>
        <v>36124.32</v>
      </c>
      <c r="L341" s="51"/>
      <c r="M341" s="52"/>
    </row>
    <row r="342" spans="2:13" s="25" customFormat="1" ht="30" customHeight="1" outlineLevel="1">
      <c r="B342" s="61"/>
      <c r="C342" s="62" t="s">
        <v>26</v>
      </c>
      <c r="D342" s="63" t="s">
        <v>724</v>
      </c>
      <c r="E342" s="64" t="str">
        <f>IFERROR(UPPER(IF(C342="CPU",VLOOKUP(D342,#REF!,2,0),IF(C342="SINAPI",VLOOKUP(D342,#REF!,2,0),IF(C342="EDIF",VLOOKUP(D342,#REF!,2,0),IF(C342="CDHU",VLOOKUP(D342,#REF!,2,0),IF(C342="FDE",VLOOKUP(D342,'FDE 10-23 '!$A$4:$E$3180,2,0),IF(C342="INFRA",VLOOKUP(D342,#REF!,2,0),""))))))),"")</f>
        <v>PONTO SECO PARA TELEFONE-ELETRODUTO DE PVC</v>
      </c>
      <c r="F342" s="65" t="str">
        <f>VLOOKUP(D342,'FDE 10-23 '!$A$4:$E$3180,3,0)</f>
        <v>UN</v>
      </c>
      <c r="G342" s="66">
        <v>6</v>
      </c>
      <c r="H342" s="67">
        <f>VLOOKUP(D342,'FDE 10-23 '!$A$4:$E$3180,5,0)</f>
        <v>103.06</v>
      </c>
      <c r="I342" s="92">
        <f t="shared" si="63"/>
        <v>0.23</v>
      </c>
      <c r="J342" s="67">
        <f t="shared" si="64"/>
        <v>126.76</v>
      </c>
      <c r="K342" s="71">
        <f t="shared" si="65"/>
        <v>760.56000000000006</v>
      </c>
      <c r="L342" s="51"/>
      <c r="M342" s="52"/>
    </row>
    <row r="343" spans="2:13" s="25" customFormat="1" ht="30" customHeight="1" outlineLevel="1">
      <c r="B343" s="61"/>
      <c r="C343" s="62" t="s">
        <v>26</v>
      </c>
      <c r="D343" s="63" t="s">
        <v>726</v>
      </c>
      <c r="E343" s="64" t="str">
        <f>IFERROR(UPPER(IF(C343="CPU",VLOOKUP(D343,#REF!,2,0),IF(C343="SINAPI",VLOOKUP(D343,#REF!,2,0),IF(C343="EDIF",VLOOKUP(D343,#REF!,2,0),IF(C343="CDHU",VLOOKUP(D343,#REF!,2,0),IF(C343="FDE",VLOOKUP(D343,'FDE 10-23 '!$A$4:$E$3180,2,0),IF(C343="INFRA",VLOOKUP(D343,#REF!,2,0),""))))))),"")</f>
        <v>BOTAO PARA CIGARRA - ELETRODUTO DE PVC</v>
      </c>
      <c r="F343" s="65" t="str">
        <f>VLOOKUP(D343,'FDE 10-23 '!$A$4:$E$3180,3,0)</f>
        <v>UN</v>
      </c>
      <c r="G343" s="66">
        <v>1</v>
      </c>
      <c r="H343" s="67">
        <f>VLOOKUP(D343,'FDE 10-23 '!$A$4:$E$3180,5,0)</f>
        <v>126.22</v>
      </c>
      <c r="I343" s="92">
        <f t="shared" si="63"/>
        <v>0.23</v>
      </c>
      <c r="J343" s="67">
        <f t="shared" si="64"/>
        <v>155.25</v>
      </c>
      <c r="K343" s="71">
        <f t="shared" si="65"/>
        <v>155.25</v>
      </c>
      <c r="L343" s="51"/>
      <c r="M343" s="52"/>
    </row>
    <row r="344" spans="2:13" s="25" customFormat="1" ht="30" customHeight="1" outlineLevel="1">
      <c r="B344" s="61"/>
      <c r="C344" s="62" t="s">
        <v>26</v>
      </c>
      <c r="D344" s="63" t="s">
        <v>728</v>
      </c>
      <c r="E344" s="64" t="str">
        <f>IFERROR(UPPER(IF(C344="CPU",VLOOKUP(D344,#REF!,2,0),IF(C344="SINAPI",VLOOKUP(D344,#REF!,2,0),IF(C344="EDIF",VLOOKUP(D344,#REF!,2,0),IF(C344="CDHU",VLOOKUP(D344,#REF!,2,0),IF(C344="FDE",VLOOKUP(D344,'FDE 10-23 '!$A$4:$E$3180,2,0),IF(C344="INFRA",VLOOKUP(D344,#REF!,2,0),""))))))),"")</f>
        <v>CIGARRA PARA CHAMADA DE AULA - ELETRODUTO DE PVC</v>
      </c>
      <c r="F344" s="65" t="str">
        <f>VLOOKUP(D344,'FDE 10-23 '!$A$4:$E$3180,3,0)</f>
        <v>UN</v>
      </c>
      <c r="G344" s="66">
        <v>3</v>
      </c>
      <c r="H344" s="67">
        <f>VLOOKUP(D344,'FDE 10-23 '!$A$4:$E$3180,5,0)</f>
        <v>221.36</v>
      </c>
      <c r="I344" s="92">
        <f t="shared" si="63"/>
        <v>0.23</v>
      </c>
      <c r="J344" s="67">
        <f t="shared" si="64"/>
        <v>272.27</v>
      </c>
      <c r="K344" s="71">
        <f t="shared" si="65"/>
        <v>816.81</v>
      </c>
      <c r="L344" s="51"/>
      <c r="M344" s="52"/>
    </row>
    <row r="345" spans="2:13" s="25" customFormat="1" ht="30" customHeight="1" outlineLevel="1">
      <c r="B345" s="61"/>
      <c r="C345" s="62" t="s">
        <v>26</v>
      </c>
      <c r="D345" s="63" t="s">
        <v>730</v>
      </c>
      <c r="E345" s="64" t="str">
        <f>IFERROR(UPPER(IF(C345="CPU",VLOOKUP(D345,#REF!,2,0),IF(C345="SINAPI",VLOOKUP(D345,#REF!,2,0),IF(C345="EDIF",VLOOKUP(D345,#REF!,2,0),IF(C345="CDHU",VLOOKUP(D345,#REF!,2,0),IF(C345="FDE",VLOOKUP(D345,'FDE 10-23 '!$A$4:$E$3180,2,0),IF(C345="INFRA",VLOOKUP(D345,#REF!,2,0),""))))))),"")</f>
        <v>PONTO SECO P/INSTALACAO DE SOM/TV/ALARME/LOGICA - ELETRODUTO PVC</v>
      </c>
      <c r="F345" s="65" t="str">
        <f>VLOOKUP(D345,'FDE 10-23 '!$A$4:$E$3180,3,0)</f>
        <v>UN</v>
      </c>
      <c r="G345" s="66">
        <v>93</v>
      </c>
      <c r="H345" s="67">
        <f>VLOOKUP(D345,'FDE 10-23 '!$A$4:$E$3180,5,0)</f>
        <v>103.06</v>
      </c>
      <c r="I345" s="92">
        <f t="shared" si="63"/>
        <v>0.23</v>
      </c>
      <c r="J345" s="67">
        <f t="shared" si="64"/>
        <v>126.76</v>
      </c>
      <c r="K345" s="71">
        <f t="shared" si="65"/>
        <v>11788.68</v>
      </c>
      <c r="L345" s="51"/>
      <c r="M345" s="52"/>
    </row>
    <row r="346" spans="2:13" s="25" customFormat="1" ht="30" customHeight="1" outlineLevel="1">
      <c r="B346" s="61"/>
      <c r="C346" s="62" t="s">
        <v>26</v>
      </c>
      <c r="D346" s="63" t="s">
        <v>732</v>
      </c>
      <c r="E346" s="64" t="str">
        <f>IFERROR(UPPER(IF(C346="CPU",VLOOKUP(D346,#REF!,2,0),IF(C346="SINAPI",VLOOKUP(D346,#REF!,2,0),IF(C346="EDIF",VLOOKUP(D346,#REF!,2,0),IF(C346="CDHU",VLOOKUP(D346,#REF!,2,0),IF(C346="FDE",VLOOKUP(D346,'FDE 10-23 '!$A$4:$E$3180,2,0),IF(C346="INFRA",VLOOKUP(D346,#REF!,2,0),""))))))),"")</f>
        <v>ACIONADOR DO ALARME DE INCENDIO</v>
      </c>
      <c r="F346" s="65" t="str">
        <f>VLOOKUP(D346,'FDE 10-23 '!$A$4:$E$3180,3,0)</f>
        <v>UN</v>
      </c>
      <c r="G346" s="66">
        <v>4</v>
      </c>
      <c r="H346" s="67">
        <f>VLOOKUP(D346,'FDE 10-23 '!$A$4:$E$3180,5,0)</f>
        <v>196.99</v>
      </c>
      <c r="I346" s="92">
        <f t="shared" si="63"/>
        <v>0.23</v>
      </c>
      <c r="J346" s="67">
        <f t="shared" si="64"/>
        <v>242.3</v>
      </c>
      <c r="K346" s="71">
        <f t="shared" si="65"/>
        <v>969.2</v>
      </c>
      <c r="L346" s="51"/>
      <c r="M346" s="52"/>
    </row>
    <row r="347" spans="2:13" s="25" customFormat="1" ht="30" customHeight="1" outlineLevel="1">
      <c r="B347" s="61"/>
      <c r="C347" s="62" t="s">
        <v>26</v>
      </c>
      <c r="D347" s="63" t="s">
        <v>734</v>
      </c>
      <c r="E347" s="64" t="str">
        <f>IFERROR(UPPER(IF(C347="CPU",VLOOKUP(D347,#REF!,2,0),IF(C347="SINAPI",VLOOKUP(D347,#REF!,2,0),IF(C347="EDIF",VLOOKUP(D347,#REF!,2,0),IF(C347="CDHU",VLOOKUP(D347,#REF!,2,0),IF(C347="FDE",VLOOKUP(D347,'FDE 10-23 '!$A$4:$E$3180,2,0),IF(C347="INFRA",VLOOKUP(D347,#REF!,2,0),""))))))),"")</f>
        <v>SIRENE PARA ALARME DE EMERGENCIA- ELETRODUTO DE PVC</v>
      </c>
      <c r="F347" s="65" t="str">
        <f>VLOOKUP(D347,'FDE 10-23 '!$A$4:$E$3180,3,0)</f>
        <v>UN</v>
      </c>
      <c r="G347" s="66">
        <v>4</v>
      </c>
      <c r="H347" s="67">
        <f>VLOOKUP(D347,'FDE 10-23 '!$A$4:$E$3180,5,0)</f>
        <v>103.72</v>
      </c>
      <c r="I347" s="92">
        <f t="shared" si="63"/>
        <v>0.23</v>
      </c>
      <c r="J347" s="67">
        <f t="shared" si="64"/>
        <v>127.58</v>
      </c>
      <c r="K347" s="71">
        <f t="shared" si="65"/>
        <v>510.32</v>
      </c>
      <c r="L347" s="51"/>
      <c r="M347" s="52"/>
    </row>
    <row r="348" spans="2:13" s="25" customFormat="1" ht="30" customHeight="1" outlineLevel="1">
      <c r="B348" s="53"/>
      <c r="C348" s="54"/>
      <c r="D348" s="54" t="s">
        <v>736</v>
      </c>
      <c r="E348" s="55" t="s">
        <v>737</v>
      </c>
      <c r="F348" s="56" t="str">
        <f>IFERROR(UPPER(IF(C348="CPU",VLOOKUP(D348,#REF!,3,0),IF(C348="SINAPI",VLOOKUP(D348,#REF!,3,0),IF(C348="EDIF",VLOOKUP(D348,#REF!,3,0),IF(C348="CDHU",VLOOKUP(D348,#REF!,3,0),IF(C348="FDE",VLOOKUP(D348,#REF!,3,0),IF(C348="INFRA",VLOOKUP(D348,#REF!,3,0),""))))))),"")</f>
        <v/>
      </c>
      <c r="G348" s="57"/>
      <c r="H348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48" s="59"/>
      <c r="J348" s="59"/>
      <c r="K348" s="82">
        <f>SUBTOTAL(9,K349:K358)</f>
        <v>136953.84000000003</v>
      </c>
      <c r="L348" s="51"/>
      <c r="M348" s="52"/>
    </row>
    <row r="349" spans="2:13" s="25" customFormat="1" ht="30" customHeight="1" outlineLevel="1">
      <c r="B349" s="61"/>
      <c r="C349" s="62" t="s">
        <v>26</v>
      </c>
      <c r="D349" s="63" t="s">
        <v>1152</v>
      </c>
      <c r="E349" s="64" t="str">
        <f>IFERROR(UPPER(IF(C349="CPU",VLOOKUP(D349,#REF!,2,0),IF(C349="SINAPI",VLOOKUP(D349,#REF!,2,0),IF(C349="EDIF",VLOOKUP(D349,#REF!,2,0),IF(C349="CDHU",VLOOKUP(D349,#REF!,2,0),IF(C349="FDE",VLOOKUP(D349,'FDE 10-23 '!$A$4:$E$3180,2,0),IF(C349="INFRA",VLOOKUP(D349,#REF!,2,0),""))))))),"")</f>
        <v>IL-90 LUMINÁRIA LED DE SOBREPOR C/DIFUSOR TRANSLÚCIDO &lt;= 39W</v>
      </c>
      <c r="F349" s="65" t="str">
        <f>VLOOKUP(D349,'FDE 10-23 '!$A$4:$E$3180,3,0)</f>
        <v>UN</v>
      </c>
      <c r="G349" s="66">
        <v>23</v>
      </c>
      <c r="H349" s="67">
        <f>VLOOKUP(D349,'FDE 10-23 '!$A$4:$E$3180,5,0)</f>
        <v>280.66000000000003</v>
      </c>
      <c r="I349" s="92">
        <f t="shared" ref="I349:I358" si="66">$L$10</f>
        <v>0.23</v>
      </c>
      <c r="J349" s="67">
        <f t="shared" ref="J349:J358" si="67">ROUND(H349*(1+I349),2)</f>
        <v>345.21</v>
      </c>
      <c r="K349" s="71">
        <f t="shared" ref="K349:K358" si="68">SUM(G349*J349)</f>
        <v>7939.83</v>
      </c>
      <c r="L349" s="51"/>
      <c r="M349" s="52"/>
    </row>
    <row r="350" spans="2:13" s="25" customFormat="1" ht="30" customHeight="1" outlineLevel="1">
      <c r="B350" s="61"/>
      <c r="C350" s="62" t="s">
        <v>26</v>
      </c>
      <c r="D350" s="63" t="s">
        <v>1153</v>
      </c>
      <c r="E350" s="70" t="str">
        <f>IFERROR(UPPER(IF(C350="CPU",VLOOKUP(D350,#REF!,2,0),IF(C350="SINAPI",VLOOKUP(D350,#REF!,2,0),IF(C350="EDIF",VLOOKUP(D350,#REF!,2,0),IF(C350="CDHU",VLOOKUP(D350,#REF!,2,0),IF(C350="FDE",VLOOKUP(D350,'FDE 10-23 '!$A$4:$E$3180,2,0),IF(C350="INFRA",VLOOKUP(D350,#REF!,2,0),""))))))),"")</f>
        <v>IL-98 LUMINÁRIA LED SUSPENSA &lt;= 68W  Ø 385 MM .
.</v>
      </c>
      <c r="F350" s="65" t="str">
        <f>VLOOKUP(D350,'FDE 10-23 '!$A$4:$E$3180,3,0)</f>
        <v>UN</v>
      </c>
      <c r="G350" s="66">
        <v>7</v>
      </c>
      <c r="H350" s="67">
        <f>VLOOKUP(D350,'FDE 10-23 '!$A$4:$E$3180,5,0)</f>
        <v>1047.3399999999999</v>
      </c>
      <c r="I350" s="92">
        <f t="shared" si="66"/>
        <v>0.23</v>
      </c>
      <c r="J350" s="67">
        <f t="shared" si="67"/>
        <v>1288.23</v>
      </c>
      <c r="K350" s="71">
        <f t="shared" si="68"/>
        <v>9017.61</v>
      </c>
      <c r="L350" s="51"/>
      <c r="M350" s="52"/>
    </row>
    <row r="351" spans="2:13" s="25" customFormat="1" ht="30" customHeight="1" outlineLevel="1">
      <c r="B351" s="61"/>
      <c r="C351" s="62" t="s">
        <v>26</v>
      </c>
      <c r="D351" s="63" t="s">
        <v>1154</v>
      </c>
      <c r="E351" s="64" t="str">
        <f>IFERROR(UPPER(IF(C351="CPU",VLOOKUP(D351,#REF!,2,0),IF(C351="SINAPI",VLOOKUP(D351,#REF!,2,0),IF(C351="EDIF",VLOOKUP(D351,#REF!,2,0),IF(C351="CDHU",VLOOKUP(D351,#REF!,2,0),IF(C351="FDE",VLOOKUP(D351,'FDE 10-23 '!$A$4:$E$3180,2,0),IF(C351="INFRA",VLOOKUP(D351,#REF!,2,0),""))))))),"")</f>
        <v>IL-102 PROJETOR ANGULAR LÂMPADA LED &lt;=200 W C/DIFUSOR DE POLICARBONATO QUADRA DE ESPORTE COBERTA</v>
      </c>
      <c r="F351" s="65" t="str">
        <f>VLOOKUP(D351,'FDE 10-23 '!$A$4:$E$3180,3,0)</f>
        <v>UN</v>
      </c>
      <c r="G351" s="66">
        <v>8</v>
      </c>
      <c r="H351" s="67">
        <f>VLOOKUP(D351,'FDE 10-23 '!$A$4:$E$3180,5,0)</f>
        <v>1323.15</v>
      </c>
      <c r="I351" s="92">
        <f t="shared" si="66"/>
        <v>0.23</v>
      </c>
      <c r="J351" s="67">
        <f t="shared" si="67"/>
        <v>1627.47</v>
      </c>
      <c r="K351" s="71">
        <f t="shared" si="68"/>
        <v>13019.76</v>
      </c>
      <c r="L351" s="51"/>
      <c r="M351" s="52"/>
    </row>
    <row r="352" spans="2:13" s="25" customFormat="1" ht="30" customHeight="1" outlineLevel="1">
      <c r="B352" s="61"/>
      <c r="C352" s="62" t="s">
        <v>26</v>
      </c>
      <c r="D352" s="63" t="s">
        <v>1155</v>
      </c>
      <c r="E352" s="64" t="str">
        <f>IFERROR(UPPER(IF(C352="CPU",VLOOKUP(D352,#REF!,2,0),IF(C352="SINAPI",VLOOKUP(D352,#REF!,2,0),IF(C352="EDIF",VLOOKUP(D352,#REF!,2,0),IF(C352="CDHU",VLOOKUP(D352,#REF!,2,0),IF(C352="FDE",VLOOKUP(D352,'FDE 10-23 '!$A$4:$E$3180,2,0),IF(C352="INFRA",VLOOKUP(D352,#REF!,2,0),""))))))),"")</f>
        <v>IL-104  ARANDELA ALUMÍNIO INCLINADA 45º BLINDADA LÂMPADA BULBO LED &lt;= 13W</v>
      </c>
      <c r="F352" s="65" t="str">
        <f>VLOOKUP(D352,'FDE 10-23 '!$A$4:$E$3180,3,0)</f>
        <v>UN</v>
      </c>
      <c r="G352" s="66">
        <v>1</v>
      </c>
      <c r="H352" s="67">
        <f>VLOOKUP(D352,'FDE 10-23 '!$A$4:$E$3180,5,0)</f>
        <v>308.17</v>
      </c>
      <c r="I352" s="92">
        <f t="shared" si="66"/>
        <v>0.23</v>
      </c>
      <c r="J352" s="67">
        <f t="shared" si="67"/>
        <v>379.05</v>
      </c>
      <c r="K352" s="71">
        <f t="shared" si="68"/>
        <v>379.05</v>
      </c>
      <c r="L352" s="51"/>
      <c r="M352" s="52"/>
    </row>
    <row r="353" spans="2:13" s="25" customFormat="1" ht="30" customHeight="1" outlineLevel="1">
      <c r="B353" s="61"/>
      <c r="C353" s="62" t="s">
        <v>26</v>
      </c>
      <c r="D353" s="63" t="s">
        <v>1156</v>
      </c>
      <c r="E353" s="64" t="str">
        <f>IFERROR(UPPER(IF(C353="CPU",VLOOKUP(D353,#REF!,2,0),IF(C353="SINAPI",VLOOKUP(D353,#REF!,2,0),IF(C353="EDIF",VLOOKUP(D353,#REF!,2,0),IF(C353="CDHU",VLOOKUP(D353,#REF!,2,0),IF(C353="FDE",VLOOKUP(D353,'FDE 10-23 '!$A$4:$E$3180,2,0),IF(C353="INFRA",VLOOKUP(D353,#REF!,2,0),""))))))),"")</f>
        <v>IL-103  ARANDELA PARA CIRCULAÇÕES COM LÂMPADA BULBO LED &lt;=13W.</v>
      </c>
      <c r="F353" s="65" t="str">
        <f>VLOOKUP(D353,'FDE 10-23 '!$A$4:$E$3180,3,0)</f>
        <v>UN</v>
      </c>
      <c r="G353" s="66">
        <v>4</v>
      </c>
      <c r="H353" s="67">
        <f>VLOOKUP(D353,'FDE 10-23 '!$A$4:$E$3180,5,0)</f>
        <v>183.86</v>
      </c>
      <c r="I353" s="92">
        <f t="shared" si="66"/>
        <v>0.23</v>
      </c>
      <c r="J353" s="67">
        <f t="shared" si="67"/>
        <v>226.15</v>
      </c>
      <c r="K353" s="71">
        <f t="shared" si="68"/>
        <v>904.6</v>
      </c>
      <c r="L353" s="51"/>
      <c r="M353" s="52"/>
    </row>
    <row r="354" spans="2:13" s="25" customFormat="1" ht="30" customHeight="1" outlineLevel="1">
      <c r="B354" s="61"/>
      <c r="C354" s="62" t="s">
        <v>26</v>
      </c>
      <c r="D354" s="63" t="s">
        <v>1157</v>
      </c>
      <c r="E354" s="64" t="str">
        <f>IFERROR(UPPER(IF(C354="CPU",VLOOKUP(D354,#REF!,2,0),IF(C354="SINAPI",VLOOKUP(D354,#REF!,2,0),IF(C354="EDIF",VLOOKUP(D354,#REF!,2,0),IF(C354="CDHU",VLOOKUP(D354,#REF!,2,0),IF(C354="FDE",VLOOKUP(D354,'FDE 10-23 '!$A$4:$E$3180,2,0),IF(C354="INFRA",VLOOKUP(D354,#REF!,2,0),""))))))),"")</f>
        <v>IL-88 LUMINÁRIA LED DE SOBREPOR C/DIFUSOR TRANSLÚCIDO &lt;=24W</v>
      </c>
      <c r="F354" s="65" t="str">
        <f>VLOOKUP(D354,'FDE 10-23 '!$A$4:$E$3180,3,0)</f>
        <v>UN</v>
      </c>
      <c r="G354" s="66">
        <v>55</v>
      </c>
      <c r="H354" s="67">
        <f>VLOOKUP(D354,'FDE 10-23 '!$A$4:$E$3180,5,0)</f>
        <v>289.77</v>
      </c>
      <c r="I354" s="92">
        <f t="shared" si="66"/>
        <v>0.23</v>
      </c>
      <c r="J354" s="67">
        <f t="shared" si="67"/>
        <v>356.42</v>
      </c>
      <c r="K354" s="71">
        <f t="shared" si="68"/>
        <v>19603.100000000002</v>
      </c>
      <c r="L354" s="51"/>
      <c r="M354" s="52"/>
    </row>
    <row r="355" spans="2:13" s="25" customFormat="1" ht="30" customHeight="1" outlineLevel="1">
      <c r="B355" s="61"/>
      <c r="C355" s="62" t="s">
        <v>26</v>
      </c>
      <c r="D355" s="63" t="s">
        <v>1158</v>
      </c>
      <c r="E355" s="64" t="str">
        <f>IFERROR(UPPER(IF(C355="CPU",VLOOKUP(D355,#REF!,2,0),IF(C355="SINAPI",VLOOKUP(D355,#REF!,2,0),IF(C355="EDIF",VLOOKUP(D355,#REF!,2,0),IF(C355="CDHU",VLOOKUP(D355,#REF!,2,0),IF(C355="FDE",VLOOKUP(D355,'FDE 10-23 '!$A$4:$E$3180,2,0),IF(C355="INFRA",VLOOKUP(D355,#REF!,2,0),""))))))),"")</f>
        <v>IL-94 LUMINÁRIA LED QUADRADA DE SOBREPOR C/DIFUSOR TRANSLÚCIDO &lt;= 40W</v>
      </c>
      <c r="F355" s="65" t="str">
        <f>VLOOKUP(D355,'FDE 10-23 '!$A$4:$E$3180,3,0)</f>
        <v>UN</v>
      </c>
      <c r="G355" s="66">
        <v>20</v>
      </c>
      <c r="H355" s="67">
        <f>VLOOKUP(D355,'FDE 10-23 '!$A$4:$E$3180,5,0)</f>
        <v>455.41</v>
      </c>
      <c r="I355" s="92">
        <f t="shared" si="66"/>
        <v>0.23</v>
      </c>
      <c r="J355" s="67">
        <f t="shared" si="67"/>
        <v>560.15</v>
      </c>
      <c r="K355" s="71">
        <f t="shared" si="68"/>
        <v>11203</v>
      </c>
      <c r="L355" s="51"/>
      <c r="M355" s="52"/>
    </row>
    <row r="356" spans="2:13" s="25" customFormat="1" ht="30" customHeight="1" outlineLevel="1">
      <c r="B356" s="61"/>
      <c r="C356" s="62" t="s">
        <v>26</v>
      </c>
      <c r="D356" s="63" t="s">
        <v>1159</v>
      </c>
      <c r="E356" s="64" t="str">
        <f>IFERROR(UPPER(IF(C356="CPU",VLOOKUP(D356,#REF!,2,0),IF(C356="SINAPI",VLOOKUP(D356,#REF!,2,0),IF(C356="EDIF",VLOOKUP(D356,#REF!,2,0),IF(C356="CDHU",VLOOKUP(D356,#REF!,2,0),IF(C356="FDE",VLOOKUP(D356,'FDE 10-23 '!$A$4:$E$3180,2,0),IF(C356="INFRA",VLOOKUP(D356,#REF!,2,0),""))))))),"")</f>
        <v>IL-95 LUMINÁRIA LED QUADRADA DE EMBUTIR COM DIFUSOR TRANSLÚCIDO &lt;= 40W</v>
      </c>
      <c r="F356" s="65" t="str">
        <f>VLOOKUP(D356,'FDE 10-23 '!$A$4:$E$3180,3,0)</f>
        <v>UN</v>
      </c>
      <c r="G356" s="66">
        <f>96+48</f>
        <v>144</v>
      </c>
      <c r="H356" s="67">
        <f>VLOOKUP(D356,'FDE 10-23 '!$A$4:$E$3180,5,0)</f>
        <v>409.95</v>
      </c>
      <c r="I356" s="92">
        <f t="shared" si="66"/>
        <v>0.23</v>
      </c>
      <c r="J356" s="67">
        <f t="shared" si="67"/>
        <v>504.24</v>
      </c>
      <c r="K356" s="71">
        <f t="shared" si="68"/>
        <v>72610.559999999998</v>
      </c>
      <c r="L356" s="51"/>
      <c r="M356" s="52"/>
    </row>
    <row r="357" spans="2:13" s="25" customFormat="1" ht="30" customHeight="1" outlineLevel="1">
      <c r="B357" s="61"/>
      <c r="C357" s="62" t="s">
        <v>26</v>
      </c>
      <c r="D357" s="63" t="s">
        <v>1157</v>
      </c>
      <c r="E357" s="64" t="str">
        <f>IFERROR(UPPER(IF(C357="CPU",VLOOKUP(D357,#REF!,2,0),IF(C357="SINAPI",VLOOKUP(D357,#REF!,2,0),IF(C357="EDIF",VLOOKUP(D357,#REF!,2,0),IF(C357="CDHU",VLOOKUP(D357,#REF!,2,0),IF(C357="FDE",VLOOKUP(D357,'FDE 10-23 '!$A$4:$E$3180,2,0),IF(C357="INFRA",VLOOKUP(D357,#REF!,2,0),""))))))),"")</f>
        <v>IL-88 LUMINÁRIA LED DE SOBREPOR C/DIFUSOR TRANSLÚCIDO &lt;=24W</v>
      </c>
      <c r="F357" s="65" t="str">
        <f>VLOOKUP(D357,'FDE 10-23 '!$A$4:$E$3180,3,0)</f>
        <v>UN</v>
      </c>
      <c r="G357" s="66">
        <v>3</v>
      </c>
      <c r="H357" s="67">
        <f>VLOOKUP(D357,'FDE 10-23 '!$A$4:$E$3180,5,0)</f>
        <v>289.77</v>
      </c>
      <c r="I357" s="92">
        <f t="shared" si="66"/>
        <v>0.23</v>
      </c>
      <c r="J357" s="67">
        <f t="shared" si="67"/>
        <v>356.42</v>
      </c>
      <c r="K357" s="71">
        <f t="shared" si="68"/>
        <v>1069.26</v>
      </c>
      <c r="L357" s="51"/>
      <c r="M357" s="52"/>
    </row>
    <row r="358" spans="2:13" s="25" customFormat="1" ht="30" customHeight="1" outlineLevel="1">
      <c r="B358" s="61"/>
      <c r="C358" s="62" t="s">
        <v>26</v>
      </c>
      <c r="D358" s="63" t="s">
        <v>761</v>
      </c>
      <c r="E358" s="64" t="str">
        <f>IFERROR(UPPER(IF(C358="CPU",VLOOKUP(D358,#REF!,2,0),IF(C358="SINAPI",VLOOKUP(D358,#REF!,2,0),IF(C358="EDIF",VLOOKUP(D358,#REF!,2,0),IF(C358="CDHU",VLOOKUP(D358,#REF!,2,0),IF(C358="FDE",VLOOKUP(D358,'FDE 10-23 '!$A$4:$E$3180,2,0),IF(C358="INFRA",VLOOKUP(D358,#REF!,2,0),""))))))),"")</f>
        <v>IL-83 ILUMINAÇÃO AUTONOMA DE EMERGÊNCIA - LED</v>
      </c>
      <c r="F358" s="65" t="str">
        <f>VLOOKUP(D358,'FDE 10-23 '!$A$4:$E$3180,3,0)</f>
        <v>UN</v>
      </c>
      <c r="G358" s="66">
        <v>19</v>
      </c>
      <c r="H358" s="67">
        <f>VLOOKUP(D358,'FDE 10-23 '!$A$4:$E$3180,5,0)</f>
        <v>51.65</v>
      </c>
      <c r="I358" s="92">
        <f t="shared" si="66"/>
        <v>0.23</v>
      </c>
      <c r="J358" s="67">
        <f t="shared" si="67"/>
        <v>63.53</v>
      </c>
      <c r="K358" s="71">
        <f t="shared" si="68"/>
        <v>1207.07</v>
      </c>
      <c r="L358" s="51"/>
      <c r="M358" s="52"/>
    </row>
    <row r="359" spans="2:13" s="25" customFormat="1" ht="30" customHeight="1" outlineLevel="1">
      <c r="B359" s="53"/>
      <c r="C359" s="54"/>
      <c r="D359" s="54" t="s">
        <v>763</v>
      </c>
      <c r="E359" s="55" t="s">
        <v>764</v>
      </c>
      <c r="F359" s="56" t="str">
        <f>IFERROR(UPPER(IF(C359="CPU",VLOOKUP(D359,#REF!,3,0),IF(C359="SINAPI",VLOOKUP(D359,#REF!,3,0),IF(C359="EDIF",VLOOKUP(D359,#REF!,3,0),IF(C359="CDHU",VLOOKUP(D359,#REF!,3,0),IF(C359="FDE",VLOOKUP(D359,#REF!,3,0),IF(C359="INFRA",VLOOKUP(D359,#REF!,3,0),""))))))),"")</f>
        <v/>
      </c>
      <c r="G359" s="57"/>
      <c r="H359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59" s="59"/>
      <c r="J359" s="59"/>
      <c r="K359" s="82">
        <f>SUBTOTAL(9,K360:K361)</f>
        <v>70027.290000000008</v>
      </c>
      <c r="L359" s="51"/>
      <c r="M359" s="52"/>
    </row>
    <row r="360" spans="2:13" s="25" customFormat="1" ht="30" customHeight="1" outlineLevel="1">
      <c r="B360" s="61"/>
      <c r="C360" s="62" t="s">
        <v>26</v>
      </c>
      <c r="D360" s="63" t="s">
        <v>766</v>
      </c>
      <c r="E360" s="64" t="str">
        <f>IFERROR(UPPER(IF(C360="CPU",VLOOKUP(D360,#REF!,2,0),IF(C360="SINAPI",VLOOKUP(D360,#REF!,2,0),IF(C360="EDIF",VLOOKUP(D360,#REF!,2,0),IF(C360="CDHU",VLOOKUP(D360,#REF!,2,0),IF(C360="FDE",VLOOKUP(D360,'FDE 10-23 '!$A$4:$E$3180,2,0),IF(C360="INFRA",VLOOKUP(D360,#REF!,2,0),""))))))),"")</f>
        <v>CENTRO DE LUZ EM CAIXA FM ELETRODUTO DE PVC</v>
      </c>
      <c r="F360" s="65" t="str">
        <f>VLOOKUP(D360,'FDE 10-23 '!$A$4:$E$3180,3,0)</f>
        <v>UN</v>
      </c>
      <c r="G360" s="66">
        <v>15</v>
      </c>
      <c r="H360" s="67">
        <f>VLOOKUP(D360,'FDE 10-23 '!$A$4:$E$3180,5,0)</f>
        <v>191.98</v>
      </c>
      <c r="I360" s="92">
        <f>$L$10</f>
        <v>0.23</v>
      </c>
      <c r="J360" s="67">
        <f>ROUND(H360*(1+I360),2)</f>
        <v>236.14</v>
      </c>
      <c r="K360" s="71">
        <f>SUM(G360*J360)</f>
        <v>3542.1</v>
      </c>
      <c r="L360" s="51"/>
      <c r="M360" s="52"/>
    </row>
    <row r="361" spans="2:13" s="25" customFormat="1" ht="30" customHeight="1" outlineLevel="1">
      <c r="B361" s="61"/>
      <c r="C361" s="62" t="s">
        <v>26</v>
      </c>
      <c r="D361" s="63" t="s">
        <v>768</v>
      </c>
      <c r="E361" s="64" t="str">
        <f>IFERROR(UPPER(IF(C361="CPU",VLOOKUP(D361,#REF!,2,0),IF(C361="SINAPI",VLOOKUP(D361,#REF!,2,0),IF(C361="EDIF",VLOOKUP(D361,#REF!,2,0),IF(C361="CDHU",VLOOKUP(D361,#REF!,2,0),IF(C361="FDE",VLOOKUP(D361,'FDE 10-23 '!$A$4:$E$3180,2,0),IF(C361="INFRA",VLOOKUP(D361,#REF!,2,0),""))))))),"")</f>
        <v>CENTRO DE LUZ EM CONDULETE-ELETRODUTO DE PVC</v>
      </c>
      <c r="F361" s="65" t="str">
        <f>VLOOKUP(D361,'FDE 10-23 '!$A$4:$E$3180,3,0)</f>
        <v>UN</v>
      </c>
      <c r="G361" s="66">
        <v>283</v>
      </c>
      <c r="H361" s="67">
        <f>VLOOKUP(D361,'FDE 10-23 '!$A$4:$E$3180,5,0)</f>
        <v>191</v>
      </c>
      <c r="I361" s="92">
        <f>$L$10</f>
        <v>0.23</v>
      </c>
      <c r="J361" s="67">
        <f>ROUND(H361*(1+I361),2)</f>
        <v>234.93</v>
      </c>
      <c r="K361" s="71">
        <f>SUM(G361*J361)</f>
        <v>66485.19</v>
      </c>
      <c r="L361" s="51"/>
      <c r="M361" s="52"/>
    </row>
    <row r="362" spans="2:13" s="25" customFormat="1" ht="30" customHeight="1" outlineLevel="1">
      <c r="B362" s="53"/>
      <c r="C362" s="54"/>
      <c r="D362" s="54" t="s">
        <v>770</v>
      </c>
      <c r="E362" s="55" t="s">
        <v>771</v>
      </c>
      <c r="F362" s="56" t="str">
        <f>IFERROR(UPPER(IF(C362="CPU",VLOOKUP(D362,#REF!,3,0),IF(C362="SINAPI",VLOOKUP(D362,#REF!,3,0),IF(C362="EDIF",VLOOKUP(D362,#REF!,3,0),IF(C362="CDHU",VLOOKUP(D362,#REF!,3,0),IF(C362="FDE",VLOOKUP(D362,#REF!,3,0),IF(C362="INFRA",VLOOKUP(D362,#REF!,3,0),""))))))),"")</f>
        <v/>
      </c>
      <c r="G362" s="57"/>
      <c r="H362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62" s="59"/>
      <c r="J362" s="59"/>
      <c r="K362" s="82">
        <f>SUBTOTAL(9,K363:K365)</f>
        <v>31952.17</v>
      </c>
      <c r="L362" s="51"/>
      <c r="M362" s="52"/>
    </row>
    <row r="363" spans="2:13" s="25" customFormat="1" ht="30" customHeight="1" outlineLevel="1">
      <c r="B363" s="61"/>
      <c r="C363" s="62" t="s">
        <v>26</v>
      </c>
      <c r="D363" s="63" t="s">
        <v>773</v>
      </c>
      <c r="E363" s="64" t="str">
        <f>IFERROR(UPPER(IF(C363="CPU",VLOOKUP(D363,#REF!,2,0),IF(C363="SINAPI",VLOOKUP(D363,#REF!,2,0),IF(C363="EDIF",VLOOKUP(D363,#REF!,2,0),IF(C363="CDHU",VLOOKUP(D363,#REF!,2,0),IF(C363="FDE",VLOOKUP(D363,'FDE 10-23 '!$A$4:$E$3180,2,0),IF(C363="INFRA",VLOOKUP(D363,#REF!,2,0),""))))))),"")</f>
        <v>IL-06 LUZ DE OBSTACULO COM LAMPADA</v>
      </c>
      <c r="F363" s="65" t="str">
        <f>VLOOKUP(D363,'FDE 10-23 '!$A$4:$E$3180,3,0)</f>
        <v>UN</v>
      </c>
      <c r="G363" s="66">
        <v>1</v>
      </c>
      <c r="H363" s="67">
        <f>VLOOKUP(D363,'FDE 10-23 '!$A$4:$E$3180,5,0)</f>
        <v>333.36</v>
      </c>
      <c r="I363" s="92">
        <f>$L$10</f>
        <v>0.23</v>
      </c>
      <c r="J363" s="67">
        <f>ROUND(H363*(1+I363),2)</f>
        <v>410.03</v>
      </c>
      <c r="K363" s="71">
        <f>SUM(G363*J363)</f>
        <v>410.03</v>
      </c>
      <c r="L363" s="51"/>
      <c r="M363" s="52"/>
    </row>
    <row r="364" spans="2:13" s="25" customFormat="1" ht="30" customHeight="1" outlineLevel="1">
      <c r="B364" s="61"/>
      <c r="C364" s="62" t="s">
        <v>26</v>
      </c>
      <c r="D364" s="63" t="s">
        <v>1160</v>
      </c>
      <c r="E364" s="64" t="str">
        <f>IFERROR(UPPER(IF(C364="CPU",VLOOKUP(D364,#REF!,2,0),IF(C364="SINAPI",VLOOKUP(D364,#REF!,2,0),IF(C364="EDIF",VLOOKUP(D364,#REF!,2,0),IF(C364="CDHU",VLOOKUP(D364,#REF!,2,0),IF(C364="FDE",VLOOKUP(D364,'FDE 10-23 '!$A$4:$E$3180,2,0),IF(C364="INFRA",VLOOKUP(D364,#REF!,2,0),""))))))),"")</f>
        <v>IL-113  LUMINÁRIA LED &lt;=70 W (2X)   APLICADA ÁREAS EXTERNAS  EM POSTE METÁLICO H=6 M</v>
      </c>
      <c r="F364" s="65" t="str">
        <f>VLOOKUP(D364,'FDE 10-23 '!$A$4:$E$3180,3,0)</f>
        <v>UN</v>
      </c>
      <c r="G364" s="66">
        <v>6</v>
      </c>
      <c r="H364" s="67">
        <f>VLOOKUP(D364,'FDE 10-23 '!$A$4:$E$3180,5,0)</f>
        <v>3371.29</v>
      </c>
      <c r="I364" s="92">
        <f>$L$10</f>
        <v>0.23</v>
      </c>
      <c r="J364" s="67">
        <f>ROUND(H364*(1+I364),2)</f>
        <v>4146.6899999999996</v>
      </c>
      <c r="K364" s="71">
        <f>SUM(G364*J364)</f>
        <v>24880.14</v>
      </c>
      <c r="L364" s="51"/>
      <c r="M364" s="52"/>
    </row>
    <row r="365" spans="2:13" s="25" customFormat="1" ht="30" customHeight="1" outlineLevel="1">
      <c r="B365" s="61"/>
      <c r="C365" s="62" t="s">
        <v>26</v>
      </c>
      <c r="D365" s="63" t="s">
        <v>1161</v>
      </c>
      <c r="E365" s="64" t="str">
        <f>IFERROR(UPPER(IF(C365="CPU",VLOOKUP(D365,#REF!,2,0),IF(C365="SINAPI",VLOOKUP(D365,#REF!,2,0),IF(C365="EDIF",VLOOKUP(D365,#REF!,2,0),IF(C365="CDHU",VLOOKUP(D365,#REF!,2,0),IF(C365="FDE",VLOOKUP(D365,'FDE 10-23 '!$A$4:$E$3180,2,0),IF(C365="INFRA",VLOOKUP(D365,#REF!,2,0),""))))))),"")</f>
        <v>IL-101 PROJETOR LED &lt;=100W  L235 X H260 MM C/DIFUSOR DE VIDRO TEMPERADO.</v>
      </c>
      <c r="F365" s="65" t="str">
        <f>VLOOKUP(D365,'FDE 10-23 '!$A$4:$E$3180,3,0)</f>
        <v>UN</v>
      </c>
      <c r="G365" s="66">
        <v>8</v>
      </c>
      <c r="H365" s="67">
        <f>VLOOKUP(D365,'FDE 10-23 '!$A$4:$E$3180,5,0)</f>
        <v>677.03</v>
      </c>
      <c r="I365" s="92">
        <f>$L$10</f>
        <v>0.23</v>
      </c>
      <c r="J365" s="67">
        <f>ROUND(H365*(1+I365),2)</f>
        <v>832.75</v>
      </c>
      <c r="K365" s="71">
        <f>SUM(G365*J365)</f>
        <v>6662</v>
      </c>
      <c r="L365" s="51"/>
      <c r="M365" s="52"/>
    </row>
    <row r="366" spans="2:13" s="25" customFormat="1" ht="30" customHeight="1" outlineLevel="1">
      <c r="B366" s="53"/>
      <c r="C366" s="54"/>
      <c r="D366" s="54" t="s">
        <v>778</v>
      </c>
      <c r="E366" s="55" t="s">
        <v>779</v>
      </c>
      <c r="F366" s="56" t="str">
        <f>IFERROR(UPPER(IF(C366="CPU",VLOOKUP(D366,#REF!,3,0),IF(C366="SINAPI",VLOOKUP(D366,#REF!,3,0),IF(C366="EDIF",VLOOKUP(D366,#REF!,3,0),IF(C366="CDHU",VLOOKUP(D366,#REF!,3,0),IF(C366="FDE",VLOOKUP(D366,#REF!,3,0),IF(C366="INFRA",VLOOKUP(D366,#REF!,3,0),""))))))),"")</f>
        <v/>
      </c>
      <c r="G366" s="57"/>
      <c r="H366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66" s="59"/>
      <c r="J366" s="59"/>
      <c r="K366" s="82">
        <f>SUBTOTAL(9,K367)</f>
        <v>1925.21</v>
      </c>
      <c r="L366" s="51"/>
      <c r="M366" s="52"/>
    </row>
    <row r="367" spans="2:13" s="25" customFormat="1" ht="30" customHeight="1" outlineLevel="1">
      <c r="B367" s="61"/>
      <c r="C367" s="62" t="s">
        <v>26</v>
      </c>
      <c r="D367" s="63" t="s">
        <v>781</v>
      </c>
      <c r="E367" s="64" t="str">
        <f>IFERROR(UPPER(IF(C367="CPU",VLOOKUP(D367,#REF!,2,0),IF(C367="SINAPI",VLOOKUP(D367,#REF!,2,0),IF(C367="EDIF",VLOOKUP(D367,#REF!,2,0),IF(C367="CDHU",VLOOKUP(D367,#REF!,2,0),IF(C367="FDE",VLOOKUP(D367,'FDE 10-23 '!$A$4:$E$3180,2,0),IF(C367="INFRA",VLOOKUP(D367,#REF!,2,0),""))))))),"")</f>
        <v>EX-01 EXAUSTOR AXIAL DN 40CM</v>
      </c>
      <c r="F367" s="65" t="str">
        <f>VLOOKUP(D367,'FDE 10-23 '!$A$4:$E$3180,3,0)</f>
        <v>UN</v>
      </c>
      <c r="G367" s="66">
        <v>1</v>
      </c>
      <c r="H367" s="67">
        <f>VLOOKUP(D367,'FDE 10-23 '!$A$4:$E$3180,5,0)</f>
        <v>1565.21</v>
      </c>
      <c r="I367" s="92">
        <f>$L$10</f>
        <v>0.23</v>
      </c>
      <c r="J367" s="67">
        <f>ROUND(H367*(1+I367),2)</f>
        <v>1925.21</v>
      </c>
      <c r="K367" s="71">
        <f>SUM(G367*J367)</f>
        <v>1925.21</v>
      </c>
      <c r="L367" s="51"/>
      <c r="M367" s="52"/>
    </row>
    <row r="368" spans="2:13" s="25" customFormat="1" ht="30" customHeight="1" outlineLevel="1">
      <c r="B368" s="53"/>
      <c r="C368" s="54"/>
      <c r="D368" s="54" t="s">
        <v>783</v>
      </c>
      <c r="E368" s="55" t="s">
        <v>784</v>
      </c>
      <c r="F368" s="56" t="str">
        <f>IFERROR(UPPER(IF(C368="CPU",VLOOKUP(D368,#REF!,3,0),IF(C368="SINAPI",VLOOKUP(D368,#REF!,3,0),IF(C368="EDIF",VLOOKUP(D368,#REF!,3,0),IF(C368="CDHU",VLOOKUP(D368,#REF!,3,0),IF(C368="FDE",VLOOKUP(D368,#REF!,3,0),IF(C368="INFRA",VLOOKUP(D368,#REF!,3,0),""))))))),"")</f>
        <v/>
      </c>
      <c r="G368" s="57"/>
      <c r="H368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68" s="59"/>
      <c r="J368" s="59"/>
      <c r="K368" s="82">
        <f>SUBTOTAL(9,K369:K376)</f>
        <v>53566.87</v>
      </c>
      <c r="L368" s="51"/>
      <c r="M368" s="52"/>
    </row>
    <row r="369" spans="2:13" s="25" customFormat="1" ht="30" customHeight="1" outlineLevel="1">
      <c r="B369" s="61"/>
      <c r="C369" s="62" t="s">
        <v>26</v>
      </c>
      <c r="D369" s="63" t="s">
        <v>786</v>
      </c>
      <c r="E369" s="64" t="str">
        <f>IFERROR(UPPER(IF(C369="CPU",VLOOKUP(D369,#REF!,2,0),IF(C369="SINAPI",VLOOKUP(D369,#REF!,2,0),IF(C369="EDIF",VLOOKUP(D369,#REF!,2,0),IF(C369="CDHU",VLOOKUP(D369,#REF!,2,0),IF(C369="FDE",VLOOKUP(D369,'FDE 10-23 '!$A$4:$E$3180,2,0),IF(C369="INFRA",VLOOKUP(D369,#REF!,2,0),""))))))),"")</f>
        <v>PP-02 PARA RAIOS FRANKLIN COM MASTRO AÇO GALVANIZADO 02" X 3,00M</v>
      </c>
      <c r="F369" s="65" t="str">
        <f>VLOOKUP(D369,'FDE 10-23 '!$A$4:$E$3180,3,0)</f>
        <v>UN</v>
      </c>
      <c r="G369" s="66">
        <v>1</v>
      </c>
      <c r="H369" s="67">
        <f>VLOOKUP(D369,'FDE 10-23 '!$A$4:$E$3180,5,0)</f>
        <v>964.07</v>
      </c>
      <c r="I369" s="92">
        <f t="shared" ref="I369:I376" si="69">$L$10</f>
        <v>0.23</v>
      </c>
      <c r="J369" s="67">
        <f t="shared" ref="J369:J376" si="70">ROUND(H369*(1+I369),2)</f>
        <v>1185.81</v>
      </c>
      <c r="K369" s="71">
        <f t="shared" ref="K369:K376" si="71">SUM(G369*J369)</f>
        <v>1185.81</v>
      </c>
      <c r="L369" s="51"/>
      <c r="M369" s="52"/>
    </row>
    <row r="370" spans="2:13" s="25" customFormat="1" ht="30" customHeight="1" outlineLevel="1">
      <c r="B370" s="61"/>
      <c r="C370" s="62" t="s">
        <v>26</v>
      </c>
      <c r="D370" s="63" t="s">
        <v>788</v>
      </c>
      <c r="E370" s="64" t="str">
        <f>IFERROR(UPPER(IF(C370="CPU",VLOOKUP(D370,#REF!,2,0),IF(C370="SINAPI",VLOOKUP(D370,#REF!,2,0),IF(C370="EDIF",VLOOKUP(D370,#REF!,2,0),IF(C370="CDHU",VLOOKUP(D370,#REF!,2,0),IF(C370="FDE",VLOOKUP(D370,'FDE 10-23 '!$A$4:$E$3180,2,0),IF(C370="INFRA",VLOOKUP(D370,#REF!,2,0),""))))))),"")</f>
        <v>CORDOALHA DE AÇO GALV. A QUENTE 80MM2 (7/16") SOB A TERRA</v>
      </c>
      <c r="F370" s="65" t="str">
        <f>VLOOKUP(D370,'FDE 10-23 '!$A$4:$E$3180,3,0)</f>
        <v>M</v>
      </c>
      <c r="G370" s="66">
        <v>366</v>
      </c>
      <c r="H370" s="67">
        <f>VLOOKUP(D370,'FDE 10-23 '!$A$4:$E$3180,5,0)</f>
        <v>33.75</v>
      </c>
      <c r="I370" s="92">
        <f t="shared" si="69"/>
        <v>0.23</v>
      </c>
      <c r="J370" s="67">
        <f t="shared" si="70"/>
        <v>41.51</v>
      </c>
      <c r="K370" s="71">
        <f t="shared" si="71"/>
        <v>15192.66</v>
      </c>
      <c r="L370" s="51"/>
      <c r="M370" s="52"/>
    </row>
    <row r="371" spans="2:13" s="25" customFormat="1" ht="30" customHeight="1" outlineLevel="1">
      <c r="B371" s="61"/>
      <c r="C371" s="62" t="s">
        <v>26</v>
      </c>
      <c r="D371" s="63" t="s">
        <v>790</v>
      </c>
      <c r="E371" s="64" t="str">
        <f>IFERROR(UPPER(IF(C371="CPU",VLOOKUP(D371,#REF!,2,0),IF(C371="SINAPI",VLOOKUP(D371,#REF!,2,0),IF(C371="EDIF",VLOOKUP(D371,#REF!,2,0),IF(C371="CDHU",VLOOKUP(D371,#REF!,2,0),IF(C371="FDE",VLOOKUP(D371,'FDE 10-23 '!$A$4:$E$3180,2,0),IF(C371="INFRA",VLOOKUP(D371,#REF!,2,0),""))))))),"")</f>
        <v>TERRA SIMPLES - 1 HASTE COM CAIXA DE INSPEÇÃO E TAMPA DE CONCRETO</v>
      </c>
      <c r="F371" s="65" t="str">
        <f>VLOOKUP(D371,'FDE 10-23 '!$A$4:$E$3180,3,0)</f>
        <v>UN</v>
      </c>
      <c r="G371" s="66">
        <v>24</v>
      </c>
      <c r="H371" s="67">
        <f>VLOOKUP(D371,'FDE 10-23 '!$A$4:$E$3180,5,0)</f>
        <v>352.49</v>
      </c>
      <c r="I371" s="92">
        <f t="shared" si="69"/>
        <v>0.23</v>
      </c>
      <c r="J371" s="67">
        <f t="shared" si="70"/>
        <v>433.56</v>
      </c>
      <c r="K371" s="71">
        <f t="shared" si="71"/>
        <v>10405.44</v>
      </c>
      <c r="L371" s="51"/>
      <c r="M371" s="52"/>
    </row>
    <row r="372" spans="2:13" s="25" customFormat="1" ht="30" customHeight="1" outlineLevel="1">
      <c r="B372" s="61"/>
      <c r="C372" s="62" t="s">
        <v>26</v>
      </c>
      <c r="D372" s="63" t="s">
        <v>792</v>
      </c>
      <c r="E372" s="64" t="str">
        <f>IFERROR(UPPER(IF(C372="CPU",VLOOKUP(D372,#REF!,2,0),IF(C372="SINAPI",VLOOKUP(D372,#REF!,2,0),IF(C372="EDIF",VLOOKUP(D372,#REF!,2,0),IF(C372="CDHU",VLOOKUP(D372,#REF!,2,0),IF(C372="FDE",VLOOKUP(D372,'FDE 10-23 '!$A$4:$E$3180,2,0),IF(C372="INFRA",VLOOKUP(D372,#REF!,2,0),""))))))),"")</f>
        <v>CONEXAO EXOTERMICA CABO/CABO</v>
      </c>
      <c r="F372" s="65" t="str">
        <f>VLOOKUP(D372,'FDE 10-23 '!$A$4:$E$3180,3,0)</f>
        <v>UN</v>
      </c>
      <c r="G372" s="66">
        <v>16</v>
      </c>
      <c r="H372" s="67">
        <f>VLOOKUP(D372,'FDE 10-23 '!$A$4:$E$3180,5,0)</f>
        <v>50.29</v>
      </c>
      <c r="I372" s="92">
        <f t="shared" si="69"/>
        <v>0.23</v>
      </c>
      <c r="J372" s="67">
        <f t="shared" si="70"/>
        <v>61.86</v>
      </c>
      <c r="K372" s="71">
        <f t="shared" si="71"/>
        <v>989.76</v>
      </c>
      <c r="L372" s="51"/>
      <c r="M372" s="52"/>
    </row>
    <row r="373" spans="2:13" s="25" customFormat="1" ht="30" customHeight="1" outlineLevel="1">
      <c r="B373" s="61"/>
      <c r="C373" s="62" t="s">
        <v>26</v>
      </c>
      <c r="D373" s="63" t="s">
        <v>794</v>
      </c>
      <c r="E373" s="64" t="str">
        <f>IFERROR(UPPER(IF(C373="CPU",VLOOKUP(D373,#REF!,2,0),IF(C373="SINAPI",VLOOKUP(D373,#REF!,2,0),IF(C373="EDIF",VLOOKUP(D373,#REF!,2,0),IF(C373="CDHU",VLOOKUP(D373,#REF!,2,0),IF(C373="FDE",VLOOKUP(D373,'FDE 10-23 '!$A$4:$E$3180,2,0),IF(C373="INFRA",VLOOKUP(D373,#REF!,2,0),""))))))),"")</f>
        <v>CONEXAO EXOTERMICA CABO/HASTE</v>
      </c>
      <c r="F373" s="65" t="str">
        <f>VLOOKUP(D373,'FDE 10-23 '!$A$4:$E$3180,3,0)</f>
        <v>UN</v>
      </c>
      <c r="G373" s="66">
        <v>25</v>
      </c>
      <c r="H373" s="67">
        <f>VLOOKUP(D373,'FDE 10-23 '!$A$4:$E$3180,5,0)</f>
        <v>50.49</v>
      </c>
      <c r="I373" s="92">
        <f t="shared" si="69"/>
        <v>0.23</v>
      </c>
      <c r="J373" s="67">
        <f t="shared" si="70"/>
        <v>62.1</v>
      </c>
      <c r="K373" s="71">
        <f t="shared" si="71"/>
        <v>1552.5</v>
      </c>
      <c r="L373" s="51"/>
      <c r="M373" s="52"/>
    </row>
    <row r="374" spans="2:13" s="25" customFormat="1" ht="30" customHeight="1" outlineLevel="1">
      <c r="B374" s="61"/>
      <c r="C374" s="62" t="s">
        <v>26</v>
      </c>
      <c r="D374" s="63" t="s">
        <v>796</v>
      </c>
      <c r="E374" s="64" t="str">
        <f>IFERROR(UPPER(IF(C374="CPU",VLOOKUP(D374,#REF!,2,0),IF(C374="SINAPI",VLOOKUP(D374,#REF!,2,0),IF(C374="EDIF",VLOOKUP(D374,#REF!,2,0),IF(C374="CDHU",VLOOKUP(D374,#REF!,2,0),IF(C374="FDE",VLOOKUP(D374,'FDE 10-23 '!$A$4:$E$3180,2,0),IF(C374="INFRA",VLOOKUP(D374,#REF!,2,0),""))))))),"")</f>
        <v>CONEXAO EXOTERMICA EM ESTRUTURA METALICA</v>
      </c>
      <c r="F374" s="65" t="str">
        <f>VLOOKUP(D374,'FDE 10-23 '!$A$4:$E$3180,3,0)</f>
        <v>UN</v>
      </c>
      <c r="G374" s="66">
        <v>14</v>
      </c>
      <c r="H374" s="67">
        <f>VLOOKUP(D374,'FDE 10-23 '!$A$4:$E$3180,5,0)</f>
        <v>38.700000000000003</v>
      </c>
      <c r="I374" s="92">
        <f t="shared" si="69"/>
        <v>0.23</v>
      </c>
      <c r="J374" s="67">
        <f t="shared" si="70"/>
        <v>47.6</v>
      </c>
      <c r="K374" s="71">
        <f t="shared" si="71"/>
        <v>666.4</v>
      </c>
      <c r="L374" s="51"/>
      <c r="M374" s="52"/>
    </row>
    <row r="375" spans="2:13" s="25" customFormat="1" ht="30" customHeight="1" outlineLevel="1">
      <c r="B375" s="61"/>
      <c r="C375" s="62" t="s">
        <v>26</v>
      </c>
      <c r="D375" s="63" t="s">
        <v>798</v>
      </c>
      <c r="E375" s="64" t="str">
        <f>IFERROR(UPPER(IF(C375="CPU",VLOOKUP(D375,#REF!,2,0),IF(C375="SINAPI",VLOOKUP(D375,#REF!,2,0),IF(C375="EDIF",VLOOKUP(D375,#REF!,2,0),IF(C375="CDHU",VLOOKUP(D375,#REF!,2,0),IF(C375="FDE",VLOOKUP(D375,'FDE 10-23 '!$A$4:$E$3180,2,0),IF(C375="INFRA",VLOOKUP(D375,#REF!,2,0),""))))))),"")</f>
        <v>TUBO DE PVC Ø 2'' X 3,00M PARA PROTEÇAO  DESCIDA DE CORDOALHA</v>
      </c>
      <c r="F375" s="65" t="str">
        <f>VLOOKUP(D375,'FDE 10-23 '!$A$4:$E$3180,3,0)</f>
        <v>UN</v>
      </c>
      <c r="G375" s="66">
        <v>16</v>
      </c>
      <c r="H375" s="67">
        <f>VLOOKUP(D375,'FDE 10-23 '!$A$4:$E$3180,5,0)</f>
        <v>93.27</v>
      </c>
      <c r="I375" s="92">
        <f t="shared" si="69"/>
        <v>0.23</v>
      </c>
      <c r="J375" s="67">
        <f t="shared" si="70"/>
        <v>114.72</v>
      </c>
      <c r="K375" s="71">
        <f t="shared" si="71"/>
        <v>1835.52</v>
      </c>
      <c r="L375" s="51"/>
      <c r="M375" s="52"/>
    </row>
    <row r="376" spans="2:13" s="25" customFormat="1" ht="30" customHeight="1" outlineLevel="1">
      <c r="B376" s="61"/>
      <c r="C376" s="62" t="s">
        <v>26</v>
      </c>
      <c r="D376" s="63" t="s">
        <v>800</v>
      </c>
      <c r="E376" s="64" t="str">
        <f>IFERROR(UPPER(IF(C376="CPU",VLOOKUP(D376,#REF!,2,0),IF(C376="SINAPI",VLOOKUP(D376,#REF!,2,0),IF(C376="EDIF",VLOOKUP(D376,#REF!,2,0),IF(C376="CDHU",VLOOKUP(D376,#REF!,2,0),IF(C376="FDE",VLOOKUP(D376,'FDE 10-23 '!$A$4:$E$3180,2,0),IF(C376="INFRA",VLOOKUP(D376,#REF!,2,0),""))))))),"")</f>
        <v>CORDOALHA DE AÇO GALV. A QUENTE 50 MM2 (3/8") C/SUPORTE.DE FIXAÇÃO.</v>
      </c>
      <c r="F376" s="65" t="str">
        <f>VLOOKUP(D376,'FDE 10-23 '!$A$4:$E$3180,3,0)</f>
        <v>M</v>
      </c>
      <c r="G376" s="66">
        <v>497</v>
      </c>
      <c r="H376" s="67">
        <f>VLOOKUP(D376,'FDE 10-23 '!$A$4:$E$3180,5,0)</f>
        <v>35.56</v>
      </c>
      <c r="I376" s="92">
        <f t="shared" si="69"/>
        <v>0.23</v>
      </c>
      <c r="J376" s="67">
        <f t="shared" si="70"/>
        <v>43.74</v>
      </c>
      <c r="K376" s="71">
        <f t="shared" si="71"/>
        <v>21738.780000000002</v>
      </c>
      <c r="L376" s="51"/>
      <c r="M376" s="52"/>
    </row>
    <row r="377" spans="2:13" s="25" customFormat="1" ht="30" customHeight="1">
      <c r="B377" s="43">
        <v>10</v>
      </c>
      <c r="C377" s="44"/>
      <c r="D377" s="44" t="s">
        <v>801</v>
      </c>
      <c r="E377" s="45" t="s">
        <v>802</v>
      </c>
      <c r="F377" s="46" t="str">
        <f>IFERROR(UPPER(IF(C377="CPU",VLOOKUP(D377,#REF!,3,0),IF(C377="SINAPI",VLOOKUP(D377,#REF!,3,0),IF(C377="EDIF",VLOOKUP(D377,#REF!,3,0),IF(C377="CDHU",VLOOKUP(D377,#REF!,3,0),IF(C377="FDE",VLOOKUP(D377,#REF!,3,0),IF(C377="INFRA",VLOOKUP(D377,#REF!,3,0),""))))))),"")</f>
        <v/>
      </c>
      <c r="G377" s="47"/>
      <c r="H377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77" s="49"/>
      <c r="J377" s="49"/>
      <c r="K377" s="81">
        <f>SUBTOTAL(9,K378:K379)</f>
        <v>192596.008</v>
      </c>
      <c r="L377" s="51"/>
      <c r="M377" s="52"/>
    </row>
    <row r="378" spans="2:13" s="25" customFormat="1" ht="30" customHeight="1" outlineLevel="1">
      <c r="B378" s="53"/>
      <c r="C378" s="54"/>
      <c r="D378" s="54" t="s">
        <v>804</v>
      </c>
      <c r="E378" s="55" t="s">
        <v>802</v>
      </c>
      <c r="F378" s="56" t="str">
        <f>IFERROR(UPPER(IF(C378="CPU",VLOOKUP(D378,#REF!,3,0),IF(C378="SINAPI",VLOOKUP(D378,#REF!,3,0),IF(C378="EDIF",VLOOKUP(D378,#REF!,3,0),IF(C378="CDHU",VLOOKUP(D378,#REF!,3,0),IF(C378="FDE",VLOOKUP(D378,#REF!,3,0),IF(C378="INFRA",VLOOKUP(D378,#REF!,3,0),""))))))),"")</f>
        <v/>
      </c>
      <c r="G378" s="57"/>
      <c r="H378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78" s="59"/>
      <c r="J378" s="59"/>
      <c r="K378" s="82">
        <f>SUBTOTAL(9,K379)</f>
        <v>192596.008</v>
      </c>
      <c r="L378" s="51"/>
      <c r="M378" s="52"/>
    </row>
    <row r="379" spans="2:13" s="25" customFormat="1" ht="30" customHeight="1" outlineLevel="1">
      <c r="B379" s="61"/>
      <c r="C379" s="62" t="s">
        <v>26</v>
      </c>
      <c r="D379" s="63" t="s">
        <v>806</v>
      </c>
      <c r="E379" s="64" t="str">
        <f>IFERROR(UPPER(IF(C379="CPU",VLOOKUP(D379,#REF!,2,0),IF(C379="SINAPI",VLOOKUP(D379,#REF!,2,0),IF(C379="EDIF",VLOOKUP(D379,#REF!,2,0),IF(C379="CDHU",VLOOKUP(D379,#REF!,2,0),IF(C379="FDE",VLOOKUP(D379,'FDE 10-23 '!$A$4:$E$3180,2,0),IF(C379="INFRA",VLOOKUP(D379,#REF!,2,0),""))))))),"")</f>
        <v>FORRO PLACA MINERAL NRC 0,70 MP COMPLETE INCL.PERFIS FORNEC/INST.</v>
      </c>
      <c r="F379" s="65" t="str">
        <f>VLOOKUP(D379,'FDE 10-23 '!$A$4:$E$3180,3,0)</f>
        <v>M2</v>
      </c>
      <c r="G379" s="66">
        <v>965.2</v>
      </c>
      <c r="H379" s="67">
        <f>VLOOKUP(D379,'FDE 10-23 '!$A$4:$E$3180,5,0)</f>
        <v>162.22999999999999</v>
      </c>
      <c r="I379" s="92">
        <f>$L$10</f>
        <v>0.23</v>
      </c>
      <c r="J379" s="67">
        <f>ROUND(H379*(1+I379),2)</f>
        <v>199.54</v>
      </c>
      <c r="K379" s="71">
        <f>SUM(G379*J379)</f>
        <v>192596.008</v>
      </c>
      <c r="L379" s="51"/>
      <c r="M379" s="52"/>
    </row>
    <row r="380" spans="2:13" s="25" customFormat="1" ht="30" customHeight="1">
      <c r="B380" s="43">
        <v>11</v>
      </c>
      <c r="C380" s="44"/>
      <c r="D380" s="44" t="s">
        <v>807</v>
      </c>
      <c r="E380" s="45" t="s">
        <v>808</v>
      </c>
      <c r="F380" s="46" t="str">
        <f>IFERROR(UPPER(IF(C380="CPU",VLOOKUP(D380,#REF!,3,0),IF(C380="SINAPI",VLOOKUP(D380,#REF!,3,0),IF(C380="EDIF",VLOOKUP(D380,#REF!,3,0),IF(C380="CDHU",VLOOKUP(D380,#REF!,3,0),IF(C380="FDE",VLOOKUP(D380,#REF!,3,0),IF(C380="INFRA",VLOOKUP(D380,#REF!,3,0),""))))))),"")</f>
        <v/>
      </c>
      <c r="G380" s="47"/>
      <c r="H380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80" s="49"/>
      <c r="J380" s="49"/>
      <c r="K380" s="81">
        <f>SUBTOTAL(9,K381:K389)</f>
        <v>30931.815800000004</v>
      </c>
      <c r="L380" s="51"/>
      <c r="M380" s="52"/>
    </row>
    <row r="381" spans="2:13" s="25" customFormat="1" ht="30" customHeight="1" outlineLevel="1">
      <c r="B381" s="53"/>
      <c r="C381" s="54"/>
      <c r="D381" s="54" t="s">
        <v>810</v>
      </c>
      <c r="E381" s="55" t="s">
        <v>811</v>
      </c>
      <c r="F381" s="56" t="str">
        <f>IFERROR(UPPER(IF(C381="CPU",VLOOKUP(D381,#REF!,3,0),IF(C381="SINAPI",VLOOKUP(D381,#REF!,3,0),IF(C381="EDIF",VLOOKUP(D381,#REF!,3,0),IF(C381="CDHU",VLOOKUP(D381,#REF!,3,0),IF(C381="FDE",VLOOKUP(D381,#REF!,3,0),IF(C381="INFRA",VLOOKUP(D381,#REF!,3,0),""))))))),"")</f>
        <v/>
      </c>
      <c r="G381" s="57"/>
      <c r="H381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81" s="59"/>
      <c r="J381" s="59"/>
      <c r="K381" s="82">
        <f>SUBTOTAL(9,K382:K384)</f>
        <v>20903.248800000001</v>
      </c>
      <c r="L381" s="51"/>
      <c r="M381" s="52"/>
    </row>
    <row r="382" spans="2:13" s="25" customFormat="1" ht="30" customHeight="1" outlineLevel="1">
      <c r="B382" s="61"/>
      <c r="C382" s="62" t="s">
        <v>26</v>
      </c>
      <c r="D382" s="63" t="s">
        <v>813</v>
      </c>
      <c r="E382" s="64" t="str">
        <f>IFERROR(UPPER(IF(C382="CPU",VLOOKUP(D382,#REF!,2,0),IF(C382="SINAPI",VLOOKUP(D382,#REF!,2,0),IF(C382="EDIF",VLOOKUP(D382,#REF!,2,0),IF(C382="CDHU",VLOOKUP(D382,#REF!,2,0),IF(C382="FDE",VLOOKUP(D382,'FDE 10-23 '!$A$4:$E$3180,2,0),IF(C382="INFRA",VLOOKUP(D382,#REF!,2,0),""))))))),"")</f>
        <v>IMPERM C/ EMULSAO ACRILICA ESTRUT C/ VEU DE POLIESTER-6 DEMAOS / 2 EST</v>
      </c>
      <c r="F382" s="65" t="str">
        <f>VLOOKUP(D382,'FDE 10-23 '!$A$4:$E$3180,3,0)</f>
        <v>M2</v>
      </c>
      <c r="G382" s="66">
        <v>255.6</v>
      </c>
      <c r="H382" s="67">
        <f>VLOOKUP(D382,'FDE 10-23 '!$A$4:$E$3180,5,0)</f>
        <v>59.64</v>
      </c>
      <c r="I382" s="92">
        <f>$L$10</f>
        <v>0.23</v>
      </c>
      <c r="J382" s="67">
        <f>ROUND(H382*(1+I382),2)</f>
        <v>73.36</v>
      </c>
      <c r="K382" s="71">
        <f>SUM(G382*J382)</f>
        <v>18750.815999999999</v>
      </c>
      <c r="L382" s="51"/>
      <c r="M382" s="52"/>
    </row>
    <row r="383" spans="2:13" s="25" customFormat="1" ht="30" customHeight="1" outlineLevel="1">
      <c r="B383" s="61"/>
      <c r="C383" s="62" t="s">
        <v>26</v>
      </c>
      <c r="D383" s="63" t="s">
        <v>815</v>
      </c>
      <c r="E383" s="64" t="str">
        <f>IFERROR(UPPER(IF(C383="CPU",VLOOKUP(D383,#REF!,2,0),IF(C383="SINAPI",VLOOKUP(D383,#REF!,2,0),IF(C383="EDIF",VLOOKUP(D383,#REF!,2,0),IF(C383="CDHU",VLOOKUP(D383,#REF!,2,0),IF(C383="FDE",VLOOKUP(D383,'FDE 10-23 '!$A$4:$E$3180,2,0),IF(C383="INFRA",VLOOKUP(D383,#REF!,2,0),""))))))),"")</f>
        <v>REGULARIZACAO DE SUPERFICIE P/ PREPARO IMPERM 1:3 E=2,5CM</v>
      </c>
      <c r="F383" s="65" t="str">
        <f>VLOOKUP(D383,'FDE 10-23 '!$A$4:$E$3180,3,0)</f>
        <v>M2</v>
      </c>
      <c r="G383" s="66">
        <v>45.36</v>
      </c>
      <c r="H383" s="67">
        <f>VLOOKUP(D383,'FDE 10-23 '!$A$4:$E$3180,5,0)</f>
        <v>25.91</v>
      </c>
      <c r="I383" s="92">
        <f>$L$10</f>
        <v>0.23</v>
      </c>
      <c r="J383" s="67">
        <f>ROUND(H383*(1+I383),2)</f>
        <v>31.87</v>
      </c>
      <c r="K383" s="71">
        <f>SUM(G383*J383)</f>
        <v>1445.6232</v>
      </c>
      <c r="L383" s="51"/>
      <c r="M383" s="52"/>
    </row>
    <row r="384" spans="2:13" s="25" customFormat="1" ht="30" customHeight="1" outlineLevel="1">
      <c r="B384" s="61"/>
      <c r="C384" s="62" t="s">
        <v>26</v>
      </c>
      <c r="D384" s="63" t="s">
        <v>817</v>
      </c>
      <c r="E384" s="64" t="str">
        <f>IFERROR(UPPER(IF(C384="CPU",VLOOKUP(D384,#REF!,2,0),IF(C384="SINAPI",VLOOKUP(D384,#REF!,2,0),IF(C384="EDIF",VLOOKUP(D384,#REF!,2,0),IF(C384="CDHU",VLOOKUP(D384,#REF!,2,0),IF(C384="FDE",VLOOKUP(D384,'FDE 10-23 '!$A$4:$E$3180,2,0),IF(C384="INFRA",VLOOKUP(D384,#REF!,2,0),""))))))),"")</f>
        <v>ARGAMASSA PARA PROTEÇAO MECANICA SOBRE SUPERFICIE IMPERMEABILIZADA TRAÇO 1:4  ESPESSURA 3CM</v>
      </c>
      <c r="F384" s="65" t="str">
        <f>VLOOKUP(D384,'FDE 10-23 '!$A$4:$E$3180,3,0)</f>
        <v>M2</v>
      </c>
      <c r="G384" s="66">
        <v>20.16</v>
      </c>
      <c r="H384" s="67">
        <f>VLOOKUP(D384,'FDE 10-23 '!$A$4:$E$3180,5,0)</f>
        <v>28.5</v>
      </c>
      <c r="I384" s="92">
        <f>$L$10</f>
        <v>0.23</v>
      </c>
      <c r="J384" s="67">
        <f>ROUND(H384*(1+I384),2)</f>
        <v>35.06</v>
      </c>
      <c r="K384" s="71">
        <f>SUM(G384*J384)</f>
        <v>706.80960000000005</v>
      </c>
      <c r="L384" s="51"/>
      <c r="M384" s="52"/>
    </row>
    <row r="385" spans="2:13" s="25" customFormat="1" ht="30" customHeight="1" outlineLevel="1">
      <c r="B385" s="53"/>
      <c r="C385" s="54"/>
      <c r="D385" s="54" t="s">
        <v>819</v>
      </c>
      <c r="E385" s="55" t="s">
        <v>820</v>
      </c>
      <c r="F385" s="56" t="str">
        <f>IFERROR(UPPER(IF(C385="CPU",VLOOKUP(D385,#REF!,3,0),IF(C385="SINAPI",VLOOKUP(D385,#REF!,3,0),IF(C385="EDIF",VLOOKUP(D385,#REF!,3,0),IF(C385="CDHU",VLOOKUP(D385,#REF!,3,0),IF(C385="FDE",VLOOKUP(D385,#REF!,3,0),IF(C385="INFRA",VLOOKUP(D385,#REF!,3,0),""))))))),"")</f>
        <v/>
      </c>
      <c r="G385" s="57"/>
      <c r="H38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85" s="59"/>
      <c r="J385" s="59"/>
      <c r="K385" s="82">
        <f>SUBTOTAL(9,K386:K387)</f>
        <v>2502.1669999999999</v>
      </c>
      <c r="L385" s="51"/>
      <c r="M385" s="52"/>
    </row>
    <row r="386" spans="2:13" s="25" customFormat="1" ht="30" customHeight="1" outlineLevel="1">
      <c r="B386" s="61"/>
      <c r="C386" s="62" t="s">
        <v>26</v>
      </c>
      <c r="D386" s="63" t="s">
        <v>822</v>
      </c>
      <c r="E386" s="64" t="str">
        <f>IFERROR(UPPER(IF(C386="CPU",VLOOKUP(D386,#REF!,2,0),IF(C386="SINAPI",VLOOKUP(D386,#REF!,2,0),IF(C386="EDIF",VLOOKUP(D386,#REF!,2,0),IF(C386="CDHU",VLOOKUP(D386,#REF!,2,0),IF(C386="FDE",VLOOKUP(D386,'FDE 10-23 '!$A$4:$E$3180,2,0),IF(C386="INFRA",VLOOKUP(D386,#REF!,2,0),""))))))),"")</f>
        <v>IMPERMEABIL RESERV.ENTERRADO COM ARGAMASSA POLIMERICA SEMIFLEXIVEL COM APLICAÇÃO 4 DEMÃOS</v>
      </c>
      <c r="F386" s="65" t="str">
        <f>VLOOKUP(D386,'FDE 10-23 '!$A$4:$E$3180,3,0)</f>
        <v>M2</v>
      </c>
      <c r="G386" s="66">
        <v>86.78</v>
      </c>
      <c r="H386" s="67">
        <f>VLOOKUP(D386,'FDE 10-23 '!$A$4:$E$3180,5,0)</f>
        <v>22.48</v>
      </c>
      <c r="I386" s="92">
        <f>$L$10</f>
        <v>0.23</v>
      </c>
      <c r="J386" s="67">
        <f>ROUND(H386*(1+I386),2)</f>
        <v>27.65</v>
      </c>
      <c r="K386" s="71">
        <f>SUM(G386*J386)</f>
        <v>2399.4670000000001</v>
      </c>
      <c r="L386" s="51"/>
      <c r="M386" s="52"/>
    </row>
    <row r="387" spans="2:13" s="25" customFormat="1" ht="30" customHeight="1" outlineLevel="1">
      <c r="B387" s="61"/>
      <c r="C387" s="62" t="s">
        <v>26</v>
      </c>
      <c r="D387" s="63" t="s">
        <v>824</v>
      </c>
      <c r="E387" s="64" t="str">
        <f>IFERROR(UPPER(IF(C387="CPU",VLOOKUP(D387,#REF!,2,0),IF(C387="SINAPI",VLOOKUP(D387,#REF!,2,0),IF(C387="EDIF",VLOOKUP(D387,#REF!,2,0),IF(C387="CDHU",VLOOKUP(D387,#REF!,2,0),IF(C387="FDE",VLOOKUP(D387,'FDE 10-23 '!$A$4:$E$3180,2,0),IF(C387="INFRA",VLOOKUP(D387,#REF!,2,0),""))))))),"")</f>
        <v>COM TINTA BETUMINOSA (APLICACAO EXTERNA)</v>
      </c>
      <c r="F387" s="65" t="str">
        <f>VLOOKUP(D387,'FDE 10-23 '!$A$4:$E$3180,3,0)</f>
        <v>M2</v>
      </c>
      <c r="G387" s="66">
        <v>5</v>
      </c>
      <c r="H387" s="67">
        <f>VLOOKUP(D387,'FDE 10-23 '!$A$4:$E$3180,5,0)</f>
        <v>16.7</v>
      </c>
      <c r="I387" s="92">
        <f>$L$10</f>
        <v>0.23</v>
      </c>
      <c r="J387" s="67">
        <f>ROUND(H387*(1+I387),2)</f>
        <v>20.54</v>
      </c>
      <c r="K387" s="71">
        <f>SUM(G387*J387)</f>
        <v>102.69999999999999</v>
      </c>
      <c r="L387" s="51"/>
      <c r="M387" s="52"/>
    </row>
    <row r="388" spans="2:13" s="25" customFormat="1" ht="30" customHeight="1" outlineLevel="1">
      <c r="B388" s="53"/>
      <c r="C388" s="54"/>
      <c r="D388" s="54" t="s">
        <v>826</v>
      </c>
      <c r="E388" s="55" t="s">
        <v>827</v>
      </c>
      <c r="F388" s="56" t="str">
        <f>IFERROR(UPPER(IF(C388="CPU",VLOOKUP(D388,#REF!,3,0),IF(C388="SINAPI",VLOOKUP(D388,#REF!,3,0),IF(C388="EDIF",VLOOKUP(D388,#REF!,3,0),IF(C388="CDHU",VLOOKUP(D388,#REF!,3,0),IF(C388="FDE",VLOOKUP(D388,#REF!,3,0),IF(C388="INFRA",VLOOKUP(D388,#REF!,3,0),""))))))),"")</f>
        <v/>
      </c>
      <c r="G388" s="57"/>
      <c r="H388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88" s="59"/>
      <c r="J388" s="59"/>
      <c r="K388" s="82">
        <f>SUBTOTAL(9,K389)</f>
        <v>7526.4000000000005</v>
      </c>
      <c r="L388" s="51"/>
      <c r="M388" s="52"/>
    </row>
    <row r="389" spans="2:13" s="25" customFormat="1" ht="30" customHeight="1" outlineLevel="1">
      <c r="B389" s="61"/>
      <c r="C389" s="62" t="s">
        <v>26</v>
      </c>
      <c r="D389" s="63" t="s">
        <v>829</v>
      </c>
      <c r="E389" s="64" t="str">
        <f>IFERROR(UPPER(IF(C389="CPU",VLOOKUP(D389,#REF!,2,0),IF(C389="SINAPI",VLOOKUP(D389,#REF!,2,0),IF(C389="EDIF",VLOOKUP(D389,#REF!,2,0),IF(C389="CDHU",VLOOKUP(D389,#REF!,2,0),IF(C389="FDE",VLOOKUP(D389,'FDE 10-23 '!$A$4:$E$3180,2,0),IF(C389="INFRA",VLOOKUP(D389,#REF!,2,0),""))))))),"")</f>
        <v>JUNTAS DE DILATACAO/MASTIQUE ELASTICO OU POLIURETANO</v>
      </c>
      <c r="F389" s="65" t="str">
        <f>VLOOKUP(D389,'FDE 10-23 '!$A$4:$E$3180,3,0)</f>
        <v>C3</v>
      </c>
      <c r="G389" s="66">
        <v>26880</v>
      </c>
      <c r="H389" s="67">
        <f>VLOOKUP(D389,'FDE 10-23 '!$A$4:$E$3180,5,0)</f>
        <v>0.23</v>
      </c>
      <c r="I389" s="92">
        <f>$L$10</f>
        <v>0.23</v>
      </c>
      <c r="J389" s="67">
        <f>ROUND(H389*(1+I389),2)</f>
        <v>0.28000000000000003</v>
      </c>
      <c r="K389" s="71">
        <f>SUM(G389*J389)</f>
        <v>7526.4000000000005</v>
      </c>
      <c r="L389" s="51"/>
      <c r="M389" s="52"/>
    </row>
    <row r="390" spans="2:13" s="25" customFormat="1" ht="30" customHeight="1">
      <c r="B390" s="43">
        <v>12</v>
      </c>
      <c r="C390" s="44"/>
      <c r="D390" s="44" t="s">
        <v>830</v>
      </c>
      <c r="E390" s="45" t="s">
        <v>831</v>
      </c>
      <c r="F390" s="46" t="str">
        <f>IFERROR(UPPER(IF(C390="CPU",VLOOKUP(D390,#REF!,3,0),IF(C390="SINAPI",VLOOKUP(D390,#REF!,3,0),IF(C390="EDIF",VLOOKUP(D390,#REF!,3,0),IF(C390="CDHU",VLOOKUP(D390,#REF!,3,0),IF(C390="FDE",VLOOKUP(D390,#REF!,3,0),IF(C390="INFRA",VLOOKUP(D390,#REF!,3,0),""))))))),"")</f>
        <v/>
      </c>
      <c r="G390" s="47"/>
      <c r="H390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90" s="49"/>
      <c r="J390" s="49"/>
      <c r="K390" s="81">
        <f>SUBTOTAL(9,K391:K403)</f>
        <v>192940.33319999996</v>
      </c>
      <c r="L390" s="51"/>
      <c r="M390" s="52"/>
    </row>
    <row r="391" spans="2:13" s="25" customFormat="1" ht="30" customHeight="1" outlineLevel="1">
      <c r="B391" s="53"/>
      <c r="C391" s="54"/>
      <c r="D391" s="54" t="s">
        <v>833</v>
      </c>
      <c r="E391" s="55" t="s">
        <v>834</v>
      </c>
      <c r="F391" s="56" t="str">
        <f>IFERROR(UPPER(IF(C391="CPU",VLOOKUP(D391,#REF!,3,0),IF(C391="SINAPI",VLOOKUP(D391,#REF!,3,0),IF(C391="EDIF",VLOOKUP(D391,#REF!,3,0),IF(C391="CDHU",VLOOKUP(D391,#REF!,3,0),IF(C391="FDE",VLOOKUP(D391,#REF!,3,0),IF(C391="INFRA",VLOOKUP(D391,#REF!,3,0),""))))))),"")</f>
        <v/>
      </c>
      <c r="G391" s="57"/>
      <c r="H391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91" s="59"/>
      <c r="J391" s="59"/>
      <c r="K391" s="82">
        <f>SUBTOTAL(9,K392:K393)</f>
        <v>460.67599999999993</v>
      </c>
      <c r="L391" s="51"/>
      <c r="M391" s="52"/>
    </row>
    <row r="392" spans="2:13" s="25" customFormat="1" ht="30" customHeight="1" outlineLevel="1">
      <c r="B392" s="61"/>
      <c r="C392" s="62" t="s">
        <v>26</v>
      </c>
      <c r="D392" s="63" t="s">
        <v>836</v>
      </c>
      <c r="E392" s="64" t="str">
        <f>IFERROR(UPPER(IF(C392="CPU",VLOOKUP(D392,#REF!,2,0),IF(C392="SINAPI",VLOOKUP(D392,#REF!,2,0),IF(C392="EDIF",VLOOKUP(D392,#REF!,2,0),IF(C392="CDHU",VLOOKUP(D392,#REF!,2,0),IF(C392="FDE",VLOOKUP(D392,'FDE 10-23 '!$A$4:$E$3180,2,0),IF(C392="INFRA",VLOOKUP(D392,#REF!,2,0),""))))))),"")</f>
        <v>CHAPISCO</v>
      </c>
      <c r="F392" s="65" t="str">
        <f>VLOOKUP(D392,'FDE 10-23 '!$A$4:$E$3180,3,0)</f>
        <v>M2</v>
      </c>
      <c r="G392" s="66">
        <v>8.1999999999999993</v>
      </c>
      <c r="H392" s="67">
        <f>VLOOKUP(D392,'FDE 10-23 '!$A$4:$E$3180,5,0)</f>
        <v>10.06</v>
      </c>
      <c r="I392" s="92">
        <f>$L$10</f>
        <v>0.23</v>
      </c>
      <c r="J392" s="67">
        <f>ROUND(H392*(1+I392),2)</f>
        <v>12.37</v>
      </c>
      <c r="K392" s="71">
        <f>SUM(G392*J392)</f>
        <v>101.43399999999998</v>
      </c>
      <c r="L392" s="51"/>
      <c r="M392" s="52"/>
    </row>
    <row r="393" spans="2:13" s="25" customFormat="1" ht="30" customHeight="1" outlineLevel="1">
      <c r="B393" s="61"/>
      <c r="C393" s="62" t="s">
        <v>26</v>
      </c>
      <c r="D393" s="63" t="s">
        <v>838</v>
      </c>
      <c r="E393" s="64" t="str">
        <f>IFERROR(UPPER(IF(C393="CPU",VLOOKUP(D393,#REF!,2,0),IF(C393="SINAPI",VLOOKUP(D393,#REF!,2,0),IF(C393="EDIF",VLOOKUP(D393,#REF!,2,0),IF(C393="CDHU",VLOOKUP(D393,#REF!,2,0),IF(C393="FDE",VLOOKUP(D393,'FDE 10-23 '!$A$4:$E$3180,2,0),IF(C393="INFRA",VLOOKUP(D393,#REF!,2,0),""))))))),"")</f>
        <v>EMBOCO DESEMPENADO</v>
      </c>
      <c r="F393" s="65" t="str">
        <f>VLOOKUP(D393,'FDE 10-23 '!$A$4:$E$3180,3,0)</f>
        <v>M2</v>
      </c>
      <c r="G393" s="66">
        <v>8.1999999999999993</v>
      </c>
      <c r="H393" s="67">
        <f>VLOOKUP(D393,'FDE 10-23 '!$A$4:$E$3180,5,0)</f>
        <v>35.619999999999997</v>
      </c>
      <c r="I393" s="92">
        <f>$L$10</f>
        <v>0.23</v>
      </c>
      <c r="J393" s="67">
        <f>ROUND(H393*(1+I393),2)</f>
        <v>43.81</v>
      </c>
      <c r="K393" s="71">
        <f>SUM(G393*J393)</f>
        <v>359.24199999999996</v>
      </c>
      <c r="L393" s="51"/>
      <c r="M393" s="52"/>
    </row>
    <row r="394" spans="2:13" s="25" customFormat="1" ht="30" customHeight="1" outlineLevel="1">
      <c r="B394" s="53"/>
      <c r="C394" s="54"/>
      <c r="D394" s="54" t="s">
        <v>840</v>
      </c>
      <c r="E394" s="55" t="s">
        <v>841</v>
      </c>
      <c r="F394" s="56" t="str">
        <f>IFERROR(UPPER(IF(C394="CPU",VLOOKUP(D394,#REF!,3,0),IF(C394="SINAPI",VLOOKUP(D394,#REF!,3,0),IF(C394="EDIF",VLOOKUP(D394,#REF!,3,0),IF(C394="CDHU",VLOOKUP(D394,#REF!,3,0),IF(C394="FDE",VLOOKUP(D394,#REF!,3,0),IF(C394="INFRA",VLOOKUP(D394,#REF!,3,0),""))))))),"")</f>
        <v/>
      </c>
      <c r="G394" s="57"/>
      <c r="H394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394" s="59"/>
      <c r="J394" s="59"/>
      <c r="K394" s="82">
        <f>SUBTOTAL(9,K395:K400)</f>
        <v>168085.3236</v>
      </c>
      <c r="L394" s="51"/>
      <c r="M394" s="52"/>
    </row>
    <row r="395" spans="2:13" s="25" customFormat="1" ht="30" customHeight="1" outlineLevel="1">
      <c r="B395" s="61"/>
      <c r="C395" s="62" t="s">
        <v>26</v>
      </c>
      <c r="D395" s="63" t="s">
        <v>843</v>
      </c>
      <c r="E395" s="64" t="str">
        <f>IFERROR(UPPER(IF(C395="CPU",VLOOKUP(D395,#REF!,2,0),IF(C395="SINAPI",VLOOKUP(D395,#REF!,2,0),IF(C395="EDIF",VLOOKUP(D395,#REF!,2,0),IF(C395="CDHU",VLOOKUP(D395,#REF!,2,0),IF(C395="FDE",VLOOKUP(D395,'FDE 10-23 '!$A$4:$E$3180,2,0),IF(C395="INFRA",VLOOKUP(D395,#REF!,2,0),""))))))),"")</f>
        <v>CHAPISCO</v>
      </c>
      <c r="F395" s="65" t="str">
        <f>VLOOKUP(D395,'FDE 10-23 '!$A$4:$E$3180,3,0)</f>
        <v>M2</v>
      </c>
      <c r="G395" s="66">
        <v>1473.7</v>
      </c>
      <c r="H395" s="67">
        <f>VLOOKUP(D395,'FDE 10-23 '!$A$4:$E$3180,5,0)</f>
        <v>5.71</v>
      </c>
      <c r="I395" s="92">
        <f t="shared" ref="I395:I400" si="72">$L$10</f>
        <v>0.23</v>
      </c>
      <c r="J395" s="67">
        <f t="shared" ref="J395:J400" si="73">ROUND(H395*(1+I395),2)</f>
        <v>7.02</v>
      </c>
      <c r="K395" s="71">
        <f t="shared" ref="K395:K400" si="74">SUM(G395*J395)</f>
        <v>10345.374</v>
      </c>
      <c r="L395" s="51"/>
      <c r="M395" s="52"/>
    </row>
    <row r="396" spans="2:13" s="25" customFormat="1" ht="30" customHeight="1" outlineLevel="1">
      <c r="B396" s="61"/>
      <c r="C396" s="62" t="s">
        <v>26</v>
      </c>
      <c r="D396" s="63" t="s">
        <v>845</v>
      </c>
      <c r="E396" s="64" t="str">
        <f>IFERROR(UPPER(IF(C396="CPU",VLOOKUP(D396,#REF!,2,0),IF(C396="SINAPI",VLOOKUP(D396,#REF!,2,0),IF(C396="EDIF",VLOOKUP(D396,#REF!,2,0),IF(C396="CDHU",VLOOKUP(D396,#REF!,2,0),IF(C396="FDE",VLOOKUP(D396,'FDE 10-23 '!$A$4:$E$3180,2,0),IF(C396="INFRA",VLOOKUP(D396,#REF!,2,0),""))))))),"")</f>
        <v>EMBOCO</v>
      </c>
      <c r="F396" s="65" t="str">
        <f>VLOOKUP(D396,'FDE 10-23 '!$A$4:$E$3180,3,0)</f>
        <v>M2</v>
      </c>
      <c r="G396" s="66">
        <v>558.53</v>
      </c>
      <c r="H396" s="67">
        <f>VLOOKUP(D396,'FDE 10-23 '!$A$4:$E$3180,5,0)</f>
        <v>29.62</v>
      </c>
      <c r="I396" s="92">
        <f t="shared" si="72"/>
        <v>0.23</v>
      </c>
      <c r="J396" s="67">
        <f t="shared" si="73"/>
        <v>36.43</v>
      </c>
      <c r="K396" s="71">
        <f t="shared" si="74"/>
        <v>20347.247899999998</v>
      </c>
      <c r="L396" s="51"/>
      <c r="M396" s="52"/>
    </row>
    <row r="397" spans="2:13" s="25" customFormat="1" ht="30" customHeight="1" outlineLevel="1">
      <c r="B397" s="61"/>
      <c r="C397" s="62" t="s">
        <v>26</v>
      </c>
      <c r="D397" s="63" t="s">
        <v>847</v>
      </c>
      <c r="E397" s="64" t="str">
        <f>IFERROR(UPPER(IF(C397="CPU",VLOOKUP(D397,#REF!,2,0),IF(C397="SINAPI",VLOOKUP(D397,#REF!,2,0),IF(C397="EDIF",VLOOKUP(D397,#REF!,2,0),IF(C397="CDHU",VLOOKUP(D397,#REF!,2,0),IF(C397="FDE",VLOOKUP(D397,'FDE 10-23 '!$A$4:$E$3180,2,0),IF(C397="INFRA",VLOOKUP(D397,#REF!,2,0),""))))))),"")</f>
        <v>EMBOCO DESEMPENADO</v>
      </c>
      <c r="F397" s="65" t="str">
        <f>VLOOKUP(D397,'FDE 10-23 '!$A$4:$E$3180,3,0)</f>
        <v>M2</v>
      </c>
      <c r="G397" s="66">
        <v>915.22</v>
      </c>
      <c r="H397" s="67">
        <f>VLOOKUP(D397,'FDE 10-23 '!$A$4:$E$3180,5,0)</f>
        <v>35.880000000000003</v>
      </c>
      <c r="I397" s="92">
        <f t="shared" si="72"/>
        <v>0.23</v>
      </c>
      <c r="J397" s="67">
        <f t="shared" si="73"/>
        <v>44.13</v>
      </c>
      <c r="K397" s="71">
        <f t="shared" si="74"/>
        <v>40388.658600000002</v>
      </c>
      <c r="L397" s="51"/>
      <c r="M397" s="52"/>
    </row>
    <row r="398" spans="2:13" s="25" customFormat="1" ht="30" customHeight="1" outlineLevel="1">
      <c r="B398" s="61"/>
      <c r="C398" s="62" t="s">
        <v>26</v>
      </c>
      <c r="D398" s="63" t="s">
        <v>849</v>
      </c>
      <c r="E398" s="64" t="str">
        <f>IFERROR(UPPER(IF(C398="CPU",VLOOKUP(D398,#REF!,2,0),IF(C398="SINAPI",VLOOKUP(D398,#REF!,2,0),IF(C398="EDIF",VLOOKUP(D398,#REF!,2,0),IF(C398="CDHU",VLOOKUP(D398,#REF!,2,0),IF(C398="FDE",VLOOKUP(D398,'FDE 10-23 '!$A$4:$E$3180,2,0),IF(C398="INFRA",VLOOKUP(D398,#REF!,2,0),""))))))),"")</f>
        <v>REVESTIMENTO COM GESSO</v>
      </c>
      <c r="F398" s="65" t="str">
        <f>VLOOKUP(D398,'FDE 10-23 '!$A$4:$E$3180,3,0)</f>
        <v>M2</v>
      </c>
      <c r="G398" s="66">
        <v>1272.5</v>
      </c>
      <c r="H398" s="67">
        <f>VLOOKUP(D398,'FDE 10-23 '!$A$4:$E$3180,5,0)</f>
        <v>18.010000000000002</v>
      </c>
      <c r="I398" s="92">
        <f t="shared" si="72"/>
        <v>0.23</v>
      </c>
      <c r="J398" s="67">
        <f t="shared" si="73"/>
        <v>22.15</v>
      </c>
      <c r="K398" s="71">
        <f t="shared" si="74"/>
        <v>28185.875</v>
      </c>
      <c r="L398" s="51"/>
      <c r="M398" s="52"/>
    </row>
    <row r="399" spans="2:13" s="25" customFormat="1" ht="30" customHeight="1" outlineLevel="1">
      <c r="B399" s="61"/>
      <c r="C399" s="62" t="s">
        <v>26</v>
      </c>
      <c r="D399" s="63" t="s">
        <v>851</v>
      </c>
      <c r="E399" s="64" t="str">
        <f>IFERROR(UPPER(IF(C399="CPU",VLOOKUP(D399,#REF!,2,0),IF(C399="SINAPI",VLOOKUP(D399,#REF!,2,0),IF(C399="EDIF",VLOOKUP(D399,#REF!,2,0),IF(C399="CDHU",VLOOKUP(D399,#REF!,2,0),IF(C399="FDE",VLOOKUP(D399,'FDE 10-23 '!$A$4:$E$3180,2,0),IF(C399="INFRA",VLOOKUP(D399,#REF!,2,0),""))))))),"")</f>
        <v>REVESTIMENTO COM AZULEJOS  RETIFICADOS LISOS BRANCO BRILHANTE</v>
      </c>
      <c r="F399" s="65" t="str">
        <f>VLOOKUP(D399,'FDE 10-23 '!$A$4:$E$3180,3,0)</f>
        <v>M2</v>
      </c>
      <c r="G399" s="66">
        <v>558.53</v>
      </c>
      <c r="H399" s="67">
        <f>VLOOKUP(D399,'FDE 10-23 '!$A$4:$E$3180,5,0)</f>
        <v>99.81</v>
      </c>
      <c r="I399" s="92">
        <f t="shared" si="72"/>
        <v>0.23</v>
      </c>
      <c r="J399" s="67">
        <f t="shared" si="73"/>
        <v>122.77</v>
      </c>
      <c r="K399" s="71">
        <f t="shared" si="74"/>
        <v>68570.728099999993</v>
      </c>
      <c r="L399" s="51"/>
      <c r="M399" s="52"/>
    </row>
    <row r="400" spans="2:13" s="25" customFormat="1" ht="30" customHeight="1" outlineLevel="1">
      <c r="B400" s="61"/>
      <c r="C400" s="62" t="s">
        <v>26</v>
      </c>
      <c r="D400" s="63" t="s">
        <v>853</v>
      </c>
      <c r="E400" s="64" t="str">
        <f>IFERROR(UPPER(IF(C400="CPU",VLOOKUP(D400,#REF!,2,0),IF(C400="SINAPI",VLOOKUP(D400,#REF!,2,0),IF(C400="EDIF",VLOOKUP(D400,#REF!,2,0),IF(C400="CDHU",VLOOKUP(D400,#REF!,2,0),IF(C400="FDE",VLOOKUP(D400,'FDE 10-23 '!$A$4:$E$3180,2,0),IF(C400="INFRA",VLOOKUP(D400,#REF!,2,0),""))))))),"")</f>
        <v>PERFIL SEXTAVADO EM ALUMINIO PARA AZULEJO</v>
      </c>
      <c r="F400" s="65" t="str">
        <f>VLOOKUP(D400,'FDE 10-23 '!$A$4:$E$3180,3,0)</f>
        <v>M</v>
      </c>
      <c r="G400" s="66">
        <v>24</v>
      </c>
      <c r="H400" s="67">
        <f>VLOOKUP(D400,'FDE 10-23 '!$A$4:$E$3180,5,0)</f>
        <v>8.3800000000000008</v>
      </c>
      <c r="I400" s="92">
        <f t="shared" si="72"/>
        <v>0.23</v>
      </c>
      <c r="J400" s="67">
        <f t="shared" si="73"/>
        <v>10.31</v>
      </c>
      <c r="K400" s="71">
        <f t="shared" si="74"/>
        <v>247.44</v>
      </c>
      <c r="L400" s="51"/>
      <c r="M400" s="52"/>
    </row>
    <row r="401" spans="2:13" s="25" customFormat="1" ht="30" customHeight="1" outlineLevel="1">
      <c r="B401" s="53"/>
      <c r="C401" s="54"/>
      <c r="D401" s="54" t="s">
        <v>855</v>
      </c>
      <c r="E401" s="55" t="s">
        <v>856</v>
      </c>
      <c r="F401" s="56" t="str">
        <f>IFERROR(UPPER(IF(C401="CPU",VLOOKUP(D401,#REF!,3,0),IF(C401="SINAPI",VLOOKUP(D401,#REF!,3,0),IF(C401="EDIF",VLOOKUP(D401,#REF!,3,0),IF(C401="CDHU",VLOOKUP(D401,#REF!,3,0),IF(C401="FDE",VLOOKUP(D401,#REF!,3,0),IF(C401="INFRA",VLOOKUP(D401,#REF!,3,0),""))))))),"")</f>
        <v/>
      </c>
      <c r="G401" s="57"/>
      <c r="H401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01" s="59"/>
      <c r="J401" s="59"/>
      <c r="K401" s="82">
        <f>SUBTOTAL(9,K402:K403)</f>
        <v>24394.333600000002</v>
      </c>
      <c r="L401" s="51"/>
      <c r="M401" s="52"/>
    </row>
    <row r="402" spans="2:13" s="25" customFormat="1" ht="30" customHeight="1" outlineLevel="1">
      <c r="B402" s="61"/>
      <c r="C402" s="62" t="s">
        <v>26</v>
      </c>
      <c r="D402" s="63" t="s">
        <v>858</v>
      </c>
      <c r="E402" s="64" t="str">
        <f>IFERROR(UPPER(IF(C402="CPU",VLOOKUP(D402,#REF!,2,0),IF(C402="SINAPI",VLOOKUP(D402,#REF!,2,0),IF(C402="EDIF",VLOOKUP(D402,#REF!,2,0),IF(C402="CDHU",VLOOKUP(D402,#REF!,2,0),IF(C402="FDE",VLOOKUP(D402,'FDE 10-23 '!$A$4:$E$3180,2,0),IF(C402="INFRA",VLOOKUP(D402,#REF!,2,0),""))))))),"")</f>
        <v>CHAPISCO</v>
      </c>
      <c r="F402" s="65" t="str">
        <f>VLOOKUP(D402,'FDE 10-23 '!$A$4:$E$3180,3,0)</f>
        <v>M2</v>
      </c>
      <c r="G402" s="66">
        <v>479.92</v>
      </c>
      <c r="H402" s="67">
        <f>VLOOKUP(D402,'FDE 10-23 '!$A$4:$E$3180,5,0)</f>
        <v>5.71</v>
      </c>
      <c r="I402" s="92">
        <f>$L$10</f>
        <v>0.23</v>
      </c>
      <c r="J402" s="67">
        <f>ROUND(H402*(1+I402),2)</f>
        <v>7.02</v>
      </c>
      <c r="K402" s="71">
        <f>SUM(G402*J402)</f>
        <v>3369.0383999999999</v>
      </c>
      <c r="L402" s="51"/>
      <c r="M402" s="52"/>
    </row>
    <row r="403" spans="2:13" s="25" customFormat="1" ht="30" customHeight="1" outlineLevel="1">
      <c r="B403" s="61"/>
      <c r="C403" s="62" t="s">
        <v>26</v>
      </c>
      <c r="D403" s="63" t="s">
        <v>860</v>
      </c>
      <c r="E403" s="64" t="str">
        <f>IFERROR(UPPER(IF(C403="CPU",VLOOKUP(D403,#REF!,2,0),IF(C403="SINAPI",VLOOKUP(D403,#REF!,2,0),IF(C403="EDIF",VLOOKUP(D403,#REF!,2,0),IF(C403="CDHU",VLOOKUP(D403,#REF!,2,0),IF(C403="FDE",VLOOKUP(D403,'FDE 10-23 '!$A$4:$E$3180,2,0),IF(C403="INFRA",VLOOKUP(D403,#REF!,2,0),""))))))),"")</f>
        <v>EMBOCO DESEMPENADO</v>
      </c>
      <c r="F403" s="65" t="str">
        <f>VLOOKUP(D403,'FDE 10-23 '!$A$4:$E$3180,3,0)</f>
        <v>M2</v>
      </c>
      <c r="G403" s="66">
        <v>479.92</v>
      </c>
      <c r="H403" s="67">
        <f>VLOOKUP(D403,'FDE 10-23 '!$A$4:$E$3180,5,0)</f>
        <v>35.619999999999997</v>
      </c>
      <c r="I403" s="92">
        <f>$L$10</f>
        <v>0.23</v>
      </c>
      <c r="J403" s="67">
        <f>ROUND(H403*(1+I403),2)</f>
        <v>43.81</v>
      </c>
      <c r="K403" s="71">
        <f>SUM(G403*J403)</f>
        <v>21025.2952</v>
      </c>
      <c r="L403" s="51"/>
      <c r="M403" s="52"/>
    </row>
    <row r="404" spans="2:13" s="25" customFormat="1" ht="30" customHeight="1">
      <c r="B404" s="43">
        <v>13</v>
      </c>
      <c r="C404" s="44"/>
      <c r="D404" s="44" t="s">
        <v>861</v>
      </c>
      <c r="E404" s="45" t="s">
        <v>862</v>
      </c>
      <c r="F404" s="46" t="str">
        <f>IFERROR(UPPER(IF(C404="CPU",VLOOKUP(D404,#REF!,3,0),IF(C404="SINAPI",VLOOKUP(D404,#REF!,3,0),IF(C404="EDIF",VLOOKUP(D404,#REF!,3,0),IF(C404="CDHU",VLOOKUP(D404,#REF!,3,0),IF(C404="FDE",VLOOKUP(D404,#REF!,3,0),IF(C404="INFRA",VLOOKUP(D404,#REF!,3,0),""))))))),"")</f>
        <v/>
      </c>
      <c r="G404" s="47"/>
      <c r="H404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04" s="49"/>
      <c r="J404" s="49"/>
      <c r="K404" s="81">
        <f>SUBTOTAL(9,K405:K424)</f>
        <v>755041.24360000005</v>
      </c>
      <c r="L404" s="51"/>
      <c r="M404" s="52"/>
    </row>
    <row r="405" spans="2:13" s="25" customFormat="1" ht="30" customHeight="1" outlineLevel="1">
      <c r="B405" s="53"/>
      <c r="C405" s="54"/>
      <c r="D405" s="54" t="s">
        <v>864</v>
      </c>
      <c r="E405" s="55" t="s">
        <v>865</v>
      </c>
      <c r="F405" s="56" t="str">
        <f>IFERROR(UPPER(IF(C405="CPU",VLOOKUP(D405,#REF!,3,0),IF(C405="SINAPI",VLOOKUP(D405,#REF!,3,0),IF(C405="EDIF",VLOOKUP(D405,#REF!,3,0),IF(C405="CDHU",VLOOKUP(D405,#REF!,3,0),IF(C405="FDE",VLOOKUP(D405,#REF!,3,0),IF(C405="INFRA",VLOOKUP(D405,#REF!,3,0),""))))))),"")</f>
        <v/>
      </c>
      <c r="G405" s="57"/>
      <c r="H405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05" s="59"/>
      <c r="J405" s="59"/>
      <c r="K405" s="82">
        <f>SUBTOTAL(9,K406:K408)</f>
        <v>149487.356</v>
      </c>
      <c r="L405" s="51"/>
      <c r="M405" s="52"/>
    </row>
    <row r="406" spans="2:13" s="25" customFormat="1" ht="30" customHeight="1" outlineLevel="1">
      <c r="B406" s="61"/>
      <c r="C406" s="62" t="s">
        <v>26</v>
      </c>
      <c r="D406" s="63" t="s">
        <v>867</v>
      </c>
      <c r="E406" s="64" t="str">
        <f>IFERROR(UPPER(IF(C406="CPU",VLOOKUP(D406,#REF!,2,0),IF(C406="SINAPI",VLOOKUP(D406,#REF!,2,0),IF(C406="EDIF",VLOOKUP(D406,#REF!,2,0),IF(C406="CDHU",VLOOKUP(D406,#REF!,2,0),IF(C406="FDE",VLOOKUP(D406,'FDE 10-23 '!$A$4:$E$3180,2,0),IF(C406="INFRA",VLOOKUP(D406,#REF!,2,0),""))))))),"")</f>
        <v>LASTRO DE CONCRETO C/ HIDROFUGO E=5CM</v>
      </c>
      <c r="F406" s="65" t="str">
        <f>VLOOKUP(D406,'FDE 10-23 '!$A$4:$E$3180,3,0)</f>
        <v>M2</v>
      </c>
      <c r="G406" s="66">
        <v>1357.6</v>
      </c>
      <c r="H406" s="67">
        <f>VLOOKUP(D406,'FDE 10-23 '!$A$4:$E$3180,5,0)</f>
        <v>35.770000000000003</v>
      </c>
      <c r="I406" s="92">
        <f>$L$10</f>
        <v>0.23</v>
      </c>
      <c r="J406" s="67">
        <f>ROUND(H406*(1+I406),2)</f>
        <v>44</v>
      </c>
      <c r="K406" s="71">
        <f>SUM(G406*J406)</f>
        <v>59734.399999999994</v>
      </c>
      <c r="L406" s="51"/>
      <c r="M406" s="52"/>
    </row>
    <row r="407" spans="2:13" s="25" customFormat="1" ht="30" customHeight="1" outlineLevel="1">
      <c r="B407" s="61"/>
      <c r="C407" s="62" t="s">
        <v>26</v>
      </c>
      <c r="D407" s="63" t="s">
        <v>869</v>
      </c>
      <c r="E407" s="64" t="str">
        <f>IFERROR(UPPER(IF(C407="CPU",VLOOKUP(D407,#REF!,2,0),IF(C407="SINAPI",VLOOKUP(D407,#REF!,2,0),IF(C407="EDIF",VLOOKUP(D407,#REF!,2,0),IF(C407="CDHU",VLOOKUP(D407,#REF!,2,0),IF(C407="FDE",VLOOKUP(D407,'FDE 10-23 '!$A$4:$E$3180,2,0),IF(C407="INFRA",VLOOKUP(D407,#REF!,2,0),""))))))),"")</f>
        <v>LASTRO DE PEDRA BRITADA - 5CM</v>
      </c>
      <c r="F407" s="65" t="str">
        <f>VLOOKUP(D407,'FDE 10-23 '!$A$4:$E$3180,3,0)</f>
        <v>M2</v>
      </c>
      <c r="G407" s="66">
        <v>1357.6</v>
      </c>
      <c r="H407" s="67">
        <f>VLOOKUP(D407,'FDE 10-23 '!$A$4:$E$3180,5,0)</f>
        <v>9.7100000000000009</v>
      </c>
      <c r="I407" s="92">
        <f>$L$10</f>
        <v>0.23</v>
      </c>
      <c r="J407" s="67">
        <f>ROUND(H407*(1+I407),2)</f>
        <v>11.94</v>
      </c>
      <c r="K407" s="71">
        <f>SUM(G407*J407)</f>
        <v>16209.743999999999</v>
      </c>
      <c r="L407" s="51"/>
      <c r="M407" s="52"/>
    </row>
    <row r="408" spans="2:13" s="25" customFormat="1" ht="30" customHeight="1" outlineLevel="1">
      <c r="B408" s="61"/>
      <c r="C408" s="62" t="s">
        <v>26</v>
      </c>
      <c r="D408" s="63" t="s">
        <v>871</v>
      </c>
      <c r="E408" s="64" t="str">
        <f>IFERROR(UPPER(IF(C408="CPU",VLOOKUP(D408,#REF!,2,0),IF(C408="SINAPI",VLOOKUP(D408,#REF!,2,0),IF(C408="EDIF",VLOOKUP(D408,#REF!,2,0),IF(C408="CDHU",VLOOKUP(D408,#REF!,2,0),IF(C408="FDE",VLOOKUP(D408,'FDE 10-23 '!$A$4:$E$3180,2,0),IF(C408="INFRA",VLOOKUP(D408,#REF!,2,0),""))))))),"")</f>
        <v>ARGAMASSA DE REGULARIZACAO CIM/AREIA 1:3 ESP=2,50CM</v>
      </c>
      <c r="F408" s="65" t="str">
        <f>VLOOKUP(D408,'FDE 10-23 '!$A$4:$E$3180,3,0)</f>
        <v>M2</v>
      </c>
      <c r="G408" s="66">
        <v>2307.6</v>
      </c>
      <c r="H408" s="67">
        <f>VLOOKUP(D408,'FDE 10-23 '!$A$4:$E$3180,5,0)</f>
        <v>25.91</v>
      </c>
      <c r="I408" s="92">
        <f>$L$10</f>
        <v>0.23</v>
      </c>
      <c r="J408" s="67">
        <f>ROUND(H408*(1+I408),2)</f>
        <v>31.87</v>
      </c>
      <c r="K408" s="71">
        <f>SUM(G408*J408)</f>
        <v>73543.212</v>
      </c>
      <c r="L408" s="51"/>
      <c r="M408" s="52"/>
    </row>
    <row r="409" spans="2:13" s="25" customFormat="1" ht="30" customHeight="1" outlineLevel="1">
      <c r="B409" s="53"/>
      <c r="C409" s="54"/>
      <c r="D409" s="54" t="s">
        <v>873</v>
      </c>
      <c r="E409" s="55" t="s">
        <v>874</v>
      </c>
      <c r="F409" s="56" t="str">
        <f>IFERROR(UPPER(IF(C409="CPU",VLOOKUP(D409,#REF!,3,0),IF(C409="SINAPI",VLOOKUP(D409,#REF!,3,0),IF(C409="EDIF",VLOOKUP(D409,#REF!,3,0),IF(C409="CDHU",VLOOKUP(D409,#REF!,3,0),IF(C409="FDE",VLOOKUP(D409,#REF!,3,0),IF(C409="INFRA",VLOOKUP(D409,#REF!,3,0),""))))))),"")</f>
        <v/>
      </c>
      <c r="G409" s="57"/>
      <c r="H409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09" s="59"/>
      <c r="J409" s="59"/>
      <c r="K409" s="82">
        <f>SUBTOTAL(9,K410:K413)</f>
        <v>555122.57160000002</v>
      </c>
      <c r="L409" s="51"/>
      <c r="M409" s="52"/>
    </row>
    <row r="410" spans="2:13" s="25" customFormat="1" ht="30" customHeight="1" outlineLevel="1">
      <c r="B410" s="61"/>
      <c r="C410" s="62" t="s">
        <v>26</v>
      </c>
      <c r="D410" s="63" t="s">
        <v>876</v>
      </c>
      <c r="E410" s="64" t="str">
        <f>IFERROR(UPPER(IF(C410="CPU",VLOOKUP(D410,#REF!,2,0),IF(C410="SINAPI",VLOOKUP(D410,#REF!,2,0),IF(C410="EDIF",VLOOKUP(D410,#REF!,2,0),IF(C410="CDHU",VLOOKUP(D410,#REF!,2,0),IF(C410="FDE",VLOOKUP(D410,'FDE 10-23 '!$A$4:$E$3180,2,0),IF(C410="INFRA",VLOOKUP(D410,#REF!,2,0),""))))))),"")</f>
        <v>CIMENTADO DESEMPENADO ALISADO E=3,50CM INCL ARG REG</v>
      </c>
      <c r="F410" s="65" t="str">
        <f>VLOOKUP(D410,'FDE 10-23 '!$A$4:$E$3180,3,0)</f>
        <v>M2</v>
      </c>
      <c r="G410" s="66">
        <v>113.75</v>
      </c>
      <c r="H410" s="67">
        <f>VLOOKUP(D410,'FDE 10-23 '!$A$4:$E$3180,5,0)</f>
        <v>52.28</v>
      </c>
      <c r="I410" s="92">
        <f>$L$10</f>
        <v>0.23</v>
      </c>
      <c r="J410" s="67">
        <f>ROUND(H410*(1+I410),2)</f>
        <v>64.3</v>
      </c>
      <c r="K410" s="71">
        <f>SUM(G410*J410)</f>
        <v>7314.125</v>
      </c>
      <c r="L410" s="51"/>
      <c r="M410" s="52"/>
    </row>
    <row r="411" spans="2:13" s="25" customFormat="1" ht="30" customHeight="1" outlineLevel="1">
      <c r="B411" s="61"/>
      <c r="C411" s="62" t="s">
        <v>26</v>
      </c>
      <c r="D411" s="63" t="s">
        <v>878</v>
      </c>
      <c r="E411" s="64" t="str">
        <f>IFERROR(UPPER(IF(C411="CPU",VLOOKUP(D411,#REF!,2,0),IF(C411="SINAPI",VLOOKUP(D411,#REF!,2,0),IF(C411="EDIF",VLOOKUP(D411,#REF!,2,0),IF(C411="CDHU",VLOOKUP(D411,#REF!,2,0),IF(C411="FDE",VLOOKUP(D411,'FDE 10-23 '!$A$4:$E$3180,2,0),IF(C411="INFRA",VLOOKUP(D411,#REF!,2,0),""))))))),"")</f>
        <v>BORRACHA COLADA - PISO TATIL DIRECIONAL</v>
      </c>
      <c r="F411" s="65" t="str">
        <f>VLOOKUP(D411,'FDE 10-23 '!$A$4:$E$3180,3,0)</f>
        <v>M2</v>
      </c>
      <c r="G411" s="66">
        <v>15.94</v>
      </c>
      <c r="H411" s="67">
        <f>VLOOKUP(D411,'FDE 10-23 '!$A$4:$E$3180,5,0)</f>
        <v>201.37</v>
      </c>
      <c r="I411" s="92">
        <f>$L$10</f>
        <v>0.23</v>
      </c>
      <c r="J411" s="67">
        <f>ROUND(H411*(1+I411),2)</f>
        <v>247.69</v>
      </c>
      <c r="K411" s="71">
        <f>SUM(G411*J411)</f>
        <v>3948.1785999999997</v>
      </c>
      <c r="L411" s="51"/>
      <c r="M411" s="52"/>
    </row>
    <row r="412" spans="2:13" s="25" customFormat="1" ht="30" customHeight="1" outlineLevel="1">
      <c r="B412" s="61"/>
      <c r="C412" s="62" t="s">
        <v>26</v>
      </c>
      <c r="D412" s="63" t="s">
        <v>880</v>
      </c>
      <c r="E412" s="64" t="str">
        <f>IFERROR(UPPER(IF(C412="CPU",VLOOKUP(D412,#REF!,2,0),IF(C412="SINAPI",VLOOKUP(D412,#REF!,2,0),IF(C412="EDIF",VLOOKUP(D412,#REF!,2,0),IF(C412="CDHU",VLOOKUP(D412,#REF!,2,0),IF(C412="FDE",VLOOKUP(D412,'FDE 10-23 '!$A$4:$E$3180,2,0),IF(C412="INFRA",VLOOKUP(D412,#REF!,2,0),""))))))),"")</f>
        <v>SINALIZAÇÃO VISUAL DE DEGRAUS FITA ADESIVA COR AMARELA 25X200MM (2 FAIXAS)</v>
      </c>
      <c r="F412" s="65" t="str">
        <f>VLOOKUP(D412,'FDE 10-23 '!$A$4:$E$3180,3,0)</f>
        <v>CJ</v>
      </c>
      <c r="G412" s="66">
        <v>40</v>
      </c>
      <c r="H412" s="67">
        <f>VLOOKUP(D412,'FDE 10-23 '!$A$4:$E$3180,5,0)</f>
        <v>11.83</v>
      </c>
      <c r="I412" s="92">
        <f>$L$10</f>
        <v>0.23</v>
      </c>
      <c r="J412" s="67">
        <f>ROUND(H412*(1+I412),2)</f>
        <v>14.55</v>
      </c>
      <c r="K412" s="71">
        <f>SUM(G412*J412)</f>
        <v>582</v>
      </c>
      <c r="L412" s="51"/>
      <c r="M412" s="52"/>
    </row>
    <row r="413" spans="2:13" s="25" customFormat="1" ht="30" customHeight="1" outlineLevel="1">
      <c r="B413" s="61"/>
      <c r="C413" s="62" t="s">
        <v>26</v>
      </c>
      <c r="D413" s="63" t="s">
        <v>882</v>
      </c>
      <c r="E413" s="64" t="str">
        <f>IFERROR(UPPER(IF(C413="CPU",VLOOKUP(D413,#REF!,2,0),IF(C413="SINAPI",VLOOKUP(D413,#REF!,2,0),IF(C413="EDIF",VLOOKUP(D413,#REF!,2,0),IF(C413="CDHU",VLOOKUP(D413,#REF!,2,0),IF(C413="FDE",VLOOKUP(D413,'FDE 10-23 '!$A$4:$E$3180,2,0),IF(C413="INFRA",VLOOKUP(D413,#REF!,2,0),""))))))),"")</f>
        <v>PORCELANATO ESMALTADO</v>
      </c>
      <c r="F413" s="65" t="str">
        <f>VLOOKUP(D413,'FDE 10-23 '!$A$4:$E$3180,3,0)</f>
        <v>M2</v>
      </c>
      <c r="G413" s="66">
        <v>2307.6</v>
      </c>
      <c r="H413" s="67">
        <f>VLOOKUP(D413,'FDE 10-23 '!$A$4:$E$3180,5,0)</f>
        <v>191.41</v>
      </c>
      <c r="I413" s="92">
        <f>$L$10</f>
        <v>0.23</v>
      </c>
      <c r="J413" s="67">
        <f>ROUND(H413*(1+I413),2)</f>
        <v>235.43</v>
      </c>
      <c r="K413" s="71">
        <f>SUM(G413*J413)</f>
        <v>543278.26800000004</v>
      </c>
      <c r="L413" s="51"/>
      <c r="M413" s="52"/>
    </row>
    <row r="414" spans="2:13" s="25" customFormat="1" ht="30" customHeight="1" outlineLevel="1">
      <c r="B414" s="53"/>
      <c r="C414" s="54"/>
      <c r="D414" s="54" t="s">
        <v>884</v>
      </c>
      <c r="E414" s="55" t="s">
        <v>885</v>
      </c>
      <c r="F414" s="56" t="str">
        <f>IFERROR(UPPER(IF(C414="CPU",VLOOKUP(D414,#REF!,3,0),IF(C414="SINAPI",VLOOKUP(D414,#REF!,3,0),IF(C414="EDIF",VLOOKUP(D414,#REF!,3,0),IF(C414="CDHU",VLOOKUP(D414,#REF!,3,0),IF(C414="FDE",VLOOKUP(D414,#REF!,3,0),IF(C414="INFRA",VLOOKUP(D414,#REF!,3,0),""))))))),"")</f>
        <v/>
      </c>
      <c r="G414" s="57"/>
      <c r="H414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14" s="59"/>
      <c r="J414" s="59"/>
      <c r="K414" s="82">
        <f>SUBTOTAL(9,K415)</f>
        <v>1930.7800000000002</v>
      </c>
      <c r="L414" s="51"/>
      <c r="M414" s="52"/>
    </row>
    <row r="415" spans="2:13" s="25" customFormat="1" ht="30" customHeight="1" outlineLevel="1">
      <c r="B415" s="61"/>
      <c r="C415" s="62" t="s">
        <v>26</v>
      </c>
      <c r="D415" s="63" t="s">
        <v>887</v>
      </c>
      <c r="E415" s="64" t="str">
        <f>IFERROR(UPPER(IF(C415="CPU",VLOOKUP(D415,#REF!,2,0),IF(C415="SINAPI",VLOOKUP(D415,#REF!,2,0),IF(C415="EDIF",VLOOKUP(D415,#REF!,2,0),IF(C415="CDHU",VLOOKUP(D415,#REF!,2,0),IF(C415="FDE",VLOOKUP(D415,'FDE 10-23 '!$A$4:$E$3180,2,0),IF(C415="INFRA",VLOOKUP(D415,#REF!,2,0),""))))))),"")</f>
        <v>DEGRAUS EM ARGAMASSA DE CIMENTO E AREIA 1:3 ESPESSURA DE 2 CM</v>
      </c>
      <c r="F415" s="65" t="str">
        <f>VLOOKUP(D415,'FDE 10-23 '!$A$4:$E$3180,3,0)</f>
        <v>M</v>
      </c>
      <c r="G415" s="66">
        <v>38</v>
      </c>
      <c r="H415" s="67">
        <f>VLOOKUP(D415,'FDE 10-23 '!$A$4:$E$3180,5,0)</f>
        <v>41.31</v>
      </c>
      <c r="I415" s="92">
        <f>$L$10</f>
        <v>0.23</v>
      </c>
      <c r="J415" s="67">
        <f>ROUND(H415*(1+I415),2)</f>
        <v>50.81</v>
      </c>
      <c r="K415" s="71">
        <f>SUM(G415*J415)</f>
        <v>1930.7800000000002</v>
      </c>
      <c r="L415" s="51"/>
      <c r="M415" s="52"/>
    </row>
    <row r="416" spans="2:13" s="25" customFormat="1" ht="30" customHeight="1" outlineLevel="1">
      <c r="B416" s="53"/>
      <c r="C416" s="54"/>
      <c r="D416" s="54" t="s">
        <v>889</v>
      </c>
      <c r="E416" s="55" t="s">
        <v>890</v>
      </c>
      <c r="F416" s="56" t="str">
        <f>IFERROR(UPPER(IF(C416="CPU",VLOOKUP(D416,#REF!,3,0),IF(C416="SINAPI",VLOOKUP(D416,#REF!,3,0),IF(C416="EDIF",VLOOKUP(D416,#REF!,3,0),IF(C416="CDHU",VLOOKUP(D416,#REF!,3,0),IF(C416="FDE",VLOOKUP(D416,#REF!,3,0),IF(C416="INFRA",VLOOKUP(D416,#REF!,3,0),""))))))),"")</f>
        <v/>
      </c>
      <c r="G416" s="57"/>
      <c r="H416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16" s="59"/>
      <c r="J416" s="59"/>
      <c r="K416" s="82">
        <f>SUBTOTAL(9,K417:K419)</f>
        <v>28296.002999999997</v>
      </c>
      <c r="L416" s="51"/>
      <c r="M416" s="52"/>
    </row>
    <row r="417" spans="2:13" s="25" customFormat="1" ht="30" customHeight="1" outlineLevel="1">
      <c r="B417" s="61"/>
      <c r="C417" s="62" t="s">
        <v>26</v>
      </c>
      <c r="D417" s="63" t="s">
        <v>892</v>
      </c>
      <c r="E417" s="64" t="str">
        <f>IFERROR(UPPER(IF(C417="CPU",VLOOKUP(D417,#REF!,2,0),IF(C417="SINAPI",VLOOKUP(D417,#REF!,2,0),IF(C417="EDIF",VLOOKUP(D417,#REF!,2,0),IF(C417="CDHU",VLOOKUP(D417,#REF!,2,0),IF(C417="FDE",VLOOKUP(D417,'FDE 10-23 '!$A$4:$E$3180,2,0),IF(C417="INFRA",VLOOKUP(D417,#REF!,2,0),""))))))),"")</f>
        <v>RODAPE DE ARGAMASSA DE CIM/AREIA 1:3 PARA ESCADA</v>
      </c>
      <c r="F417" s="65" t="str">
        <f>VLOOKUP(D417,'FDE 10-23 '!$A$4:$E$3180,3,0)</f>
        <v>M</v>
      </c>
      <c r="G417" s="66">
        <v>10.8</v>
      </c>
      <c r="H417" s="67">
        <f>VLOOKUP(D417,'FDE 10-23 '!$A$4:$E$3180,5,0)</f>
        <v>31.3</v>
      </c>
      <c r="I417" s="92">
        <f>$L$10</f>
        <v>0.23</v>
      </c>
      <c r="J417" s="67">
        <f>ROUND(H417*(1+I417),2)</f>
        <v>38.5</v>
      </c>
      <c r="K417" s="71">
        <f>SUM(G417*J417)</f>
        <v>415.8</v>
      </c>
      <c r="L417" s="51"/>
      <c r="M417" s="52"/>
    </row>
    <row r="418" spans="2:13" s="25" customFormat="1" ht="30" customHeight="1" outlineLevel="1">
      <c r="B418" s="61"/>
      <c r="C418" s="62" t="s">
        <v>26</v>
      </c>
      <c r="D418" s="63" t="s">
        <v>894</v>
      </c>
      <c r="E418" s="64" t="str">
        <f>IFERROR(UPPER(IF(C418="CPU",VLOOKUP(D418,#REF!,2,0),IF(C418="SINAPI",VLOOKUP(D418,#REF!,2,0),IF(C418="EDIF",VLOOKUP(D418,#REF!,2,0),IF(C418="CDHU",VLOOKUP(D418,#REF!,2,0),IF(C418="FDE",VLOOKUP(D418,'FDE 10-23 '!$A$4:$E$3180,2,0),IF(C418="INFRA",VLOOKUP(D418,#REF!,2,0),""))))))),"")</f>
        <v>RODAPÉ DE ARGAMASSA CIMENTO E AREIA 1:3 ESPESSURA 1,5CM X ALTURA DE 7CM</v>
      </c>
      <c r="F418" s="65" t="str">
        <f>VLOOKUP(D418,'FDE 10-23 '!$A$4:$E$3180,3,0)</f>
        <v>M</v>
      </c>
      <c r="G418" s="66">
        <v>103.4</v>
      </c>
      <c r="H418" s="67">
        <f>VLOOKUP(D418,'FDE 10-23 '!$A$4:$E$3180,5,0)</f>
        <v>19.05</v>
      </c>
      <c r="I418" s="92">
        <f>$L$10</f>
        <v>0.23</v>
      </c>
      <c r="J418" s="67">
        <f>ROUND(H418*(1+I418),2)</f>
        <v>23.43</v>
      </c>
      <c r="K418" s="71">
        <f>SUM(G418*J418)</f>
        <v>2422.6620000000003</v>
      </c>
      <c r="L418" s="51"/>
      <c r="M418" s="52"/>
    </row>
    <row r="419" spans="2:13" s="25" customFormat="1" ht="30" customHeight="1" outlineLevel="1">
      <c r="B419" s="61"/>
      <c r="C419" s="62" t="s">
        <v>26</v>
      </c>
      <c r="D419" s="63" t="s">
        <v>896</v>
      </c>
      <c r="E419" s="64" t="str">
        <f>IFERROR(UPPER(IF(C419="CPU",VLOOKUP(D419,#REF!,2,0),IF(C419="SINAPI",VLOOKUP(D419,#REF!,2,0),IF(C419="EDIF",VLOOKUP(D419,#REF!,2,0),IF(C419="CDHU",VLOOKUP(D419,#REF!,2,0),IF(C419="FDE",VLOOKUP(D419,'FDE 10-23 '!$A$4:$E$3180,2,0),IF(C419="INFRA",VLOOKUP(D419,#REF!,2,0),""))))))),"")</f>
        <v>RODAPE PORCELANATO ESMALTADO 7CM</v>
      </c>
      <c r="F419" s="65" t="str">
        <f>VLOOKUP(D419,'FDE 10-23 '!$A$4:$E$3180,3,0)</f>
        <v>M</v>
      </c>
      <c r="G419" s="66">
        <v>1026.0999999999999</v>
      </c>
      <c r="H419" s="67">
        <f>VLOOKUP(D419,'FDE 10-23 '!$A$4:$E$3180,5,0)</f>
        <v>20.170000000000002</v>
      </c>
      <c r="I419" s="92">
        <f>$L$10</f>
        <v>0.23</v>
      </c>
      <c r="J419" s="67">
        <f>ROUND(H419*(1+I419),2)</f>
        <v>24.81</v>
      </c>
      <c r="K419" s="71">
        <f>SUM(G419*J419)</f>
        <v>25457.540999999997</v>
      </c>
      <c r="L419" s="51"/>
      <c r="M419" s="52"/>
    </row>
    <row r="420" spans="2:13" s="25" customFormat="1" ht="30" customHeight="1" outlineLevel="1">
      <c r="B420" s="53"/>
      <c r="C420" s="54"/>
      <c r="D420" s="54" t="s">
        <v>898</v>
      </c>
      <c r="E420" s="55" t="s">
        <v>899</v>
      </c>
      <c r="F420" s="56" t="str">
        <f>IFERROR(UPPER(IF(C420="CPU",VLOOKUP(D420,#REF!,3,0),IF(C420="SINAPI",VLOOKUP(D420,#REF!,3,0),IF(C420="EDIF",VLOOKUP(D420,#REF!,3,0),IF(C420="CDHU",VLOOKUP(D420,#REF!,3,0),IF(C420="FDE",VLOOKUP(D420,#REF!,3,0),IF(C420="INFRA",VLOOKUP(D420,#REF!,3,0),""))))))),"")</f>
        <v/>
      </c>
      <c r="G420" s="57"/>
      <c r="H420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20" s="59"/>
      <c r="J420" s="59"/>
      <c r="K420" s="82">
        <f>SUBTOTAL(9,K421:K422)</f>
        <v>3306.5730000000003</v>
      </c>
      <c r="L420" s="51"/>
      <c r="M420" s="52"/>
    </row>
    <row r="421" spans="2:13" s="25" customFormat="1" ht="30" customHeight="1" outlineLevel="1">
      <c r="B421" s="61"/>
      <c r="C421" s="62" t="s">
        <v>26</v>
      </c>
      <c r="D421" s="63" t="s">
        <v>901</v>
      </c>
      <c r="E421" s="64" t="str">
        <f>IFERROR(UPPER(IF(C421="CPU",VLOOKUP(D421,#REF!,2,0),IF(C421="SINAPI",VLOOKUP(D421,#REF!,2,0),IF(C421="EDIF",VLOOKUP(D421,#REF!,2,0),IF(C421="CDHU",VLOOKUP(D421,#REF!,2,0),IF(C421="FDE",VLOOKUP(D421,'FDE 10-23 '!$A$4:$E$3180,2,0),IF(C421="INFRA",VLOOKUP(D421,#REF!,2,0),""))))))),"")</f>
        <v>SO-15 SOLEIRA RAMPADA DESNIVEL ATE 2CM (CIMENTADO / ALVENARIA 22CM)</v>
      </c>
      <c r="F421" s="65" t="str">
        <f>VLOOKUP(D421,'FDE 10-23 '!$A$4:$E$3180,3,0)</f>
        <v>M</v>
      </c>
      <c r="G421" s="66">
        <v>17</v>
      </c>
      <c r="H421" s="67">
        <f>VLOOKUP(D421,'FDE 10-23 '!$A$4:$E$3180,5,0)</f>
        <v>118.16</v>
      </c>
      <c r="I421" s="92">
        <f>$L$10</f>
        <v>0.23</v>
      </c>
      <c r="J421" s="67">
        <f>ROUND(H421*(1+I421),2)</f>
        <v>145.34</v>
      </c>
      <c r="K421" s="71">
        <f>SUM(G421*J421)</f>
        <v>2470.7800000000002</v>
      </c>
      <c r="L421" s="51"/>
      <c r="M421" s="52"/>
    </row>
    <row r="422" spans="2:13" s="25" customFormat="1" ht="30" customHeight="1" outlineLevel="1">
      <c r="B422" s="61"/>
      <c r="C422" s="62" t="s">
        <v>26</v>
      </c>
      <c r="D422" s="63" t="s">
        <v>903</v>
      </c>
      <c r="E422" s="64" t="str">
        <f>IFERROR(UPPER(IF(C422="CPU",VLOOKUP(D422,#REF!,2,0),IF(C422="SINAPI",VLOOKUP(D422,#REF!,2,0),IF(C422="EDIF",VLOOKUP(D422,#REF!,2,0),IF(C422="CDHU",VLOOKUP(D422,#REF!,2,0),IF(C422="FDE",VLOOKUP(D422,'FDE 10-23 '!$A$4:$E$3180,2,0),IF(C422="INFRA",VLOOKUP(D422,#REF!,2,0),""))))))),"")</f>
        <v>SO-23 SOLEIRA DE GRANITO EM NIVEL 1 PEÇA (L=19 A 22CM)</v>
      </c>
      <c r="F422" s="65" t="str">
        <f>VLOOKUP(D422,'FDE 10-23 '!$A$4:$E$3180,3,0)</f>
        <v>M</v>
      </c>
      <c r="G422" s="66">
        <v>3.7</v>
      </c>
      <c r="H422" s="67">
        <f>VLOOKUP(D422,'FDE 10-23 '!$A$4:$E$3180,5,0)</f>
        <v>183.65</v>
      </c>
      <c r="I422" s="92">
        <f>$L$10</f>
        <v>0.23</v>
      </c>
      <c r="J422" s="67">
        <f>ROUND(H422*(1+I422),2)</f>
        <v>225.89</v>
      </c>
      <c r="K422" s="71">
        <f>SUM(G422*J422)</f>
        <v>835.79300000000001</v>
      </c>
      <c r="L422" s="51"/>
      <c r="M422" s="52"/>
    </row>
    <row r="423" spans="2:13" s="25" customFormat="1" ht="30" customHeight="1" outlineLevel="1">
      <c r="B423" s="53"/>
      <c r="C423" s="54"/>
      <c r="D423" s="54" t="s">
        <v>905</v>
      </c>
      <c r="E423" s="55" t="s">
        <v>906</v>
      </c>
      <c r="F423" s="56" t="str">
        <f>IFERROR(UPPER(IF(C423="CPU",VLOOKUP(D423,#REF!,3,0),IF(C423="SINAPI",VLOOKUP(D423,#REF!,3,0),IF(C423="EDIF",VLOOKUP(D423,#REF!,3,0),IF(C423="CDHU",VLOOKUP(D423,#REF!,3,0),IF(C423="FDE",VLOOKUP(D423,#REF!,3,0),IF(C423="INFRA",VLOOKUP(D423,#REF!,3,0),""))))))),"")</f>
        <v/>
      </c>
      <c r="G423" s="57"/>
      <c r="H423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23" s="59"/>
      <c r="J423" s="59"/>
      <c r="K423" s="82">
        <f>SUBTOTAL(9,K424)</f>
        <v>16897.96</v>
      </c>
      <c r="L423" s="51"/>
      <c r="M423" s="52"/>
    </row>
    <row r="424" spans="2:13" s="25" customFormat="1" ht="30" customHeight="1" outlineLevel="1">
      <c r="B424" s="61"/>
      <c r="C424" s="62" t="s">
        <v>26</v>
      </c>
      <c r="D424" s="63" t="s">
        <v>908</v>
      </c>
      <c r="E424" s="64" t="str">
        <f>IFERROR(UPPER(IF(C424="CPU",VLOOKUP(D424,#REF!,2,0),IF(C424="SINAPI",VLOOKUP(D424,#REF!,2,0),IF(C424="EDIF",VLOOKUP(D424,#REF!,2,0),IF(C424="CDHU",VLOOKUP(D424,#REF!,2,0),IF(C424="FDE",VLOOKUP(D424,'FDE 10-23 '!$A$4:$E$3180,2,0),IF(C424="INFRA",VLOOKUP(D424,#REF!,2,0),""))))))),"")</f>
        <v>PE-02 PEITORIL</v>
      </c>
      <c r="F424" s="65" t="str">
        <f>VLOOKUP(D424,'FDE 10-23 '!$A$4:$E$3180,3,0)</f>
        <v>M</v>
      </c>
      <c r="G424" s="66">
        <v>191.5</v>
      </c>
      <c r="H424" s="67">
        <f>VLOOKUP(D424,'FDE 10-23 '!$A$4:$E$3180,5,0)</f>
        <v>71.739999999999995</v>
      </c>
      <c r="I424" s="92">
        <f>$L$10</f>
        <v>0.23</v>
      </c>
      <c r="J424" s="67">
        <f>ROUND(H424*(1+I424),2)</f>
        <v>88.24</v>
      </c>
      <c r="K424" s="71">
        <f>SUM(G424*J424)</f>
        <v>16897.96</v>
      </c>
      <c r="L424" s="51"/>
      <c r="M424" s="52"/>
    </row>
    <row r="425" spans="2:13" s="25" customFormat="1" ht="30" customHeight="1">
      <c r="B425" s="43">
        <v>14</v>
      </c>
      <c r="C425" s="44"/>
      <c r="D425" s="44" t="s">
        <v>909</v>
      </c>
      <c r="E425" s="45" t="s">
        <v>910</v>
      </c>
      <c r="F425" s="46" t="str">
        <f>IFERROR(UPPER(IF(C425="CPU",VLOOKUP(D425,#REF!,3,0),IF(C425="SINAPI",VLOOKUP(D425,#REF!,3,0),IF(C425="EDIF",VLOOKUP(D425,#REF!,3,0),IF(C425="CDHU",VLOOKUP(D425,#REF!,3,0),IF(C425="FDE",VLOOKUP(D425,#REF!,3,0),IF(C425="INFRA",VLOOKUP(D425,#REF!,3,0),""))))))),"")</f>
        <v/>
      </c>
      <c r="G425" s="47"/>
      <c r="H425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25" s="49"/>
      <c r="J425" s="49"/>
      <c r="K425" s="81">
        <f>SUBTOTAL(9,K426:K430)</f>
        <v>61802.564300000005</v>
      </c>
      <c r="L425" s="51"/>
      <c r="M425" s="52"/>
    </row>
    <row r="426" spans="2:13" s="25" customFormat="1" ht="30" customHeight="1" outlineLevel="1">
      <c r="B426" s="53"/>
      <c r="C426" s="54"/>
      <c r="D426" s="54" t="s">
        <v>912</v>
      </c>
      <c r="E426" s="55" t="s">
        <v>910</v>
      </c>
      <c r="F426" s="56" t="str">
        <f>IFERROR(UPPER(IF(C426="CPU",VLOOKUP(D426,#REF!,3,0),IF(C426="SINAPI",VLOOKUP(D426,#REF!,3,0),IF(C426="EDIF",VLOOKUP(D426,#REF!,3,0),IF(C426="CDHU",VLOOKUP(D426,#REF!,3,0),IF(C426="FDE",VLOOKUP(D426,#REF!,3,0),IF(C426="INFRA",VLOOKUP(D426,#REF!,3,0),""))))))),"")</f>
        <v/>
      </c>
      <c r="G426" s="57"/>
      <c r="H426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26" s="59"/>
      <c r="J426" s="59"/>
      <c r="K426" s="82">
        <f>SUBTOTAL(9,K427:K428)</f>
        <v>50533.764300000003</v>
      </c>
      <c r="L426" s="51"/>
      <c r="M426" s="52"/>
    </row>
    <row r="427" spans="2:13" s="25" customFormat="1" ht="30" customHeight="1" outlineLevel="1">
      <c r="B427" s="61"/>
      <c r="C427" s="62" t="s">
        <v>26</v>
      </c>
      <c r="D427" s="63" t="s">
        <v>914</v>
      </c>
      <c r="E427" s="64" t="str">
        <f>IFERROR(UPPER(IF(C427="CPU",VLOOKUP(D427,#REF!,2,0),IF(C427="SINAPI",VLOOKUP(D427,#REF!,2,0),IF(C427="EDIF",VLOOKUP(D427,#REF!,2,0),IF(C427="CDHU",VLOOKUP(D427,#REF!,2,0),IF(C427="FDE",VLOOKUP(D427,'FDE 10-23 '!$A$4:$E$3180,2,0),IF(C427="INFRA",VLOOKUP(D427,#REF!,2,0),""))))))),"")</f>
        <v>VIDRO LISO COMUM INCOLOR DE 3MM</v>
      </c>
      <c r="F427" s="65" t="str">
        <f>VLOOKUP(D427,'FDE 10-23 '!$A$4:$E$3180,3,0)</f>
        <v>M2</v>
      </c>
      <c r="G427" s="66">
        <v>462.32</v>
      </c>
      <c r="H427" s="67">
        <f>VLOOKUP(D427,'FDE 10-23 '!$A$4:$E$3180,5,0)</f>
        <v>82.93</v>
      </c>
      <c r="I427" s="92">
        <f>$L$10</f>
        <v>0.23</v>
      </c>
      <c r="J427" s="67">
        <f>ROUND(H427*(1+I427),2)</f>
        <v>102</v>
      </c>
      <c r="K427" s="71">
        <f>SUM(G427*J427)</f>
        <v>47156.639999999999</v>
      </c>
      <c r="L427" s="51"/>
      <c r="M427" s="52"/>
    </row>
    <row r="428" spans="2:13" s="25" customFormat="1" ht="30" customHeight="1" outlineLevel="1">
      <c r="B428" s="61"/>
      <c r="C428" s="62" t="s">
        <v>26</v>
      </c>
      <c r="D428" s="63" t="s">
        <v>916</v>
      </c>
      <c r="E428" s="64" t="str">
        <f>IFERROR(UPPER(IF(C428="CPU",VLOOKUP(D428,#REF!,2,0),IF(C428="SINAPI",VLOOKUP(D428,#REF!,2,0),IF(C428="EDIF",VLOOKUP(D428,#REF!,2,0),IF(C428="CDHU",VLOOKUP(D428,#REF!,2,0),IF(C428="FDE",VLOOKUP(D428,'FDE 10-23 '!$A$4:$E$3180,2,0),IF(C428="INFRA",VLOOKUP(D428,#REF!,2,0),""))))))),"")</f>
        <v>VIDRO IMPRESSO INCOLOR (E=4MM)</v>
      </c>
      <c r="F428" s="65" t="str">
        <f>VLOOKUP(D428,'FDE 10-23 '!$A$4:$E$3180,3,0)</f>
        <v>M2</v>
      </c>
      <c r="G428" s="66">
        <v>20.73</v>
      </c>
      <c r="H428" s="67">
        <f>VLOOKUP(D428,'FDE 10-23 '!$A$4:$E$3180,5,0)</f>
        <v>132.44999999999999</v>
      </c>
      <c r="I428" s="92">
        <f>$L$10</f>
        <v>0.23</v>
      </c>
      <c r="J428" s="67">
        <f>ROUND(H428*(1+I428),2)</f>
        <v>162.91</v>
      </c>
      <c r="K428" s="71">
        <f>SUM(G428*J428)</f>
        <v>3377.1242999999999</v>
      </c>
      <c r="L428" s="51"/>
      <c r="M428" s="52"/>
    </row>
    <row r="429" spans="2:13" s="25" customFormat="1" ht="30" customHeight="1" outlineLevel="1">
      <c r="B429" s="53"/>
      <c r="C429" s="54"/>
      <c r="D429" s="54" t="s">
        <v>918</v>
      </c>
      <c r="E429" s="55" t="s">
        <v>919</v>
      </c>
      <c r="F429" s="56" t="str">
        <f>IFERROR(UPPER(IF(C429="CPU",VLOOKUP(D429,#REF!,3,0),IF(C429="SINAPI",VLOOKUP(D429,#REF!,3,0),IF(C429="EDIF",VLOOKUP(D429,#REF!,3,0),IF(C429="CDHU",VLOOKUP(D429,#REF!,3,0),IF(C429="FDE",VLOOKUP(D429,#REF!,3,0),IF(C429="INFRA",VLOOKUP(D429,#REF!,3,0),""))))))),"")</f>
        <v/>
      </c>
      <c r="G429" s="57"/>
      <c r="H429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29" s="59"/>
      <c r="J429" s="59"/>
      <c r="K429" s="82">
        <f>SUBTOTAL(9,K430)</f>
        <v>11268.800000000001</v>
      </c>
      <c r="L429" s="51"/>
      <c r="M429" s="52"/>
    </row>
    <row r="430" spans="2:13" s="25" customFormat="1" ht="30" customHeight="1" outlineLevel="1">
      <c r="B430" s="61"/>
      <c r="C430" s="62" t="s">
        <v>26</v>
      </c>
      <c r="D430" s="63" t="s">
        <v>921</v>
      </c>
      <c r="E430" s="64" t="str">
        <f>IFERROR(UPPER(IF(C430="CPU",VLOOKUP(D430,#REF!,2,0),IF(C430="SINAPI",VLOOKUP(D430,#REF!,2,0),IF(C430="EDIF",VLOOKUP(D430,#REF!,2,0),IF(C430="CDHU",VLOOKUP(D430,#REF!,2,0),IF(C430="FDE",VLOOKUP(D430,'FDE 10-23 '!$A$4:$E$3180,2,0),IF(C430="INFRA",VLOOKUP(D430,#REF!,2,0),""))))))),"")</f>
        <v>EP-01 ESPELHO</v>
      </c>
      <c r="F430" s="65" t="str">
        <f>VLOOKUP(D430,'FDE 10-23 '!$A$4:$E$3180,3,0)</f>
        <v>UN</v>
      </c>
      <c r="G430" s="66">
        <v>20</v>
      </c>
      <c r="H430" s="67">
        <f>VLOOKUP(D430,'FDE 10-23 '!$A$4:$E$3180,5,0)</f>
        <v>458.08</v>
      </c>
      <c r="I430" s="92">
        <f>$L$10</f>
        <v>0.23</v>
      </c>
      <c r="J430" s="67">
        <f>ROUND(H430*(1+I430),2)</f>
        <v>563.44000000000005</v>
      </c>
      <c r="K430" s="71">
        <f>SUM(G430*J430)</f>
        <v>11268.800000000001</v>
      </c>
      <c r="L430" s="51"/>
      <c r="M430" s="52"/>
    </row>
    <row r="431" spans="2:13" s="25" customFormat="1" ht="30" customHeight="1">
      <c r="B431" s="43">
        <v>15</v>
      </c>
      <c r="C431" s="44"/>
      <c r="D431" s="44" t="s">
        <v>922</v>
      </c>
      <c r="E431" s="45" t="s">
        <v>923</v>
      </c>
      <c r="F431" s="46" t="str">
        <f>IFERROR(UPPER(IF(C431="CPU",VLOOKUP(D431,#REF!,3,0),IF(C431="SINAPI",VLOOKUP(D431,#REF!,3,0),IF(C431="EDIF",VLOOKUP(D431,#REF!,3,0),IF(C431="CDHU",VLOOKUP(D431,#REF!,3,0),IF(C431="FDE",VLOOKUP(D431,#REF!,3,0),IF(C431="INFRA",VLOOKUP(D431,#REF!,3,0),""))))))),"")</f>
        <v/>
      </c>
      <c r="G431" s="47"/>
      <c r="H431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31" s="49"/>
      <c r="J431" s="49"/>
      <c r="K431" s="81">
        <f>SUBTOTAL(9,K432:K442)</f>
        <v>228853.29639999999</v>
      </c>
      <c r="L431" s="51"/>
      <c r="M431" s="52"/>
    </row>
    <row r="432" spans="2:13" s="25" customFormat="1" ht="30" customHeight="1" outlineLevel="1">
      <c r="B432" s="53"/>
      <c r="C432" s="54"/>
      <c r="D432" s="54" t="s">
        <v>925</v>
      </c>
      <c r="E432" s="55" t="s">
        <v>926</v>
      </c>
      <c r="F432" s="56" t="str">
        <f>IFERROR(UPPER(IF(C432="CPU",VLOOKUP(D432,#REF!,3,0),IF(C432="SINAPI",VLOOKUP(D432,#REF!,3,0),IF(C432="EDIF",VLOOKUP(D432,#REF!,3,0),IF(C432="CDHU",VLOOKUP(D432,#REF!,3,0),IF(C432="FDE",VLOOKUP(D432,#REF!,3,0),IF(C432="INFRA",VLOOKUP(D432,#REF!,3,0),""))))))),"")</f>
        <v/>
      </c>
      <c r="G432" s="57"/>
      <c r="H432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32" s="59"/>
      <c r="J432" s="59"/>
      <c r="K432" s="82">
        <f>SUBTOTAL(9,K433)</f>
        <v>29051.37</v>
      </c>
      <c r="L432" s="51"/>
      <c r="M432" s="52"/>
    </row>
    <row r="433" spans="2:13" s="25" customFormat="1" ht="30" customHeight="1" outlineLevel="1">
      <c r="B433" s="61"/>
      <c r="C433" s="62" t="s">
        <v>26</v>
      </c>
      <c r="D433" s="63" t="s">
        <v>928</v>
      </c>
      <c r="E433" s="64" t="str">
        <f>IFERROR(UPPER(IF(C433="CPU",VLOOKUP(D433,#REF!,2,0),IF(C433="SINAPI",VLOOKUP(D433,#REF!,2,0),IF(C433="EDIF",VLOOKUP(D433,#REF!,2,0),IF(C433="CDHU",VLOOKUP(D433,#REF!,2,0),IF(C433="FDE",VLOOKUP(D433,'FDE 10-23 '!$A$4:$E$3180,2,0),IF(C433="INFRA",VLOOKUP(D433,#REF!,2,0),""))))))),"")</f>
        <v>ESMALTE EM ESTRUTURA METALICA</v>
      </c>
      <c r="F433" s="65" t="str">
        <f>VLOOKUP(D433,'FDE 10-23 '!$A$4:$E$3180,3,0)</f>
        <v>M2</v>
      </c>
      <c r="G433" s="66">
        <v>1574.6</v>
      </c>
      <c r="H433" s="67">
        <f>VLOOKUP(D433,'FDE 10-23 '!$A$4:$E$3180,5,0)</f>
        <v>15</v>
      </c>
      <c r="I433" s="92">
        <f>$L$10</f>
        <v>0.23</v>
      </c>
      <c r="J433" s="67">
        <f>ROUND(H433*(1+I433),2)</f>
        <v>18.45</v>
      </c>
      <c r="K433" s="71">
        <f>SUM(G433*J433)</f>
        <v>29051.37</v>
      </c>
      <c r="L433" s="51"/>
      <c r="M433" s="52"/>
    </row>
    <row r="434" spans="2:13" s="25" customFormat="1" ht="30" customHeight="1" outlineLevel="1">
      <c r="B434" s="53"/>
      <c r="C434" s="54"/>
      <c r="D434" s="54" t="s">
        <v>930</v>
      </c>
      <c r="E434" s="55" t="s">
        <v>931</v>
      </c>
      <c r="F434" s="56" t="str">
        <f>IFERROR(UPPER(IF(C434="CPU",VLOOKUP(D434,#REF!,3,0),IF(C434="SINAPI",VLOOKUP(D434,#REF!,3,0),IF(C434="EDIF",VLOOKUP(D434,#REF!,3,0),IF(C434="CDHU",VLOOKUP(D434,#REF!,3,0),IF(C434="FDE",VLOOKUP(D434,#REF!,3,0),IF(C434="INFRA",VLOOKUP(D434,#REF!,3,0),""))))))),"")</f>
        <v/>
      </c>
      <c r="G434" s="57"/>
      <c r="H434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34" s="59"/>
      <c r="J434" s="59"/>
      <c r="K434" s="82">
        <f>SUBTOTAL(9,K435:K436)</f>
        <v>136569.90100000001</v>
      </c>
      <c r="L434" s="51"/>
      <c r="M434" s="52"/>
    </row>
    <row r="435" spans="2:13" s="25" customFormat="1" ht="30" customHeight="1" outlineLevel="1">
      <c r="B435" s="61"/>
      <c r="C435" s="62" t="s">
        <v>26</v>
      </c>
      <c r="D435" s="63" t="s">
        <v>933</v>
      </c>
      <c r="E435" s="64" t="str">
        <f>IFERROR(UPPER(IF(C435="CPU",VLOOKUP(D435,#REF!,2,0),IF(C435="SINAPI",VLOOKUP(D435,#REF!,2,0),IF(C435="EDIF",VLOOKUP(D435,#REF!,2,0),IF(C435="CDHU",VLOOKUP(D435,#REF!,2,0),IF(C435="FDE",VLOOKUP(D435,'FDE 10-23 '!$A$4:$E$3180,2,0),IF(C435="INFRA",VLOOKUP(D435,#REF!,2,0),""))))))),"")</f>
        <v>TINTA LATEX ECONOMICA</v>
      </c>
      <c r="F435" s="65" t="str">
        <f>VLOOKUP(D435,'FDE 10-23 '!$A$4:$E$3180,3,0)</f>
        <v>M2</v>
      </c>
      <c r="G435" s="66">
        <v>1532</v>
      </c>
      <c r="H435" s="67">
        <f>VLOOKUP(D435,'FDE 10-23 '!$A$4:$E$3180,5,0)</f>
        <v>27.6</v>
      </c>
      <c r="I435" s="92">
        <f>$L$10</f>
        <v>0.23</v>
      </c>
      <c r="J435" s="67">
        <f>ROUND(H435*(1+I435),2)</f>
        <v>33.950000000000003</v>
      </c>
      <c r="K435" s="71">
        <f>SUM(G435*J435)</f>
        <v>52011.4</v>
      </c>
      <c r="L435" s="51"/>
      <c r="M435" s="52"/>
    </row>
    <row r="436" spans="2:13" s="25" customFormat="1" ht="30" customHeight="1" outlineLevel="1">
      <c r="B436" s="61"/>
      <c r="C436" s="62" t="s">
        <v>26</v>
      </c>
      <c r="D436" s="63" t="s">
        <v>935</v>
      </c>
      <c r="E436" s="64" t="str">
        <f>IFERROR(UPPER(IF(C436="CPU",VLOOKUP(D436,#REF!,2,0),IF(C436="SINAPI",VLOOKUP(D436,#REF!,2,0),IF(C436="EDIF",VLOOKUP(D436,#REF!,2,0),IF(C436="CDHU",VLOOKUP(D436,#REF!,2,0),IF(C436="FDE",VLOOKUP(D436,'FDE 10-23 '!$A$4:$E$3180,2,0),IF(C436="INFRA",VLOOKUP(D436,#REF!,2,0),""))))))),"")</f>
        <v>ESMALTE</v>
      </c>
      <c r="F436" s="65" t="str">
        <f>VLOOKUP(D436,'FDE 10-23 '!$A$4:$E$3180,3,0)</f>
        <v>M2</v>
      </c>
      <c r="G436" s="66">
        <v>2617.1</v>
      </c>
      <c r="H436" s="67">
        <f>VLOOKUP(D436,'FDE 10-23 '!$A$4:$E$3180,5,0)</f>
        <v>26.27</v>
      </c>
      <c r="I436" s="92">
        <f>$L$10</f>
        <v>0.23</v>
      </c>
      <c r="J436" s="67">
        <f>ROUND(H436*(1+I436),2)</f>
        <v>32.31</v>
      </c>
      <c r="K436" s="71">
        <f>SUM(G436*J436)</f>
        <v>84558.501000000004</v>
      </c>
      <c r="L436" s="51"/>
      <c r="M436" s="52"/>
    </row>
    <row r="437" spans="2:13" s="25" customFormat="1" ht="30" customHeight="1" outlineLevel="1">
      <c r="B437" s="53"/>
      <c r="C437" s="54"/>
      <c r="D437" s="54" t="s">
        <v>937</v>
      </c>
      <c r="E437" s="55" t="s">
        <v>938</v>
      </c>
      <c r="F437" s="56" t="str">
        <f>IFERROR(UPPER(IF(C437="CPU",VLOOKUP(D437,#REF!,3,0),IF(C437="SINAPI",VLOOKUP(D437,#REF!,3,0),IF(C437="EDIF",VLOOKUP(D437,#REF!,3,0),IF(C437="CDHU",VLOOKUP(D437,#REF!,3,0),IF(C437="FDE",VLOOKUP(D437,#REF!,3,0),IF(C437="INFRA",VLOOKUP(D437,#REF!,3,0),""))))))),"")</f>
        <v/>
      </c>
      <c r="G437" s="57"/>
      <c r="H437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37" s="59"/>
      <c r="J437" s="59"/>
      <c r="K437" s="82">
        <f>SUBTOTAL(9,K438:K440)</f>
        <v>38681.465400000001</v>
      </c>
      <c r="L437" s="51"/>
      <c r="M437" s="52"/>
    </row>
    <row r="438" spans="2:13" s="25" customFormat="1" ht="30" customHeight="1" outlineLevel="1">
      <c r="B438" s="61"/>
      <c r="C438" s="62" t="s">
        <v>26</v>
      </c>
      <c r="D438" s="63" t="s">
        <v>940</v>
      </c>
      <c r="E438" s="64" t="str">
        <f>IFERROR(UPPER(IF(C438="CPU",VLOOKUP(D438,#REF!,2,0),IF(C438="SINAPI",VLOOKUP(D438,#REF!,2,0),IF(C438="EDIF",VLOOKUP(D438,#REF!,2,0),IF(C438="CDHU",VLOOKUP(D438,#REF!,2,0),IF(C438="FDE",VLOOKUP(D438,'FDE 10-23 '!$A$4:$E$3180,2,0),IF(C438="INFRA",VLOOKUP(D438,#REF!,2,0),""))))))),"")</f>
        <v>ESMALTE COM MASSA NIVELADORA EM ESQUADRIAS DE MADEIRA</v>
      </c>
      <c r="F438" s="65" t="str">
        <f>VLOOKUP(D438,'FDE 10-23 '!$A$4:$E$3180,3,0)</f>
        <v>M2</v>
      </c>
      <c r="G438" s="66">
        <v>190.49</v>
      </c>
      <c r="H438" s="67">
        <f>VLOOKUP(D438,'FDE 10-23 '!$A$4:$E$3180,5,0)</f>
        <v>53.31</v>
      </c>
      <c r="I438" s="92">
        <f>$L$10</f>
        <v>0.23</v>
      </c>
      <c r="J438" s="67">
        <f>ROUND(H438*(1+I438),2)</f>
        <v>65.569999999999993</v>
      </c>
      <c r="K438" s="71">
        <f>SUM(G438*J438)</f>
        <v>12490.4293</v>
      </c>
      <c r="L438" s="51"/>
      <c r="M438" s="52"/>
    </row>
    <row r="439" spans="2:13" s="25" customFormat="1" ht="30" customHeight="1" outlineLevel="1">
      <c r="B439" s="61"/>
      <c r="C439" s="62" t="s">
        <v>26</v>
      </c>
      <c r="D439" s="63" t="s">
        <v>942</v>
      </c>
      <c r="E439" s="64" t="str">
        <f>IFERROR(UPPER(IF(C439="CPU",VLOOKUP(D439,#REF!,2,0),IF(C439="SINAPI",VLOOKUP(D439,#REF!,2,0),IF(C439="EDIF",VLOOKUP(D439,#REF!,2,0),IF(C439="CDHU",VLOOKUP(D439,#REF!,2,0),IF(C439="FDE",VLOOKUP(D439,'FDE 10-23 '!$A$4:$E$3180,2,0),IF(C439="INFRA",VLOOKUP(D439,#REF!,2,0),""))))))),"")</f>
        <v>ESMALTE EM ESQUADRIAS DE FERRO</v>
      </c>
      <c r="F439" s="65" t="str">
        <f>VLOOKUP(D439,'FDE 10-23 '!$A$4:$E$3180,3,0)</f>
        <v>M2</v>
      </c>
      <c r="G439" s="66">
        <v>611.01</v>
      </c>
      <c r="H439" s="67">
        <f>VLOOKUP(D439,'FDE 10-23 '!$A$4:$E$3180,5,0)</f>
        <v>26.51</v>
      </c>
      <c r="I439" s="92">
        <f>$L$10</f>
        <v>0.23</v>
      </c>
      <c r="J439" s="67">
        <f>ROUND(H439*(1+I439),2)</f>
        <v>32.61</v>
      </c>
      <c r="K439" s="71">
        <f>SUM(G439*J439)</f>
        <v>19925.036100000001</v>
      </c>
      <c r="L439" s="51"/>
      <c r="M439" s="52"/>
    </row>
    <row r="440" spans="2:13" s="25" customFormat="1" ht="30" customHeight="1" outlineLevel="1">
      <c r="B440" s="61"/>
      <c r="C440" s="62" t="s">
        <v>26</v>
      </c>
      <c r="D440" s="63" t="s">
        <v>944</v>
      </c>
      <c r="E440" s="64" t="str">
        <f>IFERROR(UPPER(IF(C440="CPU",VLOOKUP(D440,#REF!,2,0),IF(C440="SINAPI",VLOOKUP(D440,#REF!,2,0),IF(C440="EDIF",VLOOKUP(D440,#REF!,2,0),IF(C440="CDHU",VLOOKUP(D440,#REF!,2,0),IF(C440="FDE",VLOOKUP(D440,'FDE 10-23 '!$A$4:$E$3180,2,0),IF(C440="INFRA",VLOOKUP(D440,#REF!,2,0),""))))))),"")</f>
        <v>FACE EXTERNA DE CALHAS/CONDUTORES COM TINTA SINTETICA (ESMALTE)</v>
      </c>
      <c r="F440" s="65" t="str">
        <f>VLOOKUP(D440,'FDE 10-23 '!$A$4:$E$3180,3,0)</f>
        <v>M</v>
      </c>
      <c r="G440" s="66">
        <v>385.6</v>
      </c>
      <c r="H440" s="67">
        <f>VLOOKUP(D440,'FDE 10-23 '!$A$4:$E$3180,5,0)</f>
        <v>13.21</v>
      </c>
      <c r="I440" s="92">
        <f>$L$10</f>
        <v>0.23</v>
      </c>
      <c r="J440" s="67">
        <f>ROUND(H440*(1+I440),2)</f>
        <v>16.25</v>
      </c>
      <c r="K440" s="71">
        <f>SUM(G440*J440)</f>
        <v>6266</v>
      </c>
      <c r="L440" s="51"/>
      <c r="M440" s="52"/>
    </row>
    <row r="441" spans="2:13" s="25" customFormat="1" ht="30" customHeight="1" outlineLevel="1">
      <c r="B441" s="53"/>
      <c r="C441" s="54"/>
      <c r="D441" s="54" t="s">
        <v>946</v>
      </c>
      <c r="E441" s="55" t="s">
        <v>947</v>
      </c>
      <c r="F441" s="56" t="str">
        <f>IFERROR(UPPER(IF(C441="CPU",VLOOKUP(D441,#REF!,3,0),IF(C441="SINAPI",VLOOKUP(D441,#REF!,3,0),IF(C441="EDIF",VLOOKUP(D441,#REF!,3,0),IF(C441="CDHU",VLOOKUP(D441,#REF!,3,0),IF(C441="FDE",VLOOKUP(D441,#REF!,3,0),IF(C441="INFRA",VLOOKUP(D441,#REF!,3,0),""))))))),"")</f>
        <v/>
      </c>
      <c r="G441" s="57"/>
      <c r="H441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41" s="59"/>
      <c r="J441" s="59"/>
      <c r="K441" s="82">
        <f>SUBTOTAL(9,K442)</f>
        <v>24550.559999999998</v>
      </c>
      <c r="L441" s="51"/>
      <c r="M441" s="52"/>
    </row>
    <row r="442" spans="2:13" s="25" customFormat="1" ht="30" customHeight="1" outlineLevel="1">
      <c r="B442" s="61"/>
      <c r="C442" s="62" t="s">
        <v>26</v>
      </c>
      <c r="D442" s="63" t="s">
        <v>949</v>
      </c>
      <c r="E442" s="64" t="str">
        <f>IFERROR(UPPER(IF(C442="CPU",VLOOKUP(D442,#REF!,2,0),IF(C442="SINAPI",VLOOKUP(D442,#REF!,2,0),IF(C442="EDIF",VLOOKUP(D442,#REF!,2,0),IF(C442="CDHU",VLOOKUP(D442,#REF!,2,0),IF(C442="FDE",VLOOKUP(D442,'FDE 10-23 '!$A$4:$E$3180,2,0),IF(C442="INFRA",VLOOKUP(D442,#REF!,2,0),""))))))),"")</f>
        <v>TINTA LATEX STANDARD</v>
      </c>
      <c r="F442" s="65" t="str">
        <f>VLOOKUP(D442,'FDE 10-23 '!$A$4:$E$3180,3,0)</f>
        <v>M2</v>
      </c>
      <c r="G442" s="66">
        <v>909.28</v>
      </c>
      <c r="H442" s="67">
        <f>VLOOKUP(D442,'FDE 10-23 '!$A$4:$E$3180,5,0)</f>
        <v>21.95</v>
      </c>
      <c r="I442" s="92">
        <f>$L$10</f>
        <v>0.23</v>
      </c>
      <c r="J442" s="67">
        <f>ROUND(H442*(1+I442),2)</f>
        <v>27</v>
      </c>
      <c r="K442" s="71">
        <f>SUM(G442*J442)</f>
        <v>24550.559999999998</v>
      </c>
      <c r="L442" s="51"/>
      <c r="M442" s="52"/>
    </row>
    <row r="443" spans="2:13" s="25" customFormat="1" ht="30" customHeight="1">
      <c r="B443" s="43">
        <v>16</v>
      </c>
      <c r="C443" s="44"/>
      <c r="D443" s="44" t="s">
        <v>950</v>
      </c>
      <c r="E443" s="45" t="s">
        <v>951</v>
      </c>
      <c r="F443" s="46" t="str">
        <f>IFERROR(UPPER(IF(C443="CPU",VLOOKUP(D443,#REF!,3,0),IF(C443="SINAPI",VLOOKUP(D443,#REF!,3,0),IF(C443="EDIF",VLOOKUP(D443,#REF!,3,0),IF(C443="CDHU",VLOOKUP(D443,#REF!,3,0),IF(C443="FDE",VLOOKUP(D443,#REF!,3,0),IF(C443="INFRA",VLOOKUP(D443,#REF!,3,0),""))))))),"")</f>
        <v/>
      </c>
      <c r="G443" s="47"/>
      <c r="H443" s="4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43" s="49"/>
      <c r="J443" s="49"/>
      <c r="K443" s="81">
        <f>SUBTOTAL(9,K444:K532)</f>
        <v>782222.29519999982</v>
      </c>
      <c r="L443" s="51"/>
      <c r="M443" s="52"/>
    </row>
    <row r="444" spans="2:13" s="25" customFormat="1" ht="30" customHeight="1" outlineLevel="1">
      <c r="B444" s="53"/>
      <c r="C444" s="54"/>
      <c r="D444" s="54" t="s">
        <v>953</v>
      </c>
      <c r="E444" s="55" t="s">
        <v>954</v>
      </c>
      <c r="F444" s="56" t="str">
        <f>IFERROR(UPPER(IF(C444="CPU",VLOOKUP(D444,#REF!,3,0),IF(C444="SINAPI",VLOOKUP(D444,#REF!,3,0),IF(C444="EDIF",VLOOKUP(D444,#REF!,3,0),IF(C444="CDHU",VLOOKUP(D444,#REF!,3,0),IF(C444="FDE",VLOOKUP(D444,#REF!,3,0),IF(C444="INFRA",VLOOKUP(D444,#REF!,3,0),""))))))),"")</f>
        <v/>
      </c>
      <c r="G444" s="57"/>
      <c r="H444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44" s="59"/>
      <c r="J444" s="59"/>
      <c r="K444" s="82">
        <f>SUBTOTAL(9,K445:K450)</f>
        <v>85410.754000000015</v>
      </c>
      <c r="L444" s="51"/>
      <c r="M444" s="52"/>
    </row>
    <row r="445" spans="2:13" s="25" customFormat="1" ht="30" customHeight="1" outlineLevel="1">
      <c r="B445" s="83"/>
      <c r="C445" s="84" t="s">
        <v>26</v>
      </c>
      <c r="D445" s="85" t="s">
        <v>956</v>
      </c>
      <c r="E445" s="86" t="str">
        <f>IFERROR(UPPER(IF(C445="CPU",VLOOKUP(D445,#REF!,2,0),IF(C445="SINAPI",VLOOKUP(D445,#REF!,2,0),IF(C445="EDIF",VLOOKUP(D445,#REF!,2,0),IF(C445="CDHU",VLOOKUP(D445,#REF!,2,0),IF(C445="FDE",VLOOKUP(D445,'FDE 10-23 '!$A$4:$E$3180,2,0),IF(C445="INFRA",VLOOKUP(D445,#REF!,2,0),""))))))),"")</f>
        <v>FD-16 FECHAMENTO DIVISA/BL CONCRETO/REVEST CHAPISCO FINO H=235CM/BROCA</v>
      </c>
      <c r="F445" s="87" t="str">
        <f>VLOOKUP(D445,'FDE 10-23 '!$A$4:$E$3180,3,0)</f>
        <v>M</v>
      </c>
      <c r="G445" s="88"/>
      <c r="H445" s="89">
        <f>VLOOKUP(D445,'FDE 10-23 '!$A$4:$E$3180,5,0)</f>
        <v>704.05</v>
      </c>
      <c r="I445" s="90">
        <f t="shared" ref="I445:I450" si="75">$L$10</f>
        <v>0.23</v>
      </c>
      <c r="J445" s="89">
        <f t="shared" ref="J445:J450" si="76">ROUND(H445*(1+I445),2)</f>
        <v>865.98</v>
      </c>
      <c r="K445" s="91">
        <f t="shared" ref="K445:K450" si="77">SUM(G445*J445)</f>
        <v>0</v>
      </c>
      <c r="L445" s="51"/>
      <c r="M445" s="52"/>
    </row>
    <row r="446" spans="2:13" s="25" customFormat="1" ht="30" customHeight="1" outlineLevel="1">
      <c r="B446" s="61"/>
      <c r="C446" s="62" t="s">
        <v>26</v>
      </c>
      <c r="D446" s="63" t="s">
        <v>958</v>
      </c>
      <c r="E446" s="64" t="str">
        <f>IFERROR(UPPER(IF(C446="CPU",VLOOKUP(D446,#REF!,2,0),IF(C446="SINAPI",VLOOKUP(D446,#REF!,2,0),IF(C446="EDIF",VLOOKUP(D446,#REF!,2,0),IF(C446="CDHU",VLOOKUP(D446,#REF!,2,0),IF(C446="FDE",VLOOKUP(D446,'FDE 10-23 '!$A$4:$E$3180,2,0),IF(C446="INFRA",VLOOKUP(D446,#REF!,2,0),""))))))),"")</f>
        <v>FD-24 FECHAMENTO DE DIVISA COM GRADIL ELETROFUNDIDO / BROCA (H=235CM)</v>
      </c>
      <c r="F446" s="65" t="str">
        <f>VLOOKUP(D446,'FDE 10-23 '!$A$4:$E$3180,3,0)</f>
        <v>M</v>
      </c>
      <c r="G446" s="66">
        <v>16</v>
      </c>
      <c r="H446" s="67">
        <f>VLOOKUP(D446,'FDE 10-23 '!$A$4:$E$3180,5,0)</f>
        <v>936.52</v>
      </c>
      <c r="I446" s="92">
        <f t="shared" si="75"/>
        <v>0.23</v>
      </c>
      <c r="J446" s="67">
        <f t="shared" si="76"/>
        <v>1151.92</v>
      </c>
      <c r="K446" s="71">
        <f t="shared" si="77"/>
        <v>18430.72</v>
      </c>
      <c r="L446" s="51"/>
      <c r="M446" s="52"/>
    </row>
    <row r="447" spans="2:13" s="25" customFormat="1" ht="30" customHeight="1" outlineLevel="1">
      <c r="B447" s="61"/>
      <c r="C447" s="62" t="s">
        <v>26</v>
      </c>
      <c r="D447" s="63" t="s">
        <v>960</v>
      </c>
      <c r="E447" s="64" t="str">
        <f>IFERROR(UPPER(IF(C447="CPU",VLOOKUP(D447,#REF!,2,0),IF(C447="SINAPI",VLOOKUP(D447,#REF!,2,0),IF(C447="EDIF",VLOOKUP(D447,#REF!,2,0),IF(C447="CDHU",VLOOKUP(D447,#REF!,2,0),IF(C447="FDE",VLOOKUP(D447,'FDE 10-23 '!$A$4:$E$3180,2,0),IF(C447="INFRA",VLOOKUP(D447,#REF!,2,0),""))))))),"")</f>
        <v>PT-41 PORTAO EM CHAPA DE ACO (300X235CM)</v>
      </c>
      <c r="F447" s="65" t="str">
        <f>VLOOKUP(D447,'FDE 10-23 '!$A$4:$E$3180,3,0)</f>
        <v>UN</v>
      </c>
      <c r="G447" s="66">
        <v>2</v>
      </c>
      <c r="H447" s="67">
        <f>VLOOKUP(D447,'FDE 10-23 '!$A$4:$E$3180,5,0)</f>
        <v>9783.4</v>
      </c>
      <c r="I447" s="92">
        <f t="shared" si="75"/>
        <v>0.23</v>
      </c>
      <c r="J447" s="67">
        <f t="shared" si="76"/>
        <v>12033.58</v>
      </c>
      <c r="K447" s="71">
        <f t="shared" si="77"/>
        <v>24067.16</v>
      </c>
      <c r="L447" s="51"/>
      <c r="M447" s="52"/>
    </row>
    <row r="448" spans="2:13" s="25" customFormat="1" ht="30" customHeight="1" outlineLevel="1">
      <c r="B448" s="61"/>
      <c r="C448" s="62" t="s">
        <v>26</v>
      </c>
      <c r="D448" s="63" t="s">
        <v>962</v>
      </c>
      <c r="E448" s="64" t="str">
        <f>IFERROR(UPPER(IF(C448="CPU",VLOOKUP(D448,#REF!,2,0),IF(C448="SINAPI",VLOOKUP(D448,#REF!,2,0),IF(C448="EDIF",VLOOKUP(D448,#REF!,2,0),IF(C448="CDHU",VLOOKUP(D448,#REF!,2,0),IF(C448="FDE",VLOOKUP(D448,'FDE 10-23 '!$A$4:$E$3180,2,0),IF(C448="INFRA",VLOOKUP(D448,#REF!,2,0),""))))))),"")</f>
        <v>FE-02  FECHAMENTO PARA SETORIZAÇAO (GRADIL ELETROFUNDIDO)</v>
      </c>
      <c r="F448" s="65" t="str">
        <f>VLOOKUP(D448,'FDE 10-23 '!$A$4:$E$3180,3,0)</f>
        <v>M2</v>
      </c>
      <c r="G448" s="66">
        <v>92.05</v>
      </c>
      <c r="H448" s="67">
        <f>VLOOKUP(D448,'FDE 10-23 '!$A$4:$E$3180,5,0)</f>
        <v>279.19</v>
      </c>
      <c r="I448" s="92">
        <f t="shared" si="75"/>
        <v>0.23</v>
      </c>
      <c r="J448" s="67">
        <f t="shared" si="76"/>
        <v>343.4</v>
      </c>
      <c r="K448" s="71">
        <f t="shared" si="77"/>
        <v>31609.969999999998</v>
      </c>
      <c r="L448" s="51"/>
      <c r="M448" s="52"/>
    </row>
    <row r="449" spans="2:13" s="25" customFormat="1" ht="30" customHeight="1" outlineLevel="1">
      <c r="B449" s="61"/>
      <c r="C449" s="62" t="s">
        <v>26</v>
      </c>
      <c r="D449" s="63" t="s">
        <v>964</v>
      </c>
      <c r="E449" s="64" t="str">
        <f>IFERROR(UPPER(IF(C449="CPU",VLOOKUP(D449,#REF!,2,0),IF(C449="SINAPI",VLOOKUP(D449,#REF!,2,0),IF(C449="EDIF",VLOOKUP(D449,#REF!,2,0),IF(C449="CDHU",VLOOKUP(D449,#REF!,2,0),IF(C449="FDE",VLOOKUP(D449,'FDE 10-23 '!$A$4:$E$3180,2,0),IF(C449="INFRA",VLOOKUP(D449,#REF!,2,0),""))))))),"")</f>
        <v>PT-50 PORTAO DE TELA PARA SETORIZAÇAO 120&lt;H&lt;200 CM</v>
      </c>
      <c r="F449" s="65" t="str">
        <f>VLOOKUP(D449,'FDE 10-23 '!$A$4:$E$3180,3,0)</f>
        <v>M2</v>
      </c>
      <c r="G449" s="66">
        <v>2.4</v>
      </c>
      <c r="H449" s="67">
        <f>VLOOKUP(D449,'FDE 10-23 '!$A$4:$E$3180,5,0)</f>
        <v>1103.9100000000001</v>
      </c>
      <c r="I449" s="92">
        <f t="shared" si="75"/>
        <v>0.23</v>
      </c>
      <c r="J449" s="67">
        <f t="shared" si="76"/>
        <v>1357.81</v>
      </c>
      <c r="K449" s="71">
        <f t="shared" si="77"/>
        <v>3258.7439999999997</v>
      </c>
      <c r="L449" s="51"/>
      <c r="M449" s="52"/>
    </row>
    <row r="450" spans="2:13" s="25" customFormat="1" ht="30" customHeight="1" outlineLevel="1">
      <c r="B450" s="61"/>
      <c r="C450" s="62" t="s">
        <v>26</v>
      </c>
      <c r="D450" s="63" t="s">
        <v>966</v>
      </c>
      <c r="E450" s="64" t="str">
        <f>IFERROR(UPPER(IF(C450="CPU",VLOOKUP(D450,#REF!,2,0),IF(C450="SINAPI",VLOOKUP(D450,#REF!,2,0),IF(C450="EDIF",VLOOKUP(D450,#REF!,2,0),IF(C450="CDHU",VLOOKUP(D450,#REF!,2,0),IF(C450="FDE",VLOOKUP(D450,'FDE 10-23 '!$A$4:$E$3180,2,0),IF(C450="INFRA",VLOOKUP(D450,#REF!,2,0),""))))))),"")</f>
        <v>PT-35 PORTAO GRADIL ELETROFUNDIDO / PILARETE METALICO (300X235CM)</v>
      </c>
      <c r="F450" s="65" t="str">
        <f>VLOOKUP(D450,'FDE 10-23 '!$A$4:$E$3180,3,0)</f>
        <v>UN</v>
      </c>
      <c r="G450" s="66">
        <v>1</v>
      </c>
      <c r="H450" s="67">
        <f>VLOOKUP(D450,'FDE 10-23 '!$A$4:$E$3180,5,0)</f>
        <v>6539.97</v>
      </c>
      <c r="I450" s="92">
        <f t="shared" si="75"/>
        <v>0.23</v>
      </c>
      <c r="J450" s="67">
        <f t="shared" si="76"/>
        <v>8044.16</v>
      </c>
      <c r="K450" s="71">
        <f t="shared" si="77"/>
        <v>8044.16</v>
      </c>
      <c r="L450" s="51"/>
      <c r="M450" s="52"/>
    </row>
    <row r="451" spans="2:13" s="25" customFormat="1" ht="30" customHeight="1" outlineLevel="1">
      <c r="B451" s="53"/>
      <c r="C451" s="54"/>
      <c r="D451" s="54" t="s">
        <v>968</v>
      </c>
      <c r="E451" s="55" t="s">
        <v>969</v>
      </c>
      <c r="F451" s="56" t="str">
        <f>IFERROR(UPPER(IF(C451="CPU",VLOOKUP(D451,#REF!,3,0),IF(C451="SINAPI",VLOOKUP(D451,#REF!,3,0),IF(C451="EDIF",VLOOKUP(D451,#REF!,3,0),IF(C451="CDHU",VLOOKUP(D451,#REF!,3,0),IF(C451="FDE",VLOOKUP(D451,#REF!,3,0),IF(C451="INFRA",VLOOKUP(D451,#REF!,3,0),""))))))),"")</f>
        <v/>
      </c>
      <c r="G451" s="57"/>
      <c r="H451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51" s="59"/>
      <c r="J451" s="59"/>
      <c r="K451" s="82">
        <f>SUBTOTAL(9,K452:K458)</f>
        <v>122793.88459999999</v>
      </c>
      <c r="L451" s="51"/>
      <c r="M451" s="52"/>
    </row>
    <row r="452" spans="2:13" s="25" customFormat="1" ht="30" customHeight="1" outlineLevel="1">
      <c r="B452" s="61"/>
      <c r="C452" s="62" t="s">
        <v>26</v>
      </c>
      <c r="D452" s="63" t="s">
        <v>971</v>
      </c>
      <c r="E452" s="64" t="str">
        <f>IFERROR(UPPER(IF(C452="CPU",VLOOKUP(D452,#REF!,2,0),IF(C452="SINAPI",VLOOKUP(D452,#REF!,2,0),IF(C452="EDIF",VLOOKUP(D452,#REF!,2,0),IF(C452="CDHU",VLOOKUP(D452,#REF!,2,0),IF(C452="FDE",VLOOKUP(D452,'FDE 10-23 '!$A$4:$E$3180,2,0),IF(C452="INFRA",VLOOKUP(D452,#REF!,2,0),""))))))),"")</f>
        <v>BORRACHA ASSENTADA C/ ARGAMASSA - PISO TATIL DIRECIONAL</v>
      </c>
      <c r="F452" s="65" t="str">
        <f>VLOOKUP(D452,'FDE 10-23 '!$A$4:$E$3180,3,0)</f>
        <v>M2</v>
      </c>
      <c r="G452" s="66">
        <v>2.56</v>
      </c>
      <c r="H452" s="67">
        <f>VLOOKUP(D452,'FDE 10-23 '!$A$4:$E$3180,5,0)</f>
        <v>429.95</v>
      </c>
      <c r="I452" s="92">
        <f t="shared" ref="I452:I458" si="78">$L$10</f>
        <v>0.23</v>
      </c>
      <c r="J452" s="67">
        <f t="shared" ref="J452:J458" si="79">ROUND(H452*(1+I452),2)</f>
        <v>528.84</v>
      </c>
      <c r="K452" s="71">
        <f t="shared" ref="K452:K458" si="80">SUM(G452*J452)</f>
        <v>1353.8304000000001</v>
      </c>
      <c r="L452" s="51"/>
      <c r="M452" s="52"/>
    </row>
    <row r="453" spans="2:13" s="25" customFormat="1" ht="30" customHeight="1" outlineLevel="1">
      <c r="B453" s="61"/>
      <c r="C453" s="62" t="s">
        <v>26</v>
      </c>
      <c r="D453" s="63" t="s">
        <v>973</v>
      </c>
      <c r="E453" s="64" t="str">
        <f>IFERROR(UPPER(IF(C453="CPU",VLOOKUP(D453,#REF!,2,0),IF(C453="SINAPI",VLOOKUP(D453,#REF!,2,0),IF(C453="EDIF",VLOOKUP(D453,#REF!,2,0),IF(C453="CDHU",VLOOKUP(D453,#REF!,2,0),IF(C453="FDE",VLOOKUP(D453,'FDE 10-23 '!$A$4:$E$3180,2,0),IF(C453="INFRA",VLOOKUP(D453,#REF!,2,0),""))))))),"")</f>
        <v>PAVIMENTACAO COM PEDRISCO COM ESPESS DE 5 CM</v>
      </c>
      <c r="F453" s="65" t="str">
        <f>VLOOKUP(D453,'FDE 10-23 '!$A$4:$E$3180,3,0)</f>
        <v>M2</v>
      </c>
      <c r="G453" s="66">
        <v>354.38</v>
      </c>
      <c r="H453" s="67">
        <f>VLOOKUP(D453,'FDE 10-23 '!$A$4:$E$3180,5,0)</f>
        <v>12.14</v>
      </c>
      <c r="I453" s="92">
        <f t="shared" si="78"/>
        <v>0.23</v>
      </c>
      <c r="J453" s="67">
        <f t="shared" si="79"/>
        <v>14.93</v>
      </c>
      <c r="K453" s="71">
        <f t="shared" si="80"/>
        <v>5290.8933999999999</v>
      </c>
      <c r="L453" s="51"/>
      <c r="M453" s="52"/>
    </row>
    <row r="454" spans="2:13" s="25" customFormat="1" ht="30" customHeight="1" outlineLevel="1">
      <c r="B454" s="83"/>
      <c r="C454" s="84" t="s">
        <v>26</v>
      </c>
      <c r="D454" s="85" t="s">
        <v>975</v>
      </c>
      <c r="E454" s="86" t="str">
        <f>IFERROR(UPPER(IF(C454="CPU",VLOOKUP(D454,#REF!,2,0),IF(C454="SINAPI",VLOOKUP(D454,#REF!,2,0),IF(C454="EDIF",VLOOKUP(D454,#REF!,2,0),IF(C454="CDHU",VLOOKUP(D454,#REF!,2,0),IF(C454="FDE",VLOOKUP(D454,'FDE 10-23 '!$A$4:$E$3180,2,0),IF(C454="INFRA",VLOOKUP(D454,#REF!,2,0),""))))))),"")</f>
        <v>GA-01 GUIA LEVE OU SEPARADOR DE PISOS</v>
      </c>
      <c r="F454" s="87" t="str">
        <f>VLOOKUP(D454,'FDE 10-23 '!$A$4:$E$3180,3,0)</f>
        <v>M</v>
      </c>
      <c r="G454" s="88">
        <v>16</v>
      </c>
      <c r="H454" s="89">
        <f>VLOOKUP(D454,'FDE 10-23 '!$A$4:$E$3180,5,0)</f>
        <v>47.13</v>
      </c>
      <c r="I454" s="90">
        <f t="shared" si="78"/>
        <v>0.23</v>
      </c>
      <c r="J454" s="89">
        <f t="shared" si="79"/>
        <v>57.97</v>
      </c>
      <c r="K454" s="91">
        <f t="shared" si="80"/>
        <v>927.52</v>
      </c>
      <c r="L454" s="51"/>
      <c r="M454" s="52"/>
    </row>
    <row r="455" spans="2:13" s="25" customFormat="1" ht="30" customHeight="1" outlineLevel="1">
      <c r="B455" s="61"/>
      <c r="C455" s="62" t="s">
        <v>26</v>
      </c>
      <c r="D455" s="63" t="s">
        <v>977</v>
      </c>
      <c r="E455" s="64" t="str">
        <f>IFERROR(UPPER(IF(C455="CPU",VLOOKUP(D455,#REF!,2,0),IF(C455="SINAPI",VLOOKUP(D455,#REF!,2,0),IF(C455="EDIF",VLOOKUP(D455,#REF!,2,0),IF(C455="CDHU",VLOOKUP(D455,#REF!,2,0),IF(C455="FDE",VLOOKUP(D455,'FDE 10-23 '!$A$4:$E$3180,2,0),IF(C455="INFRA",VLOOKUP(D455,#REF!,2,0),""))))))),"")</f>
        <v>PISO DE CONCRETO FCK 25MPA DESEMPENAMENTO MECÂNICO E=8CM</v>
      </c>
      <c r="F455" s="65" t="str">
        <f>VLOOKUP(D455,'FDE 10-23 '!$A$4:$E$3180,3,0)</f>
        <v>M2</v>
      </c>
      <c r="G455" s="66">
        <v>1202.5999999999999</v>
      </c>
      <c r="H455" s="67">
        <f>VLOOKUP(D455,'FDE 10-23 '!$A$4:$E$3180,5,0)</f>
        <v>65.88</v>
      </c>
      <c r="I455" s="92">
        <f t="shared" si="78"/>
        <v>0.23</v>
      </c>
      <c r="J455" s="67">
        <f t="shared" si="79"/>
        <v>81.03</v>
      </c>
      <c r="K455" s="71">
        <f t="shared" si="80"/>
        <v>97446.678</v>
      </c>
      <c r="L455" s="51"/>
      <c r="M455" s="52"/>
    </row>
    <row r="456" spans="2:13" s="25" customFormat="1" ht="30" customHeight="1" outlineLevel="1">
      <c r="B456" s="61"/>
      <c r="C456" s="84" t="s">
        <v>26</v>
      </c>
      <c r="D456" s="85" t="s">
        <v>979</v>
      </c>
      <c r="E456" s="86" t="str">
        <f>IFERROR(UPPER(IF(C456="CPU",VLOOKUP(D456,#REF!,2,0),IF(C456="SINAPI",VLOOKUP(D456,#REF!,2,0),IF(C456="EDIF",VLOOKUP(D456,#REF!,2,0),IF(C456="CDHU",VLOOKUP(D456,#REF!,2,0),IF(C456="FDE",VLOOKUP(D456,'FDE 10-23 '!$A$4:$E$3180,2,0),IF(C456="INFRA",VLOOKUP(D456,#REF!,2,0),""))))))),"")</f>
        <v>PISO DE CONCRETO ARMADO FCK 25MPA DESEMPENAMENTO MECÂNICO  E=10CM</v>
      </c>
      <c r="F456" s="87" t="str">
        <f>VLOOKUP(D456,'FDE 10-23 '!$A$4:$E$3180,3,0)</f>
        <v>M2</v>
      </c>
      <c r="G456" s="88"/>
      <c r="H456" s="89">
        <f>VLOOKUP(D456,'FDE 10-23 '!$A$4:$E$3180,5,0)</f>
        <v>102.82</v>
      </c>
      <c r="I456" s="90">
        <f t="shared" si="78"/>
        <v>0.23</v>
      </c>
      <c r="J456" s="89">
        <f t="shared" si="79"/>
        <v>126.47</v>
      </c>
      <c r="K456" s="91">
        <f t="shared" si="80"/>
        <v>0</v>
      </c>
      <c r="L456" s="51"/>
      <c r="M456" s="52"/>
    </row>
    <row r="457" spans="2:13" s="25" customFormat="1" ht="30" customHeight="1" outlineLevel="1">
      <c r="B457" s="61"/>
      <c r="C457" s="62" t="s">
        <v>26</v>
      </c>
      <c r="D457" s="63" t="s">
        <v>981</v>
      </c>
      <c r="E457" s="64" t="str">
        <f>IFERROR(UPPER(IF(C457="CPU",VLOOKUP(D457,#REF!,2,0),IF(C457="SINAPI",VLOOKUP(D457,#REF!,2,0),IF(C457="EDIF",VLOOKUP(D457,#REF!,2,0),IF(C457="CDHU",VLOOKUP(D457,#REF!,2,0),IF(C457="FDE",VLOOKUP(D457,'FDE 10-23 '!$A$4:$E$3180,2,0),IF(C457="INFRA",VLOOKUP(D457,#REF!,2,0),""))))))),"")</f>
        <v>DEGRAU DE CONCRETO ARMADO FCK 25MPA DESEMPENADO E=6CM  INCLUSIVE LASTRO DE BRITA</v>
      </c>
      <c r="F457" s="65" t="str">
        <f>VLOOKUP(D457,'FDE 10-23 '!$A$4:$E$3180,3,0)</f>
        <v>M</v>
      </c>
      <c r="G457" s="66">
        <v>48</v>
      </c>
      <c r="H457" s="67">
        <f>VLOOKUP(D457,'FDE 10-23 '!$A$4:$E$3180,5,0)</f>
        <v>57.85</v>
      </c>
      <c r="I457" s="92">
        <f t="shared" si="78"/>
        <v>0.23</v>
      </c>
      <c r="J457" s="67">
        <f t="shared" si="79"/>
        <v>71.16</v>
      </c>
      <c r="K457" s="71">
        <f t="shared" si="80"/>
        <v>3415.68</v>
      </c>
      <c r="L457" s="51"/>
      <c r="M457" s="52"/>
    </row>
    <row r="458" spans="2:13" s="25" customFormat="1" ht="30" customHeight="1" outlineLevel="1">
      <c r="B458" s="61"/>
      <c r="C458" s="84" t="s">
        <v>26</v>
      </c>
      <c r="D458" s="85" t="s">
        <v>983</v>
      </c>
      <c r="E458" s="86" t="str">
        <f>IFERROR(UPPER(IF(C458="CPU",VLOOKUP(D458,#REF!,2,0),IF(C458="SINAPI",VLOOKUP(D458,#REF!,2,0),IF(C458="EDIF",VLOOKUP(D458,#REF!,2,0),IF(C458="CDHU",VLOOKUP(D458,#REF!,2,0),IF(C458="FDE",VLOOKUP(D458,'FDE 10-23 '!$A$4:$E$3180,2,0),IF(C458="INFRA",VLOOKUP(D458,#REF!,2,0),""))))))),"")</f>
        <v>LASTRO DE PEDRA BRITADA - 5CM</v>
      </c>
      <c r="F458" s="87" t="str">
        <f>VLOOKUP(D458,'FDE 10-23 '!$A$4:$E$3180,3,0)</f>
        <v>M2</v>
      </c>
      <c r="G458" s="88">
        <v>1202.6199999999999</v>
      </c>
      <c r="H458" s="89">
        <f>VLOOKUP(D458,'FDE 10-23 '!$A$4:$E$3180,5,0)</f>
        <v>9.7100000000000009</v>
      </c>
      <c r="I458" s="90">
        <f t="shared" si="78"/>
        <v>0.23</v>
      </c>
      <c r="J458" s="89">
        <f t="shared" si="79"/>
        <v>11.94</v>
      </c>
      <c r="K458" s="91">
        <f t="shared" si="80"/>
        <v>14359.282799999997</v>
      </c>
      <c r="L458" s="51"/>
      <c r="M458" s="52"/>
    </row>
    <row r="459" spans="2:13" s="25" customFormat="1" ht="30" customHeight="1" outlineLevel="1">
      <c r="B459" s="53"/>
      <c r="C459" s="54"/>
      <c r="D459" s="54" t="s">
        <v>985</v>
      </c>
      <c r="E459" s="55" t="s">
        <v>986</v>
      </c>
      <c r="F459" s="56" t="str">
        <f>IFERROR(UPPER(IF(C459="CPU",VLOOKUP(D459,#REF!,3,0),IF(C459="SINAPI",VLOOKUP(D459,#REF!,3,0),IF(C459="EDIF",VLOOKUP(D459,#REF!,3,0),IF(C459="CDHU",VLOOKUP(D459,#REF!,3,0),IF(C459="FDE",VLOOKUP(D459,#REF!,3,0),IF(C459="INFRA",VLOOKUP(D459,#REF!,3,0),""))))))),"")</f>
        <v/>
      </c>
      <c r="G459" s="57"/>
      <c r="H459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59" s="59"/>
      <c r="J459" s="59"/>
      <c r="K459" s="82">
        <f>SUBTOTAL(9,K460:K463)</f>
        <v>108071.91700000002</v>
      </c>
      <c r="L459" s="51"/>
      <c r="M459" s="52"/>
    </row>
    <row r="460" spans="2:13" s="25" customFormat="1" ht="30" customHeight="1" outlineLevel="1">
      <c r="B460" s="61"/>
      <c r="C460" s="62" t="s">
        <v>26</v>
      </c>
      <c r="D460" s="63" t="s">
        <v>988</v>
      </c>
      <c r="E460" s="64" t="str">
        <f>IFERROR(UPPER(IF(C460="CPU",VLOOKUP(D460,#REF!,2,0),IF(C460="SINAPI",VLOOKUP(D460,#REF!,2,0),IF(C460="EDIF",VLOOKUP(D460,#REF!,2,0),IF(C460="CDHU",VLOOKUP(D460,#REF!,2,0),IF(C460="FDE",VLOOKUP(D460,'FDE 10-23 '!$A$4:$E$3180,2,0),IF(C460="INFRA",VLOOKUP(D460,#REF!,2,0),""))))))),"")</f>
        <v>GRAMA SAO CARLOS EM PLACAS</v>
      </c>
      <c r="F460" s="65" t="str">
        <f>VLOOKUP(D460,'FDE 10-23 '!$A$4:$E$3180,3,0)</f>
        <v>M2</v>
      </c>
      <c r="G460" s="66">
        <v>4037.7</v>
      </c>
      <c r="H460" s="67">
        <f>VLOOKUP(D460,'FDE 10-23 '!$A$4:$E$3180,5,0)</f>
        <v>20.329999999999998</v>
      </c>
      <c r="I460" s="92">
        <f>$L$10</f>
        <v>0.23</v>
      </c>
      <c r="J460" s="67">
        <f>ROUND(H460*(1+I460),2)</f>
        <v>25.01</v>
      </c>
      <c r="K460" s="71">
        <f>SUM(G460*J460)</f>
        <v>100982.87700000001</v>
      </c>
      <c r="L460" s="51"/>
      <c r="M460" s="52"/>
    </row>
    <row r="461" spans="2:13" s="25" customFormat="1" ht="30" customHeight="1" outlineLevel="1">
      <c r="B461" s="61"/>
      <c r="C461" s="62" t="s">
        <v>26</v>
      </c>
      <c r="D461" s="63" t="s">
        <v>990</v>
      </c>
      <c r="E461" s="64" t="str">
        <f>IFERROR(UPPER(IF(C461="CPU",VLOOKUP(D461,#REF!,2,0),IF(C461="SINAPI",VLOOKUP(D461,#REF!,2,0),IF(C461="EDIF",VLOOKUP(D461,#REF!,2,0),IF(C461="CDHU",VLOOKUP(D461,#REF!,2,0),IF(C461="FDE",VLOOKUP(D461,'FDE 10-23 '!$A$4:$E$3180,2,0),IF(C461="INFRA",VLOOKUP(D461,#REF!,2,0),""))))))),"")</f>
        <v>AP-02 PROTETOR PARA ARVORES</v>
      </c>
      <c r="F461" s="65" t="str">
        <f>VLOOKUP(D461,'FDE 10-23 '!$A$4:$E$3180,3,0)</f>
        <v>UN</v>
      </c>
      <c r="G461" s="66">
        <v>14</v>
      </c>
      <c r="H461" s="67">
        <f>VLOOKUP(D461,'FDE 10-23 '!$A$4:$E$3180,5,0)</f>
        <v>114.06</v>
      </c>
      <c r="I461" s="92">
        <f>$L$10</f>
        <v>0.23</v>
      </c>
      <c r="J461" s="67">
        <f>ROUND(H461*(1+I461),2)</f>
        <v>140.29</v>
      </c>
      <c r="K461" s="71">
        <f>SUM(G461*J461)</f>
        <v>1964.06</v>
      </c>
      <c r="L461" s="51"/>
      <c r="M461" s="52"/>
    </row>
    <row r="462" spans="2:13" s="25" customFormat="1" ht="30" customHeight="1" outlineLevel="1">
      <c r="B462" s="61"/>
      <c r="C462" s="62" t="s">
        <v>26</v>
      </c>
      <c r="D462" s="63" t="s">
        <v>992</v>
      </c>
      <c r="E462" s="64" t="str">
        <f>IFERROR(UPPER(IF(C462="CPU",VLOOKUP(D462,#REF!,2,0),IF(C462="SINAPI",VLOOKUP(D462,#REF!,2,0),IF(C462="EDIF",VLOOKUP(D462,#REF!,2,0),IF(C462="CDHU",VLOOKUP(D462,#REF!,2,0),IF(C462="FDE",VLOOKUP(D462,'FDE 10-23 '!$A$4:$E$3180,2,0),IF(C462="INFRA",VLOOKUP(D462,#REF!,2,0),""))))))),"")</f>
        <v>FRUTÍFERA PITANGUEIRA H=2,00M</v>
      </c>
      <c r="F462" s="65" t="str">
        <f>VLOOKUP(D462,'FDE 10-23 '!$A$4:$E$3180,3,0)</f>
        <v>UN</v>
      </c>
      <c r="G462" s="66">
        <v>5</v>
      </c>
      <c r="H462" s="67">
        <f>VLOOKUP(D462,'FDE 10-23 '!$A$4:$E$3180,5,0)</f>
        <v>417.62</v>
      </c>
      <c r="I462" s="92">
        <f>$L$10</f>
        <v>0.23</v>
      </c>
      <c r="J462" s="67">
        <f>ROUND(H462*(1+I462),2)</f>
        <v>513.66999999999996</v>
      </c>
      <c r="K462" s="71">
        <f>SUM(G462*J462)</f>
        <v>2568.35</v>
      </c>
      <c r="L462" s="51"/>
      <c r="M462" s="52"/>
    </row>
    <row r="463" spans="2:13" s="25" customFormat="1" ht="30" customHeight="1" outlineLevel="1">
      <c r="B463" s="61"/>
      <c r="C463" s="62" t="s">
        <v>26</v>
      </c>
      <c r="D463" s="63" t="s">
        <v>994</v>
      </c>
      <c r="E463" s="64" t="str">
        <f>IFERROR(UPPER(IF(C463="CPU",VLOOKUP(D463,#REF!,2,0),IF(C463="SINAPI",VLOOKUP(D463,#REF!,2,0),IF(C463="EDIF",VLOOKUP(D463,#REF!,2,0),IF(C463="CDHU",VLOOKUP(D463,#REF!,2,0),IF(C463="FDE",VLOOKUP(D463,'FDE 10-23 '!$A$4:$E$3180,2,0),IF(C463="INFRA",VLOOKUP(D463,#REF!,2,0),""))))))),"")</f>
        <v>ÁRVORE ORNAMENTAL PAU-BRASIL  H=2,00M</v>
      </c>
      <c r="F463" s="65" t="str">
        <f>VLOOKUP(D463,'FDE 10-23 '!$A$4:$E$3180,3,0)</f>
        <v>UN</v>
      </c>
      <c r="G463" s="66">
        <v>9</v>
      </c>
      <c r="H463" s="67">
        <f>VLOOKUP(D463,'FDE 10-23 '!$A$4:$E$3180,5,0)</f>
        <v>230.95</v>
      </c>
      <c r="I463" s="92">
        <f>$L$10</f>
        <v>0.23</v>
      </c>
      <c r="J463" s="67">
        <f>ROUND(H463*(1+I463),2)</f>
        <v>284.07</v>
      </c>
      <c r="K463" s="71">
        <f>SUM(G463*J463)</f>
        <v>2556.63</v>
      </c>
      <c r="L463" s="51"/>
      <c r="M463" s="52"/>
    </row>
    <row r="464" spans="2:13" s="25" customFormat="1" ht="30" customHeight="1" outlineLevel="1">
      <c r="B464" s="53"/>
      <c r="C464" s="54"/>
      <c r="D464" s="54" t="s">
        <v>996</v>
      </c>
      <c r="E464" s="55" t="s">
        <v>997</v>
      </c>
      <c r="F464" s="56" t="str">
        <f>IFERROR(UPPER(IF(C464="CPU",VLOOKUP(D464,#REF!,3,0),IF(C464="SINAPI",VLOOKUP(D464,#REF!,3,0),IF(C464="EDIF",VLOOKUP(D464,#REF!,3,0),IF(C464="CDHU",VLOOKUP(D464,#REF!,3,0),IF(C464="FDE",VLOOKUP(D464,#REF!,3,0),IF(C464="INFRA",VLOOKUP(D464,#REF!,3,0),""))))))),"")</f>
        <v/>
      </c>
      <c r="G464" s="57"/>
      <c r="H464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64" s="59"/>
      <c r="J464" s="59"/>
      <c r="K464" s="82">
        <f>SUBTOTAL(9,K465:K478)</f>
        <v>226298.00940000004</v>
      </c>
      <c r="L464" s="51"/>
      <c r="M464" s="52"/>
    </row>
    <row r="465" spans="2:13" s="25" customFormat="1" ht="30" customHeight="1" outlineLevel="1">
      <c r="B465" s="61"/>
      <c r="C465" s="62" t="s">
        <v>26</v>
      </c>
      <c r="D465" s="63" t="s">
        <v>999</v>
      </c>
      <c r="E465" s="64" t="str">
        <f>IFERROR(UPPER(IF(C465="CPU",VLOOKUP(D465,#REF!,2,0),IF(C465="SINAPI",VLOOKUP(D465,#REF!,2,0),IF(C465="EDIF",VLOOKUP(D465,#REF!,2,0),IF(C465="CDHU",VLOOKUP(D465,#REF!,2,0),IF(C465="FDE",VLOOKUP(D465,'FDE 10-23 '!$A$4:$E$3180,2,0),IF(C465="INFRA",VLOOKUP(D465,#REF!,2,0),""))))))),"")</f>
        <v>CA-05 CANALETA P/ AGUAS PLUVIAIS (L=60CM)</v>
      </c>
      <c r="F465" s="65" t="str">
        <f>VLOOKUP(D465,'FDE 10-23 '!$A$4:$E$3180,3,0)</f>
        <v>M</v>
      </c>
      <c r="G465" s="66">
        <v>128</v>
      </c>
      <c r="H465" s="67">
        <f>VLOOKUP(D465,'FDE 10-23 '!$A$4:$E$3180,5,0)</f>
        <v>42.9</v>
      </c>
      <c r="I465" s="92">
        <f t="shared" ref="I465:I478" si="81">$L$10</f>
        <v>0.23</v>
      </c>
      <c r="J465" s="67">
        <f t="shared" ref="J465:J478" si="82">ROUND(H465*(1+I465),2)</f>
        <v>52.77</v>
      </c>
      <c r="K465" s="71">
        <f t="shared" ref="K465:K478" si="83">SUM(G465*J465)</f>
        <v>6754.56</v>
      </c>
      <c r="L465" s="51"/>
      <c r="M465" s="52"/>
    </row>
    <row r="466" spans="2:13" s="25" customFormat="1" ht="30" customHeight="1" outlineLevel="1">
      <c r="B466" s="61"/>
      <c r="C466" s="62" t="s">
        <v>26</v>
      </c>
      <c r="D466" s="63" t="s">
        <v>1001</v>
      </c>
      <c r="E466" s="64" t="str">
        <f>IFERROR(UPPER(IF(C466="CPU",VLOOKUP(D466,#REF!,2,0),IF(C466="SINAPI",VLOOKUP(D466,#REF!,2,0),IF(C466="EDIF",VLOOKUP(D466,#REF!,2,0),IF(C466="CDHU",VLOOKUP(D466,#REF!,2,0),IF(C466="FDE",VLOOKUP(D466,'FDE 10-23 '!$A$4:$E$3180,2,0),IF(C466="INFRA",VLOOKUP(D466,#REF!,2,0),""))))))),"")</f>
        <v>CA-11 CAIXA DE AREIA COM GRELHA</v>
      </c>
      <c r="F466" s="65" t="str">
        <f>VLOOKUP(D466,'FDE 10-23 '!$A$4:$E$3180,3,0)</f>
        <v>UN</v>
      </c>
      <c r="G466" s="66">
        <v>3</v>
      </c>
      <c r="H466" s="67">
        <f>VLOOKUP(D466,'FDE 10-23 '!$A$4:$E$3180,5,0)</f>
        <v>547.94000000000005</v>
      </c>
      <c r="I466" s="92">
        <f t="shared" si="81"/>
        <v>0.23</v>
      </c>
      <c r="J466" s="67">
        <f t="shared" si="82"/>
        <v>673.97</v>
      </c>
      <c r="K466" s="71">
        <f t="shared" si="83"/>
        <v>2021.91</v>
      </c>
      <c r="L466" s="51"/>
      <c r="M466" s="52"/>
    </row>
    <row r="467" spans="2:13" s="25" customFormat="1" ht="30" customHeight="1" outlineLevel="1">
      <c r="B467" s="61"/>
      <c r="C467" s="62" t="s">
        <v>26</v>
      </c>
      <c r="D467" s="63" t="s">
        <v>1003</v>
      </c>
      <c r="E467" s="64" t="str">
        <f>IFERROR(UPPER(IF(C467="CPU",VLOOKUP(D467,#REF!,2,0),IF(C467="SINAPI",VLOOKUP(D467,#REF!,2,0),IF(C467="EDIF",VLOOKUP(D467,#REF!,2,0),IF(C467="CDHU",VLOOKUP(D467,#REF!,2,0),IF(C467="FDE",VLOOKUP(D467,'FDE 10-23 '!$A$4:$E$3180,2,0),IF(C467="INFRA",VLOOKUP(D467,#REF!,2,0),""))))))),"")</f>
        <v>CA-22 CANALETA DE AGUAS PLUVIAIS EM CONCRETO (30CM)</v>
      </c>
      <c r="F467" s="65" t="str">
        <f>VLOOKUP(D467,'FDE 10-23 '!$A$4:$E$3180,3,0)</f>
        <v>M</v>
      </c>
      <c r="G467" s="66">
        <v>31</v>
      </c>
      <c r="H467" s="67">
        <f>VLOOKUP(D467,'FDE 10-23 '!$A$4:$E$3180,5,0)</f>
        <v>144.15</v>
      </c>
      <c r="I467" s="92">
        <f t="shared" si="81"/>
        <v>0.23</v>
      </c>
      <c r="J467" s="67">
        <f t="shared" si="82"/>
        <v>177.3</v>
      </c>
      <c r="K467" s="71">
        <f t="shared" si="83"/>
        <v>5496.3</v>
      </c>
      <c r="L467" s="51"/>
      <c r="M467" s="52"/>
    </row>
    <row r="468" spans="2:13" s="25" customFormat="1" ht="30" customHeight="1" outlineLevel="1">
      <c r="B468" s="61"/>
      <c r="C468" s="62" t="s">
        <v>26</v>
      </c>
      <c r="D468" s="63" t="s">
        <v>1005</v>
      </c>
      <c r="E468" s="64" t="str">
        <f>IFERROR(UPPER(IF(C468="CPU",VLOOKUP(D468,#REF!,2,0),IF(C468="SINAPI",VLOOKUP(D468,#REF!,2,0),IF(C468="EDIF",VLOOKUP(D468,#REF!,2,0),IF(C468="CDHU",VLOOKUP(D468,#REF!,2,0),IF(C468="FDE",VLOOKUP(D468,'FDE 10-23 '!$A$4:$E$3180,2,0),IF(C468="INFRA",VLOOKUP(D468,#REF!,2,0),""))))))),"")</f>
        <v>CANALETA DE CONCRETO 1/2 CANA DN 30CM P/ AGUAS PLUVIAIS</v>
      </c>
      <c r="F468" s="65" t="str">
        <f>VLOOKUP(D468,'FDE 10-23 '!$A$4:$E$3180,3,0)</f>
        <v>M</v>
      </c>
      <c r="G468" s="66">
        <v>116</v>
      </c>
      <c r="H468" s="67">
        <f>VLOOKUP(D468,'FDE 10-23 '!$A$4:$E$3180,5,0)</f>
        <v>57.99</v>
      </c>
      <c r="I468" s="92">
        <f t="shared" si="81"/>
        <v>0.23</v>
      </c>
      <c r="J468" s="67">
        <f t="shared" si="82"/>
        <v>71.33</v>
      </c>
      <c r="K468" s="71">
        <f t="shared" si="83"/>
        <v>8274.2800000000007</v>
      </c>
      <c r="L468" s="51"/>
      <c r="M468" s="52"/>
    </row>
    <row r="469" spans="2:13" s="25" customFormat="1" ht="30" customHeight="1" outlineLevel="1">
      <c r="B469" s="61"/>
      <c r="C469" s="62" t="s">
        <v>26</v>
      </c>
      <c r="D469" s="63" t="s">
        <v>1007</v>
      </c>
      <c r="E469" s="64" t="str">
        <f>IFERROR(UPPER(IF(C469="CPU",VLOOKUP(D469,#REF!,2,0),IF(C469="SINAPI",VLOOKUP(D469,#REF!,2,0),IF(C469="EDIF",VLOOKUP(D469,#REF!,2,0),IF(C469="CDHU",VLOOKUP(D469,#REF!,2,0),IF(C469="FDE",VLOOKUP(D469,'FDE 10-23 '!$A$4:$E$3180,2,0),IF(C469="INFRA",VLOOKUP(D469,#REF!,2,0),""))))))),"")</f>
        <v>TC-08 TAMPA EM GRELHA DE FERRO GALVANIZADO P/ CANALETA (35CM)</v>
      </c>
      <c r="F469" s="65" t="str">
        <f>VLOOKUP(D469,'FDE 10-23 '!$A$4:$E$3180,3,0)</f>
        <v>M</v>
      </c>
      <c r="G469" s="66">
        <v>18</v>
      </c>
      <c r="H469" s="67">
        <f>VLOOKUP(D469,'FDE 10-23 '!$A$4:$E$3180,5,0)</f>
        <v>794.59</v>
      </c>
      <c r="I469" s="92">
        <f t="shared" si="81"/>
        <v>0.23</v>
      </c>
      <c r="J469" s="67">
        <f t="shared" si="82"/>
        <v>977.35</v>
      </c>
      <c r="K469" s="71">
        <f t="shared" si="83"/>
        <v>17592.3</v>
      </c>
      <c r="L469" s="51"/>
      <c r="M469" s="52"/>
    </row>
    <row r="470" spans="2:13" s="25" customFormat="1" ht="30" customHeight="1" outlineLevel="1">
      <c r="B470" s="61"/>
      <c r="C470" s="62" t="s">
        <v>26</v>
      </c>
      <c r="D470" s="63" t="s">
        <v>1009</v>
      </c>
      <c r="E470" s="64" t="str">
        <f>IFERROR(UPPER(IF(C470="CPU",VLOOKUP(D470,#REF!,2,0),IF(C470="SINAPI",VLOOKUP(D470,#REF!,2,0),IF(C470="EDIF",VLOOKUP(D470,#REF!,2,0),IF(C470="CDHU",VLOOKUP(D470,#REF!,2,0),IF(C470="FDE",VLOOKUP(D470,'FDE 10-23 '!$A$4:$E$3180,2,0),IF(C470="INFRA",VLOOKUP(D470,#REF!,2,0),""))))))),"")</f>
        <v>TC-11 TAMPA DE CONCRETO PRE-MOLDADA PERF. P/ CANALETA L=35CM</v>
      </c>
      <c r="F470" s="65" t="str">
        <f>VLOOKUP(D470,'FDE 10-23 '!$A$4:$E$3180,3,0)</f>
        <v>M</v>
      </c>
      <c r="G470" s="66">
        <v>13</v>
      </c>
      <c r="H470" s="67">
        <f>VLOOKUP(D470,'FDE 10-23 '!$A$4:$E$3180,5,0)</f>
        <v>170.79</v>
      </c>
      <c r="I470" s="92">
        <f t="shared" si="81"/>
        <v>0.23</v>
      </c>
      <c r="J470" s="67">
        <f t="shared" si="82"/>
        <v>210.07</v>
      </c>
      <c r="K470" s="71">
        <f t="shared" si="83"/>
        <v>2730.91</v>
      </c>
      <c r="L470" s="51"/>
      <c r="M470" s="52"/>
    </row>
    <row r="471" spans="2:13" s="25" customFormat="1" ht="30" customHeight="1" outlineLevel="1">
      <c r="B471" s="61"/>
      <c r="C471" s="62" t="s">
        <v>26</v>
      </c>
      <c r="D471" s="63" t="s">
        <v>1011</v>
      </c>
      <c r="E471" s="64" t="str">
        <f>IFERROR(UPPER(IF(C471="CPU",VLOOKUP(D471,#REF!,2,0),IF(C471="SINAPI",VLOOKUP(D471,#REF!,2,0),IF(C471="EDIF",VLOOKUP(D471,#REF!,2,0),IF(C471="CDHU",VLOOKUP(D471,#REF!,2,0),IF(C471="FDE",VLOOKUP(D471,'FDE 10-23 '!$A$4:$E$3180,2,0),IF(C471="INFRA",VLOOKUP(D471,#REF!,2,0),""))))))),"")</f>
        <v>TAMPA PRÉ-MOLDADA Ø 2,50M PARA POÇO DE RETENÇÃO DE A.P. COM TAMPA DE INSPEÇÃO Ø 0,60M</v>
      </c>
      <c r="F471" s="65" t="str">
        <f>VLOOKUP(D471,'FDE 10-23 '!$A$4:$E$3180,3,0)</f>
        <v>UN</v>
      </c>
      <c r="G471" s="66">
        <v>5</v>
      </c>
      <c r="H471" s="67">
        <f>VLOOKUP(D471,'FDE 10-23 '!$A$4:$E$3180,5,0)</f>
        <v>847.02</v>
      </c>
      <c r="I471" s="92">
        <f t="shared" si="81"/>
        <v>0.23</v>
      </c>
      <c r="J471" s="67">
        <f t="shared" si="82"/>
        <v>1041.83</v>
      </c>
      <c r="K471" s="71">
        <f t="shared" si="83"/>
        <v>5209.1499999999996</v>
      </c>
      <c r="L471" s="51"/>
      <c r="M471" s="52"/>
    </row>
    <row r="472" spans="2:13" s="25" customFormat="1" ht="30" customHeight="1" outlineLevel="1">
      <c r="B472" s="61"/>
      <c r="C472" s="62" t="s">
        <v>26</v>
      </c>
      <c r="D472" s="63" t="s">
        <v>1013</v>
      </c>
      <c r="E472" s="64" t="str">
        <f>IFERROR(UPPER(IF(C472="CPU",VLOOKUP(D472,#REF!,2,0),IF(C472="SINAPI",VLOOKUP(D472,#REF!,2,0),IF(C472="EDIF",VLOOKUP(D472,#REF!,2,0),IF(C472="CDHU",VLOOKUP(D472,#REF!,2,0),IF(C472="FDE",VLOOKUP(D472,'FDE 10-23 '!$A$4:$E$3180,2,0),IF(C472="INFRA",VLOOKUP(D472,#REF!,2,0),""))))))),"")</f>
        <v>POÇO DE RETENÇÃO DE ÁGUA PLUVIAL Ø 2,50M COM FUNDO DE CONCRETO</v>
      </c>
      <c r="F472" s="65" t="str">
        <f>VLOOKUP(D472,'FDE 10-23 '!$A$4:$E$3180,3,0)</f>
        <v>M</v>
      </c>
      <c r="G472" s="66">
        <v>15.8</v>
      </c>
      <c r="H472" s="67">
        <f>VLOOKUP(D472,'FDE 10-23 '!$A$4:$E$3180,5,0)</f>
        <v>3512.82</v>
      </c>
      <c r="I472" s="92">
        <f t="shared" si="81"/>
        <v>0.23</v>
      </c>
      <c r="J472" s="67">
        <f t="shared" si="82"/>
        <v>4320.7700000000004</v>
      </c>
      <c r="K472" s="71">
        <f t="shared" si="83"/>
        <v>68268.166000000012</v>
      </c>
      <c r="L472" s="51"/>
      <c r="M472" s="52"/>
    </row>
    <row r="473" spans="2:13" s="25" customFormat="1" ht="30" customHeight="1" outlineLevel="1">
      <c r="B473" s="61"/>
      <c r="C473" s="62" t="s">
        <v>26</v>
      </c>
      <c r="D473" s="63" t="s">
        <v>1015</v>
      </c>
      <c r="E473" s="64" t="str">
        <f>IFERROR(UPPER(IF(C473="CPU",VLOOKUP(D473,#REF!,2,0),IF(C473="SINAPI",VLOOKUP(D473,#REF!,2,0),IF(C473="EDIF",VLOOKUP(D473,#REF!,2,0),IF(C473="CDHU",VLOOKUP(D473,#REF!,2,0),IF(C473="FDE",VLOOKUP(D473,'FDE 10-23 '!$A$4:$E$3180,2,0),IF(C473="INFRA",VLOOKUP(D473,#REF!,2,0),""))))))),"")</f>
        <v>TUBO PVC OCRE JUNTA ELASTICA DN 100 INCLUSIVE CONEXOES  -  ENTERRADO</v>
      </c>
      <c r="F473" s="65" t="str">
        <f>VLOOKUP(D473,'FDE 10-23 '!$A$4:$E$3180,3,0)</f>
        <v>M</v>
      </c>
      <c r="G473" s="66">
        <v>30</v>
      </c>
      <c r="H473" s="67">
        <f>VLOOKUP(D473,'FDE 10-23 '!$A$4:$E$3180,5,0)</f>
        <v>70.989999999999995</v>
      </c>
      <c r="I473" s="92">
        <f t="shared" si="81"/>
        <v>0.23</v>
      </c>
      <c r="J473" s="67">
        <f t="shared" si="82"/>
        <v>87.32</v>
      </c>
      <c r="K473" s="71">
        <f t="shared" si="83"/>
        <v>2619.6</v>
      </c>
      <c r="L473" s="51"/>
      <c r="M473" s="52"/>
    </row>
    <row r="474" spans="2:13" s="25" customFormat="1" ht="30" customHeight="1" outlineLevel="1">
      <c r="B474" s="61"/>
      <c r="C474" s="62" t="s">
        <v>26</v>
      </c>
      <c r="D474" s="63" t="s">
        <v>1017</v>
      </c>
      <c r="E474" s="64" t="str">
        <f>IFERROR(UPPER(IF(C474="CPU",VLOOKUP(D474,#REF!,2,0),IF(C474="SINAPI",VLOOKUP(D474,#REF!,2,0),IF(C474="EDIF",VLOOKUP(D474,#REF!,2,0),IF(C474="CDHU",VLOOKUP(D474,#REF!,2,0),IF(C474="FDE",VLOOKUP(D474,'FDE 10-23 '!$A$4:$E$3180,2,0),IF(C474="INFRA",VLOOKUP(D474,#REF!,2,0),""))))))),"")</f>
        <v>TUBO PVC OCRE JUNTA ELASTICA DN 150 INCLUSIVE CONEXOES  -  ENTERRADO</v>
      </c>
      <c r="F474" s="65" t="str">
        <f>VLOOKUP(D474,'FDE 10-23 '!$A$4:$E$3180,3,0)</f>
        <v>M</v>
      </c>
      <c r="G474" s="66">
        <v>100</v>
      </c>
      <c r="H474" s="67">
        <f>VLOOKUP(D474,'FDE 10-23 '!$A$4:$E$3180,5,0)</f>
        <v>105.21</v>
      </c>
      <c r="I474" s="92">
        <f t="shared" si="81"/>
        <v>0.23</v>
      </c>
      <c r="J474" s="67">
        <f t="shared" si="82"/>
        <v>129.41</v>
      </c>
      <c r="K474" s="71">
        <f t="shared" si="83"/>
        <v>12941</v>
      </c>
      <c r="L474" s="51"/>
      <c r="M474" s="52"/>
    </row>
    <row r="475" spans="2:13" s="25" customFormat="1" ht="30" customHeight="1" outlineLevel="1">
      <c r="B475" s="61"/>
      <c r="C475" s="62" t="s">
        <v>26</v>
      </c>
      <c r="D475" s="63" t="s">
        <v>1019</v>
      </c>
      <c r="E475" s="64" t="str">
        <f>IFERROR(UPPER(IF(C475="CPU",VLOOKUP(D475,#REF!,2,0),IF(C475="SINAPI",VLOOKUP(D475,#REF!,2,0),IF(C475="EDIF",VLOOKUP(D475,#REF!,2,0),IF(C475="CDHU",VLOOKUP(D475,#REF!,2,0),IF(C475="FDE",VLOOKUP(D475,'FDE 10-23 '!$A$4:$E$3180,2,0),IF(C475="INFRA",VLOOKUP(D475,#REF!,2,0),""))))))),"")</f>
        <v>TUBO PVC OCRE JUNTA ELASTICA DN 200 INCLUSIVE CONEXOES  -  ENTERRADO</v>
      </c>
      <c r="F475" s="65" t="str">
        <f>VLOOKUP(D475,'FDE 10-23 '!$A$4:$E$3180,3,0)</f>
        <v>M</v>
      </c>
      <c r="G475" s="66">
        <v>65</v>
      </c>
      <c r="H475" s="67">
        <f>VLOOKUP(D475,'FDE 10-23 '!$A$4:$E$3180,5,0)</f>
        <v>198.58</v>
      </c>
      <c r="I475" s="92">
        <f t="shared" si="81"/>
        <v>0.23</v>
      </c>
      <c r="J475" s="67">
        <f t="shared" si="82"/>
        <v>244.25</v>
      </c>
      <c r="K475" s="71">
        <f t="shared" si="83"/>
        <v>15876.25</v>
      </c>
      <c r="L475" s="51"/>
      <c r="M475" s="52"/>
    </row>
    <row r="476" spans="2:13" s="25" customFormat="1" ht="30" customHeight="1" outlineLevel="1">
      <c r="B476" s="61"/>
      <c r="C476" s="62" t="s">
        <v>26</v>
      </c>
      <c r="D476" s="63" t="s">
        <v>1021</v>
      </c>
      <c r="E476" s="64" t="str">
        <f>IFERROR(UPPER(IF(C476="CPU",VLOOKUP(D476,#REF!,2,0),IF(C476="SINAPI",VLOOKUP(D476,#REF!,2,0),IF(C476="EDIF",VLOOKUP(D476,#REF!,2,0),IF(C476="CDHU",VLOOKUP(D476,#REF!,2,0),IF(C476="FDE",VLOOKUP(D476,'FDE 10-23 '!$A$4:$E$3180,2,0),IF(C476="INFRA",VLOOKUP(D476,#REF!,2,0),""))))))),"")</f>
        <v>TUBO PVC OCRE JUNTA ELASTICA DN 250 INCLUSIVE CONEXOES  -  ENTERRADO</v>
      </c>
      <c r="F476" s="65" t="str">
        <f>VLOOKUP(D476,'FDE 10-23 '!$A$4:$E$3180,3,0)</f>
        <v>M</v>
      </c>
      <c r="G476" s="66">
        <v>114</v>
      </c>
      <c r="H476" s="67">
        <f>VLOOKUP(D476,'FDE 10-23 '!$A$4:$E$3180,5,0)</f>
        <v>270.23</v>
      </c>
      <c r="I476" s="92">
        <f t="shared" si="81"/>
        <v>0.23</v>
      </c>
      <c r="J476" s="67">
        <f t="shared" si="82"/>
        <v>332.38</v>
      </c>
      <c r="K476" s="71">
        <f t="shared" si="83"/>
        <v>37891.32</v>
      </c>
      <c r="L476" s="51"/>
      <c r="M476" s="52"/>
    </row>
    <row r="477" spans="2:13" s="25" customFormat="1" ht="30" customHeight="1" outlineLevel="1">
      <c r="B477" s="61"/>
      <c r="C477" s="62" t="s">
        <v>26</v>
      </c>
      <c r="D477" s="63" t="s">
        <v>1023</v>
      </c>
      <c r="E477" s="64" t="str">
        <f>IFERROR(UPPER(IF(C477="CPU",VLOOKUP(D477,#REF!,2,0),IF(C477="SINAPI",VLOOKUP(D477,#REF!,2,0),IF(C477="EDIF",VLOOKUP(D477,#REF!,2,0),IF(C477="CDHU",VLOOKUP(D477,#REF!,2,0),IF(C477="FDE",VLOOKUP(D477,'FDE 10-23 '!$A$4:$E$3180,2,0),IF(C477="INFRA",VLOOKUP(D477,#REF!,2,0),""))))))),"")</f>
        <v>CA-10 CAIXA DE AREIA 50X50 CM PARA AGUAS PLUVIAIS</v>
      </c>
      <c r="F477" s="65" t="str">
        <f>VLOOKUP(D477,'FDE 10-23 '!$A$4:$E$3180,3,0)</f>
        <v>UN</v>
      </c>
      <c r="G477" s="66">
        <v>28</v>
      </c>
      <c r="H477" s="67">
        <f>VLOOKUP(D477,'FDE 10-23 '!$A$4:$E$3180,5,0)</f>
        <v>323</v>
      </c>
      <c r="I477" s="92">
        <f t="shared" si="81"/>
        <v>0.23</v>
      </c>
      <c r="J477" s="67">
        <f t="shared" si="82"/>
        <v>397.29</v>
      </c>
      <c r="K477" s="71">
        <f t="shared" si="83"/>
        <v>11124.12</v>
      </c>
      <c r="L477" s="51"/>
      <c r="M477" s="52"/>
    </row>
    <row r="478" spans="2:13" s="25" customFormat="1" ht="30" customHeight="1" outlineLevel="1">
      <c r="B478" s="61"/>
      <c r="C478" s="62" t="s">
        <v>26</v>
      </c>
      <c r="D478" s="63" t="s">
        <v>1025</v>
      </c>
      <c r="E478" s="64" t="str">
        <f>IFERROR(UPPER(IF(C478="CPU",VLOOKUP(D478,#REF!,2,0),IF(C478="SINAPI",VLOOKUP(D478,#REF!,2,0),IF(C478="EDIF",VLOOKUP(D478,#REF!,2,0),IF(C478="CDHU",VLOOKUP(D478,#REF!,2,0),IF(C478="FDE",VLOOKUP(D478,'FDE 10-23 '!$A$4:$E$3180,2,0),IF(C478="INFRA",VLOOKUP(D478,#REF!,2,0),""))))))),"")</f>
        <v>ÁGUAS PLUVIAIS E DRENAGEM DE ACABAMENTO</v>
      </c>
      <c r="F478" s="65" t="str">
        <f>VLOOKUP(D478,'FDE 10-23 '!$A$4:$E$3180,3,0)</f>
        <v>MV</v>
      </c>
      <c r="G478" s="66">
        <v>44.99</v>
      </c>
      <c r="H478" s="67">
        <f>VLOOKUP(D478,'FDE 10-23 '!$A$4:$E$3180,5,0)</f>
        <v>533.05999999999995</v>
      </c>
      <c r="I478" s="92">
        <f t="shared" si="81"/>
        <v>0.23</v>
      </c>
      <c r="J478" s="67">
        <f t="shared" si="82"/>
        <v>655.66</v>
      </c>
      <c r="K478" s="71">
        <f t="shared" si="83"/>
        <v>29498.143400000001</v>
      </c>
      <c r="L478" s="51"/>
      <c r="M478" s="52"/>
    </row>
    <row r="479" spans="2:13" s="25" customFormat="1" ht="30" customHeight="1" outlineLevel="1">
      <c r="B479" s="53"/>
      <c r="C479" s="54"/>
      <c r="D479" s="54" t="s">
        <v>1027</v>
      </c>
      <c r="E479" s="55" t="s">
        <v>1028</v>
      </c>
      <c r="F479" s="56" t="str">
        <f>IFERROR(UPPER(IF(C479="CPU",VLOOKUP(D479,#REF!,3,0),IF(C479="SINAPI",VLOOKUP(D479,#REF!,3,0),IF(C479="EDIF",VLOOKUP(D479,#REF!,3,0),IF(C479="CDHU",VLOOKUP(D479,#REF!,3,0),IF(C479="FDE",VLOOKUP(D479,#REF!,3,0),IF(C479="INFRA",VLOOKUP(D479,#REF!,3,0),""))))))),"")</f>
        <v/>
      </c>
      <c r="G479" s="57"/>
      <c r="H479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79" s="59"/>
      <c r="J479" s="59"/>
      <c r="K479" s="82">
        <f>SUBTOTAL(9,K480:K492)</f>
        <v>55008.336199999998</v>
      </c>
      <c r="L479" s="51"/>
      <c r="M479" s="52"/>
    </row>
    <row r="480" spans="2:13" s="25" customFormat="1" ht="30" customHeight="1" outlineLevel="1">
      <c r="B480" s="61"/>
      <c r="C480" s="62" t="s">
        <v>26</v>
      </c>
      <c r="D480" s="63" t="s">
        <v>1030</v>
      </c>
      <c r="E480" s="64" t="str">
        <f>IFERROR(UPPER(IF(C480="CPU",VLOOKUP(D480,#REF!,2,0),IF(C480="SINAPI",VLOOKUP(D480,#REF!,2,0),IF(C480="EDIF",VLOOKUP(D480,#REF!,2,0),IF(C480="CDHU",VLOOKUP(D480,#REF!,2,0),IF(C480="FDE",VLOOKUP(D480,'FDE 10-23 '!$A$4:$E$3180,2,0),IF(C480="INFRA",VLOOKUP(D480,#REF!,2,0),""))))))),"")</f>
        <v>MB-03 MASTRO PARA BANDEIRAS</v>
      </c>
      <c r="F480" s="65" t="str">
        <f>VLOOKUP(D480,'FDE 10-23 '!$A$4:$E$3180,3,0)</f>
        <v>CJ</v>
      </c>
      <c r="G480" s="66">
        <v>1</v>
      </c>
      <c r="H480" s="67">
        <f>VLOOKUP(D480,'FDE 10-23 '!$A$4:$E$3180,5,0)</f>
        <v>10553.06</v>
      </c>
      <c r="I480" s="92">
        <f t="shared" ref="I480:I492" si="84">$L$10</f>
        <v>0.23</v>
      </c>
      <c r="J480" s="67">
        <f t="shared" ref="J480:J492" si="85">ROUND(H480*(1+I480),2)</f>
        <v>12980.26</v>
      </c>
      <c r="K480" s="71">
        <f t="shared" ref="K480:K492" si="86">SUM(G480*J480)</f>
        <v>12980.26</v>
      </c>
      <c r="L480" s="51"/>
      <c r="M480" s="52"/>
    </row>
    <row r="481" spans="2:13" s="25" customFormat="1" ht="30" customHeight="1" outlineLevel="1">
      <c r="B481" s="61"/>
      <c r="C481" s="62" t="s">
        <v>26</v>
      </c>
      <c r="D481" s="63" t="s">
        <v>1032</v>
      </c>
      <c r="E481" s="64" t="str">
        <f>IFERROR(UPPER(IF(C481="CPU",VLOOKUP(D481,#REF!,2,0),IF(C481="SINAPI",VLOOKUP(D481,#REF!,2,0),IF(C481="EDIF",VLOOKUP(D481,#REF!,2,0),IF(C481="CDHU",VLOOKUP(D481,#REF!,2,0),IF(C481="FDE",VLOOKUP(D481,'FDE 10-23 '!$A$4:$E$3180,2,0),IF(C481="INFRA",VLOOKUP(D481,#REF!,2,0),""))))))),"")</f>
        <v>AL-01 ABRIGO PARA LIXO</v>
      </c>
      <c r="F481" s="65" t="str">
        <f>VLOOKUP(D481,'FDE 10-23 '!$A$4:$E$3180,3,0)</f>
        <v>UN</v>
      </c>
      <c r="G481" s="66">
        <v>1</v>
      </c>
      <c r="H481" s="67">
        <f>VLOOKUP(D481,'FDE 10-23 '!$A$4:$E$3180,5,0)</f>
        <v>5544.85</v>
      </c>
      <c r="I481" s="92">
        <f t="shared" si="84"/>
        <v>0.23</v>
      </c>
      <c r="J481" s="67">
        <f t="shared" si="85"/>
        <v>6820.17</v>
      </c>
      <c r="K481" s="71">
        <f t="shared" si="86"/>
        <v>6820.17</v>
      </c>
      <c r="L481" s="51"/>
      <c r="M481" s="52"/>
    </row>
    <row r="482" spans="2:13" s="25" customFormat="1" ht="30" customHeight="1" outlineLevel="1">
      <c r="B482" s="61"/>
      <c r="C482" s="62" t="s">
        <v>26</v>
      </c>
      <c r="D482" s="63" t="s">
        <v>1034</v>
      </c>
      <c r="E482" s="64" t="str">
        <f>IFERROR(UPPER(IF(C482="CPU",VLOOKUP(D482,#REF!,2,0),IF(C482="SINAPI",VLOOKUP(D482,#REF!,2,0),IF(C482="EDIF",VLOOKUP(D482,#REF!,2,0),IF(C482="CDHU",VLOOKUP(D482,#REF!,2,0),IF(C482="FDE",VLOOKUP(D482,'FDE 10-23 '!$A$4:$E$3180,2,0),IF(C482="INFRA",VLOOKUP(D482,#REF!,2,0),""))))))),"")</f>
        <v>AL-02 ABRIGO PARA RESÍDUOS RECICLÁVEIS</v>
      </c>
      <c r="F482" s="65" t="str">
        <f>VLOOKUP(D482,'FDE 10-23 '!$A$4:$E$3180,3,0)</f>
        <v>UN</v>
      </c>
      <c r="G482" s="66">
        <v>1</v>
      </c>
      <c r="H482" s="67">
        <f>VLOOKUP(D482,'FDE 10-23 '!$A$4:$E$3180,5,0)</f>
        <v>5544.85</v>
      </c>
      <c r="I482" s="92">
        <f t="shared" si="84"/>
        <v>0.23</v>
      </c>
      <c r="J482" s="67">
        <f t="shared" si="85"/>
        <v>6820.17</v>
      </c>
      <c r="K482" s="71">
        <f t="shared" si="86"/>
        <v>6820.17</v>
      </c>
      <c r="L482" s="51"/>
      <c r="M482" s="52"/>
    </row>
    <row r="483" spans="2:13" s="25" customFormat="1" ht="30" customHeight="1" outlineLevel="1">
      <c r="B483" s="61"/>
      <c r="C483" s="62" t="s">
        <v>26</v>
      </c>
      <c r="D483" s="94" t="s">
        <v>1036</v>
      </c>
      <c r="E483" s="64" t="str">
        <f>IFERROR(UPPER(IF(C483="CPU",VLOOKUP(D483,#REF!,2,0),IF(C483="SINAPI",VLOOKUP(D483,#REF!,2,0),IF(C483="EDIF",VLOOKUP(D483,#REF!,2,0),IF(C483="CDHU",VLOOKUP(D483,#REF!,2,0),IF(C483="FDE",VLOOKUP(D483,'FDE 10-23 '!$A$4:$E$3180,2,0),IF(C483="INFRA",VLOOKUP(D483,#REF!,2,0),""))))))),"")</f>
        <v>CANTEIRO DE OBRAS - LARG 3.30M</v>
      </c>
      <c r="F483" s="65" t="str">
        <f>VLOOKUP(D483,'FDE 10-23 '!$A$4:$E$3180,3,0)</f>
        <v>M2</v>
      </c>
      <c r="G483" s="66">
        <v>47.19</v>
      </c>
      <c r="H483" s="67">
        <f>VLOOKUP(D483,'FDE 10-23 '!$A$4:$E$3180,5,0)</f>
        <v>427.63</v>
      </c>
      <c r="I483" s="92">
        <f t="shared" si="84"/>
        <v>0.23</v>
      </c>
      <c r="J483" s="67">
        <f t="shared" si="85"/>
        <v>525.98</v>
      </c>
      <c r="K483" s="71">
        <f t="shared" si="86"/>
        <v>24820.996200000001</v>
      </c>
      <c r="L483" s="51"/>
      <c r="M483" s="52"/>
    </row>
    <row r="484" spans="2:13" s="25" customFormat="1" ht="30" customHeight="1" outlineLevel="1">
      <c r="B484" s="61"/>
      <c r="C484" s="62" t="s">
        <v>26</v>
      </c>
      <c r="D484" s="63" t="s">
        <v>1038</v>
      </c>
      <c r="E484" s="64" t="str">
        <f>IFERROR(UPPER(IF(C484="CPU",VLOOKUP(D484,#REF!,2,0),IF(C484="SINAPI",VLOOKUP(D484,#REF!,2,0),IF(C484="EDIF",VLOOKUP(D484,#REF!,2,0),IF(C484="CDHU",VLOOKUP(D484,#REF!,2,0),IF(C484="FDE",VLOOKUP(D484,'FDE 10-23 '!$A$4:$E$3180,2,0),IF(C484="INFRA",VLOOKUP(D484,#REF!,2,0),""))))))),"")</f>
        <v>INSTALAÇÃO CH-01 CHUVEIRO E LAVA OLHOS / FACE</v>
      </c>
      <c r="F484" s="65" t="str">
        <f>VLOOKUP(D484,'FDE 10-23 '!$A$4:$E$3180,3,0)</f>
        <v>UN</v>
      </c>
      <c r="G484" s="66">
        <v>1</v>
      </c>
      <c r="H484" s="67">
        <f>VLOOKUP(D484,'FDE 10-23 '!$A$4:$E$3180,5,0)</f>
        <v>24.14</v>
      </c>
      <c r="I484" s="92">
        <f t="shared" si="84"/>
        <v>0.23</v>
      </c>
      <c r="J484" s="67">
        <f t="shared" si="85"/>
        <v>29.69</v>
      </c>
      <c r="K484" s="71">
        <f t="shared" si="86"/>
        <v>29.69</v>
      </c>
      <c r="L484" s="51"/>
      <c r="M484" s="52"/>
    </row>
    <row r="485" spans="2:13" s="25" customFormat="1" ht="30" customHeight="1" outlineLevel="1">
      <c r="B485" s="61"/>
      <c r="C485" s="62" t="s">
        <v>26</v>
      </c>
      <c r="D485" s="63" t="s">
        <v>1040</v>
      </c>
      <c r="E485" s="64" t="str">
        <f>IFERROR(UPPER(IF(C485="CPU",VLOOKUP(D485,#REF!,2,0),IF(C485="SINAPI",VLOOKUP(D485,#REF!,2,0),IF(C485="EDIF",VLOOKUP(D485,#REF!,2,0),IF(C485="CDHU",VLOOKUP(D485,#REF!,2,0),IF(C485="FDE",VLOOKUP(D485,'FDE 10-23 '!$A$4:$E$3180,2,0),IF(C485="INFRA",VLOOKUP(D485,#REF!,2,0),""))))))),"")</f>
        <v>INSTALAÇÃO DE QUADRO BRANCO (QB-01)</v>
      </c>
      <c r="F485" s="65" t="str">
        <f>VLOOKUP(D485,'FDE 10-23 '!$A$4:$E$3180,3,0)</f>
        <v>UN</v>
      </c>
      <c r="G485" s="66">
        <v>118</v>
      </c>
      <c r="H485" s="67">
        <f>VLOOKUP(D485,'FDE 10-23 '!$A$4:$E$3180,5,0)</f>
        <v>17.05</v>
      </c>
      <c r="I485" s="92">
        <f t="shared" si="84"/>
        <v>0.23</v>
      </c>
      <c r="J485" s="67">
        <f t="shared" si="85"/>
        <v>20.97</v>
      </c>
      <c r="K485" s="71">
        <f t="shared" si="86"/>
        <v>2474.46</v>
      </c>
      <c r="L485" s="51"/>
      <c r="M485" s="52"/>
    </row>
    <row r="486" spans="2:13" s="25" customFormat="1" ht="30" customHeight="1" outlineLevel="1">
      <c r="B486" s="61"/>
      <c r="C486" s="62" t="s">
        <v>26</v>
      </c>
      <c r="D486" s="63" t="s">
        <v>1042</v>
      </c>
      <c r="E486" s="64" t="str">
        <f>IFERROR(UPPER(IF(C486="CPU",VLOOKUP(D486,#REF!,2,0),IF(C486="SINAPI",VLOOKUP(D486,#REF!,2,0),IF(C486="EDIF",VLOOKUP(D486,#REF!,2,0),IF(C486="CDHU",VLOOKUP(D486,#REF!,2,0),IF(C486="FDE",VLOOKUP(D486,'FDE 10-23 '!$A$4:$E$3180,2,0),IF(C486="INFRA",VLOOKUP(D486,#REF!,2,0),""))))))),"")</f>
        <v>INSTALACÃO DE FAIXAS DE PROTECAO (FP-03/FP-04) POR REGUA</v>
      </c>
      <c r="F486" s="65" t="str">
        <f>VLOOKUP(D486,'FDE 10-23 '!$A$4:$E$3180,3,0)</f>
        <v>UN</v>
      </c>
      <c r="G486" s="66">
        <v>42</v>
      </c>
      <c r="H486" s="67">
        <f>VLOOKUP(D486,'FDE 10-23 '!$A$4:$E$3180,5,0)</f>
        <v>6.82</v>
      </c>
      <c r="I486" s="92">
        <f t="shared" si="84"/>
        <v>0.23</v>
      </c>
      <c r="J486" s="67">
        <f t="shared" si="85"/>
        <v>8.39</v>
      </c>
      <c r="K486" s="71">
        <f t="shared" si="86"/>
        <v>352.38</v>
      </c>
      <c r="L486" s="51"/>
      <c r="M486" s="52"/>
    </row>
    <row r="487" spans="2:13" s="25" customFormat="1" ht="30" customHeight="1" outlineLevel="1">
      <c r="B487" s="61"/>
      <c r="C487" s="62" t="s">
        <v>26</v>
      </c>
      <c r="D487" s="63" t="s">
        <v>1044</v>
      </c>
      <c r="E487" s="64" t="str">
        <f>IFERROR(UPPER(IF(C487="CPU",VLOOKUP(D487,#REF!,2,0),IF(C487="SINAPI",VLOOKUP(D487,#REF!,2,0),IF(C487="EDIF",VLOOKUP(D487,#REF!,2,0),IF(C487="CDHU",VLOOKUP(D487,#REF!,2,0),IF(C487="FDE",VLOOKUP(D487,'FDE 10-23 '!$A$4:$E$3180,2,0),IF(C487="INFRA",VLOOKUP(D487,#REF!,2,0),""))))))),"")</f>
        <v>INSTALACÃO DE LOUSA (LG-07)</v>
      </c>
      <c r="F487" s="65" t="str">
        <f>VLOOKUP(D487,'FDE 10-23 '!$A$4:$E$3180,3,0)</f>
        <v>UN</v>
      </c>
      <c r="G487" s="66">
        <v>9</v>
      </c>
      <c r="H487" s="67">
        <f>VLOOKUP(D487,'FDE 10-23 '!$A$4:$E$3180,5,0)</f>
        <v>34.11</v>
      </c>
      <c r="I487" s="92">
        <f t="shared" si="84"/>
        <v>0.23</v>
      </c>
      <c r="J487" s="67">
        <f t="shared" si="85"/>
        <v>41.96</v>
      </c>
      <c r="K487" s="71">
        <f t="shared" si="86"/>
        <v>377.64</v>
      </c>
      <c r="L487" s="51"/>
      <c r="M487" s="52"/>
    </row>
    <row r="488" spans="2:13" s="25" customFormat="1" ht="30" customHeight="1" outlineLevel="1">
      <c r="B488" s="61"/>
      <c r="C488" s="62" t="s">
        <v>26</v>
      </c>
      <c r="D488" s="63" t="s">
        <v>1046</v>
      </c>
      <c r="E488" s="64" t="str">
        <f>IFERROR(UPPER(IF(C488="CPU",VLOOKUP(D488,#REF!,2,0),IF(C488="SINAPI",VLOOKUP(D488,#REF!,2,0),IF(C488="EDIF",VLOOKUP(D488,#REF!,2,0),IF(C488="CDHU",VLOOKUP(D488,#REF!,2,0),IF(C488="FDE",VLOOKUP(D488,'FDE 10-23 '!$A$4:$E$3180,2,0),IF(C488="INFRA",VLOOKUP(D488,#REF!,2,0),""))))))),"")</f>
        <v>INSTALACÃO DE MURAL (MR-02)</v>
      </c>
      <c r="F488" s="65" t="str">
        <f>VLOOKUP(D488,'FDE 10-23 '!$A$4:$E$3180,3,0)</f>
        <v>UN</v>
      </c>
      <c r="G488" s="66">
        <v>17</v>
      </c>
      <c r="H488" s="67">
        <f>VLOOKUP(D488,'FDE 10-23 '!$A$4:$E$3180,5,0)</f>
        <v>8.5299999999999994</v>
      </c>
      <c r="I488" s="92">
        <f t="shared" si="84"/>
        <v>0.23</v>
      </c>
      <c r="J488" s="67">
        <f t="shared" si="85"/>
        <v>10.49</v>
      </c>
      <c r="K488" s="71">
        <f t="shared" si="86"/>
        <v>178.33</v>
      </c>
      <c r="L488" s="51"/>
      <c r="M488" s="52"/>
    </row>
    <row r="489" spans="2:13" s="25" customFormat="1" ht="30" customHeight="1" outlineLevel="1">
      <c r="B489" s="61"/>
      <c r="C489" s="62" t="s">
        <v>26</v>
      </c>
      <c r="D489" s="63" t="s">
        <v>1048</v>
      </c>
      <c r="E489" s="64" t="str">
        <f>IFERROR(UPPER(IF(C489="CPU",VLOOKUP(D489,#REF!,2,0),IF(C489="SINAPI",VLOOKUP(D489,#REF!,2,0),IF(C489="EDIF",VLOOKUP(D489,#REF!,2,0),IF(C489="CDHU",VLOOKUP(D489,#REF!,2,0),IF(C489="FDE",VLOOKUP(D489,'FDE 10-23 '!$A$4:$E$3180,2,0),IF(C489="INFRA",VLOOKUP(D489,#REF!,2,0),""))))))),"")</f>
        <v>INSTALACÃO DE FOGAO INDUSTRIAL</v>
      </c>
      <c r="F489" s="65" t="str">
        <f>VLOOKUP(D489,'FDE 10-23 '!$A$4:$E$3180,3,0)</f>
        <v>UN</v>
      </c>
      <c r="G489" s="66">
        <v>1</v>
      </c>
      <c r="H489" s="67">
        <f>VLOOKUP(D489,'FDE 10-23 '!$A$4:$E$3180,5,0)</f>
        <v>17.05</v>
      </c>
      <c r="I489" s="92">
        <f t="shared" si="84"/>
        <v>0.23</v>
      </c>
      <c r="J489" s="67">
        <f t="shared" si="85"/>
        <v>20.97</v>
      </c>
      <c r="K489" s="71">
        <f t="shared" si="86"/>
        <v>20.97</v>
      </c>
      <c r="L489" s="51"/>
      <c r="M489" s="52"/>
    </row>
    <row r="490" spans="2:13" s="25" customFormat="1" ht="30" customHeight="1" outlineLevel="1">
      <c r="B490" s="61"/>
      <c r="C490" s="62" t="s">
        <v>26</v>
      </c>
      <c r="D490" s="63" t="s">
        <v>1050</v>
      </c>
      <c r="E490" s="64" t="str">
        <f>IFERROR(UPPER(IF(C490="CPU",VLOOKUP(D490,#REF!,2,0),IF(C490="SINAPI",VLOOKUP(D490,#REF!,2,0),IF(C490="EDIF",VLOOKUP(D490,#REF!,2,0),IF(C490="CDHU",VLOOKUP(D490,#REF!,2,0),IF(C490="FDE",VLOOKUP(D490,'FDE 10-23 '!$A$4:$E$3180,2,0),IF(C490="INFRA",VLOOKUP(D490,#REF!,2,0),""))))))),"")</f>
        <v>INSTALACÃO DE SUPORTE TV/VIDEO</v>
      </c>
      <c r="F490" s="65" t="str">
        <f>VLOOKUP(D490,'FDE 10-23 '!$A$4:$E$3180,3,0)</f>
        <v>UN</v>
      </c>
      <c r="G490" s="66">
        <v>1</v>
      </c>
      <c r="H490" s="67">
        <f>VLOOKUP(D490,'FDE 10-23 '!$A$4:$E$3180,5,0)</f>
        <v>8.5299999999999994</v>
      </c>
      <c r="I490" s="92">
        <f t="shared" si="84"/>
        <v>0.23</v>
      </c>
      <c r="J490" s="67">
        <f t="shared" si="85"/>
        <v>10.49</v>
      </c>
      <c r="K490" s="71">
        <f t="shared" si="86"/>
        <v>10.49</v>
      </c>
      <c r="L490" s="51"/>
      <c r="M490" s="52"/>
    </row>
    <row r="491" spans="2:13" s="25" customFormat="1" ht="30" customHeight="1" outlineLevel="1">
      <c r="B491" s="61"/>
      <c r="C491" s="62" t="s">
        <v>26</v>
      </c>
      <c r="D491" s="63" t="s">
        <v>1052</v>
      </c>
      <c r="E491" s="64" t="str">
        <f>IFERROR(UPPER(IF(C491="CPU",VLOOKUP(D491,#REF!,2,0),IF(C491="SINAPI",VLOOKUP(D491,#REF!,2,0),IF(C491="EDIF",VLOOKUP(D491,#REF!,2,0),IF(C491="CDHU",VLOOKUP(D491,#REF!,2,0),IF(C491="FDE",VLOOKUP(D491,'FDE 10-23 '!$A$4:$E$3180,2,0),IF(C491="INFRA",VLOOKUP(D491,#REF!,2,0),""))))))),"")</f>
        <v>INSTALAÇÃO DE VENTILADOR DE PAREDE VN-02</v>
      </c>
      <c r="F491" s="65" t="str">
        <f>VLOOKUP(D491,'FDE 10-23 '!$A$4:$E$3180,3,0)</f>
        <v>UN</v>
      </c>
      <c r="G491" s="66">
        <v>6</v>
      </c>
      <c r="H491" s="67">
        <f>VLOOKUP(D491,'FDE 10-23 '!$A$4:$E$3180,5,0)</f>
        <v>8.5299999999999994</v>
      </c>
      <c r="I491" s="92">
        <f t="shared" si="84"/>
        <v>0.23</v>
      </c>
      <c r="J491" s="67">
        <f t="shared" si="85"/>
        <v>10.49</v>
      </c>
      <c r="K491" s="71">
        <f t="shared" si="86"/>
        <v>62.94</v>
      </c>
      <c r="L491" s="51"/>
      <c r="M491" s="52"/>
    </row>
    <row r="492" spans="2:13" s="25" customFormat="1" ht="30" customHeight="1" outlineLevel="1">
      <c r="B492" s="61"/>
      <c r="C492" s="62" t="s">
        <v>26</v>
      </c>
      <c r="D492" s="63" t="s">
        <v>1054</v>
      </c>
      <c r="E492" s="64" t="str">
        <f>IFERROR(UPPER(IF(C492="CPU",VLOOKUP(D492,#REF!,2,0),IF(C492="SINAPI",VLOOKUP(D492,#REF!,2,0),IF(C492="EDIF",VLOOKUP(D492,#REF!,2,0),IF(C492="CDHU",VLOOKUP(D492,#REF!,2,0),IF(C492="FDE",VLOOKUP(D492,'FDE 10-23 '!$A$4:$E$3180,2,0),IF(C492="INFRA",VLOOKUP(D492,#REF!,2,0),""))))))),"")</f>
        <v>INSTALAÇÃO DO BALCAO TERMICO  BT-02</v>
      </c>
      <c r="F492" s="65" t="str">
        <f>VLOOKUP(D492,'FDE 10-23 '!$A$4:$E$3180,3,0)</f>
        <v>UN</v>
      </c>
      <c r="G492" s="66">
        <v>1</v>
      </c>
      <c r="H492" s="67">
        <f>VLOOKUP(D492,'FDE 10-23 '!$A$4:$E$3180,5,0)</f>
        <v>48.65</v>
      </c>
      <c r="I492" s="92">
        <f t="shared" si="84"/>
        <v>0.23</v>
      </c>
      <c r="J492" s="67">
        <f t="shared" si="85"/>
        <v>59.84</v>
      </c>
      <c r="K492" s="71">
        <f t="shared" si="86"/>
        <v>59.84</v>
      </c>
      <c r="L492" s="51"/>
      <c r="M492" s="52"/>
    </row>
    <row r="493" spans="2:13" s="25" customFormat="1" ht="30" customHeight="1" outlineLevel="1">
      <c r="B493" s="53"/>
      <c r="C493" s="54"/>
      <c r="D493" s="54" t="s">
        <v>1056</v>
      </c>
      <c r="E493" s="55" t="s">
        <v>1057</v>
      </c>
      <c r="F493" s="56" t="str">
        <f>IFERROR(UPPER(IF(C493="CPU",VLOOKUP(D493,#REF!,3,0),IF(C493="SINAPI",VLOOKUP(D493,#REF!,3,0),IF(C493="EDIF",VLOOKUP(D493,#REF!,3,0),IF(C493="CDHU",VLOOKUP(D493,#REF!,3,0),IF(C493="FDE",VLOOKUP(D493,#REF!,3,0),IF(C493="INFRA",VLOOKUP(D493,#REF!,3,0),""))))))),"")</f>
        <v/>
      </c>
      <c r="G493" s="57"/>
      <c r="H493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93" s="59"/>
      <c r="J493" s="59"/>
      <c r="K493" s="82">
        <f>SUBTOTAL(9,K494:K495)</f>
        <v>17908.677</v>
      </c>
      <c r="L493" s="51"/>
      <c r="M493" s="52"/>
    </row>
    <row r="494" spans="2:13" s="25" customFormat="1" ht="30" customHeight="1" outlineLevel="1">
      <c r="B494" s="61"/>
      <c r="C494" s="62" t="s">
        <v>26</v>
      </c>
      <c r="D494" s="63" t="s">
        <v>1059</v>
      </c>
      <c r="E494" s="64" t="str">
        <f>IFERROR(UPPER(IF(C494="CPU",VLOOKUP(D494,#REF!,2,0),IF(C494="SINAPI",VLOOKUP(D494,#REF!,2,0),IF(C494="EDIF",VLOOKUP(D494,#REF!,2,0),IF(C494="CDHU",VLOOKUP(D494,#REF!,2,0),IF(C494="FDE",VLOOKUP(D494,'FDE 10-23 '!$A$4:$E$3180,2,0),IF(C494="INFRA",VLOOKUP(D494,#REF!,2,0),""))))))),"")</f>
        <v>BL-02 BICICLETÁRIO SOBRE CIMENTADO OU BLOCO INTERTRAVADO</v>
      </c>
      <c r="F494" s="65" t="str">
        <f>VLOOKUP(D494,'FDE 10-23 '!$A$4:$E$3180,3,0)</f>
        <v>UN</v>
      </c>
      <c r="G494" s="66">
        <v>6</v>
      </c>
      <c r="H494" s="67">
        <f>VLOOKUP(D494,'FDE 10-23 '!$A$4:$E$3180,5,0)</f>
        <v>1498.73</v>
      </c>
      <c r="I494" s="92">
        <f>$L$10</f>
        <v>0.23</v>
      </c>
      <c r="J494" s="67">
        <f>ROUND(H494*(1+I494),2)</f>
        <v>1843.44</v>
      </c>
      <c r="K494" s="71">
        <f>SUM(G494*J494)</f>
        <v>11060.64</v>
      </c>
      <c r="L494" s="51"/>
      <c r="M494" s="52"/>
    </row>
    <row r="495" spans="2:13" s="25" customFormat="1" ht="30" customHeight="1" outlineLevel="1">
      <c r="B495" s="61"/>
      <c r="C495" s="62" t="s">
        <v>26</v>
      </c>
      <c r="D495" s="63" t="s">
        <v>1061</v>
      </c>
      <c r="E495" s="64" t="str">
        <f>IFERROR(UPPER(IF(C495="CPU",VLOOKUP(D495,#REF!,2,0),IF(C495="SINAPI",VLOOKUP(D495,#REF!,2,0),IF(C495="EDIF",VLOOKUP(D495,#REF!,2,0),IF(C495="CDHU",VLOOKUP(D495,#REF!,2,0),IF(C495="FDE",VLOOKUP(D495,'FDE 10-23 '!$A$4:$E$3180,2,0),IF(C495="INFRA",VLOOKUP(D495,#REF!,2,0),""))))))),"")</f>
        <v>BANCO COM ASSENTO DE CONCRETO ARMADO LISO DESEMPENADO COM PINTURA VERNIZ ACRÍLICO  FUNDAÇÃO SAPATA ISOLADA E PILARETE BLOCO CONCRETO REVESTIDO</v>
      </c>
      <c r="F495" s="65" t="str">
        <f>VLOOKUP(D495,'FDE 10-23 '!$A$4:$E$3180,3,0)</f>
        <v>M</v>
      </c>
      <c r="G495" s="66">
        <v>18.899999999999999</v>
      </c>
      <c r="H495" s="67">
        <f>VLOOKUP(D495,'FDE 10-23 '!$A$4:$E$3180,5,0)</f>
        <v>294.58</v>
      </c>
      <c r="I495" s="92">
        <f>$L$10</f>
        <v>0.23</v>
      </c>
      <c r="J495" s="67">
        <f>ROUND(H495*(1+I495),2)</f>
        <v>362.33</v>
      </c>
      <c r="K495" s="71">
        <f>SUM(G495*J495)</f>
        <v>6848.0369999999994</v>
      </c>
      <c r="L495" s="51"/>
      <c r="M495" s="52"/>
    </row>
    <row r="496" spans="2:13" s="25" customFormat="1" ht="30" customHeight="1" outlineLevel="1">
      <c r="B496" s="53"/>
      <c r="C496" s="54"/>
      <c r="D496" s="54" t="s">
        <v>1063</v>
      </c>
      <c r="E496" s="55" t="s">
        <v>1064</v>
      </c>
      <c r="F496" s="56" t="str">
        <f>IFERROR(UPPER(IF(C496="CPU",VLOOKUP(D496,#REF!,3,0),IF(C496="SINAPI",VLOOKUP(D496,#REF!,3,0),IF(C496="EDIF",VLOOKUP(D496,#REF!,3,0),IF(C496="CDHU",VLOOKUP(D496,#REF!,3,0),IF(C496="FDE",VLOOKUP(D496,#REF!,3,0),IF(C496="INFRA",VLOOKUP(D496,#REF!,3,0),""))))))),"")</f>
        <v/>
      </c>
      <c r="G496" s="57"/>
      <c r="H496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496" s="59"/>
      <c r="J496" s="59"/>
      <c r="K496" s="82">
        <f>SUBTOTAL(9,K497:K503)</f>
        <v>25405.387000000002</v>
      </c>
      <c r="L496" s="51"/>
      <c r="M496" s="52"/>
    </row>
    <row r="497" spans="1:15" s="25" customFormat="1" ht="30" customHeight="1" outlineLevel="1">
      <c r="B497" s="61"/>
      <c r="C497" s="62" t="s">
        <v>26</v>
      </c>
      <c r="D497" s="63" t="s">
        <v>1066</v>
      </c>
      <c r="E497" s="64" t="str">
        <f>IFERROR(UPPER(IF(C497="CPU",VLOOKUP(D497,#REF!,2,0),IF(C497="SINAPI",VLOOKUP(D497,#REF!,2,0),IF(C497="EDIF",VLOOKUP(D497,#REF!,2,0),IF(C497="CDHU",VLOOKUP(D497,#REF!,2,0),IF(C497="FDE",VLOOKUP(D497,'FDE 10-23 '!$A$4:$E$3180,2,0),IF(C497="INFRA",VLOOKUP(D497,#REF!,2,0),""))))))),"")</f>
        <v>CI-02 CAIXA DE INSPEÇÃO 80X80CM PARA ESGOTO</v>
      </c>
      <c r="F497" s="65" t="str">
        <f>VLOOKUP(D497,'FDE 10-23 '!$A$4:$E$3180,3,0)</f>
        <v>UN</v>
      </c>
      <c r="G497" s="66">
        <v>11</v>
      </c>
      <c r="H497" s="67">
        <f>VLOOKUP(D497,'FDE 10-23 '!$A$4:$E$3180,5,0)</f>
        <v>1012.74</v>
      </c>
      <c r="I497" s="92">
        <f t="shared" ref="I497:I503" si="87">$L$10</f>
        <v>0.23</v>
      </c>
      <c r="J497" s="67">
        <f t="shared" ref="J497:J503" si="88">ROUND(H497*(1+I497),2)</f>
        <v>1245.67</v>
      </c>
      <c r="K497" s="71">
        <f t="shared" ref="K497:K503" si="89">SUM(G497*J497)</f>
        <v>13702.37</v>
      </c>
      <c r="L497" s="51"/>
      <c r="M497" s="52"/>
    </row>
    <row r="498" spans="1:15" s="25" customFormat="1" ht="30" customHeight="1" outlineLevel="1">
      <c r="B498" s="61"/>
      <c r="C498" s="62" t="s">
        <v>26</v>
      </c>
      <c r="D498" s="63" t="s">
        <v>1068</v>
      </c>
      <c r="E498" s="64" t="str">
        <f>IFERROR(UPPER(IF(C498="CPU",VLOOKUP(D498,#REF!,2,0),IF(C498="SINAPI",VLOOKUP(D498,#REF!,2,0),IF(C498="EDIF",VLOOKUP(D498,#REF!,2,0),IF(C498="CDHU",VLOOKUP(D498,#REF!,2,0),IF(C498="FDE",VLOOKUP(D498,'FDE 10-23 '!$A$4:$E$3180,2,0),IF(C498="INFRA",VLOOKUP(D498,#REF!,2,0),""))))))),"")</f>
        <v>CG-01 CAIXA DE GORDURA EM ALVENARIA</v>
      </c>
      <c r="F498" s="65" t="str">
        <f>VLOOKUP(D498,'FDE 10-23 '!$A$4:$E$3180,3,0)</f>
        <v>UN</v>
      </c>
      <c r="G498" s="66">
        <v>5</v>
      </c>
      <c r="H498" s="67">
        <f>VLOOKUP(D498,'FDE 10-23 '!$A$4:$E$3180,5,0)</f>
        <v>1368.63</v>
      </c>
      <c r="I498" s="92">
        <f t="shared" si="87"/>
        <v>0.23</v>
      </c>
      <c r="J498" s="67">
        <f t="shared" si="88"/>
        <v>1683.41</v>
      </c>
      <c r="K498" s="71">
        <f t="shared" si="89"/>
        <v>8417.0500000000011</v>
      </c>
      <c r="L498" s="51"/>
      <c r="M498" s="52"/>
    </row>
    <row r="499" spans="1:15" s="25" customFormat="1" ht="30" customHeight="1" outlineLevel="1">
      <c r="B499" s="61"/>
      <c r="C499" s="62" t="s">
        <v>26</v>
      </c>
      <c r="D499" s="63" t="s">
        <v>1070</v>
      </c>
      <c r="E499" s="64" t="str">
        <f>IFERROR(UPPER(IF(C499="CPU",VLOOKUP(D499,#REF!,2,0),IF(C499="SINAPI",VLOOKUP(D499,#REF!,2,0),IF(C499="EDIF",VLOOKUP(D499,#REF!,2,0),IF(C499="CDHU",VLOOKUP(D499,#REF!,2,0),IF(C499="FDE",VLOOKUP(D499,'FDE 10-23 '!$A$4:$E$3180,2,0),IF(C499="INFRA",VLOOKUP(D499,#REF!,2,0),""))))))),"")</f>
        <v>CI-01 CAIXA DE INSPECAO 60X60CM PARA ESGOTO</v>
      </c>
      <c r="F499" s="65" t="str">
        <f>VLOOKUP(D499,'FDE 10-23 '!$A$4:$E$3180,3,0)</f>
        <v>UN</v>
      </c>
      <c r="G499" s="66">
        <v>4</v>
      </c>
      <c r="H499" s="67">
        <f>VLOOKUP(D499,'FDE 10-23 '!$A$4:$E$3180,5,0)</f>
        <v>535.05999999999995</v>
      </c>
      <c r="I499" s="92">
        <f t="shared" si="87"/>
        <v>0.23</v>
      </c>
      <c r="J499" s="67">
        <f t="shared" si="88"/>
        <v>658.12</v>
      </c>
      <c r="K499" s="71">
        <f t="shared" si="89"/>
        <v>2632.48</v>
      </c>
      <c r="L499" s="51"/>
      <c r="M499" s="52"/>
    </row>
    <row r="500" spans="1:15" ht="30" customHeight="1" outlineLevel="1">
      <c r="A500" s="25"/>
      <c r="B500" s="61"/>
      <c r="C500" s="62" t="s">
        <v>26</v>
      </c>
      <c r="D500" s="63" t="s">
        <v>1072</v>
      </c>
      <c r="E500" s="64" t="str">
        <f>IFERROR(UPPER(IF(C500="CPU",VLOOKUP(D500,#REF!,2,0),IF(C500="SINAPI",VLOOKUP(D500,#REF!,2,0),IF(C500="EDIF",VLOOKUP(D500,#REF!,2,0),IF(C500="CDHU",VLOOKUP(D500,#REF!,2,0),IF(C500="FDE",VLOOKUP(D500,'FDE 10-23 '!$A$4:$E$3180,2,0),IF(C500="INFRA",VLOOKUP(D500,#REF!,2,0),""))))))),"")</f>
        <v>CAIXA DE ALVENARIA - ESCAVACAO MANUAL COM APILOAMENTO DO FUNDO</v>
      </c>
      <c r="F500" s="65" t="str">
        <f>VLOOKUP(D500,'FDE 10-23 '!$A$4:$E$3180,3,0)</f>
        <v>M3</v>
      </c>
      <c r="G500" s="66">
        <v>0.3</v>
      </c>
      <c r="H500" s="67">
        <f>VLOOKUP(D500,'FDE 10-23 '!$A$4:$E$3180,5,0)</f>
        <v>76.98</v>
      </c>
      <c r="I500" s="92">
        <f t="shared" si="87"/>
        <v>0.23</v>
      </c>
      <c r="J500" s="67">
        <f t="shared" si="88"/>
        <v>94.69</v>
      </c>
      <c r="K500" s="71">
        <f t="shared" si="89"/>
        <v>28.407</v>
      </c>
      <c r="L500" s="51"/>
      <c r="M500" s="52"/>
      <c r="N500" s="25"/>
      <c r="O500" s="25"/>
    </row>
    <row r="501" spans="1:15" ht="30" customHeight="1" outlineLevel="1">
      <c r="A501" s="25"/>
      <c r="B501" s="61"/>
      <c r="C501" s="62" t="s">
        <v>26</v>
      </c>
      <c r="D501" s="63" t="s">
        <v>1074</v>
      </c>
      <c r="E501" s="64" t="str">
        <f>IFERROR(UPPER(IF(C501="CPU",VLOOKUP(D501,#REF!,2,0),IF(C501="SINAPI",VLOOKUP(D501,#REF!,2,0),IF(C501="EDIF",VLOOKUP(D501,#REF!,2,0),IF(C501="CDHU",VLOOKUP(D501,#REF!,2,0),IF(C501="FDE",VLOOKUP(D501,'FDE 10-23 '!$A$4:$E$3180,2,0),IF(C501="INFRA",VLOOKUP(D501,#REF!,2,0),""))))))),"")</f>
        <v>CAIXA DE ALVENARIA - LASTRO DE CONCRETO</v>
      </c>
      <c r="F501" s="65" t="str">
        <f>VLOOKUP(D501,'FDE 10-23 '!$A$4:$E$3180,3,0)</f>
        <v>M3</v>
      </c>
      <c r="G501" s="66">
        <v>0.15</v>
      </c>
      <c r="H501" s="67">
        <f>VLOOKUP(D501,'FDE 10-23 '!$A$4:$E$3180,5,0)</f>
        <v>737.41</v>
      </c>
      <c r="I501" s="92">
        <f t="shared" si="87"/>
        <v>0.23</v>
      </c>
      <c r="J501" s="67">
        <f t="shared" si="88"/>
        <v>907.01</v>
      </c>
      <c r="K501" s="71">
        <f t="shared" si="89"/>
        <v>136.0515</v>
      </c>
      <c r="L501" s="51"/>
      <c r="M501" s="52"/>
      <c r="N501" s="25"/>
      <c r="O501" s="25"/>
    </row>
    <row r="502" spans="1:15" ht="30" customHeight="1" outlineLevel="1">
      <c r="A502" s="25"/>
      <c r="B502" s="61"/>
      <c r="C502" s="62" t="s">
        <v>26</v>
      </c>
      <c r="D502" s="63" t="s">
        <v>1076</v>
      </c>
      <c r="E502" s="64" t="str">
        <f>IFERROR(UPPER(IF(C502="CPU",VLOOKUP(D502,#REF!,2,0),IF(C502="SINAPI",VLOOKUP(D502,#REF!,2,0),IF(C502="EDIF",VLOOKUP(D502,#REF!,2,0),IF(C502="CDHU",VLOOKUP(D502,#REF!,2,0),IF(C502="FDE",VLOOKUP(D502,'FDE 10-23 '!$A$4:$E$3180,2,0),IF(C502="INFRA",VLOOKUP(D502,#REF!,2,0),""))))))),"")</f>
        <v>CAIXA DE ALVENARIA - PAREDE DE 1 TIJOLO REVESTIDO</v>
      </c>
      <c r="F502" s="65" t="str">
        <f>VLOOKUP(D502,'FDE 10-23 '!$A$4:$E$3180,3,0)</f>
        <v>M2</v>
      </c>
      <c r="G502" s="66">
        <v>0.45</v>
      </c>
      <c r="H502" s="67">
        <f>VLOOKUP(D502,'FDE 10-23 '!$A$4:$E$3180,5,0)</f>
        <v>307.02</v>
      </c>
      <c r="I502" s="92">
        <f t="shared" si="87"/>
        <v>0.23</v>
      </c>
      <c r="J502" s="67">
        <f t="shared" si="88"/>
        <v>377.63</v>
      </c>
      <c r="K502" s="71">
        <f t="shared" si="89"/>
        <v>169.93350000000001</v>
      </c>
      <c r="L502" s="51"/>
      <c r="M502" s="52"/>
      <c r="N502" s="25"/>
      <c r="O502" s="25"/>
    </row>
    <row r="503" spans="1:15" ht="30" customHeight="1" outlineLevel="1">
      <c r="A503" s="25"/>
      <c r="B503" s="61"/>
      <c r="C503" s="62" t="s">
        <v>26</v>
      </c>
      <c r="D503" s="63" t="s">
        <v>1078</v>
      </c>
      <c r="E503" s="64" t="str">
        <f>IFERROR(UPPER(IF(C503="CPU",VLOOKUP(D503,#REF!,2,0),IF(C503="SINAPI",VLOOKUP(D503,#REF!,2,0),IF(C503="EDIF",VLOOKUP(D503,#REF!,2,0),IF(C503="CDHU",VLOOKUP(D503,#REF!,2,0),IF(C503="FDE",VLOOKUP(D503,'FDE 10-23 '!$A$4:$E$3180,2,0),IF(C503="INFRA",VLOOKUP(D503,#REF!,2,0),""))))))),"")</f>
        <v>CAIXA DE ALVENARIA - TAMPA DE CONCRETO</v>
      </c>
      <c r="F503" s="65" t="str">
        <f>VLOOKUP(D503,'FDE 10-23 '!$A$4:$E$3180,3,0)</f>
        <v>M2</v>
      </c>
      <c r="G503" s="66">
        <v>1.5</v>
      </c>
      <c r="H503" s="67">
        <f>VLOOKUP(D503,'FDE 10-23 '!$A$4:$E$3180,5,0)</f>
        <v>172.95</v>
      </c>
      <c r="I503" s="92">
        <f t="shared" si="87"/>
        <v>0.23</v>
      </c>
      <c r="J503" s="67">
        <f t="shared" si="88"/>
        <v>212.73</v>
      </c>
      <c r="K503" s="71">
        <f t="shared" si="89"/>
        <v>319.09499999999997</v>
      </c>
      <c r="L503" s="51"/>
      <c r="M503" s="52"/>
      <c r="N503" s="25"/>
      <c r="O503" s="25"/>
    </row>
    <row r="504" spans="1:15" ht="30" customHeight="1" outlineLevel="1">
      <c r="A504" s="25"/>
      <c r="B504" s="53"/>
      <c r="C504" s="54"/>
      <c r="D504" s="54" t="s">
        <v>1080</v>
      </c>
      <c r="E504" s="55" t="s">
        <v>1081</v>
      </c>
      <c r="F504" s="56" t="str">
        <f>IFERROR(UPPER(IF(C504="CPU",VLOOKUP(D504,#REF!,3,0),IF(C504="SINAPI",VLOOKUP(D504,#REF!,3,0),IF(C504="EDIF",VLOOKUP(D504,#REF!,3,0),IF(C504="CDHU",VLOOKUP(D504,#REF!,3,0),IF(C504="FDE",VLOOKUP(D504,#REF!,3,0),IF(C504="INFRA",VLOOKUP(D504,#REF!,3,0),""))))))),"")</f>
        <v/>
      </c>
      <c r="G504" s="57"/>
      <c r="H504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504" s="59"/>
      <c r="J504" s="59"/>
      <c r="K504" s="82">
        <f>SUBTOTAL(9,K505)</f>
        <v>39980.550000000003</v>
      </c>
      <c r="L504" s="51"/>
      <c r="M504" s="52"/>
      <c r="N504" s="25"/>
      <c r="O504" s="25"/>
    </row>
    <row r="505" spans="1:15" ht="30" customHeight="1" outlineLevel="1">
      <c r="A505" s="25"/>
      <c r="B505" s="61"/>
      <c r="C505" s="62" t="s">
        <v>26</v>
      </c>
      <c r="D505" s="63" t="s">
        <v>1083</v>
      </c>
      <c r="E505" s="64" t="str">
        <f>IFERROR(UPPER(IF(C505="CPU",VLOOKUP(D505,#REF!,2,0),IF(C505="SINAPI",VLOOKUP(D505,#REF!,2,0),IF(C505="EDIF",VLOOKUP(D505,#REF!,2,0),IF(C505="CDHU",VLOOKUP(D505,#REF!,2,0),IF(C505="FDE",VLOOKUP(D505,'FDE 10-23 '!$A$4:$E$3180,2,0),IF(C505="INFRA",VLOOKUP(D505,#REF!,2,0),""))))))),"")</f>
        <v>LIMPEZA DA OBRA</v>
      </c>
      <c r="F505" s="65" t="str">
        <f>VLOOKUP(D505,'FDE 10-23 '!$A$4:$E$3180,3,0)</f>
        <v>M2</v>
      </c>
      <c r="G505" s="66">
        <v>3017.4</v>
      </c>
      <c r="H505" s="67">
        <f>VLOOKUP(D505,'FDE 10-23 '!$A$4:$E$3180,5,0)</f>
        <v>10.77</v>
      </c>
      <c r="I505" s="92">
        <f>$L$10</f>
        <v>0.23</v>
      </c>
      <c r="J505" s="67">
        <f>ROUND(H505*(1+I505),2)</f>
        <v>13.25</v>
      </c>
      <c r="K505" s="71">
        <f>SUM(G505*J505)</f>
        <v>39980.550000000003</v>
      </c>
      <c r="L505" s="51"/>
      <c r="M505" s="52"/>
      <c r="N505" s="25"/>
      <c r="O505" s="25"/>
    </row>
    <row r="506" spans="1:15" ht="30" customHeight="1" outlineLevel="1">
      <c r="A506" s="25"/>
      <c r="B506" s="53"/>
      <c r="C506" s="54"/>
      <c r="D506" s="54" t="s">
        <v>1085</v>
      </c>
      <c r="E506" s="55" t="s">
        <v>1086</v>
      </c>
      <c r="F506" s="56" t="str">
        <f>IFERROR(UPPER(IF(C506="CPU",VLOOKUP(D506,#REF!,3,0),IF(C506="SINAPI",VLOOKUP(D506,#REF!,3,0),IF(C506="EDIF",VLOOKUP(D506,#REF!,3,0),IF(C506="CDHU",VLOOKUP(D506,#REF!,3,0),IF(C506="FDE",VLOOKUP(D506,#REF!,3,0),IF(C506="INFRA",VLOOKUP(D506,#REF!,3,0),""))))))),"")</f>
        <v/>
      </c>
      <c r="G506" s="57"/>
      <c r="H506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506" s="59"/>
      <c r="J506" s="59"/>
      <c r="K506" s="82">
        <f>SUBTOTAL(9,K507:K511)</f>
        <v>0</v>
      </c>
      <c r="L506" s="51"/>
      <c r="M506" s="52"/>
      <c r="N506" s="25"/>
      <c r="O506" s="25"/>
    </row>
    <row r="507" spans="1:15" ht="30" customHeight="1" outlineLevel="1">
      <c r="A507" s="25"/>
      <c r="B507" s="61"/>
      <c r="C507" s="62" t="s">
        <v>26</v>
      </c>
      <c r="D507" s="63" t="s">
        <v>1088</v>
      </c>
      <c r="E507" s="64" t="str">
        <f>IFERROR(UPPER(IF(C507="CPU",VLOOKUP(D507,#REF!,2,0),IF(C507="SINAPI",VLOOKUP(D507,#REF!,2,0),IF(C507="EDIF",VLOOKUP(D507,#REF!,2,0),IF(C507="CDHU",VLOOKUP(D507,#REF!,2,0),IF(C507="FDE",VLOOKUP(D507,'FDE 10-23 '!$A$4:$E$3180,2,0),IF(C507="INFRA",VLOOKUP(D507,#REF!,2,0),""))))))),"")</f>
        <v>ESCAVACAO MANUAL - PROFUNDIDADE ATE 1.80 M</v>
      </c>
      <c r="F507" s="65" t="str">
        <f>VLOOKUP(D507,'FDE 10-23 '!$A$4:$E$3180,3,0)</f>
        <v>M3</v>
      </c>
      <c r="G507" s="66"/>
      <c r="H507" s="67">
        <f>VLOOKUP(D507,'FDE 10-23 '!$A$4:$E$3180,5,0)</f>
        <v>61.58</v>
      </c>
      <c r="I507" s="92">
        <f>$L$10</f>
        <v>0.23</v>
      </c>
      <c r="J507" s="67">
        <f>ROUND(H507*(1+I507),2)</f>
        <v>75.739999999999995</v>
      </c>
      <c r="K507" s="71">
        <f>SUM(G507*J507)</f>
        <v>0</v>
      </c>
      <c r="L507" s="51"/>
      <c r="M507" s="52"/>
      <c r="N507" s="25"/>
      <c r="O507" s="25"/>
    </row>
    <row r="508" spans="1:15" ht="30" customHeight="1" outlineLevel="1">
      <c r="A508" s="25"/>
      <c r="B508" s="61"/>
      <c r="C508" s="62" t="s">
        <v>26</v>
      </c>
      <c r="D508" s="63" t="s">
        <v>1090</v>
      </c>
      <c r="E508" s="64" t="str">
        <f>IFERROR(UPPER(IF(C508="CPU",VLOOKUP(D508,#REF!,2,0),IF(C508="SINAPI",VLOOKUP(D508,#REF!,2,0),IF(C508="EDIF",VLOOKUP(D508,#REF!,2,0),IF(C508="CDHU",VLOOKUP(D508,#REF!,2,0),IF(C508="FDE",VLOOKUP(D508,'FDE 10-23 '!$A$4:$E$3180,2,0),IF(C508="INFRA",VLOOKUP(D508,#REF!,2,0),""))))))),"")</f>
        <v>APILOAMENTO PARA SIMPLES REGULARIZACAO</v>
      </c>
      <c r="F508" s="65" t="str">
        <f>VLOOKUP(D508,'FDE 10-23 '!$A$4:$E$3180,3,0)</f>
        <v>M2</v>
      </c>
      <c r="G508" s="66"/>
      <c r="H508" s="67">
        <f>VLOOKUP(D508,'FDE 10-23 '!$A$4:$E$3180,5,0)</f>
        <v>6.15</v>
      </c>
      <c r="I508" s="92">
        <f>$L$10</f>
        <v>0.23</v>
      </c>
      <c r="J508" s="67">
        <f>ROUND(H508*(1+I508),2)</f>
        <v>7.56</v>
      </c>
      <c r="K508" s="71">
        <f>SUM(G508*J508)</f>
        <v>0</v>
      </c>
      <c r="L508" s="51"/>
      <c r="M508" s="52"/>
      <c r="N508" s="25"/>
      <c r="O508" s="25"/>
    </row>
    <row r="509" spans="1:15" ht="30" customHeight="1" outlineLevel="1">
      <c r="A509" s="25"/>
      <c r="B509" s="61"/>
      <c r="C509" s="62" t="s">
        <v>26</v>
      </c>
      <c r="D509" s="63" t="s">
        <v>1092</v>
      </c>
      <c r="E509" s="64" t="str">
        <f>IFERROR(UPPER(IF(C509="CPU",VLOOKUP(D509,#REF!,2,0),IF(C509="SINAPI",VLOOKUP(D509,#REF!,2,0),IF(C509="EDIF",VLOOKUP(D509,#REF!,2,0),IF(C509="CDHU",VLOOKUP(D509,#REF!,2,0),IF(C509="FDE",VLOOKUP(D509,'FDE 10-23 '!$A$4:$E$3180,2,0),IF(C509="INFRA",VLOOKUP(D509,#REF!,2,0),""))))))),"")</f>
        <v>REATERRO INTERNO APILOADO</v>
      </c>
      <c r="F509" s="65" t="str">
        <f>VLOOKUP(D509,'FDE 10-23 '!$A$4:$E$3180,3,0)</f>
        <v>M3</v>
      </c>
      <c r="G509" s="66"/>
      <c r="H509" s="67">
        <f>VLOOKUP(D509,'FDE 10-23 '!$A$4:$E$3180,5,0)</f>
        <v>53.88</v>
      </c>
      <c r="I509" s="92">
        <f>$L$10</f>
        <v>0.23</v>
      </c>
      <c r="J509" s="67">
        <f>ROUND(H509*(1+I509),2)</f>
        <v>66.27</v>
      </c>
      <c r="K509" s="71">
        <f>SUM(G509*J509)</f>
        <v>0</v>
      </c>
      <c r="L509" s="51"/>
      <c r="M509" s="52"/>
      <c r="N509" s="25"/>
      <c r="O509" s="25"/>
    </row>
    <row r="510" spans="1:15" ht="30" customHeight="1" outlineLevel="1">
      <c r="A510" s="25"/>
      <c r="B510" s="61"/>
      <c r="C510" s="62" t="s">
        <v>26</v>
      </c>
      <c r="D510" s="63" t="s">
        <v>1094</v>
      </c>
      <c r="E510" s="64" t="str">
        <f>IFERROR(UPPER(IF(C510="CPU",VLOOKUP(D510,#REF!,2,0),IF(C510="SINAPI",VLOOKUP(D510,#REF!,2,0),IF(C510="EDIF",VLOOKUP(D510,#REF!,2,0),IF(C510="CDHU",VLOOKUP(D510,#REF!,2,0),IF(C510="FDE",VLOOKUP(D510,'FDE 10-23 '!$A$4:$E$3180,2,0),IF(C510="INFRA",VLOOKUP(D510,#REF!,2,0),""))))))),"")</f>
        <v>LASTRO DE CONCRETO - 5CM</v>
      </c>
      <c r="F510" s="65" t="str">
        <f>VLOOKUP(D510,'FDE 10-23 '!$A$4:$E$3180,3,0)</f>
        <v>M2</v>
      </c>
      <c r="G510" s="66"/>
      <c r="H510" s="67">
        <f>VLOOKUP(D510,'FDE 10-23 '!$A$4:$E$3180,5,0)</f>
        <v>33.81</v>
      </c>
      <c r="I510" s="92">
        <f>$L$10</f>
        <v>0.23</v>
      </c>
      <c r="J510" s="67">
        <f>ROUND(H510*(1+I510),2)</f>
        <v>41.59</v>
      </c>
      <c r="K510" s="71">
        <f>SUM(G510*J510)</f>
        <v>0</v>
      </c>
      <c r="L510" s="51"/>
      <c r="M510" s="52"/>
      <c r="N510" s="25"/>
      <c r="O510" s="25"/>
    </row>
    <row r="511" spans="1:15" ht="30" customHeight="1" outlineLevel="1">
      <c r="A511" s="25"/>
      <c r="B511" s="61"/>
      <c r="C511" s="62" t="s">
        <v>26</v>
      </c>
      <c r="D511" s="63" t="s">
        <v>1096</v>
      </c>
      <c r="E511" s="64" t="str">
        <f>IFERROR(UPPER(IF(C511="CPU",VLOOKUP(D511,#REF!,2,0),IF(C511="SINAPI",VLOOKUP(D511,#REF!,2,0),IF(C511="EDIF",VLOOKUP(D511,#REF!,2,0),IF(C511="CDHU",VLOOKUP(D511,#REF!,2,0),IF(C511="FDE",VLOOKUP(D511,'FDE 10-23 '!$A$4:$E$3180,2,0),IF(C511="INFRA",VLOOKUP(D511,#REF!,2,0),""))))))),"")</f>
        <v>LASTRO DE PEDRA BRITADA - 5CM</v>
      </c>
      <c r="F511" s="65" t="str">
        <f>VLOOKUP(D511,'FDE 10-23 '!$A$4:$E$3180,3,0)</f>
        <v>M2</v>
      </c>
      <c r="G511" s="66"/>
      <c r="H511" s="67">
        <f>VLOOKUP(D511,'FDE 10-23 '!$A$4:$E$3180,5,0)</f>
        <v>9.7100000000000009</v>
      </c>
      <c r="I511" s="92">
        <f>$L$10</f>
        <v>0.23</v>
      </c>
      <c r="J511" s="67">
        <f>ROUND(H511*(1+I511),2)</f>
        <v>11.94</v>
      </c>
      <c r="K511" s="71">
        <f>SUM(G511*J511)</f>
        <v>0</v>
      </c>
      <c r="L511" s="51"/>
      <c r="M511" s="52"/>
      <c r="N511" s="25"/>
      <c r="O511" s="25"/>
    </row>
    <row r="512" spans="1:15" ht="30" customHeight="1" outlineLevel="1">
      <c r="A512" s="25"/>
      <c r="B512" s="53"/>
      <c r="C512" s="54"/>
      <c r="D512" s="54" t="s">
        <v>1098</v>
      </c>
      <c r="E512" s="55" t="s">
        <v>1099</v>
      </c>
      <c r="F512" s="56"/>
      <c r="G512" s="57"/>
      <c r="H512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512" s="59"/>
      <c r="J512" s="59"/>
      <c r="K512" s="82">
        <f>SUBTOTAL(9,K513:K517)</f>
        <v>0</v>
      </c>
      <c r="L512" s="51"/>
      <c r="M512" s="52"/>
      <c r="N512" s="25"/>
      <c r="O512" s="25"/>
    </row>
    <row r="513" spans="1:15" ht="30" customHeight="1" outlineLevel="1">
      <c r="A513" s="25"/>
      <c r="B513" s="61"/>
      <c r="C513" s="62" t="s">
        <v>26</v>
      </c>
      <c r="D513" s="63" t="s">
        <v>1101</v>
      </c>
      <c r="E513" s="64" t="str">
        <f>IFERROR(UPPER(IF(C513="CPU",VLOOKUP(D513,#REF!,2,0),IF(C513="SINAPI",VLOOKUP(D513,#REF!,2,0),IF(C513="EDIF",VLOOKUP(D513,#REF!,2,0),IF(C513="CDHU",VLOOKUP(D513,#REF!,2,0),IF(C513="FDE",VLOOKUP(D513,'FDE 10-23 '!$A$4:$E$3180,2,0),IF(C513="INFRA",VLOOKUP(D513,#REF!,2,0),""))))))),"")</f>
        <v>FORMAS DE MADEIRA MACICA</v>
      </c>
      <c r="F513" s="65" t="str">
        <f>VLOOKUP(D513,'FDE 10-23 '!$A$4:$E$3180,3,0)</f>
        <v>M2</v>
      </c>
      <c r="G513" s="66"/>
      <c r="H513" s="67">
        <f>VLOOKUP(D513,'FDE 10-23 '!$A$4:$E$3180,5,0)</f>
        <v>110.26</v>
      </c>
      <c r="I513" s="92">
        <f>$L$10</f>
        <v>0.23</v>
      </c>
      <c r="J513" s="67">
        <f>ROUND(H513*(1+I513),2)</f>
        <v>135.62</v>
      </c>
      <c r="K513" s="71">
        <f>SUM(G513*J513)</f>
        <v>0</v>
      </c>
      <c r="L513" s="51"/>
      <c r="M513" s="52"/>
      <c r="N513" s="25"/>
      <c r="O513" s="25"/>
    </row>
    <row r="514" spans="1:15" ht="30" customHeight="1" outlineLevel="1">
      <c r="A514" s="25"/>
      <c r="B514" s="61"/>
      <c r="C514" s="62" t="s">
        <v>26</v>
      </c>
      <c r="D514" s="63" t="s">
        <v>1103</v>
      </c>
      <c r="E514" s="64" t="str">
        <f>IFERROR(UPPER(IF(C514="CPU",VLOOKUP(D514,#REF!,2,0),IF(C514="SINAPI",VLOOKUP(D514,#REF!,2,0),IF(C514="EDIF",VLOOKUP(D514,#REF!,2,0),IF(C514="CDHU",VLOOKUP(D514,#REF!,2,0),IF(C514="FDE",VLOOKUP(D514,'FDE 10-23 '!$A$4:$E$3180,2,0),IF(C514="INFRA",VLOOKUP(D514,#REF!,2,0),""))))))),"")</f>
        <v>ACO CA 50 (A OU B) FYK = 500 M PA</v>
      </c>
      <c r="F514" s="65" t="str">
        <f>VLOOKUP(D514,'FDE 10-23 '!$A$4:$E$3180,3,0)</f>
        <v>KG</v>
      </c>
      <c r="G514" s="66"/>
      <c r="H514" s="67">
        <f>VLOOKUP(D514,'FDE 10-23 '!$A$4:$E$3180,5,0)</f>
        <v>12.18</v>
      </c>
      <c r="I514" s="92">
        <f>$L$10</f>
        <v>0.23</v>
      </c>
      <c r="J514" s="67">
        <f>ROUND(H514*(1+I514),2)</f>
        <v>14.98</v>
      </c>
      <c r="K514" s="71">
        <f>SUM(G514*J514)</f>
        <v>0</v>
      </c>
      <c r="L514" s="51"/>
      <c r="M514" s="52"/>
      <c r="N514" s="25"/>
      <c r="O514" s="25"/>
    </row>
    <row r="515" spans="1:15" ht="30" customHeight="1" outlineLevel="1">
      <c r="A515" s="25"/>
      <c r="B515" s="61"/>
      <c r="C515" s="62" t="s">
        <v>26</v>
      </c>
      <c r="D515" s="63" t="s">
        <v>1105</v>
      </c>
      <c r="E515" s="64" t="str">
        <f>IFERROR(UPPER(IF(C515="CPU",VLOOKUP(D515,#REF!,2,0),IF(C515="SINAPI",VLOOKUP(D515,#REF!,2,0),IF(C515="EDIF",VLOOKUP(D515,#REF!,2,0),IF(C515="CDHU",VLOOKUP(D515,#REF!,2,0),IF(C515="FDE",VLOOKUP(D515,'FDE 10-23 '!$A$4:$E$3180,2,0),IF(C515="INFRA",VLOOKUP(D515,#REF!,2,0),""))))))),"")</f>
        <v>ACO CA 60 (A OU B) FYK = 600 M PA</v>
      </c>
      <c r="F515" s="65" t="str">
        <f>VLOOKUP(D515,'FDE 10-23 '!$A$4:$E$3180,3,0)</f>
        <v>KG</v>
      </c>
      <c r="G515" s="66"/>
      <c r="H515" s="67">
        <f>VLOOKUP(D515,'FDE 10-23 '!$A$4:$E$3180,5,0)</f>
        <v>12.58</v>
      </c>
      <c r="I515" s="92">
        <f>$L$10</f>
        <v>0.23</v>
      </c>
      <c r="J515" s="67">
        <f>ROUND(H515*(1+I515),2)</f>
        <v>15.47</v>
      </c>
      <c r="K515" s="71">
        <f>SUM(G515*J515)</f>
        <v>0</v>
      </c>
      <c r="L515" s="51"/>
      <c r="M515" s="52"/>
      <c r="N515" s="25"/>
      <c r="O515" s="25"/>
    </row>
    <row r="516" spans="1:15" ht="30" customHeight="1" outlineLevel="1">
      <c r="A516" s="25"/>
      <c r="B516" s="61"/>
      <c r="C516" s="62" t="s">
        <v>26</v>
      </c>
      <c r="D516" s="63" t="s">
        <v>1107</v>
      </c>
      <c r="E516" s="64" t="str">
        <f>IFERROR(UPPER(IF(C516="CPU",VLOOKUP(D516,#REF!,2,0),IF(C516="SINAPI",VLOOKUP(D516,#REF!,2,0),IF(C516="EDIF",VLOOKUP(D516,#REF!,2,0),IF(C516="CDHU",VLOOKUP(D516,#REF!,2,0),IF(C516="FDE",VLOOKUP(D516,'FDE 10-23 '!$A$4:$E$3180,2,0),IF(C516="INFRA",VLOOKUP(D516,#REF!,2,0),""))))))),"")</f>
        <v>CONCRETO DOSADO E LANCADO FCK=25 MPA</v>
      </c>
      <c r="F516" s="65" t="str">
        <f>VLOOKUP(D516,'FDE 10-23 '!$A$4:$E$3180,3,0)</f>
        <v>M3</v>
      </c>
      <c r="G516" s="66"/>
      <c r="H516" s="67">
        <f>VLOOKUP(D516,'FDE 10-23 '!$A$4:$E$3180,5,0)</f>
        <v>523.76</v>
      </c>
      <c r="I516" s="92">
        <f>$L$10</f>
        <v>0.23</v>
      </c>
      <c r="J516" s="67">
        <f>ROUND(H516*(1+I516),2)</f>
        <v>644.22</v>
      </c>
      <c r="K516" s="71">
        <f>SUM(G516*J516)</f>
        <v>0</v>
      </c>
      <c r="L516" s="51"/>
      <c r="M516" s="52"/>
      <c r="N516" s="25"/>
      <c r="O516" s="25"/>
    </row>
    <row r="517" spans="1:15" ht="30" customHeight="1" outlineLevel="1">
      <c r="A517" s="25"/>
      <c r="B517" s="61"/>
      <c r="C517" s="62" t="s">
        <v>26</v>
      </c>
      <c r="D517" s="63" t="s">
        <v>1109</v>
      </c>
      <c r="E517" s="64" t="str">
        <f>IFERROR(UPPER(IF(C517="CPU",VLOOKUP(D517,#REF!,2,0),IF(C517="SINAPI",VLOOKUP(D517,#REF!,2,0),IF(C517="EDIF",VLOOKUP(D517,#REF!,2,0),IF(C517="CDHU",VLOOKUP(D517,#REF!,2,0),IF(C517="FDE",VLOOKUP(D517,'FDE 10-23 '!$A$4:$E$3180,2,0),IF(C517="INFRA",VLOOKUP(D517,#REF!,2,0),""))))))),"")</f>
        <v>CONCRETO GROUT, PREPARADO NO LOCAL, LANÇADO E ADENSADO</v>
      </c>
      <c r="F517" s="65" t="str">
        <f>VLOOKUP(D517,'FDE 10-23 '!$A$4:$E$3180,3,0)</f>
        <v>M3</v>
      </c>
      <c r="G517" s="66"/>
      <c r="H517" s="67">
        <f>VLOOKUP(D517,'FDE 10-23 '!$A$4:$E$3180,5,0)</f>
        <v>485.76</v>
      </c>
      <c r="I517" s="92">
        <f>$L$10</f>
        <v>0.23</v>
      </c>
      <c r="J517" s="67">
        <f>ROUND(H517*(1+I517),2)</f>
        <v>597.48</v>
      </c>
      <c r="K517" s="71">
        <f>SUM(G517*J517)</f>
        <v>0</v>
      </c>
      <c r="L517" s="51"/>
      <c r="M517" s="52"/>
      <c r="N517" s="25"/>
      <c r="O517" s="25"/>
    </row>
    <row r="518" spans="1:15" ht="30" customHeight="1" outlineLevel="1">
      <c r="A518" s="25"/>
      <c r="B518" s="53"/>
      <c r="C518" s="54"/>
      <c r="D518" s="54" t="s">
        <v>1111</v>
      </c>
      <c r="E518" s="55" t="s">
        <v>1112</v>
      </c>
      <c r="F518" s="56" t="str">
        <f>IFERROR(UPPER(IF(C518="CPU",VLOOKUP(D518,#REF!,3,0),IF(C518="SINAPI",VLOOKUP(D518,#REF!,3,0),IF(C518="EDIF",VLOOKUP(D518,#REF!,3,0),IF(C518="CDHU",VLOOKUP(D518,#REF!,3,0),IF(C518="FDE",VLOOKUP(D518,#REF!,3,0),IF(C518="INFRA",VLOOKUP(D518,#REF!,3,0),""))))))),"")</f>
        <v/>
      </c>
      <c r="G518" s="57"/>
      <c r="H518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518" s="59"/>
      <c r="J518" s="59"/>
      <c r="K518" s="82">
        <f>SUBTOTAL(9,K519:K523)</f>
        <v>56879</v>
      </c>
      <c r="L518" s="51"/>
      <c r="M518" s="52"/>
      <c r="N518" s="25"/>
      <c r="O518" s="25"/>
    </row>
    <row r="519" spans="1:15" ht="30" customHeight="1" outlineLevel="1">
      <c r="A519" s="25"/>
      <c r="B519" s="61"/>
      <c r="C519" s="62" t="s">
        <v>26</v>
      </c>
      <c r="D519" s="63" t="s">
        <v>1114</v>
      </c>
      <c r="E519" s="64" t="str">
        <f>IFERROR(UPPER(IF(C519="CPU",VLOOKUP(D519,#REF!,2,0),IF(C519="SINAPI",VLOOKUP(D519,#REF!,2,0),IF(C519="EDIF",VLOOKUP(D519,#REF!,2,0),IF(C519="CDHU",VLOOKUP(D519,#REF!,2,0),IF(C519="FDE",VLOOKUP(D519,'FDE 10-23 '!$A$4:$E$3180,2,0),IF(C519="INFRA",VLOOKUP(D519,#REF!,2,0),""))))))),"")</f>
        <v>ALVENARIA AUTO PORTANTE BLOCO DE CONCRETO ESTRUTURAL DE 19X19X39 CM CLASSE A</v>
      </c>
      <c r="F519" s="65" t="str">
        <f>VLOOKUP(D519,'FDE 10-23 '!$A$4:$E$3180,3,0)</f>
        <v>M2</v>
      </c>
      <c r="G519" s="66"/>
      <c r="H519" s="67">
        <f>VLOOKUP(D519,'FDE 10-23 '!$A$4:$E$3180,5,0)</f>
        <v>114.13</v>
      </c>
      <c r="I519" s="92">
        <f>$L$10</f>
        <v>0.23</v>
      </c>
      <c r="J519" s="67">
        <f>ROUND(H519*(1+I519),2)</f>
        <v>140.38</v>
      </c>
      <c r="K519" s="71">
        <f>SUM(G519*J519)</f>
        <v>0</v>
      </c>
      <c r="L519" s="51"/>
      <c r="M519" s="52"/>
      <c r="N519" s="25"/>
      <c r="O519" s="25"/>
    </row>
    <row r="520" spans="1:15" ht="30" customHeight="1" outlineLevel="1">
      <c r="A520" s="25"/>
      <c r="B520" s="61"/>
      <c r="C520" s="62" t="s">
        <v>26</v>
      </c>
      <c r="D520" s="63" t="s">
        <v>1116</v>
      </c>
      <c r="E520" s="64" t="str">
        <f>IFERROR(UPPER(IF(C520="CPU",VLOOKUP(D520,#REF!,2,0),IF(C520="SINAPI",VLOOKUP(D520,#REF!,2,0),IF(C520="EDIF",VLOOKUP(D520,#REF!,2,0),IF(C520="CDHU",VLOOKUP(D520,#REF!,2,0),IF(C520="FDE",VLOOKUP(D520,'FDE 10-23 '!$A$4:$E$3180,2,0),IF(C520="INFRA",VLOOKUP(D520,#REF!,2,0),""))))))),"")</f>
        <v>IMPERMEABILIZACAO POR CRISTALIZACAO - MUROS DE ARRIMO</v>
      </c>
      <c r="F520" s="65" t="str">
        <f>VLOOKUP(D520,'FDE 10-23 '!$A$4:$E$3180,3,0)</f>
        <v>M2</v>
      </c>
      <c r="G520" s="66"/>
      <c r="H520" s="67">
        <f>VLOOKUP(D520,'FDE 10-23 '!$A$4:$E$3180,5,0)</f>
        <v>11</v>
      </c>
      <c r="I520" s="92">
        <f>$L$10</f>
        <v>0.23</v>
      </c>
      <c r="J520" s="67">
        <f>ROUND(H520*(1+I520),2)</f>
        <v>13.53</v>
      </c>
      <c r="K520" s="71">
        <f>SUM(G520*J520)</f>
        <v>0</v>
      </c>
      <c r="L520" s="51"/>
      <c r="M520" s="52"/>
      <c r="N520" s="25"/>
      <c r="O520" s="25"/>
    </row>
    <row r="521" spans="1:15" ht="30" customHeight="1" outlineLevel="1">
      <c r="A521" s="25"/>
      <c r="B521" s="61"/>
      <c r="C521" s="95" t="s">
        <v>26</v>
      </c>
      <c r="D521" s="96" t="s">
        <v>1162</v>
      </c>
      <c r="E521" s="97" t="str">
        <f>IFERROR(UPPER(IF(C521="CPU",VLOOKUP(D521,#REF!,2,0),IF(C521="SINAPI",VLOOKUP(D521,#REF!,2,0),IF(C521="EDIF",VLOOKUP(D521,#REF!,2,0),IF(C521="CDHU",VLOOKUP(D521,#REF!,2,0),IF(C521="FDE",VLOOKUP(D521,'FDE 10-23 '!$A$4:$E$3180,2,0),IF(C521="INFRA",VLOOKUP(D521,#REF!,2,0),""))))))),"")</f>
        <v>RUFO EM CHAPA GALVANIZADA N 24 - CORTE 1,00 M</v>
      </c>
      <c r="F521" s="98" t="str">
        <f>VLOOKUP(D521,'FDE 10-23 '!$A$4:$E$3180,3,0)</f>
        <v>M</v>
      </c>
      <c r="G521" s="99">
        <v>180</v>
      </c>
      <c r="H521" s="67">
        <f>VLOOKUP(D521,'FDE 10-23 '!$A$4:$E$3180,5,0)</f>
        <v>174.69</v>
      </c>
      <c r="I521" s="92">
        <f>$L$10</f>
        <v>0.23</v>
      </c>
      <c r="J521" s="67">
        <f>ROUND(H521*(1+I521),2)</f>
        <v>214.87</v>
      </c>
      <c r="K521" s="100">
        <f>SUM(G521*J521)</f>
        <v>38676.6</v>
      </c>
      <c r="L521" s="51"/>
      <c r="M521" s="52"/>
      <c r="N521" s="25"/>
      <c r="O521" s="25"/>
    </row>
    <row r="522" spans="1:15" ht="30" customHeight="1" outlineLevel="1">
      <c r="A522" s="25"/>
      <c r="B522" s="61"/>
      <c r="C522" s="95" t="s">
        <v>26</v>
      </c>
      <c r="D522" s="96" t="s">
        <v>1163</v>
      </c>
      <c r="E522" s="97" t="str">
        <f>IFERROR(UPPER(IF(C522="CPU",VLOOKUP(D522,#REF!,2,0),IF(C522="SINAPI",VLOOKUP(D522,#REF!,2,0),IF(C522="EDIF",VLOOKUP(D522,#REF!,2,0),IF(C522="CDHU",VLOOKUP(D522,#REF!,2,0),IF(C522="FDE",VLOOKUP(D522,'FDE 10-23 '!$A$4:$E$3180,2,0),IF(C522="INFRA",VLOOKUP(D522,#REF!,2,0),""))))))),"")</f>
        <v>CA-20 CANALETA DE AGUAS PLUVIAIS EM CONCRETO (15CM)</v>
      </c>
      <c r="F522" s="98" t="str">
        <f>VLOOKUP(D522,'FDE 10-23 '!$A$4:$E$3180,3,0)</f>
        <v>M</v>
      </c>
      <c r="G522" s="99">
        <v>20</v>
      </c>
      <c r="H522" s="67">
        <f>VLOOKUP(D522,'FDE 10-23 '!$A$4:$E$3180,5,0)</f>
        <v>135.66999999999999</v>
      </c>
      <c r="I522" s="92">
        <f>$L$10</f>
        <v>0.23</v>
      </c>
      <c r="J522" s="67">
        <f>ROUND(H522*(1+I522),2)</f>
        <v>166.87</v>
      </c>
      <c r="K522" s="100">
        <f>SUM(G522*J522)</f>
        <v>3337.4</v>
      </c>
      <c r="L522" s="51"/>
      <c r="M522" s="52"/>
      <c r="N522" s="25"/>
      <c r="O522" s="25"/>
    </row>
    <row r="523" spans="1:15" ht="30" customHeight="1" outlineLevel="1">
      <c r="A523" s="25"/>
      <c r="B523" s="61"/>
      <c r="C523" s="95" t="s">
        <v>26</v>
      </c>
      <c r="D523" s="96" t="s">
        <v>1164</v>
      </c>
      <c r="E523" s="97" t="str">
        <f>IFERROR(UPPER(IF(C523="CPU",VLOOKUP(D523,#REF!,2,0),IF(C523="SINAPI",VLOOKUP(D523,#REF!,2,0),IF(C523="EDIF",VLOOKUP(D523,#REF!,2,0),IF(C523="CDHU",VLOOKUP(D523,#REF!,2,0),IF(C523="FDE",VLOOKUP(D523,'FDE 10-23 '!$A$4:$E$3180,2,0),IF(C523="INFRA",VLOOKUP(D523,#REF!,2,0),""))))))),"")</f>
        <v>TC-06 TAMPA EM GRELHA DE FERRO GALVANIZADO P/ CANALETA (20CM)</v>
      </c>
      <c r="F523" s="98" t="str">
        <f>VLOOKUP(D523,'FDE 10-23 '!$A$4:$E$3180,3,0)</f>
        <v>M</v>
      </c>
      <c r="G523" s="99">
        <v>20</v>
      </c>
      <c r="H523" s="67">
        <f>VLOOKUP(D523,'FDE 10-23 '!$A$4:$E$3180,5,0)</f>
        <v>604.27</v>
      </c>
      <c r="I523" s="92">
        <f>$L$10</f>
        <v>0.23</v>
      </c>
      <c r="J523" s="67">
        <f>ROUND(H523*(1+I523),2)</f>
        <v>743.25</v>
      </c>
      <c r="K523" s="100">
        <f>SUM(G523*J523)</f>
        <v>14865</v>
      </c>
      <c r="L523" s="51"/>
      <c r="M523" s="52"/>
      <c r="N523" s="25"/>
      <c r="O523" s="25"/>
    </row>
    <row r="524" spans="1:15" ht="30" customHeight="1" outlineLevel="1">
      <c r="A524" s="25"/>
      <c r="B524" s="53"/>
      <c r="C524" s="54"/>
      <c r="D524" s="54" t="s">
        <v>1118</v>
      </c>
      <c r="E524" s="55" t="s">
        <v>1119</v>
      </c>
      <c r="F524" s="56" t="str">
        <f>IFERROR(UPPER(IF(C524="CPU",VLOOKUP(D524,#REF!,3,0),IF(C524="SINAPI",VLOOKUP(D524,#REF!,3,0),IF(C524="EDIF",VLOOKUP(D524,#REF!,3,0),IF(C524="CDHU",VLOOKUP(D524,#REF!,3,0),IF(C524="FDE",VLOOKUP(D524,#REF!,3,0),IF(C524="INFRA",VLOOKUP(D524,#REF!,3,0),""))))))),"")</f>
        <v/>
      </c>
      <c r="G524" s="57"/>
      <c r="H524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524" s="59"/>
      <c r="J524" s="59"/>
      <c r="K524" s="82">
        <f>SUBTOTAL(9,K525:K528)</f>
        <v>22605.769999999997</v>
      </c>
      <c r="L524" s="51"/>
      <c r="M524" s="52"/>
      <c r="N524" s="25"/>
      <c r="O524" s="25"/>
    </row>
    <row r="525" spans="1:15" ht="30" customHeight="1" outlineLevel="1">
      <c r="A525" s="25"/>
      <c r="B525" s="61"/>
      <c r="C525" s="62" t="s">
        <v>26</v>
      </c>
      <c r="D525" s="63" t="s">
        <v>1121</v>
      </c>
      <c r="E525" s="64" t="str">
        <f>IFERROR(UPPER(IF(C525="CPU",VLOOKUP(D525,#REF!,2,0),IF(C525="SINAPI",VLOOKUP(D525,#REF!,2,0),IF(C525="EDIF",VLOOKUP(D525,#REF!,2,0),IF(C525="CDHU",VLOOKUP(D525,#REF!,2,0),IF(C525="FDE",VLOOKUP(D525,'FDE 10-23 '!$A$4:$E$3180,2,0),IF(C525="INFRA",VLOOKUP(D525,#REF!,2,0),""))))))),"")</f>
        <v>SI-01 PLACA DE SINALIZAÇÃO DE AMBIENTE 200X200MM (PORTA)</v>
      </c>
      <c r="F525" s="65" t="str">
        <f>VLOOKUP(D525,'FDE 10-23 '!$A$4:$E$3180,3,0)</f>
        <v>UN</v>
      </c>
      <c r="G525" s="66">
        <v>43</v>
      </c>
      <c r="H525" s="67">
        <f>VLOOKUP(D525,'FDE 10-23 '!$A$4:$E$3180,5,0)</f>
        <v>94.3</v>
      </c>
      <c r="I525" s="92">
        <f>$L$10</f>
        <v>0.23</v>
      </c>
      <c r="J525" s="67">
        <f>ROUND(H525*(1+I525),2)</f>
        <v>115.99</v>
      </c>
      <c r="K525" s="71">
        <f>SUM(G525*J525)</f>
        <v>4987.57</v>
      </c>
      <c r="L525" s="51"/>
      <c r="M525" s="52"/>
      <c r="N525" s="25"/>
      <c r="O525" s="25"/>
    </row>
    <row r="526" spans="1:15" ht="30" customHeight="1" outlineLevel="1">
      <c r="A526" s="25"/>
      <c r="B526" s="61"/>
      <c r="C526" s="62" t="s">
        <v>26</v>
      </c>
      <c r="D526" s="63" t="s">
        <v>1123</v>
      </c>
      <c r="E526" s="64" t="str">
        <f>IFERROR(UPPER(IF(C526="CPU",VLOOKUP(D526,#REF!,2,0),IF(C526="SINAPI",VLOOKUP(D526,#REF!,2,0),IF(C526="EDIF",VLOOKUP(D526,#REF!,2,0),IF(C526="CDHU",VLOOKUP(D526,#REF!,2,0),IF(C526="FDE",VLOOKUP(D526,'FDE 10-23 '!$A$4:$E$3180,2,0),IF(C526="INFRA",VLOOKUP(D526,#REF!,2,0),""))))))),"")</f>
        <v>SI-03 PLACA DE SINALIZAÇÃO DE AMBIENTE 200X200MM (PAREDE INTERNA)</v>
      </c>
      <c r="F526" s="65" t="str">
        <f>VLOOKUP(D526,'FDE 10-23 '!$A$4:$E$3180,3,0)</f>
        <v>UN</v>
      </c>
      <c r="G526" s="66">
        <v>12</v>
      </c>
      <c r="H526" s="67">
        <f>VLOOKUP(D526,'FDE 10-23 '!$A$4:$E$3180,5,0)</f>
        <v>141.96</v>
      </c>
      <c r="I526" s="92">
        <f>$L$10</f>
        <v>0.23</v>
      </c>
      <c r="J526" s="67">
        <f>ROUND(H526*(1+I526),2)</f>
        <v>174.61</v>
      </c>
      <c r="K526" s="71">
        <f>SUM(G526*J526)</f>
        <v>2095.3200000000002</v>
      </c>
      <c r="L526" s="51"/>
      <c r="M526" s="52"/>
      <c r="N526" s="25"/>
      <c r="O526" s="25"/>
    </row>
    <row r="527" spans="1:15" ht="30" customHeight="1" outlineLevel="1">
      <c r="A527" s="25"/>
      <c r="B527" s="61"/>
      <c r="C527" s="62" t="s">
        <v>26</v>
      </c>
      <c r="D527" s="63" t="s">
        <v>1125</v>
      </c>
      <c r="E527" s="64" t="str">
        <f>IFERROR(UPPER(IF(C527="CPU",VLOOKUP(D527,#REF!,2,0),IF(C527="SINAPI",VLOOKUP(D527,#REF!,2,0),IF(C527="EDIF",VLOOKUP(D527,#REF!,2,0),IF(C527="CDHU",VLOOKUP(D527,#REF!,2,0),IF(C527="FDE",VLOOKUP(D527,'FDE 10-23 '!$A$4:$E$3180,2,0),IF(C527="INFRA",VLOOKUP(D527,#REF!,2,0),""))))))),"")</f>
        <v>SI-11 SINALIZAÇÃO HORIZONTAL PARA VAGA ACESSIVEL</v>
      </c>
      <c r="F527" s="65" t="str">
        <f>VLOOKUP(D527,'FDE 10-23 '!$A$4:$E$3180,3,0)</f>
        <v>UN</v>
      </c>
      <c r="G527" s="66">
        <v>2</v>
      </c>
      <c r="H527" s="67">
        <f>VLOOKUP(D527,'FDE 10-23 '!$A$4:$E$3180,5,0)</f>
        <v>333.97</v>
      </c>
      <c r="I527" s="92">
        <f>$L$10</f>
        <v>0.23</v>
      </c>
      <c r="J527" s="67">
        <f>ROUND(H527*(1+I527),2)</f>
        <v>410.78</v>
      </c>
      <c r="K527" s="71">
        <f>SUM(G527*J527)</f>
        <v>821.56</v>
      </c>
      <c r="L527" s="51"/>
      <c r="M527" s="52"/>
      <c r="N527" s="25"/>
      <c r="O527" s="25"/>
    </row>
    <row r="528" spans="1:15" ht="30" customHeight="1" outlineLevel="1">
      <c r="A528" s="25"/>
      <c r="B528" s="61"/>
      <c r="C528" s="62" t="s">
        <v>26</v>
      </c>
      <c r="D528" s="63" t="s">
        <v>1127</v>
      </c>
      <c r="E528" s="64" t="str">
        <f>IFERROR(UPPER(IF(C528="CPU",VLOOKUP(D528,#REF!,2,0),IF(C528="SINAPI",VLOOKUP(D528,#REF!,2,0),IF(C528="EDIF",VLOOKUP(D528,#REF!,2,0),IF(C528="CDHU",VLOOKUP(D528,#REF!,2,0),IF(C528="FDE",VLOOKUP(D528,'FDE 10-23 '!$A$4:$E$3180,2,0),IF(C528="INFRA",VLOOKUP(D528,#REF!,2,0),""))))))),"")</f>
        <v>SI-12 TOTEM DE IDENTIFICAÇÃO</v>
      </c>
      <c r="F528" s="65" t="str">
        <f>VLOOKUP(D528,'FDE 10-23 '!$A$4:$E$3180,3,0)</f>
        <v>UN</v>
      </c>
      <c r="G528" s="66">
        <v>1</v>
      </c>
      <c r="H528" s="67">
        <f>VLOOKUP(D528,'FDE 10-23 '!$A$4:$E$3180,5,0)</f>
        <v>11952.29</v>
      </c>
      <c r="I528" s="92">
        <f>$L$10</f>
        <v>0.23</v>
      </c>
      <c r="J528" s="67">
        <f>ROUND(H528*(1+I528),2)</f>
        <v>14701.32</v>
      </c>
      <c r="K528" s="71">
        <f>SUM(G528*J528)</f>
        <v>14701.32</v>
      </c>
      <c r="L528" s="51"/>
      <c r="M528" s="52"/>
      <c r="N528" s="25"/>
      <c r="O528" s="25"/>
    </row>
    <row r="529" spans="1:15" ht="30" customHeight="1" outlineLevel="1">
      <c r="A529" s="25"/>
      <c r="B529" s="53"/>
      <c r="C529" s="54"/>
      <c r="D529" s="54" t="s">
        <v>1129</v>
      </c>
      <c r="E529" s="55" t="s">
        <v>1130</v>
      </c>
      <c r="F529" s="56" t="str">
        <f>IFERROR(UPPER(IF(C529="CPU",VLOOKUP(D529,#REF!,3,0),IF(C529="SINAPI",VLOOKUP(D529,#REF!,3,0),IF(C529="EDIF",VLOOKUP(D529,#REF!,3,0),IF(C529="CDHU",VLOOKUP(D529,#REF!,3,0),IF(C529="FDE",VLOOKUP(D529,#REF!,3,0),IF(C529="INFRA",VLOOKUP(D529,#REF!,3,0),""))))))),"")</f>
        <v/>
      </c>
      <c r="G529" s="57"/>
      <c r="H529" s="58" t="str">
        <f>IFERROR(IF(#REF!="CPU",VLOOKUP(#REF!,#REF!,4,0),IF(#REF!="SINAPI",VLOOKUP(#REF!,#REF!,5,0),IF(#REF!="EDIF",VLOOKUP(#REF!,#REF!,4,0),IF(#REF!="CDHU",VLOOKUP(#REF!,#REF!,6,0),IF(#REF!="FDE",VLOOKUP(#REF!,#REF!,4,0),IF(#REF!="INFRA",VLOOKUP(#REF!,#REF!,4,0),"")))))),"")</f>
        <v/>
      </c>
      <c r="I529" s="59"/>
      <c r="J529" s="59"/>
      <c r="K529" s="82">
        <f>SUBTOTAL(9,K530)</f>
        <v>3790.08</v>
      </c>
      <c r="L529" s="51"/>
      <c r="M529" s="52"/>
      <c r="N529" s="25"/>
      <c r="O529" s="25"/>
    </row>
    <row r="530" spans="1:15" ht="30" customHeight="1" outlineLevel="1">
      <c r="A530" s="25"/>
      <c r="B530" s="61"/>
      <c r="C530" s="62" t="s">
        <v>26</v>
      </c>
      <c r="D530" s="63" t="s">
        <v>1132</v>
      </c>
      <c r="E530" s="64" t="str">
        <f>IFERROR(UPPER(IF(C530="CPU",VLOOKUP(D530,#REF!,2,0),IF(C530="SINAPI",VLOOKUP(D530,#REF!,2,0),IF(C530="EDIF",VLOOKUP(D530,#REF!,2,0),IF(C530="CDHU",VLOOKUP(D530,#REF!,2,0),IF(C530="FDE",VLOOKUP(D530,'FDE 10-23 '!$A$4:$E$3180,2,0),IF(C530="INFRA",VLOOKUP(D530,#REF!,2,0),""))))))),"")</f>
        <v>FUROS EM CONCRETO COM D=3/4" E PROFUNDIDADE 15CM</v>
      </c>
      <c r="F530" s="65" t="str">
        <f>VLOOKUP(D530,'FDE 10-23 '!$A$4:$E$3180,3,0)</f>
        <v>UN</v>
      </c>
      <c r="G530" s="66">
        <v>128</v>
      </c>
      <c r="H530" s="67">
        <f>VLOOKUP(D530,'FDE 10-23 '!$A$4:$E$3180,5,0)</f>
        <v>24.07</v>
      </c>
      <c r="I530" s="92">
        <f>$L$10</f>
        <v>0.23</v>
      </c>
      <c r="J530" s="67">
        <f>ROUND(H530*(1+I530),2)</f>
        <v>29.61</v>
      </c>
      <c r="K530" s="71">
        <f>SUM(G530*J530)</f>
        <v>3790.08</v>
      </c>
      <c r="L530" s="51"/>
      <c r="M530" s="52"/>
      <c r="N530" s="25"/>
      <c r="O530" s="25"/>
    </row>
    <row r="531" spans="1:15" ht="30" customHeight="1" outlineLevel="1">
      <c r="A531" s="25"/>
      <c r="B531" s="53"/>
      <c r="C531" s="54"/>
      <c r="D531" s="54" t="s">
        <v>1134</v>
      </c>
      <c r="E531" s="55" t="s">
        <v>1135</v>
      </c>
      <c r="F531" s="56" t="str">
        <f>IFERROR(UPPER(IF(C531="CPU",VLOOKUP(D531,#REF!,3,0),IF(C531="SINAPI",VLOOKUP(D531,#REF!,3,0),IF(C531="EDIF",VLOOKUP(D531,#REF!,3,0),IF(C531="CDHU",VLOOKUP(D531,#REF!,3,0),IF(C531="FDE",VLOOKUP(D531,#REF!,3,0),IF(C531="INFRA",VLOOKUP(D531,#REF!,3,0),""))))))),"")</f>
        <v/>
      </c>
      <c r="G531" s="57"/>
      <c r="H531" s="58"/>
      <c r="I531" s="59"/>
      <c r="J531" s="59"/>
      <c r="K531" s="82">
        <f>SUBTOTAL(9,K532)</f>
        <v>18069.93</v>
      </c>
      <c r="L531" s="51"/>
      <c r="M531" s="52"/>
      <c r="N531" s="25"/>
      <c r="O531" s="25"/>
    </row>
    <row r="532" spans="1:15" ht="30" customHeight="1" outlineLevel="1">
      <c r="A532" s="25"/>
      <c r="B532" s="61"/>
      <c r="C532" s="62" t="s">
        <v>26</v>
      </c>
      <c r="D532" s="63" t="s">
        <v>1137</v>
      </c>
      <c r="E532" s="64" t="str">
        <f>IFERROR(UPPER(IF(C532="CPU",VLOOKUP(D532,#REF!,2,0),IF(C532="SINAPI",VLOOKUP(D532,#REF!,2,0),IF(C532="EDIF",VLOOKUP(D532,#REF!,2,0),IF(C532="CDHU",VLOOKUP(D532,#REF!,2,0),IF(C532="FDE",VLOOKUP(D532,'FDE 10-23 '!$A$4:$E$3180,2,0),IF(C532="INFRA",VLOOKUP(D532,#REF!,2,0),""))))))),"")</f>
        <v>APARELHO DE APOIO DE NEOPRENE FRETADO</v>
      </c>
      <c r="F532" s="65" t="str">
        <f>VLOOKUP(D532,'FDE 10-23 '!$A$4:$E$3180,3,0)</f>
        <v>D3</v>
      </c>
      <c r="G532" s="66">
        <v>83</v>
      </c>
      <c r="H532" s="67">
        <f>VLOOKUP(D532,'FDE 10-23 '!$A$4:$E$3180,5,0)</f>
        <v>177</v>
      </c>
      <c r="I532" s="92">
        <f>$L$10</f>
        <v>0.23</v>
      </c>
      <c r="J532" s="67">
        <f>ROUND(H532*(1+I532),2)</f>
        <v>217.71</v>
      </c>
      <c r="K532" s="71">
        <f>SUM(G532*J532)</f>
        <v>18069.93</v>
      </c>
      <c r="L532" s="51"/>
      <c r="M532" s="52"/>
      <c r="N532" s="25"/>
      <c r="O532" s="25"/>
    </row>
    <row r="533" spans="1:15" ht="30" customHeight="1" outlineLevel="1">
      <c r="A533" s="25"/>
      <c r="B533" s="61"/>
      <c r="C533" s="62"/>
      <c r="D533" s="63"/>
      <c r="E533" s="64"/>
      <c r="F533" s="65"/>
      <c r="G533" s="66"/>
      <c r="H533" s="67"/>
      <c r="I533" s="67"/>
      <c r="J533" s="67"/>
      <c r="K533" s="71"/>
      <c r="L533" s="51"/>
      <c r="M533" s="52"/>
      <c r="N533" s="25"/>
      <c r="O533" s="25"/>
    </row>
    <row r="534" spans="1:15" ht="36.75" customHeight="1">
      <c r="B534" s="72" t="str">
        <f>IFERROR(UPPER(IF(C534="CPU",VLOOKUP(D534,#REF!,2,0),IF(C534="SINAPI",VLOOKUP(D534,#REF!,2,0),IF(C534="EDIF",VLOOKUP(D534,#REF!,2,0),IF(C534="CPOS",VLOOKUP(D534,#REF!,3,0),IF(C534="FDE",VLOOKUP(D534,#REF!,2,0),IF(C534="INFRA",VLOOKUP(D534,#REF!,2,0),""))))))),"")</f>
        <v/>
      </c>
      <c r="C534" s="73"/>
      <c r="D534" s="73"/>
      <c r="E534" s="73"/>
      <c r="F534" s="73"/>
      <c r="G534" s="74"/>
      <c r="H534" s="1" t="s">
        <v>1138</v>
      </c>
      <c r="I534" s="1"/>
      <c r="J534" s="1"/>
      <c r="K534" s="77">
        <f>K536/1.23</f>
        <v>8631014.880975619</v>
      </c>
    </row>
    <row r="535" spans="1:15" ht="36.75" customHeight="1">
      <c r="B535" s="7" t="str">
        <f>IFERROR(UPPER(IF(C535="CPU",VLOOKUP(D535,#REF!,2,0),IF(C535="SINAPI",VLOOKUP(D535,#REF!,2,0),IF(C535="EDIF",VLOOKUP(D535,#REF!,2,0),IF(C535="CPOS",VLOOKUP(D535,#REF!,3,0),IF(C535="FDE",VLOOKUP(D535,#REF!,2,0),IF(C535="INFRA",VLOOKUP(D535,#REF!,2,0),""))))))),"")</f>
        <v/>
      </c>
      <c r="C535" s="7"/>
      <c r="D535" s="7"/>
      <c r="E535" s="7"/>
      <c r="F535" s="7"/>
      <c r="G535" s="7"/>
      <c r="H535" s="1" t="s">
        <v>1139</v>
      </c>
      <c r="I535" s="1"/>
      <c r="J535" s="1"/>
      <c r="K535" s="77">
        <f>K536-K534</f>
        <v>1985133.4226243924</v>
      </c>
    </row>
    <row r="536" spans="1:15" ht="36.75" customHeight="1">
      <c r="B536" s="7" t="str">
        <f>IFERROR(UPPER(IF(C536="CPU",VLOOKUP(D536,#REF!,2,0),IF(C536="SINAPI",VLOOKUP(D536,#REF!,2,0),IF(C536="EDIF",VLOOKUP(D536,#REF!,2,0),IF(C536="CPOS",VLOOKUP(D536,#REF!,3,0),IF(C536="FDE",VLOOKUP(D536,#REF!,2,0),IF(C536="INFRA",VLOOKUP(D536,#REF!,2,0),""))))))),"")</f>
        <v/>
      </c>
      <c r="C536" s="7"/>
      <c r="D536" s="7"/>
      <c r="E536" s="7"/>
      <c r="F536" s="7"/>
      <c r="G536" s="7"/>
      <c r="H536" s="1" t="s">
        <v>1140</v>
      </c>
      <c r="I536" s="1"/>
      <c r="J536" s="1"/>
      <c r="K536" s="77">
        <f>SUBTOTAL(9,K11:K533)</f>
        <v>10616148.303600011</v>
      </c>
    </row>
    <row r="540" spans="1:15">
      <c r="J540" s="20" t="s">
        <v>1165</v>
      </c>
      <c r="K540" s="20">
        <v>11496536.727499999</v>
      </c>
    </row>
    <row r="541" spans="1:15">
      <c r="K541" s="20">
        <f>K540-K536</f>
        <v>880388.42389998771</v>
      </c>
    </row>
  </sheetData>
  <autoFilter ref="B10:K535" xr:uid="{00000000-0009-0000-0000-000002000000}"/>
  <mergeCells count="16">
    <mergeCell ref="H534:J534"/>
    <mergeCell ref="B535:G535"/>
    <mergeCell ref="H535:J535"/>
    <mergeCell ref="B536:G536"/>
    <mergeCell ref="H536:J536"/>
    <mergeCell ref="B6:C6"/>
    <mergeCell ref="D6:K6"/>
    <mergeCell ref="B7:C7"/>
    <mergeCell ref="D7:K7"/>
    <mergeCell ref="B8:C8"/>
    <mergeCell ref="D8:K8"/>
    <mergeCell ref="B1:K3"/>
    <mergeCell ref="B4:C4"/>
    <mergeCell ref="D4:K4"/>
    <mergeCell ref="B5:C5"/>
    <mergeCell ref="D5:K5"/>
  </mergeCells>
  <printOptions horizontalCentered="1"/>
  <pageMargins left="0.27569444444444402" right="0.27569444444444402" top="0.59027777777777801" bottom="0.86597222222222203" header="0.511811023622047" footer="0.196527777777778"/>
  <pageSetup paperSize="9" scale="45" fitToHeight="0" orientation="portrait" horizontalDpi="300" verticalDpi="300" r:id="rId1"/>
  <headerFooter>
    <oddFooter>&amp;C&amp;P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J69"/>
  <sheetViews>
    <sheetView view="pageBreakPreview" topLeftCell="A22" zoomScale="90" zoomScaleNormal="70" zoomScalePageLayoutView="90" workbookViewId="0">
      <pane xSplit="2" topLeftCell="C1" activePane="topRight" state="frozen"/>
      <selection activeCell="A22" sqref="A22"/>
      <selection pane="topRight" activeCell="M60" sqref="M60"/>
    </sheetView>
  </sheetViews>
  <sheetFormatPr defaultColWidth="9.109375" defaultRowHeight="14.4"/>
  <cols>
    <col min="1" max="1" width="9.109375" style="101"/>
    <col min="2" max="2" width="42.109375" style="101" customWidth="1"/>
    <col min="3" max="3" width="10.88671875" style="101" customWidth="1"/>
    <col min="4" max="4" width="26.33203125" style="101" customWidth="1"/>
    <col min="5" max="5" width="12.109375" style="101" customWidth="1"/>
    <col min="6" max="6" width="13.88671875" style="101" customWidth="1"/>
    <col min="7" max="7" width="10.88671875" style="101" customWidth="1"/>
    <col min="8" max="34" width="12.109375" style="101" customWidth="1"/>
    <col min="35" max="35" width="26.109375" style="101" customWidth="1"/>
    <col min="36" max="36" width="22.5546875" style="101" customWidth="1"/>
    <col min="37" max="16384" width="9.109375" style="101"/>
  </cols>
  <sheetData>
    <row r="1" spans="1:36" ht="15.6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3"/>
    </row>
    <row r="2" spans="1:36" ht="15.6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/>
      <c r="AH2" s="102"/>
      <c r="AI2" s="103"/>
    </row>
    <row r="3" spans="1:36" ht="39.75" customHeight="1">
      <c r="B3" s="1239" t="s">
        <v>1166</v>
      </c>
      <c r="C3" s="1239"/>
      <c r="D3" s="1239"/>
      <c r="E3" s="1239"/>
      <c r="F3" s="1239"/>
      <c r="G3" s="1239"/>
      <c r="H3" s="1239"/>
      <c r="I3" s="1239"/>
      <c r="J3" s="1239"/>
      <c r="K3" s="1239"/>
      <c r="L3" s="1239"/>
      <c r="M3" s="1239"/>
      <c r="N3" s="1239"/>
      <c r="O3" s="1239"/>
      <c r="P3" s="104"/>
    </row>
    <row r="4" spans="1:36" ht="39.75" customHeight="1">
      <c r="B4" s="1239"/>
      <c r="C4" s="1239"/>
      <c r="D4" s="1239"/>
      <c r="E4" s="1239"/>
      <c r="F4" s="1239"/>
      <c r="G4" s="1239"/>
      <c r="H4" s="1239"/>
      <c r="I4" s="1239"/>
      <c r="J4" s="1239"/>
      <c r="K4" s="1239"/>
      <c r="L4" s="1239"/>
      <c r="M4" s="1239"/>
      <c r="N4" s="1239"/>
      <c r="O4" s="1239"/>
      <c r="P4" s="104"/>
    </row>
    <row r="5" spans="1:36" ht="39.75" customHeight="1">
      <c r="B5" s="1239"/>
      <c r="C5" s="1239"/>
      <c r="D5" s="1239"/>
      <c r="E5" s="1239"/>
      <c r="F5" s="1239"/>
      <c r="G5" s="1239"/>
      <c r="H5" s="1239"/>
      <c r="I5" s="1239"/>
      <c r="J5" s="1239"/>
      <c r="K5" s="1239"/>
      <c r="L5" s="1239"/>
      <c r="M5" s="1239"/>
      <c r="N5" s="1239"/>
      <c r="O5" s="1239"/>
      <c r="P5" s="104"/>
    </row>
    <row r="6" spans="1:36" ht="18" customHeight="1">
      <c r="B6" s="105" t="s">
        <v>1167</v>
      </c>
      <c r="C6" s="1240" t="str">
        <f>'ORÇ Atualizado'!D4</f>
        <v>REMANESCENTE DE OBRA PARA CONSTRUÇÃO DA ESCOLA ESTADUAL DO PARQUE RESIDENCIAL PORTO BELO</v>
      </c>
      <c r="D6" s="1240"/>
      <c r="E6" s="1240"/>
      <c r="F6" s="1240"/>
      <c r="G6" s="1240"/>
      <c r="H6" s="1240"/>
      <c r="I6" s="1240"/>
      <c r="J6" s="1240"/>
      <c r="K6" s="1240"/>
      <c r="L6" s="1240"/>
      <c r="M6" s="1240"/>
      <c r="N6" s="1240"/>
      <c r="O6" s="1240"/>
      <c r="P6" s="106"/>
    </row>
    <row r="7" spans="1:36" ht="18" customHeight="1">
      <c r="B7" s="105" t="s">
        <v>1168</v>
      </c>
      <c r="C7" s="1241" t="str">
        <f>'ORÇ Atualizado'!D5</f>
        <v>RUA JOSÉ GOMES, PARQUE RESIDENCIAL PORTO BELO</v>
      </c>
      <c r="D7" s="1241"/>
      <c r="E7" s="1241"/>
      <c r="F7" s="1241"/>
      <c r="G7" s="1241"/>
      <c r="H7" s="1241"/>
      <c r="I7" s="1241"/>
      <c r="J7" s="1241"/>
      <c r="K7" s="1241"/>
      <c r="L7" s="1241"/>
      <c r="M7" s="1241"/>
      <c r="N7" s="1241"/>
      <c r="O7" s="1240"/>
      <c r="P7" s="106"/>
    </row>
    <row r="8" spans="1:36" ht="18" customHeight="1">
      <c r="B8" s="105" t="s">
        <v>17</v>
      </c>
      <c r="C8" s="1242">
        <f>'ORÇ Atualizado'!D8</f>
        <v>0.23</v>
      </c>
      <c r="D8" s="1242"/>
      <c r="E8" s="1242"/>
      <c r="F8" s="1242"/>
      <c r="G8" s="1242"/>
      <c r="H8" s="1242"/>
      <c r="I8" s="1242"/>
      <c r="J8" s="1242"/>
      <c r="K8" s="1242"/>
      <c r="L8" s="1242"/>
      <c r="M8" s="1242"/>
      <c r="N8" s="1242"/>
      <c r="O8" s="1240"/>
      <c r="P8" s="106"/>
    </row>
    <row r="9" spans="1:36" ht="15.6">
      <c r="A9" s="102"/>
      <c r="B9" s="10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102"/>
      <c r="Y9" s="102"/>
      <c r="Z9" s="102"/>
      <c r="AA9" s="102"/>
      <c r="AB9" s="102"/>
      <c r="AC9" s="102"/>
      <c r="AD9" s="102"/>
      <c r="AE9" s="102"/>
      <c r="AF9" s="102"/>
      <c r="AG9" s="102"/>
      <c r="AH9" s="102"/>
      <c r="AI9" s="103"/>
    </row>
    <row r="10" spans="1:36" ht="15.6">
      <c r="A10" s="102"/>
      <c r="B10" s="102"/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3"/>
    </row>
    <row r="11" spans="1:36" ht="17.399999999999999">
      <c r="A11" s="107" t="s">
        <v>1169</v>
      </c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/>
    </row>
    <row r="12" spans="1:36">
      <c r="A12" s="108"/>
      <c r="B12" s="108"/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9"/>
    </row>
    <row r="13" spans="1:36" ht="27" customHeight="1">
      <c r="A13" s="1243" t="s">
        <v>10</v>
      </c>
      <c r="B13" s="1244" t="s">
        <v>1170</v>
      </c>
      <c r="C13" s="1245" t="s">
        <v>1171</v>
      </c>
      <c r="D13" s="1246" t="s">
        <v>1172</v>
      </c>
      <c r="E13" s="1247" t="s">
        <v>1173</v>
      </c>
      <c r="F13" s="1247"/>
      <c r="G13" s="110"/>
      <c r="H13" s="1247" t="s">
        <v>1174</v>
      </c>
      <c r="I13" s="1247"/>
      <c r="J13" s="110"/>
      <c r="K13" s="1247" t="s">
        <v>1175</v>
      </c>
      <c r="L13" s="1247"/>
      <c r="M13" s="110"/>
      <c r="N13" s="1247" t="s">
        <v>1176</v>
      </c>
      <c r="O13" s="1247"/>
      <c r="P13" s="110"/>
      <c r="Q13" s="1247" t="s">
        <v>1177</v>
      </c>
      <c r="R13" s="1247"/>
      <c r="S13" s="110"/>
      <c r="T13" s="1247" t="s">
        <v>1178</v>
      </c>
      <c r="U13" s="1247"/>
      <c r="V13" s="110"/>
      <c r="W13" s="1247" t="s">
        <v>1179</v>
      </c>
      <c r="X13" s="1247"/>
      <c r="Y13" s="110"/>
      <c r="Z13" s="1247" t="s">
        <v>1180</v>
      </c>
      <c r="AA13" s="1247"/>
      <c r="AB13" s="110"/>
      <c r="AC13" s="1247" t="s">
        <v>1181</v>
      </c>
      <c r="AD13" s="1247"/>
      <c r="AE13" s="110"/>
      <c r="AF13" s="1247" t="s">
        <v>1182</v>
      </c>
      <c r="AG13" s="1247"/>
      <c r="AH13" s="110"/>
      <c r="AI13" s="111" t="s">
        <v>1140</v>
      </c>
    </row>
    <row r="14" spans="1:36">
      <c r="A14" s="1243"/>
      <c r="B14" s="1244"/>
      <c r="C14" s="1245"/>
      <c r="D14" s="1246"/>
      <c r="E14" s="1248"/>
      <c r="F14" s="1248"/>
      <c r="G14" s="112"/>
      <c r="H14" s="1248"/>
      <c r="I14" s="1248"/>
      <c r="J14" s="112"/>
      <c r="K14" s="1248"/>
      <c r="L14" s="1248"/>
      <c r="M14" s="112"/>
      <c r="N14" s="1248"/>
      <c r="O14" s="1248"/>
      <c r="P14" s="112"/>
      <c r="Q14" s="1248"/>
      <c r="R14" s="1248"/>
      <c r="S14" s="112"/>
      <c r="T14" s="1249"/>
      <c r="U14" s="1249"/>
      <c r="V14" s="112"/>
      <c r="W14" s="1249"/>
      <c r="X14" s="1249"/>
      <c r="Y14" s="112"/>
      <c r="Z14" s="1249"/>
      <c r="AA14" s="1249"/>
      <c r="AB14" s="112"/>
      <c r="AC14" s="1249"/>
      <c r="AD14" s="1249"/>
      <c r="AE14" s="112"/>
      <c r="AF14" s="1249"/>
      <c r="AG14" s="1249"/>
      <c r="AH14" s="112"/>
      <c r="AI14" s="113"/>
    </row>
    <row r="15" spans="1:36" ht="20.25" customHeight="1">
      <c r="A15" s="114"/>
      <c r="B15" s="115"/>
      <c r="C15" s="116"/>
      <c r="D15" s="117"/>
      <c r="E15" s="118"/>
      <c r="F15" s="119"/>
      <c r="G15" s="120"/>
      <c r="H15" s="118"/>
      <c r="I15" s="119"/>
      <c r="J15" s="120"/>
      <c r="K15" s="118"/>
      <c r="L15" s="119"/>
      <c r="M15" s="120"/>
      <c r="N15" s="118"/>
      <c r="O15" s="119"/>
      <c r="P15" s="120"/>
      <c r="Q15" s="118"/>
      <c r="R15" s="119"/>
      <c r="S15" s="120"/>
      <c r="T15" s="118"/>
      <c r="U15" s="119"/>
      <c r="V15" s="120"/>
      <c r="W15" s="118"/>
      <c r="X15" s="119"/>
      <c r="Y15" s="120"/>
      <c r="Z15" s="118"/>
      <c r="AA15" s="119"/>
      <c r="AB15" s="120"/>
      <c r="AC15" s="118"/>
      <c r="AD15" s="119"/>
      <c r="AE15" s="120"/>
      <c r="AF15" s="118"/>
      <c r="AG15" s="119"/>
      <c r="AH15" s="120"/>
      <c r="AI15" s="121"/>
    </row>
    <row r="16" spans="1:36" ht="15" customHeight="1">
      <c r="A16" s="1250">
        <v>1</v>
      </c>
      <c r="B16" s="1251" t="str">
        <f>VLOOKUP(A16,'ORÇ Atualizado'!$B$10:$K$531,4,1)</f>
        <v>SERVICOS PRELIMINARES</v>
      </c>
      <c r="C16" s="1252">
        <f>D16/$D$54</f>
        <v>0</v>
      </c>
      <c r="D16" s="1253">
        <f>VLOOKUP(A16,'ORÇ ATUAL MEMÓRIA'!$B$11:$K$534,10,1)</f>
        <v>0</v>
      </c>
      <c r="E16" s="1254"/>
      <c r="F16" s="1254"/>
      <c r="G16" s="122"/>
      <c r="H16" s="1254"/>
      <c r="I16" s="1254"/>
      <c r="J16" s="122"/>
      <c r="K16" s="1254"/>
      <c r="L16" s="1254"/>
      <c r="M16" s="122"/>
      <c r="N16" s="1254"/>
      <c r="O16" s="1254"/>
      <c r="P16" s="122"/>
      <c r="Q16" s="1254"/>
      <c r="R16" s="1254"/>
      <c r="S16" s="122"/>
      <c r="T16" s="1254"/>
      <c r="U16" s="1254"/>
      <c r="V16" s="122"/>
      <c r="W16" s="1254"/>
      <c r="X16" s="1254"/>
      <c r="Y16" s="122"/>
      <c r="Z16" s="1254"/>
      <c r="AA16" s="1254"/>
      <c r="AB16" s="122"/>
      <c r="AC16" s="1254"/>
      <c r="AD16" s="1254"/>
      <c r="AE16" s="122"/>
      <c r="AF16" s="1254"/>
      <c r="AG16" s="1254"/>
      <c r="AH16" s="122"/>
      <c r="AI16" s="123"/>
      <c r="AJ16" s="124">
        <f>AI16-D16</f>
        <v>0</v>
      </c>
    </row>
    <row r="17" spans="1:36" ht="15" customHeight="1">
      <c r="A17" s="1250"/>
      <c r="B17" s="1251"/>
      <c r="C17" s="1252"/>
      <c r="D17" s="1253"/>
      <c r="E17" s="125"/>
      <c r="F17" s="126"/>
      <c r="G17" s="127"/>
      <c r="H17" s="125"/>
      <c r="I17" s="126"/>
      <c r="J17" s="127"/>
      <c r="K17" s="125"/>
      <c r="L17" s="126"/>
      <c r="M17" s="127"/>
      <c r="N17" s="125"/>
      <c r="O17" s="126"/>
      <c r="P17" s="127"/>
      <c r="Q17" s="125"/>
      <c r="R17" s="126"/>
      <c r="S17" s="127"/>
      <c r="T17" s="125"/>
      <c r="U17" s="126"/>
      <c r="V17" s="127"/>
      <c r="W17" s="125"/>
      <c r="X17" s="126"/>
      <c r="Y17" s="127"/>
      <c r="Z17" s="125"/>
      <c r="AA17" s="126"/>
      <c r="AB17" s="127"/>
      <c r="AC17" s="125"/>
      <c r="AD17" s="126"/>
      <c r="AE17" s="127"/>
      <c r="AF17" s="125"/>
      <c r="AG17" s="126"/>
      <c r="AH17" s="127"/>
      <c r="AI17" s="128"/>
      <c r="AJ17" s="124"/>
    </row>
    <row r="18" spans="1:36" ht="15" customHeight="1">
      <c r="A18" s="1255">
        <v>2</v>
      </c>
      <c r="B18" s="1251" t="str">
        <f>VLOOKUP(A18,'ORÇ Atualizado'!B12:K533,4,1)</f>
        <v>INFRA ESTRUTURA</v>
      </c>
      <c r="C18" s="1252">
        <f>D18/$D$54</f>
        <v>9.8565052062880073E-3</v>
      </c>
      <c r="D18" s="1253">
        <f>VLOOKUP(A18,'ORÇ ATUAL MEMÓRIA'!$B$11:$K$531,10,1)</f>
        <v>103250.34315</v>
      </c>
      <c r="E18" s="1254">
        <f>D18*0.4</f>
        <v>41300.137260000003</v>
      </c>
      <c r="F18" s="1254"/>
      <c r="G18" s="122">
        <f>E18/$D18</f>
        <v>0.4</v>
      </c>
      <c r="H18" s="1254">
        <f>$D18*0.6</f>
        <v>61950.205889999997</v>
      </c>
      <c r="I18" s="1254"/>
      <c r="J18" s="122">
        <f>H18/$D18</f>
        <v>0.6</v>
      </c>
      <c r="K18" s="1254"/>
      <c r="L18" s="1254"/>
      <c r="M18" s="122">
        <f>K18/$D18</f>
        <v>0</v>
      </c>
      <c r="N18" s="1256"/>
      <c r="O18" s="1256"/>
      <c r="P18" s="122">
        <f>N18/$D18</f>
        <v>0</v>
      </c>
      <c r="Q18" s="1256"/>
      <c r="R18" s="1256"/>
      <c r="S18" s="122">
        <f>Q18/$D18</f>
        <v>0</v>
      </c>
      <c r="T18" s="1256"/>
      <c r="U18" s="1256"/>
      <c r="V18" s="122">
        <f>T18/$D18</f>
        <v>0</v>
      </c>
      <c r="W18" s="1256"/>
      <c r="X18" s="1256"/>
      <c r="Y18" s="122">
        <f>W18/$D18</f>
        <v>0</v>
      </c>
      <c r="Z18" s="1256"/>
      <c r="AA18" s="1256"/>
      <c r="AB18" s="122">
        <f>Z18/$D18</f>
        <v>0</v>
      </c>
      <c r="AC18" s="1256"/>
      <c r="AD18" s="1256"/>
      <c r="AE18" s="122">
        <f>AC18/$D18</f>
        <v>0</v>
      </c>
      <c r="AF18" s="1256"/>
      <c r="AG18" s="1256"/>
      <c r="AH18" s="122">
        <f>AF18/$D18</f>
        <v>0</v>
      </c>
      <c r="AI18" s="123">
        <f>E18+H18+K18+N18+Q18+T18+W18+Z18+AC18+AF18</f>
        <v>103250.34315</v>
      </c>
      <c r="AJ18" s="124">
        <f>AI18-D18</f>
        <v>0</v>
      </c>
    </row>
    <row r="19" spans="1:36" ht="15" customHeight="1">
      <c r="A19" s="1255"/>
      <c r="B19" s="1251"/>
      <c r="C19" s="1252"/>
      <c r="D19" s="1253"/>
      <c r="E19" s="129"/>
      <c r="F19" s="130"/>
      <c r="G19" s="127"/>
      <c r="H19" s="129"/>
      <c r="I19" s="130"/>
      <c r="J19" s="127"/>
      <c r="K19" s="125"/>
      <c r="L19" s="126"/>
      <c r="M19" s="127"/>
      <c r="N19" s="125"/>
      <c r="O19" s="126"/>
      <c r="P19" s="127"/>
      <c r="Q19" s="125"/>
      <c r="R19" s="126"/>
      <c r="S19" s="127"/>
      <c r="T19" s="125"/>
      <c r="U19" s="126"/>
      <c r="V19" s="127"/>
      <c r="W19" s="125"/>
      <c r="X19" s="126"/>
      <c r="Y19" s="127"/>
      <c r="Z19" s="125"/>
      <c r="AA19" s="126"/>
      <c r="AB19" s="127"/>
      <c r="AC19" s="125"/>
      <c r="AD19" s="126"/>
      <c r="AE19" s="127"/>
      <c r="AF19" s="125"/>
      <c r="AG19" s="126"/>
      <c r="AH19" s="127"/>
      <c r="AI19" s="128">
        <f>G18+J18+M18+P18+S18+AH18+V18+Y18+AB18+AE18</f>
        <v>1</v>
      </c>
      <c r="AJ19" s="124"/>
    </row>
    <row r="20" spans="1:36" ht="15" customHeight="1">
      <c r="A20" s="1255">
        <v>3</v>
      </c>
      <c r="B20" s="1251" t="str">
        <f>VLOOKUP(A20,'ORÇ Atualizado'!B14:K535,4,1)</f>
        <v>SUPER ESTRUTURA</v>
      </c>
      <c r="C20" s="1252">
        <f>D20/$D$54</f>
        <v>0.32683852700436755</v>
      </c>
      <c r="D20" s="1253">
        <f>VLOOKUP(A20,'ORÇ ATUAL MEMÓRIA'!$B$11:$K$531,10,1)</f>
        <v>3423748.0081999996</v>
      </c>
      <c r="E20" s="1256"/>
      <c r="F20" s="1256"/>
      <c r="G20" s="122">
        <f>E20/$D20</f>
        <v>0</v>
      </c>
      <c r="H20" s="1256">
        <f>D20*0.1</f>
        <v>342374.80082</v>
      </c>
      <c r="I20" s="1256"/>
      <c r="J20" s="122">
        <f>H20/$D20</f>
        <v>0.10000000000000002</v>
      </c>
      <c r="K20" s="1256">
        <f>D20*0.5</f>
        <v>1711874.0040999998</v>
      </c>
      <c r="L20" s="1256"/>
      <c r="M20" s="122">
        <f>K20/$D20</f>
        <v>0.5</v>
      </c>
      <c r="N20" s="1256">
        <f>D20*0.4</f>
        <v>1369499.20328</v>
      </c>
      <c r="O20" s="1256"/>
      <c r="P20" s="122">
        <f>N20/$D20</f>
        <v>0.40000000000000008</v>
      </c>
      <c r="Q20" s="1256"/>
      <c r="R20" s="1256"/>
      <c r="S20" s="122">
        <f>Q20/$D20</f>
        <v>0</v>
      </c>
      <c r="T20" s="1256"/>
      <c r="U20" s="1256"/>
      <c r="V20" s="122">
        <f>T20/$D20</f>
        <v>0</v>
      </c>
      <c r="W20" s="1256"/>
      <c r="X20" s="1256"/>
      <c r="Y20" s="122">
        <f>W20/$D20</f>
        <v>0</v>
      </c>
      <c r="Z20" s="1256"/>
      <c r="AA20" s="1256"/>
      <c r="AB20" s="122">
        <f>Z20/$D20</f>
        <v>0</v>
      </c>
      <c r="AC20" s="1256"/>
      <c r="AD20" s="1256"/>
      <c r="AE20" s="122">
        <f>AC20/$D20</f>
        <v>0</v>
      </c>
      <c r="AF20" s="1256"/>
      <c r="AG20" s="1256"/>
      <c r="AH20" s="122">
        <f>AF20/$D20</f>
        <v>0</v>
      </c>
      <c r="AI20" s="123">
        <f>E20+H20+K20+N20+Q20+T20+W20+Z20+AC20+AF20</f>
        <v>3423748.0082</v>
      </c>
      <c r="AJ20" s="124">
        <f>AI20-D20</f>
        <v>0</v>
      </c>
    </row>
    <row r="21" spans="1:36" ht="15" customHeight="1">
      <c r="A21" s="1255"/>
      <c r="B21" s="1251"/>
      <c r="C21" s="1252"/>
      <c r="D21" s="1253"/>
      <c r="E21" s="125"/>
      <c r="F21" s="126"/>
      <c r="G21" s="127"/>
      <c r="H21" s="129"/>
      <c r="I21" s="130"/>
      <c r="J21" s="127"/>
      <c r="K21" s="129"/>
      <c r="L21" s="130"/>
      <c r="M21" s="127"/>
      <c r="N21" s="129"/>
      <c r="O21" s="130"/>
      <c r="P21" s="127"/>
      <c r="Q21" s="125"/>
      <c r="R21" s="126"/>
      <c r="S21" s="127"/>
      <c r="T21" s="125"/>
      <c r="U21" s="126"/>
      <c r="V21" s="127"/>
      <c r="W21" s="125"/>
      <c r="X21" s="126"/>
      <c r="Y21" s="127"/>
      <c r="Z21" s="125"/>
      <c r="AA21" s="126"/>
      <c r="AB21" s="127"/>
      <c r="AC21" s="125"/>
      <c r="AD21" s="126"/>
      <c r="AE21" s="127"/>
      <c r="AF21" s="125"/>
      <c r="AG21" s="126"/>
      <c r="AH21" s="127"/>
      <c r="AI21" s="128">
        <f>G20+J20+M20+P20+S20+AH20+V20+Y20+AB20+AE20</f>
        <v>1</v>
      </c>
      <c r="AJ21" s="124"/>
    </row>
    <row r="22" spans="1:36" ht="15" customHeight="1">
      <c r="A22" s="1255">
        <v>4</v>
      </c>
      <c r="B22" s="1251" t="str">
        <f>VLOOKUP(A22,'ORÇ Atualizado'!B16:K537,4,1)</f>
        <v>ALVENARIA E OUTROS ELEMENTOS DIVISÓRIAS</v>
      </c>
      <c r="C22" s="1257">
        <f>D22/$D$54</f>
        <v>2.7634942039029376E-2</v>
      </c>
      <c r="D22" s="1253">
        <f>VLOOKUP(A22,'ORÇ ATUAL MEMÓRIA'!$B$11:$K$531,10,1)</f>
        <v>289485.69383800006</v>
      </c>
      <c r="E22" s="1256"/>
      <c r="F22" s="1256"/>
      <c r="G22" s="122">
        <f>E22/$D22</f>
        <v>0</v>
      </c>
      <c r="H22" s="1256"/>
      <c r="I22" s="1256"/>
      <c r="J22" s="122">
        <f>H22/$D22</f>
        <v>0</v>
      </c>
      <c r="K22" s="1256"/>
      <c r="L22" s="1256"/>
      <c r="M22" s="122">
        <f>K22/$D22</f>
        <v>0</v>
      </c>
      <c r="N22" s="1256"/>
      <c r="O22" s="1256"/>
      <c r="P22" s="122">
        <f>N22/$D22</f>
        <v>0</v>
      </c>
      <c r="Q22" s="1256">
        <f>$D22*0.15</f>
        <v>43422.854075700008</v>
      </c>
      <c r="R22" s="1256"/>
      <c r="S22" s="122">
        <f>Q22/$D22</f>
        <v>0.15</v>
      </c>
      <c r="T22" s="1256">
        <f>$D22*0.45</f>
        <v>130268.56222710003</v>
      </c>
      <c r="U22" s="1256"/>
      <c r="V22" s="122">
        <f>T22/$D22</f>
        <v>0.45</v>
      </c>
      <c r="W22" s="1256">
        <f>$D22*0.4</f>
        <v>115794.27753520003</v>
      </c>
      <c r="X22" s="1256"/>
      <c r="Y22" s="122">
        <f>W22/$D22</f>
        <v>0.4</v>
      </c>
      <c r="Z22" s="1256"/>
      <c r="AA22" s="1256"/>
      <c r="AB22" s="122">
        <f>Z22/$D22</f>
        <v>0</v>
      </c>
      <c r="AC22" s="1256"/>
      <c r="AD22" s="1256"/>
      <c r="AE22" s="122">
        <f>AC22/$D22</f>
        <v>0</v>
      </c>
      <c r="AF22" s="1256"/>
      <c r="AG22" s="1256"/>
      <c r="AH22" s="122">
        <f>AF22/$D22</f>
        <v>0</v>
      </c>
      <c r="AI22" s="123">
        <f>E22+H22+K22+N22+Q22+T22+W22+Z22+AC22+AF22</f>
        <v>289485.69383800006</v>
      </c>
      <c r="AJ22" s="124">
        <f>AI22-D22</f>
        <v>0</v>
      </c>
    </row>
    <row r="23" spans="1:36" ht="15" customHeight="1">
      <c r="A23" s="1255"/>
      <c r="B23" s="1251"/>
      <c r="C23" s="1257"/>
      <c r="D23" s="1253"/>
      <c r="E23" s="125"/>
      <c r="F23" s="126"/>
      <c r="G23" s="127"/>
      <c r="H23" s="125"/>
      <c r="I23" s="126"/>
      <c r="J23" s="127"/>
      <c r="K23" s="125"/>
      <c r="L23" s="126"/>
      <c r="M23" s="127"/>
      <c r="N23" s="125"/>
      <c r="O23" s="126"/>
      <c r="P23" s="127"/>
      <c r="Q23" s="129"/>
      <c r="R23" s="130"/>
      <c r="S23" s="127"/>
      <c r="T23" s="129"/>
      <c r="U23" s="130"/>
      <c r="V23" s="127"/>
      <c r="W23" s="129"/>
      <c r="X23" s="130"/>
      <c r="Y23" s="127"/>
      <c r="Z23" s="125"/>
      <c r="AA23" s="126"/>
      <c r="AB23" s="127"/>
      <c r="AC23" s="125"/>
      <c r="AD23" s="126"/>
      <c r="AE23" s="127"/>
      <c r="AF23" s="125"/>
      <c r="AG23" s="126"/>
      <c r="AH23" s="127"/>
      <c r="AI23" s="128">
        <f>G22+J22+M22+P22+S22+AH22+V22+Y22+AB22+AE22</f>
        <v>1</v>
      </c>
      <c r="AJ23" s="124"/>
    </row>
    <row r="24" spans="1:36" ht="15" customHeight="1">
      <c r="A24" s="1255">
        <v>5</v>
      </c>
      <c r="B24" s="1251" t="str">
        <f>VLOOKUP(A24,'ORÇ Atualizado'!B18:K539,4,1)</f>
        <v>ELEMENTOS DE MADEIRA/COMPONENTES ESPECIAIS</v>
      </c>
      <c r="C24" s="1257">
        <f>D24/$D$54</f>
        <v>2.2640886359704432E-2</v>
      </c>
      <c r="D24" s="1253">
        <f>VLOOKUP(A24,'ORÇ ATUAL MEMÓRIA'!$B$11:$K$531,10,1)</f>
        <v>237171.212</v>
      </c>
      <c r="E24" s="1254"/>
      <c r="F24" s="1254"/>
      <c r="G24" s="122">
        <f>E24/$D24</f>
        <v>0</v>
      </c>
      <c r="H24" s="1254"/>
      <c r="I24" s="1254"/>
      <c r="J24" s="122">
        <f>H24/$D24</f>
        <v>0</v>
      </c>
      <c r="K24" s="1254"/>
      <c r="L24" s="1254"/>
      <c r="M24" s="122">
        <f>K24/$D24</f>
        <v>0</v>
      </c>
      <c r="N24" s="1256"/>
      <c r="O24" s="1256"/>
      <c r="P24" s="122">
        <f>N24/$D24</f>
        <v>0</v>
      </c>
      <c r="Q24" s="1256"/>
      <c r="R24" s="1256"/>
      <c r="S24" s="122">
        <f>Q24/$D24</f>
        <v>0</v>
      </c>
      <c r="T24" s="1256"/>
      <c r="U24" s="1256"/>
      <c r="V24" s="122">
        <f>T24/$D24</f>
        <v>0</v>
      </c>
      <c r="W24" s="1256">
        <f>$D24*0.15</f>
        <v>35575.681799999998</v>
      </c>
      <c r="X24" s="1256"/>
      <c r="Y24" s="122">
        <f>W24/$D24</f>
        <v>0.15</v>
      </c>
      <c r="Z24" s="1256">
        <f>$D24*0.45</f>
        <v>106727.0454</v>
      </c>
      <c r="AA24" s="1256"/>
      <c r="AB24" s="122">
        <f>Z24/$D24</f>
        <v>0.45</v>
      </c>
      <c r="AC24" s="1256">
        <f>$D24*0.4</f>
        <v>94868.484800000006</v>
      </c>
      <c r="AD24" s="1256"/>
      <c r="AE24" s="122">
        <f>AC24/$D24</f>
        <v>0.4</v>
      </c>
      <c r="AF24" s="1256"/>
      <c r="AG24" s="1256"/>
      <c r="AH24" s="122">
        <f>AF24/$D24</f>
        <v>0</v>
      </c>
      <c r="AI24" s="123">
        <f>E24+H24+K24+N24+Q24+T24+W24+Z24+AC24+AF24</f>
        <v>237171.212</v>
      </c>
      <c r="AJ24" s="124">
        <f>AI24-D24</f>
        <v>0</v>
      </c>
    </row>
    <row r="25" spans="1:36" ht="15" customHeight="1">
      <c r="A25" s="1255"/>
      <c r="B25" s="1251"/>
      <c r="C25" s="1257"/>
      <c r="D25" s="1253"/>
      <c r="E25" s="125"/>
      <c r="F25" s="126"/>
      <c r="G25" s="127"/>
      <c r="H25" s="125"/>
      <c r="I25" s="126"/>
      <c r="J25" s="127"/>
      <c r="K25" s="125"/>
      <c r="L25" s="126"/>
      <c r="M25" s="127"/>
      <c r="N25" s="125"/>
      <c r="O25" s="126"/>
      <c r="P25" s="127"/>
      <c r="Q25" s="125"/>
      <c r="R25" s="126"/>
      <c r="S25" s="127"/>
      <c r="T25" s="125"/>
      <c r="U25" s="126"/>
      <c r="V25" s="127"/>
      <c r="W25" s="129"/>
      <c r="X25" s="130"/>
      <c r="Y25" s="131"/>
      <c r="Z25" s="129"/>
      <c r="AA25" s="130"/>
      <c r="AB25" s="131"/>
      <c r="AC25" s="129"/>
      <c r="AD25" s="130"/>
      <c r="AE25" s="127"/>
      <c r="AF25" s="125"/>
      <c r="AG25" s="126"/>
      <c r="AH25" s="127"/>
      <c r="AI25" s="128">
        <f>G24+J24+M24+P24+S24+AH24+V24+Y24+AB24+AE24</f>
        <v>1</v>
      </c>
      <c r="AJ25" s="124"/>
    </row>
    <row r="26" spans="1:36" ht="15" customHeight="1">
      <c r="A26" s="1255">
        <v>6</v>
      </c>
      <c r="B26" s="1251" t="str">
        <f>VLOOKUP(A26,'ORÇ Atualizado'!B20:K541,4,1)</f>
        <v>ELEMENTOS METALICOS/COMPONENTES ESPECIAIS</v>
      </c>
      <c r="C26" s="1257">
        <f>D26/$D$54</f>
        <v>0.11823876274850972</v>
      </c>
      <c r="D26" s="1253">
        <f>VLOOKUP(A26,'ORÇ ATUAL MEMÓRIA'!$B$11:$K$531,10,1)</f>
        <v>1238592.4394000003</v>
      </c>
      <c r="E26" s="1256"/>
      <c r="F26" s="1256"/>
      <c r="G26" s="122">
        <f>E26/$D26</f>
        <v>0</v>
      </c>
      <c r="H26" s="1256"/>
      <c r="I26" s="1256"/>
      <c r="J26" s="122">
        <f>H26/$D26</f>
        <v>0</v>
      </c>
      <c r="K26" s="1256"/>
      <c r="L26" s="1256"/>
      <c r="M26" s="122">
        <f>K26/$D26</f>
        <v>0</v>
      </c>
      <c r="N26" s="1256"/>
      <c r="O26" s="1256"/>
      <c r="P26" s="122">
        <f>N26/$D26</f>
        <v>0</v>
      </c>
      <c r="Q26" s="1256"/>
      <c r="R26" s="1256"/>
      <c r="S26" s="122">
        <f>Q26/$D26</f>
        <v>0</v>
      </c>
      <c r="T26" s="1256"/>
      <c r="U26" s="1256"/>
      <c r="V26" s="122">
        <f>T26/$D26</f>
        <v>0</v>
      </c>
      <c r="W26" s="1256">
        <f>$D26*0.15</f>
        <v>185788.86591000002</v>
      </c>
      <c r="X26" s="1256"/>
      <c r="Y26" s="122">
        <f>W26/$D26</f>
        <v>0.15</v>
      </c>
      <c r="Z26" s="1256">
        <f>$D26*0.45</f>
        <v>557366.59773000015</v>
      </c>
      <c r="AA26" s="1256"/>
      <c r="AB26" s="122">
        <f>Z26/$D26</f>
        <v>0.45</v>
      </c>
      <c r="AC26" s="1256">
        <f>$D26*0.4</f>
        <v>495436.97576000012</v>
      </c>
      <c r="AD26" s="1256"/>
      <c r="AE26" s="122">
        <f>AC26/$D26</f>
        <v>0.4</v>
      </c>
      <c r="AF26" s="1256"/>
      <c r="AG26" s="1256"/>
      <c r="AH26" s="122">
        <f>AF26/$D26</f>
        <v>0</v>
      </c>
      <c r="AI26" s="123">
        <f>E26+H26+K26+N26+Q26+T26+W26+Z26+AC26+AF26</f>
        <v>1238592.4394000003</v>
      </c>
      <c r="AJ26" s="124">
        <f>AI26-D26</f>
        <v>0</v>
      </c>
    </row>
    <row r="27" spans="1:36" ht="15" customHeight="1">
      <c r="A27" s="1255"/>
      <c r="B27" s="1251"/>
      <c r="C27" s="1257"/>
      <c r="D27" s="1253"/>
      <c r="E27" s="125"/>
      <c r="F27" s="126"/>
      <c r="G27" s="127"/>
      <c r="H27" s="125"/>
      <c r="I27" s="126"/>
      <c r="J27" s="127"/>
      <c r="K27" s="125"/>
      <c r="L27" s="126"/>
      <c r="M27" s="127"/>
      <c r="N27" s="125"/>
      <c r="O27" s="126"/>
      <c r="P27" s="127"/>
      <c r="Q27" s="125"/>
      <c r="R27" s="126"/>
      <c r="S27" s="127"/>
      <c r="T27" s="125"/>
      <c r="U27" s="126"/>
      <c r="V27" s="127"/>
      <c r="W27" s="129"/>
      <c r="X27" s="130"/>
      <c r="Y27" s="131"/>
      <c r="Z27" s="129"/>
      <c r="AA27" s="130"/>
      <c r="AB27" s="131"/>
      <c r="AC27" s="129"/>
      <c r="AD27" s="130"/>
      <c r="AE27" s="127"/>
      <c r="AF27" s="125"/>
      <c r="AG27" s="126"/>
      <c r="AH27" s="127"/>
      <c r="AI27" s="128">
        <f>G26+J26+M26+P26+S26+AH26+V26+Y26+AB26+AE26</f>
        <v>1</v>
      </c>
      <c r="AJ27" s="124"/>
    </row>
    <row r="28" spans="1:36" ht="15" customHeight="1">
      <c r="A28" s="1255">
        <v>7</v>
      </c>
      <c r="B28" s="1251" t="str">
        <f>VLOOKUP(A28,'ORÇ Atualizado'!B22:K543,4,1)</f>
        <v>COBERTURA</v>
      </c>
      <c r="C28" s="1257">
        <f>D28/$D$54</f>
        <v>0.13593975668173053</v>
      </c>
      <c r="D28" s="1253">
        <f>VLOOKUP(A28,'ORÇ ATUAL MEMÓRIA'!$B$11:$K$531,10,1)</f>
        <v>1424016.5486000003</v>
      </c>
      <c r="E28" s="1256"/>
      <c r="F28" s="1256"/>
      <c r="G28" s="122">
        <f>E28/$D28</f>
        <v>0</v>
      </c>
      <c r="H28" s="1256"/>
      <c r="I28" s="1256"/>
      <c r="J28" s="122">
        <f>H28/$D28</f>
        <v>0</v>
      </c>
      <c r="K28" s="1256"/>
      <c r="L28" s="1256"/>
      <c r="M28" s="122">
        <f>K28/$D28</f>
        <v>0</v>
      </c>
      <c r="N28" s="1256">
        <f>D28*0.2</f>
        <v>284803.30972000008</v>
      </c>
      <c r="O28" s="1256"/>
      <c r="P28" s="122">
        <f>N28/$D28</f>
        <v>0.2</v>
      </c>
      <c r="Q28" s="1256">
        <f>D28*0.5</f>
        <v>712008.27430000016</v>
      </c>
      <c r="R28" s="1256"/>
      <c r="S28" s="122">
        <f>Q28/$D28</f>
        <v>0.5</v>
      </c>
      <c r="T28" s="1256">
        <f>D28*0.3</f>
        <v>427204.96458000009</v>
      </c>
      <c r="U28" s="1256"/>
      <c r="V28" s="122">
        <f>T28/$D28</f>
        <v>0.3</v>
      </c>
      <c r="W28" s="1256"/>
      <c r="X28" s="1256"/>
      <c r="Y28" s="122">
        <f>W28/$D28</f>
        <v>0</v>
      </c>
      <c r="Z28" s="1256"/>
      <c r="AA28" s="1256"/>
      <c r="AB28" s="122">
        <f>Z28/$D28</f>
        <v>0</v>
      </c>
      <c r="AC28" s="1256"/>
      <c r="AD28" s="1256"/>
      <c r="AE28" s="122">
        <f>AC28/$D28</f>
        <v>0</v>
      </c>
      <c r="AF28" s="1256"/>
      <c r="AG28" s="1256"/>
      <c r="AH28" s="122">
        <f>AF28/$D28</f>
        <v>0</v>
      </c>
      <c r="AI28" s="123">
        <f>E28+H28+K28+N28+Q28+T28+W28+Z28+AC28+AF28</f>
        <v>1424016.5486000003</v>
      </c>
      <c r="AJ28" s="124">
        <f>AI28-D28</f>
        <v>0</v>
      </c>
    </row>
    <row r="29" spans="1:36" ht="15" customHeight="1">
      <c r="A29" s="1255"/>
      <c r="B29" s="1251"/>
      <c r="C29" s="1257"/>
      <c r="D29" s="1253"/>
      <c r="E29" s="125"/>
      <c r="F29" s="126"/>
      <c r="G29" s="131"/>
      <c r="H29" s="125"/>
      <c r="I29" s="126"/>
      <c r="J29" s="131"/>
      <c r="K29" s="125"/>
      <c r="L29" s="126"/>
      <c r="M29" s="131"/>
      <c r="N29" s="129"/>
      <c r="O29" s="130"/>
      <c r="P29" s="131"/>
      <c r="Q29" s="129"/>
      <c r="R29" s="130"/>
      <c r="S29" s="131"/>
      <c r="T29" s="129"/>
      <c r="U29" s="130"/>
      <c r="V29" s="131"/>
      <c r="W29" s="125"/>
      <c r="X29" s="126"/>
      <c r="Y29" s="131"/>
      <c r="Z29" s="125"/>
      <c r="AA29" s="126"/>
      <c r="AB29" s="131"/>
      <c r="AC29" s="125"/>
      <c r="AD29" s="126"/>
      <c r="AE29" s="131"/>
      <c r="AF29" s="125"/>
      <c r="AG29" s="126"/>
      <c r="AH29" s="131"/>
      <c r="AI29" s="128">
        <f>G28+J28+M28+P28+S28+AH28+V28+Y28+AB28+AE28</f>
        <v>1</v>
      </c>
      <c r="AJ29" s="124"/>
    </row>
    <row r="30" spans="1:36" ht="15" customHeight="1">
      <c r="A30" s="1255">
        <v>8</v>
      </c>
      <c r="B30" s="1251" t="str">
        <f>VLOOKUP(A30,'ORÇ Atualizado'!B24:K545,4,1)</f>
        <v>INSTALAÇÕES HIDRAULICAS</v>
      </c>
      <c r="C30" s="1257">
        <f>D30/$D$54</f>
        <v>9.6716204556195132E-2</v>
      </c>
      <c r="D30" s="1253">
        <f>VLOOKUP(A30,'ORÇ ATUAL MEMÓRIA'!$B$11:$K$531,10,1)</f>
        <v>1013136.1065199999</v>
      </c>
      <c r="E30" s="1256"/>
      <c r="F30" s="1256"/>
      <c r="G30" s="122">
        <f>E30/$D30</f>
        <v>0</v>
      </c>
      <c r="H30" s="1256"/>
      <c r="I30" s="1256"/>
      <c r="J30" s="122">
        <f>H30/$D30</f>
        <v>0</v>
      </c>
      <c r="K30" s="1256"/>
      <c r="L30" s="1256"/>
      <c r="M30" s="122">
        <f>K30/$D30</f>
        <v>0</v>
      </c>
      <c r="N30" s="1256"/>
      <c r="O30" s="1256"/>
      <c r="P30" s="122">
        <f>N30/$D30</f>
        <v>0</v>
      </c>
      <c r="Q30" s="1256"/>
      <c r="R30" s="1256"/>
      <c r="S30" s="122">
        <f>Q30/$D30</f>
        <v>0</v>
      </c>
      <c r="T30" s="1256">
        <f>$D30*0.15</f>
        <v>151970.41597799998</v>
      </c>
      <c r="U30" s="1256"/>
      <c r="V30" s="122">
        <f>T30/$D30</f>
        <v>0.15</v>
      </c>
      <c r="W30" s="1256">
        <f>$D30*0.25</f>
        <v>253284.02662999998</v>
      </c>
      <c r="X30" s="1256"/>
      <c r="Y30" s="122">
        <f>W30/$D30</f>
        <v>0.25</v>
      </c>
      <c r="Z30" s="1256">
        <f>$D30*0.3</f>
        <v>303940.83195599995</v>
      </c>
      <c r="AA30" s="1256"/>
      <c r="AB30" s="122">
        <f>Z30/$D30</f>
        <v>0.3</v>
      </c>
      <c r="AC30" s="1256">
        <f>$D30*0.2</f>
        <v>202627.22130400001</v>
      </c>
      <c r="AD30" s="1256"/>
      <c r="AE30" s="122">
        <f>AC30/$D30</f>
        <v>0.2</v>
      </c>
      <c r="AF30" s="1256">
        <f>$D30*0.1</f>
        <v>101313.610652</v>
      </c>
      <c r="AG30" s="1256"/>
      <c r="AH30" s="122">
        <f>AF30/$D30</f>
        <v>0.1</v>
      </c>
      <c r="AI30" s="123">
        <f>E30+H30+K30+N30+Q30+T30+W30+Z30+AC30+AF30</f>
        <v>1013136.1065199999</v>
      </c>
      <c r="AJ30" s="124">
        <f>AI30-D30</f>
        <v>0</v>
      </c>
    </row>
    <row r="31" spans="1:36" ht="15" customHeight="1">
      <c r="A31" s="1255"/>
      <c r="B31" s="1251"/>
      <c r="C31" s="1257"/>
      <c r="D31" s="1253"/>
      <c r="E31" s="125"/>
      <c r="F31" s="126"/>
      <c r="G31" s="131"/>
      <c r="H31" s="125"/>
      <c r="I31" s="126"/>
      <c r="J31" s="131"/>
      <c r="K31" s="125"/>
      <c r="L31" s="126"/>
      <c r="M31" s="131"/>
      <c r="N31" s="125"/>
      <c r="O31" s="126"/>
      <c r="P31" s="131"/>
      <c r="Q31" s="125"/>
      <c r="R31" s="126"/>
      <c r="S31" s="131"/>
      <c r="T31" s="129"/>
      <c r="U31" s="130"/>
      <c r="V31" s="131"/>
      <c r="W31" s="129"/>
      <c r="X31" s="130"/>
      <c r="Y31" s="131"/>
      <c r="Z31" s="129"/>
      <c r="AA31" s="130"/>
      <c r="AB31" s="131"/>
      <c r="AC31" s="129"/>
      <c r="AD31" s="130"/>
      <c r="AE31" s="131"/>
      <c r="AF31" s="129"/>
      <c r="AG31" s="130"/>
      <c r="AH31" s="131"/>
      <c r="AI31" s="128">
        <f>G30+J30+M30+P30+S30+AH30+V30+Y30+AB30+AE30</f>
        <v>1</v>
      </c>
      <c r="AJ31" s="124"/>
    </row>
    <row r="32" spans="1:36" ht="15" customHeight="1">
      <c r="A32" s="1255">
        <v>9</v>
      </c>
      <c r="B32" s="1251" t="str">
        <f>VLOOKUP(A32,'ORÇ Atualizado'!B26:K547,4,1)</f>
        <v>INSTALACOES ELETRICAS</v>
      </c>
      <c r="C32" s="1257">
        <f>D32/$D$54</f>
        <v>5.7851928843500794E-2</v>
      </c>
      <c r="D32" s="1253">
        <f>VLOOKUP(A32,'ORÇ ATUAL MEMÓRIA'!$B$11:$K$531,10,1)</f>
        <v>606019.2106600001</v>
      </c>
      <c r="E32" s="1256"/>
      <c r="F32" s="1256"/>
      <c r="G32" s="122">
        <f>E32/$D32</f>
        <v>0</v>
      </c>
      <c r="H32" s="1256"/>
      <c r="I32" s="1256"/>
      <c r="J32" s="122">
        <f>H32/$D32</f>
        <v>0</v>
      </c>
      <c r="K32" s="1256"/>
      <c r="L32" s="1256"/>
      <c r="M32" s="122">
        <f>K32/$D32</f>
        <v>0</v>
      </c>
      <c r="N32" s="1256"/>
      <c r="O32" s="1256"/>
      <c r="P32" s="122">
        <f>N32/$D32</f>
        <v>0</v>
      </c>
      <c r="Q32" s="1256"/>
      <c r="R32" s="1256"/>
      <c r="S32" s="122">
        <f>Q32/$D32</f>
        <v>0</v>
      </c>
      <c r="T32" s="1256">
        <f>$D32*0.15</f>
        <v>90902.881599000015</v>
      </c>
      <c r="U32" s="1256"/>
      <c r="V32" s="122">
        <f>T32/$D32</f>
        <v>0.15</v>
      </c>
      <c r="W32" s="1256">
        <f>$D32*0.25</f>
        <v>151504.80266500002</v>
      </c>
      <c r="X32" s="1256"/>
      <c r="Y32" s="122">
        <f>W32/$D32</f>
        <v>0.25</v>
      </c>
      <c r="Z32" s="1256">
        <f>$D32*0.3</f>
        <v>181805.76319800003</v>
      </c>
      <c r="AA32" s="1256"/>
      <c r="AB32" s="122">
        <f>Z32/$D32</f>
        <v>0.3</v>
      </c>
      <c r="AC32" s="1256">
        <f>$D32*0.2</f>
        <v>121203.84213200002</v>
      </c>
      <c r="AD32" s="1256"/>
      <c r="AE32" s="122">
        <f>AC32/$D32</f>
        <v>0.2</v>
      </c>
      <c r="AF32" s="1256">
        <f>$D32*0.1</f>
        <v>60601.92106600001</v>
      </c>
      <c r="AG32" s="1256"/>
      <c r="AH32" s="122">
        <f>AF32/$D32</f>
        <v>0.1</v>
      </c>
      <c r="AI32" s="123">
        <f>E32+H32+K32+N32+Q32+T32+W32+Z32+AC32+AF32</f>
        <v>606019.2106600001</v>
      </c>
      <c r="AJ32" s="124">
        <f>AI32-D32</f>
        <v>0</v>
      </c>
    </row>
    <row r="33" spans="1:36" ht="15" customHeight="1">
      <c r="A33" s="1255"/>
      <c r="B33" s="1251"/>
      <c r="C33" s="1257"/>
      <c r="D33" s="1253"/>
      <c r="E33" s="125"/>
      <c r="F33" s="126"/>
      <c r="G33" s="131"/>
      <c r="H33" s="125"/>
      <c r="I33" s="126"/>
      <c r="J33" s="131"/>
      <c r="K33" s="125"/>
      <c r="L33" s="126"/>
      <c r="M33" s="131"/>
      <c r="N33" s="125"/>
      <c r="O33" s="126"/>
      <c r="P33" s="131"/>
      <c r="Q33" s="125"/>
      <c r="R33" s="126"/>
      <c r="S33" s="131"/>
      <c r="T33" s="129"/>
      <c r="U33" s="130"/>
      <c r="V33" s="131"/>
      <c r="W33" s="129"/>
      <c r="X33" s="130"/>
      <c r="Y33" s="131"/>
      <c r="Z33" s="129"/>
      <c r="AA33" s="130"/>
      <c r="AB33" s="131"/>
      <c r="AC33" s="129"/>
      <c r="AD33" s="130"/>
      <c r="AE33" s="131"/>
      <c r="AF33" s="129"/>
      <c r="AG33" s="130"/>
      <c r="AH33" s="131"/>
      <c r="AI33" s="128">
        <f>G32+J32+M32+P32+S32+AH32+V32+Y32+AB32+AE32</f>
        <v>1</v>
      </c>
      <c r="AJ33" s="124"/>
    </row>
    <row r="34" spans="1:36" ht="15" customHeight="1">
      <c r="A34" s="1255">
        <v>10</v>
      </c>
      <c r="B34" s="1251" t="str">
        <f>VLOOKUP(A34,'ORÇ Atualizado'!B28:K549,4,1)</f>
        <v>FORRO</v>
      </c>
      <c r="C34" s="1257">
        <f>D34/$D$54</f>
        <v>1.4026002596283659E-2</v>
      </c>
      <c r="D34" s="1253">
        <f>VLOOKUP(A34,'ORÇ ATUAL MEMÓRIA'!$B$11:$K$531,10,1)</f>
        <v>146927.28820000001</v>
      </c>
      <c r="E34" s="1256"/>
      <c r="F34" s="1256"/>
      <c r="G34" s="122">
        <f>E34/$D34</f>
        <v>0</v>
      </c>
      <c r="H34" s="1256"/>
      <c r="I34" s="1256"/>
      <c r="J34" s="122">
        <f>H34/$D34</f>
        <v>0</v>
      </c>
      <c r="K34" s="1256"/>
      <c r="L34" s="1256"/>
      <c r="M34" s="122">
        <f>K34/$D34</f>
        <v>0</v>
      </c>
      <c r="N34" s="1256"/>
      <c r="O34" s="1256"/>
      <c r="P34" s="122">
        <f>N34/$D34</f>
        <v>0</v>
      </c>
      <c r="Q34" s="1256"/>
      <c r="R34" s="1256"/>
      <c r="S34" s="122">
        <f>Q34/$D34</f>
        <v>0</v>
      </c>
      <c r="T34" s="1256"/>
      <c r="U34" s="1256"/>
      <c r="V34" s="122">
        <f>T34/$D34</f>
        <v>0</v>
      </c>
      <c r="W34" s="1256">
        <f>$D34*0.4</f>
        <v>58770.915280000008</v>
      </c>
      <c r="X34" s="1256"/>
      <c r="Y34" s="122">
        <f>W34/$D34</f>
        <v>0.4</v>
      </c>
      <c r="Z34" s="1256">
        <f>$D34*0.6</f>
        <v>88156.372920000009</v>
      </c>
      <c r="AA34" s="1256"/>
      <c r="AB34" s="122">
        <f>Z34/$D34</f>
        <v>0.6</v>
      </c>
      <c r="AC34" s="1256"/>
      <c r="AD34" s="1256"/>
      <c r="AE34" s="122">
        <f>AC34/$D34</f>
        <v>0</v>
      </c>
      <c r="AF34" s="1256"/>
      <c r="AG34" s="1256"/>
      <c r="AH34" s="122">
        <f>AF34/$D34</f>
        <v>0</v>
      </c>
      <c r="AI34" s="123">
        <f>E34+H34+K34+N34+Q34+T34+W34+Z34+AC34+AF34</f>
        <v>146927.28820000001</v>
      </c>
      <c r="AJ34" s="124">
        <f>AI34-D34</f>
        <v>0</v>
      </c>
    </row>
    <row r="35" spans="1:36" ht="15" customHeight="1">
      <c r="A35" s="1255"/>
      <c r="B35" s="1251"/>
      <c r="C35" s="1257"/>
      <c r="D35" s="1253"/>
      <c r="E35" s="125"/>
      <c r="F35" s="126"/>
      <c r="G35" s="131"/>
      <c r="H35" s="125"/>
      <c r="I35" s="126"/>
      <c r="J35" s="131"/>
      <c r="K35" s="125"/>
      <c r="L35" s="126"/>
      <c r="M35" s="131"/>
      <c r="N35" s="125"/>
      <c r="O35" s="126"/>
      <c r="P35" s="131"/>
      <c r="Q35" s="125"/>
      <c r="R35" s="126"/>
      <c r="S35" s="131"/>
      <c r="T35" s="125"/>
      <c r="U35" s="126"/>
      <c r="V35" s="131"/>
      <c r="W35" s="129"/>
      <c r="X35" s="130"/>
      <c r="Y35" s="131"/>
      <c r="Z35" s="129"/>
      <c r="AA35" s="130"/>
      <c r="AB35" s="131"/>
      <c r="AC35" s="125"/>
      <c r="AD35" s="126"/>
      <c r="AE35" s="131"/>
      <c r="AF35" s="125"/>
      <c r="AG35" s="126"/>
      <c r="AH35" s="131"/>
      <c r="AI35" s="128">
        <f>G34+J34+M34+P34+S34+AH34+V34+Y34+AB34+AE34</f>
        <v>1</v>
      </c>
      <c r="AJ35" s="124"/>
    </row>
    <row r="36" spans="1:36" ht="15" customHeight="1">
      <c r="A36" s="1255">
        <v>11</v>
      </c>
      <c r="B36" s="1251" t="str">
        <f>VLOOKUP(A36,'ORÇ Atualizado'!B30:K551,4,1)</f>
        <v>IMPERMEABILIZACOES / JUNTAS DE DILATACAO</v>
      </c>
      <c r="C36" s="1257">
        <f>D36/$D$54</f>
        <v>2.9528192756678668E-3</v>
      </c>
      <c r="D36" s="1253">
        <f>VLOOKUP(A36,'ORÇ ATUAL MEMÓRIA'!$B$11:$K$531,10,1)</f>
        <v>30931.815800000004</v>
      </c>
      <c r="E36" s="1256"/>
      <c r="F36" s="1256"/>
      <c r="G36" s="122">
        <f>E36/$D36</f>
        <v>0</v>
      </c>
      <c r="H36" s="1256"/>
      <c r="I36" s="1256"/>
      <c r="J36" s="122">
        <f>H36/$D36</f>
        <v>0</v>
      </c>
      <c r="K36" s="1256"/>
      <c r="L36" s="1256"/>
      <c r="M36" s="122">
        <f>K36/$D36</f>
        <v>0</v>
      </c>
      <c r="N36" s="1256"/>
      <c r="O36" s="1256"/>
      <c r="P36" s="122">
        <f>N36/$D36</f>
        <v>0</v>
      </c>
      <c r="Q36" s="1256"/>
      <c r="R36" s="1256"/>
      <c r="S36" s="122">
        <f>Q36/$D36</f>
        <v>0</v>
      </c>
      <c r="T36" s="1256"/>
      <c r="U36" s="1256"/>
      <c r="V36" s="122">
        <f>T36/$D36</f>
        <v>0</v>
      </c>
      <c r="W36" s="1256">
        <f>$D36*0.7</f>
        <v>21652.271060000003</v>
      </c>
      <c r="X36" s="1256"/>
      <c r="Y36" s="122">
        <f>W36/$D36</f>
        <v>0.7</v>
      </c>
      <c r="Z36" s="1256">
        <f>$D36*0.3</f>
        <v>9279.5447400000012</v>
      </c>
      <c r="AA36" s="1256"/>
      <c r="AB36" s="122">
        <f>Z36/$D36</f>
        <v>0.3</v>
      </c>
      <c r="AC36" s="1256"/>
      <c r="AD36" s="1256"/>
      <c r="AE36" s="122">
        <f>AC36/$D36</f>
        <v>0</v>
      </c>
      <c r="AF36" s="1256"/>
      <c r="AG36" s="1256"/>
      <c r="AH36" s="122">
        <f>AF36/$D36</f>
        <v>0</v>
      </c>
      <c r="AI36" s="123">
        <f>E36+H36+K36+N36+Q36+T36+W36+Z36+AC36+AF36</f>
        <v>30931.815800000004</v>
      </c>
      <c r="AJ36" s="124">
        <f>AI36-D36</f>
        <v>0</v>
      </c>
    </row>
    <row r="37" spans="1:36" ht="15" customHeight="1">
      <c r="A37" s="1255"/>
      <c r="B37" s="1251"/>
      <c r="C37" s="1257"/>
      <c r="D37" s="1253"/>
      <c r="E37" s="125"/>
      <c r="F37" s="126"/>
      <c r="G37" s="131"/>
      <c r="H37" s="125"/>
      <c r="I37" s="126"/>
      <c r="J37" s="131"/>
      <c r="K37" s="125"/>
      <c r="L37" s="126"/>
      <c r="M37" s="131"/>
      <c r="N37" s="125"/>
      <c r="O37" s="126"/>
      <c r="P37" s="131"/>
      <c r="Q37" s="125"/>
      <c r="R37" s="126"/>
      <c r="S37" s="131"/>
      <c r="T37" s="125"/>
      <c r="U37" s="126"/>
      <c r="V37" s="131"/>
      <c r="W37" s="129"/>
      <c r="X37" s="130"/>
      <c r="Y37" s="131"/>
      <c r="Z37" s="129"/>
      <c r="AA37" s="130"/>
      <c r="AB37" s="131"/>
      <c r="AC37" s="125"/>
      <c r="AD37" s="126"/>
      <c r="AE37" s="131"/>
      <c r="AF37" s="125"/>
      <c r="AG37" s="126"/>
      <c r="AH37" s="131"/>
      <c r="AI37" s="128">
        <f>G36+J36+M36+P36+S36+AH36+V36+Y36+AB36+AE36</f>
        <v>1</v>
      </c>
      <c r="AJ37" s="124"/>
    </row>
    <row r="38" spans="1:36" ht="15" customHeight="1">
      <c r="A38" s="1255">
        <v>12</v>
      </c>
      <c r="B38" s="1251" t="str">
        <f>VLOOKUP(A38,'ORÇ Atualizado'!B32:K553,4,1)</f>
        <v>REVESTIMENTOS: TETO E PAREDE</v>
      </c>
      <c r="C38" s="1257">
        <f>D38/$D$54</f>
        <v>1.8526015827292377E-2</v>
      </c>
      <c r="D38" s="1253">
        <f>VLOOKUP(A38,'ORÇ ATUAL MEMÓRIA'!$B$11:$K$531,10,1)</f>
        <v>194066.50240999999</v>
      </c>
      <c r="E38" s="1254"/>
      <c r="F38" s="1254"/>
      <c r="G38" s="122">
        <f>E38/$D38</f>
        <v>0</v>
      </c>
      <c r="H38" s="1254"/>
      <c r="I38" s="1254"/>
      <c r="J38" s="122">
        <f>H38/$D38</f>
        <v>0</v>
      </c>
      <c r="K38" s="1254"/>
      <c r="L38" s="1254"/>
      <c r="M38" s="122">
        <f>K38/$D38</f>
        <v>0</v>
      </c>
      <c r="N38" s="1256"/>
      <c r="O38" s="1256"/>
      <c r="P38" s="122">
        <f>N38/$D38</f>
        <v>0</v>
      </c>
      <c r="Q38" s="1256"/>
      <c r="R38" s="1256"/>
      <c r="S38" s="122">
        <f>Q38/$D38</f>
        <v>0</v>
      </c>
      <c r="T38" s="1256">
        <f>$D38*0.15</f>
        <v>29109.975361499997</v>
      </c>
      <c r="U38" s="1256"/>
      <c r="V38" s="122">
        <f>T38/$D38</f>
        <v>0.15</v>
      </c>
      <c r="W38" s="1256">
        <f>$D38*0.45</f>
        <v>87329.926084499995</v>
      </c>
      <c r="X38" s="1256"/>
      <c r="Y38" s="122">
        <f>W38/$D38</f>
        <v>0.45</v>
      </c>
      <c r="Z38" s="1256">
        <f>$D38*0.4</f>
        <v>77626.600963999997</v>
      </c>
      <c r="AA38" s="1256"/>
      <c r="AB38" s="122">
        <f>Z38/$D38</f>
        <v>0.4</v>
      </c>
      <c r="AC38" s="1256"/>
      <c r="AD38" s="1256"/>
      <c r="AE38" s="122">
        <f>AC38/$D38</f>
        <v>0</v>
      </c>
      <c r="AF38" s="1256"/>
      <c r="AG38" s="1256"/>
      <c r="AH38" s="122">
        <f>AF38/$D38</f>
        <v>0</v>
      </c>
      <c r="AI38" s="123">
        <f>E38+H38+K38+N38+Q38+T38+W38+Z38+AC38+AF38</f>
        <v>194066.50240999999</v>
      </c>
      <c r="AJ38" s="124">
        <f>AI38-D38</f>
        <v>0</v>
      </c>
    </row>
    <row r="39" spans="1:36" ht="15" customHeight="1">
      <c r="A39" s="1255"/>
      <c r="B39" s="1251"/>
      <c r="C39" s="1257"/>
      <c r="D39" s="1253"/>
      <c r="E39" s="125"/>
      <c r="F39" s="126"/>
      <c r="G39" s="131"/>
      <c r="H39" s="125"/>
      <c r="I39" s="126"/>
      <c r="J39" s="131"/>
      <c r="K39" s="125"/>
      <c r="L39" s="126"/>
      <c r="M39" s="131"/>
      <c r="N39" s="125"/>
      <c r="O39" s="126"/>
      <c r="P39" s="131"/>
      <c r="Q39" s="125"/>
      <c r="R39" s="126"/>
      <c r="S39" s="131"/>
      <c r="T39" s="129"/>
      <c r="U39" s="130"/>
      <c r="V39" s="131"/>
      <c r="W39" s="129"/>
      <c r="X39" s="130"/>
      <c r="Y39" s="131"/>
      <c r="Z39" s="129"/>
      <c r="AA39" s="130"/>
      <c r="AB39" s="131"/>
      <c r="AC39" s="125"/>
      <c r="AD39" s="126"/>
      <c r="AE39" s="131"/>
      <c r="AF39" s="125"/>
      <c r="AG39" s="126"/>
      <c r="AH39" s="131"/>
      <c r="AI39" s="128">
        <f>G38+J38+M38+P38+S38+AH38+V38+Y38+AB38+AE38</f>
        <v>1</v>
      </c>
      <c r="AJ39" s="124"/>
    </row>
    <row r="40" spans="1:36" ht="15" customHeight="1">
      <c r="A40" s="1255">
        <v>13</v>
      </c>
      <c r="B40" s="1251" t="str">
        <f>VLOOKUP(A40,'ORÇ Atualizado'!B34:K555,4,1)</f>
        <v>PISOS INTERNOS / RODAPES / PEITORIS</v>
      </c>
      <c r="C40" s="1257">
        <f>D40/$D$54</f>
        <v>7.2077900387157917E-2</v>
      </c>
      <c r="D40" s="1253">
        <f>VLOOKUP(A40,'ORÇ ATUAL MEMÓRIA'!$B$11:$K$531,10,1)</f>
        <v>755041.24360000005</v>
      </c>
      <c r="E40" s="1256"/>
      <c r="F40" s="1256"/>
      <c r="G40" s="122">
        <f>E40/$D40</f>
        <v>0</v>
      </c>
      <c r="H40" s="1256"/>
      <c r="I40" s="1256"/>
      <c r="J40" s="122">
        <f>H40/$D40</f>
        <v>0</v>
      </c>
      <c r="K40" s="1256"/>
      <c r="L40" s="1256"/>
      <c r="M40" s="122">
        <f>K40/$D40</f>
        <v>0</v>
      </c>
      <c r="N40" s="1256"/>
      <c r="O40" s="1256"/>
      <c r="P40" s="122">
        <f>N40/$D40</f>
        <v>0</v>
      </c>
      <c r="Q40" s="1256"/>
      <c r="R40" s="1256"/>
      <c r="S40" s="122">
        <f>Q40/$D40</f>
        <v>0</v>
      </c>
      <c r="T40" s="1256"/>
      <c r="U40" s="1256"/>
      <c r="V40" s="122">
        <f>T40/$D40</f>
        <v>0</v>
      </c>
      <c r="W40" s="1256">
        <f>$D40*0.15</f>
        <v>113256.18654000001</v>
      </c>
      <c r="X40" s="1256"/>
      <c r="Y40" s="122">
        <f>W40/$D40</f>
        <v>0.15</v>
      </c>
      <c r="Z40" s="1256">
        <f>$D40*0.25</f>
        <v>188760.31090000001</v>
      </c>
      <c r="AA40" s="1256"/>
      <c r="AB40" s="122">
        <f>Z40/$D40</f>
        <v>0.25</v>
      </c>
      <c r="AC40" s="1256">
        <f>$D40*0.35</f>
        <v>264264.43526</v>
      </c>
      <c r="AD40" s="1256"/>
      <c r="AE40" s="122">
        <f>AC40/$D40</f>
        <v>0.35</v>
      </c>
      <c r="AF40" s="1256">
        <f>$D40*0.25</f>
        <v>188760.31090000001</v>
      </c>
      <c r="AG40" s="1256"/>
      <c r="AH40" s="122">
        <f>AF40/$D40</f>
        <v>0.25</v>
      </c>
      <c r="AI40" s="123">
        <f>E40+H40+K40+N40+Q40+T40+W40+Z40+AC40+AF40</f>
        <v>755041.24360000005</v>
      </c>
      <c r="AJ40" s="124">
        <f>AI40-D40</f>
        <v>0</v>
      </c>
    </row>
    <row r="41" spans="1:36" ht="15" customHeight="1">
      <c r="A41" s="1255"/>
      <c r="B41" s="1251"/>
      <c r="C41" s="1257"/>
      <c r="D41" s="1253"/>
      <c r="E41" s="125"/>
      <c r="F41" s="126"/>
      <c r="G41" s="131"/>
      <c r="H41" s="125"/>
      <c r="I41" s="126"/>
      <c r="J41" s="131"/>
      <c r="K41" s="125"/>
      <c r="L41" s="126"/>
      <c r="M41" s="131"/>
      <c r="N41" s="125"/>
      <c r="O41" s="126"/>
      <c r="P41" s="131"/>
      <c r="Q41" s="125"/>
      <c r="R41" s="126"/>
      <c r="S41" s="131"/>
      <c r="T41" s="125"/>
      <c r="U41" s="126"/>
      <c r="V41" s="131"/>
      <c r="W41" s="129"/>
      <c r="X41" s="130"/>
      <c r="Y41" s="131"/>
      <c r="Z41" s="129"/>
      <c r="AA41" s="130"/>
      <c r="AB41" s="131"/>
      <c r="AC41" s="129"/>
      <c r="AD41" s="130"/>
      <c r="AE41" s="131"/>
      <c r="AF41" s="129"/>
      <c r="AG41" s="130"/>
      <c r="AH41" s="131"/>
      <c r="AI41" s="128">
        <f>G40+J40+M40+P40+S40+AH40+V40+Y40+AB40+AE40</f>
        <v>1</v>
      </c>
      <c r="AJ41" s="124"/>
    </row>
    <row r="42" spans="1:36" ht="15" customHeight="1">
      <c r="A42" s="1255">
        <v>14</v>
      </c>
      <c r="B42" s="1251" t="str">
        <f>VLOOKUP(A42,'ORÇ Atualizado'!B36:K557,4,1)</f>
        <v>VIDROS</v>
      </c>
      <c r="C42" s="1257">
        <f>D42/$D$54</f>
        <v>5.8998089323531646E-3</v>
      </c>
      <c r="D42" s="1253">
        <f>VLOOKUP(A42,'ORÇ ATUAL MEMÓRIA'!$B$11:$K$531,10,1)</f>
        <v>61802.564300000005</v>
      </c>
      <c r="E42" s="1256"/>
      <c r="F42" s="1256"/>
      <c r="G42" s="122">
        <f>E42/$D42</f>
        <v>0</v>
      </c>
      <c r="H42" s="1256"/>
      <c r="I42" s="1256"/>
      <c r="J42" s="122">
        <f>H42/$D42</f>
        <v>0</v>
      </c>
      <c r="K42" s="1256"/>
      <c r="L42" s="1256"/>
      <c r="M42" s="122">
        <f>K42/$D42</f>
        <v>0</v>
      </c>
      <c r="N42" s="1256"/>
      <c r="O42" s="1256"/>
      <c r="P42" s="122">
        <f>N42/$D42</f>
        <v>0</v>
      </c>
      <c r="Q42" s="1256"/>
      <c r="R42" s="1256"/>
      <c r="S42" s="122">
        <f>Q42/$D42</f>
        <v>0</v>
      </c>
      <c r="T42" s="1256"/>
      <c r="U42" s="1256"/>
      <c r="V42" s="122">
        <f>T42/$D42</f>
        <v>0</v>
      </c>
      <c r="W42" s="1256"/>
      <c r="X42" s="1256"/>
      <c r="Y42" s="122">
        <f>W42/$D42</f>
        <v>0</v>
      </c>
      <c r="Z42" s="1256">
        <f>$D42*0.4</f>
        <v>24721.025720000005</v>
      </c>
      <c r="AA42" s="1256"/>
      <c r="AB42" s="122">
        <f>Z42/$D42</f>
        <v>0.4</v>
      </c>
      <c r="AC42" s="1256">
        <f>$D42*0.6</f>
        <v>37081.53858</v>
      </c>
      <c r="AD42" s="1256"/>
      <c r="AE42" s="122">
        <f>AC42/$D42</f>
        <v>0.6</v>
      </c>
      <c r="AF42" s="1256"/>
      <c r="AG42" s="1256"/>
      <c r="AH42" s="122">
        <f>AF42/$D42</f>
        <v>0</v>
      </c>
      <c r="AI42" s="123">
        <f>E42+H42+K42+N42+Q42+T42+W42+Z42+AC42+AF42</f>
        <v>61802.564300000005</v>
      </c>
      <c r="AJ42" s="124">
        <f>AI42-D42</f>
        <v>0</v>
      </c>
    </row>
    <row r="43" spans="1:36" ht="15" customHeight="1">
      <c r="A43" s="1255"/>
      <c r="B43" s="1251"/>
      <c r="C43" s="1257"/>
      <c r="D43" s="1253"/>
      <c r="E43" s="125"/>
      <c r="F43" s="126"/>
      <c r="G43" s="131"/>
      <c r="H43" s="125"/>
      <c r="I43" s="126"/>
      <c r="J43" s="131"/>
      <c r="K43" s="125"/>
      <c r="L43" s="126"/>
      <c r="M43" s="131"/>
      <c r="N43" s="125"/>
      <c r="O43" s="126"/>
      <c r="P43" s="131"/>
      <c r="Q43" s="125"/>
      <c r="R43" s="126"/>
      <c r="S43" s="131"/>
      <c r="T43" s="125"/>
      <c r="U43" s="126"/>
      <c r="V43" s="131"/>
      <c r="W43" s="125"/>
      <c r="X43" s="126"/>
      <c r="Y43" s="131"/>
      <c r="Z43" s="129"/>
      <c r="AA43" s="130"/>
      <c r="AB43" s="131"/>
      <c r="AC43" s="129"/>
      <c r="AD43" s="130"/>
      <c r="AE43" s="131"/>
      <c r="AF43" s="125"/>
      <c r="AG43" s="126"/>
      <c r="AH43" s="131"/>
      <c r="AI43" s="128">
        <f>G42+J42+M42+P42+S42+AH42+V42+Y42+AB42+AE42</f>
        <v>1</v>
      </c>
      <c r="AJ43" s="124"/>
    </row>
    <row r="44" spans="1:36" ht="15" customHeight="1">
      <c r="A44" s="1255">
        <v>15</v>
      </c>
      <c r="B44" s="1251" t="str">
        <f>VLOOKUP(A44,'ORÇ Atualizado'!B38:K559,4,1)</f>
        <v>PINTURA</v>
      </c>
      <c r="C44" s="1257">
        <f>D44/$D$54</f>
        <v>2.1846839813072064E-2</v>
      </c>
      <c r="D44" s="1253">
        <f>VLOOKUP(A44,'ORÇ ATUAL MEMÓRIA'!$B$11:$K$531,10,1)</f>
        <v>228853.29639999999</v>
      </c>
      <c r="E44" s="1256"/>
      <c r="F44" s="1256"/>
      <c r="G44" s="122">
        <f>E44/$D44</f>
        <v>0</v>
      </c>
      <c r="H44" s="1256"/>
      <c r="I44" s="1256"/>
      <c r="J44" s="122">
        <f>H44/$D44</f>
        <v>0</v>
      </c>
      <c r="K44" s="1256"/>
      <c r="L44" s="1256"/>
      <c r="M44" s="122">
        <f>K44/$D44</f>
        <v>0</v>
      </c>
      <c r="N44" s="1256"/>
      <c r="O44" s="1256"/>
      <c r="P44" s="122">
        <f>N44/$D44</f>
        <v>0</v>
      </c>
      <c r="Q44" s="1256"/>
      <c r="R44" s="1256"/>
      <c r="S44" s="122">
        <f>Q44/$D44</f>
        <v>0</v>
      </c>
      <c r="T44" s="1256"/>
      <c r="U44" s="1256"/>
      <c r="V44" s="122">
        <f>T44/$D44</f>
        <v>0</v>
      </c>
      <c r="W44" s="1256"/>
      <c r="X44" s="1256"/>
      <c r="Y44" s="122">
        <f>W44/$D44</f>
        <v>0</v>
      </c>
      <c r="Z44" s="1256">
        <f>$D44*0.4</f>
        <v>91541.31856</v>
      </c>
      <c r="AA44" s="1256"/>
      <c r="AB44" s="122">
        <f>Z44/$D44</f>
        <v>0.4</v>
      </c>
      <c r="AC44" s="1256">
        <f>$D44*0.5</f>
        <v>114426.6482</v>
      </c>
      <c r="AD44" s="1256"/>
      <c r="AE44" s="122">
        <f>AC44/$D44</f>
        <v>0.5</v>
      </c>
      <c r="AF44" s="1256">
        <f>$D44*0.1</f>
        <v>22885.32964</v>
      </c>
      <c r="AG44" s="1256"/>
      <c r="AH44" s="122">
        <f>AF44/$D44</f>
        <v>0.1</v>
      </c>
      <c r="AI44" s="123">
        <f>E44+H44+K44+N44+Q44+T44+W44+Z44+AC44+AF44</f>
        <v>228853.29639999999</v>
      </c>
      <c r="AJ44" s="124">
        <f>AI44-D44</f>
        <v>0</v>
      </c>
    </row>
    <row r="45" spans="1:36" ht="15" customHeight="1">
      <c r="A45" s="1255"/>
      <c r="B45" s="1251"/>
      <c r="C45" s="1257"/>
      <c r="D45" s="1253"/>
      <c r="E45" s="125"/>
      <c r="F45" s="126"/>
      <c r="G45" s="131"/>
      <c r="H45" s="125"/>
      <c r="I45" s="126"/>
      <c r="J45" s="131"/>
      <c r="K45" s="125"/>
      <c r="L45" s="126"/>
      <c r="M45" s="131"/>
      <c r="N45" s="125"/>
      <c r="O45" s="126"/>
      <c r="P45" s="131"/>
      <c r="Q45" s="125"/>
      <c r="R45" s="126"/>
      <c r="S45" s="131"/>
      <c r="T45" s="125"/>
      <c r="U45" s="126"/>
      <c r="V45" s="131"/>
      <c r="W45" s="125"/>
      <c r="X45" s="126"/>
      <c r="Y45" s="131"/>
      <c r="Z45" s="129"/>
      <c r="AA45" s="130"/>
      <c r="AB45" s="131"/>
      <c r="AC45" s="129"/>
      <c r="AD45" s="130"/>
      <c r="AE45" s="131"/>
      <c r="AF45" s="129"/>
      <c r="AG45" s="130"/>
      <c r="AH45" s="131"/>
      <c r="AI45" s="128">
        <f>G44+J44+M44+P44+S44+AH44+V44+Y44+AB44+AE44</f>
        <v>1</v>
      </c>
      <c r="AJ45" s="124"/>
    </row>
    <row r="46" spans="1:36" ht="15" customHeight="1">
      <c r="A46" s="1255">
        <v>16</v>
      </c>
      <c r="B46" s="1251" t="str">
        <f>VLOOKUP(A46,'ORÇ Atualizado'!B40:K561,4,1)</f>
        <v>SERVICOS COMPLEMENTARES</v>
      </c>
      <c r="C46" s="1257">
        <f>D46/$D$54</f>
        <v>6.8953099728847347E-2</v>
      </c>
      <c r="D46" s="1253">
        <f>VLOOKUP(A46,'ORÇ ATUAL MEMÓRIA'!$B$11:$K$531,10,1)</f>
        <v>722307.86259999976</v>
      </c>
      <c r="E46" s="1256"/>
      <c r="F46" s="1256"/>
      <c r="G46" s="122">
        <f>E46/$D46</f>
        <v>0</v>
      </c>
      <c r="H46" s="1256"/>
      <c r="I46" s="1256"/>
      <c r="J46" s="122">
        <f>H46/$D46</f>
        <v>0</v>
      </c>
      <c r="K46" s="1256"/>
      <c r="L46" s="1256"/>
      <c r="M46" s="122">
        <f>K46/$D46</f>
        <v>0</v>
      </c>
      <c r="N46" s="1256"/>
      <c r="O46" s="1256"/>
      <c r="P46" s="122">
        <f>N46/$D46</f>
        <v>0</v>
      </c>
      <c r="Q46" s="1256"/>
      <c r="R46" s="1256"/>
      <c r="S46" s="122">
        <f>Q46/$D46</f>
        <v>0</v>
      </c>
      <c r="T46" s="1256"/>
      <c r="U46" s="1256"/>
      <c r="V46" s="122">
        <f>T46/$D46</f>
        <v>0</v>
      </c>
      <c r="W46" s="1256">
        <f>$D46*0.15</f>
        <v>108346.17938999996</v>
      </c>
      <c r="X46" s="1256"/>
      <c r="Y46" s="122">
        <f>W46/$D46</f>
        <v>0.15</v>
      </c>
      <c r="Z46" s="1256">
        <f>$D46*0.35</f>
        <v>252807.7519099999</v>
      </c>
      <c r="AA46" s="1256"/>
      <c r="AB46" s="122">
        <f>Z46/$D46</f>
        <v>0.35</v>
      </c>
      <c r="AC46" s="1256">
        <f>$D46*0.3</f>
        <v>216692.35877999992</v>
      </c>
      <c r="AD46" s="1256"/>
      <c r="AE46" s="122">
        <f>AC46/$D46</f>
        <v>0.3</v>
      </c>
      <c r="AF46" s="1256">
        <f>$D46*0.2</f>
        <v>144461.57251999996</v>
      </c>
      <c r="AG46" s="1256"/>
      <c r="AH46" s="122">
        <f>AF46/$D46</f>
        <v>0.2</v>
      </c>
      <c r="AI46" s="123">
        <f>E46+H46+K46+N46+Q46+T46+W46+Z46+AC46+AF46</f>
        <v>722307.86259999976</v>
      </c>
      <c r="AJ46" s="124">
        <f>AI46-D46</f>
        <v>0</v>
      </c>
    </row>
    <row r="47" spans="1:36" ht="15" customHeight="1">
      <c r="A47" s="1255"/>
      <c r="B47" s="1251"/>
      <c r="C47" s="1257"/>
      <c r="D47" s="1253"/>
      <c r="E47" s="125"/>
      <c r="F47" s="126"/>
      <c r="G47" s="131"/>
      <c r="H47" s="125"/>
      <c r="I47" s="126"/>
      <c r="J47" s="131"/>
      <c r="K47" s="125"/>
      <c r="L47" s="126"/>
      <c r="M47" s="131"/>
      <c r="N47" s="125"/>
      <c r="O47" s="126"/>
      <c r="P47" s="131"/>
      <c r="Q47" s="125"/>
      <c r="R47" s="126"/>
      <c r="S47" s="131"/>
      <c r="T47" s="125"/>
      <c r="U47" s="126"/>
      <c r="V47" s="131"/>
      <c r="W47" s="129"/>
      <c r="X47" s="130"/>
      <c r="Y47" s="131"/>
      <c r="Z47" s="129"/>
      <c r="AA47" s="130"/>
      <c r="AB47" s="131"/>
      <c r="AC47" s="129"/>
      <c r="AD47" s="130"/>
      <c r="AE47" s="131"/>
      <c r="AF47" s="129"/>
      <c r="AG47" s="130"/>
      <c r="AH47" s="131"/>
      <c r="AI47" s="128">
        <f>G46+J46+M46+P46+S46+AH46+V46+Y46+AB46+AE46</f>
        <v>1</v>
      </c>
      <c r="AJ47" s="124"/>
    </row>
    <row r="48" spans="1:36" ht="15" hidden="1" customHeight="1">
      <c r="A48" s="1255"/>
      <c r="B48" s="1251"/>
      <c r="C48" s="1257"/>
      <c r="D48" s="1253" t="e">
        <f>VLOOKUP(A48,'ORÇ ATUAL MEMÓRIA'!$B$11:$K$531,10,1)</f>
        <v>#N/A</v>
      </c>
      <c r="E48" s="1256"/>
      <c r="F48" s="1256"/>
      <c r="G48" s="122"/>
      <c r="H48" s="1256"/>
      <c r="I48" s="1256"/>
      <c r="J48" s="122"/>
      <c r="K48" s="1256"/>
      <c r="L48" s="1256"/>
      <c r="M48" s="122"/>
      <c r="N48" s="1256"/>
      <c r="O48" s="1256"/>
      <c r="P48" s="132"/>
      <c r="Q48" s="1256"/>
      <c r="R48" s="1256"/>
      <c r="S48" s="132"/>
      <c r="T48" s="1256"/>
      <c r="U48" s="1256"/>
      <c r="V48" s="132"/>
      <c r="W48" s="1256"/>
      <c r="X48" s="1256"/>
      <c r="Y48" s="132"/>
      <c r="Z48" s="1256"/>
      <c r="AA48" s="1256"/>
      <c r="AB48" s="132"/>
      <c r="AC48" s="1256"/>
      <c r="AD48" s="1256"/>
      <c r="AE48" s="132"/>
      <c r="AF48" s="1256"/>
      <c r="AG48" s="1256"/>
      <c r="AH48" s="132"/>
      <c r="AI48" s="123"/>
      <c r="AJ48" s="124" t="e">
        <f>AI48-D48</f>
        <v>#N/A</v>
      </c>
    </row>
    <row r="49" spans="1:36" ht="15" hidden="1" customHeight="1">
      <c r="A49" s="1255"/>
      <c r="B49" s="1251"/>
      <c r="C49" s="1257"/>
      <c r="D49" s="1253"/>
      <c r="E49" s="125"/>
      <c r="F49" s="126"/>
      <c r="G49" s="131"/>
      <c r="H49" s="125"/>
      <c r="I49" s="126"/>
      <c r="J49" s="131"/>
      <c r="K49" s="129"/>
      <c r="L49" s="130"/>
      <c r="M49" s="131"/>
      <c r="N49" s="125"/>
      <c r="O49" s="126"/>
      <c r="P49" s="131"/>
      <c r="Q49" s="125"/>
      <c r="R49" s="126"/>
      <c r="S49" s="131"/>
      <c r="T49" s="125"/>
      <c r="U49" s="126"/>
      <c r="V49" s="131"/>
      <c r="W49" s="125"/>
      <c r="X49" s="126"/>
      <c r="Y49" s="131"/>
      <c r="Z49" s="125"/>
      <c r="AA49" s="126"/>
      <c r="AB49" s="131"/>
      <c r="AC49" s="125"/>
      <c r="AD49" s="126"/>
      <c r="AE49" s="131"/>
      <c r="AF49" s="125"/>
      <c r="AG49" s="126"/>
      <c r="AH49" s="131"/>
      <c r="AI49" s="128"/>
      <c r="AJ49" s="124"/>
    </row>
    <row r="50" spans="1:36" ht="15" hidden="1" customHeight="1">
      <c r="A50" s="1255"/>
      <c r="B50" s="1251"/>
      <c r="C50" s="1257"/>
      <c r="D50" s="1253" t="e">
        <f>VLOOKUP(A50,'ORÇ ATUAL MEMÓRIA'!$B$11:$K$531,10,1)</f>
        <v>#N/A</v>
      </c>
      <c r="E50" s="1256"/>
      <c r="F50" s="1256"/>
      <c r="G50" s="122"/>
      <c r="H50" s="1256"/>
      <c r="I50" s="1256"/>
      <c r="J50" s="122"/>
      <c r="K50" s="1256"/>
      <c r="L50" s="1256"/>
      <c r="M50" s="122"/>
      <c r="N50" s="1256"/>
      <c r="O50" s="1256"/>
      <c r="P50" s="132"/>
      <c r="Q50" s="1256"/>
      <c r="R50" s="1256"/>
      <c r="S50" s="132"/>
      <c r="T50" s="1256"/>
      <c r="U50" s="1256"/>
      <c r="V50" s="132"/>
      <c r="W50" s="1256"/>
      <c r="X50" s="1256"/>
      <c r="Y50" s="132"/>
      <c r="Z50" s="1256"/>
      <c r="AA50" s="1256"/>
      <c r="AB50" s="132"/>
      <c r="AC50" s="1256"/>
      <c r="AD50" s="1256"/>
      <c r="AE50" s="132"/>
      <c r="AF50" s="1256"/>
      <c r="AG50" s="1256"/>
      <c r="AH50" s="132"/>
      <c r="AI50" s="123"/>
      <c r="AJ50" s="124"/>
    </row>
    <row r="51" spans="1:36" ht="15" hidden="1" customHeight="1">
      <c r="A51" s="1255"/>
      <c r="B51" s="1251"/>
      <c r="C51" s="1257"/>
      <c r="D51" s="1253"/>
      <c r="E51" s="125"/>
      <c r="F51" s="126"/>
      <c r="G51" s="131"/>
      <c r="H51" s="125"/>
      <c r="I51" s="126"/>
      <c r="J51" s="131"/>
      <c r="K51" s="129"/>
      <c r="L51" s="130"/>
      <c r="M51" s="131"/>
      <c r="N51" s="125"/>
      <c r="O51" s="126"/>
      <c r="P51" s="131"/>
      <c r="Q51" s="125"/>
      <c r="R51" s="126"/>
      <c r="S51" s="131"/>
      <c r="T51" s="125"/>
      <c r="U51" s="126"/>
      <c r="V51" s="131"/>
      <c r="W51" s="125"/>
      <c r="X51" s="126"/>
      <c r="Y51" s="131"/>
      <c r="Z51" s="125"/>
      <c r="AA51" s="126"/>
      <c r="AB51" s="131"/>
      <c r="AC51" s="125"/>
      <c r="AD51" s="126"/>
      <c r="AE51" s="131"/>
      <c r="AF51" s="125"/>
      <c r="AG51" s="126"/>
      <c r="AH51" s="131"/>
      <c r="AI51" s="128"/>
      <c r="AJ51" s="124"/>
    </row>
    <row r="52" spans="1:36">
      <c r="A52" s="133"/>
      <c r="B52" s="134"/>
      <c r="C52" s="135"/>
      <c r="D52" s="136"/>
      <c r="E52" s="137"/>
      <c r="F52" s="138"/>
      <c r="G52" s="139"/>
      <c r="H52" s="140"/>
      <c r="I52" s="141"/>
      <c r="J52" s="142"/>
      <c r="K52" s="140"/>
      <c r="L52" s="143"/>
      <c r="M52" s="144"/>
      <c r="N52" s="137"/>
      <c r="O52" s="138"/>
      <c r="P52" s="139"/>
      <c r="Q52" s="137"/>
      <c r="R52" s="138"/>
      <c r="S52" s="139"/>
      <c r="T52" s="137"/>
      <c r="U52" s="138"/>
      <c r="V52" s="139"/>
      <c r="W52" s="137"/>
      <c r="X52" s="138"/>
      <c r="Y52" s="139"/>
      <c r="Z52" s="137"/>
      <c r="AA52" s="138"/>
      <c r="AB52" s="139"/>
      <c r="AC52" s="137"/>
      <c r="AD52" s="138"/>
      <c r="AE52" s="139"/>
      <c r="AF52" s="137"/>
      <c r="AG52" s="138"/>
      <c r="AH52" s="139"/>
      <c r="AI52" s="123"/>
      <c r="AJ52" s="124"/>
    </row>
    <row r="53" spans="1:36" ht="24.75" customHeight="1">
      <c r="A53" s="145"/>
      <c r="B53" s="146" t="s">
        <v>1183</v>
      </c>
      <c r="C53" s="147">
        <f>SUM(C15:C47)</f>
        <v>0.99999999999999989</v>
      </c>
      <c r="D53" s="148">
        <f>SUM(D16:D47)</f>
        <v>10475350.135678001</v>
      </c>
      <c r="E53" s="1258">
        <f>SUM(E16:F47)</f>
        <v>41300.137260000003</v>
      </c>
      <c r="F53" s="1258"/>
      <c r="G53" s="150">
        <f>E53/$D$53</f>
        <v>3.9426020825152029E-3</v>
      </c>
      <c r="H53" s="1258">
        <f>SUM(H16:I47)</f>
        <v>404325.00670999999</v>
      </c>
      <c r="I53" s="1258"/>
      <c r="J53" s="150">
        <f>H53/$D$53</f>
        <v>3.8597755824209566E-2</v>
      </c>
      <c r="K53" s="1258">
        <f>SUM(K16:L47)</f>
        <v>1711874.0040999998</v>
      </c>
      <c r="L53" s="1258"/>
      <c r="M53" s="150">
        <f>K53/$D$53</f>
        <v>0.16341926350218378</v>
      </c>
      <c r="N53" s="1258">
        <f>SUM(N16:O47)</f>
        <v>1654302.513</v>
      </c>
      <c r="O53" s="1258"/>
      <c r="P53" s="150">
        <f>N53/$D$53</f>
        <v>0.15792336213809313</v>
      </c>
      <c r="Q53" s="1258">
        <f>SUM(Q16:R47)</f>
        <v>755431.12837570021</v>
      </c>
      <c r="R53" s="1258"/>
      <c r="S53" s="150">
        <f>Q53/$D$53</f>
        <v>7.2115119646719669E-2</v>
      </c>
      <c r="T53" s="1258">
        <f>SUM(T16:U47)</f>
        <v>829456.79974560009</v>
      </c>
      <c r="U53" s="1258"/>
      <c r="V53" s="150">
        <f>T53/$D$53</f>
        <v>7.9181773306130618E-2</v>
      </c>
      <c r="W53" s="1258">
        <f>SUM(W16:X47)</f>
        <v>1131303.1328947002</v>
      </c>
      <c r="X53" s="1258"/>
      <c r="Y53" s="150">
        <f>W53/$D$53</f>
        <v>0.10799668920293119</v>
      </c>
      <c r="Z53" s="1258">
        <f>SUM(Z16:AA47)</f>
        <v>1882733.1639980001</v>
      </c>
      <c r="AA53" s="1258"/>
      <c r="AB53" s="150">
        <f>Z53/$D$53</f>
        <v>0.17972985529004878</v>
      </c>
      <c r="AC53" s="1258">
        <f>SUM(AC16:AD47)</f>
        <v>1546601.5048159999</v>
      </c>
      <c r="AD53" s="1258"/>
      <c r="AE53" s="150">
        <f>AC53/$D$53</f>
        <v>0.14764198664333222</v>
      </c>
      <c r="AF53" s="1258">
        <f>SUM(AF16:AG47)</f>
        <v>518022.74477799993</v>
      </c>
      <c r="AG53" s="1258"/>
      <c r="AH53" s="150">
        <f>AF53/$D$53</f>
        <v>4.9451592363835742E-2</v>
      </c>
      <c r="AI53" s="149"/>
      <c r="AJ53" s="124"/>
    </row>
    <row r="54" spans="1:36" ht="24.75" customHeight="1">
      <c r="A54" s="145"/>
      <c r="B54" s="146" t="s">
        <v>1184</v>
      </c>
      <c r="C54" s="151">
        <f>SUM(C16:C47)</f>
        <v>0.99999999999999989</v>
      </c>
      <c r="D54" s="148">
        <f>SUM(D16:D47)</f>
        <v>10475350.135678001</v>
      </c>
      <c r="E54" s="1258">
        <f>SUM(E16:F41)</f>
        <v>41300.137260000003</v>
      </c>
      <c r="F54" s="1258"/>
      <c r="G54" s="150">
        <f>E54/$D$54</f>
        <v>3.9426020825152029E-3</v>
      </c>
      <c r="H54" s="1258">
        <f>E53+H53</f>
        <v>445625.14396999998</v>
      </c>
      <c r="I54" s="1258"/>
      <c r="J54" s="150">
        <f>H54/$D$54</f>
        <v>4.2540357906724766E-2</v>
      </c>
      <c r="K54" s="1258">
        <f>H54+K53</f>
        <v>2157499.1480699996</v>
      </c>
      <c r="L54" s="1258"/>
      <c r="M54" s="150">
        <f>K54/$D$54</f>
        <v>0.20595962140890853</v>
      </c>
      <c r="N54" s="1258">
        <f>K54+N53</f>
        <v>3811801.6610699994</v>
      </c>
      <c r="O54" s="1258"/>
      <c r="P54" s="150">
        <f>N54/$D$54</f>
        <v>0.36388298354700166</v>
      </c>
      <c r="Q54" s="1258">
        <f>N54+Q53</f>
        <v>4567232.7894457001</v>
      </c>
      <c r="R54" s="1258"/>
      <c r="S54" s="150">
        <f>Q54/$D$54</f>
        <v>0.43599810319372134</v>
      </c>
      <c r="T54" s="1258">
        <f>Q54+T53</f>
        <v>5396689.5891912999</v>
      </c>
      <c r="U54" s="1258"/>
      <c r="V54" s="150">
        <f>T54/$D$54</f>
        <v>0.51517987649985197</v>
      </c>
      <c r="W54" s="1258">
        <f>T54+W53</f>
        <v>6527992.7220860003</v>
      </c>
      <c r="X54" s="1258"/>
      <c r="Y54" s="150">
        <f>W54/$D$54</f>
        <v>0.62317656570278313</v>
      </c>
      <c r="Z54" s="1258">
        <f>W54+Z53</f>
        <v>8410725.8860839996</v>
      </c>
      <c r="AA54" s="1258"/>
      <c r="AB54" s="150">
        <f>Z54/$D$54</f>
        <v>0.80290642099283194</v>
      </c>
      <c r="AC54" s="1258">
        <f>Z54+AC53</f>
        <v>9957327.3908999991</v>
      </c>
      <c r="AD54" s="1258"/>
      <c r="AE54" s="150">
        <f>AC54/$D$54</f>
        <v>0.95054840763616411</v>
      </c>
      <c r="AF54" s="1258">
        <f>AC54+AF53</f>
        <v>10475350.135677999</v>
      </c>
      <c r="AG54" s="1258"/>
      <c r="AH54" s="150">
        <f>AF54/$D$54</f>
        <v>0.99999999999999978</v>
      </c>
      <c r="AI54" s="149"/>
      <c r="AJ54" s="124"/>
    </row>
    <row r="56" spans="1:36">
      <c r="B56" s="16" t="s">
        <v>1141</v>
      </c>
      <c r="C56" s="79">
        <f ca="1">TODAY()</f>
        <v>45436</v>
      </c>
      <c r="D56" s="16"/>
      <c r="E56" s="18"/>
      <c r="F56" s="19"/>
      <c r="G56" s="16"/>
      <c r="H56" s="16"/>
      <c r="I56" s="17"/>
      <c r="J56" s="16"/>
    </row>
    <row r="57" spans="1:36">
      <c r="B57" s="16"/>
      <c r="C57" s="17"/>
      <c r="D57" s="16"/>
      <c r="E57" s="18"/>
      <c r="F57" s="19"/>
      <c r="G57" s="6" t="s">
        <v>1142</v>
      </c>
      <c r="H57" s="6"/>
      <c r="I57" s="6"/>
      <c r="J57" s="6"/>
    </row>
    <row r="58" spans="1:36">
      <c r="B58" s="16"/>
      <c r="C58" s="17"/>
      <c r="D58" s="16"/>
      <c r="E58" s="18"/>
      <c r="F58" s="19"/>
      <c r="G58" s="6" t="s">
        <v>1143</v>
      </c>
      <c r="H58" s="6"/>
      <c r="I58" s="6"/>
      <c r="J58" s="6"/>
    </row>
    <row r="59" spans="1:36">
      <c r="B59" s="16"/>
      <c r="C59" s="17"/>
      <c r="D59" s="16"/>
      <c r="E59" s="18"/>
      <c r="F59" s="19"/>
      <c r="G59" s="16"/>
      <c r="H59" s="6" t="s">
        <v>1144</v>
      </c>
      <c r="I59" s="6"/>
      <c r="J59" s="16"/>
    </row>
    <row r="60" spans="1:36">
      <c r="B60" s="6"/>
      <c r="C60" s="6"/>
      <c r="D60" s="16"/>
      <c r="E60" s="18"/>
      <c r="F60" s="19"/>
      <c r="G60" s="20"/>
      <c r="H60" s="80"/>
      <c r="I60" s="80"/>
      <c r="J60" s="20"/>
    </row>
    <row r="61" spans="1:36">
      <c r="B61" s="17"/>
      <c r="C61" s="17"/>
      <c r="D61" s="16"/>
      <c r="E61" s="18"/>
      <c r="F61" s="19"/>
      <c r="G61" s="20"/>
      <c r="H61" s="6" t="s">
        <v>1145</v>
      </c>
      <c r="I61" s="6"/>
      <c r="J61" s="20"/>
    </row>
    <row r="62" spans="1:36">
      <c r="B62" s="17"/>
      <c r="C62" s="17"/>
      <c r="D62" s="16"/>
      <c r="E62" s="18"/>
      <c r="F62" s="19"/>
      <c r="G62" s="16"/>
      <c r="H62" s="6" t="s">
        <v>1146</v>
      </c>
      <c r="I62" s="6"/>
      <c r="J62" s="16"/>
    </row>
    <row r="63" spans="1:36">
      <c r="B63" s="16"/>
      <c r="C63" s="17"/>
      <c r="D63" s="16"/>
      <c r="E63" s="18"/>
      <c r="F63" s="19"/>
      <c r="G63" s="16"/>
      <c r="H63" s="6" t="s">
        <v>1145</v>
      </c>
      <c r="I63" s="6"/>
      <c r="J63" s="16"/>
    </row>
    <row r="64" spans="1:36">
      <c r="L64" s="124"/>
    </row>
    <row r="66" spans="4:10">
      <c r="D66" s="101">
        <v>6525084.7092094701</v>
      </c>
    </row>
    <row r="68" spans="4:10">
      <c r="D68" s="152">
        <v>9985809.6199999992</v>
      </c>
    </row>
    <row r="69" spans="4:10">
      <c r="H69" s="153"/>
      <c r="I69" s="153"/>
      <c r="J69" s="153"/>
    </row>
  </sheetData>
  <mergeCells count="308">
    <mergeCell ref="G57:J57"/>
    <mergeCell ref="G58:J58"/>
    <mergeCell ref="H59:I59"/>
    <mergeCell ref="B60:C60"/>
    <mergeCell ref="H61:I61"/>
    <mergeCell ref="H62:I62"/>
    <mergeCell ref="H63:I63"/>
    <mergeCell ref="AF53:AG53"/>
    <mergeCell ref="E54:F54"/>
    <mergeCell ref="H54:I54"/>
    <mergeCell ref="K54:L54"/>
    <mergeCell ref="N54:O54"/>
    <mergeCell ref="Q54:R54"/>
    <mergeCell ref="T54:U54"/>
    <mergeCell ref="W54:X54"/>
    <mergeCell ref="Z54:AA54"/>
    <mergeCell ref="AC54:AD54"/>
    <mergeCell ref="AF54:AG54"/>
    <mergeCell ref="E53:F53"/>
    <mergeCell ref="H53:I53"/>
    <mergeCell ref="K53:L53"/>
    <mergeCell ref="N53:O53"/>
    <mergeCell ref="Q53:R53"/>
    <mergeCell ref="T53:U53"/>
    <mergeCell ref="W53:X53"/>
    <mergeCell ref="Z53:AA53"/>
    <mergeCell ref="AC53:AD53"/>
    <mergeCell ref="T48:U48"/>
    <mergeCell ref="W48:X48"/>
    <mergeCell ref="Z48:AA48"/>
    <mergeCell ref="AC48:AD48"/>
    <mergeCell ref="AF48:AG48"/>
    <mergeCell ref="A50:A51"/>
    <mergeCell ref="B50:B51"/>
    <mergeCell ref="C50:C51"/>
    <mergeCell ref="D50:D51"/>
    <mergeCell ref="E50:F50"/>
    <mergeCell ref="H50:I50"/>
    <mergeCell ref="K50:L50"/>
    <mergeCell ref="N50:O50"/>
    <mergeCell ref="Q50:R50"/>
    <mergeCell ref="T50:U50"/>
    <mergeCell ref="W50:X50"/>
    <mergeCell ref="Z50:AA50"/>
    <mergeCell ref="AC50:AD50"/>
    <mergeCell ref="AF50:AG50"/>
    <mergeCell ref="A48:A49"/>
    <mergeCell ref="B48:B49"/>
    <mergeCell ref="C48:C49"/>
    <mergeCell ref="D48:D49"/>
    <mergeCell ref="E48:F48"/>
    <mergeCell ref="H48:I48"/>
    <mergeCell ref="K48:L48"/>
    <mergeCell ref="N48:O48"/>
    <mergeCell ref="Q48:R48"/>
    <mergeCell ref="T44:U44"/>
    <mergeCell ref="W44:X44"/>
    <mergeCell ref="Z44:AA44"/>
    <mergeCell ref="AC44:AD44"/>
    <mergeCell ref="AF44:AG44"/>
    <mergeCell ref="A46:A47"/>
    <mergeCell ref="B46:B47"/>
    <mergeCell ref="C46:C47"/>
    <mergeCell ref="D46:D47"/>
    <mergeCell ref="E46:F46"/>
    <mergeCell ref="H46:I46"/>
    <mergeCell ref="K46:L46"/>
    <mergeCell ref="N46:O46"/>
    <mergeCell ref="Q46:R46"/>
    <mergeCell ref="T46:U46"/>
    <mergeCell ref="W46:X46"/>
    <mergeCell ref="Z46:AA46"/>
    <mergeCell ref="AC46:AD46"/>
    <mergeCell ref="AF46:AG46"/>
    <mergeCell ref="A44:A45"/>
    <mergeCell ref="B44:B45"/>
    <mergeCell ref="C44:C45"/>
    <mergeCell ref="D44:D45"/>
    <mergeCell ref="E44:F44"/>
    <mergeCell ref="H44:I44"/>
    <mergeCell ref="K44:L44"/>
    <mergeCell ref="N44:O44"/>
    <mergeCell ref="Q44:R44"/>
    <mergeCell ref="T40:U40"/>
    <mergeCell ref="W40:X40"/>
    <mergeCell ref="Z40:AA40"/>
    <mergeCell ref="AC40:AD40"/>
    <mergeCell ref="AF40:AG40"/>
    <mergeCell ref="A42:A43"/>
    <mergeCell ref="B42:B43"/>
    <mergeCell ref="C42:C43"/>
    <mergeCell ref="D42:D43"/>
    <mergeCell ref="E42:F42"/>
    <mergeCell ref="H42:I42"/>
    <mergeCell ref="K42:L42"/>
    <mergeCell ref="N42:O42"/>
    <mergeCell ref="Q42:R42"/>
    <mergeCell ref="T42:U42"/>
    <mergeCell ref="W42:X42"/>
    <mergeCell ref="Z42:AA42"/>
    <mergeCell ref="AC42:AD42"/>
    <mergeCell ref="AF42:AG42"/>
    <mergeCell ref="A40:A41"/>
    <mergeCell ref="B40:B41"/>
    <mergeCell ref="C40:C41"/>
    <mergeCell ref="D40:D41"/>
    <mergeCell ref="E40:F40"/>
    <mergeCell ref="H40:I40"/>
    <mergeCell ref="K40:L40"/>
    <mergeCell ref="N40:O40"/>
    <mergeCell ref="Q40:R40"/>
    <mergeCell ref="T36:U36"/>
    <mergeCell ref="W36:X36"/>
    <mergeCell ref="Z36:AA36"/>
    <mergeCell ref="AC36:AD36"/>
    <mergeCell ref="AF36:AG36"/>
    <mergeCell ref="A38:A39"/>
    <mergeCell ref="B38:B39"/>
    <mergeCell ref="C38:C39"/>
    <mergeCell ref="D38:D39"/>
    <mergeCell ref="E38:F38"/>
    <mergeCell ref="H38:I38"/>
    <mergeCell ref="K38:L38"/>
    <mergeCell ref="N38:O38"/>
    <mergeCell ref="Q38:R38"/>
    <mergeCell ref="T38:U38"/>
    <mergeCell ref="W38:X38"/>
    <mergeCell ref="Z38:AA38"/>
    <mergeCell ref="AC38:AD38"/>
    <mergeCell ref="AF38:AG38"/>
    <mergeCell ref="A36:A37"/>
    <mergeCell ref="B36:B37"/>
    <mergeCell ref="C36:C37"/>
    <mergeCell ref="D36:D37"/>
    <mergeCell ref="E36:F36"/>
    <mergeCell ref="H36:I36"/>
    <mergeCell ref="K36:L36"/>
    <mergeCell ref="N36:O36"/>
    <mergeCell ref="Q36:R36"/>
    <mergeCell ref="T32:U32"/>
    <mergeCell ref="W32:X32"/>
    <mergeCell ref="Z32:AA32"/>
    <mergeCell ref="AC32:AD32"/>
    <mergeCell ref="AF32:AG32"/>
    <mergeCell ref="A34:A35"/>
    <mergeCell ref="B34:B35"/>
    <mergeCell ref="C34:C35"/>
    <mergeCell ref="D34:D35"/>
    <mergeCell ref="E34:F34"/>
    <mergeCell ref="H34:I34"/>
    <mergeCell ref="K34:L34"/>
    <mergeCell ref="N34:O34"/>
    <mergeCell ref="Q34:R34"/>
    <mergeCell ref="T34:U34"/>
    <mergeCell ref="W34:X34"/>
    <mergeCell ref="Z34:AA34"/>
    <mergeCell ref="AC34:AD34"/>
    <mergeCell ref="AF34:AG34"/>
    <mergeCell ref="A32:A33"/>
    <mergeCell ref="B32:B33"/>
    <mergeCell ref="C32:C33"/>
    <mergeCell ref="D32:D33"/>
    <mergeCell ref="E32:F32"/>
    <mergeCell ref="H32:I32"/>
    <mergeCell ref="K32:L32"/>
    <mergeCell ref="N32:O32"/>
    <mergeCell ref="Q32:R32"/>
    <mergeCell ref="T28:U28"/>
    <mergeCell ref="W28:X28"/>
    <mergeCell ref="Z28:AA28"/>
    <mergeCell ref="AC28:AD28"/>
    <mergeCell ref="AF28:AG28"/>
    <mergeCell ref="A30:A31"/>
    <mergeCell ref="B30:B31"/>
    <mergeCell ref="C30:C31"/>
    <mergeCell ref="D30:D31"/>
    <mergeCell ref="E30:F30"/>
    <mergeCell ref="H30:I30"/>
    <mergeCell ref="K30:L30"/>
    <mergeCell ref="N30:O30"/>
    <mergeCell ref="Q30:R30"/>
    <mergeCell ref="T30:U30"/>
    <mergeCell ref="W30:X30"/>
    <mergeCell ref="Z30:AA30"/>
    <mergeCell ref="AC30:AD30"/>
    <mergeCell ref="AF30:AG30"/>
    <mergeCell ref="A28:A29"/>
    <mergeCell ref="B28:B29"/>
    <mergeCell ref="C28:C29"/>
    <mergeCell ref="D28:D29"/>
    <mergeCell ref="E28:F28"/>
    <mergeCell ref="H28:I28"/>
    <mergeCell ref="K28:L28"/>
    <mergeCell ref="N28:O28"/>
    <mergeCell ref="Q28:R28"/>
    <mergeCell ref="T24:U24"/>
    <mergeCell ref="W24:X24"/>
    <mergeCell ref="Z24:AA24"/>
    <mergeCell ref="AC24:AD24"/>
    <mergeCell ref="AF24:AG24"/>
    <mergeCell ref="A26:A27"/>
    <mergeCell ref="B26:B27"/>
    <mergeCell ref="C26:C27"/>
    <mergeCell ref="D26:D27"/>
    <mergeCell ref="E26:F26"/>
    <mergeCell ref="H26:I26"/>
    <mergeCell ref="K26:L26"/>
    <mergeCell ref="N26:O26"/>
    <mergeCell ref="Q26:R26"/>
    <mergeCell ref="T26:U26"/>
    <mergeCell ref="W26:X26"/>
    <mergeCell ref="Z26:AA26"/>
    <mergeCell ref="AC26:AD26"/>
    <mergeCell ref="AF26:AG26"/>
    <mergeCell ref="A24:A25"/>
    <mergeCell ref="B24:B25"/>
    <mergeCell ref="C24:C25"/>
    <mergeCell ref="D24:D25"/>
    <mergeCell ref="E24:F24"/>
    <mergeCell ref="H24:I24"/>
    <mergeCell ref="K24:L24"/>
    <mergeCell ref="N24:O24"/>
    <mergeCell ref="Q24:R24"/>
    <mergeCell ref="T20:U20"/>
    <mergeCell ref="W20:X20"/>
    <mergeCell ref="Z20:AA20"/>
    <mergeCell ref="AC20:AD20"/>
    <mergeCell ref="AF20:AG20"/>
    <mergeCell ref="A22:A23"/>
    <mergeCell ref="B22:B23"/>
    <mergeCell ref="C22:C23"/>
    <mergeCell ref="D22:D23"/>
    <mergeCell ref="E22:F22"/>
    <mergeCell ref="H22:I22"/>
    <mergeCell ref="K22:L22"/>
    <mergeCell ref="N22:O22"/>
    <mergeCell ref="Q22:R22"/>
    <mergeCell ref="T22:U22"/>
    <mergeCell ref="W22:X22"/>
    <mergeCell ref="Z22:AA22"/>
    <mergeCell ref="AC22:AD22"/>
    <mergeCell ref="AF22:AG22"/>
    <mergeCell ref="A20:A21"/>
    <mergeCell ref="B20:B21"/>
    <mergeCell ref="C20:C21"/>
    <mergeCell ref="D20:D21"/>
    <mergeCell ref="E20:F20"/>
    <mergeCell ref="H20:I20"/>
    <mergeCell ref="K20:L20"/>
    <mergeCell ref="N20:O20"/>
    <mergeCell ref="Q20:R20"/>
    <mergeCell ref="T16:U16"/>
    <mergeCell ref="W16:X16"/>
    <mergeCell ref="Z16:AA16"/>
    <mergeCell ref="AC16:AD16"/>
    <mergeCell ref="AF16:AG16"/>
    <mergeCell ref="A18:A19"/>
    <mergeCell ref="B18:B19"/>
    <mergeCell ref="C18:C19"/>
    <mergeCell ref="D18:D19"/>
    <mergeCell ref="E18:F18"/>
    <mergeCell ref="H18:I18"/>
    <mergeCell ref="K18:L18"/>
    <mergeCell ref="N18:O18"/>
    <mergeCell ref="Q18:R18"/>
    <mergeCell ref="T18:U18"/>
    <mergeCell ref="W18:X18"/>
    <mergeCell ref="Z18:AA18"/>
    <mergeCell ref="AC18:AD18"/>
    <mergeCell ref="AF18:AG18"/>
    <mergeCell ref="A16:A17"/>
    <mergeCell ref="B16:B17"/>
    <mergeCell ref="C16:C17"/>
    <mergeCell ref="D16:D17"/>
    <mergeCell ref="E16:F16"/>
    <mergeCell ref="H16:I16"/>
    <mergeCell ref="K16:L16"/>
    <mergeCell ref="N16:O16"/>
    <mergeCell ref="Q16:R16"/>
    <mergeCell ref="Q13:R13"/>
    <mergeCell ref="T13:U13"/>
    <mergeCell ref="W13:X13"/>
    <mergeCell ref="Z13:AA13"/>
    <mergeCell ref="AC13:AD13"/>
    <mergeCell ref="AF13:AG13"/>
    <mergeCell ref="E14:F14"/>
    <mergeCell ref="H14:I14"/>
    <mergeCell ref="K14:L14"/>
    <mergeCell ref="N14:O14"/>
    <mergeCell ref="Q14:R14"/>
    <mergeCell ref="T14:U14"/>
    <mergeCell ref="W14:X14"/>
    <mergeCell ref="Z14:AA14"/>
    <mergeCell ref="AC14:AD14"/>
    <mergeCell ref="AF14:AG14"/>
    <mergeCell ref="B3:O5"/>
    <mergeCell ref="C6:O6"/>
    <mergeCell ref="C7:N7"/>
    <mergeCell ref="O7:O8"/>
    <mergeCell ref="C8:N8"/>
    <mergeCell ref="A13:A14"/>
    <mergeCell ref="B13:B14"/>
    <mergeCell ref="C13:C14"/>
    <mergeCell ref="D13:D14"/>
    <mergeCell ref="E13:F13"/>
    <mergeCell ref="H13:I13"/>
    <mergeCell ref="K13:L13"/>
    <mergeCell ref="N13:O13"/>
  </mergeCells>
  <printOptions horizontalCentered="1"/>
  <pageMargins left="0.23611111111111099" right="0.23611111111111099" top="0.74791666666666701" bottom="0.74791666666666701" header="0.511811023622047" footer="0.511811023622047"/>
  <pageSetup paperSize="9" scale="3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66CC"/>
  </sheetPr>
  <dimension ref="A1:V1926"/>
  <sheetViews>
    <sheetView view="pageBreakPreview" zoomScale="90" zoomScaleNormal="80" zoomScalePageLayoutView="90" workbookViewId="0">
      <selection activeCell="G7" sqref="G7"/>
    </sheetView>
  </sheetViews>
  <sheetFormatPr defaultColWidth="8.6640625" defaultRowHeight="13.2"/>
  <cols>
    <col min="2" max="2" width="7.6640625" customWidth="1"/>
    <col min="3" max="3" width="4.44140625" style="154" customWidth="1"/>
    <col min="4" max="4" width="10" style="154" customWidth="1"/>
    <col min="5" max="5" width="9.33203125" style="155" customWidth="1"/>
    <col min="6" max="6" width="8.88671875" style="154" customWidth="1"/>
    <col min="7" max="7" width="5.88671875" style="155" customWidth="1"/>
    <col min="8" max="8" width="8.33203125" style="154" customWidth="1"/>
    <col min="9" max="9" width="3.33203125" style="155" customWidth="1"/>
    <col min="10" max="10" width="7.6640625" style="154" customWidth="1"/>
    <col min="11" max="11" width="3.33203125" style="154" customWidth="1"/>
    <col min="12" max="12" width="10.109375" style="154" customWidth="1"/>
    <col min="13" max="13" width="3.33203125" style="154" customWidth="1"/>
    <col min="14" max="14" width="9.5546875" style="154" customWidth="1"/>
    <col min="15" max="15" width="4" style="154" customWidth="1"/>
    <col min="16" max="16" width="9.44140625" customWidth="1"/>
    <col min="17" max="17" width="9.6640625" customWidth="1"/>
    <col min="18" max="18" width="11.33203125" customWidth="1"/>
    <col min="19" max="19" width="3.6640625" customWidth="1"/>
    <col min="20" max="20" width="9.109375" style="156" customWidth="1"/>
    <col min="21" max="21" width="9.109375" style="157" customWidth="1"/>
  </cols>
  <sheetData>
    <row r="1" spans="1:22" ht="18" customHeight="1">
      <c r="A1" s="1259" t="s">
        <v>1185</v>
      </c>
      <c r="B1" s="1259"/>
      <c r="C1" s="1259"/>
      <c r="D1" s="1259"/>
      <c r="E1" s="1259"/>
      <c r="F1" s="1259"/>
      <c r="G1" s="1259"/>
      <c r="H1" s="1259"/>
      <c r="I1" s="1259"/>
      <c r="J1" s="1259"/>
      <c r="K1" s="1259"/>
      <c r="L1" s="1259"/>
      <c r="M1" s="1259"/>
      <c r="N1" s="1259"/>
      <c r="O1" s="158" t="s">
        <v>1186</v>
      </c>
      <c r="P1" s="159"/>
      <c r="Q1" s="1260" t="s">
        <v>1187</v>
      </c>
      <c r="R1" s="1260"/>
      <c r="T1" s="1261" t="s">
        <v>1188</v>
      </c>
      <c r="U1" s="1262" t="s">
        <v>1189</v>
      </c>
      <c r="V1" t="s">
        <v>1190</v>
      </c>
    </row>
    <row r="2" spans="1:22" ht="18" customHeight="1">
      <c r="A2" s="1263" t="s">
        <v>1191</v>
      </c>
      <c r="B2" s="1263"/>
      <c r="C2" s="1263"/>
      <c r="D2" s="1263"/>
      <c r="E2" s="1263"/>
      <c r="F2" s="1263"/>
      <c r="G2" s="1263"/>
      <c r="H2" s="1263"/>
      <c r="I2" s="1263"/>
      <c r="J2" s="1263"/>
      <c r="K2" s="1263"/>
      <c r="L2" s="1263"/>
      <c r="M2" s="1263"/>
      <c r="N2" s="1263"/>
      <c r="O2" s="160" t="s">
        <v>1192</v>
      </c>
      <c r="P2" s="161"/>
      <c r="Q2" s="1264"/>
      <c r="R2" s="1264"/>
      <c r="T2" s="1261"/>
      <c r="U2" s="1262"/>
    </row>
    <row r="3" spans="1:22" ht="18" customHeight="1">
      <c r="A3" s="1265"/>
      <c r="B3" s="1265"/>
      <c r="C3" s="1265"/>
      <c r="D3" s="1265"/>
      <c r="E3" s="1265"/>
      <c r="F3" s="1265"/>
      <c r="G3" s="1265"/>
      <c r="H3" s="1265"/>
      <c r="I3" s="1265"/>
      <c r="J3" s="1265"/>
      <c r="K3" s="1265"/>
      <c r="L3" s="1265"/>
      <c r="M3" s="1265"/>
      <c r="N3" s="1265"/>
      <c r="O3" s="162"/>
      <c r="P3" s="163"/>
      <c r="Q3" s="164"/>
      <c r="R3" s="165"/>
      <c r="T3" s="1261"/>
      <c r="U3" s="1262"/>
    </row>
    <row r="4" spans="1:22" ht="13.5" customHeight="1">
      <c r="A4" s="166" t="s">
        <v>1193</v>
      </c>
      <c r="B4" s="167"/>
      <c r="C4" s="168"/>
      <c r="D4" s="169"/>
      <c r="E4" s="169"/>
      <c r="F4" s="169"/>
      <c r="G4" s="169"/>
      <c r="H4" s="170"/>
      <c r="I4" s="171" t="s">
        <v>1194</v>
      </c>
      <c r="J4" s="169"/>
      <c r="K4" s="169"/>
      <c r="L4" s="169"/>
      <c r="M4" s="169"/>
      <c r="N4" s="169"/>
      <c r="O4" s="169"/>
      <c r="P4" s="172"/>
      <c r="Q4" s="1266" t="s">
        <v>1195</v>
      </c>
      <c r="R4" s="1266"/>
      <c r="T4" s="1261"/>
      <c r="U4" s="1262"/>
    </row>
    <row r="5" spans="1:22" ht="13.5" customHeight="1">
      <c r="A5" s="1267" t="e">
        <f>#REF!</f>
        <v>#REF!</v>
      </c>
      <c r="B5" s="1267"/>
      <c r="C5" s="1267"/>
      <c r="D5" s="1267"/>
      <c r="E5" s="1267"/>
      <c r="F5" s="1267"/>
      <c r="G5" s="1267"/>
      <c r="H5" s="1267"/>
      <c r="I5" s="173" t="s">
        <v>1196</v>
      </c>
      <c r="J5" s="174"/>
      <c r="K5" s="174"/>
      <c r="L5" s="174"/>
      <c r="M5" s="174"/>
      <c r="N5" s="174"/>
      <c r="O5" s="174"/>
      <c r="P5" s="175"/>
      <c r="Q5" s="1268">
        <v>1</v>
      </c>
      <c r="R5" s="1268"/>
      <c r="T5" s="1261"/>
      <c r="U5" s="1262"/>
    </row>
    <row r="6" spans="1:22" ht="12.75" customHeight="1">
      <c r="A6" s="166" t="s">
        <v>1197</v>
      </c>
      <c r="B6" s="176"/>
      <c r="C6" s="177"/>
      <c r="D6" s="177"/>
      <c r="E6" s="177"/>
      <c r="F6" s="177"/>
      <c r="G6" s="177"/>
      <c r="H6" s="177"/>
      <c r="I6" s="177"/>
      <c r="J6" s="177"/>
      <c r="K6" s="177"/>
      <c r="L6" s="177"/>
      <c r="M6" s="178"/>
      <c r="N6" s="1269" t="s">
        <v>1198</v>
      </c>
      <c r="O6" s="1269"/>
      <c r="P6" s="1269"/>
      <c r="Q6" s="1270" t="s">
        <v>1199</v>
      </c>
      <c r="R6" s="1270"/>
      <c r="T6" s="1261"/>
      <c r="U6" s="1262"/>
    </row>
    <row r="7" spans="1:22" ht="12.75" customHeight="1">
      <c r="A7" s="179" t="e">
        <f>#REF!</f>
        <v>#REF!</v>
      </c>
      <c r="B7" s="180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2"/>
      <c r="N7" s="1271"/>
      <c r="O7" s="1271"/>
      <c r="P7" s="1271"/>
      <c r="Q7" s="183" t="e">
        <f>#REF!</f>
        <v>#REF!</v>
      </c>
      <c r="R7" s="184" t="e">
        <f>#REF!</f>
        <v>#REF!</v>
      </c>
      <c r="T7" s="1261"/>
      <c r="U7" s="1262"/>
    </row>
    <row r="8" spans="1:22" ht="18" customHeight="1">
      <c r="A8" s="1272" t="s">
        <v>1200</v>
      </c>
      <c r="B8" s="1272"/>
      <c r="C8" s="1272"/>
      <c r="D8" s="1272"/>
      <c r="E8" s="1272"/>
      <c r="F8" s="1272"/>
      <c r="G8" s="1272"/>
      <c r="H8" s="1272"/>
      <c r="I8" s="1272"/>
      <c r="J8" s="1272"/>
      <c r="K8" s="1272"/>
      <c r="L8" s="1272"/>
      <c r="M8" s="1272"/>
      <c r="N8" s="1272"/>
      <c r="O8" s="1272"/>
      <c r="P8" s="1272"/>
      <c r="Q8" s="1272"/>
      <c r="R8" s="1272"/>
      <c r="T8" s="1261"/>
      <c r="U8" s="1262"/>
    </row>
    <row r="9" spans="1:22" ht="24.75" customHeight="1">
      <c r="A9" s="185" t="s">
        <v>1201</v>
      </c>
      <c r="B9" s="1273" t="s">
        <v>1202</v>
      </c>
      <c r="C9" s="1273"/>
      <c r="D9" s="1273"/>
      <c r="E9" s="1273"/>
      <c r="F9" s="1273"/>
      <c r="G9" s="1273"/>
      <c r="H9" s="1273"/>
      <c r="I9" s="1273"/>
      <c r="J9" s="1273"/>
      <c r="K9" s="1273"/>
      <c r="L9" s="1273"/>
      <c r="M9" s="1273"/>
      <c r="N9" s="1273"/>
      <c r="O9" s="1273"/>
      <c r="P9" s="186" t="s">
        <v>1203</v>
      </c>
      <c r="Q9" s="1274" t="s">
        <v>1204</v>
      </c>
      <c r="R9" s="1274"/>
      <c r="T9" s="1261"/>
      <c r="U9" s="1262"/>
    </row>
    <row r="10" spans="1:22" ht="18" customHeight="1">
      <c r="A10" s="187">
        <f>PLANILHA!B18</f>
        <v>90480</v>
      </c>
      <c r="B10" s="1275" t="e">
        <f>IF(A10="","",VLOOKUP($A10,'[2]FDE-JUNHO-08'!$A$6:$D$3537,2,FALSE()))</f>
        <v>#N/A</v>
      </c>
      <c r="C10" s="1275"/>
      <c r="D10" s="1275"/>
      <c r="E10" s="1275"/>
      <c r="F10" s="1275"/>
      <c r="G10" s="1275"/>
      <c r="H10" s="1275"/>
      <c r="I10" s="1275"/>
      <c r="J10" s="1275"/>
      <c r="K10" s="1275"/>
      <c r="L10" s="1275"/>
      <c r="M10" s="1275"/>
      <c r="N10" s="1275"/>
      <c r="O10" s="1275"/>
      <c r="P10" s="188" t="e">
        <f>IF(A10="","",VLOOKUP($A10,'[2]FDE-JUNHO-08'!$A$6:$D$3537,3,FALSE()))</f>
        <v>#N/A</v>
      </c>
      <c r="Q10" s="189" t="s">
        <v>1205</v>
      </c>
      <c r="R10" s="189" t="s">
        <v>1206</v>
      </c>
      <c r="T10" s="190"/>
      <c r="U10" s="191"/>
    </row>
    <row r="11" spans="1:22">
      <c r="A11" s="192"/>
      <c r="B11" s="1276"/>
      <c r="C11" s="1276"/>
      <c r="D11" s="1276"/>
      <c r="E11" s="1276"/>
      <c r="F11" s="1276"/>
      <c r="G11" s="1276"/>
      <c r="H11" s="1276"/>
      <c r="I11" s="1276"/>
      <c r="J11" s="1276"/>
      <c r="K11" s="1276"/>
      <c r="L11" s="1276"/>
      <c r="M11" s="1276"/>
      <c r="N11" s="1276"/>
      <c r="O11" s="1276"/>
      <c r="P11" s="193"/>
      <c r="Q11" s="194"/>
      <c r="R11" s="194"/>
      <c r="T11" s="190"/>
      <c r="U11" s="191"/>
    </row>
    <row r="12" spans="1:22">
      <c r="A12" s="192"/>
      <c r="B12" s="195" t="s">
        <v>1207</v>
      </c>
      <c r="C12" s="196"/>
      <c r="D12" s="197"/>
      <c r="E12" s="198"/>
      <c r="F12" s="197"/>
      <c r="G12" s="198"/>
      <c r="H12" s="197"/>
      <c r="I12" s="198"/>
      <c r="J12" s="197"/>
      <c r="K12" s="198"/>
      <c r="L12" s="199"/>
      <c r="M12" s="199" t="s">
        <v>1208</v>
      </c>
      <c r="N12" s="199">
        <v>10.1</v>
      </c>
      <c r="O12" s="155"/>
      <c r="P12" s="193"/>
      <c r="Q12" s="200"/>
      <c r="R12" s="194"/>
      <c r="T12" s="190"/>
      <c r="U12" s="191"/>
    </row>
    <row r="13" spans="1:22">
      <c r="A13" s="192"/>
      <c r="B13" s="195"/>
      <c r="C13" s="196"/>
      <c r="D13" s="197"/>
      <c r="E13" s="198"/>
      <c r="F13" s="197"/>
      <c r="G13" s="198"/>
      <c r="H13" s="197"/>
      <c r="I13" s="198"/>
      <c r="J13" s="197"/>
      <c r="K13" s="198"/>
      <c r="L13" s="199"/>
      <c r="M13" s="199"/>
      <c r="N13" s="201"/>
      <c r="O13" s="202"/>
      <c r="P13" s="193"/>
      <c r="Q13" s="200"/>
      <c r="R13" s="194"/>
      <c r="T13" s="190"/>
      <c r="U13" s="191"/>
    </row>
    <row r="14" spans="1:22">
      <c r="A14" s="192"/>
      <c r="B14" s="195"/>
      <c r="C14" s="196"/>
      <c r="D14" s="197"/>
      <c r="E14" s="198"/>
      <c r="F14" s="197"/>
      <c r="G14" s="198"/>
      <c r="H14" s="197"/>
      <c r="I14" s="198"/>
      <c r="J14" s="197"/>
      <c r="K14" s="198"/>
      <c r="L14" s="199" t="s">
        <v>1140</v>
      </c>
      <c r="M14" s="199" t="s">
        <v>1208</v>
      </c>
      <c r="N14" s="199">
        <f>SUM(N12:N13)</f>
        <v>10.1</v>
      </c>
      <c r="O14" s="155" t="e">
        <f>P10</f>
        <v>#N/A</v>
      </c>
      <c r="P14" s="193"/>
      <c r="Q14" s="200"/>
      <c r="R14" s="194"/>
      <c r="T14" s="190"/>
      <c r="U14" s="191"/>
    </row>
    <row r="15" spans="1:22">
      <c r="A15" s="192"/>
      <c r="B15" s="195"/>
      <c r="C15" s="196"/>
      <c r="D15" s="197"/>
      <c r="E15" s="198"/>
      <c r="F15" s="197"/>
      <c r="G15" s="198"/>
      <c r="H15" s="197"/>
      <c r="I15" s="198"/>
      <c r="J15" s="197"/>
      <c r="K15" s="198"/>
      <c r="L15" s="199"/>
      <c r="M15" s="199"/>
      <c r="N15" s="199"/>
      <c r="O15" s="155"/>
      <c r="P15" s="193"/>
      <c r="Q15" s="200"/>
      <c r="R15" s="194"/>
      <c r="T15" s="190"/>
      <c r="U15" s="191"/>
    </row>
    <row r="16" spans="1:22">
      <c r="A16" s="192"/>
      <c r="B16" s="1277" t="s">
        <v>1209</v>
      </c>
      <c r="C16" s="1277"/>
      <c r="D16" s="1277"/>
      <c r="E16" s="1277"/>
      <c r="F16" s="1277"/>
      <c r="G16" s="1277"/>
      <c r="H16" s="1277"/>
      <c r="I16" s="1277"/>
      <c r="J16" s="1277"/>
      <c r="K16" s="1277"/>
      <c r="L16" s="1277"/>
      <c r="M16" s="1277"/>
      <c r="N16" s="1277"/>
      <c r="O16" s="1277"/>
      <c r="P16" s="1277"/>
      <c r="Q16" s="203">
        <v>0</v>
      </c>
      <c r="R16" s="204">
        <f>Q16</f>
        <v>0</v>
      </c>
      <c r="T16" s="1278"/>
      <c r="U16" s="1279"/>
    </row>
    <row r="17" spans="1:21">
      <c r="A17" s="192"/>
      <c r="B17" s="1280" t="e">
        <f>med</f>
        <v>#NAME?</v>
      </c>
      <c r="C17" s="1280"/>
      <c r="D17" s="1280"/>
      <c r="E17" s="1280"/>
      <c r="F17" s="1280"/>
      <c r="G17" s="1280"/>
      <c r="H17" s="1280"/>
      <c r="I17" s="1280"/>
      <c r="J17" s="1280"/>
      <c r="K17" s="1280"/>
      <c r="L17" s="1280"/>
      <c r="M17" s="1280"/>
      <c r="N17" s="1280"/>
      <c r="O17" s="1280"/>
      <c r="P17" s="205">
        <f>N14</f>
        <v>10.1</v>
      </c>
      <c r="Q17" s="203">
        <f>P17</f>
        <v>10.1</v>
      </c>
      <c r="R17" s="204">
        <f>Q17+R16</f>
        <v>10.1</v>
      </c>
      <c r="T17" s="1278"/>
      <c r="U17" s="1279"/>
    </row>
    <row r="18" spans="1:21" ht="18" customHeight="1">
      <c r="A18" s="187" t="e">
        <f>#REF!</f>
        <v>#REF!</v>
      </c>
      <c r="B18" s="1275" t="e">
        <f>IF(A18="","",VLOOKUP($A18,'[2]FDE-JUNHO-08'!$A$6:$D$3537,2,FALSE()))</f>
        <v>#REF!</v>
      </c>
      <c r="C18" s="1275"/>
      <c r="D18" s="1275"/>
      <c r="E18" s="1275"/>
      <c r="F18" s="1275"/>
      <c r="G18" s="1275"/>
      <c r="H18" s="1275"/>
      <c r="I18" s="1275"/>
      <c r="J18" s="1275"/>
      <c r="K18" s="1275"/>
      <c r="L18" s="1275"/>
      <c r="M18" s="1275"/>
      <c r="N18" s="1275"/>
      <c r="O18" s="1275"/>
      <c r="P18" s="188" t="e">
        <f>IF(A18="","",VLOOKUP($A18,'[2]FDE-JUNHO-08'!$A$6:$D$3537,3,FALSE()))</f>
        <v>#REF!</v>
      </c>
      <c r="Q18" s="189" t="s">
        <v>1205</v>
      </c>
      <c r="R18" s="189" t="s">
        <v>1206</v>
      </c>
      <c r="T18" s="190"/>
      <c r="U18" s="191"/>
    </row>
    <row r="19" spans="1:21">
      <c r="A19" s="192"/>
      <c r="B19" s="1276"/>
      <c r="C19" s="1276"/>
      <c r="D19" s="1276"/>
      <c r="E19" s="1276"/>
      <c r="F19" s="1276"/>
      <c r="G19" s="1276"/>
      <c r="H19" s="1276"/>
      <c r="I19" s="1276"/>
      <c r="J19" s="1276"/>
      <c r="K19" s="1276"/>
      <c r="L19" s="1276"/>
      <c r="M19" s="1276"/>
      <c r="N19" s="1276"/>
      <c r="O19" s="1276"/>
      <c r="P19" s="193"/>
      <c r="Q19" s="194"/>
      <c r="R19" s="194"/>
      <c r="T19" s="190"/>
      <c r="U19" s="191"/>
    </row>
    <row r="20" spans="1:21">
      <c r="A20" s="192"/>
      <c r="B20" s="195" t="s">
        <v>1207</v>
      </c>
      <c r="C20" s="196"/>
      <c r="D20" s="197"/>
      <c r="E20" s="198"/>
      <c r="F20" s="197"/>
      <c r="G20" s="198"/>
      <c r="H20" s="197"/>
      <c r="I20" s="198"/>
      <c r="J20" s="197"/>
      <c r="K20" s="198"/>
      <c r="L20" s="199"/>
      <c r="M20" s="199" t="s">
        <v>1208</v>
      </c>
      <c r="N20" s="199">
        <v>44</v>
      </c>
      <c r="O20" s="155"/>
      <c r="P20" s="193"/>
      <c r="Q20" s="200"/>
      <c r="R20" s="194"/>
      <c r="T20" s="190"/>
      <c r="U20" s="191"/>
    </row>
    <row r="21" spans="1:21">
      <c r="A21" s="192"/>
      <c r="B21" s="195"/>
      <c r="C21" s="196"/>
      <c r="D21" s="197"/>
      <c r="E21" s="198"/>
      <c r="F21" s="197"/>
      <c r="G21" s="198"/>
      <c r="H21" s="197"/>
      <c r="I21" s="198"/>
      <c r="J21" s="197"/>
      <c r="K21" s="198"/>
      <c r="L21" s="199"/>
      <c r="M21" s="199"/>
      <c r="N21" s="201"/>
      <c r="O21" s="202"/>
      <c r="P21" s="193"/>
      <c r="Q21" s="200"/>
      <c r="R21" s="194"/>
      <c r="T21" s="190"/>
      <c r="U21" s="191"/>
    </row>
    <row r="22" spans="1:21">
      <c r="A22" s="192"/>
      <c r="B22" s="195"/>
      <c r="C22" s="196"/>
      <c r="D22" s="197"/>
      <c r="E22" s="198"/>
      <c r="F22" s="197"/>
      <c r="G22" s="198"/>
      <c r="H22" s="197"/>
      <c r="I22" s="198"/>
      <c r="J22" s="197"/>
      <c r="K22" s="198"/>
      <c r="L22" s="199" t="s">
        <v>1140</v>
      </c>
      <c r="M22" s="199" t="s">
        <v>1208</v>
      </c>
      <c r="N22" s="199">
        <f>SUM(N20:N21)</f>
        <v>44</v>
      </c>
      <c r="O22" s="155" t="e">
        <f>P18</f>
        <v>#REF!</v>
      </c>
      <c r="P22" s="193"/>
      <c r="Q22" s="200"/>
      <c r="R22" s="194"/>
      <c r="T22" s="190"/>
      <c r="U22" s="191"/>
    </row>
    <row r="23" spans="1:21">
      <c r="A23" s="192"/>
      <c r="B23" s="195"/>
      <c r="C23" s="196"/>
      <c r="D23" s="197"/>
      <c r="E23" s="198"/>
      <c r="F23" s="197"/>
      <c r="G23" s="198"/>
      <c r="H23" s="197"/>
      <c r="I23" s="198"/>
      <c r="J23" s="197"/>
      <c r="K23" s="198"/>
      <c r="L23" s="199"/>
      <c r="M23" s="199"/>
      <c r="N23" s="199"/>
      <c r="O23" s="155"/>
      <c r="P23" s="193"/>
      <c r="Q23" s="200"/>
      <c r="R23" s="194"/>
      <c r="T23" s="190"/>
      <c r="U23" s="191"/>
    </row>
    <row r="24" spans="1:21">
      <c r="A24" s="192"/>
      <c r="B24" s="1277" t="s">
        <v>1209</v>
      </c>
      <c r="C24" s="1277"/>
      <c r="D24" s="1277"/>
      <c r="E24" s="1277"/>
      <c r="F24" s="1277"/>
      <c r="G24" s="1277"/>
      <c r="H24" s="1277"/>
      <c r="I24" s="1277"/>
      <c r="J24" s="1277"/>
      <c r="K24" s="1277"/>
      <c r="L24" s="1277"/>
      <c r="M24" s="1277"/>
      <c r="N24" s="1277"/>
      <c r="O24" s="1277"/>
      <c r="P24" s="1277"/>
      <c r="Q24" s="203">
        <v>0</v>
      </c>
      <c r="R24" s="204">
        <f>Q24</f>
        <v>0</v>
      </c>
      <c r="T24" s="1278"/>
      <c r="U24" s="1279"/>
    </row>
    <row r="25" spans="1:21">
      <c r="A25" s="192"/>
      <c r="B25" s="1280" t="e">
        <f>med</f>
        <v>#NAME?</v>
      </c>
      <c r="C25" s="1280"/>
      <c r="D25" s="1280"/>
      <c r="E25" s="1280"/>
      <c r="F25" s="1280"/>
      <c r="G25" s="1280"/>
      <c r="H25" s="1280"/>
      <c r="I25" s="1280"/>
      <c r="J25" s="1280"/>
      <c r="K25" s="1280"/>
      <c r="L25" s="1280"/>
      <c r="M25" s="1280"/>
      <c r="N25" s="1280"/>
      <c r="O25" s="1280"/>
      <c r="P25" s="205">
        <f>N22</f>
        <v>44</v>
      </c>
      <c r="Q25" s="203">
        <f>P25</f>
        <v>44</v>
      </c>
      <c r="R25" s="204">
        <f>Q25+R24</f>
        <v>44</v>
      </c>
      <c r="T25" s="1278"/>
      <c r="U25" s="1279"/>
    </row>
    <row r="26" spans="1:21" ht="18" customHeight="1">
      <c r="A26" s="187" t="e">
        <f>#REF!</f>
        <v>#REF!</v>
      </c>
      <c r="B26" s="1275" t="e">
        <f>IF(A26="","",VLOOKUP($A26,'[2]FDE-JUNHO-08'!$A$6:$D$3537,2,FALSE()))</f>
        <v>#REF!</v>
      </c>
      <c r="C26" s="1275"/>
      <c r="D26" s="1275"/>
      <c r="E26" s="1275"/>
      <c r="F26" s="1275"/>
      <c r="G26" s="1275"/>
      <c r="H26" s="1275"/>
      <c r="I26" s="1275"/>
      <c r="J26" s="1275"/>
      <c r="K26" s="1275"/>
      <c r="L26" s="1275"/>
      <c r="M26" s="1275"/>
      <c r="N26" s="1275"/>
      <c r="O26" s="1275"/>
      <c r="P26" s="188" t="e">
        <f>IF(A26="","",VLOOKUP($A26,'[2]FDE-JUNHO-08'!$A$6:$D$3537,3,FALSE()))</f>
        <v>#REF!</v>
      </c>
      <c r="Q26" s="189" t="s">
        <v>1205</v>
      </c>
      <c r="R26" s="189" t="s">
        <v>1206</v>
      </c>
      <c r="T26" s="190"/>
      <c r="U26" s="191"/>
    </row>
    <row r="27" spans="1:21">
      <c r="A27" s="192"/>
      <c r="B27" s="1276"/>
      <c r="C27" s="1276"/>
      <c r="D27" s="1276"/>
      <c r="E27" s="1276"/>
      <c r="F27" s="1276"/>
      <c r="G27" s="1276"/>
      <c r="H27" s="1276"/>
      <c r="I27" s="1276"/>
      <c r="J27" s="1276"/>
      <c r="K27" s="1276"/>
      <c r="L27" s="1276"/>
      <c r="M27" s="1276"/>
      <c r="N27" s="1276"/>
      <c r="O27" s="1276"/>
      <c r="P27" s="193"/>
      <c r="Q27" s="194"/>
      <c r="R27" s="194"/>
      <c r="T27" s="190"/>
      <c r="U27" s="191"/>
    </row>
    <row r="28" spans="1:21">
      <c r="A28" s="192"/>
      <c r="B28" s="195" t="s">
        <v>1207</v>
      </c>
      <c r="C28" s="196"/>
      <c r="D28" s="197"/>
      <c r="E28" s="198"/>
      <c r="F28" s="197"/>
      <c r="G28" s="198"/>
      <c r="H28" s="197"/>
      <c r="I28" s="198"/>
      <c r="J28" s="197"/>
      <c r="K28" s="198"/>
      <c r="L28" s="199"/>
      <c r="M28" s="199" t="s">
        <v>1208</v>
      </c>
      <c r="N28" s="199">
        <v>66</v>
      </c>
      <c r="O28" s="155"/>
      <c r="P28" s="193"/>
      <c r="Q28" s="200"/>
      <c r="R28" s="194"/>
      <c r="T28" s="190"/>
      <c r="U28" s="191"/>
    </row>
    <row r="29" spans="1:21">
      <c r="A29" s="192"/>
      <c r="B29" s="195"/>
      <c r="C29" s="196"/>
      <c r="D29" s="197"/>
      <c r="E29" s="198"/>
      <c r="F29" s="197"/>
      <c r="G29" s="198"/>
      <c r="H29" s="197"/>
      <c r="I29" s="198"/>
      <c r="J29" s="197"/>
      <c r="K29" s="198"/>
      <c r="L29" s="199"/>
      <c r="M29" s="199"/>
      <c r="N29" s="201"/>
      <c r="O29" s="202"/>
      <c r="P29" s="193"/>
      <c r="Q29" s="200"/>
      <c r="R29" s="194"/>
      <c r="T29" s="190"/>
      <c r="U29" s="191"/>
    </row>
    <row r="30" spans="1:21">
      <c r="A30" s="192"/>
      <c r="B30" s="195"/>
      <c r="C30" s="196"/>
      <c r="D30" s="197"/>
      <c r="E30" s="198"/>
      <c r="F30" s="197"/>
      <c r="G30" s="198"/>
      <c r="H30" s="197"/>
      <c r="I30" s="198"/>
      <c r="J30" s="197"/>
      <c r="K30" s="198"/>
      <c r="L30" s="199" t="s">
        <v>1140</v>
      </c>
      <c r="M30" s="199" t="s">
        <v>1208</v>
      </c>
      <c r="N30" s="199">
        <f>SUM(N28:N29)</f>
        <v>66</v>
      </c>
      <c r="O30" s="155" t="e">
        <f>P26</f>
        <v>#REF!</v>
      </c>
      <c r="P30" s="193"/>
      <c r="Q30" s="200"/>
      <c r="R30" s="194"/>
      <c r="T30" s="190"/>
      <c r="U30" s="191"/>
    </row>
    <row r="31" spans="1:21">
      <c r="A31" s="192"/>
      <c r="B31" s="195"/>
      <c r="C31" s="196"/>
      <c r="D31" s="197"/>
      <c r="E31" s="198"/>
      <c r="F31" s="197"/>
      <c r="G31" s="198"/>
      <c r="H31" s="197"/>
      <c r="I31" s="198"/>
      <c r="J31" s="197"/>
      <c r="K31" s="198"/>
      <c r="L31" s="199"/>
      <c r="M31" s="199"/>
      <c r="N31" s="199"/>
      <c r="O31" s="155"/>
      <c r="P31" s="193"/>
      <c r="Q31" s="200"/>
      <c r="R31" s="194"/>
      <c r="T31" s="190"/>
      <c r="U31" s="191"/>
    </row>
    <row r="32" spans="1:21">
      <c r="A32" s="192"/>
      <c r="B32" s="1277" t="s">
        <v>1209</v>
      </c>
      <c r="C32" s="1277"/>
      <c r="D32" s="1277"/>
      <c r="E32" s="1277"/>
      <c r="F32" s="1277"/>
      <c r="G32" s="1277"/>
      <c r="H32" s="1277"/>
      <c r="I32" s="1277"/>
      <c r="J32" s="1277"/>
      <c r="K32" s="1277"/>
      <c r="L32" s="1277"/>
      <c r="M32" s="1277"/>
      <c r="N32" s="1277"/>
      <c r="O32" s="1277"/>
      <c r="P32" s="1277"/>
      <c r="Q32" s="203">
        <v>0</v>
      </c>
      <c r="R32" s="204">
        <f>Q32</f>
        <v>0</v>
      </c>
      <c r="T32" s="1278"/>
      <c r="U32" s="1279"/>
    </row>
    <row r="33" spans="1:21">
      <c r="A33" s="192"/>
      <c r="B33" s="1280" t="e">
        <f>med</f>
        <v>#NAME?</v>
      </c>
      <c r="C33" s="1280"/>
      <c r="D33" s="1280"/>
      <c r="E33" s="1280"/>
      <c r="F33" s="1280"/>
      <c r="G33" s="1280"/>
      <c r="H33" s="1280"/>
      <c r="I33" s="1280"/>
      <c r="J33" s="1280"/>
      <c r="K33" s="1280"/>
      <c r="L33" s="1280"/>
      <c r="M33" s="1280"/>
      <c r="N33" s="1280"/>
      <c r="O33" s="1280"/>
      <c r="P33" s="205">
        <f>N30</f>
        <v>66</v>
      </c>
      <c r="Q33" s="203">
        <f>P33</f>
        <v>66</v>
      </c>
      <c r="R33" s="204">
        <f>Q33+R32</f>
        <v>66</v>
      </c>
      <c r="T33" s="1278"/>
      <c r="U33" s="1279"/>
    </row>
    <row r="34" spans="1:21" ht="18" customHeight="1">
      <c r="A34" s="187" t="e">
        <f>#REF!</f>
        <v>#REF!</v>
      </c>
      <c r="B34" s="1275" t="e">
        <f>IF(A34="","",VLOOKUP($A34,'[2]FDE-JUNHO-08'!$A$6:$D$3537,2,FALSE()))</f>
        <v>#REF!</v>
      </c>
      <c r="C34" s="1275"/>
      <c r="D34" s="1275"/>
      <c r="E34" s="1275"/>
      <c r="F34" s="1275"/>
      <c r="G34" s="1275"/>
      <c r="H34" s="1275"/>
      <c r="I34" s="1275"/>
      <c r="J34" s="1275"/>
      <c r="K34" s="1275"/>
      <c r="L34" s="1275"/>
      <c r="M34" s="1275"/>
      <c r="N34" s="1275"/>
      <c r="O34" s="1275"/>
      <c r="P34" s="188" t="e">
        <f>IF(A34="","",VLOOKUP($A34,'[2]FDE-JUNHO-08'!$A$6:$D$3537,3,FALSE()))</f>
        <v>#REF!</v>
      </c>
      <c r="Q34" s="189" t="s">
        <v>1205</v>
      </c>
      <c r="R34" s="189" t="s">
        <v>1206</v>
      </c>
      <c r="T34" s="190"/>
      <c r="U34" s="191"/>
    </row>
    <row r="35" spans="1:21">
      <c r="A35" s="192"/>
      <c r="B35" s="1276"/>
      <c r="C35" s="1276"/>
      <c r="D35" s="1276"/>
      <c r="E35" s="1276"/>
      <c r="F35" s="1276"/>
      <c r="G35" s="1276"/>
      <c r="H35" s="1276"/>
      <c r="I35" s="1276"/>
      <c r="J35" s="1276"/>
      <c r="K35" s="1276"/>
      <c r="L35" s="1276"/>
      <c r="M35" s="1276"/>
      <c r="N35" s="1276"/>
      <c r="O35" s="1276"/>
      <c r="P35" s="193"/>
      <c r="Q35" s="194"/>
      <c r="R35" s="194"/>
      <c r="T35" s="190"/>
      <c r="U35" s="191"/>
    </row>
    <row r="36" spans="1:21">
      <c r="A36" s="192"/>
      <c r="B36" s="195" t="s">
        <v>1207</v>
      </c>
      <c r="C36" s="196"/>
      <c r="D36" s="197"/>
      <c r="E36" s="198"/>
      <c r="F36" s="197"/>
      <c r="G36" s="198"/>
      <c r="H36" s="197"/>
      <c r="I36" s="198"/>
      <c r="J36" s="197"/>
      <c r="K36" s="198"/>
      <c r="L36" s="199"/>
      <c r="M36" s="199" t="s">
        <v>1208</v>
      </c>
      <c r="N36" s="199">
        <v>25</v>
      </c>
      <c r="O36" s="155"/>
      <c r="P36" s="193"/>
      <c r="Q36" s="200"/>
      <c r="R36" s="194"/>
      <c r="T36" s="190"/>
      <c r="U36" s="191"/>
    </row>
    <row r="37" spans="1:21">
      <c r="A37" s="192"/>
      <c r="B37" s="195"/>
      <c r="C37" s="196"/>
      <c r="D37" s="197"/>
      <c r="E37" s="198"/>
      <c r="F37" s="197"/>
      <c r="G37" s="198"/>
      <c r="H37" s="197"/>
      <c r="I37" s="198"/>
      <c r="J37" s="197"/>
      <c r="K37" s="198"/>
      <c r="L37" s="199"/>
      <c r="M37" s="199"/>
      <c r="N37" s="201"/>
      <c r="O37" s="202"/>
      <c r="P37" s="193"/>
      <c r="Q37" s="200"/>
      <c r="R37" s="194"/>
      <c r="T37" s="190"/>
      <c r="U37" s="191"/>
    </row>
    <row r="38" spans="1:21">
      <c r="A38" s="192"/>
      <c r="B38" s="195"/>
      <c r="C38" s="196"/>
      <c r="D38" s="197"/>
      <c r="E38" s="198"/>
      <c r="F38" s="197"/>
      <c r="G38" s="198"/>
      <c r="H38" s="197"/>
      <c r="I38" s="198"/>
      <c r="J38" s="197"/>
      <c r="K38" s="198"/>
      <c r="L38" s="199" t="s">
        <v>1140</v>
      </c>
      <c r="M38" s="199" t="s">
        <v>1208</v>
      </c>
      <c r="N38" s="199">
        <f>SUM(N36:N37)</f>
        <v>25</v>
      </c>
      <c r="O38" s="155" t="e">
        <f>P34</f>
        <v>#REF!</v>
      </c>
      <c r="P38" s="193"/>
      <c r="Q38" s="200"/>
      <c r="R38" s="194"/>
      <c r="T38" s="190"/>
      <c r="U38" s="191"/>
    </row>
    <row r="39" spans="1:21">
      <c r="A39" s="192"/>
      <c r="B39" s="195"/>
      <c r="C39" s="196"/>
      <c r="D39" s="197"/>
      <c r="E39" s="198"/>
      <c r="F39" s="197"/>
      <c r="G39" s="198"/>
      <c r="H39" s="197"/>
      <c r="I39" s="198"/>
      <c r="J39" s="197"/>
      <c r="K39" s="198"/>
      <c r="L39" s="199"/>
      <c r="M39" s="199"/>
      <c r="N39" s="199"/>
      <c r="O39" s="155"/>
      <c r="P39" s="193"/>
      <c r="Q39" s="200"/>
      <c r="R39" s="194"/>
      <c r="T39" s="190"/>
      <c r="U39" s="191"/>
    </row>
    <row r="40" spans="1:21">
      <c r="A40" s="192"/>
      <c r="B40" s="1277" t="s">
        <v>1209</v>
      </c>
      <c r="C40" s="1277"/>
      <c r="D40" s="1277"/>
      <c r="E40" s="1277"/>
      <c r="F40" s="1277"/>
      <c r="G40" s="1277"/>
      <c r="H40" s="1277"/>
      <c r="I40" s="1277"/>
      <c r="J40" s="1277"/>
      <c r="K40" s="1277"/>
      <c r="L40" s="1277"/>
      <c r="M40" s="1277"/>
      <c r="N40" s="1277"/>
      <c r="O40" s="1277"/>
      <c r="P40" s="1277"/>
      <c r="Q40" s="203">
        <v>0</v>
      </c>
      <c r="R40" s="204">
        <f>Q40</f>
        <v>0</v>
      </c>
      <c r="T40" s="1278"/>
      <c r="U40" s="1279"/>
    </row>
    <row r="41" spans="1:21">
      <c r="A41" s="192"/>
      <c r="B41" s="1280" t="e">
        <f>med</f>
        <v>#NAME?</v>
      </c>
      <c r="C41" s="1280"/>
      <c r="D41" s="1280"/>
      <c r="E41" s="1280"/>
      <c r="F41" s="1280"/>
      <c r="G41" s="1280"/>
      <c r="H41" s="1280"/>
      <c r="I41" s="1280"/>
      <c r="J41" s="1280"/>
      <c r="K41" s="1280"/>
      <c r="L41" s="1280"/>
      <c r="M41" s="1280"/>
      <c r="N41" s="1280"/>
      <c r="O41" s="1280"/>
      <c r="P41" s="205">
        <f>N38</f>
        <v>25</v>
      </c>
      <c r="Q41" s="203">
        <f>P41</f>
        <v>25</v>
      </c>
      <c r="R41" s="204">
        <f>Q41+R40</f>
        <v>25</v>
      </c>
      <c r="T41" s="1278"/>
      <c r="U41" s="1279"/>
    </row>
    <row r="42" spans="1:21" ht="18" customHeight="1">
      <c r="A42" s="187" t="e">
        <f>#REF!</f>
        <v>#REF!</v>
      </c>
      <c r="B42" s="1275" t="e">
        <f>IF(A42="","",VLOOKUP($A42,'[2]FDE-JUNHO-08'!$A$6:$D$3537,2,FALSE()))</f>
        <v>#REF!</v>
      </c>
      <c r="C42" s="1275"/>
      <c r="D42" s="1275"/>
      <c r="E42" s="1275"/>
      <c r="F42" s="1275"/>
      <c r="G42" s="1275"/>
      <c r="H42" s="1275"/>
      <c r="I42" s="1275"/>
      <c r="J42" s="1275"/>
      <c r="K42" s="1275"/>
      <c r="L42" s="1275"/>
      <c r="M42" s="1275"/>
      <c r="N42" s="1275"/>
      <c r="O42" s="1275"/>
      <c r="P42" s="188" t="e">
        <f>IF(A42="","",VLOOKUP($A42,'[2]FDE-JUNHO-08'!$A$6:$D$3537,3,FALSE()))</f>
        <v>#REF!</v>
      </c>
      <c r="Q42" s="189" t="s">
        <v>1205</v>
      </c>
      <c r="R42" s="189" t="s">
        <v>1206</v>
      </c>
      <c r="T42" s="190"/>
      <c r="U42" s="191"/>
    </row>
    <row r="43" spans="1:21">
      <c r="A43" s="192"/>
      <c r="B43" s="1276"/>
      <c r="C43" s="1276"/>
      <c r="D43" s="1276"/>
      <c r="E43" s="1276"/>
      <c r="F43" s="1276"/>
      <c r="G43" s="1276"/>
      <c r="H43" s="1276"/>
      <c r="I43" s="1276"/>
      <c r="J43" s="1276"/>
      <c r="K43" s="1276"/>
      <c r="L43" s="1276"/>
      <c r="M43" s="1276"/>
      <c r="N43" s="1276"/>
      <c r="O43" s="1276"/>
      <c r="P43" s="193"/>
      <c r="Q43" s="194"/>
      <c r="R43" s="194"/>
      <c r="T43" s="190"/>
      <c r="U43" s="191"/>
    </row>
    <row r="44" spans="1:21">
      <c r="A44" s="192"/>
      <c r="B44" s="195" t="s">
        <v>1207</v>
      </c>
      <c r="C44" s="196"/>
      <c r="D44" s="197"/>
      <c r="E44" s="198"/>
      <c r="F44" s="197"/>
      <c r="G44" s="198"/>
      <c r="H44" s="197"/>
      <c r="I44" s="198"/>
      <c r="J44" s="197"/>
      <c r="K44" s="198"/>
      <c r="L44" s="199"/>
      <c r="M44" s="199" t="s">
        <v>1208</v>
      </c>
      <c r="N44" s="199">
        <v>5</v>
      </c>
      <c r="O44" s="155"/>
      <c r="P44" s="193"/>
      <c r="Q44" s="200"/>
      <c r="R44" s="194"/>
      <c r="T44" s="190"/>
      <c r="U44" s="191"/>
    </row>
    <row r="45" spans="1:21">
      <c r="A45" s="192"/>
      <c r="B45" s="195"/>
      <c r="C45" s="196"/>
      <c r="D45" s="197"/>
      <c r="E45" s="198"/>
      <c r="F45" s="197"/>
      <c r="G45" s="198"/>
      <c r="H45" s="197"/>
      <c r="I45" s="198"/>
      <c r="J45" s="197"/>
      <c r="K45" s="198"/>
      <c r="L45" s="199"/>
      <c r="M45" s="199"/>
      <c r="N45" s="201"/>
      <c r="O45" s="202"/>
      <c r="P45" s="193"/>
      <c r="Q45" s="200"/>
      <c r="R45" s="194"/>
      <c r="T45" s="190"/>
      <c r="U45" s="191"/>
    </row>
    <row r="46" spans="1:21">
      <c r="A46" s="192"/>
      <c r="B46" s="195"/>
      <c r="C46" s="196"/>
      <c r="D46" s="197"/>
      <c r="E46" s="198"/>
      <c r="F46" s="197"/>
      <c r="G46" s="198"/>
      <c r="H46" s="197"/>
      <c r="I46" s="198"/>
      <c r="J46" s="197"/>
      <c r="K46" s="198"/>
      <c r="L46" s="199" t="s">
        <v>1140</v>
      </c>
      <c r="M46" s="199" t="s">
        <v>1208</v>
      </c>
      <c r="N46" s="199">
        <f>SUM(N44:N45)</f>
        <v>5</v>
      </c>
      <c r="O46" s="155" t="e">
        <f>P42</f>
        <v>#REF!</v>
      </c>
      <c r="P46" s="193"/>
      <c r="Q46" s="200"/>
      <c r="R46" s="194"/>
      <c r="T46" s="190"/>
      <c r="U46" s="191"/>
    </row>
    <row r="47" spans="1:21">
      <c r="A47" s="192"/>
      <c r="B47" s="195"/>
      <c r="C47" s="196"/>
      <c r="D47" s="197"/>
      <c r="E47" s="198"/>
      <c r="F47" s="197"/>
      <c r="G47" s="198"/>
      <c r="H47" s="197"/>
      <c r="I47" s="198"/>
      <c r="J47" s="197"/>
      <c r="K47" s="198"/>
      <c r="L47" s="199"/>
      <c r="M47" s="199"/>
      <c r="N47" s="199"/>
      <c r="O47" s="155"/>
      <c r="P47" s="193"/>
      <c r="Q47" s="200"/>
      <c r="R47" s="194"/>
      <c r="T47" s="190"/>
      <c r="U47" s="191"/>
    </row>
    <row r="48" spans="1:21">
      <c r="A48" s="192"/>
      <c r="B48" s="1277" t="s">
        <v>1209</v>
      </c>
      <c r="C48" s="1277"/>
      <c r="D48" s="1277"/>
      <c r="E48" s="1277"/>
      <c r="F48" s="1277"/>
      <c r="G48" s="1277"/>
      <c r="H48" s="1277"/>
      <c r="I48" s="1277"/>
      <c r="J48" s="1277"/>
      <c r="K48" s="1277"/>
      <c r="L48" s="1277"/>
      <c r="M48" s="1277"/>
      <c r="N48" s="1277"/>
      <c r="O48" s="1277"/>
      <c r="P48" s="1277"/>
      <c r="Q48" s="203">
        <v>0</v>
      </c>
      <c r="R48" s="204">
        <f>Q48</f>
        <v>0</v>
      </c>
      <c r="T48" s="1278"/>
      <c r="U48" s="1279"/>
    </row>
    <row r="49" spans="1:21">
      <c r="A49" s="192"/>
      <c r="B49" s="1280" t="e">
        <f>med</f>
        <v>#NAME?</v>
      </c>
      <c r="C49" s="1280"/>
      <c r="D49" s="1280"/>
      <c r="E49" s="1280"/>
      <c r="F49" s="1280"/>
      <c r="G49" s="1280"/>
      <c r="H49" s="1280"/>
      <c r="I49" s="1280"/>
      <c r="J49" s="1280"/>
      <c r="K49" s="1280"/>
      <c r="L49" s="1280"/>
      <c r="M49" s="1280"/>
      <c r="N49" s="1280"/>
      <c r="O49" s="1280"/>
      <c r="P49" s="205">
        <f>N46</f>
        <v>5</v>
      </c>
      <c r="Q49" s="203">
        <f>P49</f>
        <v>5</v>
      </c>
      <c r="R49" s="204">
        <f>Q49+R48</f>
        <v>5</v>
      </c>
      <c r="T49" s="1278"/>
      <c r="U49" s="1279"/>
    </row>
    <row r="50" spans="1:21" ht="18" customHeight="1">
      <c r="A50" s="187" t="e">
        <f>#REF!</f>
        <v>#REF!</v>
      </c>
      <c r="B50" s="1275" t="e">
        <f>IF(A50="","",VLOOKUP($A50,'[2]FDE-JUNHO-08'!$A$6:$D$3537,2,FALSE()))</f>
        <v>#REF!</v>
      </c>
      <c r="C50" s="1275"/>
      <c r="D50" s="1275"/>
      <c r="E50" s="1275"/>
      <c r="F50" s="1275"/>
      <c r="G50" s="1275"/>
      <c r="H50" s="1275"/>
      <c r="I50" s="1275"/>
      <c r="J50" s="1275"/>
      <c r="K50" s="1275"/>
      <c r="L50" s="1275"/>
      <c r="M50" s="1275"/>
      <c r="N50" s="1275"/>
      <c r="O50" s="1275"/>
      <c r="P50" s="188" t="e">
        <f>IF(A50="","",VLOOKUP($A50,'[2]FDE-JUNHO-08'!$A$6:$D$3537,3,FALSE()))</f>
        <v>#REF!</v>
      </c>
      <c r="Q50" s="189" t="s">
        <v>1205</v>
      </c>
      <c r="R50" s="189" t="s">
        <v>1206</v>
      </c>
      <c r="T50" s="190"/>
      <c r="U50" s="191"/>
    </row>
    <row r="51" spans="1:21">
      <c r="A51" s="192"/>
      <c r="B51" s="1276"/>
      <c r="C51" s="1276"/>
      <c r="D51" s="1276"/>
      <c r="E51" s="1276"/>
      <c r="F51" s="1276"/>
      <c r="G51" s="1276"/>
      <c r="H51" s="1276"/>
      <c r="I51" s="1276"/>
      <c r="J51" s="1276"/>
      <c r="K51" s="1276"/>
      <c r="L51" s="1276"/>
      <c r="M51" s="1276"/>
      <c r="N51" s="1276"/>
      <c r="O51" s="1276"/>
      <c r="P51" s="193"/>
      <c r="Q51" s="194"/>
      <c r="R51" s="194"/>
      <c r="T51" s="190"/>
      <c r="U51" s="191"/>
    </row>
    <row r="52" spans="1:21">
      <c r="A52" s="192"/>
      <c r="B52" s="195" t="s">
        <v>1207</v>
      </c>
      <c r="C52" s="196"/>
      <c r="D52" s="197"/>
      <c r="E52" s="198"/>
      <c r="F52" s="197"/>
      <c r="G52" s="198"/>
      <c r="H52" s="197"/>
      <c r="I52" s="198"/>
      <c r="J52" s="197"/>
      <c r="K52" s="198"/>
      <c r="L52" s="199"/>
      <c r="M52" s="199" t="s">
        <v>1208</v>
      </c>
      <c r="N52" s="199" t="e">
        <f>#REF!</f>
        <v>#REF!</v>
      </c>
      <c r="O52" s="155"/>
      <c r="P52" s="193"/>
      <c r="Q52" s="200"/>
      <c r="R52" s="194"/>
      <c r="T52" s="190"/>
      <c r="U52" s="191"/>
    </row>
    <row r="53" spans="1:21">
      <c r="A53" s="192"/>
      <c r="B53" s="195"/>
      <c r="C53" s="196"/>
      <c r="D53" s="197"/>
      <c r="E53" s="198"/>
      <c r="F53" s="197"/>
      <c r="G53" s="198"/>
      <c r="H53" s="197"/>
      <c r="I53" s="198"/>
      <c r="J53" s="197"/>
      <c r="K53" s="198"/>
      <c r="L53" s="199"/>
      <c r="M53" s="199"/>
      <c r="N53" s="199"/>
      <c r="O53" s="155"/>
      <c r="P53" s="193"/>
      <c r="Q53" s="200"/>
      <c r="R53" s="194"/>
      <c r="T53" s="190"/>
      <c r="U53" s="191"/>
    </row>
    <row r="54" spans="1:21">
      <c r="A54" s="192"/>
      <c r="B54" s="195"/>
      <c r="C54" s="196"/>
      <c r="D54" s="197"/>
      <c r="E54" s="198"/>
      <c r="F54" s="197"/>
      <c r="G54" s="198"/>
      <c r="H54" s="197"/>
      <c r="I54" s="198"/>
      <c r="J54" s="197"/>
      <c r="K54" s="198"/>
      <c r="L54" s="199"/>
      <c r="M54" s="199"/>
      <c r="N54" s="201"/>
      <c r="O54" s="202"/>
      <c r="P54" s="193"/>
      <c r="Q54" s="200"/>
      <c r="R54" s="194"/>
      <c r="T54" s="190"/>
      <c r="U54" s="191"/>
    </row>
    <row r="55" spans="1:21">
      <c r="A55" s="192"/>
      <c r="B55" s="195"/>
      <c r="C55" s="196"/>
      <c r="D55" s="197"/>
      <c r="E55" s="198"/>
      <c r="F55" s="197"/>
      <c r="G55" s="198"/>
      <c r="H55" s="197"/>
      <c r="I55" s="198"/>
      <c r="J55" s="197"/>
      <c r="K55" s="198"/>
      <c r="L55" s="199" t="s">
        <v>1140</v>
      </c>
      <c r="M55" s="199" t="s">
        <v>1208</v>
      </c>
      <c r="N55" s="199" t="e">
        <f>SUM(N52:N54)</f>
        <v>#REF!</v>
      </c>
      <c r="O55" s="155" t="e">
        <f>P50</f>
        <v>#REF!</v>
      </c>
      <c r="P55" s="193"/>
      <c r="Q55" s="200"/>
      <c r="R55" s="194"/>
      <c r="T55" s="190"/>
      <c r="U55" s="191"/>
    </row>
    <row r="56" spans="1:21">
      <c r="A56" s="192"/>
      <c r="B56" s="195"/>
      <c r="C56" s="196"/>
      <c r="D56" s="197"/>
      <c r="E56" s="198"/>
      <c r="F56" s="197"/>
      <c r="G56" s="198"/>
      <c r="H56" s="197"/>
      <c r="I56" s="198"/>
      <c r="J56" s="197"/>
      <c r="K56" s="198"/>
      <c r="L56" s="199"/>
      <c r="M56" s="199"/>
      <c r="N56" s="199"/>
      <c r="O56" s="155"/>
      <c r="P56" s="193"/>
      <c r="Q56" s="200"/>
      <c r="R56" s="194"/>
      <c r="T56" s="190"/>
      <c r="U56" s="191"/>
    </row>
    <row r="57" spans="1:21">
      <c r="A57" s="192"/>
      <c r="B57" s="1277" t="s">
        <v>1209</v>
      </c>
      <c r="C57" s="1277"/>
      <c r="D57" s="1277"/>
      <c r="E57" s="1277"/>
      <c r="F57" s="1277"/>
      <c r="G57" s="1277"/>
      <c r="H57" s="1277"/>
      <c r="I57" s="1277"/>
      <c r="J57" s="1277"/>
      <c r="K57" s="1277"/>
      <c r="L57" s="1277"/>
      <c r="M57" s="1277"/>
      <c r="N57" s="1277"/>
      <c r="O57" s="1277"/>
      <c r="P57" s="1277"/>
      <c r="Q57" s="203">
        <v>0</v>
      </c>
      <c r="R57" s="204">
        <f>Q57</f>
        <v>0</v>
      </c>
      <c r="T57" s="1278"/>
      <c r="U57" s="1279"/>
    </row>
    <row r="58" spans="1:21">
      <c r="A58" s="192"/>
      <c r="B58" s="1280" t="e">
        <f>med</f>
        <v>#NAME?</v>
      </c>
      <c r="C58" s="1280"/>
      <c r="D58" s="1280"/>
      <c r="E58" s="1280"/>
      <c r="F58" s="1280"/>
      <c r="G58" s="1280"/>
      <c r="H58" s="1280"/>
      <c r="I58" s="1280"/>
      <c r="J58" s="1280"/>
      <c r="K58" s="1280"/>
      <c r="L58" s="1280"/>
      <c r="M58" s="1280"/>
      <c r="N58" s="1280"/>
      <c r="O58" s="1280"/>
      <c r="P58" s="205" t="e">
        <f>N55</f>
        <v>#REF!</v>
      </c>
      <c r="Q58" s="203" t="e">
        <f>P58</f>
        <v>#REF!</v>
      </c>
      <c r="R58" s="204" t="e">
        <f>Q58+R57</f>
        <v>#REF!</v>
      </c>
      <c r="T58" s="1278"/>
      <c r="U58" s="1279"/>
    </row>
    <row r="59" spans="1:21" ht="18" customHeight="1">
      <c r="A59" s="187" t="e">
        <f>#REF!</f>
        <v>#REF!</v>
      </c>
      <c r="B59" s="1275" t="e">
        <f>IF(A59="","",VLOOKUP($A59,'[2]FDE-JUNHO-08'!$A$6:$D$3537,2,FALSE()))</f>
        <v>#REF!</v>
      </c>
      <c r="C59" s="1275"/>
      <c r="D59" s="1275"/>
      <c r="E59" s="1275"/>
      <c r="F59" s="1275"/>
      <c r="G59" s="1275"/>
      <c r="H59" s="1275"/>
      <c r="I59" s="1275"/>
      <c r="J59" s="1275"/>
      <c r="K59" s="1275"/>
      <c r="L59" s="1275"/>
      <c r="M59" s="1275"/>
      <c r="N59" s="1275"/>
      <c r="O59" s="1275"/>
      <c r="P59" s="188" t="e">
        <f>IF(A59="","",VLOOKUP($A59,'[2]FDE-JUNHO-08'!$A$6:$D$3537,3,FALSE()))</f>
        <v>#REF!</v>
      </c>
      <c r="Q59" s="189" t="s">
        <v>1205</v>
      </c>
      <c r="R59" s="189" t="s">
        <v>1206</v>
      </c>
      <c r="T59" s="190"/>
      <c r="U59" s="191"/>
    </row>
    <row r="60" spans="1:21">
      <c r="A60" s="192"/>
      <c r="B60" s="1276"/>
      <c r="C60" s="1276"/>
      <c r="D60" s="1276"/>
      <c r="E60" s="1276"/>
      <c r="F60" s="1276"/>
      <c r="G60" s="1276"/>
      <c r="H60" s="1276"/>
      <c r="I60" s="1276"/>
      <c r="J60" s="1276"/>
      <c r="K60" s="1276"/>
      <c r="L60" s="1276"/>
      <c r="M60" s="1276"/>
      <c r="N60" s="1276"/>
      <c r="O60" s="1276"/>
      <c r="P60" s="193"/>
      <c r="Q60" s="194"/>
      <c r="R60" s="194"/>
      <c r="T60" s="190"/>
      <c r="U60" s="191"/>
    </row>
    <row r="61" spans="1:21">
      <c r="A61" s="192"/>
      <c r="B61" s="195" t="s">
        <v>1207</v>
      </c>
      <c r="C61" s="196"/>
      <c r="D61" s="197"/>
      <c r="E61" s="198"/>
      <c r="F61" s="197"/>
      <c r="G61" s="198"/>
      <c r="H61" s="197"/>
      <c r="I61" s="198"/>
      <c r="J61" s="197"/>
      <c r="K61" s="198"/>
      <c r="L61" s="199"/>
      <c r="M61" s="199" t="s">
        <v>1208</v>
      </c>
      <c r="N61" s="199">
        <v>2</v>
      </c>
      <c r="O61" s="155"/>
      <c r="P61" s="193"/>
      <c r="Q61" s="200"/>
      <c r="R61" s="194"/>
      <c r="T61" s="190"/>
      <c r="U61" s="191"/>
    </row>
    <row r="62" spans="1:21">
      <c r="A62" s="192"/>
      <c r="B62" s="195"/>
      <c r="C62" s="196"/>
      <c r="D62" s="197"/>
      <c r="E62" s="198"/>
      <c r="F62" s="197"/>
      <c r="G62" s="198"/>
      <c r="H62" s="197"/>
      <c r="I62" s="198"/>
      <c r="J62" s="197"/>
      <c r="K62" s="198"/>
      <c r="L62" s="199"/>
      <c r="M62" s="199"/>
      <c r="N62" s="199"/>
      <c r="O62" s="155"/>
      <c r="P62" s="193"/>
      <c r="Q62" s="200"/>
      <c r="R62" s="194"/>
      <c r="T62" s="190"/>
      <c r="U62" s="191"/>
    </row>
    <row r="63" spans="1:21">
      <c r="A63" s="192"/>
      <c r="B63" s="195"/>
      <c r="C63" s="196"/>
      <c r="D63" s="197"/>
      <c r="E63" s="198"/>
      <c r="F63" s="197"/>
      <c r="G63" s="198"/>
      <c r="H63" s="197"/>
      <c r="I63" s="198"/>
      <c r="J63" s="197"/>
      <c r="K63" s="198"/>
      <c r="L63" s="199"/>
      <c r="M63" s="199"/>
      <c r="N63" s="201"/>
      <c r="O63" s="202"/>
      <c r="P63" s="193"/>
      <c r="Q63" s="200"/>
      <c r="R63" s="194"/>
      <c r="T63" s="190"/>
      <c r="U63" s="191"/>
    </row>
    <row r="64" spans="1:21">
      <c r="A64" s="192"/>
      <c r="B64" s="195"/>
      <c r="C64" s="196"/>
      <c r="D64" s="197"/>
      <c r="E64" s="198"/>
      <c r="F64" s="197"/>
      <c r="G64" s="198"/>
      <c r="H64" s="197"/>
      <c r="I64" s="198"/>
      <c r="J64" s="197"/>
      <c r="K64" s="198"/>
      <c r="L64" s="199" t="s">
        <v>1140</v>
      </c>
      <c r="M64" s="199" t="s">
        <v>1208</v>
      </c>
      <c r="N64" s="199">
        <f>SUM(N61:N63)</f>
        <v>2</v>
      </c>
      <c r="O64" s="155" t="e">
        <f>P59</f>
        <v>#REF!</v>
      </c>
      <c r="P64" s="193"/>
      <c r="Q64" s="200"/>
      <c r="R64" s="194"/>
      <c r="T64" s="190"/>
      <c r="U64" s="191"/>
    </row>
    <row r="65" spans="1:21">
      <c r="A65" s="192"/>
      <c r="B65" s="195"/>
      <c r="C65" s="196"/>
      <c r="D65" s="197"/>
      <c r="E65" s="198"/>
      <c r="F65" s="197"/>
      <c r="G65" s="198"/>
      <c r="H65" s="197"/>
      <c r="I65" s="198"/>
      <c r="J65" s="197"/>
      <c r="K65" s="198"/>
      <c r="L65" s="199"/>
      <c r="M65" s="199"/>
      <c r="N65" s="199"/>
      <c r="O65" s="155"/>
      <c r="P65" s="193"/>
      <c r="Q65" s="200"/>
      <c r="R65" s="194"/>
      <c r="T65" s="190"/>
      <c r="U65" s="191"/>
    </row>
    <row r="66" spans="1:21">
      <c r="A66" s="192"/>
      <c r="B66" s="1277" t="s">
        <v>1209</v>
      </c>
      <c r="C66" s="1277"/>
      <c r="D66" s="1277"/>
      <c r="E66" s="1277"/>
      <c r="F66" s="1277"/>
      <c r="G66" s="1277"/>
      <c r="H66" s="1277"/>
      <c r="I66" s="1277"/>
      <c r="J66" s="1277"/>
      <c r="K66" s="1277"/>
      <c r="L66" s="1277"/>
      <c r="M66" s="1277"/>
      <c r="N66" s="1277"/>
      <c r="O66" s="1277"/>
      <c r="P66" s="1277"/>
      <c r="Q66" s="203">
        <v>0</v>
      </c>
      <c r="R66" s="204">
        <f>Q66</f>
        <v>0</v>
      </c>
      <c r="T66" s="1278"/>
      <c r="U66" s="1279"/>
    </row>
    <row r="67" spans="1:21">
      <c r="A67" s="192"/>
      <c r="B67" s="1280" t="e">
        <f>med</f>
        <v>#NAME?</v>
      </c>
      <c r="C67" s="1280"/>
      <c r="D67" s="1280"/>
      <c r="E67" s="1280"/>
      <c r="F67" s="1280"/>
      <c r="G67" s="1280"/>
      <c r="H67" s="1280"/>
      <c r="I67" s="1280"/>
      <c r="J67" s="1280"/>
      <c r="K67" s="1280"/>
      <c r="L67" s="1280"/>
      <c r="M67" s="1280"/>
      <c r="N67" s="1280"/>
      <c r="O67" s="1280"/>
      <c r="P67" s="205">
        <f>N64</f>
        <v>2</v>
      </c>
      <c r="Q67" s="203">
        <f>P67</f>
        <v>2</v>
      </c>
      <c r="R67" s="204">
        <f>Q67+R66</f>
        <v>2</v>
      </c>
      <c r="T67" s="1278"/>
      <c r="U67" s="1279"/>
    </row>
    <row r="68" spans="1:21" ht="18" customHeight="1">
      <c r="A68" s="187" t="e">
        <f>#REF!</f>
        <v>#REF!</v>
      </c>
      <c r="B68" s="1275" t="e">
        <f>IF(A68="","",VLOOKUP($A68,'[2]FDE-JUNHO-08'!$A$6:$D$3537,2,FALSE()))</f>
        <v>#REF!</v>
      </c>
      <c r="C68" s="1275"/>
      <c r="D68" s="1275"/>
      <c r="E68" s="1275"/>
      <c r="F68" s="1275"/>
      <c r="G68" s="1275"/>
      <c r="H68" s="1275"/>
      <c r="I68" s="1275"/>
      <c r="J68" s="1275"/>
      <c r="K68" s="1275"/>
      <c r="L68" s="1275"/>
      <c r="M68" s="1275"/>
      <c r="N68" s="1275"/>
      <c r="O68" s="1275"/>
      <c r="P68" s="188" t="e">
        <f>IF(A68="","",VLOOKUP($A68,'[2]FDE-JUNHO-08'!$A$6:$D$3537,3,FALSE()))</f>
        <v>#REF!</v>
      </c>
      <c r="Q68" s="189" t="s">
        <v>1205</v>
      </c>
      <c r="R68" s="189" t="s">
        <v>1206</v>
      </c>
      <c r="T68" s="190"/>
      <c r="U68" s="191"/>
    </row>
    <row r="69" spans="1:21">
      <c r="A69" s="192"/>
      <c r="B69" s="1281"/>
      <c r="C69" s="1281"/>
      <c r="D69" s="1281"/>
      <c r="E69" s="1281"/>
      <c r="F69" s="1281"/>
      <c r="G69" s="1281"/>
      <c r="H69" s="1281"/>
      <c r="I69" s="1281"/>
      <c r="J69" s="1281"/>
      <c r="K69" s="1281"/>
      <c r="L69" s="1281"/>
      <c r="M69" s="1281"/>
      <c r="N69" s="1281"/>
      <c r="O69" s="1281"/>
      <c r="P69" s="193"/>
      <c r="Q69" s="194"/>
      <c r="R69" s="194"/>
      <c r="T69" s="190"/>
      <c r="U69" s="191"/>
    </row>
    <row r="70" spans="1:21">
      <c r="A70" s="192"/>
      <c r="B70" s="195" t="s">
        <v>1207</v>
      </c>
      <c r="C70" s="196"/>
      <c r="D70" s="197"/>
      <c r="E70" s="198"/>
      <c r="F70" s="197"/>
      <c r="G70" s="198"/>
      <c r="H70" s="197"/>
      <c r="I70" s="198"/>
      <c r="J70" s="197"/>
      <c r="K70" s="198"/>
      <c r="L70" s="199"/>
      <c r="M70" s="199" t="s">
        <v>1208</v>
      </c>
      <c r="N70" s="199">
        <f>PLANILHA!E23</f>
        <v>2.2000000000000002</v>
      </c>
      <c r="O70" s="155"/>
      <c r="P70" s="193"/>
      <c r="Q70" s="200"/>
      <c r="R70" s="194"/>
      <c r="T70" s="190"/>
      <c r="U70" s="191"/>
    </row>
    <row r="71" spans="1:21">
      <c r="A71" s="192"/>
      <c r="B71" s="195"/>
      <c r="C71" s="196"/>
      <c r="D71" s="197"/>
      <c r="E71" s="198"/>
      <c r="F71" s="197"/>
      <c r="G71" s="198"/>
      <c r="H71" s="197"/>
      <c r="I71" s="198"/>
      <c r="J71" s="197"/>
      <c r="K71" s="198"/>
      <c r="L71" s="199"/>
      <c r="M71" s="199"/>
      <c r="N71" s="201"/>
      <c r="O71" s="202"/>
      <c r="P71" s="193"/>
      <c r="Q71" s="200"/>
      <c r="R71" s="194"/>
      <c r="T71" s="190"/>
      <c r="U71" s="191"/>
    </row>
    <row r="72" spans="1:21">
      <c r="A72" s="192"/>
      <c r="B72" s="195"/>
      <c r="C72" s="196"/>
      <c r="D72" s="197"/>
      <c r="E72" s="198"/>
      <c r="F72" s="197"/>
      <c r="G72" s="198"/>
      <c r="H72" s="197"/>
      <c r="I72" s="198"/>
      <c r="J72" s="197"/>
      <c r="K72" s="198"/>
      <c r="L72" s="199" t="s">
        <v>1140</v>
      </c>
      <c r="M72" s="199" t="s">
        <v>1208</v>
      </c>
      <c r="N72" s="199">
        <f>SUM(N70:N71)</f>
        <v>2.2000000000000002</v>
      </c>
      <c r="O72" s="155" t="e">
        <f>P68</f>
        <v>#REF!</v>
      </c>
      <c r="P72" s="193"/>
      <c r="Q72" s="200"/>
      <c r="R72" s="194"/>
      <c r="T72" s="190"/>
      <c r="U72" s="191"/>
    </row>
    <row r="73" spans="1:21">
      <c r="A73" s="192"/>
      <c r="B73" s="195"/>
      <c r="C73" s="196"/>
      <c r="D73" s="197"/>
      <c r="E73" s="198"/>
      <c r="F73" s="197"/>
      <c r="G73" s="198"/>
      <c r="H73" s="197"/>
      <c r="I73" s="198"/>
      <c r="J73" s="197"/>
      <c r="K73" s="198"/>
      <c r="L73" s="199"/>
      <c r="M73" s="199"/>
      <c r="N73" s="199"/>
      <c r="O73" s="155"/>
      <c r="P73" s="193"/>
      <c r="Q73" s="200"/>
      <c r="R73" s="194"/>
      <c r="T73" s="190"/>
      <c r="U73" s="191"/>
    </row>
    <row r="74" spans="1:21">
      <c r="A74" s="192"/>
      <c r="B74" s="1277" t="s">
        <v>1209</v>
      </c>
      <c r="C74" s="1277"/>
      <c r="D74" s="1277"/>
      <c r="E74" s="1277"/>
      <c r="F74" s="1277"/>
      <c r="G74" s="1277"/>
      <c r="H74" s="1277"/>
      <c r="I74" s="1277"/>
      <c r="J74" s="1277"/>
      <c r="K74" s="1277"/>
      <c r="L74" s="1277"/>
      <c r="M74" s="1277"/>
      <c r="N74" s="1277"/>
      <c r="O74" s="1277"/>
      <c r="P74" s="1277"/>
      <c r="Q74" s="203">
        <v>0</v>
      </c>
      <c r="R74" s="204">
        <f>Q74</f>
        <v>0</v>
      </c>
      <c r="T74" s="1278"/>
      <c r="U74" s="1279"/>
    </row>
    <row r="75" spans="1:21">
      <c r="A75" s="206"/>
      <c r="B75" s="1280" t="e">
        <f>med</f>
        <v>#NAME?</v>
      </c>
      <c r="C75" s="1280"/>
      <c r="D75" s="1280"/>
      <c r="E75" s="1280"/>
      <c r="F75" s="1280"/>
      <c r="G75" s="1280"/>
      <c r="H75" s="1280"/>
      <c r="I75" s="1280"/>
      <c r="J75" s="1280"/>
      <c r="K75" s="1280"/>
      <c r="L75" s="1280"/>
      <c r="M75" s="1280"/>
      <c r="N75" s="1280"/>
      <c r="O75" s="1280"/>
      <c r="P75" s="205">
        <f>N72</f>
        <v>2.2000000000000002</v>
      </c>
      <c r="Q75" s="203">
        <f>P75</f>
        <v>2.2000000000000002</v>
      </c>
      <c r="R75" s="204">
        <f>Q75+R74</f>
        <v>2.2000000000000002</v>
      </c>
      <c r="T75" s="1278"/>
      <c r="U75" s="1279"/>
    </row>
    <row r="76" spans="1:21" ht="18" customHeight="1">
      <c r="A76" s="187" t="e">
        <f>#REF!</f>
        <v>#REF!</v>
      </c>
      <c r="B76" s="1275" t="e">
        <f>IF(A76="","",VLOOKUP($A76,'[2]FDE-JUNHO-08'!$A$6:$D$3537,2,FALSE()))</f>
        <v>#REF!</v>
      </c>
      <c r="C76" s="1275"/>
      <c r="D76" s="1275"/>
      <c r="E76" s="1275"/>
      <c r="F76" s="1275"/>
      <c r="G76" s="1275"/>
      <c r="H76" s="1275"/>
      <c r="I76" s="1275"/>
      <c r="J76" s="1275"/>
      <c r="K76" s="1275"/>
      <c r="L76" s="1275"/>
      <c r="M76" s="1275"/>
      <c r="N76" s="1275"/>
      <c r="O76" s="1275"/>
      <c r="P76" s="188" t="e">
        <f>IF(A76="","",VLOOKUP($A76,'[2]FDE-JUNHO-08'!$A$6:$D$3537,3,FALSE()))</f>
        <v>#REF!</v>
      </c>
      <c r="Q76" s="189" t="s">
        <v>1205</v>
      </c>
      <c r="R76" s="189" t="s">
        <v>1206</v>
      </c>
      <c r="T76" s="190"/>
      <c r="U76" s="191"/>
    </row>
    <row r="77" spans="1:21">
      <c r="A77" s="192"/>
      <c r="B77" s="1276"/>
      <c r="C77" s="1276"/>
      <c r="D77" s="1276"/>
      <c r="E77" s="1276"/>
      <c r="F77" s="1276"/>
      <c r="G77" s="1276"/>
      <c r="H77" s="1276"/>
      <c r="I77" s="1276"/>
      <c r="J77" s="1276"/>
      <c r="K77" s="1276"/>
      <c r="L77" s="1276"/>
      <c r="M77" s="1276"/>
      <c r="N77" s="1276"/>
      <c r="O77" s="1276"/>
      <c r="P77" s="193"/>
      <c r="Q77" s="194"/>
      <c r="R77" s="194"/>
      <c r="T77" s="190"/>
      <c r="U77" s="191"/>
    </row>
    <row r="78" spans="1:21">
      <c r="A78" s="192"/>
      <c r="B78" s="195" t="s">
        <v>1207</v>
      </c>
      <c r="C78" s="196"/>
      <c r="D78" s="197"/>
      <c r="E78" s="198"/>
      <c r="F78" s="197"/>
      <c r="G78" s="198"/>
      <c r="H78" s="197"/>
      <c r="I78" s="198"/>
      <c r="J78" s="197"/>
      <c r="K78" s="198"/>
      <c r="L78" s="199"/>
      <c r="M78" s="199" t="s">
        <v>1208</v>
      </c>
      <c r="N78" s="199">
        <f>PLANILHA!E24</f>
        <v>1</v>
      </c>
      <c r="O78" s="155"/>
      <c r="P78" s="193"/>
      <c r="Q78" s="200"/>
      <c r="R78" s="194"/>
      <c r="T78" s="190"/>
      <c r="U78" s="191"/>
    </row>
    <row r="79" spans="1:21">
      <c r="A79" s="192"/>
      <c r="B79" s="195"/>
      <c r="C79" s="196"/>
      <c r="D79" s="197"/>
      <c r="E79" s="198"/>
      <c r="F79" s="197"/>
      <c r="G79" s="198"/>
      <c r="H79" s="197"/>
      <c r="I79" s="198"/>
      <c r="J79" s="197"/>
      <c r="K79" s="198"/>
      <c r="L79" s="199"/>
      <c r="M79" s="199"/>
      <c r="N79" s="201"/>
      <c r="O79" s="202"/>
      <c r="P79" s="193"/>
      <c r="Q79" s="200"/>
      <c r="R79" s="194"/>
      <c r="T79" s="190"/>
      <c r="U79" s="191"/>
    </row>
    <row r="80" spans="1:21">
      <c r="A80" s="192"/>
      <c r="B80" s="195"/>
      <c r="C80" s="196"/>
      <c r="D80" s="197"/>
      <c r="E80" s="198"/>
      <c r="F80" s="197"/>
      <c r="G80" s="198"/>
      <c r="H80" s="197"/>
      <c r="I80" s="198"/>
      <c r="J80" s="197"/>
      <c r="K80" s="198"/>
      <c r="L80" s="199" t="s">
        <v>1140</v>
      </c>
      <c r="M80" s="199" t="s">
        <v>1208</v>
      </c>
      <c r="N80" s="199">
        <f>SUM(N78:N79)</f>
        <v>1</v>
      </c>
      <c r="O80" s="155" t="e">
        <f>P76</f>
        <v>#REF!</v>
      </c>
      <c r="P80" s="193"/>
      <c r="Q80" s="200"/>
      <c r="R80" s="194"/>
      <c r="T80" s="190"/>
      <c r="U80" s="191"/>
    </row>
    <row r="81" spans="1:21">
      <c r="A81" s="192"/>
      <c r="B81" s="195"/>
      <c r="C81" s="196"/>
      <c r="D81" s="197"/>
      <c r="E81" s="198"/>
      <c r="F81" s="197"/>
      <c r="G81" s="198"/>
      <c r="H81" s="197"/>
      <c r="I81" s="198"/>
      <c r="J81" s="197"/>
      <c r="K81" s="198"/>
      <c r="L81" s="199"/>
      <c r="M81" s="199"/>
      <c r="N81" s="199"/>
      <c r="O81" s="155"/>
      <c r="P81" s="193"/>
      <c r="Q81" s="200"/>
      <c r="R81" s="194"/>
      <c r="T81" s="190"/>
      <c r="U81" s="191"/>
    </row>
    <row r="82" spans="1:21">
      <c r="A82" s="192"/>
      <c r="B82" s="1277" t="s">
        <v>1209</v>
      </c>
      <c r="C82" s="1277"/>
      <c r="D82" s="1277"/>
      <c r="E82" s="1277"/>
      <c r="F82" s="1277"/>
      <c r="G82" s="1277"/>
      <c r="H82" s="1277"/>
      <c r="I82" s="1277"/>
      <c r="J82" s="1277"/>
      <c r="K82" s="1277"/>
      <c r="L82" s="1277"/>
      <c r="M82" s="1277"/>
      <c r="N82" s="1277"/>
      <c r="O82" s="1277"/>
      <c r="P82" s="1277"/>
      <c r="Q82" s="203">
        <v>0</v>
      </c>
      <c r="R82" s="204">
        <f>Q82</f>
        <v>0</v>
      </c>
      <c r="T82" s="1278"/>
      <c r="U82" s="1279"/>
    </row>
    <row r="83" spans="1:21">
      <c r="A83" s="192"/>
      <c r="B83" s="1280" t="e">
        <f>med</f>
        <v>#NAME?</v>
      </c>
      <c r="C83" s="1280"/>
      <c r="D83" s="1280"/>
      <c r="E83" s="1280"/>
      <c r="F83" s="1280"/>
      <c r="G83" s="1280"/>
      <c r="H83" s="1280"/>
      <c r="I83" s="1280"/>
      <c r="J83" s="1280"/>
      <c r="K83" s="1280"/>
      <c r="L83" s="1280"/>
      <c r="M83" s="1280"/>
      <c r="N83" s="1280"/>
      <c r="O83" s="1280"/>
      <c r="P83" s="205">
        <f>N80</f>
        <v>1</v>
      </c>
      <c r="Q83" s="203">
        <f>P83</f>
        <v>1</v>
      </c>
      <c r="R83" s="204">
        <f>Q83+R82</f>
        <v>1</v>
      </c>
      <c r="T83" s="1278"/>
      <c r="U83" s="1279"/>
    </row>
    <row r="84" spans="1:21" ht="18" customHeight="1">
      <c r="A84" s="187" t="e">
        <f>#REF!</f>
        <v>#REF!</v>
      </c>
      <c r="B84" s="1275" t="e">
        <f>IF(A84="","",VLOOKUP($A84,'[2]FDE-JUNHO-08'!$A$6:$D$3537,2,FALSE()))</f>
        <v>#REF!</v>
      </c>
      <c r="C84" s="1275"/>
      <c r="D84" s="1275"/>
      <c r="E84" s="1275"/>
      <c r="F84" s="1275"/>
      <c r="G84" s="1275"/>
      <c r="H84" s="1275"/>
      <c r="I84" s="1275"/>
      <c r="J84" s="1275"/>
      <c r="K84" s="1275"/>
      <c r="L84" s="1275"/>
      <c r="M84" s="1275"/>
      <c r="N84" s="1275"/>
      <c r="O84" s="1275"/>
      <c r="P84" s="188" t="e">
        <f>IF(A84="","",VLOOKUP($A84,'[2]FDE-JUNHO-08'!$A$6:$D$3537,3,FALSE()))</f>
        <v>#REF!</v>
      </c>
      <c r="Q84" s="189" t="s">
        <v>1205</v>
      </c>
      <c r="R84" s="189" t="s">
        <v>1206</v>
      </c>
      <c r="T84" s="190"/>
      <c r="U84" s="191"/>
    </row>
    <row r="85" spans="1:21">
      <c r="A85" s="192"/>
      <c r="B85" s="195"/>
      <c r="C85" s="196"/>
      <c r="D85" s="197"/>
      <c r="E85" s="198"/>
      <c r="F85" s="197"/>
      <c r="G85" s="198"/>
      <c r="H85" s="197"/>
      <c r="I85" s="207"/>
      <c r="J85" s="207"/>
      <c r="K85" s="208"/>
      <c r="L85" s="209"/>
      <c r="M85" s="209"/>
      <c r="N85" s="209"/>
      <c r="O85" s="155"/>
      <c r="P85" s="193"/>
      <c r="Q85" s="200"/>
      <c r="R85" s="194"/>
      <c r="T85" s="190"/>
      <c r="U85" s="191"/>
    </row>
    <row r="86" spans="1:21">
      <c r="A86" s="192"/>
      <c r="B86" s="195" t="s">
        <v>1207</v>
      </c>
      <c r="C86" s="196"/>
      <c r="D86" s="197"/>
      <c r="E86" s="198"/>
      <c r="F86" s="197"/>
      <c r="G86" s="198"/>
      <c r="H86" s="197"/>
      <c r="I86" s="198"/>
      <c r="J86" s="197"/>
      <c r="K86" s="198"/>
      <c r="L86" s="199"/>
      <c r="M86" s="199" t="s">
        <v>1208</v>
      </c>
      <c r="N86" s="199">
        <f>PLANILHA!E25</f>
        <v>1</v>
      </c>
      <c r="O86" s="155"/>
      <c r="P86" s="193"/>
      <c r="Q86" s="200"/>
      <c r="R86" s="194"/>
      <c r="T86" s="190"/>
      <c r="U86" s="191"/>
    </row>
    <row r="87" spans="1:21">
      <c r="A87" s="192"/>
      <c r="B87" s="195"/>
      <c r="C87" s="196"/>
      <c r="D87" s="197"/>
      <c r="E87" s="198"/>
      <c r="F87" s="197"/>
      <c r="G87" s="198"/>
      <c r="H87" s="197"/>
      <c r="I87" s="198"/>
      <c r="J87" s="197"/>
      <c r="K87" s="198"/>
      <c r="L87" s="199"/>
      <c r="M87" s="199"/>
      <c r="N87" s="201"/>
      <c r="O87" s="202"/>
      <c r="P87" s="193"/>
      <c r="Q87" s="200"/>
      <c r="R87" s="194"/>
      <c r="T87" s="190"/>
      <c r="U87" s="191"/>
    </row>
    <row r="88" spans="1:21">
      <c r="A88" s="192"/>
      <c r="B88" s="195"/>
      <c r="C88" s="196"/>
      <c r="D88" s="197"/>
      <c r="E88" s="198"/>
      <c r="F88" s="197"/>
      <c r="G88" s="198"/>
      <c r="H88" s="197"/>
      <c r="I88" s="198"/>
      <c r="J88" s="197"/>
      <c r="K88" s="198"/>
      <c r="L88" s="199" t="s">
        <v>1140</v>
      </c>
      <c r="M88" s="199" t="s">
        <v>1208</v>
      </c>
      <c r="N88" s="199">
        <f>SUM(N86:N87)</f>
        <v>1</v>
      </c>
      <c r="O88" s="155" t="e">
        <f>P84</f>
        <v>#REF!</v>
      </c>
      <c r="P88" s="193"/>
      <c r="Q88" s="200"/>
      <c r="R88" s="194"/>
      <c r="T88" s="190"/>
      <c r="U88" s="191"/>
    </row>
    <row r="89" spans="1:21">
      <c r="A89" s="192"/>
      <c r="B89" s="195"/>
      <c r="C89" s="196"/>
      <c r="D89" s="197"/>
      <c r="E89" s="198"/>
      <c r="F89" s="197"/>
      <c r="G89" s="198"/>
      <c r="H89" s="197"/>
      <c r="I89" s="198"/>
      <c r="J89" s="197"/>
      <c r="K89" s="198"/>
      <c r="L89" s="199"/>
      <c r="M89" s="199"/>
      <c r="N89" s="199"/>
      <c r="O89" s="155"/>
      <c r="P89" s="193"/>
      <c r="Q89" s="200"/>
      <c r="R89" s="194"/>
      <c r="T89" s="190"/>
      <c r="U89" s="191"/>
    </row>
    <row r="90" spans="1:21">
      <c r="A90" s="192"/>
      <c r="B90" s="1277" t="s">
        <v>1209</v>
      </c>
      <c r="C90" s="1277"/>
      <c r="D90" s="1277"/>
      <c r="E90" s="1277"/>
      <c r="F90" s="1277"/>
      <c r="G90" s="1277"/>
      <c r="H90" s="1277"/>
      <c r="I90" s="1277"/>
      <c r="J90" s="1277"/>
      <c r="K90" s="1277"/>
      <c r="L90" s="1277"/>
      <c r="M90" s="1277"/>
      <c r="N90" s="1277"/>
      <c r="O90" s="1277"/>
      <c r="P90" s="1277"/>
      <c r="Q90" s="203">
        <v>0</v>
      </c>
      <c r="R90" s="204">
        <f>Q90</f>
        <v>0</v>
      </c>
      <c r="T90" s="1278"/>
      <c r="U90" s="1279"/>
    </row>
    <row r="91" spans="1:21">
      <c r="A91" s="192"/>
      <c r="B91" s="1280" t="e">
        <f>med</f>
        <v>#NAME?</v>
      </c>
      <c r="C91" s="1280"/>
      <c r="D91" s="1280"/>
      <c r="E91" s="1280"/>
      <c r="F91" s="1280"/>
      <c r="G91" s="1280"/>
      <c r="H91" s="1280"/>
      <c r="I91" s="1280"/>
      <c r="J91" s="1280"/>
      <c r="K91" s="1280"/>
      <c r="L91" s="1280"/>
      <c r="M91" s="1280"/>
      <c r="N91" s="1280"/>
      <c r="O91" s="1280"/>
      <c r="P91" s="205">
        <f>N88</f>
        <v>1</v>
      </c>
      <c r="Q91" s="203">
        <f>P91</f>
        <v>1</v>
      </c>
      <c r="R91" s="204">
        <f>Q91+R90</f>
        <v>1</v>
      </c>
      <c r="T91" s="1278"/>
      <c r="U91" s="1279"/>
    </row>
    <row r="92" spans="1:21" ht="18" customHeight="1">
      <c r="A92" s="187" t="e">
        <f>#REF!</f>
        <v>#REF!</v>
      </c>
      <c r="B92" s="1275" t="e">
        <f>IF(A92="","",VLOOKUP($A92,'[2]FDE-JUNHO-08'!$A$6:$D$3537,2,FALSE()))</f>
        <v>#REF!</v>
      </c>
      <c r="C92" s="1275"/>
      <c r="D92" s="1275"/>
      <c r="E92" s="1275"/>
      <c r="F92" s="1275"/>
      <c r="G92" s="1275"/>
      <c r="H92" s="1275"/>
      <c r="I92" s="1275"/>
      <c r="J92" s="1275"/>
      <c r="K92" s="1275"/>
      <c r="L92" s="1275"/>
      <c r="M92" s="1275"/>
      <c r="N92" s="1275"/>
      <c r="O92" s="1275"/>
      <c r="P92" s="188" t="e">
        <f>IF(A92="","",VLOOKUP($A92,'[2]FDE-JUNHO-08'!$A$6:$D$3537,3,FALSE()))</f>
        <v>#REF!</v>
      </c>
      <c r="Q92" s="189" t="s">
        <v>1205</v>
      </c>
      <c r="R92" s="189" t="s">
        <v>1206</v>
      </c>
      <c r="T92" s="190"/>
      <c r="U92" s="191"/>
    </row>
    <row r="93" spans="1:21">
      <c r="A93" s="192"/>
      <c r="B93" s="1276"/>
      <c r="C93" s="1276"/>
      <c r="D93" s="1276"/>
      <c r="E93" s="1276"/>
      <c r="F93" s="1276"/>
      <c r="G93" s="1276"/>
      <c r="H93" s="1276"/>
      <c r="I93" s="1276"/>
      <c r="J93" s="1276"/>
      <c r="K93" s="1276"/>
      <c r="L93" s="1276"/>
      <c r="M93" s="1276"/>
      <c r="N93" s="1276"/>
      <c r="O93" s="1276"/>
      <c r="P93" s="193"/>
      <c r="Q93" s="194"/>
      <c r="R93" s="194"/>
      <c r="T93" s="190"/>
      <c r="U93" s="191"/>
    </row>
    <row r="94" spans="1:21">
      <c r="A94" s="192"/>
      <c r="B94" s="195" t="s">
        <v>1207</v>
      </c>
      <c r="C94" s="196"/>
      <c r="D94" s="197"/>
      <c r="E94" s="198"/>
      <c r="F94" s="197"/>
      <c r="G94" s="198"/>
      <c r="H94" s="197"/>
      <c r="I94" s="198"/>
      <c r="J94" s="197"/>
      <c r="K94" s="198"/>
      <c r="L94" s="199"/>
      <c r="M94" s="199" t="s">
        <v>1208</v>
      </c>
      <c r="N94" s="199">
        <f>PLANILHA!E26</f>
        <v>2</v>
      </c>
      <c r="O94" s="155"/>
      <c r="P94" s="193"/>
      <c r="Q94" s="200"/>
      <c r="R94" s="194"/>
      <c r="T94" s="190"/>
      <c r="U94" s="191"/>
    </row>
    <row r="95" spans="1:21">
      <c r="A95" s="192"/>
      <c r="B95" s="195"/>
      <c r="C95" s="196"/>
      <c r="D95" s="197"/>
      <c r="E95" s="198"/>
      <c r="F95" s="197"/>
      <c r="G95" s="198"/>
      <c r="H95" s="197"/>
      <c r="I95" s="198"/>
      <c r="J95" s="197"/>
      <c r="K95" s="198"/>
      <c r="L95" s="199"/>
      <c r="M95" s="199"/>
      <c r="N95" s="201"/>
      <c r="O95" s="202"/>
      <c r="P95" s="193"/>
      <c r="Q95" s="200"/>
      <c r="R95" s="194"/>
      <c r="T95" s="190"/>
      <c r="U95" s="191"/>
    </row>
    <row r="96" spans="1:21">
      <c r="A96" s="192"/>
      <c r="B96" s="195"/>
      <c r="C96" s="196"/>
      <c r="D96" s="197"/>
      <c r="E96" s="198"/>
      <c r="F96" s="197"/>
      <c r="G96" s="198"/>
      <c r="H96" s="197"/>
      <c r="I96" s="198"/>
      <c r="J96" s="197"/>
      <c r="K96" s="198"/>
      <c r="L96" s="199" t="s">
        <v>1140</v>
      </c>
      <c r="M96" s="199" t="s">
        <v>1208</v>
      </c>
      <c r="N96" s="199">
        <f>SUM(N94:N95)</f>
        <v>2</v>
      </c>
      <c r="O96" s="155" t="e">
        <f>P92</f>
        <v>#REF!</v>
      </c>
      <c r="P96" s="193"/>
      <c r="Q96" s="200"/>
      <c r="R96" s="194"/>
      <c r="T96" s="190"/>
      <c r="U96" s="191"/>
    </row>
    <row r="97" spans="1:21">
      <c r="A97" s="192"/>
      <c r="B97" s="195"/>
      <c r="C97" s="196"/>
      <c r="D97" s="197"/>
      <c r="E97" s="198"/>
      <c r="F97" s="197"/>
      <c r="G97" s="198"/>
      <c r="H97" s="197"/>
      <c r="I97" s="198"/>
      <c r="J97" s="197"/>
      <c r="K97" s="198"/>
      <c r="L97" s="199"/>
      <c r="M97" s="199"/>
      <c r="N97" s="199"/>
      <c r="O97" s="155"/>
      <c r="P97" s="193"/>
      <c r="Q97" s="200"/>
      <c r="R97" s="194"/>
      <c r="T97" s="190"/>
      <c r="U97" s="191"/>
    </row>
    <row r="98" spans="1:21">
      <c r="A98" s="192"/>
      <c r="B98" s="1277" t="s">
        <v>1209</v>
      </c>
      <c r="C98" s="1277"/>
      <c r="D98" s="1277"/>
      <c r="E98" s="1277"/>
      <c r="F98" s="1277"/>
      <c r="G98" s="1277"/>
      <c r="H98" s="1277"/>
      <c r="I98" s="1277"/>
      <c r="J98" s="1277"/>
      <c r="K98" s="1277"/>
      <c r="L98" s="1277"/>
      <c r="M98" s="1277"/>
      <c r="N98" s="1277"/>
      <c r="O98" s="1277"/>
      <c r="P98" s="1277"/>
      <c r="Q98" s="203">
        <v>0</v>
      </c>
      <c r="R98" s="204">
        <f>Q98</f>
        <v>0</v>
      </c>
      <c r="T98" s="1278"/>
      <c r="U98" s="1279"/>
    </row>
    <row r="99" spans="1:21">
      <c r="A99" s="192"/>
      <c r="B99" s="1280" t="e">
        <f>med</f>
        <v>#NAME?</v>
      </c>
      <c r="C99" s="1280"/>
      <c r="D99" s="1280"/>
      <c r="E99" s="1280"/>
      <c r="F99" s="1280"/>
      <c r="G99" s="1280"/>
      <c r="H99" s="1280"/>
      <c r="I99" s="1280"/>
      <c r="J99" s="1280"/>
      <c r="K99" s="1280"/>
      <c r="L99" s="1280"/>
      <c r="M99" s="1280"/>
      <c r="N99" s="1280"/>
      <c r="O99" s="1280"/>
      <c r="P99" s="205">
        <f>N96</f>
        <v>2</v>
      </c>
      <c r="Q99" s="203">
        <f>P99</f>
        <v>2</v>
      </c>
      <c r="R99" s="204">
        <f>Q99+R98</f>
        <v>2</v>
      </c>
      <c r="T99" s="1278"/>
      <c r="U99" s="1279"/>
    </row>
    <row r="100" spans="1:21" ht="18" customHeight="1">
      <c r="A100" s="187" t="e">
        <f>#REF!</f>
        <v>#REF!</v>
      </c>
      <c r="B100" s="1275" t="e">
        <f>IF(A100="","",VLOOKUP($A100,'[2]FDE-JUNHO-08'!$A$6:$D$3537,2,FALSE()))</f>
        <v>#REF!</v>
      </c>
      <c r="C100" s="1275"/>
      <c r="D100" s="1275"/>
      <c r="E100" s="1275"/>
      <c r="F100" s="1275"/>
      <c r="G100" s="1275"/>
      <c r="H100" s="1275"/>
      <c r="I100" s="1275"/>
      <c r="J100" s="1275"/>
      <c r="K100" s="1275"/>
      <c r="L100" s="1275"/>
      <c r="M100" s="1275"/>
      <c r="N100" s="1275"/>
      <c r="O100" s="1275"/>
      <c r="P100" s="188" t="e">
        <f>IF(A100="","",VLOOKUP($A100,'[2]FDE-JUNHO-08'!$A$6:$D$3537,3,FALSE()))</f>
        <v>#REF!</v>
      </c>
      <c r="Q100" s="189" t="s">
        <v>1205</v>
      </c>
      <c r="R100" s="189" t="s">
        <v>1206</v>
      </c>
      <c r="T100" s="190"/>
      <c r="U100" s="191"/>
    </row>
    <row r="101" spans="1:21">
      <c r="A101" s="192"/>
      <c r="B101" s="1276"/>
      <c r="C101" s="1276"/>
      <c r="D101" s="1276"/>
      <c r="E101" s="1276"/>
      <c r="F101" s="1276"/>
      <c r="G101" s="1276"/>
      <c r="H101" s="1276"/>
      <c r="I101" s="1276"/>
      <c r="J101" s="1276"/>
      <c r="K101" s="1276"/>
      <c r="L101" s="1276"/>
      <c r="M101" s="1276"/>
      <c r="N101" s="1276"/>
      <c r="O101" s="1276"/>
      <c r="P101" s="193"/>
      <c r="Q101" s="194"/>
      <c r="R101" s="194"/>
      <c r="T101" s="190"/>
      <c r="U101" s="191"/>
    </row>
    <row r="102" spans="1:21">
      <c r="A102" s="192"/>
      <c r="B102" s="195" t="s">
        <v>1207</v>
      </c>
      <c r="C102" s="196"/>
      <c r="D102" s="197"/>
      <c r="E102" s="198"/>
      <c r="F102" s="197"/>
      <c r="G102" s="198"/>
      <c r="H102" s="197"/>
      <c r="I102" s="198"/>
      <c r="J102" s="197"/>
      <c r="K102" s="198"/>
      <c r="L102" s="199"/>
      <c r="M102" s="199" t="s">
        <v>1208</v>
      </c>
      <c r="N102" s="199">
        <f>PLANILHA!E27</f>
        <v>3</v>
      </c>
      <c r="O102" s="155"/>
      <c r="P102" s="193"/>
      <c r="Q102" s="200"/>
      <c r="R102" s="194"/>
      <c r="T102" s="190"/>
      <c r="U102" s="191"/>
    </row>
    <row r="103" spans="1:21">
      <c r="A103" s="192"/>
      <c r="B103" s="195"/>
      <c r="C103" s="196"/>
      <c r="D103" s="197"/>
      <c r="E103" s="198"/>
      <c r="F103" s="197"/>
      <c r="G103" s="198"/>
      <c r="H103" s="197"/>
      <c r="I103" s="198"/>
      <c r="J103" s="197"/>
      <c r="K103" s="198"/>
      <c r="L103" s="199"/>
      <c r="M103" s="199"/>
      <c r="N103" s="201"/>
      <c r="O103" s="202"/>
      <c r="P103" s="193"/>
      <c r="Q103" s="200"/>
      <c r="R103" s="194"/>
      <c r="T103" s="190"/>
      <c r="U103" s="191"/>
    </row>
    <row r="104" spans="1:21">
      <c r="A104" s="192"/>
      <c r="B104" s="195"/>
      <c r="C104" s="196"/>
      <c r="D104" s="197"/>
      <c r="E104" s="198"/>
      <c r="F104" s="197"/>
      <c r="G104" s="198"/>
      <c r="H104" s="197"/>
      <c r="I104" s="198"/>
      <c r="J104" s="197"/>
      <c r="K104" s="198"/>
      <c r="L104" s="199" t="s">
        <v>1140</v>
      </c>
      <c r="M104" s="199" t="s">
        <v>1208</v>
      </c>
      <c r="N104" s="199">
        <f>SUM(N102:N103)</f>
        <v>3</v>
      </c>
      <c r="O104" s="155" t="e">
        <f>P100</f>
        <v>#REF!</v>
      </c>
      <c r="P104" s="193"/>
      <c r="Q104" s="200"/>
      <c r="R104" s="194"/>
      <c r="T104" s="190"/>
      <c r="U104" s="191"/>
    </row>
    <row r="105" spans="1:21">
      <c r="A105" s="192"/>
      <c r="B105" s="195"/>
      <c r="C105" s="196"/>
      <c r="D105" s="197"/>
      <c r="E105" s="198"/>
      <c r="F105" s="197"/>
      <c r="G105" s="198"/>
      <c r="H105" s="197"/>
      <c r="I105" s="198"/>
      <c r="J105" s="197"/>
      <c r="K105" s="198"/>
      <c r="L105" s="199"/>
      <c r="M105" s="199"/>
      <c r="N105" s="199"/>
      <c r="O105" s="155"/>
      <c r="P105" s="193"/>
      <c r="Q105" s="200"/>
      <c r="R105" s="194"/>
      <c r="T105" s="190"/>
      <c r="U105" s="191"/>
    </row>
    <row r="106" spans="1:21">
      <c r="A106" s="192"/>
      <c r="B106" s="1277" t="s">
        <v>1209</v>
      </c>
      <c r="C106" s="1277"/>
      <c r="D106" s="1277"/>
      <c r="E106" s="1277"/>
      <c r="F106" s="1277"/>
      <c r="G106" s="1277"/>
      <c r="H106" s="1277"/>
      <c r="I106" s="1277"/>
      <c r="J106" s="1277"/>
      <c r="K106" s="1277"/>
      <c r="L106" s="1277"/>
      <c r="M106" s="1277"/>
      <c r="N106" s="1277"/>
      <c r="O106" s="1277"/>
      <c r="P106" s="1277"/>
      <c r="Q106" s="203">
        <v>0</v>
      </c>
      <c r="R106" s="204">
        <f>Q106</f>
        <v>0</v>
      </c>
      <c r="T106" s="1278"/>
      <c r="U106" s="1279"/>
    </row>
    <row r="107" spans="1:21">
      <c r="A107" s="192"/>
      <c r="B107" s="1280" t="e">
        <f>med</f>
        <v>#NAME?</v>
      </c>
      <c r="C107" s="1280"/>
      <c r="D107" s="1280"/>
      <c r="E107" s="1280"/>
      <c r="F107" s="1280"/>
      <c r="G107" s="1280"/>
      <c r="H107" s="1280"/>
      <c r="I107" s="1280"/>
      <c r="J107" s="1280"/>
      <c r="K107" s="1280"/>
      <c r="L107" s="1280"/>
      <c r="M107" s="1280"/>
      <c r="N107" s="1280"/>
      <c r="O107" s="1280"/>
      <c r="P107" s="205">
        <f>N104</f>
        <v>3</v>
      </c>
      <c r="Q107" s="203">
        <f>P107</f>
        <v>3</v>
      </c>
      <c r="R107" s="204">
        <f>Q107+R106</f>
        <v>3</v>
      </c>
      <c r="T107" s="1278"/>
      <c r="U107" s="1279"/>
    </row>
    <row r="108" spans="1:21" ht="18" customHeight="1">
      <c r="A108" s="187" t="e">
        <f>#REF!</f>
        <v>#REF!</v>
      </c>
      <c r="B108" s="1275" t="e">
        <f>IF(A108="","",VLOOKUP($A108,'[2]FDE-JUNHO-08'!$A$6:$D$3537,2,FALSE()))</f>
        <v>#REF!</v>
      </c>
      <c r="C108" s="1275"/>
      <c r="D108" s="1275"/>
      <c r="E108" s="1275"/>
      <c r="F108" s="1275"/>
      <c r="G108" s="1275"/>
      <c r="H108" s="1275"/>
      <c r="I108" s="1275"/>
      <c r="J108" s="1275"/>
      <c r="K108" s="1275"/>
      <c r="L108" s="1275"/>
      <c r="M108" s="1275"/>
      <c r="N108" s="1275"/>
      <c r="O108" s="1275"/>
      <c r="P108" s="188" t="e">
        <f>IF(A108="","",VLOOKUP($A108,'[2]FDE-JUNHO-08'!$A$6:$D$3537,3,FALSE()))</f>
        <v>#REF!</v>
      </c>
      <c r="Q108" s="189" t="s">
        <v>1205</v>
      </c>
      <c r="R108" s="189" t="s">
        <v>1206</v>
      </c>
      <c r="T108" s="190"/>
      <c r="U108" s="191"/>
    </row>
    <row r="109" spans="1:21">
      <c r="A109" s="192"/>
      <c r="B109" s="1276"/>
      <c r="C109" s="1276"/>
      <c r="D109" s="1276"/>
      <c r="E109" s="1276"/>
      <c r="F109" s="1276"/>
      <c r="G109" s="1276"/>
      <c r="H109" s="1276"/>
      <c r="I109" s="1276"/>
      <c r="J109" s="1276"/>
      <c r="K109" s="1276"/>
      <c r="L109" s="1276"/>
      <c r="M109" s="1276"/>
      <c r="N109" s="1276"/>
      <c r="O109" s="1276"/>
      <c r="P109" s="193"/>
      <c r="Q109" s="194"/>
      <c r="R109" s="194"/>
      <c r="T109" s="190"/>
      <c r="U109" s="191"/>
    </row>
    <row r="110" spans="1:21">
      <c r="A110" s="192"/>
      <c r="B110" s="195" t="s">
        <v>1207</v>
      </c>
      <c r="C110" s="196"/>
      <c r="D110" s="197"/>
      <c r="E110" s="198"/>
      <c r="F110" s="197"/>
      <c r="G110" s="198"/>
      <c r="H110" s="197"/>
      <c r="I110" s="198"/>
      <c r="J110" s="197"/>
      <c r="K110" s="198"/>
      <c r="L110" s="199"/>
      <c r="M110" s="199" t="s">
        <v>1208</v>
      </c>
      <c r="N110" s="199">
        <f>PLANILHA!E28</f>
        <v>5</v>
      </c>
      <c r="O110" s="155"/>
      <c r="P110" s="193"/>
      <c r="Q110" s="200"/>
      <c r="R110" s="194"/>
      <c r="T110" s="190"/>
      <c r="U110" s="191"/>
    </row>
    <row r="111" spans="1:21">
      <c r="A111" s="192"/>
      <c r="B111" s="195"/>
      <c r="C111" s="196"/>
      <c r="D111" s="197"/>
      <c r="E111" s="198"/>
      <c r="F111" s="197"/>
      <c r="G111" s="198"/>
      <c r="H111" s="197"/>
      <c r="I111" s="198"/>
      <c r="J111" s="197"/>
      <c r="K111" s="198"/>
      <c r="L111" s="199"/>
      <c r="M111" s="199"/>
      <c r="N111" s="201"/>
      <c r="O111" s="202"/>
      <c r="P111" s="193"/>
      <c r="Q111" s="200"/>
      <c r="R111" s="194"/>
      <c r="T111" s="190"/>
      <c r="U111" s="191"/>
    </row>
    <row r="112" spans="1:21">
      <c r="A112" s="192"/>
      <c r="B112" s="195"/>
      <c r="C112" s="196"/>
      <c r="D112" s="197"/>
      <c r="E112" s="198"/>
      <c r="F112" s="197"/>
      <c r="G112" s="198"/>
      <c r="H112" s="197"/>
      <c r="I112" s="198"/>
      <c r="J112" s="197"/>
      <c r="K112" s="198"/>
      <c r="L112" s="199" t="s">
        <v>1140</v>
      </c>
      <c r="M112" s="199" t="s">
        <v>1208</v>
      </c>
      <c r="N112" s="199">
        <f>SUM(N110:N111)</f>
        <v>5</v>
      </c>
      <c r="O112" s="155" t="e">
        <f>P108</f>
        <v>#REF!</v>
      </c>
      <c r="P112" s="193"/>
      <c r="Q112" s="200"/>
      <c r="R112" s="194"/>
      <c r="T112" s="190"/>
      <c r="U112" s="191"/>
    </row>
    <row r="113" spans="1:21">
      <c r="A113" s="192"/>
      <c r="B113" s="195"/>
      <c r="C113" s="196"/>
      <c r="D113" s="197"/>
      <c r="E113" s="198"/>
      <c r="F113" s="197"/>
      <c r="G113" s="198"/>
      <c r="H113" s="197"/>
      <c r="I113" s="198"/>
      <c r="J113" s="197"/>
      <c r="K113" s="198"/>
      <c r="L113" s="199"/>
      <c r="M113" s="199"/>
      <c r="N113" s="199"/>
      <c r="O113" s="155"/>
      <c r="P113" s="193"/>
      <c r="Q113" s="200"/>
      <c r="R113" s="194"/>
      <c r="T113" s="190"/>
      <c r="U113" s="191"/>
    </row>
    <row r="114" spans="1:21">
      <c r="A114" s="192"/>
      <c r="B114" s="1277" t="s">
        <v>1209</v>
      </c>
      <c r="C114" s="1277"/>
      <c r="D114" s="1277"/>
      <c r="E114" s="1277"/>
      <c r="F114" s="1277"/>
      <c r="G114" s="1277"/>
      <c r="H114" s="1277"/>
      <c r="I114" s="1277"/>
      <c r="J114" s="1277"/>
      <c r="K114" s="1277"/>
      <c r="L114" s="1277"/>
      <c r="M114" s="1277"/>
      <c r="N114" s="1277"/>
      <c r="O114" s="1277"/>
      <c r="P114" s="1277"/>
      <c r="Q114" s="203">
        <v>0</v>
      </c>
      <c r="R114" s="204">
        <f>Q114</f>
        <v>0</v>
      </c>
      <c r="T114" s="1278"/>
      <c r="U114" s="1279"/>
    </row>
    <row r="115" spans="1:21">
      <c r="A115" s="192"/>
      <c r="B115" s="1280" t="e">
        <f>med</f>
        <v>#NAME?</v>
      </c>
      <c r="C115" s="1280"/>
      <c r="D115" s="1280"/>
      <c r="E115" s="1280"/>
      <c r="F115" s="1280"/>
      <c r="G115" s="1280"/>
      <c r="H115" s="1280"/>
      <c r="I115" s="1280"/>
      <c r="J115" s="1280"/>
      <c r="K115" s="1280"/>
      <c r="L115" s="1280"/>
      <c r="M115" s="1280"/>
      <c r="N115" s="1280"/>
      <c r="O115" s="1280"/>
      <c r="P115" s="205">
        <f>N112</f>
        <v>5</v>
      </c>
      <c r="Q115" s="203">
        <f>P115</f>
        <v>5</v>
      </c>
      <c r="R115" s="204">
        <f>Q115+R114</f>
        <v>5</v>
      </c>
      <c r="T115" s="1278"/>
      <c r="U115" s="1279"/>
    </row>
    <row r="116" spans="1:21" ht="18" customHeight="1">
      <c r="A116" s="187">
        <f>PLANILHA!B29</f>
        <v>90450</v>
      </c>
      <c r="B116" s="1275" t="e">
        <f>IF(A116="","",VLOOKUP($A116,'[2]FDE-JUNHO-08'!$A$6:$D$3537,2,FALSE()))</f>
        <v>#N/A</v>
      </c>
      <c r="C116" s="1275"/>
      <c r="D116" s="1275"/>
      <c r="E116" s="1275"/>
      <c r="F116" s="1275"/>
      <c r="G116" s="1275"/>
      <c r="H116" s="1275"/>
      <c r="I116" s="1275"/>
      <c r="J116" s="1275"/>
      <c r="K116" s="1275"/>
      <c r="L116" s="1275"/>
      <c r="M116" s="1275"/>
      <c r="N116" s="1275"/>
      <c r="O116" s="1275"/>
      <c r="P116" s="188" t="e">
        <f>IF(A116="","",VLOOKUP($A116,'[2]FDE-JUNHO-08'!$A$6:$D$3537,3,FALSE()))</f>
        <v>#N/A</v>
      </c>
      <c r="Q116" s="189" t="s">
        <v>1205</v>
      </c>
      <c r="R116" s="189" t="s">
        <v>1206</v>
      </c>
      <c r="T116" s="190"/>
      <c r="U116" s="191"/>
    </row>
    <row r="117" spans="1:21">
      <c r="A117" s="192"/>
      <c r="B117" s="1276"/>
      <c r="C117" s="1276"/>
      <c r="D117" s="1276"/>
      <c r="E117" s="1276"/>
      <c r="F117" s="1276"/>
      <c r="G117" s="1276"/>
      <c r="H117" s="1276"/>
      <c r="I117" s="1276"/>
      <c r="J117" s="1276"/>
      <c r="K117" s="1276"/>
      <c r="L117" s="1276"/>
      <c r="M117" s="1276"/>
      <c r="N117" s="1276"/>
      <c r="O117" s="1276"/>
      <c r="P117" s="193"/>
      <c r="Q117" s="194"/>
      <c r="R117" s="194"/>
      <c r="T117" s="190"/>
      <c r="U117" s="191"/>
    </row>
    <row r="118" spans="1:21">
      <c r="A118" s="192"/>
      <c r="B118" s="195" t="s">
        <v>1207</v>
      </c>
      <c r="C118" s="196"/>
      <c r="D118" s="197"/>
      <c r="E118" s="198"/>
      <c r="F118" s="197"/>
      <c r="G118" s="198"/>
      <c r="H118" s="197"/>
      <c r="I118" s="198"/>
      <c r="J118" s="197"/>
      <c r="K118" s="198"/>
      <c r="L118" s="199"/>
      <c r="M118" s="199" t="s">
        <v>1208</v>
      </c>
      <c r="N118" s="199">
        <f>PLANILHA!E29</f>
        <v>5</v>
      </c>
      <c r="O118" s="155"/>
      <c r="P118" s="193"/>
      <c r="Q118" s="200"/>
      <c r="R118" s="194"/>
      <c r="T118" s="190"/>
      <c r="U118" s="191"/>
    </row>
    <row r="119" spans="1:21">
      <c r="A119" s="192"/>
      <c r="B119" s="195"/>
      <c r="C119" s="196"/>
      <c r="D119" s="197"/>
      <c r="E119" s="198"/>
      <c r="F119" s="197"/>
      <c r="G119" s="198"/>
      <c r="H119" s="197"/>
      <c r="I119" s="198"/>
      <c r="J119" s="197"/>
      <c r="K119" s="198"/>
      <c r="L119" s="199"/>
      <c r="M119" s="199"/>
      <c r="N119" s="201"/>
      <c r="O119" s="202"/>
      <c r="P119" s="193"/>
      <c r="Q119" s="200"/>
      <c r="R119" s="194"/>
      <c r="T119" s="190"/>
      <c r="U119" s="191"/>
    </row>
    <row r="120" spans="1:21">
      <c r="A120" s="192"/>
      <c r="B120" s="195"/>
      <c r="C120" s="196"/>
      <c r="D120" s="197"/>
      <c r="E120" s="198"/>
      <c r="F120" s="197"/>
      <c r="G120" s="198"/>
      <c r="H120" s="197"/>
      <c r="I120" s="198"/>
      <c r="J120" s="197"/>
      <c r="K120" s="198"/>
      <c r="L120" s="199" t="s">
        <v>1140</v>
      </c>
      <c r="M120" s="199" t="s">
        <v>1208</v>
      </c>
      <c r="N120" s="199">
        <f>SUM(N118:N119)</f>
        <v>5</v>
      </c>
      <c r="O120" s="155" t="e">
        <f>P116</f>
        <v>#N/A</v>
      </c>
      <c r="P120" s="193"/>
      <c r="Q120" s="200"/>
      <c r="R120" s="194"/>
      <c r="T120" s="190"/>
      <c r="U120" s="191"/>
    </row>
    <row r="121" spans="1:21">
      <c r="A121" s="192"/>
      <c r="B121" s="195"/>
      <c r="C121" s="196"/>
      <c r="D121" s="197"/>
      <c r="E121" s="198"/>
      <c r="F121" s="197"/>
      <c r="G121" s="198"/>
      <c r="H121" s="197"/>
      <c r="I121" s="198"/>
      <c r="J121" s="197"/>
      <c r="K121" s="198"/>
      <c r="L121" s="199"/>
      <c r="M121" s="199"/>
      <c r="N121" s="199"/>
      <c r="O121" s="155"/>
      <c r="P121" s="193"/>
      <c r="Q121" s="200"/>
      <c r="R121" s="194"/>
      <c r="T121" s="190"/>
      <c r="U121" s="191"/>
    </row>
    <row r="122" spans="1:21">
      <c r="A122" s="192"/>
      <c r="B122" s="1277" t="s">
        <v>1209</v>
      </c>
      <c r="C122" s="1277"/>
      <c r="D122" s="1277"/>
      <c r="E122" s="1277"/>
      <c r="F122" s="1277"/>
      <c r="G122" s="1277"/>
      <c r="H122" s="1277"/>
      <c r="I122" s="1277"/>
      <c r="J122" s="1277"/>
      <c r="K122" s="1277"/>
      <c r="L122" s="1277"/>
      <c r="M122" s="1277"/>
      <c r="N122" s="1277"/>
      <c r="O122" s="1277"/>
      <c r="P122" s="1277"/>
      <c r="Q122" s="203">
        <v>0</v>
      </c>
      <c r="R122" s="204">
        <f>Q122</f>
        <v>0</v>
      </c>
      <c r="T122" s="1278"/>
      <c r="U122" s="1279"/>
    </row>
    <row r="123" spans="1:21">
      <c r="A123" s="192"/>
      <c r="B123" s="1280" t="e">
        <f>med</f>
        <v>#NAME?</v>
      </c>
      <c r="C123" s="1280"/>
      <c r="D123" s="1280"/>
      <c r="E123" s="1280"/>
      <c r="F123" s="1280"/>
      <c r="G123" s="1280"/>
      <c r="H123" s="1280"/>
      <c r="I123" s="1280"/>
      <c r="J123" s="1280"/>
      <c r="K123" s="1280"/>
      <c r="L123" s="1280"/>
      <c r="M123" s="1280"/>
      <c r="N123" s="1280"/>
      <c r="O123" s="1280"/>
      <c r="P123" s="205">
        <f>N120</f>
        <v>5</v>
      </c>
      <c r="Q123" s="203">
        <f>P123</f>
        <v>5</v>
      </c>
      <c r="R123" s="204">
        <f>Q123+R122</f>
        <v>5</v>
      </c>
      <c r="T123" s="1278"/>
      <c r="U123" s="1279"/>
    </row>
    <row r="124" spans="1:21" ht="18" customHeight="1">
      <c r="A124" s="187" t="e">
        <f>#REF!</f>
        <v>#REF!</v>
      </c>
      <c r="B124" s="1275" t="e">
        <f>IF(A124="","",VLOOKUP($A124,'[2]FDE-JUNHO-08'!$A$6:$D$3537,2,FALSE()))</f>
        <v>#REF!</v>
      </c>
      <c r="C124" s="1275"/>
      <c r="D124" s="1275"/>
      <c r="E124" s="1275"/>
      <c r="F124" s="1275"/>
      <c r="G124" s="1275"/>
      <c r="H124" s="1275"/>
      <c r="I124" s="1275"/>
      <c r="J124" s="1275"/>
      <c r="K124" s="1275"/>
      <c r="L124" s="1275"/>
      <c r="M124" s="1275"/>
      <c r="N124" s="1275"/>
      <c r="O124" s="1275"/>
      <c r="P124" s="188" t="e">
        <f>IF(A124="","",VLOOKUP($A124,'[2]FDE-JUNHO-08'!$A$6:$D$3537,3,FALSE()))</f>
        <v>#REF!</v>
      </c>
      <c r="Q124" s="189" t="s">
        <v>1205</v>
      </c>
      <c r="R124" s="189" t="s">
        <v>1206</v>
      </c>
      <c r="T124" s="190"/>
      <c r="U124" s="191"/>
    </row>
    <row r="125" spans="1:21">
      <c r="A125" s="192"/>
      <c r="B125" s="1276"/>
      <c r="C125" s="1276"/>
      <c r="D125" s="1276"/>
      <c r="E125" s="1276"/>
      <c r="F125" s="1276"/>
      <c r="G125" s="1276"/>
      <c r="H125" s="1276"/>
      <c r="I125" s="1276"/>
      <c r="J125" s="1276"/>
      <c r="K125" s="1276"/>
      <c r="L125" s="1276"/>
      <c r="M125" s="1276"/>
      <c r="N125" s="1276"/>
      <c r="O125" s="1276"/>
      <c r="P125" s="193"/>
      <c r="Q125" s="194"/>
      <c r="R125" s="194"/>
      <c r="T125" s="190"/>
      <c r="U125" s="191"/>
    </row>
    <row r="126" spans="1:21">
      <c r="A126" s="192"/>
      <c r="B126" s="195" t="s">
        <v>1207</v>
      </c>
      <c r="C126" s="196"/>
      <c r="D126" s="197"/>
      <c r="E126" s="198"/>
      <c r="F126" s="197"/>
      <c r="G126" s="198"/>
      <c r="H126" s="197"/>
      <c r="I126" s="198"/>
      <c r="J126" s="197"/>
      <c r="K126" s="198"/>
      <c r="L126" s="199"/>
      <c r="M126" s="199" t="s">
        <v>1208</v>
      </c>
      <c r="N126" s="199">
        <f>PLANILHA!E30</f>
        <v>4</v>
      </c>
      <c r="O126" s="155"/>
      <c r="P126" s="193"/>
      <c r="Q126" s="200"/>
      <c r="R126" s="194"/>
      <c r="T126" s="190"/>
      <c r="U126" s="191"/>
    </row>
    <row r="127" spans="1:21">
      <c r="A127" s="192"/>
      <c r="B127" s="195"/>
      <c r="C127" s="196"/>
      <c r="D127" s="197"/>
      <c r="E127" s="198"/>
      <c r="F127" s="197"/>
      <c r="G127" s="198"/>
      <c r="H127" s="197"/>
      <c r="I127" s="198"/>
      <c r="J127" s="197"/>
      <c r="K127" s="198"/>
      <c r="L127" s="199"/>
      <c r="M127" s="199"/>
      <c r="N127" s="201"/>
      <c r="O127" s="202"/>
      <c r="P127" s="193"/>
      <c r="Q127" s="200"/>
      <c r="R127" s="194"/>
      <c r="T127" s="190"/>
      <c r="U127" s="191"/>
    </row>
    <row r="128" spans="1:21">
      <c r="A128" s="192"/>
      <c r="B128" s="195"/>
      <c r="C128" s="196"/>
      <c r="D128" s="197"/>
      <c r="E128" s="198"/>
      <c r="F128" s="197"/>
      <c r="G128" s="198"/>
      <c r="H128" s="197"/>
      <c r="I128" s="198"/>
      <c r="J128" s="197"/>
      <c r="K128" s="198"/>
      <c r="L128" s="199" t="s">
        <v>1140</v>
      </c>
      <c r="M128" s="199" t="s">
        <v>1208</v>
      </c>
      <c r="N128" s="199">
        <f>SUM(N126:N127)</f>
        <v>4</v>
      </c>
      <c r="O128" s="155" t="e">
        <f>P124</f>
        <v>#REF!</v>
      </c>
      <c r="P128" s="193"/>
      <c r="Q128" s="200"/>
      <c r="R128" s="194"/>
      <c r="T128" s="190"/>
      <c r="U128" s="191"/>
    </row>
    <row r="129" spans="1:21">
      <c r="A129" s="192"/>
      <c r="B129" s="195"/>
      <c r="C129" s="196"/>
      <c r="D129" s="197"/>
      <c r="E129" s="198"/>
      <c r="F129" s="197"/>
      <c r="G129" s="198"/>
      <c r="H129" s="197"/>
      <c r="I129" s="198"/>
      <c r="J129" s="197"/>
      <c r="K129" s="198"/>
      <c r="L129" s="199"/>
      <c r="M129" s="199"/>
      <c r="N129" s="199"/>
      <c r="O129" s="155"/>
      <c r="P129" s="193"/>
      <c r="Q129" s="200"/>
      <c r="R129" s="194"/>
      <c r="T129" s="190"/>
      <c r="U129" s="191"/>
    </row>
    <row r="130" spans="1:21">
      <c r="A130" s="192"/>
      <c r="B130" s="1277" t="s">
        <v>1209</v>
      </c>
      <c r="C130" s="1277"/>
      <c r="D130" s="1277"/>
      <c r="E130" s="1277"/>
      <c r="F130" s="1277"/>
      <c r="G130" s="1277"/>
      <c r="H130" s="1277"/>
      <c r="I130" s="1277"/>
      <c r="J130" s="1277"/>
      <c r="K130" s="1277"/>
      <c r="L130" s="1277"/>
      <c r="M130" s="1277"/>
      <c r="N130" s="1277"/>
      <c r="O130" s="1277"/>
      <c r="P130" s="1277"/>
      <c r="Q130" s="203">
        <v>0</v>
      </c>
      <c r="R130" s="204">
        <f>Q130</f>
        <v>0</v>
      </c>
      <c r="T130" s="1278"/>
      <c r="U130" s="1279"/>
    </row>
    <row r="131" spans="1:21">
      <c r="A131" s="192"/>
      <c r="B131" s="1280" t="e">
        <f>med</f>
        <v>#NAME?</v>
      </c>
      <c r="C131" s="1280"/>
      <c r="D131" s="1280"/>
      <c r="E131" s="1280"/>
      <c r="F131" s="1280"/>
      <c r="G131" s="1280"/>
      <c r="H131" s="1280"/>
      <c r="I131" s="1280"/>
      <c r="J131" s="1280"/>
      <c r="K131" s="1280"/>
      <c r="L131" s="1280"/>
      <c r="M131" s="1280"/>
      <c r="N131" s="1280"/>
      <c r="O131" s="1280"/>
      <c r="P131" s="205">
        <f>N128</f>
        <v>4</v>
      </c>
      <c r="Q131" s="203">
        <f>P131</f>
        <v>4</v>
      </c>
      <c r="R131" s="204">
        <f>Q131+R130</f>
        <v>4</v>
      </c>
      <c r="T131" s="1278"/>
      <c r="U131" s="1279"/>
    </row>
    <row r="132" spans="1:21" ht="18" customHeight="1">
      <c r="A132" s="187" t="e">
        <f>#REF!</f>
        <v>#REF!</v>
      </c>
      <c r="B132" s="1275" t="e">
        <f>IF(A132="","",VLOOKUP($A132,'[2]FDE-JUNHO-08'!$A$6:$D$3537,2,FALSE()))</f>
        <v>#REF!</v>
      </c>
      <c r="C132" s="1275"/>
      <c r="D132" s="1275"/>
      <c r="E132" s="1275"/>
      <c r="F132" s="1275"/>
      <c r="G132" s="1275"/>
      <c r="H132" s="1275"/>
      <c r="I132" s="1275"/>
      <c r="J132" s="1275"/>
      <c r="K132" s="1275"/>
      <c r="L132" s="1275"/>
      <c r="M132" s="1275"/>
      <c r="N132" s="1275"/>
      <c r="O132" s="1275"/>
      <c r="P132" s="188" t="e">
        <f>IF(A132="","",VLOOKUP($A132,'[2]FDE-JUNHO-08'!$A$6:$D$3537,3,FALSE()))</f>
        <v>#REF!</v>
      </c>
      <c r="Q132" s="189" t="s">
        <v>1205</v>
      </c>
      <c r="R132" s="189" t="s">
        <v>1206</v>
      </c>
      <c r="T132" s="190"/>
      <c r="U132" s="191"/>
    </row>
    <row r="133" spans="1:21">
      <c r="A133" s="192"/>
      <c r="B133" s="195"/>
      <c r="C133" s="196"/>
      <c r="D133" s="197"/>
      <c r="E133" s="198"/>
      <c r="F133" s="197"/>
      <c r="G133" s="198"/>
      <c r="H133" s="197"/>
      <c r="I133" s="207"/>
      <c r="J133" s="207"/>
      <c r="K133" s="208"/>
      <c r="L133" s="209"/>
      <c r="M133" s="209"/>
      <c r="N133" s="209"/>
      <c r="O133" s="155"/>
      <c r="P133" s="193"/>
      <c r="Q133" s="200"/>
      <c r="R133" s="194"/>
      <c r="T133" s="190"/>
      <c r="U133" s="191"/>
    </row>
    <row r="134" spans="1:21" ht="13.8">
      <c r="A134" s="192"/>
      <c r="B134" s="210" t="s">
        <v>1207</v>
      </c>
      <c r="C134" s="196"/>
      <c r="D134" s="197"/>
      <c r="E134" s="198"/>
      <c r="F134" s="197"/>
      <c r="G134" s="198"/>
      <c r="H134" s="197"/>
      <c r="I134" s="198"/>
      <c r="J134" s="197"/>
      <c r="K134" s="198"/>
      <c r="L134" s="199"/>
      <c r="M134" s="199" t="s">
        <v>1208</v>
      </c>
      <c r="N134" s="199">
        <f>PLANILHA!E31</f>
        <v>16</v>
      </c>
      <c r="O134" s="155"/>
      <c r="P134" s="193"/>
      <c r="Q134" s="200"/>
      <c r="R134" s="194"/>
      <c r="T134" s="190"/>
      <c r="U134" s="191"/>
    </row>
    <row r="135" spans="1:21">
      <c r="A135" s="192"/>
      <c r="B135" s="195"/>
      <c r="C135" s="196"/>
      <c r="D135" s="197"/>
      <c r="E135" s="198"/>
      <c r="F135" s="197"/>
      <c r="G135" s="198"/>
      <c r="H135" s="197"/>
      <c r="I135" s="198"/>
      <c r="J135" s="197"/>
      <c r="K135" s="198"/>
      <c r="L135" s="199"/>
      <c r="M135" s="199"/>
      <c r="N135" s="201"/>
      <c r="O135" s="202"/>
      <c r="P135" s="193"/>
      <c r="Q135" s="200"/>
      <c r="R135" s="194"/>
      <c r="T135" s="190"/>
      <c r="U135" s="191"/>
    </row>
    <row r="136" spans="1:21">
      <c r="A136" s="192"/>
      <c r="B136" s="195"/>
      <c r="C136" s="196"/>
      <c r="D136" s="197"/>
      <c r="E136" s="198"/>
      <c r="F136" s="197"/>
      <c r="G136" s="198"/>
      <c r="H136" s="197"/>
      <c r="I136" s="198"/>
      <c r="J136" s="197"/>
      <c r="K136" s="198"/>
      <c r="L136" s="199" t="s">
        <v>1140</v>
      </c>
      <c r="M136" s="199" t="s">
        <v>1208</v>
      </c>
      <c r="N136" s="199">
        <f>SUM(N134:N135)</f>
        <v>16</v>
      </c>
      <c r="O136" s="155" t="e">
        <f>P132</f>
        <v>#REF!</v>
      </c>
      <c r="P136" s="193"/>
      <c r="Q136" s="200"/>
      <c r="R136" s="194"/>
      <c r="T136" s="190"/>
      <c r="U136" s="191"/>
    </row>
    <row r="137" spans="1:21">
      <c r="A137" s="192"/>
      <c r="B137" s="195"/>
      <c r="C137" s="196"/>
      <c r="D137" s="197"/>
      <c r="E137" s="198"/>
      <c r="F137" s="197"/>
      <c r="G137" s="198"/>
      <c r="H137" s="197"/>
      <c r="I137" s="198"/>
      <c r="J137" s="197"/>
      <c r="K137" s="198"/>
      <c r="L137" s="199"/>
      <c r="M137" s="199"/>
      <c r="N137" s="199"/>
      <c r="O137" s="155"/>
      <c r="P137" s="193"/>
      <c r="Q137" s="200"/>
      <c r="R137" s="194"/>
      <c r="T137" s="190"/>
      <c r="U137" s="191"/>
    </row>
    <row r="138" spans="1:21">
      <c r="A138" s="192"/>
      <c r="B138" s="1277" t="s">
        <v>1209</v>
      </c>
      <c r="C138" s="1277"/>
      <c r="D138" s="1277"/>
      <c r="E138" s="1277"/>
      <c r="F138" s="1277"/>
      <c r="G138" s="1277"/>
      <c r="H138" s="1277"/>
      <c r="I138" s="1277"/>
      <c r="J138" s="1277"/>
      <c r="K138" s="1277"/>
      <c r="L138" s="1277"/>
      <c r="M138" s="1277"/>
      <c r="N138" s="1277"/>
      <c r="O138" s="1277"/>
      <c r="P138" s="1277"/>
      <c r="Q138" s="203">
        <v>0</v>
      </c>
      <c r="R138" s="204">
        <f>Q138</f>
        <v>0</v>
      </c>
      <c r="T138" s="1278"/>
      <c r="U138" s="1279"/>
    </row>
    <row r="139" spans="1:21">
      <c r="A139" s="206"/>
      <c r="B139" s="1280" t="e">
        <f>med</f>
        <v>#NAME?</v>
      </c>
      <c r="C139" s="1280"/>
      <c r="D139" s="1280"/>
      <c r="E139" s="1280"/>
      <c r="F139" s="1280"/>
      <c r="G139" s="1280"/>
      <c r="H139" s="1280"/>
      <c r="I139" s="1280"/>
      <c r="J139" s="1280"/>
      <c r="K139" s="1280"/>
      <c r="L139" s="1280"/>
      <c r="M139" s="1280"/>
      <c r="N139" s="1280"/>
      <c r="O139" s="1280"/>
      <c r="P139" s="205">
        <f>N136</f>
        <v>16</v>
      </c>
      <c r="Q139" s="203">
        <f>P139</f>
        <v>16</v>
      </c>
      <c r="R139" s="204">
        <f>Q139+R138</f>
        <v>16</v>
      </c>
      <c r="T139" s="1278"/>
      <c r="U139" s="1279"/>
    </row>
    <row r="140" spans="1:21" ht="18" customHeight="1">
      <c r="A140" s="187" t="e">
        <f>#REF!</f>
        <v>#REF!</v>
      </c>
      <c r="B140" s="1275" t="e">
        <f>IF(A140="","",VLOOKUP($A140,'[2]FDE-JUNHO-08'!$A$6:$D$3537,2,FALSE()))</f>
        <v>#REF!</v>
      </c>
      <c r="C140" s="1275"/>
      <c r="D140" s="1275"/>
      <c r="E140" s="1275"/>
      <c r="F140" s="1275"/>
      <c r="G140" s="1275"/>
      <c r="H140" s="1275"/>
      <c r="I140" s="1275"/>
      <c r="J140" s="1275"/>
      <c r="K140" s="1275"/>
      <c r="L140" s="1275"/>
      <c r="M140" s="1275"/>
      <c r="N140" s="1275"/>
      <c r="O140" s="1275"/>
      <c r="P140" s="188" t="e">
        <f>IF(A140="","",VLOOKUP($A140,'[2]FDE-JUNHO-08'!$A$6:$D$3537,3,FALSE()))</f>
        <v>#REF!</v>
      </c>
      <c r="Q140" s="189" t="s">
        <v>1205</v>
      </c>
      <c r="R140" s="189" t="s">
        <v>1206</v>
      </c>
      <c r="T140" s="190"/>
      <c r="U140" s="191"/>
    </row>
    <row r="141" spans="1:21">
      <c r="A141" s="192"/>
      <c r="B141" s="1276"/>
      <c r="C141" s="1276"/>
      <c r="D141" s="1276"/>
      <c r="E141" s="1276"/>
      <c r="F141" s="1276"/>
      <c r="G141" s="1276"/>
      <c r="H141" s="1276"/>
      <c r="I141" s="1276"/>
      <c r="J141" s="1276"/>
      <c r="K141" s="1276"/>
      <c r="L141" s="1276"/>
      <c r="M141" s="1276"/>
      <c r="N141" s="1276"/>
      <c r="O141" s="1276"/>
      <c r="P141" s="193"/>
      <c r="Q141" s="194"/>
      <c r="R141" s="194"/>
      <c r="T141" s="190"/>
      <c r="U141" s="191"/>
    </row>
    <row r="142" spans="1:21" ht="13.8">
      <c r="A142" s="192"/>
      <c r="B142" s="210" t="s">
        <v>1207</v>
      </c>
      <c r="C142" s="196"/>
      <c r="D142" s="197"/>
      <c r="E142" s="198"/>
      <c r="F142" s="197"/>
      <c r="G142" s="198"/>
      <c r="H142" s="197"/>
      <c r="I142" s="198"/>
      <c r="J142" s="197"/>
      <c r="K142" s="198"/>
      <c r="L142" s="199"/>
      <c r="M142" s="199" t="s">
        <v>1208</v>
      </c>
      <c r="N142" s="199">
        <f>PLANILHA!E32</f>
        <v>11</v>
      </c>
      <c r="O142" s="155"/>
      <c r="P142" s="193"/>
      <c r="Q142" s="200"/>
      <c r="R142" s="194"/>
      <c r="T142" s="190"/>
      <c r="U142" s="191"/>
    </row>
    <row r="143" spans="1:21">
      <c r="A143" s="192"/>
      <c r="B143" s="195"/>
      <c r="C143" s="196"/>
      <c r="D143" s="197"/>
      <c r="E143" s="198"/>
      <c r="F143" s="197"/>
      <c r="G143" s="198"/>
      <c r="H143" s="197"/>
      <c r="I143" s="198"/>
      <c r="J143" s="197"/>
      <c r="K143" s="198"/>
      <c r="L143" s="199"/>
      <c r="M143" s="199"/>
      <c r="N143" s="201"/>
      <c r="O143" s="202"/>
      <c r="P143" s="193"/>
      <c r="Q143" s="200"/>
      <c r="R143" s="194"/>
      <c r="T143" s="190"/>
      <c r="U143" s="191"/>
    </row>
    <row r="144" spans="1:21">
      <c r="A144" s="192"/>
      <c r="B144" s="195"/>
      <c r="C144" s="196"/>
      <c r="D144" s="197"/>
      <c r="E144" s="198"/>
      <c r="F144" s="197"/>
      <c r="G144" s="198"/>
      <c r="H144" s="197"/>
      <c r="I144" s="198"/>
      <c r="J144" s="197"/>
      <c r="K144" s="198"/>
      <c r="L144" s="199" t="s">
        <v>1140</v>
      </c>
      <c r="M144" s="199" t="s">
        <v>1208</v>
      </c>
      <c r="N144" s="199">
        <f>SUM(N142:N143)</f>
        <v>11</v>
      </c>
      <c r="O144" s="155" t="e">
        <f>P140</f>
        <v>#REF!</v>
      </c>
      <c r="P144" s="193"/>
      <c r="Q144" s="200"/>
      <c r="R144" s="194"/>
      <c r="T144" s="190"/>
      <c r="U144" s="191"/>
    </row>
    <row r="145" spans="1:21">
      <c r="A145" s="192"/>
      <c r="B145" s="195"/>
      <c r="C145" s="196"/>
      <c r="D145" s="197"/>
      <c r="E145" s="198"/>
      <c r="F145" s="197"/>
      <c r="G145" s="198"/>
      <c r="H145" s="197"/>
      <c r="I145" s="198"/>
      <c r="J145" s="197"/>
      <c r="K145" s="198"/>
      <c r="L145" s="199"/>
      <c r="M145" s="199"/>
      <c r="N145" s="199"/>
      <c r="O145" s="155"/>
      <c r="P145" s="193"/>
      <c r="Q145" s="200"/>
      <c r="R145" s="194"/>
      <c r="T145" s="190"/>
      <c r="U145" s="191"/>
    </row>
    <row r="146" spans="1:21">
      <c r="A146" s="192"/>
      <c r="B146" s="1277" t="s">
        <v>1209</v>
      </c>
      <c r="C146" s="1277"/>
      <c r="D146" s="1277"/>
      <c r="E146" s="1277"/>
      <c r="F146" s="1277"/>
      <c r="G146" s="1277"/>
      <c r="H146" s="1277"/>
      <c r="I146" s="1277"/>
      <c r="J146" s="1277"/>
      <c r="K146" s="1277"/>
      <c r="L146" s="1277"/>
      <c r="M146" s="1277"/>
      <c r="N146" s="1277"/>
      <c r="O146" s="1277"/>
      <c r="P146" s="1277"/>
      <c r="Q146" s="203">
        <v>0</v>
      </c>
      <c r="R146" s="204">
        <f>Q146</f>
        <v>0</v>
      </c>
      <c r="T146" s="1278"/>
      <c r="U146" s="1279"/>
    </row>
    <row r="147" spans="1:21">
      <c r="A147" s="192"/>
      <c r="B147" s="1280" t="e">
        <f>med</f>
        <v>#NAME?</v>
      </c>
      <c r="C147" s="1280"/>
      <c r="D147" s="1280"/>
      <c r="E147" s="1280"/>
      <c r="F147" s="1280"/>
      <c r="G147" s="1280"/>
      <c r="H147" s="1280"/>
      <c r="I147" s="1280"/>
      <c r="J147" s="1280"/>
      <c r="K147" s="1280"/>
      <c r="L147" s="1280"/>
      <c r="M147" s="1280"/>
      <c r="N147" s="1280"/>
      <c r="O147" s="1280"/>
      <c r="P147" s="205">
        <f>N144</f>
        <v>11</v>
      </c>
      <c r="Q147" s="203">
        <f>P147</f>
        <v>11</v>
      </c>
      <c r="R147" s="204">
        <f>Q147+R146</f>
        <v>11</v>
      </c>
      <c r="T147" s="1278"/>
      <c r="U147" s="1279"/>
    </row>
    <row r="148" spans="1:21" ht="18" customHeight="1">
      <c r="A148" s="187" t="e">
        <f>#REF!</f>
        <v>#REF!</v>
      </c>
      <c r="B148" s="1275" t="e">
        <f>IF(A148="","",VLOOKUP($A148,'[2]FDE-JUNHO-08'!$A$6:$D$3537,2,FALSE()))</f>
        <v>#REF!</v>
      </c>
      <c r="C148" s="1275"/>
      <c r="D148" s="1275"/>
      <c r="E148" s="1275"/>
      <c r="F148" s="1275"/>
      <c r="G148" s="1275"/>
      <c r="H148" s="1275"/>
      <c r="I148" s="1275"/>
      <c r="J148" s="1275"/>
      <c r="K148" s="1275"/>
      <c r="L148" s="1275"/>
      <c r="M148" s="1275"/>
      <c r="N148" s="1275"/>
      <c r="O148" s="1275"/>
      <c r="P148" s="188" t="e">
        <f>IF(A148="","",VLOOKUP($A148,'[2]FDE-JUNHO-08'!$A$6:$D$3537,3,FALSE()))</f>
        <v>#REF!</v>
      </c>
      <c r="Q148" s="189" t="s">
        <v>1205</v>
      </c>
      <c r="R148" s="189" t="s">
        <v>1206</v>
      </c>
      <c r="T148" s="190"/>
      <c r="U148" s="191"/>
    </row>
    <row r="149" spans="1:21" ht="12" customHeight="1">
      <c r="A149" s="192"/>
      <c r="B149" s="1276"/>
      <c r="C149" s="1276"/>
      <c r="D149" s="1276"/>
      <c r="E149" s="1276"/>
      <c r="F149" s="1276"/>
      <c r="G149" s="1276"/>
      <c r="H149" s="1276"/>
      <c r="I149" s="1276"/>
      <c r="J149" s="1276"/>
      <c r="K149" s="1276"/>
      <c r="L149" s="1276"/>
      <c r="M149" s="1276"/>
      <c r="N149" s="1276"/>
      <c r="O149" s="1276"/>
      <c r="P149" s="193"/>
      <c r="Q149" s="194"/>
      <c r="R149" s="194"/>
      <c r="T149" s="190"/>
      <c r="U149" s="191"/>
    </row>
    <row r="150" spans="1:21" ht="14.25" customHeight="1">
      <c r="A150" s="192"/>
      <c r="B150" s="195" t="s">
        <v>1210</v>
      </c>
      <c r="C150" s="196"/>
      <c r="D150" s="197"/>
      <c r="E150" s="198"/>
      <c r="F150" s="197"/>
      <c r="G150" s="198"/>
      <c r="H150" s="197"/>
      <c r="I150" s="198"/>
      <c r="J150" s="197"/>
      <c r="K150" s="198"/>
      <c r="L150" s="199"/>
      <c r="M150" s="199" t="s">
        <v>1208</v>
      </c>
      <c r="N150" s="199">
        <v>65.680000000000007</v>
      </c>
      <c r="O150" s="155"/>
      <c r="P150" s="193"/>
      <c r="Q150" s="200"/>
      <c r="R150" s="194"/>
      <c r="T150" s="190"/>
      <c r="U150" s="191"/>
    </row>
    <row r="151" spans="1:21">
      <c r="A151" s="192"/>
      <c r="B151" s="195" t="s">
        <v>1211</v>
      </c>
      <c r="C151" s="196"/>
      <c r="D151" s="197"/>
      <c r="E151" s="198"/>
      <c r="F151" s="197"/>
      <c r="G151" s="198"/>
      <c r="H151" s="197"/>
      <c r="I151" s="198"/>
      <c r="J151" s="197"/>
      <c r="K151" s="198"/>
      <c r="L151" s="199"/>
      <c r="M151" s="199" t="s">
        <v>1208</v>
      </c>
      <c r="N151" s="199">
        <v>50.05</v>
      </c>
      <c r="O151" s="155"/>
      <c r="P151" s="193"/>
      <c r="Q151" s="200"/>
      <c r="R151" s="194"/>
      <c r="T151" s="190"/>
      <c r="U151" s="191"/>
    </row>
    <row r="152" spans="1:21">
      <c r="A152" s="192"/>
      <c r="B152" s="195" t="s">
        <v>1212</v>
      </c>
      <c r="C152" s="196"/>
      <c r="D152" s="197"/>
      <c r="E152" s="198"/>
      <c r="F152" s="197"/>
      <c r="G152" s="198"/>
      <c r="H152" s="197"/>
      <c r="I152" s="198"/>
      <c r="J152" s="197"/>
      <c r="K152" s="198"/>
      <c r="L152" s="199"/>
      <c r="M152" s="199" t="s">
        <v>1208</v>
      </c>
      <c r="N152" s="199">
        <v>45.76</v>
      </c>
      <c r="O152" s="155"/>
      <c r="P152" s="193"/>
      <c r="Q152" s="200"/>
      <c r="R152" s="194"/>
      <c r="T152" s="190"/>
      <c r="U152" s="191"/>
    </row>
    <row r="153" spans="1:21">
      <c r="A153" s="192"/>
      <c r="B153" s="195" t="s">
        <v>1213</v>
      </c>
      <c r="C153" s="196"/>
      <c r="D153" s="197"/>
      <c r="E153" s="198"/>
      <c r="F153" s="197"/>
      <c r="G153" s="198"/>
      <c r="H153" s="197"/>
      <c r="I153" s="198"/>
      <c r="J153" s="197"/>
      <c r="K153" s="198"/>
      <c r="L153" s="199"/>
      <c r="M153" s="199" t="s">
        <v>1208</v>
      </c>
      <c r="N153" s="199">
        <f>36.87+41.64</f>
        <v>78.509999999999991</v>
      </c>
      <c r="O153" s="155"/>
      <c r="P153" s="193"/>
      <c r="Q153" s="200"/>
      <c r="R153" s="194"/>
      <c r="T153" s="190"/>
      <c r="U153" s="191"/>
    </row>
    <row r="154" spans="1:21">
      <c r="A154" s="192"/>
      <c r="B154" s="195"/>
      <c r="C154" s="196"/>
      <c r="D154" s="197"/>
      <c r="E154" s="198"/>
      <c r="F154" s="197"/>
      <c r="G154" s="198"/>
      <c r="H154" s="197"/>
      <c r="I154" s="198"/>
      <c r="J154" s="197"/>
      <c r="K154" s="198"/>
      <c r="L154" s="199"/>
      <c r="M154" s="199"/>
      <c r="N154" s="201"/>
      <c r="O154" s="202"/>
      <c r="P154" s="193"/>
      <c r="Q154" s="200"/>
      <c r="R154" s="194"/>
      <c r="T154" s="190"/>
      <c r="U154" s="191"/>
    </row>
    <row r="155" spans="1:21">
      <c r="A155" s="192"/>
      <c r="B155" s="195"/>
      <c r="C155" s="196"/>
      <c r="D155" s="197"/>
      <c r="E155" s="198"/>
      <c r="F155" s="197"/>
      <c r="G155" s="198"/>
      <c r="H155" s="197"/>
      <c r="I155" s="198"/>
      <c r="J155" s="197"/>
      <c r="K155" s="198"/>
      <c r="L155" s="199" t="s">
        <v>1140</v>
      </c>
      <c r="M155" s="199" t="s">
        <v>1208</v>
      </c>
      <c r="N155" s="199">
        <f>SUM(N150:N154)</f>
        <v>240</v>
      </c>
      <c r="O155" s="155" t="s">
        <v>1214</v>
      </c>
      <c r="P155" s="193"/>
      <c r="Q155" s="200"/>
      <c r="R155" s="194"/>
      <c r="T155" s="190"/>
      <c r="U155" s="191"/>
    </row>
    <row r="156" spans="1:21">
      <c r="A156" s="192"/>
      <c r="B156" s="195"/>
      <c r="C156" s="196"/>
      <c r="D156" s="197"/>
      <c r="E156" s="198"/>
      <c r="F156" s="197"/>
      <c r="G156" s="198"/>
      <c r="H156" s="197"/>
      <c r="I156" s="198"/>
      <c r="J156" s="197"/>
      <c r="K156" s="198"/>
      <c r="L156" s="199"/>
      <c r="M156" s="199"/>
      <c r="N156" s="199"/>
      <c r="O156" s="155"/>
      <c r="P156" s="193"/>
      <c r="Q156" s="200"/>
      <c r="R156" s="194"/>
      <c r="T156" s="190"/>
      <c r="U156" s="191"/>
    </row>
    <row r="157" spans="1:21">
      <c r="A157" s="192"/>
      <c r="B157" s="1277" t="s">
        <v>1209</v>
      </c>
      <c r="C157" s="1277"/>
      <c r="D157" s="1277"/>
      <c r="E157" s="1277"/>
      <c r="F157" s="1277"/>
      <c r="G157" s="1277"/>
      <c r="H157" s="1277"/>
      <c r="I157" s="1277"/>
      <c r="J157" s="1277"/>
      <c r="K157" s="1277"/>
      <c r="L157" s="1277"/>
      <c r="M157" s="1277"/>
      <c r="N157" s="1277"/>
      <c r="O157" s="1277"/>
      <c r="P157" s="1277"/>
      <c r="Q157" s="203">
        <v>0</v>
      </c>
      <c r="R157" s="204">
        <f>Q157</f>
        <v>0</v>
      </c>
      <c r="T157" s="1278"/>
      <c r="U157" s="1279"/>
    </row>
    <row r="158" spans="1:21">
      <c r="A158" s="192"/>
      <c r="B158" s="1280" t="e">
        <f>med</f>
        <v>#NAME?</v>
      </c>
      <c r="C158" s="1280"/>
      <c r="D158" s="1280"/>
      <c r="E158" s="1280"/>
      <c r="F158" s="1280"/>
      <c r="G158" s="1280"/>
      <c r="H158" s="1280"/>
      <c r="I158" s="1280"/>
      <c r="J158" s="1280"/>
      <c r="K158" s="1280"/>
      <c r="L158" s="1280"/>
      <c r="M158" s="1280"/>
      <c r="N158" s="1280"/>
      <c r="O158" s="1280"/>
      <c r="P158" s="205">
        <f>N155</f>
        <v>240</v>
      </c>
      <c r="Q158" s="203">
        <f>P158</f>
        <v>240</v>
      </c>
      <c r="R158" s="204">
        <f>Q158+R157</f>
        <v>240</v>
      </c>
      <c r="T158" s="1278"/>
      <c r="U158" s="1279"/>
    </row>
    <row r="159" spans="1:21" ht="18" customHeight="1">
      <c r="A159" s="187" t="e">
        <f>#REF!</f>
        <v>#REF!</v>
      </c>
      <c r="B159" s="1275" t="e">
        <f>IF(A159="","",VLOOKUP($A159,'[2]FDE-JUNHO-08'!$A$6:$D$3537,2,FALSE()))</f>
        <v>#REF!</v>
      </c>
      <c r="C159" s="1275"/>
      <c r="D159" s="1275"/>
      <c r="E159" s="1275"/>
      <c r="F159" s="1275"/>
      <c r="G159" s="1275"/>
      <c r="H159" s="1275"/>
      <c r="I159" s="1275"/>
      <c r="J159" s="1275"/>
      <c r="K159" s="1275"/>
      <c r="L159" s="1275"/>
      <c r="M159" s="1275"/>
      <c r="N159" s="1275"/>
      <c r="O159" s="1275"/>
      <c r="P159" s="188" t="e">
        <f>IF(A159="","",VLOOKUP($A159,'[2]FDE-JUNHO-08'!$A$6:$D$3537,3,FALSE()))</f>
        <v>#REF!</v>
      </c>
      <c r="Q159" s="189" t="s">
        <v>1205</v>
      </c>
      <c r="R159" s="189" t="s">
        <v>1206</v>
      </c>
      <c r="T159" s="190"/>
      <c r="U159" s="191"/>
    </row>
    <row r="160" spans="1:21">
      <c r="A160" s="192"/>
      <c r="B160" s="195"/>
      <c r="C160" s="196"/>
      <c r="D160" s="197"/>
      <c r="E160" s="198"/>
      <c r="F160" s="197"/>
      <c r="G160" s="198"/>
      <c r="H160" s="197"/>
      <c r="I160" s="207"/>
      <c r="J160" s="207"/>
      <c r="K160" s="208"/>
      <c r="L160" s="209"/>
      <c r="M160" s="209"/>
      <c r="N160" s="209"/>
      <c r="O160" s="155"/>
      <c r="P160" s="193"/>
      <c r="Q160" s="200"/>
      <c r="R160" s="194"/>
      <c r="T160" s="190"/>
      <c r="U160" s="191"/>
    </row>
    <row r="161" spans="1:21">
      <c r="A161" s="192"/>
      <c r="B161" s="195" t="s">
        <v>1215</v>
      </c>
      <c r="C161" s="196"/>
      <c r="D161" s="197"/>
      <c r="E161" s="198"/>
      <c r="F161" s="197"/>
      <c r="G161" s="198"/>
      <c r="H161" s="197"/>
      <c r="I161" s="198"/>
      <c r="J161" s="197"/>
      <c r="K161" s="198"/>
      <c r="L161" s="199"/>
      <c r="M161" s="199" t="s">
        <v>1208</v>
      </c>
      <c r="N161" s="199">
        <v>90</v>
      </c>
      <c r="O161" s="155"/>
      <c r="P161" s="193"/>
      <c r="Q161" s="200"/>
      <c r="R161" s="194"/>
      <c r="T161" s="190"/>
      <c r="U161" s="191"/>
    </row>
    <row r="162" spans="1:21">
      <c r="A162" s="192"/>
      <c r="B162" s="195"/>
      <c r="C162" s="196"/>
      <c r="D162" s="197"/>
      <c r="E162" s="198"/>
      <c r="F162" s="197"/>
      <c r="G162" s="198"/>
      <c r="H162" s="197"/>
      <c r="I162" s="198"/>
      <c r="J162" s="197"/>
      <c r="K162" s="198"/>
      <c r="L162" s="199"/>
      <c r="M162" s="199"/>
      <c r="N162" s="201"/>
      <c r="O162" s="202"/>
      <c r="P162" s="193"/>
      <c r="Q162" s="200"/>
      <c r="R162" s="194"/>
      <c r="T162" s="190"/>
      <c r="U162" s="191"/>
    </row>
    <row r="163" spans="1:21">
      <c r="A163" s="192"/>
      <c r="B163" s="195"/>
      <c r="C163" s="196"/>
      <c r="D163" s="197"/>
      <c r="E163" s="198"/>
      <c r="F163" s="197"/>
      <c r="G163" s="198"/>
      <c r="H163" s="197"/>
      <c r="I163" s="198"/>
      <c r="J163" s="197"/>
      <c r="K163" s="198"/>
      <c r="L163" s="199" t="s">
        <v>1140</v>
      </c>
      <c r="M163" s="199" t="s">
        <v>1208</v>
      </c>
      <c r="N163" s="199">
        <f>SUM(N161:N162)</f>
        <v>90</v>
      </c>
      <c r="O163" s="155" t="s">
        <v>1214</v>
      </c>
      <c r="P163" s="193"/>
      <c r="Q163" s="200"/>
      <c r="R163" s="194"/>
      <c r="T163" s="190"/>
      <c r="U163" s="191"/>
    </row>
    <row r="164" spans="1:21">
      <c r="A164" s="192"/>
      <c r="B164" s="195"/>
      <c r="C164" s="196"/>
      <c r="D164" s="197"/>
      <c r="E164" s="198"/>
      <c r="F164" s="197"/>
      <c r="G164" s="198"/>
      <c r="H164" s="197"/>
      <c r="I164" s="198"/>
      <c r="J164" s="197"/>
      <c r="K164" s="198"/>
      <c r="L164" s="199"/>
      <c r="M164" s="199"/>
      <c r="N164" s="199"/>
      <c r="O164" s="155"/>
      <c r="P164" s="193"/>
      <c r="Q164" s="200"/>
      <c r="R164" s="194"/>
      <c r="T164" s="190"/>
      <c r="U164" s="191"/>
    </row>
    <row r="165" spans="1:21">
      <c r="A165" s="192"/>
      <c r="B165" s="195"/>
      <c r="C165" s="196"/>
      <c r="D165" s="197"/>
      <c r="E165" s="198"/>
      <c r="F165" s="197"/>
      <c r="G165" s="198"/>
      <c r="H165" s="197"/>
      <c r="I165" s="198"/>
      <c r="J165" s="197"/>
      <c r="K165" s="198"/>
      <c r="L165" s="199"/>
      <c r="M165" s="199"/>
      <c r="N165" s="199"/>
      <c r="O165" s="155"/>
      <c r="P165" s="193"/>
      <c r="Q165" s="200"/>
      <c r="R165" s="194"/>
      <c r="T165" s="190"/>
      <c r="U165" s="191"/>
    </row>
    <row r="166" spans="1:21">
      <c r="A166" s="192"/>
      <c r="B166" s="1277" t="s">
        <v>1209</v>
      </c>
      <c r="C166" s="1277"/>
      <c r="D166" s="1277"/>
      <c r="E166" s="1277"/>
      <c r="F166" s="1277"/>
      <c r="G166" s="1277"/>
      <c r="H166" s="1277"/>
      <c r="I166" s="1277"/>
      <c r="J166" s="1277"/>
      <c r="K166" s="1277"/>
      <c r="L166" s="1277"/>
      <c r="M166" s="1277"/>
      <c r="N166" s="1277"/>
      <c r="O166" s="1277"/>
      <c r="P166" s="1277"/>
      <c r="Q166" s="203">
        <v>0</v>
      </c>
      <c r="R166" s="204">
        <f>Q166</f>
        <v>0</v>
      </c>
      <c r="T166" s="1278"/>
      <c r="U166" s="1279"/>
    </row>
    <row r="167" spans="1:21">
      <c r="A167" s="192"/>
      <c r="B167" s="1280" t="e">
        <f>med</f>
        <v>#NAME?</v>
      </c>
      <c r="C167" s="1280"/>
      <c r="D167" s="1280"/>
      <c r="E167" s="1280"/>
      <c r="F167" s="1280"/>
      <c r="G167" s="1280"/>
      <c r="H167" s="1280"/>
      <c r="I167" s="1280"/>
      <c r="J167" s="1280"/>
      <c r="K167" s="1280"/>
      <c r="L167" s="1280"/>
      <c r="M167" s="1280"/>
      <c r="N167" s="1280"/>
      <c r="O167" s="1280"/>
      <c r="P167" s="205">
        <f>N163</f>
        <v>90</v>
      </c>
      <c r="Q167" s="203">
        <f>P167</f>
        <v>90</v>
      </c>
      <c r="R167" s="204">
        <f>Q167+R166</f>
        <v>90</v>
      </c>
      <c r="T167" s="1278"/>
      <c r="U167" s="1279"/>
    </row>
    <row r="168" spans="1:21" ht="18" customHeight="1">
      <c r="A168" s="187" t="e">
        <f>#REF!</f>
        <v>#REF!</v>
      </c>
      <c r="B168" s="1275" t="e">
        <f>IF(A168="","",VLOOKUP($A168,'[2]FDE-JUNHO-08'!$A$6:$D$3537,2,FALSE()))</f>
        <v>#REF!</v>
      </c>
      <c r="C168" s="1275"/>
      <c r="D168" s="1275"/>
      <c r="E168" s="1275"/>
      <c r="F168" s="1275"/>
      <c r="G168" s="1275"/>
      <c r="H168" s="1275"/>
      <c r="I168" s="1275"/>
      <c r="J168" s="1275"/>
      <c r="K168" s="1275"/>
      <c r="L168" s="1275"/>
      <c r="M168" s="1275"/>
      <c r="N168" s="1275"/>
      <c r="O168" s="1275"/>
      <c r="P168" s="188" t="e">
        <f>IF(A168="","",VLOOKUP($A168,'[2]FDE-JUNHO-08'!$A$6:$D$3537,3,FALSE()))</f>
        <v>#REF!</v>
      </c>
      <c r="Q168" s="189" t="s">
        <v>1205</v>
      </c>
      <c r="R168" s="189" t="s">
        <v>1206</v>
      </c>
      <c r="T168" s="190"/>
      <c r="U168" s="191"/>
    </row>
    <row r="169" spans="1:21" ht="13.8">
      <c r="A169" s="192"/>
      <c r="B169" s="210"/>
      <c r="C169" s="196"/>
      <c r="D169" s="197"/>
      <c r="E169" s="198"/>
      <c r="F169" s="197"/>
      <c r="G169" s="198"/>
      <c r="H169" s="197"/>
      <c r="I169" s="198"/>
      <c r="J169" s="197"/>
      <c r="K169" s="198"/>
      <c r="L169" s="199"/>
      <c r="M169" s="199"/>
      <c r="N169" s="199"/>
      <c r="O169" s="155"/>
      <c r="P169" s="193"/>
      <c r="Q169" s="200"/>
      <c r="R169" s="194"/>
      <c r="T169" s="190"/>
      <c r="U169" s="191"/>
    </row>
    <row r="170" spans="1:21" ht="16.5" customHeight="1">
      <c r="A170" s="192"/>
      <c r="B170" s="195" t="s">
        <v>1216</v>
      </c>
      <c r="C170" s="196"/>
      <c r="D170" s="197"/>
      <c r="E170" s="198"/>
      <c r="F170" s="197"/>
      <c r="G170" s="198"/>
      <c r="H170" s="197"/>
      <c r="I170" s="198"/>
      <c r="J170" s="197"/>
      <c r="K170" s="198"/>
      <c r="L170" s="199"/>
      <c r="M170" s="199" t="s">
        <v>1208</v>
      </c>
      <c r="N170" s="199">
        <v>28</v>
      </c>
      <c r="O170" s="155"/>
      <c r="P170" s="193"/>
      <c r="Q170" s="200"/>
      <c r="R170" s="194"/>
      <c r="T170" s="190"/>
      <c r="U170" s="191"/>
    </row>
    <row r="171" spans="1:21">
      <c r="A171" s="192"/>
      <c r="B171" s="195"/>
      <c r="C171" s="196"/>
      <c r="D171" s="197"/>
      <c r="E171" s="198"/>
      <c r="F171" s="197"/>
      <c r="G171" s="198"/>
      <c r="H171" s="197"/>
      <c r="I171" s="198"/>
      <c r="J171" s="197"/>
      <c r="K171" s="198"/>
      <c r="L171" s="199"/>
      <c r="M171" s="199"/>
      <c r="N171" s="201"/>
      <c r="O171" s="202"/>
      <c r="P171" s="193"/>
      <c r="Q171" s="200"/>
      <c r="R171" s="194"/>
      <c r="T171" s="190"/>
      <c r="U171" s="191"/>
    </row>
    <row r="172" spans="1:21">
      <c r="A172" s="192"/>
      <c r="B172" s="195"/>
      <c r="C172" s="196"/>
      <c r="D172" s="197"/>
      <c r="E172" s="198"/>
      <c r="F172" s="197"/>
      <c r="G172" s="198"/>
      <c r="H172" s="197"/>
      <c r="I172" s="198"/>
      <c r="J172" s="197"/>
      <c r="K172" s="198"/>
      <c r="L172" s="199" t="s">
        <v>1140</v>
      </c>
      <c r="M172" s="199" t="s">
        <v>1208</v>
      </c>
      <c r="N172" s="199">
        <f>SUM(N170:N171)</f>
        <v>28</v>
      </c>
      <c r="O172" s="155" t="str">
        <f>PLANILHA!D35</f>
        <v xml:space="preserve">M </v>
      </c>
      <c r="P172" s="193"/>
      <c r="Q172" s="200"/>
      <c r="R172" s="194"/>
      <c r="T172" s="190"/>
      <c r="U172" s="191"/>
    </row>
    <row r="173" spans="1:21">
      <c r="A173" s="192"/>
      <c r="B173" s="195"/>
      <c r="C173" s="196"/>
      <c r="D173" s="197"/>
      <c r="E173" s="198"/>
      <c r="F173" s="197"/>
      <c r="G173" s="198"/>
      <c r="H173" s="197"/>
      <c r="I173" s="198"/>
      <c r="J173" s="197"/>
      <c r="K173" s="198"/>
      <c r="L173" s="199"/>
      <c r="M173" s="199"/>
      <c r="N173" s="199"/>
      <c r="O173" s="155"/>
      <c r="P173" s="193"/>
      <c r="Q173" s="200"/>
      <c r="R173" s="194"/>
      <c r="T173" s="190"/>
      <c r="U173" s="191"/>
    </row>
    <row r="174" spans="1:21">
      <c r="A174" s="192"/>
      <c r="B174" s="1277" t="s">
        <v>1209</v>
      </c>
      <c r="C174" s="1277"/>
      <c r="D174" s="1277"/>
      <c r="E174" s="1277"/>
      <c r="F174" s="1277"/>
      <c r="G174" s="1277"/>
      <c r="H174" s="1277"/>
      <c r="I174" s="1277"/>
      <c r="J174" s="1277"/>
      <c r="K174" s="1277"/>
      <c r="L174" s="1277"/>
      <c r="M174" s="1277"/>
      <c r="N174" s="1277"/>
      <c r="O174" s="1277"/>
      <c r="P174" s="1277"/>
      <c r="Q174" s="203">
        <v>0</v>
      </c>
      <c r="R174" s="204">
        <f>Q174</f>
        <v>0</v>
      </c>
      <c r="T174" s="1278"/>
      <c r="U174" s="1279"/>
    </row>
    <row r="175" spans="1:21">
      <c r="A175" s="192"/>
      <c r="B175" s="1280" t="e">
        <f>med</f>
        <v>#NAME?</v>
      </c>
      <c r="C175" s="1280"/>
      <c r="D175" s="1280"/>
      <c r="E175" s="1280"/>
      <c r="F175" s="1280"/>
      <c r="G175" s="1280"/>
      <c r="H175" s="1280"/>
      <c r="I175" s="1280"/>
      <c r="J175" s="1280"/>
      <c r="K175" s="1280"/>
      <c r="L175" s="1280"/>
      <c r="M175" s="1280"/>
      <c r="N175" s="1280"/>
      <c r="O175" s="1280"/>
      <c r="P175" s="205">
        <f>N172</f>
        <v>28</v>
      </c>
      <c r="Q175" s="203">
        <f>P175</f>
        <v>28</v>
      </c>
      <c r="R175" s="204">
        <f>Q175+R174</f>
        <v>28</v>
      </c>
      <c r="T175" s="1278"/>
      <c r="U175" s="1279"/>
    </row>
    <row r="176" spans="1:21" ht="18" customHeight="1">
      <c r="A176" s="187" t="e">
        <f>#REF!</f>
        <v>#REF!</v>
      </c>
      <c r="B176" s="1275" t="e">
        <f>IF(A176="","",VLOOKUP($A176,'[2]FDE-JUNHO-08'!$A$6:$D$3537,2,FALSE()))</f>
        <v>#REF!</v>
      </c>
      <c r="C176" s="1275"/>
      <c r="D176" s="1275"/>
      <c r="E176" s="1275"/>
      <c r="F176" s="1275"/>
      <c r="G176" s="1275"/>
      <c r="H176" s="1275"/>
      <c r="I176" s="1275"/>
      <c r="J176" s="1275"/>
      <c r="K176" s="1275"/>
      <c r="L176" s="1275"/>
      <c r="M176" s="1275"/>
      <c r="N176" s="1275"/>
      <c r="O176" s="1275"/>
      <c r="P176" s="188" t="e">
        <f>IF(A176="","",VLOOKUP($A176,'[2]FDE-JUNHO-08'!$A$6:$D$3537,3,FALSE()))</f>
        <v>#REF!</v>
      </c>
      <c r="Q176" s="189" t="s">
        <v>1205</v>
      </c>
      <c r="R176" s="189" t="s">
        <v>1206</v>
      </c>
      <c r="T176" s="190"/>
      <c r="U176" s="191"/>
    </row>
    <row r="177" spans="1:21">
      <c r="A177" s="192"/>
      <c r="B177" s="1276"/>
      <c r="C177" s="1276"/>
      <c r="D177" s="1276"/>
      <c r="E177" s="1276"/>
      <c r="F177" s="1276"/>
      <c r="G177" s="1276"/>
      <c r="H177" s="1276"/>
      <c r="I177" s="1276"/>
      <c r="J177" s="1276"/>
      <c r="K177" s="1276"/>
      <c r="L177" s="1276"/>
      <c r="M177" s="1276"/>
      <c r="N177" s="1276"/>
      <c r="O177" s="1276"/>
      <c r="P177" s="193"/>
      <c r="Q177" s="194"/>
      <c r="R177" s="194"/>
      <c r="T177" s="190"/>
      <c r="U177" s="191"/>
    </row>
    <row r="178" spans="1:21" ht="16.5" customHeight="1">
      <c r="A178" s="192"/>
      <c r="B178" s="195" t="s">
        <v>1217</v>
      </c>
      <c r="C178" s="196"/>
      <c r="D178" s="197"/>
      <c r="E178" s="198"/>
      <c r="F178" s="197"/>
      <c r="G178" s="198"/>
      <c r="H178" s="197"/>
      <c r="I178" s="198"/>
      <c r="J178" s="197"/>
      <c r="K178" s="198"/>
      <c r="L178" s="199"/>
      <c r="M178" s="199" t="s">
        <v>1208</v>
      </c>
      <c r="N178" s="199">
        <v>43</v>
      </c>
      <c r="O178" s="155"/>
      <c r="P178" s="193"/>
      <c r="Q178" s="200"/>
      <c r="R178" s="194"/>
      <c r="T178" s="190"/>
      <c r="U178" s="191"/>
    </row>
    <row r="179" spans="1:21">
      <c r="A179" s="192"/>
      <c r="B179" s="195"/>
      <c r="C179" s="196"/>
      <c r="D179" s="197"/>
      <c r="E179" s="198"/>
      <c r="F179" s="197"/>
      <c r="G179" s="198"/>
      <c r="H179" s="197"/>
      <c r="I179" s="198"/>
      <c r="J179" s="197"/>
      <c r="K179" s="198"/>
      <c r="L179" s="199"/>
      <c r="M179" s="199"/>
      <c r="N179" s="201"/>
      <c r="O179" s="202"/>
      <c r="P179" s="193"/>
      <c r="Q179" s="200"/>
      <c r="R179" s="194"/>
      <c r="T179" s="190"/>
      <c r="U179" s="191"/>
    </row>
    <row r="180" spans="1:21">
      <c r="A180" s="192"/>
      <c r="B180" s="195"/>
      <c r="C180" s="196"/>
      <c r="D180" s="197"/>
      <c r="E180" s="198"/>
      <c r="F180" s="197"/>
      <c r="G180" s="198"/>
      <c r="H180" s="197"/>
      <c r="I180" s="198"/>
      <c r="J180" s="197"/>
      <c r="K180" s="198"/>
      <c r="L180" s="199" t="s">
        <v>1140</v>
      </c>
      <c r="M180" s="199" t="s">
        <v>1208</v>
      </c>
      <c r="N180" s="199">
        <f>SUM(N178:N179)</f>
        <v>43</v>
      </c>
      <c r="O180" s="155" t="str">
        <f>PLANILHA!D43</f>
        <v>UN</v>
      </c>
      <c r="P180" s="193"/>
      <c r="Q180" s="200"/>
      <c r="R180" s="194"/>
      <c r="T180" s="190"/>
      <c r="U180" s="191"/>
    </row>
    <row r="181" spans="1:21">
      <c r="A181" s="192"/>
      <c r="B181" s="195"/>
      <c r="C181" s="196"/>
      <c r="D181" s="197"/>
      <c r="E181" s="198"/>
      <c r="F181" s="197"/>
      <c r="G181" s="198"/>
      <c r="H181" s="197"/>
      <c r="I181" s="198"/>
      <c r="J181" s="197"/>
      <c r="K181" s="198"/>
      <c r="L181" s="199"/>
      <c r="M181" s="199"/>
      <c r="N181" s="199"/>
      <c r="O181" s="155"/>
      <c r="P181" s="193"/>
      <c r="Q181" s="200"/>
      <c r="R181" s="194"/>
      <c r="T181" s="190"/>
      <c r="U181" s="191"/>
    </row>
    <row r="182" spans="1:21">
      <c r="A182" s="192"/>
      <c r="B182" s="1277" t="s">
        <v>1209</v>
      </c>
      <c r="C182" s="1277"/>
      <c r="D182" s="1277"/>
      <c r="E182" s="1277"/>
      <c r="F182" s="1277"/>
      <c r="G182" s="1277"/>
      <c r="H182" s="1277"/>
      <c r="I182" s="1277"/>
      <c r="J182" s="1277"/>
      <c r="K182" s="1277"/>
      <c r="L182" s="1277"/>
      <c r="M182" s="1277"/>
      <c r="N182" s="1277"/>
      <c r="O182" s="1277"/>
      <c r="P182" s="1277"/>
      <c r="Q182" s="203">
        <v>0</v>
      </c>
      <c r="R182" s="204">
        <f>Q182</f>
        <v>0</v>
      </c>
      <c r="T182" s="1278"/>
      <c r="U182" s="1279"/>
    </row>
    <row r="183" spans="1:21">
      <c r="A183" s="192"/>
      <c r="B183" s="1280" t="e">
        <f>med</f>
        <v>#NAME?</v>
      </c>
      <c r="C183" s="1280"/>
      <c r="D183" s="1280"/>
      <c r="E183" s="1280"/>
      <c r="F183" s="1280"/>
      <c r="G183" s="1280"/>
      <c r="H183" s="1280"/>
      <c r="I183" s="1280"/>
      <c r="J183" s="1280"/>
      <c r="K183" s="1280"/>
      <c r="L183" s="1280"/>
      <c r="M183" s="1280"/>
      <c r="N183" s="1280"/>
      <c r="O183" s="1280"/>
      <c r="P183" s="205">
        <f>N180</f>
        <v>43</v>
      </c>
      <c r="Q183" s="203">
        <f>P183</f>
        <v>43</v>
      </c>
      <c r="R183" s="204">
        <f>Q183+R182</f>
        <v>43</v>
      </c>
      <c r="T183" s="1278"/>
      <c r="U183" s="1279"/>
    </row>
    <row r="184" spans="1:21" ht="18" customHeight="1">
      <c r="A184" s="187" t="e">
        <f>#REF!</f>
        <v>#REF!</v>
      </c>
      <c r="B184" s="1275" t="e">
        <f>IF(A184="","",VLOOKUP($A184,'[2]FDE-JUNHO-08'!$A$6:$D$3537,2,FALSE()))</f>
        <v>#REF!</v>
      </c>
      <c r="C184" s="1275"/>
      <c r="D184" s="1275"/>
      <c r="E184" s="1275"/>
      <c r="F184" s="1275"/>
      <c r="G184" s="1275"/>
      <c r="H184" s="1275"/>
      <c r="I184" s="1275"/>
      <c r="J184" s="1275"/>
      <c r="K184" s="1275"/>
      <c r="L184" s="1275"/>
      <c r="M184" s="1275"/>
      <c r="N184" s="1275"/>
      <c r="O184" s="1275"/>
      <c r="P184" s="188" t="e">
        <f>IF(A184="","",VLOOKUP($A184,'[2]FDE-JUNHO-08'!$A$6:$D$3537,3,FALSE()))</f>
        <v>#REF!</v>
      </c>
      <c r="Q184" s="189" t="s">
        <v>1205</v>
      </c>
      <c r="R184" s="189" t="s">
        <v>1206</v>
      </c>
      <c r="T184" s="190"/>
      <c r="U184" s="191"/>
    </row>
    <row r="185" spans="1:21">
      <c r="A185" s="192"/>
      <c r="B185" s="1276"/>
      <c r="C185" s="1276"/>
      <c r="D185" s="1276"/>
      <c r="E185" s="1276"/>
      <c r="F185" s="1276"/>
      <c r="G185" s="1276"/>
      <c r="H185" s="1276"/>
      <c r="I185" s="1276"/>
      <c r="J185" s="1276"/>
      <c r="K185" s="1276"/>
      <c r="L185" s="1276"/>
      <c r="M185" s="1276"/>
      <c r="N185" s="1276"/>
      <c r="O185" s="1276"/>
      <c r="P185" s="193"/>
      <c r="Q185" s="194"/>
      <c r="R185" s="194"/>
      <c r="T185" s="190"/>
      <c r="U185" s="191"/>
    </row>
    <row r="186" spans="1:21">
      <c r="A186" s="192"/>
      <c r="B186" s="195" t="s">
        <v>1207</v>
      </c>
      <c r="C186" s="196"/>
      <c r="D186" s="197"/>
      <c r="E186" s="198"/>
      <c r="F186" s="197"/>
      <c r="G186" s="198"/>
      <c r="H186" s="197"/>
      <c r="I186" s="198"/>
      <c r="J186" s="197"/>
      <c r="K186" s="198"/>
      <c r="L186" s="199"/>
      <c r="M186" s="199" t="s">
        <v>1208</v>
      </c>
      <c r="N186" s="199">
        <v>49</v>
      </c>
      <c r="O186" s="155"/>
      <c r="P186" s="193"/>
      <c r="Q186" s="200"/>
      <c r="R186" s="194"/>
      <c r="T186" s="190"/>
      <c r="U186" s="191"/>
    </row>
    <row r="187" spans="1:21">
      <c r="A187" s="192"/>
      <c r="B187" s="195"/>
      <c r="C187" s="196"/>
      <c r="D187" s="197"/>
      <c r="E187" s="198"/>
      <c r="F187" s="197"/>
      <c r="G187" s="198"/>
      <c r="H187" s="197"/>
      <c r="I187" s="198"/>
      <c r="J187" s="197"/>
      <c r="K187" s="198"/>
      <c r="L187" s="199"/>
      <c r="M187" s="199"/>
      <c r="N187" s="201"/>
      <c r="O187" s="202"/>
      <c r="P187" s="193"/>
      <c r="Q187" s="200"/>
      <c r="R187" s="194"/>
      <c r="T187" s="190"/>
      <c r="U187" s="191"/>
    </row>
    <row r="188" spans="1:21">
      <c r="A188" s="192"/>
      <c r="B188" s="195"/>
      <c r="C188" s="196"/>
      <c r="D188" s="197"/>
      <c r="E188" s="198"/>
      <c r="F188" s="197"/>
      <c r="G188" s="198"/>
      <c r="H188" s="197"/>
      <c r="I188" s="198"/>
      <c r="J188" s="197"/>
      <c r="K188" s="198"/>
      <c r="L188" s="199" t="s">
        <v>1140</v>
      </c>
      <c r="M188" s="199" t="s">
        <v>1208</v>
      </c>
      <c r="N188" s="199">
        <f>SUM(N186:N187)</f>
        <v>49</v>
      </c>
      <c r="O188" s="155" t="e">
        <f>P184</f>
        <v>#REF!</v>
      </c>
      <c r="P188" s="193"/>
      <c r="Q188" s="200"/>
      <c r="R188" s="194"/>
      <c r="T188" s="190"/>
      <c r="U188" s="191"/>
    </row>
    <row r="189" spans="1:21">
      <c r="A189" s="192"/>
      <c r="B189" s="195"/>
      <c r="C189" s="196"/>
      <c r="D189" s="197"/>
      <c r="E189" s="198"/>
      <c r="F189" s="197"/>
      <c r="G189" s="198"/>
      <c r="H189" s="197"/>
      <c r="I189" s="198"/>
      <c r="J189" s="197"/>
      <c r="K189" s="198"/>
      <c r="L189" s="199"/>
      <c r="M189" s="199"/>
      <c r="N189" s="199"/>
      <c r="O189" s="155"/>
      <c r="P189" s="193"/>
      <c r="Q189" s="200"/>
      <c r="R189" s="194"/>
      <c r="T189" s="190"/>
      <c r="U189" s="191"/>
    </row>
    <row r="190" spans="1:21">
      <c r="A190" s="192"/>
      <c r="B190" s="1277" t="s">
        <v>1209</v>
      </c>
      <c r="C190" s="1277"/>
      <c r="D190" s="1277"/>
      <c r="E190" s="1277"/>
      <c r="F190" s="1277"/>
      <c r="G190" s="1277"/>
      <c r="H190" s="1277"/>
      <c r="I190" s="1277"/>
      <c r="J190" s="1277"/>
      <c r="K190" s="1277"/>
      <c r="L190" s="1277"/>
      <c r="M190" s="1277"/>
      <c r="N190" s="1277"/>
      <c r="O190" s="1277"/>
      <c r="P190" s="1277"/>
      <c r="Q190" s="203">
        <v>0</v>
      </c>
      <c r="R190" s="204">
        <f>Q190</f>
        <v>0</v>
      </c>
      <c r="T190" s="1278"/>
      <c r="U190" s="1279"/>
    </row>
    <row r="191" spans="1:21">
      <c r="A191" s="192"/>
      <c r="B191" s="1280" t="e">
        <f>med</f>
        <v>#NAME?</v>
      </c>
      <c r="C191" s="1280"/>
      <c r="D191" s="1280"/>
      <c r="E191" s="1280"/>
      <c r="F191" s="1280"/>
      <c r="G191" s="1280"/>
      <c r="H191" s="1280"/>
      <c r="I191" s="1280"/>
      <c r="J191" s="1280"/>
      <c r="K191" s="1280"/>
      <c r="L191" s="1280"/>
      <c r="M191" s="1280"/>
      <c r="N191" s="1280"/>
      <c r="O191" s="1280"/>
      <c r="P191" s="205">
        <f>N188</f>
        <v>49</v>
      </c>
      <c r="Q191" s="203">
        <f>P191</f>
        <v>49</v>
      </c>
      <c r="R191" s="204">
        <f>Q191+R190</f>
        <v>49</v>
      </c>
      <c r="T191" s="1278"/>
      <c r="U191" s="1279"/>
    </row>
    <row r="192" spans="1:21" ht="18" customHeight="1">
      <c r="A192" s="187" t="e">
        <f>#REF!</f>
        <v>#REF!</v>
      </c>
      <c r="B192" s="1275" t="e">
        <f>IF(A192="","",VLOOKUP($A192,'[2]FDE-JUNHO-08'!$A$6:$D$3537,2,FALSE()))</f>
        <v>#REF!</v>
      </c>
      <c r="C192" s="1275"/>
      <c r="D192" s="1275"/>
      <c r="E192" s="1275"/>
      <c r="F192" s="1275"/>
      <c r="G192" s="1275"/>
      <c r="H192" s="1275"/>
      <c r="I192" s="1275"/>
      <c r="J192" s="1275"/>
      <c r="K192" s="1275"/>
      <c r="L192" s="1275"/>
      <c r="M192" s="1275"/>
      <c r="N192" s="1275"/>
      <c r="O192" s="1275"/>
      <c r="P192" s="188" t="e">
        <f>IF(A192="","",VLOOKUP($A192,'[2]FDE-JUNHO-08'!$A$6:$D$3537,3,FALSE()))</f>
        <v>#REF!</v>
      </c>
      <c r="Q192" s="189" t="s">
        <v>1205</v>
      </c>
      <c r="R192" s="189" t="s">
        <v>1206</v>
      </c>
      <c r="T192" s="190"/>
      <c r="U192" s="191"/>
    </row>
    <row r="193" spans="1:21">
      <c r="A193" s="192"/>
      <c r="B193" s="1276"/>
      <c r="C193" s="1276"/>
      <c r="D193" s="1276"/>
      <c r="E193" s="1276"/>
      <c r="F193" s="1276"/>
      <c r="G193" s="1276"/>
      <c r="H193" s="1276"/>
      <c r="I193" s="1276"/>
      <c r="J193" s="1276"/>
      <c r="K193" s="1276"/>
      <c r="L193" s="1276"/>
      <c r="M193" s="1276"/>
      <c r="N193" s="1276"/>
      <c r="O193" s="1276"/>
      <c r="P193" s="193"/>
      <c r="Q193" s="211"/>
      <c r="R193" s="194"/>
      <c r="T193" s="190"/>
      <c r="U193" s="191"/>
    </row>
    <row r="194" spans="1:21">
      <c r="A194" s="192"/>
      <c r="B194" s="195" t="s">
        <v>1207</v>
      </c>
      <c r="C194" s="196"/>
      <c r="D194" s="197"/>
      <c r="E194" s="198"/>
      <c r="F194" s="197"/>
      <c r="G194" s="198"/>
      <c r="H194" s="197"/>
      <c r="I194" s="198"/>
      <c r="J194" s="197"/>
      <c r="K194" s="198"/>
      <c r="L194" s="199"/>
      <c r="M194" s="199" t="s">
        <v>1208</v>
      </c>
      <c r="N194" s="199">
        <v>30</v>
      </c>
      <c r="O194" s="155"/>
      <c r="P194" s="193"/>
      <c r="Q194" s="200"/>
      <c r="R194" s="194"/>
      <c r="T194" s="190"/>
      <c r="U194" s="191"/>
    </row>
    <row r="195" spans="1:21">
      <c r="A195" s="192"/>
      <c r="B195" s="195"/>
      <c r="C195" s="196"/>
      <c r="D195" s="197"/>
      <c r="E195" s="198"/>
      <c r="F195" s="197"/>
      <c r="G195" s="198"/>
      <c r="H195" s="197"/>
      <c r="I195" s="198"/>
      <c r="J195" s="197"/>
      <c r="K195" s="198"/>
      <c r="L195" s="199"/>
      <c r="M195" s="199"/>
      <c r="N195" s="201"/>
      <c r="O195" s="202"/>
      <c r="P195" s="193"/>
      <c r="Q195" s="200"/>
      <c r="R195" s="194"/>
      <c r="T195" s="190"/>
      <c r="U195" s="191"/>
    </row>
    <row r="196" spans="1:21">
      <c r="A196" s="192"/>
      <c r="B196" s="195"/>
      <c r="C196" s="196"/>
      <c r="D196" s="197"/>
      <c r="E196" s="198"/>
      <c r="F196" s="197"/>
      <c r="G196" s="198"/>
      <c r="H196" s="197"/>
      <c r="I196" s="198"/>
      <c r="J196" s="197"/>
      <c r="K196" s="198"/>
      <c r="L196" s="199" t="s">
        <v>1140</v>
      </c>
      <c r="M196" s="199" t="s">
        <v>1208</v>
      </c>
      <c r="N196" s="199">
        <f>SUM(N194:N195)</f>
        <v>30</v>
      </c>
      <c r="O196" s="155" t="e">
        <f>P192</f>
        <v>#REF!</v>
      </c>
      <c r="P196" s="193"/>
      <c r="Q196" s="200"/>
      <c r="R196" s="194"/>
      <c r="T196" s="190"/>
      <c r="U196" s="191"/>
    </row>
    <row r="197" spans="1:21">
      <c r="A197" s="192"/>
      <c r="B197" s="212"/>
      <c r="P197" s="193"/>
      <c r="Q197" s="213"/>
      <c r="R197" s="194"/>
      <c r="T197" s="190"/>
      <c r="U197" s="191"/>
    </row>
    <row r="198" spans="1:21">
      <c r="A198" s="192"/>
      <c r="B198" s="1277" t="s">
        <v>1209</v>
      </c>
      <c r="C198" s="1277"/>
      <c r="D198" s="1277"/>
      <c r="E198" s="1277"/>
      <c r="F198" s="1277"/>
      <c r="G198" s="1277"/>
      <c r="H198" s="1277"/>
      <c r="I198" s="1277"/>
      <c r="J198" s="1277"/>
      <c r="K198" s="1277"/>
      <c r="L198" s="1277"/>
      <c r="M198" s="1277"/>
      <c r="N198" s="1277"/>
      <c r="O198" s="1277"/>
      <c r="P198" s="1277"/>
      <c r="Q198" s="203">
        <v>0</v>
      </c>
      <c r="R198" s="204">
        <f>Q198</f>
        <v>0</v>
      </c>
      <c r="T198" s="1278"/>
      <c r="U198" s="1279"/>
    </row>
    <row r="199" spans="1:21">
      <c r="A199" s="206"/>
      <c r="B199" s="1280" t="e">
        <f>med</f>
        <v>#NAME?</v>
      </c>
      <c r="C199" s="1280"/>
      <c r="D199" s="1280"/>
      <c r="E199" s="1280"/>
      <c r="F199" s="1280"/>
      <c r="G199" s="1280"/>
      <c r="H199" s="1280"/>
      <c r="I199" s="1280"/>
      <c r="J199" s="1280"/>
      <c r="K199" s="1280"/>
      <c r="L199" s="1280"/>
      <c r="M199" s="1280"/>
      <c r="N199" s="1280"/>
      <c r="O199" s="1280"/>
      <c r="P199" s="205">
        <f>N196</f>
        <v>30</v>
      </c>
      <c r="Q199" s="203">
        <f>P199</f>
        <v>30</v>
      </c>
      <c r="R199" s="204">
        <f>Q199+R198</f>
        <v>30</v>
      </c>
      <c r="T199" s="1278"/>
      <c r="U199" s="1279"/>
    </row>
    <row r="200" spans="1:21" ht="18" customHeight="1">
      <c r="A200" s="187" t="e">
        <f>#REF!</f>
        <v>#REF!</v>
      </c>
      <c r="B200" s="1275" t="e">
        <f>IF(A200="","",VLOOKUP($A200,'[2]FDE-JUNHO-08'!$A$6:$D$3537,2,FALSE()))</f>
        <v>#REF!</v>
      </c>
      <c r="C200" s="1275"/>
      <c r="D200" s="1275"/>
      <c r="E200" s="1275"/>
      <c r="F200" s="1275"/>
      <c r="G200" s="1275"/>
      <c r="H200" s="1275"/>
      <c r="I200" s="1275"/>
      <c r="J200" s="1275"/>
      <c r="K200" s="1275"/>
      <c r="L200" s="1275"/>
      <c r="M200" s="1275"/>
      <c r="N200" s="1275"/>
      <c r="O200" s="1275"/>
      <c r="P200" s="188" t="e">
        <f>IF(A200="","",VLOOKUP($A200,'[2]FDE-JUNHO-08'!$A$6:$D$3537,3,FALSE()))</f>
        <v>#REF!</v>
      </c>
      <c r="Q200" s="189" t="s">
        <v>1205</v>
      </c>
      <c r="R200" s="189" t="s">
        <v>1206</v>
      </c>
      <c r="T200" s="190"/>
      <c r="U200" s="191"/>
    </row>
    <row r="201" spans="1:21">
      <c r="A201" s="192"/>
      <c r="B201" s="195"/>
      <c r="C201" s="196"/>
      <c r="D201" s="197"/>
      <c r="E201" s="198"/>
      <c r="F201" s="197"/>
      <c r="G201" s="198"/>
      <c r="H201" s="197"/>
      <c r="I201" s="207"/>
      <c r="J201" s="207"/>
      <c r="K201" s="208"/>
      <c r="L201" s="209"/>
      <c r="M201" s="209"/>
      <c r="N201" s="209"/>
      <c r="O201" s="155"/>
      <c r="P201" s="193"/>
      <c r="Q201" s="200"/>
      <c r="R201" s="194"/>
      <c r="T201" s="190"/>
      <c r="U201" s="191"/>
    </row>
    <row r="202" spans="1:21" ht="16.5" customHeight="1">
      <c r="A202" s="192"/>
      <c r="B202" s="195" t="s">
        <v>1216</v>
      </c>
      <c r="C202" s="196"/>
      <c r="D202" s="197"/>
      <c r="E202" s="198"/>
      <c r="F202" s="197"/>
      <c r="G202" s="198"/>
      <c r="H202" s="197"/>
      <c r="I202" s="198"/>
      <c r="J202" s="197"/>
      <c r="K202" s="198"/>
      <c r="L202" s="199"/>
      <c r="M202" s="199" t="s">
        <v>1208</v>
      </c>
      <c r="N202" s="199">
        <v>28</v>
      </c>
      <c r="O202" s="155"/>
      <c r="P202" s="193"/>
      <c r="Q202" s="200"/>
      <c r="R202" s="194"/>
      <c r="T202" s="190"/>
      <c r="U202" s="191"/>
    </row>
    <row r="203" spans="1:21">
      <c r="A203" s="192"/>
      <c r="B203" s="195"/>
      <c r="C203" s="196"/>
      <c r="D203" s="197"/>
      <c r="E203" s="198"/>
      <c r="F203" s="197"/>
      <c r="G203" s="198"/>
      <c r="H203" s="197"/>
      <c r="I203" s="198"/>
      <c r="J203" s="197"/>
      <c r="K203" s="198"/>
      <c r="L203" s="199"/>
      <c r="M203" s="199"/>
      <c r="N203" s="201"/>
      <c r="O203" s="202"/>
      <c r="P203" s="193"/>
      <c r="Q203" s="200"/>
      <c r="R203" s="194"/>
      <c r="T203" s="190"/>
      <c r="U203" s="191"/>
    </row>
    <row r="204" spans="1:21">
      <c r="A204" s="192"/>
      <c r="B204" s="195"/>
      <c r="C204" s="196"/>
      <c r="D204" s="197"/>
      <c r="E204" s="198"/>
      <c r="F204" s="197"/>
      <c r="G204" s="198"/>
      <c r="H204" s="197"/>
      <c r="I204" s="198"/>
      <c r="J204" s="197"/>
      <c r="K204" s="198"/>
      <c r="L204" s="199" t="s">
        <v>1140</v>
      </c>
      <c r="M204" s="199" t="s">
        <v>1208</v>
      </c>
      <c r="N204" s="199">
        <f>SUM(N202:N203)</f>
        <v>28</v>
      </c>
      <c r="O204" s="155" t="str">
        <f>PLANILHA!D73</f>
        <v>UN</v>
      </c>
      <c r="P204" s="193"/>
      <c r="Q204" s="200"/>
      <c r="R204" s="194"/>
      <c r="T204" s="190"/>
      <c r="U204" s="191"/>
    </row>
    <row r="205" spans="1:21">
      <c r="A205" s="192"/>
      <c r="B205" s="195"/>
      <c r="C205" s="196"/>
      <c r="D205" s="197"/>
      <c r="E205" s="198"/>
      <c r="F205" s="197"/>
      <c r="G205" s="198"/>
      <c r="H205" s="197"/>
      <c r="I205" s="198"/>
      <c r="J205" s="197"/>
      <c r="K205" s="198"/>
      <c r="L205" s="199"/>
      <c r="M205" s="199"/>
      <c r="N205" s="199"/>
      <c r="O205" s="155"/>
      <c r="P205" s="193"/>
      <c r="Q205" s="200"/>
      <c r="R205" s="194"/>
      <c r="T205" s="190"/>
      <c r="U205" s="191"/>
    </row>
    <row r="206" spans="1:21">
      <c r="A206" s="192"/>
      <c r="B206" s="1277" t="s">
        <v>1209</v>
      </c>
      <c r="C206" s="1277"/>
      <c r="D206" s="1277"/>
      <c r="E206" s="1277"/>
      <c r="F206" s="1277"/>
      <c r="G206" s="1277"/>
      <c r="H206" s="1277"/>
      <c r="I206" s="1277"/>
      <c r="J206" s="1277"/>
      <c r="K206" s="1277"/>
      <c r="L206" s="1277"/>
      <c r="M206" s="1277"/>
      <c r="N206" s="1277"/>
      <c r="O206" s="1277"/>
      <c r="P206" s="1277"/>
      <c r="Q206" s="203">
        <v>0</v>
      </c>
      <c r="R206" s="204">
        <f>Q206</f>
        <v>0</v>
      </c>
      <c r="T206" s="1278"/>
      <c r="U206" s="1279"/>
    </row>
    <row r="207" spans="1:21">
      <c r="A207" s="192"/>
      <c r="B207" s="1280" t="e">
        <f>med</f>
        <v>#NAME?</v>
      </c>
      <c r="C207" s="1280"/>
      <c r="D207" s="1280"/>
      <c r="E207" s="1280"/>
      <c r="F207" s="1280"/>
      <c r="G207" s="1280"/>
      <c r="H207" s="1280"/>
      <c r="I207" s="1280"/>
      <c r="J207" s="1280"/>
      <c r="K207" s="1280"/>
      <c r="L207" s="1280"/>
      <c r="M207" s="1280"/>
      <c r="N207" s="1280"/>
      <c r="O207" s="1280"/>
      <c r="P207" s="205">
        <f>N204</f>
        <v>28</v>
      </c>
      <c r="Q207" s="203">
        <f>P207</f>
        <v>28</v>
      </c>
      <c r="R207" s="204">
        <f>Q207+R206</f>
        <v>28</v>
      </c>
      <c r="T207" s="1278"/>
      <c r="U207" s="1279"/>
    </row>
    <row r="208" spans="1:21" ht="18" customHeight="1">
      <c r="A208" s="187" t="e">
        <f>#REF!</f>
        <v>#REF!</v>
      </c>
      <c r="B208" s="1275" t="e">
        <f>IF(A208="","",VLOOKUP($A208,'[2]FDE-JUNHO-08'!$A$6:$D$3537,2,FALSE()))</f>
        <v>#REF!</v>
      </c>
      <c r="C208" s="1275"/>
      <c r="D208" s="1275"/>
      <c r="E208" s="1275"/>
      <c r="F208" s="1275"/>
      <c r="G208" s="1275"/>
      <c r="H208" s="1275"/>
      <c r="I208" s="1275"/>
      <c r="J208" s="1275"/>
      <c r="K208" s="1275"/>
      <c r="L208" s="1275"/>
      <c r="M208" s="1275"/>
      <c r="N208" s="1275"/>
      <c r="O208" s="1275"/>
      <c r="P208" s="188" t="e">
        <f>IF(A208="","",VLOOKUP($A208,'[2]FDE-JUNHO-08'!$A$6:$D$3537,3,FALSE()))</f>
        <v>#REF!</v>
      </c>
      <c r="Q208" s="189" t="s">
        <v>1205</v>
      </c>
      <c r="R208" s="189" t="s">
        <v>1206</v>
      </c>
      <c r="T208" s="190"/>
      <c r="U208" s="191"/>
    </row>
    <row r="209" spans="1:21">
      <c r="A209" s="192"/>
      <c r="B209" s="1276"/>
      <c r="C209" s="1276"/>
      <c r="D209" s="1276"/>
      <c r="E209" s="1276"/>
      <c r="F209" s="1276"/>
      <c r="G209" s="1276"/>
      <c r="H209" s="1276"/>
      <c r="I209" s="1276"/>
      <c r="J209" s="1276"/>
      <c r="K209" s="1276"/>
      <c r="L209" s="1276"/>
      <c r="M209" s="1276"/>
      <c r="N209" s="1276"/>
      <c r="O209" s="1276"/>
      <c r="P209" s="193"/>
      <c r="Q209" s="194"/>
      <c r="R209" s="194"/>
      <c r="T209" s="190"/>
      <c r="U209" s="191"/>
    </row>
    <row r="210" spans="1:21">
      <c r="A210" s="192"/>
      <c r="B210" s="195" t="s">
        <v>1207</v>
      </c>
      <c r="C210" s="196"/>
      <c r="D210" s="197"/>
      <c r="E210" s="198"/>
      <c r="F210" s="197"/>
      <c r="G210" s="198"/>
      <c r="H210" s="197"/>
      <c r="I210" s="198"/>
      <c r="J210" s="197"/>
      <c r="K210" s="198"/>
      <c r="L210" s="199"/>
      <c r="M210" s="199" t="s">
        <v>1208</v>
      </c>
      <c r="N210" s="199">
        <v>430</v>
      </c>
      <c r="O210" s="155"/>
      <c r="P210" s="193"/>
      <c r="Q210" s="200"/>
      <c r="R210" s="194"/>
      <c r="T210" s="190"/>
      <c r="U210" s="191"/>
    </row>
    <row r="211" spans="1:21">
      <c r="A211" s="192"/>
      <c r="B211" s="195"/>
      <c r="C211" s="196"/>
      <c r="D211" s="197"/>
      <c r="E211" s="198"/>
      <c r="F211" s="197"/>
      <c r="G211" s="198"/>
      <c r="H211" s="197"/>
      <c r="I211" s="198"/>
      <c r="J211" s="197"/>
      <c r="K211" s="198"/>
      <c r="L211" s="199"/>
      <c r="M211" s="199"/>
      <c r="N211" s="201"/>
      <c r="O211" s="202"/>
      <c r="P211" s="193"/>
      <c r="Q211" s="200"/>
      <c r="R211" s="194"/>
      <c r="T211" s="190"/>
      <c r="U211" s="191"/>
    </row>
    <row r="212" spans="1:21">
      <c r="A212" s="192"/>
      <c r="B212" s="195"/>
      <c r="C212" s="196"/>
      <c r="D212" s="197"/>
      <c r="E212" s="198"/>
      <c r="F212" s="197"/>
      <c r="G212" s="198"/>
      <c r="H212" s="197"/>
      <c r="I212" s="198"/>
      <c r="J212" s="197"/>
      <c r="K212" s="198"/>
      <c r="L212" s="199" t="s">
        <v>1140</v>
      </c>
      <c r="M212" s="199" t="s">
        <v>1208</v>
      </c>
      <c r="N212" s="199">
        <f>SUM(N210:N211)</f>
        <v>430</v>
      </c>
      <c r="O212" s="155" t="e">
        <f>P208</f>
        <v>#REF!</v>
      </c>
      <c r="P212" s="193"/>
      <c r="Q212" s="200"/>
      <c r="R212" s="194"/>
      <c r="T212" s="190"/>
      <c r="U212" s="191"/>
    </row>
    <row r="213" spans="1:21">
      <c r="A213" s="192"/>
      <c r="B213" s="195"/>
      <c r="C213" s="196"/>
      <c r="D213" s="197"/>
      <c r="E213" s="198"/>
      <c r="F213" s="197"/>
      <c r="G213" s="198"/>
      <c r="H213" s="197"/>
      <c r="I213" s="198"/>
      <c r="J213" s="197"/>
      <c r="K213" s="198"/>
      <c r="L213" s="199"/>
      <c r="M213" s="199"/>
      <c r="N213" s="199"/>
      <c r="O213" s="155"/>
      <c r="P213" s="193"/>
      <c r="Q213" s="200"/>
      <c r="R213" s="194"/>
      <c r="T213" s="190"/>
      <c r="U213" s="191"/>
    </row>
    <row r="214" spans="1:21">
      <c r="A214" s="192"/>
      <c r="B214" s="1277" t="s">
        <v>1209</v>
      </c>
      <c r="C214" s="1277"/>
      <c r="D214" s="1277"/>
      <c r="E214" s="1277"/>
      <c r="F214" s="1277"/>
      <c r="G214" s="1277"/>
      <c r="H214" s="1277"/>
      <c r="I214" s="1277"/>
      <c r="J214" s="1277"/>
      <c r="K214" s="1277"/>
      <c r="L214" s="1277"/>
      <c r="M214" s="1277"/>
      <c r="N214" s="1277"/>
      <c r="O214" s="1277"/>
      <c r="P214" s="1277"/>
      <c r="Q214" s="203">
        <v>0</v>
      </c>
      <c r="R214" s="204">
        <f>Q214</f>
        <v>0</v>
      </c>
      <c r="T214" s="1278"/>
      <c r="U214" s="1279"/>
    </row>
    <row r="215" spans="1:21">
      <c r="A215" s="192"/>
      <c r="B215" s="1280" t="e">
        <f>med</f>
        <v>#NAME?</v>
      </c>
      <c r="C215" s="1280"/>
      <c r="D215" s="1280"/>
      <c r="E215" s="1280"/>
      <c r="F215" s="1280"/>
      <c r="G215" s="1280"/>
      <c r="H215" s="1280"/>
      <c r="I215" s="1280"/>
      <c r="J215" s="1280"/>
      <c r="K215" s="1280"/>
      <c r="L215" s="1280"/>
      <c r="M215" s="1280"/>
      <c r="N215" s="1280"/>
      <c r="O215" s="1280"/>
      <c r="P215" s="205">
        <f>N212</f>
        <v>430</v>
      </c>
      <c r="Q215" s="203">
        <f>P215</f>
        <v>430</v>
      </c>
      <c r="R215" s="204">
        <f>Q215+R214</f>
        <v>430</v>
      </c>
      <c r="T215" s="1278"/>
      <c r="U215" s="1279"/>
    </row>
    <row r="216" spans="1:21" ht="18" customHeight="1">
      <c r="A216" s="187" t="e">
        <f>#REF!</f>
        <v>#REF!</v>
      </c>
      <c r="B216" s="1275" t="e">
        <f>IF(A216="","",VLOOKUP($A216,'[2]FDE-JUNHO-08'!$A$6:$D$3537,2,FALSE()))</f>
        <v>#REF!</v>
      </c>
      <c r="C216" s="1275"/>
      <c r="D216" s="1275"/>
      <c r="E216" s="1275"/>
      <c r="F216" s="1275"/>
      <c r="G216" s="1275"/>
      <c r="H216" s="1275"/>
      <c r="I216" s="1275"/>
      <c r="J216" s="1275"/>
      <c r="K216" s="1275"/>
      <c r="L216" s="1275"/>
      <c r="M216" s="1275"/>
      <c r="N216" s="1275"/>
      <c r="O216" s="1275"/>
      <c r="P216" s="188" t="e">
        <f>IF(A216="","",VLOOKUP($A216,'[2]FDE-JUNHO-08'!$A$6:$D$3537,3,FALSE()))</f>
        <v>#REF!</v>
      </c>
      <c r="Q216" s="189" t="s">
        <v>1205</v>
      </c>
      <c r="R216" s="189" t="s">
        <v>1206</v>
      </c>
      <c r="T216" s="190"/>
      <c r="U216" s="191"/>
    </row>
    <row r="217" spans="1:21">
      <c r="A217" s="192"/>
      <c r="B217" s="1276"/>
      <c r="C217" s="1276"/>
      <c r="D217" s="1276"/>
      <c r="E217" s="1276"/>
      <c r="F217" s="1276"/>
      <c r="G217" s="1276"/>
      <c r="H217" s="1276"/>
      <c r="I217" s="1276"/>
      <c r="J217" s="1276"/>
      <c r="K217" s="1276"/>
      <c r="L217" s="1276"/>
      <c r="M217" s="1276"/>
      <c r="N217" s="1276"/>
      <c r="O217" s="1276"/>
      <c r="P217" s="193"/>
      <c r="Q217" s="194"/>
      <c r="R217" s="194"/>
      <c r="T217" s="190"/>
      <c r="U217" s="191"/>
    </row>
    <row r="218" spans="1:21">
      <c r="A218" s="192"/>
      <c r="B218" s="195" t="s">
        <v>1207</v>
      </c>
      <c r="C218" s="196"/>
      <c r="D218" s="197"/>
      <c r="E218" s="198"/>
      <c r="F218" s="197"/>
      <c r="G218" s="198"/>
      <c r="H218" s="197"/>
      <c r="I218" s="198"/>
      <c r="J218" s="197"/>
      <c r="K218" s="198"/>
      <c r="L218" s="199"/>
      <c r="M218" s="199" t="s">
        <v>1208</v>
      </c>
      <c r="N218" s="199">
        <v>28</v>
      </c>
      <c r="O218" s="155"/>
      <c r="P218" s="193"/>
      <c r="Q218" s="200"/>
      <c r="R218" s="194"/>
      <c r="T218" s="190"/>
      <c r="U218" s="191"/>
    </row>
    <row r="219" spans="1:21">
      <c r="A219" s="192"/>
      <c r="B219" s="195"/>
      <c r="C219" s="196"/>
      <c r="D219" s="197"/>
      <c r="E219" s="198"/>
      <c r="F219" s="197"/>
      <c r="G219" s="198"/>
      <c r="H219" s="197"/>
      <c r="I219" s="198"/>
      <c r="J219" s="197"/>
      <c r="K219" s="198"/>
      <c r="L219" s="199"/>
      <c r="M219" s="199"/>
      <c r="N219" s="201"/>
      <c r="O219" s="202"/>
      <c r="P219" s="193"/>
      <c r="Q219" s="200"/>
      <c r="R219" s="194"/>
      <c r="T219" s="190"/>
      <c r="U219" s="191"/>
    </row>
    <row r="220" spans="1:21">
      <c r="A220" s="192"/>
      <c r="B220" s="195"/>
      <c r="C220" s="196"/>
      <c r="D220" s="197"/>
      <c r="E220" s="198"/>
      <c r="F220" s="197"/>
      <c r="G220" s="198"/>
      <c r="H220" s="197"/>
      <c r="I220" s="198"/>
      <c r="J220" s="197"/>
      <c r="K220" s="198"/>
      <c r="L220" s="199" t="s">
        <v>1140</v>
      </c>
      <c r="M220" s="199" t="s">
        <v>1208</v>
      </c>
      <c r="N220" s="199">
        <f>SUM(N218:N219)</f>
        <v>28</v>
      </c>
      <c r="O220" s="155" t="e">
        <f>P216</f>
        <v>#REF!</v>
      </c>
      <c r="P220" s="193"/>
      <c r="Q220" s="200"/>
      <c r="R220" s="194"/>
      <c r="T220" s="190"/>
      <c r="U220" s="191"/>
    </row>
    <row r="221" spans="1:21">
      <c r="A221" s="192"/>
      <c r="B221" s="195"/>
      <c r="C221" s="196"/>
      <c r="D221" s="197"/>
      <c r="E221" s="198"/>
      <c r="F221" s="197"/>
      <c r="G221" s="198"/>
      <c r="H221" s="197"/>
      <c r="I221" s="198"/>
      <c r="J221" s="197"/>
      <c r="K221" s="198"/>
      <c r="L221" s="199"/>
      <c r="M221" s="199"/>
      <c r="N221" s="199"/>
      <c r="O221" s="155"/>
      <c r="P221" s="193"/>
      <c r="Q221" s="200"/>
      <c r="R221" s="194"/>
      <c r="T221" s="190"/>
      <c r="U221" s="191"/>
    </row>
    <row r="222" spans="1:21">
      <c r="A222" s="192"/>
      <c r="B222" s="1277" t="s">
        <v>1209</v>
      </c>
      <c r="C222" s="1277"/>
      <c r="D222" s="1277"/>
      <c r="E222" s="1277"/>
      <c r="F222" s="1277"/>
      <c r="G222" s="1277"/>
      <c r="H222" s="1277"/>
      <c r="I222" s="1277"/>
      <c r="J222" s="1277"/>
      <c r="K222" s="1277"/>
      <c r="L222" s="1277"/>
      <c r="M222" s="1277"/>
      <c r="N222" s="1277"/>
      <c r="O222" s="1277"/>
      <c r="P222" s="1277"/>
      <c r="Q222" s="203">
        <v>0</v>
      </c>
      <c r="R222" s="204">
        <f>Q222</f>
        <v>0</v>
      </c>
      <c r="T222" s="1278"/>
      <c r="U222" s="1279"/>
    </row>
    <row r="223" spans="1:21">
      <c r="A223" s="192"/>
      <c r="B223" s="1280" t="e">
        <f>med</f>
        <v>#NAME?</v>
      </c>
      <c r="C223" s="1280"/>
      <c r="D223" s="1280"/>
      <c r="E223" s="1280"/>
      <c r="F223" s="1280"/>
      <c r="G223" s="1280"/>
      <c r="H223" s="1280"/>
      <c r="I223" s="1280"/>
      <c r="J223" s="1280"/>
      <c r="K223" s="1280"/>
      <c r="L223" s="1280"/>
      <c r="M223" s="1280"/>
      <c r="N223" s="1280"/>
      <c r="O223" s="1280"/>
      <c r="P223" s="205">
        <f>N220</f>
        <v>28</v>
      </c>
      <c r="Q223" s="203">
        <f>P223</f>
        <v>28</v>
      </c>
      <c r="R223" s="204">
        <f>Q223+R222</f>
        <v>28</v>
      </c>
      <c r="T223" s="1278"/>
      <c r="U223" s="1279"/>
    </row>
    <row r="224" spans="1:21" ht="18" customHeight="1">
      <c r="A224" s="187" t="e">
        <f>#REF!</f>
        <v>#REF!</v>
      </c>
      <c r="B224" s="1275" t="e">
        <f>IF(A224="","",VLOOKUP($A224,'[2]FDE-JUNHO-08'!$A$6:$D$3537,2,FALSE()))</f>
        <v>#REF!</v>
      </c>
      <c r="C224" s="1275"/>
      <c r="D224" s="1275"/>
      <c r="E224" s="1275"/>
      <c r="F224" s="1275"/>
      <c r="G224" s="1275"/>
      <c r="H224" s="1275"/>
      <c r="I224" s="1275"/>
      <c r="J224" s="1275"/>
      <c r="K224" s="1275"/>
      <c r="L224" s="1275"/>
      <c r="M224" s="1275"/>
      <c r="N224" s="1275"/>
      <c r="O224" s="1275"/>
      <c r="P224" s="188" t="e">
        <f>IF(A224="","",VLOOKUP($A224,'[2]FDE-JUNHO-08'!$A$6:$D$3537,3,FALSE()))</f>
        <v>#REF!</v>
      </c>
      <c r="Q224" s="189" t="s">
        <v>1205</v>
      </c>
      <c r="R224" s="189" t="s">
        <v>1206</v>
      </c>
      <c r="T224" s="190"/>
      <c r="U224" s="191"/>
    </row>
    <row r="225" spans="1:21">
      <c r="A225" s="192"/>
      <c r="B225" s="1276"/>
      <c r="C225" s="1276"/>
      <c r="D225" s="1276"/>
      <c r="E225" s="1276"/>
      <c r="F225" s="1276"/>
      <c r="G225" s="1276"/>
      <c r="H225" s="1276"/>
      <c r="I225" s="1276"/>
      <c r="J225" s="1276"/>
      <c r="K225" s="1276"/>
      <c r="L225" s="1276"/>
      <c r="M225" s="1276"/>
      <c r="N225" s="1276"/>
      <c r="O225" s="1276"/>
      <c r="P225" s="193"/>
      <c r="Q225" s="194"/>
      <c r="R225" s="194"/>
      <c r="T225" s="190"/>
      <c r="U225" s="191"/>
    </row>
    <row r="226" spans="1:21">
      <c r="A226" s="192"/>
      <c r="B226" s="195" t="s">
        <v>1207</v>
      </c>
      <c r="C226" s="196"/>
      <c r="D226" s="197"/>
      <c r="E226" s="198"/>
      <c r="F226" s="197"/>
      <c r="G226" s="198"/>
      <c r="H226" s="197"/>
      <c r="I226" s="198"/>
      <c r="J226" s="197"/>
      <c r="K226" s="198"/>
      <c r="L226" s="199"/>
      <c r="M226" s="199" t="s">
        <v>1208</v>
      </c>
      <c r="N226" s="199">
        <v>6</v>
      </c>
      <c r="O226" s="155"/>
      <c r="P226" s="193"/>
      <c r="Q226" s="200"/>
      <c r="R226" s="194"/>
      <c r="T226" s="190"/>
      <c r="U226" s="191"/>
    </row>
    <row r="227" spans="1:21">
      <c r="A227" s="192"/>
      <c r="B227" s="195"/>
      <c r="C227" s="196"/>
      <c r="D227" s="197"/>
      <c r="E227" s="198"/>
      <c r="F227" s="197"/>
      <c r="G227" s="198"/>
      <c r="H227" s="197"/>
      <c r="I227" s="198"/>
      <c r="J227" s="197"/>
      <c r="K227" s="198"/>
      <c r="L227" s="199"/>
      <c r="M227" s="199"/>
      <c r="N227" s="201"/>
      <c r="O227" s="202"/>
      <c r="P227" s="193"/>
      <c r="Q227" s="200"/>
      <c r="R227" s="194"/>
      <c r="T227" s="190"/>
      <c r="U227" s="191"/>
    </row>
    <row r="228" spans="1:21">
      <c r="A228" s="192"/>
      <c r="B228" s="195"/>
      <c r="C228" s="196"/>
      <c r="D228" s="197"/>
      <c r="E228" s="198"/>
      <c r="F228" s="197"/>
      <c r="G228" s="198"/>
      <c r="H228" s="197"/>
      <c r="I228" s="198"/>
      <c r="J228" s="197"/>
      <c r="K228" s="198"/>
      <c r="L228" s="199" t="s">
        <v>1140</v>
      </c>
      <c r="M228" s="199" t="s">
        <v>1208</v>
      </c>
      <c r="N228" s="199">
        <f>SUM(N226:N227)</f>
        <v>6</v>
      </c>
      <c r="O228" s="155" t="e">
        <f>P224</f>
        <v>#REF!</v>
      </c>
      <c r="P228" s="193"/>
      <c r="Q228" s="200"/>
      <c r="R228" s="194"/>
      <c r="T228" s="190"/>
      <c r="U228" s="191"/>
    </row>
    <row r="229" spans="1:21">
      <c r="A229" s="192"/>
      <c r="B229" s="195"/>
      <c r="C229" s="196"/>
      <c r="D229" s="197"/>
      <c r="E229" s="198"/>
      <c r="F229" s="197"/>
      <c r="G229" s="198"/>
      <c r="H229" s="197"/>
      <c r="I229" s="198"/>
      <c r="J229" s="197"/>
      <c r="K229" s="198"/>
      <c r="L229" s="199"/>
      <c r="M229" s="199"/>
      <c r="N229" s="199"/>
      <c r="O229" s="155"/>
      <c r="P229" s="193"/>
      <c r="Q229" s="200"/>
      <c r="R229" s="194"/>
      <c r="T229" s="190"/>
      <c r="U229" s="191"/>
    </row>
    <row r="230" spans="1:21">
      <c r="A230" s="192"/>
      <c r="B230" s="1277" t="s">
        <v>1209</v>
      </c>
      <c r="C230" s="1277"/>
      <c r="D230" s="1277"/>
      <c r="E230" s="1277"/>
      <c r="F230" s="1277"/>
      <c r="G230" s="1277"/>
      <c r="H230" s="1277"/>
      <c r="I230" s="1277"/>
      <c r="J230" s="1277"/>
      <c r="K230" s="1277"/>
      <c r="L230" s="1277"/>
      <c r="M230" s="1277"/>
      <c r="N230" s="1277"/>
      <c r="O230" s="1277"/>
      <c r="P230" s="1277"/>
      <c r="Q230" s="203">
        <v>0</v>
      </c>
      <c r="R230" s="204">
        <f>Q230</f>
        <v>0</v>
      </c>
      <c r="T230" s="1278"/>
      <c r="U230" s="1279"/>
    </row>
    <row r="231" spans="1:21">
      <c r="A231" s="192"/>
      <c r="B231" s="1280" t="e">
        <f>med</f>
        <v>#NAME?</v>
      </c>
      <c r="C231" s="1280"/>
      <c r="D231" s="1280"/>
      <c r="E231" s="1280"/>
      <c r="F231" s="1280"/>
      <c r="G231" s="1280"/>
      <c r="H231" s="1280"/>
      <c r="I231" s="1280"/>
      <c r="J231" s="1280"/>
      <c r="K231" s="1280"/>
      <c r="L231" s="1280"/>
      <c r="M231" s="1280"/>
      <c r="N231" s="1280"/>
      <c r="O231" s="1280"/>
      <c r="P231" s="205">
        <f>N228</f>
        <v>6</v>
      </c>
      <c r="Q231" s="203">
        <f>P231</f>
        <v>6</v>
      </c>
      <c r="R231" s="204">
        <f>Q231+R230</f>
        <v>6</v>
      </c>
      <c r="T231" s="1278"/>
      <c r="U231" s="1279"/>
    </row>
    <row r="232" spans="1:21" ht="18" customHeight="1">
      <c r="A232" s="187" t="e">
        <f>#REF!</f>
        <v>#REF!</v>
      </c>
      <c r="B232" s="1275" t="e">
        <f>IF(A232="","",VLOOKUP($A232,'[2]FDE-JUNHO-08'!$A$6:$D$3537,2,FALSE()))</f>
        <v>#REF!</v>
      </c>
      <c r="C232" s="1275"/>
      <c r="D232" s="1275"/>
      <c r="E232" s="1275"/>
      <c r="F232" s="1275"/>
      <c r="G232" s="1275"/>
      <c r="H232" s="1275"/>
      <c r="I232" s="1275"/>
      <c r="J232" s="1275"/>
      <c r="K232" s="1275"/>
      <c r="L232" s="1275"/>
      <c r="M232" s="1275"/>
      <c r="N232" s="1275"/>
      <c r="O232" s="1275"/>
      <c r="P232" s="188" t="e">
        <f>IF(A232="","",VLOOKUP($A232,'[2]FDE-JUNHO-08'!$A$6:$D$3537,3,FALSE()))</f>
        <v>#REF!</v>
      </c>
      <c r="Q232" s="189" t="s">
        <v>1205</v>
      </c>
      <c r="R232" s="189" t="s">
        <v>1206</v>
      </c>
      <c r="T232" s="190"/>
      <c r="U232" s="191"/>
    </row>
    <row r="233" spans="1:21">
      <c r="A233" s="192"/>
      <c r="B233" s="1276"/>
      <c r="C233" s="1276"/>
      <c r="D233" s="1276"/>
      <c r="E233" s="1276"/>
      <c r="F233" s="1276"/>
      <c r="G233" s="1276"/>
      <c r="H233" s="1276"/>
      <c r="I233" s="1276"/>
      <c r="J233" s="1276"/>
      <c r="K233" s="1276"/>
      <c r="L233" s="1276"/>
      <c r="M233" s="1276"/>
      <c r="N233" s="1276"/>
      <c r="O233" s="1276"/>
      <c r="P233" s="193"/>
      <c r="Q233" s="194"/>
      <c r="R233" s="194"/>
      <c r="T233" s="190"/>
      <c r="U233" s="191"/>
    </row>
    <row r="234" spans="1:21">
      <c r="A234" s="192"/>
      <c r="B234" s="195" t="s">
        <v>1207</v>
      </c>
      <c r="C234" s="196"/>
      <c r="D234" s="197"/>
      <c r="E234" s="198"/>
      <c r="F234" s="197"/>
      <c r="G234" s="198"/>
      <c r="H234" s="197"/>
      <c r="I234" s="198"/>
      <c r="J234" s="197"/>
      <c r="K234" s="198"/>
      <c r="L234" s="199"/>
      <c r="M234" s="199" t="s">
        <v>1208</v>
      </c>
      <c r="N234" s="199">
        <v>11</v>
      </c>
      <c r="O234" s="155"/>
      <c r="P234" s="193"/>
      <c r="Q234" s="200"/>
      <c r="R234" s="194"/>
      <c r="T234" s="190"/>
      <c r="U234" s="191"/>
    </row>
    <row r="235" spans="1:21">
      <c r="A235" s="192"/>
      <c r="B235" s="195"/>
      <c r="C235" s="196"/>
      <c r="D235" s="197"/>
      <c r="E235" s="198"/>
      <c r="F235" s="197"/>
      <c r="G235" s="198"/>
      <c r="H235" s="197"/>
      <c r="I235" s="198"/>
      <c r="J235" s="197"/>
      <c r="K235" s="198"/>
      <c r="L235" s="199"/>
      <c r="M235" s="199"/>
      <c r="N235" s="201"/>
      <c r="O235" s="202"/>
      <c r="P235" s="193"/>
      <c r="Q235" s="200"/>
      <c r="R235" s="194"/>
      <c r="T235" s="190"/>
      <c r="U235" s="191"/>
    </row>
    <row r="236" spans="1:21">
      <c r="A236" s="192"/>
      <c r="B236" s="195"/>
      <c r="C236" s="196"/>
      <c r="D236" s="197"/>
      <c r="E236" s="198"/>
      <c r="F236" s="197"/>
      <c r="G236" s="198"/>
      <c r="H236" s="197"/>
      <c r="I236" s="198"/>
      <c r="J236" s="197"/>
      <c r="K236" s="198"/>
      <c r="L236" s="199" t="s">
        <v>1140</v>
      </c>
      <c r="M236" s="199" t="s">
        <v>1208</v>
      </c>
      <c r="N236" s="199">
        <f>SUM(N234:N235)</f>
        <v>11</v>
      </c>
      <c r="O236" s="155" t="e">
        <f>P232</f>
        <v>#REF!</v>
      </c>
      <c r="P236" s="193"/>
      <c r="Q236" s="200"/>
      <c r="R236" s="194"/>
      <c r="T236" s="190"/>
      <c r="U236" s="191"/>
    </row>
    <row r="237" spans="1:21">
      <c r="A237" s="192"/>
      <c r="B237" s="195"/>
      <c r="C237" s="196"/>
      <c r="D237" s="197"/>
      <c r="E237" s="198"/>
      <c r="F237" s="197"/>
      <c r="G237" s="198"/>
      <c r="H237" s="197"/>
      <c r="I237" s="198"/>
      <c r="J237" s="197"/>
      <c r="K237" s="198"/>
      <c r="L237" s="199"/>
      <c r="M237" s="199"/>
      <c r="N237" s="199"/>
      <c r="O237" s="155"/>
      <c r="P237" s="193"/>
      <c r="Q237" s="200"/>
      <c r="R237" s="194"/>
      <c r="T237" s="190"/>
      <c r="U237" s="191"/>
    </row>
    <row r="238" spans="1:21">
      <c r="A238" s="192"/>
      <c r="B238" s="1277" t="s">
        <v>1209</v>
      </c>
      <c r="C238" s="1277"/>
      <c r="D238" s="1277"/>
      <c r="E238" s="1277"/>
      <c r="F238" s="1277"/>
      <c r="G238" s="1277"/>
      <c r="H238" s="1277"/>
      <c r="I238" s="1277"/>
      <c r="J238" s="1277"/>
      <c r="K238" s="1277"/>
      <c r="L238" s="1277"/>
      <c r="M238" s="1277"/>
      <c r="N238" s="1277"/>
      <c r="O238" s="1277"/>
      <c r="P238" s="1277"/>
      <c r="Q238" s="203">
        <v>0</v>
      </c>
      <c r="R238" s="204">
        <f>Q238</f>
        <v>0</v>
      </c>
      <c r="T238" s="1278"/>
      <c r="U238" s="1279"/>
    </row>
    <row r="239" spans="1:21">
      <c r="A239" s="192"/>
      <c r="B239" s="1280" t="e">
        <f>med</f>
        <v>#NAME?</v>
      </c>
      <c r="C239" s="1280"/>
      <c r="D239" s="1280"/>
      <c r="E239" s="1280"/>
      <c r="F239" s="1280"/>
      <c r="G239" s="1280"/>
      <c r="H239" s="1280"/>
      <c r="I239" s="1280"/>
      <c r="J239" s="1280"/>
      <c r="K239" s="1280"/>
      <c r="L239" s="1280"/>
      <c r="M239" s="1280"/>
      <c r="N239" s="1280"/>
      <c r="O239" s="1280"/>
      <c r="P239" s="205">
        <f>N236</f>
        <v>11</v>
      </c>
      <c r="Q239" s="203">
        <f>P239</f>
        <v>11</v>
      </c>
      <c r="R239" s="204">
        <f>Q239+R238</f>
        <v>11</v>
      </c>
      <c r="T239" s="1278"/>
      <c r="U239" s="1279"/>
    </row>
    <row r="240" spans="1:21" ht="18" customHeight="1">
      <c r="A240" s="187" t="e">
        <f>#REF!</f>
        <v>#REF!</v>
      </c>
      <c r="B240" s="1275" t="e">
        <f>IF(A240="","",VLOOKUP($A240,'[2]FDE-JUNHO-08'!$A$6:$D$3537,2,FALSE()))</f>
        <v>#REF!</v>
      </c>
      <c r="C240" s="1275"/>
      <c r="D240" s="1275"/>
      <c r="E240" s="1275"/>
      <c r="F240" s="1275"/>
      <c r="G240" s="1275"/>
      <c r="H240" s="1275"/>
      <c r="I240" s="1275"/>
      <c r="J240" s="1275"/>
      <c r="K240" s="1275"/>
      <c r="L240" s="1275"/>
      <c r="M240" s="1275"/>
      <c r="N240" s="1275"/>
      <c r="O240" s="1275"/>
      <c r="P240" s="188" t="e">
        <f>IF(A240="","",VLOOKUP($A240,'[2]FDE-JUNHO-08'!$A$6:$D$3537,3,FALSE()))</f>
        <v>#REF!</v>
      </c>
      <c r="Q240" s="189" t="s">
        <v>1205</v>
      </c>
      <c r="R240" s="189" t="s">
        <v>1206</v>
      </c>
      <c r="T240" s="190"/>
      <c r="U240" s="191"/>
    </row>
    <row r="241" spans="1:21">
      <c r="A241" s="192"/>
      <c r="B241" s="1276"/>
      <c r="C241" s="1276"/>
      <c r="D241" s="1276"/>
      <c r="E241" s="1276"/>
      <c r="F241" s="1276"/>
      <c r="G241" s="1276"/>
      <c r="H241" s="1276"/>
      <c r="I241" s="1276"/>
      <c r="J241" s="1276"/>
      <c r="K241" s="1276"/>
      <c r="L241" s="1276"/>
      <c r="M241" s="1276"/>
      <c r="N241" s="1276"/>
      <c r="O241" s="1276"/>
      <c r="P241" s="193"/>
      <c r="Q241" s="194"/>
      <c r="R241" s="194"/>
      <c r="T241" s="190"/>
      <c r="U241" s="191"/>
    </row>
    <row r="242" spans="1:21">
      <c r="A242" s="192"/>
      <c r="B242" s="195" t="s">
        <v>1207</v>
      </c>
      <c r="C242" s="196"/>
      <c r="D242" s="197"/>
      <c r="E242" s="198"/>
      <c r="F242" s="197"/>
      <c r="G242" s="198"/>
      <c r="H242" s="197"/>
      <c r="I242" s="198"/>
      <c r="J242" s="197"/>
      <c r="K242" s="198"/>
      <c r="L242" s="199"/>
      <c r="M242" s="199" t="s">
        <v>1208</v>
      </c>
      <c r="N242" s="199">
        <v>2</v>
      </c>
      <c r="O242" s="155"/>
      <c r="P242" s="193"/>
      <c r="Q242" s="200"/>
      <c r="R242" s="194"/>
      <c r="T242" s="190"/>
      <c r="U242" s="191"/>
    </row>
    <row r="243" spans="1:21">
      <c r="A243" s="192"/>
      <c r="B243" s="195"/>
      <c r="C243" s="196"/>
      <c r="D243" s="197"/>
      <c r="E243" s="198"/>
      <c r="F243" s="197"/>
      <c r="G243" s="198"/>
      <c r="H243" s="197"/>
      <c r="I243" s="198"/>
      <c r="J243" s="197"/>
      <c r="K243" s="198"/>
      <c r="L243" s="199"/>
      <c r="M243" s="199"/>
      <c r="N243" s="201"/>
      <c r="O243" s="202"/>
      <c r="P243" s="193"/>
      <c r="Q243" s="200"/>
      <c r="R243" s="194"/>
      <c r="T243" s="190"/>
      <c r="U243" s="191"/>
    </row>
    <row r="244" spans="1:21">
      <c r="A244" s="192"/>
      <c r="B244" s="195"/>
      <c r="C244" s="196"/>
      <c r="D244" s="197"/>
      <c r="E244" s="198"/>
      <c r="F244" s="197"/>
      <c r="G244" s="198"/>
      <c r="H244" s="197"/>
      <c r="I244" s="198"/>
      <c r="J244" s="197"/>
      <c r="K244" s="198"/>
      <c r="L244" s="199" t="s">
        <v>1140</v>
      </c>
      <c r="M244" s="199" t="s">
        <v>1208</v>
      </c>
      <c r="N244" s="199">
        <f>SUM(N242:N243)</f>
        <v>2</v>
      </c>
      <c r="O244" s="155" t="e">
        <f>P240</f>
        <v>#REF!</v>
      </c>
      <c r="P244" s="193"/>
      <c r="Q244" s="200"/>
      <c r="R244" s="194"/>
      <c r="T244" s="190"/>
      <c r="U244" s="191"/>
    </row>
    <row r="245" spans="1:21">
      <c r="A245" s="192"/>
      <c r="B245" s="195"/>
      <c r="C245" s="196"/>
      <c r="D245" s="197"/>
      <c r="E245" s="198"/>
      <c r="F245" s="197"/>
      <c r="G245" s="198"/>
      <c r="H245" s="197"/>
      <c r="I245" s="198"/>
      <c r="J245" s="197"/>
      <c r="K245" s="198"/>
      <c r="L245" s="199"/>
      <c r="M245" s="199"/>
      <c r="N245" s="199"/>
      <c r="O245" s="155"/>
      <c r="P245" s="193"/>
      <c r="Q245" s="200"/>
      <c r="R245" s="194"/>
      <c r="T245" s="190"/>
      <c r="U245" s="191"/>
    </row>
    <row r="246" spans="1:21">
      <c r="A246" s="192"/>
      <c r="B246" s="1277" t="s">
        <v>1209</v>
      </c>
      <c r="C246" s="1277"/>
      <c r="D246" s="1277"/>
      <c r="E246" s="1277"/>
      <c r="F246" s="1277"/>
      <c r="G246" s="1277"/>
      <c r="H246" s="1277"/>
      <c r="I246" s="1277"/>
      <c r="J246" s="1277"/>
      <c r="K246" s="1277"/>
      <c r="L246" s="1277"/>
      <c r="M246" s="1277"/>
      <c r="N246" s="1277"/>
      <c r="O246" s="1277"/>
      <c r="P246" s="1277"/>
      <c r="Q246" s="203">
        <v>0</v>
      </c>
      <c r="R246" s="204">
        <f>Q246</f>
        <v>0</v>
      </c>
      <c r="T246" s="1278"/>
      <c r="U246" s="1279"/>
    </row>
    <row r="247" spans="1:21">
      <c r="A247" s="192"/>
      <c r="B247" s="1280" t="e">
        <f>med</f>
        <v>#NAME?</v>
      </c>
      <c r="C247" s="1280"/>
      <c r="D247" s="1280"/>
      <c r="E247" s="1280"/>
      <c r="F247" s="1280"/>
      <c r="G247" s="1280"/>
      <c r="H247" s="1280"/>
      <c r="I247" s="1280"/>
      <c r="J247" s="1280"/>
      <c r="K247" s="1280"/>
      <c r="L247" s="1280"/>
      <c r="M247" s="1280"/>
      <c r="N247" s="1280"/>
      <c r="O247" s="1280"/>
      <c r="P247" s="205">
        <f>N244</f>
        <v>2</v>
      </c>
      <c r="Q247" s="203">
        <f>P247</f>
        <v>2</v>
      </c>
      <c r="R247" s="204">
        <f>Q247+R246</f>
        <v>2</v>
      </c>
      <c r="T247" s="1278"/>
      <c r="U247" s="1279"/>
    </row>
    <row r="248" spans="1:21" ht="18" customHeight="1">
      <c r="A248" s="187" t="e">
        <f>#REF!</f>
        <v>#REF!</v>
      </c>
      <c r="B248" s="1275" t="e">
        <f>IF(A248="","",VLOOKUP($A248,'[2]FDE-JUNHO-08'!$A$6:$D$3537,2,FALSE()))</f>
        <v>#REF!</v>
      </c>
      <c r="C248" s="1275"/>
      <c r="D248" s="1275"/>
      <c r="E248" s="1275"/>
      <c r="F248" s="1275"/>
      <c r="G248" s="1275"/>
      <c r="H248" s="1275"/>
      <c r="I248" s="1275"/>
      <c r="J248" s="1275"/>
      <c r="K248" s="1275"/>
      <c r="L248" s="1275"/>
      <c r="M248" s="1275"/>
      <c r="N248" s="1275"/>
      <c r="O248" s="1275"/>
      <c r="P248" s="188" t="e">
        <f>IF(A248="","",VLOOKUP($A248,'[2]FDE-JUNHO-08'!$A$6:$D$3537,3,FALSE()))</f>
        <v>#REF!</v>
      </c>
      <c r="Q248" s="189" t="s">
        <v>1205</v>
      </c>
      <c r="R248" s="189" t="s">
        <v>1206</v>
      </c>
      <c r="T248" s="190"/>
      <c r="U248" s="191"/>
    </row>
    <row r="249" spans="1:21">
      <c r="A249" s="192"/>
      <c r="B249" s="1276"/>
      <c r="C249" s="1276"/>
      <c r="D249" s="1276"/>
      <c r="E249" s="1276"/>
      <c r="F249" s="1276"/>
      <c r="G249" s="1276"/>
      <c r="H249" s="1276"/>
      <c r="I249" s="1276"/>
      <c r="J249" s="1276"/>
      <c r="K249" s="1276"/>
      <c r="L249" s="1276"/>
      <c r="M249" s="1276"/>
      <c r="N249" s="1276"/>
      <c r="O249" s="1276"/>
      <c r="P249" s="193"/>
      <c r="Q249" s="194"/>
      <c r="R249" s="194"/>
      <c r="T249" s="190"/>
      <c r="U249" s="191"/>
    </row>
    <row r="250" spans="1:21">
      <c r="A250" s="192"/>
      <c r="B250" s="195" t="s">
        <v>1207</v>
      </c>
      <c r="C250" s="196"/>
      <c r="D250" s="197"/>
      <c r="E250" s="198"/>
      <c r="F250" s="197"/>
      <c r="G250" s="198"/>
      <c r="H250" s="197"/>
      <c r="I250" s="198"/>
      <c r="J250" s="197"/>
      <c r="K250" s="198"/>
      <c r="L250" s="199"/>
      <c r="M250" s="199" t="s">
        <v>1208</v>
      </c>
      <c r="N250" s="199">
        <v>1</v>
      </c>
      <c r="O250" s="155"/>
      <c r="P250" s="193"/>
      <c r="Q250" s="200"/>
      <c r="R250" s="194"/>
      <c r="T250" s="190"/>
      <c r="U250" s="191"/>
    </row>
    <row r="251" spans="1:21">
      <c r="A251" s="192"/>
      <c r="B251" s="195"/>
      <c r="C251" s="196"/>
      <c r="D251" s="197"/>
      <c r="E251" s="198"/>
      <c r="F251" s="197"/>
      <c r="G251" s="198"/>
      <c r="H251" s="197"/>
      <c r="I251" s="198"/>
      <c r="J251" s="197"/>
      <c r="K251" s="198"/>
      <c r="L251" s="199"/>
      <c r="M251" s="199"/>
      <c r="N251" s="201"/>
      <c r="O251" s="202"/>
      <c r="P251" s="193"/>
      <c r="Q251" s="200"/>
      <c r="R251" s="194"/>
      <c r="T251" s="190"/>
      <c r="U251" s="191"/>
    </row>
    <row r="252" spans="1:21">
      <c r="A252" s="192"/>
      <c r="B252" s="195"/>
      <c r="C252" s="196"/>
      <c r="D252" s="197"/>
      <c r="E252" s="198"/>
      <c r="F252" s="197"/>
      <c r="G252" s="198"/>
      <c r="H252" s="197"/>
      <c r="I252" s="198"/>
      <c r="J252" s="197"/>
      <c r="K252" s="198"/>
      <c r="L252" s="199" t="s">
        <v>1140</v>
      </c>
      <c r="M252" s="199" t="s">
        <v>1208</v>
      </c>
      <c r="N252" s="199">
        <f>SUM(N250:N251)</f>
        <v>1</v>
      </c>
      <c r="O252" s="155" t="e">
        <f>P248</f>
        <v>#REF!</v>
      </c>
      <c r="P252" s="193"/>
      <c r="Q252" s="200"/>
      <c r="R252" s="194"/>
      <c r="T252" s="190"/>
      <c r="U252" s="191"/>
    </row>
    <row r="253" spans="1:21">
      <c r="A253" s="192"/>
      <c r="B253" s="195"/>
      <c r="C253" s="196"/>
      <c r="D253" s="197"/>
      <c r="E253" s="198"/>
      <c r="F253" s="197"/>
      <c r="G253" s="198"/>
      <c r="H253" s="197"/>
      <c r="I253" s="198"/>
      <c r="J253" s="197"/>
      <c r="K253" s="198"/>
      <c r="L253" s="199"/>
      <c r="M253" s="199"/>
      <c r="N253" s="199"/>
      <c r="O253" s="155"/>
      <c r="P253" s="193"/>
      <c r="Q253" s="200"/>
      <c r="R253" s="194"/>
      <c r="T253" s="190"/>
      <c r="U253" s="191"/>
    </row>
    <row r="254" spans="1:21">
      <c r="A254" s="192"/>
      <c r="B254" s="1277" t="s">
        <v>1209</v>
      </c>
      <c r="C254" s="1277"/>
      <c r="D254" s="1277"/>
      <c r="E254" s="1277"/>
      <c r="F254" s="1277"/>
      <c r="G254" s="1277"/>
      <c r="H254" s="1277"/>
      <c r="I254" s="1277"/>
      <c r="J254" s="1277"/>
      <c r="K254" s="1277"/>
      <c r="L254" s="1277"/>
      <c r="M254" s="1277"/>
      <c r="N254" s="1277"/>
      <c r="O254" s="1277"/>
      <c r="P254" s="1277"/>
      <c r="Q254" s="203">
        <v>0</v>
      </c>
      <c r="R254" s="204">
        <f>Q254</f>
        <v>0</v>
      </c>
      <c r="T254" s="1278"/>
      <c r="U254" s="1279"/>
    </row>
    <row r="255" spans="1:21">
      <c r="A255" s="192"/>
      <c r="B255" s="1280" t="e">
        <f>med</f>
        <v>#NAME?</v>
      </c>
      <c r="C255" s="1280"/>
      <c r="D255" s="1280"/>
      <c r="E255" s="1280"/>
      <c r="F255" s="1280"/>
      <c r="G255" s="1280"/>
      <c r="H255" s="1280"/>
      <c r="I255" s="1280"/>
      <c r="J255" s="1280"/>
      <c r="K255" s="1280"/>
      <c r="L255" s="1280"/>
      <c r="M255" s="1280"/>
      <c r="N255" s="1280"/>
      <c r="O255" s="1280"/>
      <c r="P255" s="205">
        <f>N252</f>
        <v>1</v>
      </c>
      <c r="Q255" s="203">
        <f>P255</f>
        <v>1</v>
      </c>
      <c r="R255" s="204">
        <f>Q255+R254</f>
        <v>1</v>
      </c>
      <c r="T255" s="1278"/>
      <c r="U255" s="1279"/>
    </row>
    <row r="256" spans="1:21" ht="18" customHeight="1">
      <c r="A256" s="187" t="e">
        <f>#REF!</f>
        <v>#REF!</v>
      </c>
      <c r="B256" s="1275" t="e">
        <f>IF(A256="","",VLOOKUP($A256,'[2]FDE-JUNHO-08'!$A$6:$D$3537,2,FALSE()))</f>
        <v>#REF!</v>
      </c>
      <c r="C256" s="1275"/>
      <c r="D256" s="1275"/>
      <c r="E256" s="1275"/>
      <c r="F256" s="1275"/>
      <c r="G256" s="1275"/>
      <c r="H256" s="1275"/>
      <c r="I256" s="1275"/>
      <c r="J256" s="1275"/>
      <c r="K256" s="1275"/>
      <c r="L256" s="1275"/>
      <c r="M256" s="1275"/>
      <c r="N256" s="1275"/>
      <c r="O256" s="1275"/>
      <c r="P256" s="188" t="e">
        <f>IF(A256="","",VLOOKUP($A256,'[2]FDE-JUNHO-08'!$A$6:$D$3537,3,FALSE()))</f>
        <v>#REF!</v>
      </c>
      <c r="Q256" s="189" t="s">
        <v>1205</v>
      </c>
      <c r="R256" s="189" t="s">
        <v>1206</v>
      </c>
      <c r="T256" s="190"/>
      <c r="U256" s="191"/>
    </row>
    <row r="257" spans="1:21">
      <c r="A257" s="192"/>
      <c r="B257" s="1276"/>
      <c r="C257" s="1276"/>
      <c r="D257" s="1276"/>
      <c r="E257" s="1276"/>
      <c r="F257" s="1276"/>
      <c r="G257" s="1276"/>
      <c r="H257" s="1276"/>
      <c r="I257" s="1276"/>
      <c r="J257" s="1276"/>
      <c r="K257" s="1276"/>
      <c r="L257" s="1276"/>
      <c r="M257" s="1276"/>
      <c r="N257" s="1276"/>
      <c r="O257" s="1276"/>
      <c r="P257" s="193"/>
      <c r="Q257" s="194"/>
      <c r="R257" s="194"/>
      <c r="T257" s="190"/>
      <c r="U257" s="191"/>
    </row>
    <row r="258" spans="1:21">
      <c r="A258" s="192"/>
      <c r="B258" s="195" t="s">
        <v>1207</v>
      </c>
      <c r="C258" s="196"/>
      <c r="D258" s="197"/>
      <c r="E258" s="198"/>
      <c r="F258" s="197"/>
      <c r="G258" s="198"/>
      <c r="H258" s="197"/>
      <c r="I258" s="198"/>
      <c r="J258" s="197"/>
      <c r="K258" s="198"/>
      <c r="L258" s="199"/>
      <c r="M258" s="199" t="s">
        <v>1208</v>
      </c>
      <c r="N258" s="199">
        <v>3</v>
      </c>
      <c r="O258" s="155"/>
      <c r="P258" s="193"/>
      <c r="Q258" s="200"/>
      <c r="R258" s="194"/>
      <c r="T258" s="190"/>
      <c r="U258" s="191"/>
    </row>
    <row r="259" spans="1:21">
      <c r="A259" s="192"/>
      <c r="B259" s="195"/>
      <c r="C259" s="196"/>
      <c r="D259" s="197"/>
      <c r="E259" s="198"/>
      <c r="F259" s="197"/>
      <c r="G259" s="198"/>
      <c r="H259" s="197"/>
      <c r="I259" s="198"/>
      <c r="J259" s="197"/>
      <c r="K259" s="198"/>
      <c r="L259" s="199"/>
      <c r="M259" s="199"/>
      <c r="N259" s="201"/>
      <c r="O259" s="202"/>
      <c r="P259" s="193"/>
      <c r="Q259" s="200"/>
      <c r="R259" s="194"/>
      <c r="T259" s="190"/>
      <c r="U259" s="191"/>
    </row>
    <row r="260" spans="1:21">
      <c r="A260" s="192"/>
      <c r="B260" s="195"/>
      <c r="C260" s="196"/>
      <c r="D260" s="197"/>
      <c r="E260" s="198"/>
      <c r="F260" s="197"/>
      <c r="G260" s="198"/>
      <c r="H260" s="197"/>
      <c r="I260" s="198"/>
      <c r="J260" s="197"/>
      <c r="K260" s="198"/>
      <c r="L260" s="199" t="s">
        <v>1140</v>
      </c>
      <c r="M260" s="199" t="s">
        <v>1208</v>
      </c>
      <c r="N260" s="199">
        <f>SUM(N258:N259)</f>
        <v>3</v>
      </c>
      <c r="O260" s="155" t="e">
        <f>P256</f>
        <v>#REF!</v>
      </c>
      <c r="P260" s="193"/>
      <c r="Q260" s="200"/>
      <c r="R260" s="194"/>
      <c r="T260" s="190"/>
      <c r="U260" s="191"/>
    </row>
    <row r="261" spans="1:21">
      <c r="A261" s="192"/>
      <c r="B261" s="195"/>
      <c r="C261" s="196"/>
      <c r="D261" s="197"/>
      <c r="E261" s="198"/>
      <c r="F261" s="197"/>
      <c r="G261" s="198"/>
      <c r="H261" s="197"/>
      <c r="I261" s="198"/>
      <c r="J261" s="197"/>
      <c r="K261" s="198"/>
      <c r="L261" s="199"/>
      <c r="M261" s="199"/>
      <c r="N261" s="199"/>
      <c r="O261" s="155"/>
      <c r="P261" s="193"/>
      <c r="Q261" s="200"/>
      <c r="R261" s="194"/>
      <c r="T261" s="190"/>
      <c r="U261" s="191"/>
    </row>
    <row r="262" spans="1:21">
      <c r="A262" s="192"/>
      <c r="B262" s="1277" t="s">
        <v>1209</v>
      </c>
      <c r="C262" s="1277"/>
      <c r="D262" s="1277"/>
      <c r="E262" s="1277"/>
      <c r="F262" s="1277"/>
      <c r="G262" s="1277"/>
      <c r="H262" s="1277"/>
      <c r="I262" s="1277"/>
      <c r="J262" s="1277"/>
      <c r="K262" s="1277"/>
      <c r="L262" s="1277"/>
      <c r="M262" s="1277"/>
      <c r="N262" s="1277"/>
      <c r="O262" s="1277"/>
      <c r="P262" s="1277"/>
      <c r="Q262" s="203">
        <v>0</v>
      </c>
      <c r="R262" s="204">
        <f>Q262</f>
        <v>0</v>
      </c>
      <c r="T262" s="1278"/>
      <c r="U262" s="1279"/>
    </row>
    <row r="263" spans="1:21">
      <c r="A263" s="206"/>
      <c r="B263" s="1280" t="e">
        <f>med</f>
        <v>#NAME?</v>
      </c>
      <c r="C263" s="1280"/>
      <c r="D263" s="1280"/>
      <c r="E263" s="1280"/>
      <c r="F263" s="1280"/>
      <c r="G263" s="1280"/>
      <c r="H263" s="1280"/>
      <c r="I263" s="1280"/>
      <c r="J263" s="1280"/>
      <c r="K263" s="1280"/>
      <c r="L263" s="1280"/>
      <c r="M263" s="1280"/>
      <c r="N263" s="1280"/>
      <c r="O263" s="1280"/>
      <c r="P263" s="205">
        <f>N260</f>
        <v>3</v>
      </c>
      <c r="Q263" s="203">
        <f>P263</f>
        <v>3</v>
      </c>
      <c r="R263" s="204">
        <f>Q263+R262</f>
        <v>3</v>
      </c>
      <c r="T263" s="1278"/>
      <c r="U263" s="1279"/>
    </row>
    <row r="264" spans="1:21" ht="18" hidden="1" customHeight="1">
      <c r="A264" s="187" t="e">
        <f>#VALUE!</f>
        <v>#VALUE!</v>
      </c>
      <c r="B264" s="1275" t="e">
        <f>IF(A264="","",VLOOKUP($A264,'[2]FDE-JUNHO-08'!$A$6:$D$3537,2,FALSE()))</f>
        <v>#VALUE!</v>
      </c>
      <c r="C264" s="1275"/>
      <c r="D264" s="1275"/>
      <c r="E264" s="1275"/>
      <c r="F264" s="1275"/>
      <c r="G264" s="1275"/>
      <c r="H264" s="1275"/>
      <c r="I264" s="1275"/>
      <c r="J264" s="1275"/>
      <c r="K264" s="1275"/>
      <c r="L264" s="1275"/>
      <c r="M264" s="1275"/>
      <c r="N264" s="1275"/>
      <c r="O264" s="1275"/>
      <c r="P264" s="188" t="e">
        <f>IF(A264="","",VLOOKUP($A264,'[2]FDE-JUNHO-08'!$A$6:$D$3537,3,FALSE()))</f>
        <v>#VALUE!</v>
      </c>
      <c r="Q264" s="189" t="s">
        <v>1205</v>
      </c>
      <c r="R264" s="189" t="s">
        <v>1206</v>
      </c>
      <c r="T264" s="190"/>
      <c r="U264" s="191"/>
    </row>
    <row r="265" spans="1:21" hidden="1">
      <c r="A265" s="192"/>
      <c r="B265" s="1276"/>
      <c r="C265" s="1276"/>
      <c r="D265" s="1276"/>
      <c r="E265" s="1276"/>
      <c r="F265" s="1276"/>
      <c r="G265" s="1276"/>
      <c r="H265" s="1276"/>
      <c r="I265" s="1276"/>
      <c r="J265" s="1276"/>
      <c r="K265" s="1276"/>
      <c r="L265" s="1276"/>
      <c r="M265" s="1276"/>
      <c r="N265" s="1276"/>
      <c r="O265" s="1276"/>
      <c r="P265" s="193"/>
      <c r="Q265" s="194"/>
      <c r="R265" s="194"/>
      <c r="T265" s="190"/>
      <c r="U265" s="191"/>
    </row>
    <row r="266" spans="1:21" hidden="1">
      <c r="A266" s="192"/>
      <c r="B266" s="195"/>
      <c r="C266" s="196"/>
      <c r="D266" s="197"/>
      <c r="E266" s="198"/>
      <c r="F266" s="197"/>
      <c r="G266" s="198"/>
      <c r="H266" s="197"/>
      <c r="I266" s="207"/>
      <c r="J266" s="207"/>
      <c r="K266" s="208"/>
      <c r="L266" s="209"/>
      <c r="M266" s="209"/>
      <c r="N266" s="209"/>
      <c r="O266" s="155"/>
      <c r="P266" s="193"/>
      <c r="Q266" s="200"/>
      <c r="R266" s="194"/>
      <c r="T266" s="190"/>
      <c r="U266" s="191"/>
    </row>
    <row r="267" spans="1:21" ht="13.8" hidden="1">
      <c r="A267" s="192"/>
      <c r="B267" s="210"/>
      <c r="C267" s="196"/>
      <c r="D267" s="197"/>
      <c r="E267" s="198"/>
      <c r="F267" s="197"/>
      <c r="G267" s="198"/>
      <c r="H267" s="197"/>
      <c r="I267" s="198"/>
      <c r="J267" s="197"/>
      <c r="K267" s="198"/>
      <c r="L267" s="199"/>
      <c r="M267" s="199"/>
      <c r="N267" s="199"/>
      <c r="O267" s="155"/>
      <c r="P267" s="193"/>
      <c r="Q267" s="200"/>
      <c r="R267" s="194"/>
      <c r="T267" s="190"/>
      <c r="U267" s="191"/>
    </row>
    <row r="268" spans="1:21" hidden="1">
      <c r="A268" s="192"/>
      <c r="B268" s="195"/>
      <c r="C268" s="196"/>
      <c r="D268" s="197"/>
      <c r="E268" s="198"/>
      <c r="F268" s="197"/>
      <c r="G268" s="198"/>
      <c r="H268" s="197"/>
      <c r="I268" s="198"/>
      <c r="J268" s="197"/>
      <c r="K268" s="198"/>
      <c r="L268" s="199"/>
      <c r="M268" s="199"/>
      <c r="N268" s="199"/>
      <c r="O268" s="155"/>
      <c r="P268" s="193"/>
      <c r="Q268" s="200"/>
      <c r="R268" s="194"/>
      <c r="T268" s="190"/>
      <c r="U268" s="191"/>
    </row>
    <row r="269" spans="1:21" hidden="1">
      <c r="A269" s="192"/>
      <c r="B269" s="195"/>
      <c r="C269" s="196"/>
      <c r="D269" s="197"/>
      <c r="E269" s="198"/>
      <c r="F269" s="197"/>
      <c r="G269" s="198"/>
      <c r="H269" s="197"/>
      <c r="I269" s="198"/>
      <c r="J269" s="197"/>
      <c r="K269" s="198"/>
      <c r="L269" s="199"/>
      <c r="M269" s="199"/>
      <c r="N269" s="199"/>
      <c r="O269" s="155"/>
      <c r="P269" s="193"/>
      <c r="Q269" s="200"/>
      <c r="R269" s="194"/>
      <c r="T269" s="190"/>
      <c r="U269" s="191"/>
    </row>
    <row r="270" spans="1:21" hidden="1">
      <c r="A270" s="192"/>
      <c r="B270" s="195"/>
      <c r="C270" s="196"/>
      <c r="D270" s="197"/>
      <c r="E270" s="198"/>
      <c r="F270" s="197"/>
      <c r="G270" s="198"/>
      <c r="H270" s="197"/>
      <c r="I270" s="198"/>
      <c r="J270" s="197"/>
      <c r="K270" s="198"/>
      <c r="L270" s="199"/>
      <c r="M270" s="199"/>
      <c r="N270" s="199"/>
      <c r="O270" s="155"/>
      <c r="P270" s="193"/>
      <c r="Q270" s="200"/>
      <c r="R270" s="194"/>
      <c r="T270" s="190"/>
      <c r="U270" s="191"/>
    </row>
    <row r="271" spans="1:21" hidden="1">
      <c r="A271" s="192"/>
      <c r="B271" s="195"/>
      <c r="C271" s="196"/>
      <c r="D271" s="197"/>
      <c r="E271" s="198"/>
      <c r="F271" s="197"/>
      <c r="G271" s="198"/>
      <c r="H271" s="197"/>
      <c r="I271" s="198"/>
      <c r="J271" s="197"/>
      <c r="K271" s="198"/>
      <c r="L271" s="199"/>
      <c r="M271" s="199"/>
      <c r="N271" s="201"/>
      <c r="O271" s="202"/>
      <c r="P271" s="193"/>
      <c r="Q271" s="200"/>
      <c r="R271" s="194"/>
      <c r="T271" s="190"/>
      <c r="U271" s="191"/>
    </row>
    <row r="272" spans="1:21" hidden="1">
      <c r="A272" s="192"/>
      <c r="B272" s="195"/>
      <c r="C272" s="196"/>
      <c r="D272" s="197"/>
      <c r="E272" s="198"/>
      <c r="F272" s="197"/>
      <c r="G272" s="198"/>
      <c r="H272" s="197"/>
      <c r="I272" s="198"/>
      <c r="J272" s="197"/>
      <c r="K272" s="198"/>
      <c r="L272" s="199" t="s">
        <v>1140</v>
      </c>
      <c r="M272" s="199" t="s">
        <v>1208</v>
      </c>
      <c r="N272" s="199">
        <f>SUM(N267:N271)</f>
        <v>0</v>
      </c>
      <c r="O272" s="155" t="e">
        <f>P264</f>
        <v>#VALUE!</v>
      </c>
      <c r="P272" s="193"/>
      <c r="Q272" s="200"/>
      <c r="R272" s="194"/>
      <c r="T272" s="190"/>
      <c r="U272" s="191"/>
    </row>
    <row r="273" spans="1:21" hidden="1">
      <c r="A273" s="192"/>
      <c r="B273" s="195"/>
      <c r="C273" s="196"/>
      <c r="D273" s="197"/>
      <c r="E273" s="198"/>
      <c r="F273" s="197"/>
      <c r="G273" s="198"/>
      <c r="H273" s="197"/>
      <c r="I273" s="198"/>
      <c r="J273" s="197"/>
      <c r="K273" s="198"/>
      <c r="L273" s="199"/>
      <c r="M273" s="199"/>
      <c r="N273" s="199"/>
      <c r="O273" s="155"/>
      <c r="P273" s="193"/>
      <c r="Q273" s="200"/>
      <c r="R273" s="194"/>
      <c r="T273" s="190"/>
      <c r="U273" s="191"/>
    </row>
    <row r="274" spans="1:21" hidden="1">
      <c r="A274" s="192"/>
      <c r="B274" s="1277" t="s">
        <v>1209</v>
      </c>
      <c r="C274" s="1277"/>
      <c r="D274" s="1277"/>
      <c r="E274" s="1277"/>
      <c r="F274" s="1277"/>
      <c r="G274" s="1277"/>
      <c r="H274" s="1277"/>
      <c r="I274" s="1277"/>
      <c r="J274" s="1277"/>
      <c r="K274" s="1277"/>
      <c r="L274" s="1277"/>
      <c r="M274" s="1277"/>
      <c r="N274" s="1277"/>
      <c r="O274" s="1277"/>
      <c r="P274" s="1277"/>
      <c r="Q274" s="203">
        <v>0</v>
      </c>
      <c r="R274" s="204">
        <f>Q274</f>
        <v>0</v>
      </c>
      <c r="T274" s="1278"/>
      <c r="U274" s="1279"/>
    </row>
    <row r="275" spans="1:21" hidden="1">
      <c r="A275" s="192"/>
      <c r="B275" s="1280" t="e">
        <f>med</f>
        <v>#NAME?</v>
      </c>
      <c r="C275" s="1280"/>
      <c r="D275" s="1280"/>
      <c r="E275" s="1280"/>
      <c r="F275" s="1280"/>
      <c r="G275" s="1280"/>
      <c r="H275" s="1280"/>
      <c r="I275" s="1280"/>
      <c r="J275" s="1280"/>
      <c r="K275" s="1280"/>
      <c r="L275" s="1280"/>
      <c r="M275" s="1280"/>
      <c r="N275" s="1280"/>
      <c r="O275" s="1280"/>
      <c r="P275" s="205">
        <f>N272</f>
        <v>0</v>
      </c>
      <c r="Q275" s="203">
        <f>P275</f>
        <v>0</v>
      </c>
      <c r="R275" s="204">
        <f>Q275+R274</f>
        <v>0</v>
      </c>
      <c r="T275" s="1278"/>
      <c r="U275" s="1279"/>
    </row>
    <row r="276" spans="1:21" ht="18" customHeight="1">
      <c r="A276" s="187" t="e">
        <f>#REF!</f>
        <v>#REF!</v>
      </c>
      <c r="B276" s="1275" t="e">
        <f>IF(A276="","",VLOOKUP($A276,'[2]FDE-JUNHO-08'!$A$6:$D$3537,2,FALSE()))</f>
        <v>#REF!</v>
      </c>
      <c r="C276" s="1275"/>
      <c r="D276" s="1275"/>
      <c r="E276" s="1275"/>
      <c r="F276" s="1275"/>
      <c r="G276" s="1275"/>
      <c r="H276" s="1275"/>
      <c r="I276" s="1275"/>
      <c r="J276" s="1275"/>
      <c r="K276" s="1275"/>
      <c r="L276" s="1275"/>
      <c r="M276" s="1275"/>
      <c r="N276" s="1275"/>
      <c r="O276" s="1275"/>
      <c r="P276" s="188" t="e">
        <f>IF(A276="","",VLOOKUP($A276,'[2]FDE-JUNHO-08'!$A$6:$D$3537,3,FALSE()))</f>
        <v>#REF!</v>
      </c>
      <c r="Q276" s="189" t="s">
        <v>1205</v>
      </c>
      <c r="R276" s="189" t="s">
        <v>1206</v>
      </c>
      <c r="T276" s="190"/>
      <c r="U276" s="191"/>
    </row>
    <row r="277" spans="1:21">
      <c r="A277" s="192"/>
      <c r="B277" s="1276"/>
      <c r="C277" s="1276"/>
      <c r="D277" s="1276"/>
      <c r="E277" s="1276"/>
      <c r="F277" s="1276"/>
      <c r="G277" s="1276"/>
      <c r="H277" s="1276"/>
      <c r="I277" s="1276"/>
      <c r="J277" s="1276"/>
      <c r="K277" s="1276"/>
      <c r="L277" s="1276"/>
      <c r="M277" s="1276"/>
      <c r="N277" s="1276"/>
      <c r="O277" s="1276"/>
      <c r="P277" s="193"/>
      <c r="Q277" s="194"/>
      <c r="R277" s="194"/>
      <c r="T277" s="190"/>
      <c r="U277" s="191"/>
    </row>
    <row r="278" spans="1:21">
      <c r="A278" s="192"/>
      <c r="B278" s="195" t="s">
        <v>1207</v>
      </c>
      <c r="C278" s="196"/>
      <c r="D278" s="197"/>
      <c r="E278" s="198"/>
      <c r="F278" s="197"/>
      <c r="G278" s="198"/>
      <c r="H278" s="197"/>
      <c r="I278" s="198"/>
      <c r="J278" s="197"/>
      <c r="K278" s="198"/>
      <c r="L278" s="199"/>
      <c r="M278" s="199" t="s">
        <v>1208</v>
      </c>
      <c r="N278" s="199">
        <v>11</v>
      </c>
      <c r="O278" s="155"/>
      <c r="P278" s="193"/>
      <c r="Q278" s="200"/>
      <c r="R278" s="194"/>
      <c r="T278" s="190"/>
      <c r="U278" s="191"/>
    </row>
    <row r="279" spans="1:21">
      <c r="A279" s="192"/>
      <c r="B279" s="195"/>
      <c r="C279" s="196"/>
      <c r="D279" s="197"/>
      <c r="E279" s="198"/>
      <c r="F279" s="197"/>
      <c r="G279" s="198"/>
      <c r="H279" s="197"/>
      <c r="I279" s="198"/>
      <c r="J279" s="197"/>
      <c r="K279" s="198"/>
      <c r="L279" s="199"/>
      <c r="M279" s="199"/>
      <c r="N279" s="201"/>
      <c r="O279" s="202"/>
      <c r="P279" s="193"/>
      <c r="Q279" s="200"/>
      <c r="R279" s="194"/>
      <c r="T279" s="190"/>
      <c r="U279" s="191"/>
    </row>
    <row r="280" spans="1:21">
      <c r="A280" s="192"/>
      <c r="B280" s="195"/>
      <c r="C280" s="196"/>
      <c r="D280" s="197"/>
      <c r="E280" s="198"/>
      <c r="F280" s="197"/>
      <c r="G280" s="198"/>
      <c r="H280" s="197"/>
      <c r="I280" s="198"/>
      <c r="J280" s="197"/>
      <c r="K280" s="198"/>
      <c r="L280" s="199" t="s">
        <v>1140</v>
      </c>
      <c r="M280" s="199" t="s">
        <v>1208</v>
      </c>
      <c r="N280" s="199">
        <f>SUM(N278:N279)</f>
        <v>11</v>
      </c>
      <c r="O280" s="155" t="e">
        <f>P276</f>
        <v>#REF!</v>
      </c>
      <c r="P280" s="193"/>
      <c r="Q280" s="200"/>
      <c r="R280" s="194"/>
      <c r="T280" s="190"/>
      <c r="U280" s="191"/>
    </row>
    <row r="281" spans="1:21">
      <c r="A281" s="192"/>
      <c r="B281" s="195"/>
      <c r="C281" s="196"/>
      <c r="D281" s="197"/>
      <c r="E281" s="198"/>
      <c r="F281" s="197"/>
      <c r="G281" s="198"/>
      <c r="H281" s="197"/>
      <c r="I281" s="198"/>
      <c r="J281" s="197"/>
      <c r="K281" s="198"/>
      <c r="L281" s="199"/>
      <c r="M281" s="199"/>
      <c r="N281" s="199"/>
      <c r="O281" s="155"/>
      <c r="P281" s="193"/>
      <c r="Q281" s="200"/>
      <c r="R281" s="194"/>
      <c r="T281" s="190"/>
      <c r="U281" s="191"/>
    </row>
    <row r="282" spans="1:21">
      <c r="A282" s="192"/>
      <c r="B282" s="1277" t="s">
        <v>1209</v>
      </c>
      <c r="C282" s="1277"/>
      <c r="D282" s="1277"/>
      <c r="E282" s="1277"/>
      <c r="F282" s="1277"/>
      <c r="G282" s="1277"/>
      <c r="H282" s="1277"/>
      <c r="I282" s="1277"/>
      <c r="J282" s="1277"/>
      <c r="K282" s="1277"/>
      <c r="L282" s="1277"/>
      <c r="M282" s="1277"/>
      <c r="N282" s="1277"/>
      <c r="O282" s="1277"/>
      <c r="P282" s="1277"/>
      <c r="Q282" s="203">
        <v>0</v>
      </c>
      <c r="R282" s="204">
        <f>Q282</f>
        <v>0</v>
      </c>
      <c r="T282" s="1278"/>
      <c r="U282" s="1279"/>
    </row>
    <row r="283" spans="1:21">
      <c r="A283" s="192"/>
      <c r="B283" s="1280" t="e">
        <f>med</f>
        <v>#NAME?</v>
      </c>
      <c r="C283" s="1280"/>
      <c r="D283" s="1280"/>
      <c r="E283" s="1280"/>
      <c r="F283" s="1280"/>
      <c r="G283" s="1280"/>
      <c r="H283" s="1280"/>
      <c r="I283" s="1280"/>
      <c r="J283" s="1280"/>
      <c r="K283" s="1280"/>
      <c r="L283" s="1280"/>
      <c r="M283" s="1280"/>
      <c r="N283" s="1280"/>
      <c r="O283" s="1280"/>
      <c r="P283" s="205">
        <f>N280</f>
        <v>11</v>
      </c>
      <c r="Q283" s="203">
        <f>P283</f>
        <v>11</v>
      </c>
      <c r="R283" s="204">
        <f>Q283+R282</f>
        <v>11</v>
      </c>
      <c r="T283" s="1278"/>
      <c r="U283" s="1279"/>
    </row>
    <row r="284" spans="1:21" ht="18" customHeight="1">
      <c r="A284" s="187" t="e">
        <f>#REF!</f>
        <v>#REF!</v>
      </c>
      <c r="B284" s="1275" t="e">
        <f>IF(A284="","",VLOOKUP($A284,'[2]FDE-JUNHO-08'!$A$6:$D$3537,2,FALSE()))</f>
        <v>#REF!</v>
      </c>
      <c r="C284" s="1275"/>
      <c r="D284" s="1275"/>
      <c r="E284" s="1275"/>
      <c r="F284" s="1275"/>
      <c r="G284" s="1275"/>
      <c r="H284" s="1275"/>
      <c r="I284" s="1275"/>
      <c r="J284" s="1275"/>
      <c r="K284" s="1275"/>
      <c r="L284" s="1275"/>
      <c r="M284" s="1275"/>
      <c r="N284" s="1275"/>
      <c r="O284" s="1275"/>
      <c r="P284" s="188" t="e">
        <f>IF(A284="","",VLOOKUP($A284,'[2]FDE-JUNHO-08'!$A$6:$D$3537,3,FALSE()))</f>
        <v>#REF!</v>
      </c>
      <c r="Q284" s="189" t="s">
        <v>1205</v>
      </c>
      <c r="R284" s="189" t="s">
        <v>1206</v>
      </c>
      <c r="T284" s="190"/>
      <c r="U284" s="191"/>
    </row>
    <row r="285" spans="1:21" ht="13.8">
      <c r="A285" s="192"/>
      <c r="B285" s="210"/>
      <c r="C285" s="196"/>
      <c r="D285" s="197"/>
      <c r="E285" s="198"/>
      <c r="F285" s="197"/>
      <c r="G285" s="198"/>
      <c r="H285" s="197"/>
      <c r="I285" s="198"/>
      <c r="J285" s="197"/>
      <c r="K285" s="198"/>
      <c r="L285" s="199"/>
      <c r="M285" s="199"/>
      <c r="N285" s="199"/>
      <c r="O285" s="155"/>
      <c r="P285" s="193"/>
      <c r="Q285" s="200"/>
      <c r="R285" s="194"/>
      <c r="T285" s="190"/>
      <c r="U285" s="191"/>
    </row>
    <row r="286" spans="1:21" ht="13.8">
      <c r="A286" s="192"/>
      <c r="B286" s="210" t="s">
        <v>1207</v>
      </c>
      <c r="C286" s="196"/>
      <c r="D286" s="197"/>
      <c r="E286" s="198"/>
      <c r="F286" s="197"/>
      <c r="G286" s="198"/>
      <c r="H286" s="197"/>
      <c r="I286" s="198"/>
      <c r="J286" s="197"/>
      <c r="K286" s="198"/>
      <c r="L286" s="199"/>
      <c r="M286" s="199" t="s">
        <v>1208</v>
      </c>
      <c r="N286" s="199">
        <v>3</v>
      </c>
      <c r="O286" s="155"/>
      <c r="P286" s="193"/>
      <c r="Q286" s="200"/>
      <c r="R286" s="194"/>
      <c r="T286" s="190"/>
      <c r="U286" s="191"/>
    </row>
    <row r="287" spans="1:21">
      <c r="A287" s="192"/>
      <c r="B287" s="195"/>
      <c r="C287" s="196"/>
      <c r="D287" s="197"/>
      <c r="E287" s="198"/>
      <c r="F287" s="197"/>
      <c r="G287" s="198"/>
      <c r="H287" s="197"/>
      <c r="I287" s="198"/>
      <c r="J287" s="197"/>
      <c r="K287" s="198"/>
      <c r="L287" s="199"/>
      <c r="M287" s="199"/>
      <c r="N287" s="201"/>
      <c r="O287" s="202"/>
      <c r="P287" s="193"/>
      <c r="Q287" s="200"/>
      <c r="R287" s="194"/>
      <c r="T287" s="190"/>
      <c r="U287" s="191"/>
    </row>
    <row r="288" spans="1:21">
      <c r="A288" s="192"/>
      <c r="B288" s="195"/>
      <c r="C288" s="196"/>
      <c r="D288" s="197"/>
      <c r="E288" s="198"/>
      <c r="F288" s="197"/>
      <c r="G288" s="198"/>
      <c r="H288" s="197"/>
      <c r="I288" s="198"/>
      <c r="J288" s="197"/>
      <c r="K288" s="198"/>
      <c r="L288" s="199" t="s">
        <v>1140</v>
      </c>
      <c r="M288" s="199" t="s">
        <v>1208</v>
      </c>
      <c r="N288" s="199">
        <f>SUM(N285:N287)</f>
        <v>3</v>
      </c>
      <c r="O288" s="155" t="e">
        <f>P284</f>
        <v>#REF!</v>
      </c>
      <c r="P288" s="193"/>
      <c r="Q288" s="200"/>
      <c r="R288" s="194"/>
      <c r="T288" s="190"/>
      <c r="U288" s="191"/>
    </row>
    <row r="289" spans="1:21">
      <c r="A289" s="192"/>
      <c r="B289" s="195"/>
      <c r="C289" s="196"/>
      <c r="D289" s="197"/>
      <c r="E289" s="198"/>
      <c r="F289" s="197"/>
      <c r="G289" s="198"/>
      <c r="H289" s="197"/>
      <c r="I289" s="198"/>
      <c r="J289" s="197"/>
      <c r="K289" s="198"/>
      <c r="L289" s="199"/>
      <c r="M289" s="199"/>
      <c r="N289" s="199"/>
      <c r="O289" s="155"/>
      <c r="P289" s="193"/>
      <c r="Q289" s="200"/>
      <c r="R289" s="194"/>
      <c r="T289" s="190"/>
      <c r="U289" s="191"/>
    </row>
    <row r="290" spans="1:21">
      <c r="A290" s="192"/>
      <c r="B290" s="1277" t="s">
        <v>1209</v>
      </c>
      <c r="C290" s="1277"/>
      <c r="D290" s="1277"/>
      <c r="E290" s="1277"/>
      <c r="F290" s="1277"/>
      <c r="G290" s="1277"/>
      <c r="H290" s="1277"/>
      <c r="I290" s="1277"/>
      <c r="J290" s="1277"/>
      <c r="K290" s="1277"/>
      <c r="L290" s="1277"/>
      <c r="M290" s="1277"/>
      <c r="N290" s="1277"/>
      <c r="O290" s="1277"/>
      <c r="P290" s="1277"/>
      <c r="Q290" s="203">
        <v>0</v>
      </c>
      <c r="R290" s="204">
        <f>Q290</f>
        <v>0</v>
      </c>
      <c r="T290" s="1278"/>
      <c r="U290" s="1279"/>
    </row>
    <row r="291" spans="1:21">
      <c r="A291" s="192"/>
      <c r="B291" s="1280" t="e">
        <f>med</f>
        <v>#NAME?</v>
      </c>
      <c r="C291" s="1280"/>
      <c r="D291" s="1280"/>
      <c r="E291" s="1280"/>
      <c r="F291" s="1280"/>
      <c r="G291" s="1280"/>
      <c r="H291" s="1280"/>
      <c r="I291" s="1280"/>
      <c r="J291" s="1280"/>
      <c r="K291" s="1280"/>
      <c r="L291" s="1280"/>
      <c r="M291" s="1280"/>
      <c r="N291" s="1280"/>
      <c r="O291" s="1280"/>
      <c r="P291" s="205">
        <f>N288</f>
        <v>3</v>
      </c>
      <c r="Q291" s="203">
        <f>P291</f>
        <v>3</v>
      </c>
      <c r="R291" s="204">
        <f>Q291+R290</f>
        <v>3</v>
      </c>
      <c r="T291" s="1278"/>
      <c r="U291" s="1279"/>
    </row>
    <row r="292" spans="1:21" ht="18" customHeight="1">
      <c r="A292" s="187">
        <f>PLANILHA!B50</f>
        <v>90636</v>
      </c>
      <c r="B292" s="1275" t="e">
        <f>IF(A292="","",VLOOKUP($A292,'[2]FDE-JUNHO-08'!$A$6:$D$3537,2,FALSE()))</f>
        <v>#N/A</v>
      </c>
      <c r="C292" s="1275"/>
      <c r="D292" s="1275"/>
      <c r="E292" s="1275"/>
      <c r="F292" s="1275"/>
      <c r="G292" s="1275"/>
      <c r="H292" s="1275"/>
      <c r="I292" s="1275"/>
      <c r="J292" s="1275"/>
      <c r="K292" s="1275"/>
      <c r="L292" s="1275"/>
      <c r="M292" s="1275"/>
      <c r="N292" s="1275"/>
      <c r="O292" s="1275"/>
      <c r="P292" s="188" t="e">
        <f>IF(A292="","",VLOOKUP($A292,'[2]FDE-JUNHO-08'!$A$6:$D$3537,3,FALSE()))</f>
        <v>#N/A</v>
      </c>
      <c r="Q292" s="189" t="s">
        <v>1205</v>
      </c>
      <c r="R292" s="189" t="s">
        <v>1206</v>
      </c>
      <c r="T292" s="214"/>
      <c r="U292" s="214"/>
    </row>
    <row r="293" spans="1:21">
      <c r="A293" s="192"/>
      <c r="B293" s="1276"/>
      <c r="C293" s="1276"/>
      <c r="D293" s="1276"/>
      <c r="E293" s="1276"/>
      <c r="F293" s="1276"/>
      <c r="G293" s="1276"/>
      <c r="H293" s="1276"/>
      <c r="I293" s="1276"/>
      <c r="J293" s="1276"/>
      <c r="K293" s="1276"/>
      <c r="L293" s="1276"/>
      <c r="M293" s="1276"/>
      <c r="N293" s="1276"/>
      <c r="O293" s="1276"/>
      <c r="P293" s="193"/>
      <c r="Q293" s="194"/>
      <c r="R293" s="194"/>
      <c r="T293" s="214"/>
      <c r="U293" s="214"/>
    </row>
    <row r="294" spans="1:21">
      <c r="A294" s="192"/>
      <c r="B294" s="195" t="s">
        <v>1207</v>
      </c>
      <c r="C294" s="196"/>
      <c r="D294" s="197"/>
      <c r="E294" s="198"/>
      <c r="F294" s="197"/>
      <c r="G294" s="198"/>
      <c r="H294" s="197"/>
      <c r="I294" s="198"/>
      <c r="J294" s="197"/>
      <c r="K294" s="198"/>
      <c r="L294" s="199"/>
      <c r="M294" s="199" t="s">
        <v>1208</v>
      </c>
      <c r="N294" s="199" t="e">
        <f>#REF!</f>
        <v>#REF!</v>
      </c>
      <c r="O294" s="155"/>
      <c r="P294" s="193"/>
      <c r="Q294" s="200"/>
      <c r="R294" s="194"/>
      <c r="T294" s="214"/>
      <c r="U294" s="214"/>
    </row>
    <row r="295" spans="1:21">
      <c r="A295" s="192"/>
      <c r="B295" s="195"/>
      <c r="C295" s="196"/>
      <c r="D295" s="197"/>
      <c r="E295" s="198"/>
      <c r="F295" s="197"/>
      <c r="G295" s="198"/>
      <c r="H295" s="197"/>
      <c r="I295" s="198"/>
      <c r="J295" s="197"/>
      <c r="K295" s="198"/>
      <c r="L295" s="199"/>
      <c r="M295" s="199"/>
      <c r="N295" s="201"/>
      <c r="O295" s="202"/>
      <c r="P295" s="193"/>
      <c r="Q295" s="200"/>
      <c r="R295" s="194"/>
      <c r="T295" s="214"/>
      <c r="U295" s="214"/>
    </row>
    <row r="296" spans="1:21">
      <c r="A296" s="192"/>
      <c r="B296" s="195"/>
      <c r="C296" s="196"/>
      <c r="D296" s="197"/>
      <c r="E296" s="198"/>
      <c r="F296" s="197"/>
      <c r="G296" s="198"/>
      <c r="H296" s="197"/>
      <c r="I296" s="198"/>
      <c r="J296" s="197"/>
      <c r="K296" s="198"/>
      <c r="L296" s="199" t="s">
        <v>1140</v>
      </c>
      <c r="M296" s="199" t="s">
        <v>1208</v>
      </c>
      <c r="N296" s="199" t="e">
        <f>SUM(N294:N295)</f>
        <v>#REF!</v>
      </c>
      <c r="O296" s="155" t="e">
        <f>P292</f>
        <v>#N/A</v>
      </c>
      <c r="P296" s="193"/>
      <c r="Q296" s="200"/>
      <c r="R296" s="194"/>
      <c r="T296" s="214"/>
      <c r="U296" s="214"/>
    </row>
    <row r="297" spans="1:21">
      <c r="A297" s="192"/>
      <c r="B297" s="195"/>
      <c r="C297" s="196"/>
      <c r="D297" s="197"/>
      <c r="E297" s="198"/>
      <c r="F297" s="197"/>
      <c r="G297" s="198"/>
      <c r="H297" s="197"/>
      <c r="I297" s="198"/>
      <c r="J297" s="197"/>
      <c r="K297" s="198"/>
      <c r="L297" s="199"/>
      <c r="M297" s="199"/>
      <c r="N297" s="199"/>
      <c r="O297" s="155"/>
      <c r="P297" s="193"/>
      <c r="Q297" s="200"/>
      <c r="R297" s="194"/>
      <c r="T297" s="214"/>
      <c r="U297" s="214"/>
    </row>
    <row r="298" spans="1:21">
      <c r="A298" s="192"/>
      <c r="B298" s="1277" t="s">
        <v>1209</v>
      </c>
      <c r="C298" s="1277"/>
      <c r="D298" s="1277"/>
      <c r="E298" s="1277"/>
      <c r="F298" s="1277"/>
      <c r="G298" s="1277"/>
      <c r="H298" s="1277"/>
      <c r="I298" s="1277"/>
      <c r="J298" s="1277"/>
      <c r="K298" s="1277"/>
      <c r="L298" s="1277"/>
      <c r="M298" s="1277"/>
      <c r="N298" s="1277"/>
      <c r="O298" s="1277"/>
      <c r="P298" s="1277"/>
      <c r="Q298" s="203">
        <v>0</v>
      </c>
      <c r="R298" s="204">
        <f>Q298</f>
        <v>0</v>
      </c>
      <c r="T298" s="1282"/>
      <c r="U298" s="1282"/>
    </row>
    <row r="299" spans="1:21">
      <c r="A299" s="192"/>
      <c r="B299" s="1280" t="e">
        <f>med</f>
        <v>#NAME?</v>
      </c>
      <c r="C299" s="1280"/>
      <c r="D299" s="1280"/>
      <c r="E299" s="1280"/>
      <c r="F299" s="1280"/>
      <c r="G299" s="1280"/>
      <c r="H299" s="1280"/>
      <c r="I299" s="1280"/>
      <c r="J299" s="1280"/>
      <c r="K299" s="1280"/>
      <c r="L299" s="1280"/>
      <c r="M299" s="1280"/>
      <c r="N299" s="1280"/>
      <c r="O299" s="1280"/>
      <c r="P299" s="205" t="e">
        <f>N296</f>
        <v>#REF!</v>
      </c>
      <c r="Q299" s="203" t="e">
        <f>P299</f>
        <v>#REF!</v>
      </c>
      <c r="R299" s="204" t="e">
        <f>Q299+R298</f>
        <v>#REF!</v>
      </c>
      <c r="T299" s="1282"/>
      <c r="U299" s="1282"/>
    </row>
    <row r="300" spans="1:21" ht="18" customHeight="1">
      <c r="A300" s="187">
        <f>PLANILHA!B51</f>
        <v>90609</v>
      </c>
      <c r="B300" s="1275" t="e">
        <f>IF(A300="","",VLOOKUP($A300,'[2]FDE-JUNHO-08'!$A$6:$D$3537,2,FALSE()))</f>
        <v>#N/A</v>
      </c>
      <c r="C300" s="1275"/>
      <c r="D300" s="1275"/>
      <c r="E300" s="1275"/>
      <c r="F300" s="1275"/>
      <c r="G300" s="1275"/>
      <c r="H300" s="1275"/>
      <c r="I300" s="1275"/>
      <c r="J300" s="1275"/>
      <c r="K300" s="1275"/>
      <c r="L300" s="1275"/>
      <c r="M300" s="1275"/>
      <c r="N300" s="1275"/>
      <c r="O300" s="1275"/>
      <c r="P300" s="188" t="e">
        <f>IF(A300="","",VLOOKUP($A300,'[2]FDE-JUNHO-08'!$A$6:$D$3537,3,FALSE()))</f>
        <v>#N/A</v>
      </c>
      <c r="Q300" s="189" t="s">
        <v>1205</v>
      </c>
      <c r="R300" s="189" t="s">
        <v>1206</v>
      </c>
      <c r="T300" s="214"/>
      <c r="U300" s="214"/>
    </row>
    <row r="301" spans="1:21">
      <c r="A301" s="192"/>
      <c r="B301" s="1276"/>
      <c r="C301" s="1276"/>
      <c r="D301" s="1276"/>
      <c r="E301" s="1276"/>
      <c r="F301" s="1276"/>
      <c r="G301" s="1276"/>
      <c r="H301" s="1276"/>
      <c r="I301" s="1276"/>
      <c r="J301" s="1276"/>
      <c r="K301" s="1276"/>
      <c r="L301" s="1276"/>
      <c r="M301" s="1276"/>
      <c r="N301" s="1276"/>
      <c r="O301" s="1276"/>
      <c r="P301" s="193"/>
      <c r="Q301" s="194"/>
      <c r="R301" s="194"/>
      <c r="T301" s="214"/>
      <c r="U301" s="214"/>
    </row>
    <row r="302" spans="1:21">
      <c r="A302" s="192"/>
      <c r="B302" s="195" t="s">
        <v>1207</v>
      </c>
      <c r="C302" s="196"/>
      <c r="D302" s="197"/>
      <c r="E302" s="198"/>
      <c r="F302" s="197"/>
      <c r="G302" s="198"/>
      <c r="H302" s="197"/>
      <c r="I302" s="198"/>
      <c r="J302" s="197"/>
      <c r="K302" s="198"/>
      <c r="L302" s="199"/>
      <c r="M302" s="199" t="s">
        <v>1208</v>
      </c>
      <c r="N302" s="199">
        <v>12</v>
      </c>
      <c r="O302" s="155"/>
      <c r="P302" s="193"/>
      <c r="Q302" s="200"/>
      <c r="R302" s="194"/>
      <c r="T302" s="214"/>
      <c r="U302" s="214"/>
    </row>
    <row r="303" spans="1:21">
      <c r="A303" s="192"/>
      <c r="B303" s="195"/>
      <c r="C303" s="196"/>
      <c r="D303" s="197"/>
      <c r="E303" s="198"/>
      <c r="F303" s="197"/>
      <c r="G303" s="198"/>
      <c r="H303" s="197"/>
      <c r="I303" s="198"/>
      <c r="J303" s="197"/>
      <c r="K303" s="198"/>
      <c r="L303" s="199"/>
      <c r="M303" s="199"/>
      <c r="N303" s="201"/>
      <c r="O303" s="202"/>
      <c r="P303" s="193"/>
      <c r="Q303" s="200"/>
      <c r="R303" s="194"/>
      <c r="T303" s="214"/>
      <c r="U303" s="214"/>
    </row>
    <row r="304" spans="1:21">
      <c r="A304" s="192"/>
      <c r="B304" s="195"/>
      <c r="C304" s="196"/>
      <c r="D304" s="197"/>
      <c r="E304" s="198"/>
      <c r="F304" s="197"/>
      <c r="G304" s="198"/>
      <c r="H304" s="197"/>
      <c r="I304" s="198"/>
      <c r="J304" s="197"/>
      <c r="K304" s="198"/>
      <c r="L304" s="199" t="s">
        <v>1140</v>
      </c>
      <c r="M304" s="199" t="s">
        <v>1208</v>
      </c>
      <c r="N304" s="199">
        <f>SUM(N302:N303)</f>
        <v>12</v>
      </c>
      <c r="O304" s="155" t="e">
        <f>P300</f>
        <v>#N/A</v>
      </c>
      <c r="P304" s="193"/>
      <c r="Q304" s="200"/>
      <c r="R304" s="194"/>
      <c r="T304" s="214"/>
      <c r="U304" s="214"/>
    </row>
    <row r="305" spans="1:21">
      <c r="A305" s="192"/>
      <c r="B305" s="195"/>
      <c r="C305" s="196"/>
      <c r="D305" s="197"/>
      <c r="E305" s="198"/>
      <c r="F305" s="197"/>
      <c r="G305" s="198"/>
      <c r="H305" s="197"/>
      <c r="I305" s="198"/>
      <c r="J305" s="197"/>
      <c r="K305" s="198"/>
      <c r="L305" s="199"/>
      <c r="M305" s="199"/>
      <c r="N305" s="199"/>
      <c r="O305" s="155"/>
      <c r="P305" s="193"/>
      <c r="Q305" s="200"/>
      <c r="R305" s="194"/>
      <c r="T305" s="214"/>
      <c r="U305" s="214"/>
    </row>
    <row r="306" spans="1:21">
      <c r="A306" s="192"/>
      <c r="B306" s="1277" t="s">
        <v>1209</v>
      </c>
      <c r="C306" s="1277"/>
      <c r="D306" s="1277"/>
      <c r="E306" s="1277"/>
      <c r="F306" s="1277"/>
      <c r="G306" s="1277"/>
      <c r="H306" s="1277"/>
      <c r="I306" s="1277"/>
      <c r="J306" s="1277"/>
      <c r="K306" s="1277"/>
      <c r="L306" s="1277"/>
      <c r="M306" s="1277"/>
      <c r="N306" s="1277"/>
      <c r="O306" s="1277"/>
      <c r="P306" s="1277"/>
      <c r="Q306" s="203">
        <v>0</v>
      </c>
      <c r="R306" s="204">
        <f>Q306</f>
        <v>0</v>
      </c>
      <c r="T306" s="1282"/>
      <c r="U306" s="1282"/>
    </row>
    <row r="307" spans="1:21">
      <c r="A307" s="192"/>
      <c r="B307" s="1280" t="e">
        <f>med</f>
        <v>#NAME?</v>
      </c>
      <c r="C307" s="1280"/>
      <c r="D307" s="1280"/>
      <c r="E307" s="1280"/>
      <c r="F307" s="1280"/>
      <c r="G307" s="1280"/>
      <c r="H307" s="1280"/>
      <c r="I307" s="1280"/>
      <c r="J307" s="1280"/>
      <c r="K307" s="1280"/>
      <c r="L307" s="1280"/>
      <c r="M307" s="1280"/>
      <c r="N307" s="1280"/>
      <c r="O307" s="1280"/>
      <c r="P307" s="205">
        <f>N304</f>
        <v>12</v>
      </c>
      <c r="Q307" s="203">
        <f>P307</f>
        <v>12</v>
      </c>
      <c r="R307" s="204">
        <f>Q307+R306</f>
        <v>12</v>
      </c>
      <c r="T307" s="1282"/>
      <c r="U307" s="1282"/>
    </row>
    <row r="308" spans="1:21" ht="18" customHeight="1">
      <c r="A308" s="187" t="e">
        <f>#REF!</f>
        <v>#REF!</v>
      </c>
      <c r="B308" s="1275" t="e">
        <f>IF(A308="","",VLOOKUP($A308,'[2]FDE-JUNHO-08'!$A$6:$D$3537,2,FALSE()))</f>
        <v>#REF!</v>
      </c>
      <c r="C308" s="1275"/>
      <c r="D308" s="1275"/>
      <c r="E308" s="1275"/>
      <c r="F308" s="1275"/>
      <c r="G308" s="1275"/>
      <c r="H308" s="1275"/>
      <c r="I308" s="1275"/>
      <c r="J308" s="1275"/>
      <c r="K308" s="1275"/>
      <c r="L308" s="1275"/>
      <c r="M308" s="1275"/>
      <c r="N308" s="1275"/>
      <c r="O308" s="1275"/>
      <c r="P308" s="188" t="e">
        <f>IF(A308="","",VLOOKUP($A308,'[2]FDE-JUNHO-08'!$A$6:$D$3537,3,FALSE()))</f>
        <v>#REF!</v>
      </c>
      <c r="Q308" s="189" t="s">
        <v>1205</v>
      </c>
      <c r="R308" s="189" t="s">
        <v>1206</v>
      </c>
      <c r="T308" s="190"/>
      <c r="U308" s="191"/>
    </row>
    <row r="309" spans="1:21">
      <c r="A309" s="192"/>
      <c r="B309" s="1276"/>
      <c r="C309" s="1276"/>
      <c r="D309" s="1276"/>
      <c r="E309" s="1276"/>
      <c r="F309" s="1276"/>
      <c r="G309" s="1276"/>
      <c r="H309" s="1276"/>
      <c r="I309" s="1276"/>
      <c r="J309" s="1276"/>
      <c r="K309" s="1276"/>
      <c r="L309" s="1276"/>
      <c r="M309" s="1276"/>
      <c r="N309" s="1276"/>
      <c r="O309" s="1276"/>
      <c r="P309" s="193"/>
      <c r="Q309" s="194"/>
      <c r="R309" s="194"/>
      <c r="T309" s="190"/>
      <c r="U309" s="191"/>
    </row>
    <row r="310" spans="1:21">
      <c r="A310" s="192"/>
      <c r="B310" s="195" t="s">
        <v>1207</v>
      </c>
      <c r="C310" s="196"/>
      <c r="D310" s="197"/>
      <c r="E310" s="198"/>
      <c r="F310" s="197"/>
      <c r="G310" s="198"/>
      <c r="H310" s="197"/>
      <c r="I310" s="198"/>
      <c r="J310" s="197"/>
      <c r="K310" s="198"/>
      <c r="L310" s="199"/>
      <c r="M310" s="199" t="s">
        <v>1208</v>
      </c>
      <c r="N310" s="199">
        <v>1</v>
      </c>
      <c r="O310" s="155"/>
      <c r="P310" s="193"/>
      <c r="Q310" s="200"/>
      <c r="R310" s="194"/>
      <c r="T310" s="190"/>
      <c r="U310" s="191"/>
    </row>
    <row r="311" spans="1:21">
      <c r="A311" s="192"/>
      <c r="B311" s="195"/>
      <c r="C311" s="196"/>
      <c r="D311" s="197"/>
      <c r="E311" s="198"/>
      <c r="F311" s="197"/>
      <c r="G311" s="198"/>
      <c r="H311" s="197"/>
      <c r="I311" s="198"/>
      <c r="J311" s="197"/>
      <c r="K311" s="198"/>
      <c r="L311" s="199"/>
      <c r="M311" s="199"/>
      <c r="N311" s="201"/>
      <c r="O311" s="202"/>
      <c r="P311" s="193"/>
      <c r="Q311" s="200"/>
      <c r="R311" s="194"/>
      <c r="T311" s="190"/>
      <c r="U311" s="191"/>
    </row>
    <row r="312" spans="1:21">
      <c r="A312" s="192"/>
      <c r="B312" s="195"/>
      <c r="C312" s="196"/>
      <c r="D312" s="197"/>
      <c r="E312" s="198"/>
      <c r="F312" s="197"/>
      <c r="G312" s="198"/>
      <c r="H312" s="197"/>
      <c r="I312" s="198"/>
      <c r="J312" s="197"/>
      <c r="K312" s="198"/>
      <c r="L312" s="199" t="s">
        <v>1140</v>
      </c>
      <c r="M312" s="199" t="s">
        <v>1208</v>
      </c>
      <c r="N312" s="199">
        <f>SUM(N310:N311)</f>
        <v>1</v>
      </c>
      <c r="O312" s="155" t="e">
        <f>P308</f>
        <v>#REF!</v>
      </c>
      <c r="P312" s="193"/>
      <c r="Q312" s="200"/>
      <c r="R312" s="194"/>
      <c r="T312" s="190"/>
      <c r="U312" s="191"/>
    </row>
    <row r="313" spans="1:21">
      <c r="A313" s="192"/>
      <c r="B313" s="195"/>
      <c r="C313" s="196"/>
      <c r="D313" s="197"/>
      <c r="E313" s="198"/>
      <c r="F313" s="197"/>
      <c r="G313" s="198"/>
      <c r="H313" s="197"/>
      <c r="I313" s="198"/>
      <c r="J313" s="197"/>
      <c r="K313" s="198"/>
      <c r="L313" s="199"/>
      <c r="M313" s="199"/>
      <c r="N313" s="199"/>
      <c r="O313" s="155"/>
      <c r="P313" s="193"/>
      <c r="Q313" s="200"/>
      <c r="R313" s="194"/>
      <c r="T313" s="190"/>
      <c r="U313" s="191"/>
    </row>
    <row r="314" spans="1:21">
      <c r="A314" s="192"/>
      <c r="B314" s="1277" t="s">
        <v>1209</v>
      </c>
      <c r="C314" s="1277"/>
      <c r="D314" s="1277"/>
      <c r="E314" s="1277"/>
      <c r="F314" s="1277"/>
      <c r="G314" s="1277"/>
      <c r="H314" s="1277"/>
      <c r="I314" s="1277"/>
      <c r="J314" s="1277"/>
      <c r="K314" s="1277"/>
      <c r="L314" s="1277"/>
      <c r="M314" s="1277"/>
      <c r="N314" s="1277"/>
      <c r="O314" s="1277"/>
      <c r="P314" s="1277"/>
      <c r="Q314" s="203">
        <v>0</v>
      </c>
      <c r="R314" s="204">
        <f>Q314</f>
        <v>0</v>
      </c>
      <c r="T314" s="1278"/>
      <c r="U314" s="1279"/>
    </row>
    <row r="315" spans="1:21">
      <c r="A315" s="192"/>
      <c r="B315" s="1280" t="e">
        <f>med</f>
        <v>#NAME?</v>
      </c>
      <c r="C315" s="1280"/>
      <c r="D315" s="1280"/>
      <c r="E315" s="1280"/>
      <c r="F315" s="1280"/>
      <c r="G315" s="1280"/>
      <c r="H315" s="1280"/>
      <c r="I315" s="1280"/>
      <c r="J315" s="1280"/>
      <c r="K315" s="1280"/>
      <c r="L315" s="1280"/>
      <c r="M315" s="1280"/>
      <c r="N315" s="1280"/>
      <c r="O315" s="1280"/>
      <c r="P315" s="205">
        <f>N312</f>
        <v>1</v>
      </c>
      <c r="Q315" s="203">
        <f>P315</f>
        <v>1</v>
      </c>
      <c r="R315" s="204">
        <f>Q315+R314</f>
        <v>1</v>
      </c>
      <c r="T315" s="1278"/>
      <c r="U315" s="1279"/>
    </row>
    <row r="316" spans="1:21" ht="18" customHeight="1">
      <c r="A316" s="187" t="e">
        <f>#REF!</f>
        <v>#REF!</v>
      </c>
      <c r="B316" s="1283" t="e">
        <f>#REF!</f>
        <v>#REF!</v>
      </c>
      <c r="C316" s="1283"/>
      <c r="D316" s="1283"/>
      <c r="E316" s="1283"/>
      <c r="F316" s="1283"/>
      <c r="G316" s="1283"/>
      <c r="H316" s="1283"/>
      <c r="I316" s="1283"/>
      <c r="J316" s="1283"/>
      <c r="K316" s="1283"/>
      <c r="L316" s="1283"/>
      <c r="M316" s="1283"/>
      <c r="N316" s="1283"/>
      <c r="O316" s="1283"/>
      <c r="P316" s="188" t="e">
        <f>IF(A316="","",VLOOKUP($A316,'[2]FDE-JUNHO-08'!$A$6:$D$3537,3,FALSE()))</f>
        <v>#REF!</v>
      </c>
      <c r="Q316" s="189" t="s">
        <v>1205</v>
      </c>
      <c r="R316" s="189" t="s">
        <v>1206</v>
      </c>
      <c r="T316" s="190"/>
      <c r="U316" s="191"/>
    </row>
    <row r="317" spans="1:21">
      <c r="A317" s="192"/>
      <c r="B317" s="1284"/>
      <c r="C317" s="1284"/>
      <c r="D317" s="1284"/>
      <c r="E317" s="1284"/>
      <c r="F317" s="1284"/>
      <c r="G317" s="1284"/>
      <c r="H317" s="1284"/>
      <c r="I317" s="1284"/>
      <c r="J317" s="1284"/>
      <c r="K317" s="1284"/>
      <c r="L317" s="1284"/>
      <c r="M317" s="1284"/>
      <c r="N317" s="1284"/>
      <c r="O317" s="1284"/>
      <c r="P317" s="193"/>
      <c r="Q317" s="194"/>
      <c r="R317" s="194"/>
      <c r="T317" s="190"/>
      <c r="U317" s="191"/>
    </row>
    <row r="318" spans="1:21">
      <c r="A318" s="192"/>
      <c r="B318" s="215" t="s">
        <v>1218</v>
      </c>
      <c r="C318" s="196"/>
      <c r="D318" s="197"/>
      <c r="E318" s="198"/>
      <c r="F318" s="199"/>
      <c r="G318" s="198"/>
      <c r="H318" s="198"/>
      <c r="I318" s="198"/>
      <c r="J318" s="198"/>
      <c r="K318" s="198"/>
      <c r="L318" s="198"/>
      <c r="M318" s="199" t="s">
        <v>1208</v>
      </c>
      <c r="N318" s="199">
        <v>66</v>
      </c>
      <c r="O318" s="155"/>
      <c r="P318" s="193"/>
      <c r="Q318" s="200"/>
      <c r="R318" s="194"/>
      <c r="T318" s="190"/>
      <c r="U318" s="191"/>
    </row>
    <row r="319" spans="1:21">
      <c r="A319" s="192"/>
      <c r="B319" s="195"/>
      <c r="C319" s="196"/>
      <c r="D319" s="197"/>
      <c r="E319" s="198"/>
      <c r="F319" s="197"/>
      <c r="G319" s="198"/>
      <c r="H319" s="197"/>
      <c r="I319" s="198"/>
      <c r="J319" s="197"/>
      <c r="K319" s="198"/>
      <c r="L319" s="199"/>
      <c r="M319" s="199"/>
      <c r="N319" s="201"/>
      <c r="O319" s="202"/>
      <c r="P319" s="193"/>
      <c r="Q319" s="200"/>
      <c r="R319" s="194"/>
      <c r="T319" s="190"/>
      <c r="U319" s="191"/>
    </row>
    <row r="320" spans="1:21">
      <c r="A320" s="192"/>
      <c r="B320" s="195"/>
      <c r="C320" s="196"/>
      <c r="D320" s="197"/>
      <c r="E320" s="198"/>
      <c r="F320" s="197"/>
      <c r="G320" s="198"/>
      <c r="H320" s="197"/>
      <c r="I320" s="198"/>
      <c r="J320" s="197"/>
      <c r="K320" s="198"/>
      <c r="L320" s="199" t="s">
        <v>1140</v>
      </c>
      <c r="M320" s="199" t="s">
        <v>1208</v>
      </c>
      <c r="N320" s="199">
        <f>SUM(N318:N319)</f>
        <v>66</v>
      </c>
      <c r="O320" s="155" t="e">
        <f>P316</f>
        <v>#REF!</v>
      </c>
      <c r="P320" s="193"/>
      <c r="Q320" s="200"/>
      <c r="R320" s="194"/>
      <c r="T320" s="190"/>
      <c r="U320" s="191"/>
    </row>
    <row r="321" spans="1:21">
      <c r="A321" s="192"/>
      <c r="B321" s="195"/>
      <c r="C321" s="196"/>
      <c r="D321" s="197"/>
      <c r="E321" s="198"/>
      <c r="F321" s="197"/>
      <c r="G321" s="198"/>
      <c r="H321" s="197"/>
      <c r="I321" s="198"/>
      <c r="J321" s="197"/>
      <c r="K321" s="198"/>
      <c r="L321" s="199"/>
      <c r="M321" s="199"/>
      <c r="N321" s="199"/>
      <c r="O321" s="155"/>
      <c r="P321" s="193"/>
      <c r="Q321" s="200"/>
      <c r="R321" s="194"/>
      <c r="T321" s="190"/>
      <c r="U321" s="191"/>
    </row>
    <row r="322" spans="1:21">
      <c r="A322" s="192"/>
      <c r="B322" s="1277" t="s">
        <v>1209</v>
      </c>
      <c r="C322" s="1277"/>
      <c r="D322" s="1277"/>
      <c r="E322" s="1277"/>
      <c r="F322" s="1277"/>
      <c r="G322" s="1277"/>
      <c r="H322" s="1277"/>
      <c r="I322" s="1277"/>
      <c r="J322" s="1277"/>
      <c r="K322" s="1277"/>
      <c r="L322" s="1277"/>
      <c r="M322" s="1277"/>
      <c r="N322" s="1277"/>
      <c r="O322" s="1277"/>
      <c r="P322" s="1277"/>
      <c r="Q322" s="203">
        <v>0</v>
      </c>
      <c r="R322" s="204">
        <f>Q322</f>
        <v>0</v>
      </c>
      <c r="T322" s="1278"/>
      <c r="U322" s="1279"/>
    </row>
    <row r="323" spans="1:21">
      <c r="A323" s="192"/>
      <c r="B323" s="1280" t="e">
        <f>med</f>
        <v>#NAME?</v>
      </c>
      <c r="C323" s="1280"/>
      <c r="D323" s="1280"/>
      <c r="E323" s="1280"/>
      <c r="F323" s="1280"/>
      <c r="G323" s="1280"/>
      <c r="H323" s="1280"/>
      <c r="I323" s="1280"/>
      <c r="J323" s="1280"/>
      <c r="K323" s="1280"/>
      <c r="L323" s="1280"/>
      <c r="M323" s="1280"/>
      <c r="N323" s="1280"/>
      <c r="O323" s="1280"/>
      <c r="P323" s="205">
        <f>N320</f>
        <v>66</v>
      </c>
      <c r="Q323" s="203">
        <f>P323</f>
        <v>66</v>
      </c>
      <c r="R323" s="204">
        <f>Q323+R322</f>
        <v>66</v>
      </c>
      <c r="T323" s="1278"/>
      <c r="U323" s="1279"/>
    </row>
    <row r="324" spans="1:21" ht="18" customHeight="1">
      <c r="A324" s="187" t="e">
        <f>#REF!</f>
        <v>#REF!</v>
      </c>
      <c r="B324" s="1275" t="e">
        <f>IF(A324="","",VLOOKUP($A324,'[2]FDE-JUNHO-08'!$A$6:$D$3537,2,FALSE()))</f>
        <v>#REF!</v>
      </c>
      <c r="C324" s="1275"/>
      <c r="D324" s="1275"/>
      <c r="E324" s="1275"/>
      <c r="F324" s="1275"/>
      <c r="G324" s="1275"/>
      <c r="H324" s="1275"/>
      <c r="I324" s="1275"/>
      <c r="J324" s="1275"/>
      <c r="K324" s="1275"/>
      <c r="L324" s="1275"/>
      <c r="M324" s="1275"/>
      <c r="N324" s="1275"/>
      <c r="O324" s="1275"/>
      <c r="P324" s="188" t="e">
        <f>IF(A324="","",VLOOKUP($A324,'[2]FDE-JUNHO-08'!$A$6:$D$3537,3,FALSE()))</f>
        <v>#REF!</v>
      </c>
      <c r="Q324" s="189" t="s">
        <v>1205</v>
      </c>
      <c r="R324" s="189" t="s">
        <v>1206</v>
      </c>
      <c r="T324" s="190"/>
      <c r="U324" s="191"/>
    </row>
    <row r="325" spans="1:21">
      <c r="A325" s="192"/>
      <c r="B325" s="1281"/>
      <c r="C325" s="1281"/>
      <c r="D325" s="1281"/>
      <c r="E325" s="1281"/>
      <c r="F325" s="1281"/>
      <c r="G325" s="1281"/>
      <c r="H325" s="1281"/>
      <c r="I325" s="1281"/>
      <c r="J325" s="1281"/>
      <c r="K325" s="1281"/>
      <c r="L325" s="1281"/>
      <c r="M325" s="1281"/>
      <c r="N325" s="1281"/>
      <c r="O325" s="1281"/>
      <c r="P325" s="193"/>
      <c r="Q325" s="194"/>
      <c r="R325" s="194"/>
      <c r="T325" s="190"/>
      <c r="U325" s="191"/>
    </row>
    <row r="326" spans="1:21">
      <c r="A326" s="192"/>
      <c r="B326" s="195" t="s">
        <v>1207</v>
      </c>
      <c r="C326" s="196"/>
      <c r="D326" s="197"/>
      <c r="E326" s="198"/>
      <c r="F326" s="197"/>
      <c r="G326" s="198"/>
      <c r="H326" s="197"/>
      <c r="I326" s="198"/>
      <c r="J326" s="197"/>
      <c r="K326" s="198"/>
      <c r="L326" s="199"/>
      <c r="M326" s="199" t="s">
        <v>1208</v>
      </c>
      <c r="N326" s="199">
        <f>PLANILHA!E54</f>
        <v>3200</v>
      </c>
      <c r="O326" s="155"/>
      <c r="P326" s="193"/>
      <c r="Q326" s="200"/>
      <c r="R326" s="194"/>
      <c r="T326" s="190"/>
      <c r="U326" s="191"/>
    </row>
    <row r="327" spans="1:21">
      <c r="A327" s="192"/>
      <c r="B327" s="195"/>
      <c r="C327" s="196"/>
      <c r="D327" s="197"/>
      <c r="E327" s="198"/>
      <c r="F327" s="197"/>
      <c r="G327" s="198"/>
      <c r="H327" s="197"/>
      <c r="I327" s="198"/>
      <c r="J327" s="197"/>
      <c r="K327" s="198"/>
      <c r="L327" s="199"/>
      <c r="M327" s="199"/>
      <c r="N327" s="201"/>
      <c r="O327" s="202"/>
      <c r="P327" s="193"/>
      <c r="Q327" s="200"/>
      <c r="R327" s="194"/>
      <c r="T327" s="190"/>
      <c r="U327" s="191"/>
    </row>
    <row r="328" spans="1:21">
      <c r="A328" s="192"/>
      <c r="B328" s="195"/>
      <c r="C328" s="196"/>
      <c r="D328" s="197"/>
      <c r="E328" s="198"/>
      <c r="F328" s="197"/>
      <c r="G328" s="198"/>
      <c r="H328" s="197"/>
      <c r="I328" s="198"/>
      <c r="J328" s="197"/>
      <c r="K328" s="198"/>
      <c r="L328" s="199" t="s">
        <v>1140</v>
      </c>
      <c r="M328" s="199" t="s">
        <v>1208</v>
      </c>
      <c r="N328" s="199">
        <f>SUM(N326:N327)</f>
        <v>3200</v>
      </c>
      <c r="O328" s="155" t="e">
        <f>P324</f>
        <v>#REF!</v>
      </c>
      <c r="P328" s="193"/>
      <c r="Q328" s="200"/>
      <c r="R328" s="194"/>
      <c r="T328" s="190"/>
      <c r="U328" s="191"/>
    </row>
    <row r="329" spans="1:21">
      <c r="A329" s="192"/>
      <c r="B329" s="195"/>
      <c r="C329" s="196"/>
      <c r="D329" s="197"/>
      <c r="E329" s="198"/>
      <c r="F329" s="197"/>
      <c r="G329" s="198"/>
      <c r="H329" s="197"/>
      <c r="I329" s="198"/>
      <c r="J329" s="197"/>
      <c r="K329" s="198"/>
      <c r="L329" s="199"/>
      <c r="M329" s="199"/>
      <c r="N329" s="199"/>
      <c r="O329" s="155"/>
      <c r="P329" s="193"/>
      <c r="Q329" s="200"/>
      <c r="R329" s="194"/>
      <c r="T329" s="190"/>
      <c r="U329" s="191"/>
    </row>
    <row r="330" spans="1:21">
      <c r="A330" s="192"/>
      <c r="B330" s="1277" t="s">
        <v>1209</v>
      </c>
      <c r="C330" s="1277"/>
      <c r="D330" s="1277"/>
      <c r="E330" s="1277"/>
      <c r="F330" s="1277"/>
      <c r="G330" s="1277"/>
      <c r="H330" s="1277"/>
      <c r="I330" s="1277"/>
      <c r="J330" s="1277"/>
      <c r="K330" s="1277"/>
      <c r="L330" s="1277"/>
      <c r="M330" s="1277"/>
      <c r="N330" s="1277"/>
      <c r="O330" s="1277"/>
      <c r="P330" s="1277"/>
      <c r="Q330" s="203">
        <v>0</v>
      </c>
      <c r="R330" s="204">
        <f>Q330</f>
        <v>0</v>
      </c>
      <c r="T330" s="1278"/>
      <c r="U330" s="1279"/>
    </row>
    <row r="331" spans="1:21">
      <c r="A331" s="192"/>
      <c r="B331" s="1280" t="e">
        <f>med</f>
        <v>#NAME?</v>
      </c>
      <c r="C331" s="1280"/>
      <c r="D331" s="1280"/>
      <c r="E331" s="1280"/>
      <c r="F331" s="1280"/>
      <c r="G331" s="1280"/>
      <c r="H331" s="1280"/>
      <c r="I331" s="1280"/>
      <c r="J331" s="1280"/>
      <c r="K331" s="1280"/>
      <c r="L331" s="1280"/>
      <c r="M331" s="1280"/>
      <c r="N331" s="1280"/>
      <c r="O331" s="1280"/>
      <c r="P331" s="205"/>
      <c r="Q331" s="203">
        <f>P331</f>
        <v>0</v>
      </c>
      <c r="R331" s="204">
        <f>Q331+R330</f>
        <v>0</v>
      </c>
      <c r="T331" s="1278"/>
      <c r="U331" s="1279"/>
    </row>
    <row r="332" spans="1:21" ht="18" customHeight="1">
      <c r="A332" s="187" t="e">
        <f>#REF!</f>
        <v>#REF!</v>
      </c>
      <c r="B332" s="1275" t="e">
        <f>IF(A332="","",VLOOKUP($A332,'[2]FDE-JUNHO-08'!$A$6:$D$3537,2,FALSE()))</f>
        <v>#REF!</v>
      </c>
      <c r="C332" s="1275"/>
      <c r="D332" s="1275"/>
      <c r="E332" s="1275"/>
      <c r="F332" s="1275"/>
      <c r="G332" s="1275"/>
      <c r="H332" s="1275"/>
      <c r="I332" s="1275"/>
      <c r="J332" s="1275"/>
      <c r="K332" s="1275"/>
      <c r="L332" s="1275"/>
      <c r="M332" s="1275"/>
      <c r="N332" s="1275"/>
      <c r="O332" s="1275"/>
      <c r="P332" s="188" t="e">
        <f>IF(A332="","",VLOOKUP($A332,'[2]FDE-JUNHO-08'!$A$6:$D$3537,3,FALSE()))</f>
        <v>#REF!</v>
      </c>
      <c r="Q332" s="189" t="s">
        <v>1205</v>
      </c>
      <c r="R332" s="189" t="s">
        <v>1206</v>
      </c>
      <c r="T332" s="190"/>
      <c r="U332" s="191"/>
    </row>
    <row r="333" spans="1:21">
      <c r="A333" s="192"/>
      <c r="B333" s="1276"/>
      <c r="C333" s="1276"/>
      <c r="D333" s="1276"/>
      <c r="E333" s="1276"/>
      <c r="F333" s="1276"/>
      <c r="G333" s="1276"/>
      <c r="H333" s="1276"/>
      <c r="I333" s="1276"/>
      <c r="J333" s="1276"/>
      <c r="K333" s="1276"/>
      <c r="L333" s="1276"/>
      <c r="M333" s="1276"/>
      <c r="N333" s="1276"/>
      <c r="O333" s="1276"/>
      <c r="P333" s="193"/>
      <c r="Q333" s="194"/>
      <c r="R333" s="194"/>
      <c r="T333" s="190"/>
      <c r="U333" s="191"/>
    </row>
    <row r="334" spans="1:21">
      <c r="A334" s="192"/>
      <c r="B334" s="195" t="s">
        <v>1207</v>
      </c>
      <c r="C334" s="196"/>
      <c r="D334" s="197"/>
      <c r="E334" s="198"/>
      <c r="F334" s="197"/>
      <c r="G334" s="198"/>
      <c r="H334" s="197"/>
      <c r="I334" s="198"/>
      <c r="J334" s="197"/>
      <c r="K334" s="198"/>
      <c r="L334" s="199"/>
      <c r="M334" s="199" t="s">
        <v>1208</v>
      </c>
      <c r="N334" s="199">
        <f>PLANILHA!E55</f>
        <v>500</v>
      </c>
      <c r="O334" s="155"/>
      <c r="P334" s="193"/>
      <c r="Q334" s="200"/>
      <c r="R334" s="194"/>
      <c r="T334" s="190"/>
      <c r="U334" s="191"/>
    </row>
    <row r="335" spans="1:21">
      <c r="A335" s="192"/>
      <c r="B335" s="195"/>
      <c r="C335" s="196"/>
      <c r="D335" s="197"/>
      <c r="E335" s="198"/>
      <c r="F335" s="197"/>
      <c r="G335" s="198"/>
      <c r="H335" s="197"/>
      <c r="I335" s="198"/>
      <c r="J335" s="197"/>
      <c r="K335" s="198"/>
      <c r="L335" s="199"/>
      <c r="M335" s="199"/>
      <c r="N335" s="201"/>
      <c r="O335" s="202"/>
      <c r="P335" s="193"/>
      <c r="Q335" s="200"/>
      <c r="R335" s="194"/>
      <c r="T335" s="190"/>
      <c r="U335" s="191"/>
    </row>
    <row r="336" spans="1:21">
      <c r="A336" s="192"/>
      <c r="B336" s="195"/>
      <c r="C336" s="196"/>
      <c r="D336" s="197"/>
      <c r="E336" s="198"/>
      <c r="F336" s="197"/>
      <c r="G336" s="198"/>
      <c r="H336" s="197"/>
      <c r="I336" s="198"/>
      <c r="J336" s="197"/>
      <c r="K336" s="198"/>
      <c r="L336" s="199" t="s">
        <v>1140</v>
      </c>
      <c r="M336" s="199" t="s">
        <v>1208</v>
      </c>
      <c r="N336" s="199">
        <f>SUM(N334:N335)</f>
        <v>500</v>
      </c>
      <c r="O336" s="155" t="e">
        <f>P332</f>
        <v>#REF!</v>
      </c>
      <c r="P336" s="193"/>
      <c r="Q336" s="200"/>
      <c r="R336" s="194"/>
      <c r="T336" s="190"/>
      <c r="U336" s="191"/>
    </row>
    <row r="337" spans="1:21">
      <c r="A337" s="192"/>
      <c r="B337" s="195"/>
      <c r="C337" s="196"/>
      <c r="D337" s="197"/>
      <c r="E337" s="198"/>
      <c r="F337" s="197"/>
      <c r="G337" s="198"/>
      <c r="H337" s="197"/>
      <c r="I337" s="198"/>
      <c r="J337" s="197"/>
      <c r="K337" s="198"/>
      <c r="L337" s="199"/>
      <c r="M337" s="199"/>
      <c r="N337" s="199"/>
      <c r="O337" s="155"/>
      <c r="P337" s="193"/>
      <c r="Q337" s="200"/>
      <c r="R337" s="194"/>
      <c r="T337" s="190"/>
      <c r="U337" s="191"/>
    </row>
    <row r="338" spans="1:21">
      <c r="A338" s="192"/>
      <c r="B338" s="1277" t="s">
        <v>1209</v>
      </c>
      <c r="C338" s="1277"/>
      <c r="D338" s="1277"/>
      <c r="E338" s="1277"/>
      <c r="F338" s="1277"/>
      <c r="G338" s="1277"/>
      <c r="H338" s="1277"/>
      <c r="I338" s="1277"/>
      <c r="J338" s="1277"/>
      <c r="K338" s="1277"/>
      <c r="L338" s="1277"/>
      <c r="M338" s="1277"/>
      <c r="N338" s="1277"/>
      <c r="O338" s="1277"/>
      <c r="P338" s="1277"/>
      <c r="Q338" s="203">
        <v>0</v>
      </c>
      <c r="R338" s="204">
        <f>Q338</f>
        <v>0</v>
      </c>
      <c r="T338" s="1278"/>
      <c r="U338" s="1279"/>
    </row>
    <row r="339" spans="1:21">
      <c r="A339" s="206"/>
      <c r="B339" s="1280" t="e">
        <f>med</f>
        <v>#NAME?</v>
      </c>
      <c r="C339" s="1280"/>
      <c r="D339" s="1280"/>
      <c r="E339" s="1280"/>
      <c r="F339" s="1280"/>
      <c r="G339" s="1280"/>
      <c r="H339" s="1280"/>
      <c r="I339" s="1280"/>
      <c r="J339" s="1280"/>
      <c r="K339" s="1280"/>
      <c r="L339" s="1280"/>
      <c r="M339" s="1280"/>
      <c r="N339" s="1280"/>
      <c r="O339" s="1280"/>
      <c r="P339" s="205"/>
      <c r="Q339" s="203">
        <f>P339</f>
        <v>0</v>
      </c>
      <c r="R339" s="204">
        <f>Q339+R338</f>
        <v>0</v>
      </c>
      <c r="T339" s="1278"/>
      <c r="U339" s="1279"/>
    </row>
    <row r="340" spans="1:21" ht="18" customHeight="1">
      <c r="A340" s="187" t="e">
        <f>#REF!</f>
        <v>#REF!</v>
      </c>
      <c r="B340" s="1275" t="e">
        <f>IF(A340="","",VLOOKUP($A340,'[2]FDE-JUNHO-08'!$A$6:$D$3537,2,FALSE()))</f>
        <v>#REF!</v>
      </c>
      <c r="C340" s="1275"/>
      <c r="D340" s="1275"/>
      <c r="E340" s="1275"/>
      <c r="F340" s="1275"/>
      <c r="G340" s="1275"/>
      <c r="H340" s="1275"/>
      <c r="I340" s="1275"/>
      <c r="J340" s="1275"/>
      <c r="K340" s="1275"/>
      <c r="L340" s="1275"/>
      <c r="M340" s="1275"/>
      <c r="N340" s="1275"/>
      <c r="O340" s="1275"/>
      <c r="P340" s="188" t="e">
        <f>IF(A340="","",VLOOKUP($A340,'[2]FDE-JUNHO-08'!$A$6:$D$3537,3,FALSE()))</f>
        <v>#REF!</v>
      </c>
      <c r="Q340" s="189" t="s">
        <v>1205</v>
      </c>
      <c r="R340" s="189" t="s">
        <v>1206</v>
      </c>
      <c r="T340" s="190"/>
      <c r="U340" s="191"/>
    </row>
    <row r="341" spans="1:21">
      <c r="A341" s="192"/>
      <c r="B341" s="195"/>
      <c r="C341" s="196"/>
      <c r="D341" s="197"/>
      <c r="E341" s="198"/>
      <c r="F341" s="197"/>
      <c r="G341" s="198"/>
      <c r="H341" s="197"/>
      <c r="I341" s="207"/>
      <c r="J341" s="207"/>
      <c r="K341" s="208"/>
      <c r="L341" s="209"/>
      <c r="M341" s="209"/>
      <c r="N341" s="209"/>
      <c r="O341" s="155"/>
      <c r="P341" s="193"/>
      <c r="Q341" s="200"/>
      <c r="R341" s="194"/>
      <c r="T341" s="190"/>
      <c r="U341" s="191"/>
    </row>
    <row r="342" spans="1:21">
      <c r="A342" s="192"/>
      <c r="B342" s="195" t="s">
        <v>1207</v>
      </c>
      <c r="C342" s="196"/>
      <c r="D342" s="197"/>
      <c r="E342" s="198"/>
      <c r="F342" s="197"/>
      <c r="G342" s="198"/>
      <c r="H342" s="197"/>
      <c r="I342" s="198"/>
      <c r="J342" s="197"/>
      <c r="K342" s="198"/>
      <c r="L342" s="199"/>
      <c r="M342" s="199" t="s">
        <v>1208</v>
      </c>
      <c r="N342" s="199">
        <f>PLANILHA!E56</f>
        <v>506.96</v>
      </c>
      <c r="O342" s="155"/>
      <c r="P342" s="193"/>
      <c r="Q342" s="200"/>
      <c r="R342" s="194"/>
      <c r="T342" s="190"/>
      <c r="U342" s="191"/>
    </row>
    <row r="343" spans="1:21">
      <c r="A343" s="192"/>
      <c r="B343" s="195"/>
      <c r="C343" s="196"/>
      <c r="D343" s="197"/>
      <c r="E343" s="198"/>
      <c r="F343" s="197"/>
      <c r="G343" s="198"/>
      <c r="H343" s="197"/>
      <c r="I343" s="198"/>
      <c r="J343" s="197"/>
      <c r="K343" s="198"/>
      <c r="L343" s="199"/>
      <c r="M343" s="199"/>
      <c r="N343" s="201"/>
      <c r="O343" s="202"/>
      <c r="P343" s="193"/>
      <c r="Q343" s="200"/>
      <c r="R343" s="194"/>
      <c r="T343" s="190"/>
      <c r="U343" s="191"/>
    </row>
    <row r="344" spans="1:21">
      <c r="A344" s="192"/>
      <c r="B344" s="195"/>
      <c r="C344" s="196"/>
      <c r="D344" s="197"/>
      <c r="E344" s="198"/>
      <c r="F344" s="197"/>
      <c r="G344" s="198"/>
      <c r="H344" s="197"/>
      <c r="I344" s="198"/>
      <c r="J344" s="197"/>
      <c r="K344" s="198"/>
      <c r="L344" s="199" t="s">
        <v>1140</v>
      </c>
      <c r="M344" s="199" t="s">
        <v>1208</v>
      </c>
      <c r="N344" s="199">
        <f>SUM(N342:N343)</f>
        <v>506.96</v>
      </c>
      <c r="O344" s="155" t="e">
        <f>P340</f>
        <v>#REF!</v>
      </c>
      <c r="P344" s="193"/>
      <c r="Q344" s="200"/>
      <c r="R344" s="194"/>
      <c r="T344" s="190"/>
      <c r="U344" s="191"/>
    </row>
    <row r="345" spans="1:21">
      <c r="A345" s="192"/>
      <c r="B345" s="195"/>
      <c r="C345" s="196"/>
      <c r="D345" s="197"/>
      <c r="E345" s="198"/>
      <c r="F345" s="197"/>
      <c r="G345" s="198"/>
      <c r="H345" s="197"/>
      <c r="I345" s="198"/>
      <c r="J345" s="197"/>
      <c r="K345" s="198"/>
      <c r="L345" s="199"/>
      <c r="M345" s="199"/>
      <c r="N345" s="199"/>
      <c r="O345" s="155"/>
      <c r="P345" s="193"/>
      <c r="Q345" s="200"/>
      <c r="R345" s="194"/>
      <c r="T345" s="190"/>
      <c r="U345" s="191"/>
    </row>
    <row r="346" spans="1:21">
      <c r="A346" s="192"/>
      <c r="B346" s="1277" t="s">
        <v>1209</v>
      </c>
      <c r="C346" s="1277"/>
      <c r="D346" s="1277"/>
      <c r="E346" s="1277"/>
      <c r="F346" s="1277"/>
      <c r="G346" s="1277"/>
      <c r="H346" s="1277"/>
      <c r="I346" s="1277"/>
      <c r="J346" s="1277"/>
      <c r="K346" s="1277"/>
      <c r="L346" s="1277"/>
      <c r="M346" s="1277"/>
      <c r="N346" s="1277"/>
      <c r="O346" s="1277"/>
      <c r="P346" s="1277"/>
      <c r="Q346" s="203">
        <v>0</v>
      </c>
      <c r="R346" s="204">
        <f>Q346</f>
        <v>0</v>
      </c>
      <c r="T346" s="1278"/>
      <c r="U346" s="1279"/>
    </row>
    <row r="347" spans="1:21">
      <c r="A347" s="192"/>
      <c r="B347" s="1280" t="e">
        <f>med</f>
        <v>#NAME?</v>
      </c>
      <c r="C347" s="1280"/>
      <c r="D347" s="1280"/>
      <c r="E347" s="1280"/>
      <c r="F347" s="1280"/>
      <c r="G347" s="1280"/>
      <c r="H347" s="1280"/>
      <c r="I347" s="1280"/>
      <c r="J347" s="1280"/>
      <c r="K347" s="1280"/>
      <c r="L347" s="1280"/>
      <c r="M347" s="1280"/>
      <c r="N347" s="1280"/>
      <c r="O347" s="1280"/>
      <c r="P347" s="205"/>
      <c r="Q347" s="203">
        <f>P347</f>
        <v>0</v>
      </c>
      <c r="R347" s="204">
        <f>Q347+R346</f>
        <v>0</v>
      </c>
      <c r="T347" s="1278"/>
      <c r="U347" s="1279"/>
    </row>
    <row r="348" spans="1:21" ht="18" customHeight="1">
      <c r="A348" s="187" t="e">
        <f>#REF!</f>
        <v>#REF!</v>
      </c>
      <c r="B348" s="1275" t="e">
        <f>IF(A348="","",VLOOKUP($A348,'[2]FDE-JUNHO-08'!$A$6:$D$3537,2,FALSE()))</f>
        <v>#REF!</v>
      </c>
      <c r="C348" s="1275"/>
      <c r="D348" s="1275"/>
      <c r="E348" s="1275"/>
      <c r="F348" s="1275"/>
      <c r="G348" s="1275"/>
      <c r="H348" s="1275"/>
      <c r="I348" s="1275"/>
      <c r="J348" s="1275"/>
      <c r="K348" s="1275"/>
      <c r="L348" s="1275"/>
      <c r="M348" s="1275"/>
      <c r="N348" s="1275"/>
      <c r="O348" s="1275"/>
      <c r="P348" s="188" t="e">
        <f>IF(A348="","",VLOOKUP($A348,'[2]FDE-JUNHO-08'!$A$6:$D$3537,3,FALSE()))</f>
        <v>#REF!</v>
      </c>
      <c r="Q348" s="189" t="s">
        <v>1205</v>
      </c>
      <c r="R348" s="189" t="s">
        <v>1206</v>
      </c>
      <c r="T348" s="190"/>
      <c r="U348" s="191"/>
    </row>
    <row r="349" spans="1:21">
      <c r="A349" s="192"/>
      <c r="B349" s="1276"/>
      <c r="C349" s="1276"/>
      <c r="D349" s="1276"/>
      <c r="E349" s="1276"/>
      <c r="F349" s="1276"/>
      <c r="G349" s="1276"/>
      <c r="H349" s="1276"/>
      <c r="I349" s="1276"/>
      <c r="J349" s="1276"/>
      <c r="K349" s="1276"/>
      <c r="L349" s="1276"/>
      <c r="M349" s="1276"/>
      <c r="N349" s="1276"/>
      <c r="O349" s="1276"/>
      <c r="P349" s="193"/>
      <c r="Q349" s="194"/>
      <c r="R349" s="194"/>
      <c r="T349" s="190"/>
      <c r="U349" s="191"/>
    </row>
    <row r="350" spans="1:21">
      <c r="A350" s="192"/>
      <c r="B350" s="195" t="s">
        <v>1207</v>
      </c>
      <c r="C350" s="196"/>
      <c r="D350" s="197"/>
      <c r="E350" s="198"/>
      <c r="F350" s="197"/>
      <c r="G350" s="198"/>
      <c r="H350" s="197"/>
      <c r="I350" s="198"/>
      <c r="J350" s="197"/>
      <c r="K350" s="198"/>
      <c r="L350" s="199"/>
      <c r="M350" s="199" t="s">
        <v>1208</v>
      </c>
      <c r="N350" s="199">
        <f>PLANILHA!E57</f>
        <v>452.33</v>
      </c>
      <c r="O350" s="155"/>
      <c r="P350" s="193"/>
      <c r="Q350" s="200"/>
      <c r="R350" s="194"/>
      <c r="T350" s="190"/>
      <c r="U350" s="191"/>
    </row>
    <row r="351" spans="1:21">
      <c r="A351" s="192"/>
      <c r="B351" s="195"/>
      <c r="C351" s="196"/>
      <c r="D351" s="197"/>
      <c r="E351" s="198"/>
      <c r="F351" s="197"/>
      <c r="G351" s="198"/>
      <c r="H351" s="197"/>
      <c r="I351" s="198"/>
      <c r="J351" s="197"/>
      <c r="K351" s="198"/>
      <c r="L351" s="199"/>
      <c r="M351" s="199"/>
      <c r="N351" s="201"/>
      <c r="O351" s="202"/>
      <c r="P351" s="193"/>
      <c r="Q351" s="200"/>
      <c r="R351" s="194"/>
      <c r="T351" s="190"/>
      <c r="U351" s="191"/>
    </row>
    <row r="352" spans="1:21">
      <c r="A352" s="192"/>
      <c r="B352" s="195"/>
      <c r="C352" s="196"/>
      <c r="D352" s="197"/>
      <c r="E352" s="198"/>
      <c r="F352" s="197"/>
      <c r="G352" s="198"/>
      <c r="H352" s="197"/>
      <c r="I352" s="198"/>
      <c r="J352" s="197"/>
      <c r="K352" s="198"/>
      <c r="L352" s="199" t="s">
        <v>1140</v>
      </c>
      <c r="M352" s="199" t="s">
        <v>1208</v>
      </c>
      <c r="N352" s="199">
        <f>SUM(N350:N351)</f>
        <v>452.33</v>
      </c>
      <c r="O352" s="155" t="e">
        <f>P348</f>
        <v>#REF!</v>
      </c>
      <c r="P352" s="193"/>
      <c r="Q352" s="200"/>
      <c r="R352" s="194"/>
      <c r="T352" s="190"/>
      <c r="U352" s="191"/>
    </row>
    <row r="353" spans="1:21">
      <c r="A353" s="192"/>
      <c r="B353" s="195"/>
      <c r="C353" s="196"/>
      <c r="D353" s="197"/>
      <c r="E353" s="198"/>
      <c r="F353" s="197"/>
      <c r="G353" s="198"/>
      <c r="H353" s="197"/>
      <c r="I353" s="198"/>
      <c r="J353" s="197"/>
      <c r="K353" s="198"/>
      <c r="L353" s="199"/>
      <c r="M353" s="199"/>
      <c r="N353" s="199"/>
      <c r="O353" s="155"/>
      <c r="P353" s="193"/>
      <c r="Q353" s="200"/>
      <c r="R353" s="194"/>
      <c r="T353" s="190"/>
      <c r="U353" s="191"/>
    </row>
    <row r="354" spans="1:21">
      <c r="A354" s="192"/>
      <c r="B354" s="1277" t="s">
        <v>1209</v>
      </c>
      <c r="C354" s="1277"/>
      <c r="D354" s="1277"/>
      <c r="E354" s="1277"/>
      <c r="F354" s="1277"/>
      <c r="G354" s="1277"/>
      <c r="H354" s="1277"/>
      <c r="I354" s="1277"/>
      <c r="J354" s="1277"/>
      <c r="K354" s="1277"/>
      <c r="L354" s="1277"/>
      <c r="M354" s="1277"/>
      <c r="N354" s="1277"/>
      <c r="O354" s="1277"/>
      <c r="P354" s="1277"/>
      <c r="Q354" s="203">
        <v>0</v>
      </c>
      <c r="R354" s="204">
        <f>Q354</f>
        <v>0</v>
      </c>
      <c r="T354" s="1278"/>
      <c r="U354" s="1279"/>
    </row>
    <row r="355" spans="1:21">
      <c r="A355" s="192"/>
      <c r="B355" s="1280" t="e">
        <f>med</f>
        <v>#NAME?</v>
      </c>
      <c r="C355" s="1280"/>
      <c r="D355" s="1280"/>
      <c r="E355" s="1280"/>
      <c r="F355" s="1280"/>
      <c r="G355" s="1280"/>
      <c r="H355" s="1280"/>
      <c r="I355" s="1280"/>
      <c r="J355" s="1280"/>
      <c r="K355" s="1280"/>
      <c r="L355" s="1280"/>
      <c r="M355" s="1280"/>
      <c r="N355" s="1280"/>
      <c r="O355" s="1280"/>
      <c r="P355" s="205">
        <f>N352</f>
        <v>452.33</v>
      </c>
      <c r="Q355" s="203">
        <f>P355</f>
        <v>452.33</v>
      </c>
      <c r="R355" s="204">
        <f>Q355+R354</f>
        <v>452.33</v>
      </c>
      <c r="T355" s="1278"/>
      <c r="U355" s="1279"/>
    </row>
    <row r="356" spans="1:21" ht="18" customHeight="1">
      <c r="A356" s="187" t="e">
        <f>#REF!</f>
        <v>#REF!</v>
      </c>
      <c r="B356" s="1275" t="e">
        <f>IF(A356="","",VLOOKUP($A356,'[2]FDE-JUNHO-08'!$A$6:$D$3537,2,FALSE()))</f>
        <v>#REF!</v>
      </c>
      <c r="C356" s="1275"/>
      <c r="D356" s="1275"/>
      <c r="E356" s="1275"/>
      <c r="F356" s="1275"/>
      <c r="G356" s="1275"/>
      <c r="H356" s="1275"/>
      <c r="I356" s="1275"/>
      <c r="J356" s="1275"/>
      <c r="K356" s="1275"/>
      <c r="L356" s="1275"/>
      <c r="M356" s="1275"/>
      <c r="N356" s="1275"/>
      <c r="O356" s="1275"/>
      <c r="P356" s="188" t="e">
        <f>IF(A356="","",VLOOKUP($A356,'[2]FDE-JUNHO-08'!$A$6:$D$3537,3,FALSE()))</f>
        <v>#REF!</v>
      </c>
      <c r="Q356" s="189" t="s">
        <v>1205</v>
      </c>
      <c r="R356" s="189" t="s">
        <v>1206</v>
      </c>
      <c r="T356" s="190"/>
      <c r="U356" s="191"/>
    </row>
    <row r="357" spans="1:21">
      <c r="A357" s="192"/>
      <c r="B357" s="1276"/>
      <c r="C357" s="1276"/>
      <c r="D357" s="1276"/>
      <c r="E357" s="1276"/>
      <c r="F357" s="1276"/>
      <c r="G357" s="1276"/>
      <c r="H357" s="1276"/>
      <c r="I357" s="1276"/>
      <c r="J357" s="1276"/>
      <c r="K357" s="1276"/>
      <c r="L357" s="1276"/>
      <c r="M357" s="1276"/>
      <c r="N357" s="1276"/>
      <c r="O357" s="1276"/>
      <c r="P357" s="193"/>
      <c r="Q357" s="194"/>
      <c r="R357" s="194"/>
      <c r="T357" s="190"/>
      <c r="U357" s="191"/>
    </row>
    <row r="358" spans="1:21">
      <c r="A358" s="192"/>
      <c r="B358" s="195" t="s">
        <v>1207</v>
      </c>
      <c r="C358" s="196"/>
      <c r="D358" s="197"/>
      <c r="E358" s="198"/>
      <c r="F358" s="197"/>
      <c r="G358" s="198"/>
      <c r="H358" s="197"/>
      <c r="I358" s="198"/>
      <c r="J358" s="197"/>
      <c r="K358" s="198"/>
      <c r="L358" s="199"/>
      <c r="M358" s="199" t="s">
        <v>1208</v>
      </c>
      <c r="N358" s="199">
        <v>146</v>
      </c>
      <c r="O358" s="155"/>
      <c r="P358" s="193"/>
      <c r="Q358" s="200"/>
      <c r="R358" s="194"/>
      <c r="T358" s="190"/>
      <c r="U358" s="191"/>
    </row>
    <row r="359" spans="1:21">
      <c r="A359" s="192"/>
      <c r="B359" s="195"/>
      <c r="C359" s="196"/>
      <c r="D359" s="197"/>
      <c r="E359" s="198"/>
      <c r="F359" s="197"/>
      <c r="G359" s="198"/>
      <c r="H359" s="197"/>
      <c r="I359" s="198"/>
      <c r="J359" s="197"/>
      <c r="K359" s="198"/>
      <c r="L359" s="199"/>
      <c r="M359" s="199"/>
      <c r="N359" s="201"/>
      <c r="O359" s="202"/>
      <c r="P359" s="193"/>
      <c r="Q359" s="200"/>
      <c r="R359" s="194"/>
      <c r="T359" s="190"/>
      <c r="U359" s="191"/>
    </row>
    <row r="360" spans="1:21">
      <c r="A360" s="192"/>
      <c r="B360" s="195"/>
      <c r="C360" s="196"/>
      <c r="D360" s="197"/>
      <c r="E360" s="198"/>
      <c r="F360" s="197"/>
      <c r="G360" s="198"/>
      <c r="H360" s="197"/>
      <c r="I360" s="198"/>
      <c r="J360" s="197"/>
      <c r="K360" s="198"/>
      <c r="L360" s="199" t="s">
        <v>1140</v>
      </c>
      <c r="M360" s="199" t="s">
        <v>1208</v>
      </c>
      <c r="N360" s="199">
        <f>SUM(N358:N359)</f>
        <v>146</v>
      </c>
      <c r="O360" s="155" t="e">
        <f>P356</f>
        <v>#REF!</v>
      </c>
      <c r="P360" s="193"/>
      <c r="Q360" s="200"/>
      <c r="R360" s="194"/>
      <c r="T360" s="190"/>
      <c r="U360" s="191"/>
    </row>
    <row r="361" spans="1:21">
      <c r="A361" s="192"/>
      <c r="B361" s="195"/>
      <c r="C361" s="196"/>
      <c r="D361" s="197"/>
      <c r="E361" s="198"/>
      <c r="F361" s="197"/>
      <c r="G361" s="198"/>
      <c r="H361" s="197"/>
      <c r="I361" s="198"/>
      <c r="J361" s="197"/>
      <c r="K361" s="198"/>
      <c r="L361" s="199"/>
      <c r="M361" s="199"/>
      <c r="N361" s="199"/>
      <c r="O361" s="155"/>
      <c r="P361" s="193"/>
      <c r="Q361" s="200"/>
      <c r="R361" s="194"/>
      <c r="T361" s="190"/>
      <c r="U361" s="191"/>
    </row>
    <row r="362" spans="1:21">
      <c r="A362" s="192"/>
      <c r="B362" s="1277" t="s">
        <v>1209</v>
      </c>
      <c r="C362" s="1277"/>
      <c r="D362" s="1277"/>
      <c r="E362" s="1277"/>
      <c r="F362" s="1277"/>
      <c r="G362" s="1277"/>
      <c r="H362" s="1277"/>
      <c r="I362" s="1277"/>
      <c r="J362" s="1277"/>
      <c r="K362" s="1277"/>
      <c r="L362" s="1277"/>
      <c r="M362" s="1277"/>
      <c r="N362" s="1277"/>
      <c r="O362" s="1277"/>
      <c r="P362" s="1277"/>
      <c r="Q362" s="203">
        <v>0</v>
      </c>
      <c r="R362" s="204">
        <f>Q362</f>
        <v>0</v>
      </c>
      <c r="T362" s="1278"/>
      <c r="U362" s="1279"/>
    </row>
    <row r="363" spans="1:21">
      <c r="A363" s="192"/>
      <c r="B363" s="1280" t="e">
        <f>med</f>
        <v>#NAME?</v>
      </c>
      <c r="C363" s="1280"/>
      <c r="D363" s="1280"/>
      <c r="E363" s="1280"/>
      <c r="F363" s="1280"/>
      <c r="G363" s="1280"/>
      <c r="H363" s="1280"/>
      <c r="I363" s="1280"/>
      <c r="J363" s="1280"/>
      <c r="K363" s="1280"/>
      <c r="L363" s="1280"/>
      <c r="M363" s="1280"/>
      <c r="N363" s="1280"/>
      <c r="O363" s="1280"/>
      <c r="P363" s="205">
        <f>N360</f>
        <v>146</v>
      </c>
      <c r="Q363" s="203">
        <f>P363</f>
        <v>146</v>
      </c>
      <c r="R363" s="204">
        <f>Q363+R362</f>
        <v>146</v>
      </c>
      <c r="T363" s="1278"/>
      <c r="U363" s="1279"/>
    </row>
    <row r="364" spans="1:21" ht="18" customHeight="1">
      <c r="A364" s="187" t="e">
        <f>#REF!</f>
        <v>#REF!</v>
      </c>
      <c r="B364" s="1275" t="e">
        <f>IF(A364="","",VLOOKUP($A364,'[2]FDE-JUNHO-08'!$A$6:$D$3537,2,FALSE()))</f>
        <v>#REF!</v>
      </c>
      <c r="C364" s="1275"/>
      <c r="D364" s="1275"/>
      <c r="E364" s="1275"/>
      <c r="F364" s="1275"/>
      <c r="G364" s="1275"/>
      <c r="H364" s="1275"/>
      <c r="I364" s="1275"/>
      <c r="J364" s="1275"/>
      <c r="K364" s="1275"/>
      <c r="L364" s="1275"/>
      <c r="M364" s="1275"/>
      <c r="N364" s="1275"/>
      <c r="O364" s="1275"/>
      <c r="P364" s="188" t="e">
        <f>IF(A364="","",VLOOKUP($A364,'[2]FDE-JUNHO-08'!$A$6:$D$3537,3,FALSE()))</f>
        <v>#REF!</v>
      </c>
      <c r="Q364" s="189" t="s">
        <v>1205</v>
      </c>
      <c r="R364" s="189" t="s">
        <v>1206</v>
      </c>
      <c r="T364" s="190"/>
      <c r="U364" s="191"/>
    </row>
    <row r="365" spans="1:21">
      <c r="A365" s="192"/>
      <c r="B365" s="1276"/>
      <c r="C365" s="1276"/>
      <c r="D365" s="1276"/>
      <c r="E365" s="1276"/>
      <c r="F365" s="1276"/>
      <c r="G365" s="1276"/>
      <c r="H365" s="1276"/>
      <c r="I365" s="1276"/>
      <c r="J365" s="1276"/>
      <c r="K365" s="1276"/>
      <c r="L365" s="1276"/>
      <c r="M365" s="1276"/>
      <c r="N365" s="1276"/>
      <c r="O365" s="1276"/>
      <c r="P365" s="193"/>
      <c r="Q365" s="194"/>
      <c r="R365" s="194"/>
      <c r="T365" s="190"/>
      <c r="U365" s="191"/>
    </row>
    <row r="366" spans="1:21">
      <c r="A366" s="192"/>
      <c r="B366" s="195" t="s">
        <v>1207</v>
      </c>
      <c r="C366" s="196"/>
      <c r="D366" s="197"/>
      <c r="E366" s="198"/>
      <c r="F366" s="197"/>
      <c r="G366" s="198"/>
      <c r="H366" s="197"/>
      <c r="I366" s="198"/>
      <c r="J366" s="197"/>
      <c r="K366" s="198"/>
      <c r="L366" s="199"/>
      <c r="M366" s="199" t="s">
        <v>1208</v>
      </c>
      <c r="N366" s="199">
        <f>PLANILHA!E59</f>
        <v>88.9</v>
      </c>
      <c r="O366" s="155"/>
      <c r="P366" s="193"/>
      <c r="Q366" s="200"/>
      <c r="R366" s="194"/>
      <c r="T366" s="190"/>
      <c r="U366" s="191"/>
    </row>
    <row r="367" spans="1:21">
      <c r="A367" s="192"/>
      <c r="B367" s="195"/>
      <c r="C367" s="196"/>
      <c r="D367" s="197"/>
      <c r="E367" s="198"/>
      <c r="F367" s="197"/>
      <c r="G367" s="198"/>
      <c r="H367" s="197"/>
      <c r="I367" s="198"/>
      <c r="J367" s="197"/>
      <c r="K367" s="198"/>
      <c r="L367" s="199"/>
      <c r="M367" s="199"/>
      <c r="N367" s="201"/>
      <c r="O367" s="202"/>
      <c r="P367" s="193"/>
      <c r="Q367" s="200"/>
      <c r="R367" s="194"/>
      <c r="T367" s="190"/>
      <c r="U367" s="191"/>
    </row>
    <row r="368" spans="1:21">
      <c r="A368" s="192"/>
      <c r="B368" s="195"/>
      <c r="C368" s="196"/>
      <c r="D368" s="197"/>
      <c r="E368" s="198"/>
      <c r="F368" s="197"/>
      <c r="G368" s="198"/>
      <c r="H368" s="197"/>
      <c r="I368" s="198"/>
      <c r="J368" s="197"/>
      <c r="K368" s="198"/>
      <c r="L368" s="199" t="s">
        <v>1140</v>
      </c>
      <c r="M368" s="199" t="s">
        <v>1208</v>
      </c>
      <c r="N368" s="199">
        <f>SUM(N366:N367)</f>
        <v>88.9</v>
      </c>
      <c r="O368" s="155" t="e">
        <f>P364</f>
        <v>#REF!</v>
      </c>
      <c r="P368" s="193"/>
      <c r="Q368" s="200"/>
      <c r="R368" s="194"/>
      <c r="T368" s="190"/>
      <c r="U368" s="191"/>
    </row>
    <row r="369" spans="1:21">
      <c r="A369" s="192"/>
      <c r="B369" s="195"/>
      <c r="C369" s="196"/>
      <c r="D369" s="197"/>
      <c r="E369" s="198"/>
      <c r="F369" s="197"/>
      <c r="G369" s="198"/>
      <c r="H369" s="197"/>
      <c r="I369" s="198"/>
      <c r="J369" s="197"/>
      <c r="K369" s="198"/>
      <c r="L369" s="199"/>
      <c r="M369" s="199"/>
      <c r="N369" s="199"/>
      <c r="O369" s="155"/>
      <c r="P369" s="193"/>
      <c r="Q369" s="200"/>
      <c r="R369" s="194"/>
      <c r="T369" s="190"/>
      <c r="U369" s="191"/>
    </row>
    <row r="370" spans="1:21">
      <c r="A370" s="192"/>
      <c r="B370" s="1277" t="s">
        <v>1209</v>
      </c>
      <c r="C370" s="1277"/>
      <c r="D370" s="1277"/>
      <c r="E370" s="1277"/>
      <c r="F370" s="1277"/>
      <c r="G370" s="1277"/>
      <c r="H370" s="1277"/>
      <c r="I370" s="1277"/>
      <c r="J370" s="1277"/>
      <c r="K370" s="1277"/>
      <c r="L370" s="1277"/>
      <c r="M370" s="1277"/>
      <c r="N370" s="1277"/>
      <c r="O370" s="1277"/>
      <c r="P370" s="1277"/>
      <c r="Q370" s="203">
        <v>0</v>
      </c>
      <c r="R370" s="204">
        <f>Q370</f>
        <v>0</v>
      </c>
      <c r="T370" s="1278"/>
      <c r="U370" s="1279"/>
    </row>
    <row r="371" spans="1:21">
      <c r="A371" s="192"/>
      <c r="B371" s="1280" t="e">
        <f>med</f>
        <v>#NAME?</v>
      </c>
      <c r="C371" s="1280"/>
      <c r="D371" s="1280"/>
      <c r="E371" s="1280"/>
      <c r="F371" s="1280"/>
      <c r="G371" s="1280"/>
      <c r="H371" s="1280"/>
      <c r="I371" s="1280"/>
      <c r="J371" s="1280"/>
      <c r="K371" s="1280"/>
      <c r="L371" s="1280"/>
      <c r="M371" s="1280"/>
      <c r="N371" s="1280"/>
      <c r="O371" s="1280"/>
      <c r="P371" s="205">
        <f>N368</f>
        <v>88.9</v>
      </c>
      <c r="Q371" s="203">
        <f>P371</f>
        <v>88.9</v>
      </c>
      <c r="R371" s="204">
        <f>Q371+R370</f>
        <v>88.9</v>
      </c>
      <c r="T371" s="1278"/>
      <c r="U371" s="1279"/>
    </row>
    <row r="372" spans="1:21" ht="18" customHeight="1">
      <c r="A372" s="187" t="e">
        <f>#REF!</f>
        <v>#REF!</v>
      </c>
      <c r="B372" s="1275" t="e">
        <f>IF(A372="","",VLOOKUP($A372,'[2]FDE-JUNHO-08'!$A$6:$D$3537,2,FALSE()))</f>
        <v>#REF!</v>
      </c>
      <c r="C372" s="1275"/>
      <c r="D372" s="1275"/>
      <c r="E372" s="1275"/>
      <c r="F372" s="1275"/>
      <c r="G372" s="1275"/>
      <c r="H372" s="1275"/>
      <c r="I372" s="1275"/>
      <c r="J372" s="1275"/>
      <c r="K372" s="1275"/>
      <c r="L372" s="1275"/>
      <c r="M372" s="1275"/>
      <c r="N372" s="1275"/>
      <c r="O372" s="1275"/>
      <c r="P372" s="188" t="e">
        <f>IF(A372="","",VLOOKUP($A372,'[2]FDE-JUNHO-08'!$A$6:$D$3537,3,FALSE()))</f>
        <v>#REF!</v>
      </c>
      <c r="Q372" s="189" t="s">
        <v>1205</v>
      </c>
      <c r="R372" s="189" t="s">
        <v>1206</v>
      </c>
      <c r="T372" s="190"/>
      <c r="U372" s="191"/>
    </row>
    <row r="373" spans="1:21">
      <c r="A373" s="192"/>
      <c r="B373" s="1276"/>
      <c r="C373" s="1276"/>
      <c r="D373" s="1276"/>
      <c r="E373" s="1276"/>
      <c r="F373" s="1276"/>
      <c r="G373" s="1276"/>
      <c r="H373" s="1276"/>
      <c r="I373" s="1276"/>
      <c r="J373" s="1276"/>
      <c r="K373" s="1276"/>
      <c r="L373" s="1276"/>
      <c r="M373" s="1276"/>
      <c r="N373" s="1276"/>
      <c r="O373" s="1276"/>
      <c r="P373" s="193"/>
      <c r="Q373" s="194"/>
      <c r="R373" s="194"/>
      <c r="T373" s="190"/>
      <c r="U373" s="191"/>
    </row>
    <row r="374" spans="1:21">
      <c r="A374" s="192"/>
      <c r="B374" s="195" t="s">
        <v>1207</v>
      </c>
      <c r="C374" s="196"/>
      <c r="D374" s="197"/>
      <c r="E374" s="198"/>
      <c r="F374" s="197"/>
      <c r="G374" s="198"/>
      <c r="H374" s="197"/>
      <c r="I374" s="198"/>
      <c r="J374" s="197"/>
      <c r="K374" s="198"/>
      <c r="L374" s="199"/>
      <c r="M374" s="199" t="s">
        <v>1208</v>
      </c>
      <c r="N374" s="199">
        <v>77.44</v>
      </c>
      <c r="O374" s="155"/>
      <c r="P374" s="193"/>
      <c r="Q374" s="200"/>
      <c r="R374" s="194"/>
      <c r="T374" s="190"/>
      <c r="U374" s="191"/>
    </row>
    <row r="375" spans="1:21">
      <c r="A375" s="192"/>
      <c r="B375" s="195"/>
      <c r="C375" s="196"/>
      <c r="D375" s="197"/>
      <c r="E375" s="198"/>
      <c r="F375" s="197"/>
      <c r="G375" s="198"/>
      <c r="H375" s="197"/>
      <c r="I375" s="198"/>
      <c r="J375" s="197"/>
      <c r="K375" s="198"/>
      <c r="L375" s="199"/>
      <c r="M375" s="199"/>
      <c r="N375" s="201"/>
      <c r="O375" s="202"/>
      <c r="P375" s="193"/>
      <c r="Q375" s="200"/>
      <c r="R375" s="194"/>
      <c r="T375" s="190"/>
      <c r="U375" s="191"/>
    </row>
    <row r="376" spans="1:21">
      <c r="A376" s="192"/>
      <c r="B376" s="195"/>
      <c r="C376" s="196"/>
      <c r="D376" s="197"/>
      <c r="E376" s="198"/>
      <c r="F376" s="197"/>
      <c r="G376" s="198"/>
      <c r="H376" s="197"/>
      <c r="I376" s="198"/>
      <c r="J376" s="197"/>
      <c r="K376" s="198"/>
      <c r="L376" s="199" t="s">
        <v>1140</v>
      </c>
      <c r="M376" s="199" t="s">
        <v>1208</v>
      </c>
      <c r="N376" s="199">
        <f>SUM(N374:N375)</f>
        <v>77.44</v>
      </c>
      <c r="O376" s="155" t="e">
        <f>P372</f>
        <v>#REF!</v>
      </c>
      <c r="P376" s="193"/>
      <c r="Q376" s="200"/>
      <c r="R376" s="194"/>
      <c r="T376" s="190"/>
      <c r="U376" s="191"/>
    </row>
    <row r="377" spans="1:21">
      <c r="A377" s="192"/>
      <c r="B377" s="195"/>
      <c r="C377" s="196"/>
      <c r="D377" s="197"/>
      <c r="E377" s="198"/>
      <c r="F377" s="197"/>
      <c r="G377" s="198"/>
      <c r="H377" s="197"/>
      <c r="I377" s="198"/>
      <c r="J377" s="197"/>
      <c r="K377" s="198"/>
      <c r="L377" s="199"/>
      <c r="M377" s="199"/>
      <c r="N377" s="199"/>
      <c r="O377" s="155"/>
      <c r="P377" s="193"/>
      <c r="Q377" s="200"/>
      <c r="R377" s="194"/>
      <c r="T377" s="190"/>
      <c r="U377" s="191"/>
    </row>
    <row r="378" spans="1:21">
      <c r="A378" s="192"/>
      <c r="B378" s="1277" t="s">
        <v>1209</v>
      </c>
      <c r="C378" s="1277"/>
      <c r="D378" s="1277"/>
      <c r="E378" s="1277"/>
      <c r="F378" s="1277"/>
      <c r="G378" s="1277"/>
      <c r="H378" s="1277"/>
      <c r="I378" s="1277"/>
      <c r="J378" s="1277"/>
      <c r="K378" s="1277"/>
      <c r="L378" s="1277"/>
      <c r="M378" s="1277"/>
      <c r="N378" s="1277"/>
      <c r="O378" s="1277"/>
      <c r="P378" s="1277"/>
      <c r="Q378" s="203">
        <v>0</v>
      </c>
      <c r="R378" s="204">
        <f>Q378</f>
        <v>0</v>
      </c>
      <c r="T378" s="1278"/>
      <c r="U378" s="1279"/>
    </row>
    <row r="379" spans="1:21">
      <c r="A379" s="192"/>
      <c r="B379" s="1280" t="e">
        <f>med</f>
        <v>#NAME?</v>
      </c>
      <c r="C379" s="1280"/>
      <c r="D379" s="1280"/>
      <c r="E379" s="1280"/>
      <c r="F379" s="1280"/>
      <c r="G379" s="1280"/>
      <c r="H379" s="1280"/>
      <c r="I379" s="1280"/>
      <c r="J379" s="1280"/>
      <c r="K379" s="1280"/>
      <c r="L379" s="1280"/>
      <c r="M379" s="1280"/>
      <c r="N379" s="1280"/>
      <c r="O379" s="1280"/>
      <c r="P379" s="205">
        <f>N376</f>
        <v>77.44</v>
      </c>
      <c r="Q379" s="203">
        <f>P379</f>
        <v>77.44</v>
      </c>
      <c r="R379" s="204">
        <f>Q379+R378</f>
        <v>77.44</v>
      </c>
      <c r="T379" s="1278"/>
      <c r="U379" s="1279"/>
    </row>
    <row r="380" spans="1:21" ht="18" customHeight="1">
      <c r="A380" s="187" t="e">
        <f>#REF!</f>
        <v>#REF!</v>
      </c>
      <c r="B380" s="1275" t="e">
        <f>IF(A380="","",VLOOKUP($A380,'[2]FDE-JUNHO-08'!$A$6:$D$3537,2,FALSE()))</f>
        <v>#REF!</v>
      </c>
      <c r="C380" s="1275"/>
      <c r="D380" s="1275"/>
      <c r="E380" s="1275"/>
      <c r="F380" s="1275"/>
      <c r="G380" s="1275"/>
      <c r="H380" s="1275"/>
      <c r="I380" s="1275"/>
      <c r="J380" s="1275"/>
      <c r="K380" s="1275"/>
      <c r="L380" s="1275"/>
      <c r="M380" s="1275"/>
      <c r="N380" s="1275"/>
      <c r="O380" s="1275"/>
      <c r="P380" s="188" t="e">
        <f>IF(A380="","",VLOOKUP($A380,'[2]FDE-JUNHO-08'!$A$6:$D$3537,3,FALSE()))</f>
        <v>#REF!</v>
      </c>
      <c r="Q380" s="189" t="s">
        <v>1205</v>
      </c>
      <c r="R380" s="189" t="s">
        <v>1206</v>
      </c>
      <c r="T380" s="190"/>
      <c r="U380" s="191"/>
    </row>
    <row r="381" spans="1:21">
      <c r="A381" s="192"/>
      <c r="B381" s="195"/>
      <c r="C381" s="196"/>
      <c r="D381" s="197"/>
      <c r="E381" s="198"/>
      <c r="F381" s="197"/>
      <c r="G381" s="198"/>
      <c r="H381" s="197"/>
      <c r="I381" s="207"/>
      <c r="J381" s="207"/>
      <c r="K381" s="208"/>
      <c r="L381" s="209"/>
      <c r="M381" s="209"/>
      <c r="N381" s="209"/>
      <c r="O381" s="155"/>
      <c r="P381" s="193"/>
      <c r="Q381" s="200"/>
      <c r="R381" s="194"/>
      <c r="T381" s="190"/>
      <c r="U381" s="191"/>
    </row>
    <row r="382" spans="1:21" ht="13.8">
      <c r="A382" s="192"/>
      <c r="B382" s="210" t="s">
        <v>1207</v>
      </c>
      <c r="C382" s="196"/>
      <c r="D382" s="197"/>
      <c r="E382" s="198"/>
      <c r="F382" s="197"/>
      <c r="G382" s="198"/>
      <c r="H382" s="197"/>
      <c r="I382" s="198"/>
      <c r="J382" s="197"/>
      <c r="K382" s="198"/>
      <c r="L382" s="199"/>
      <c r="M382" s="199" t="s">
        <v>1208</v>
      </c>
      <c r="N382" s="199">
        <v>94.6</v>
      </c>
      <c r="O382" s="155"/>
      <c r="P382" s="193"/>
      <c r="Q382" s="200"/>
      <c r="R382" s="194"/>
      <c r="T382" s="190"/>
      <c r="U382" s="191"/>
    </row>
    <row r="383" spans="1:21">
      <c r="A383" s="192"/>
      <c r="B383" s="195"/>
      <c r="C383" s="196"/>
      <c r="D383" s="197"/>
      <c r="E383" s="198"/>
      <c r="F383" s="197"/>
      <c r="G383" s="198"/>
      <c r="H383" s="197"/>
      <c r="I383" s="198"/>
      <c r="J383" s="197"/>
      <c r="K383" s="198"/>
      <c r="L383" s="199"/>
      <c r="M383" s="199"/>
      <c r="N383" s="201"/>
      <c r="O383" s="202"/>
      <c r="P383" s="193"/>
      <c r="Q383" s="200"/>
      <c r="R383" s="194"/>
      <c r="T383" s="190"/>
      <c r="U383" s="191"/>
    </row>
    <row r="384" spans="1:21">
      <c r="A384" s="192"/>
      <c r="B384" s="195"/>
      <c r="C384" s="196"/>
      <c r="D384" s="197"/>
      <c r="E384" s="198"/>
      <c r="F384" s="197"/>
      <c r="G384" s="198"/>
      <c r="H384" s="197"/>
      <c r="I384" s="198"/>
      <c r="J384" s="197"/>
      <c r="K384" s="198"/>
      <c r="L384" s="199" t="s">
        <v>1140</v>
      </c>
      <c r="M384" s="199" t="s">
        <v>1208</v>
      </c>
      <c r="N384" s="199">
        <f>SUM(N382:N383)</f>
        <v>94.6</v>
      </c>
      <c r="O384" s="155" t="e">
        <f>P380</f>
        <v>#REF!</v>
      </c>
      <c r="P384" s="193"/>
      <c r="Q384" s="200"/>
      <c r="R384" s="194"/>
      <c r="T384" s="190"/>
      <c r="U384" s="191"/>
    </row>
    <row r="385" spans="1:21">
      <c r="A385" s="192"/>
      <c r="B385" s="195"/>
      <c r="C385" s="196"/>
      <c r="D385" s="197"/>
      <c r="E385" s="198"/>
      <c r="F385" s="197"/>
      <c r="G385" s="198"/>
      <c r="H385" s="197"/>
      <c r="I385" s="198"/>
      <c r="J385" s="197"/>
      <c r="K385" s="198"/>
      <c r="L385" s="199"/>
      <c r="M385" s="199"/>
      <c r="N385" s="199"/>
      <c r="O385" s="155"/>
      <c r="P385" s="193"/>
      <c r="Q385" s="200"/>
      <c r="R385" s="194"/>
      <c r="T385" s="190"/>
      <c r="U385" s="191"/>
    </row>
    <row r="386" spans="1:21">
      <c r="A386" s="192"/>
      <c r="B386" s="1277" t="s">
        <v>1209</v>
      </c>
      <c r="C386" s="1277"/>
      <c r="D386" s="1277"/>
      <c r="E386" s="1277"/>
      <c r="F386" s="1277"/>
      <c r="G386" s="1277"/>
      <c r="H386" s="1277"/>
      <c r="I386" s="1277"/>
      <c r="J386" s="1277"/>
      <c r="K386" s="1277"/>
      <c r="L386" s="1277"/>
      <c r="M386" s="1277"/>
      <c r="N386" s="1277"/>
      <c r="O386" s="1277"/>
      <c r="P386" s="1277"/>
      <c r="Q386" s="203">
        <v>0</v>
      </c>
      <c r="R386" s="204">
        <f>Q386</f>
        <v>0</v>
      </c>
      <c r="T386" s="1278"/>
      <c r="U386" s="1279"/>
    </row>
    <row r="387" spans="1:21">
      <c r="A387" s="192"/>
      <c r="B387" s="1280" t="e">
        <f>med</f>
        <v>#NAME?</v>
      </c>
      <c r="C387" s="1280"/>
      <c r="D387" s="1280"/>
      <c r="E387" s="1280"/>
      <c r="F387" s="1280"/>
      <c r="G387" s="1280"/>
      <c r="H387" s="1280"/>
      <c r="I387" s="1280"/>
      <c r="J387" s="1280"/>
      <c r="K387" s="1280"/>
      <c r="L387" s="1280"/>
      <c r="M387" s="1280"/>
      <c r="N387" s="1280"/>
      <c r="O387" s="1280"/>
      <c r="P387" s="205">
        <f>N384</f>
        <v>94.6</v>
      </c>
      <c r="Q387" s="203">
        <f>P387</f>
        <v>94.6</v>
      </c>
      <c r="R387" s="204">
        <f>Q387+R386</f>
        <v>94.6</v>
      </c>
      <c r="T387" s="1278"/>
      <c r="U387" s="1279"/>
    </row>
    <row r="388" spans="1:21" ht="18" customHeight="1">
      <c r="A388" s="187" t="e">
        <f>#REF!</f>
        <v>#REF!</v>
      </c>
      <c r="B388" s="1275" t="e">
        <f>IF(A388="","",VLOOKUP($A388,'[2]FDE-JUNHO-08'!$A$6:$D$3537,2,FALSE()))</f>
        <v>#REF!</v>
      </c>
      <c r="C388" s="1275"/>
      <c r="D388" s="1275"/>
      <c r="E388" s="1275"/>
      <c r="F388" s="1275"/>
      <c r="G388" s="1275"/>
      <c r="H388" s="1275"/>
      <c r="I388" s="1275"/>
      <c r="J388" s="1275"/>
      <c r="K388" s="1275"/>
      <c r="L388" s="1275"/>
      <c r="M388" s="1275"/>
      <c r="N388" s="1275"/>
      <c r="O388" s="1275"/>
      <c r="P388" s="188" t="e">
        <f>IF(A388="","",VLOOKUP($A388,'[2]FDE-JUNHO-08'!$A$6:$D$3537,3,FALSE()))</f>
        <v>#REF!</v>
      </c>
      <c r="Q388" s="189" t="s">
        <v>1205</v>
      </c>
      <c r="R388" s="189" t="s">
        <v>1206</v>
      </c>
      <c r="T388" s="190"/>
      <c r="U388" s="191"/>
    </row>
    <row r="389" spans="1:21">
      <c r="A389" s="192"/>
      <c r="B389" s="1276"/>
      <c r="C389" s="1276"/>
      <c r="D389" s="1276"/>
      <c r="E389" s="1276"/>
      <c r="F389" s="1276"/>
      <c r="G389" s="1276"/>
      <c r="H389" s="1276"/>
      <c r="I389" s="1276"/>
      <c r="J389" s="1276"/>
      <c r="K389" s="1276"/>
      <c r="L389" s="1276"/>
      <c r="M389" s="1276"/>
      <c r="N389" s="1276"/>
      <c r="O389" s="1276"/>
      <c r="P389" s="193"/>
      <c r="Q389" s="194"/>
      <c r="R389" s="194"/>
      <c r="T389" s="190"/>
      <c r="U389" s="191"/>
    </row>
    <row r="390" spans="1:21" ht="13.8">
      <c r="A390" s="192"/>
      <c r="B390" s="210" t="s">
        <v>1207</v>
      </c>
      <c r="C390" s="196"/>
      <c r="D390" s="197"/>
      <c r="E390" s="198"/>
      <c r="F390" s="197"/>
      <c r="G390" s="198"/>
      <c r="H390" s="197"/>
      <c r="I390" s="198"/>
      <c r="J390" s="197"/>
      <c r="K390" s="198"/>
      <c r="L390" s="199"/>
      <c r="M390" s="199" t="s">
        <v>1208</v>
      </c>
      <c r="N390" s="199">
        <v>162</v>
      </c>
      <c r="O390" s="155"/>
      <c r="P390" s="193"/>
      <c r="Q390" s="200"/>
      <c r="R390" s="194"/>
      <c r="T390" s="190"/>
      <c r="U390" s="191"/>
    </row>
    <row r="391" spans="1:21">
      <c r="A391" s="192"/>
      <c r="B391" s="195"/>
      <c r="C391" s="196"/>
      <c r="D391" s="197"/>
      <c r="E391" s="198"/>
      <c r="F391" s="197"/>
      <c r="G391" s="198"/>
      <c r="H391" s="197"/>
      <c r="I391" s="198"/>
      <c r="J391" s="197"/>
      <c r="K391" s="198"/>
      <c r="L391" s="199"/>
      <c r="M391" s="199"/>
      <c r="N391" s="201"/>
      <c r="O391" s="202"/>
      <c r="P391" s="193"/>
      <c r="Q391" s="200"/>
      <c r="R391" s="194"/>
      <c r="T391" s="190"/>
      <c r="U391" s="191"/>
    </row>
    <row r="392" spans="1:21">
      <c r="A392" s="192"/>
      <c r="B392" s="195"/>
      <c r="C392" s="196"/>
      <c r="D392" s="197"/>
      <c r="E392" s="198"/>
      <c r="F392" s="197"/>
      <c r="G392" s="198"/>
      <c r="H392" s="197"/>
      <c r="I392" s="198"/>
      <c r="J392" s="197"/>
      <c r="K392" s="198"/>
      <c r="L392" s="199" t="s">
        <v>1140</v>
      </c>
      <c r="M392" s="199" t="s">
        <v>1208</v>
      </c>
      <c r="N392" s="199">
        <f>SUM(N390:N391)</f>
        <v>162</v>
      </c>
      <c r="O392" s="155" t="e">
        <f>P388</f>
        <v>#REF!</v>
      </c>
      <c r="P392" s="193"/>
      <c r="Q392" s="200"/>
      <c r="R392" s="194"/>
      <c r="T392" s="190"/>
      <c r="U392" s="191"/>
    </row>
    <row r="393" spans="1:21">
      <c r="A393" s="192"/>
      <c r="B393" s="195"/>
      <c r="C393" s="196"/>
      <c r="D393" s="197"/>
      <c r="E393" s="198"/>
      <c r="F393" s="197"/>
      <c r="G393" s="198"/>
      <c r="H393" s="197"/>
      <c r="I393" s="198"/>
      <c r="J393" s="197"/>
      <c r="K393" s="198"/>
      <c r="L393" s="199"/>
      <c r="M393" s="199"/>
      <c r="N393" s="199"/>
      <c r="O393" s="155"/>
      <c r="P393" s="193"/>
      <c r="Q393" s="200"/>
      <c r="R393" s="194"/>
      <c r="T393" s="190"/>
      <c r="U393" s="191"/>
    </row>
    <row r="394" spans="1:21">
      <c r="A394" s="192"/>
      <c r="B394" s="1277" t="s">
        <v>1209</v>
      </c>
      <c r="C394" s="1277"/>
      <c r="D394" s="1277"/>
      <c r="E394" s="1277"/>
      <c r="F394" s="1277"/>
      <c r="G394" s="1277"/>
      <c r="H394" s="1277"/>
      <c r="I394" s="1277"/>
      <c r="J394" s="1277"/>
      <c r="K394" s="1277"/>
      <c r="L394" s="1277"/>
      <c r="M394" s="1277"/>
      <c r="N394" s="1277"/>
      <c r="O394" s="1277"/>
      <c r="P394" s="1277"/>
      <c r="Q394" s="203">
        <v>0</v>
      </c>
      <c r="R394" s="204">
        <f>Q394</f>
        <v>0</v>
      </c>
      <c r="T394" s="1278"/>
      <c r="U394" s="1279"/>
    </row>
    <row r="395" spans="1:21">
      <c r="A395" s="192"/>
      <c r="B395" s="1277" t="e">
        <f>med</f>
        <v>#NAME?</v>
      </c>
      <c r="C395" s="1277"/>
      <c r="D395" s="1277"/>
      <c r="E395" s="1277"/>
      <c r="F395" s="1277"/>
      <c r="G395" s="1277"/>
      <c r="H395" s="1277"/>
      <c r="I395" s="1277"/>
      <c r="J395" s="1277"/>
      <c r="K395" s="1277"/>
      <c r="L395" s="1277"/>
      <c r="M395" s="1277"/>
      <c r="N395" s="1277"/>
      <c r="O395" s="1277"/>
      <c r="P395" s="205">
        <f>N392</f>
        <v>162</v>
      </c>
      <c r="Q395" s="203">
        <f>P395</f>
        <v>162</v>
      </c>
      <c r="R395" s="204">
        <f>Q395+R394</f>
        <v>162</v>
      </c>
      <c r="T395" s="1278"/>
      <c r="U395" s="1279"/>
    </row>
    <row r="396" spans="1:21" ht="18" customHeight="1">
      <c r="A396" s="187" t="e">
        <f>#REF!</f>
        <v>#REF!</v>
      </c>
      <c r="B396" s="1275" t="e">
        <f>IF(A396="","",VLOOKUP($A396,'[2]FDE-JUNHO-08'!$A$6:$D$3537,2,FALSE()))</f>
        <v>#REF!</v>
      </c>
      <c r="C396" s="1275"/>
      <c r="D396" s="1275"/>
      <c r="E396" s="1275"/>
      <c r="F396" s="1275"/>
      <c r="G396" s="1275"/>
      <c r="H396" s="1275"/>
      <c r="I396" s="1275"/>
      <c r="J396" s="1275"/>
      <c r="K396" s="1275"/>
      <c r="L396" s="1275"/>
      <c r="M396" s="1275"/>
      <c r="N396" s="1275"/>
      <c r="O396" s="1275"/>
      <c r="P396" s="188" t="e">
        <f>IF(A396="","",VLOOKUP($A396,'[2]FDE-JUNHO-08'!$A$6:$D$3537,3,FALSE()))</f>
        <v>#REF!</v>
      </c>
      <c r="Q396" s="189" t="s">
        <v>1205</v>
      </c>
      <c r="R396" s="189" t="s">
        <v>1206</v>
      </c>
      <c r="T396" s="190"/>
      <c r="U396" s="191"/>
    </row>
    <row r="397" spans="1:21">
      <c r="A397" s="192"/>
      <c r="B397" s="1281"/>
      <c r="C397" s="1281"/>
      <c r="D397" s="1281"/>
      <c r="E397" s="1281"/>
      <c r="F397" s="1281"/>
      <c r="G397" s="1281"/>
      <c r="H397" s="1281"/>
      <c r="I397" s="1281"/>
      <c r="J397" s="1281"/>
      <c r="K397" s="1281"/>
      <c r="L397" s="1281"/>
      <c r="M397" s="1281"/>
      <c r="N397" s="1281"/>
      <c r="O397" s="1281"/>
      <c r="P397" s="193"/>
      <c r="Q397" s="194"/>
      <c r="R397" s="194"/>
      <c r="T397" s="190"/>
      <c r="U397" s="191"/>
    </row>
    <row r="398" spans="1:21">
      <c r="A398" s="192"/>
      <c r="B398" s="216" t="s">
        <v>1219</v>
      </c>
      <c r="C398" s="196"/>
      <c r="D398" s="197"/>
      <c r="E398" s="198"/>
      <c r="F398" s="197"/>
      <c r="G398" s="198"/>
      <c r="H398" s="197"/>
      <c r="I398" s="198"/>
      <c r="J398" s="197"/>
      <c r="K398" s="198"/>
      <c r="L398" s="199"/>
      <c r="M398" s="199" t="s">
        <v>1208</v>
      </c>
      <c r="N398" s="199">
        <v>6</v>
      </c>
      <c r="O398" s="217"/>
      <c r="P398" s="193"/>
      <c r="Q398" s="200"/>
      <c r="R398" s="194"/>
      <c r="T398" s="190"/>
      <c r="U398" s="191"/>
    </row>
    <row r="399" spans="1:21">
      <c r="A399" s="192"/>
      <c r="B399" s="216" t="s">
        <v>1220</v>
      </c>
      <c r="C399" s="196"/>
      <c r="D399" s="197"/>
      <c r="E399" s="198"/>
      <c r="F399" s="197"/>
      <c r="G399" s="198"/>
      <c r="H399" s="197"/>
      <c r="I399" s="198"/>
      <c r="J399" s="197"/>
      <c r="K399" s="198"/>
      <c r="L399" s="199"/>
      <c r="M399" s="199" t="s">
        <v>1208</v>
      </c>
      <c r="N399" s="199">
        <v>5</v>
      </c>
      <c r="O399" s="217"/>
      <c r="P399" s="193"/>
      <c r="Q399" s="200"/>
      <c r="R399" s="194"/>
      <c r="T399" s="190"/>
      <c r="U399" s="191"/>
    </row>
    <row r="400" spans="1:21">
      <c r="A400" s="192"/>
      <c r="B400" s="216"/>
      <c r="C400" s="196"/>
      <c r="D400" s="197"/>
      <c r="E400" s="198"/>
      <c r="F400" s="197"/>
      <c r="G400" s="198"/>
      <c r="H400" s="197"/>
      <c r="I400" s="198"/>
      <c r="J400" s="197"/>
      <c r="K400" s="198"/>
      <c r="L400" s="199"/>
      <c r="M400" s="199"/>
      <c r="N400" s="201"/>
      <c r="O400" s="202"/>
      <c r="P400" s="193"/>
      <c r="Q400" s="200"/>
      <c r="R400" s="194"/>
      <c r="T400" s="190"/>
      <c r="U400" s="191"/>
    </row>
    <row r="401" spans="1:21">
      <c r="A401" s="192"/>
      <c r="B401" s="216"/>
      <c r="C401" s="196"/>
      <c r="D401" s="197"/>
      <c r="E401" s="198"/>
      <c r="F401" s="197"/>
      <c r="G401" s="198"/>
      <c r="H401" s="197"/>
      <c r="I401" s="198"/>
      <c r="J401" s="197"/>
      <c r="K401" s="198"/>
      <c r="L401" s="199" t="s">
        <v>1140</v>
      </c>
      <c r="M401" s="199" t="s">
        <v>1208</v>
      </c>
      <c r="N401" s="199">
        <f>SUM(N398:N399)</f>
        <v>11</v>
      </c>
      <c r="O401" s="217" t="e">
        <f>P396</f>
        <v>#REF!</v>
      </c>
      <c r="P401" s="193"/>
      <c r="Q401" s="200"/>
      <c r="R401" s="194"/>
      <c r="T401" s="190"/>
      <c r="U401" s="191"/>
    </row>
    <row r="402" spans="1:21">
      <c r="A402" s="192"/>
      <c r="B402" s="195"/>
      <c r="C402" s="196"/>
      <c r="D402" s="197"/>
      <c r="E402" s="198"/>
      <c r="F402" s="197"/>
      <c r="G402" s="198"/>
      <c r="H402" s="197"/>
      <c r="I402" s="198"/>
      <c r="J402" s="197"/>
      <c r="K402" s="198"/>
      <c r="L402" s="199"/>
      <c r="M402" s="199"/>
      <c r="N402" s="199"/>
      <c r="O402" s="155"/>
      <c r="P402" s="193"/>
      <c r="Q402" s="200"/>
      <c r="R402" s="194"/>
      <c r="T402" s="190"/>
      <c r="U402" s="191"/>
    </row>
    <row r="403" spans="1:21">
      <c r="A403" s="192"/>
      <c r="B403" s="1277" t="s">
        <v>1209</v>
      </c>
      <c r="C403" s="1277"/>
      <c r="D403" s="1277"/>
      <c r="E403" s="1277"/>
      <c r="F403" s="1277"/>
      <c r="G403" s="1277"/>
      <c r="H403" s="1277"/>
      <c r="I403" s="1277"/>
      <c r="J403" s="1277"/>
      <c r="K403" s="1277"/>
      <c r="L403" s="1277"/>
      <c r="M403" s="1277"/>
      <c r="N403" s="1277"/>
      <c r="O403" s="1277"/>
      <c r="P403" s="1277"/>
      <c r="Q403" s="203">
        <v>0</v>
      </c>
      <c r="R403" s="204">
        <f>Q403</f>
        <v>0</v>
      </c>
      <c r="T403" s="1278"/>
      <c r="U403" s="1279"/>
    </row>
    <row r="404" spans="1:21">
      <c r="A404" s="206"/>
      <c r="B404" s="1277" t="e">
        <f>med</f>
        <v>#NAME?</v>
      </c>
      <c r="C404" s="1277"/>
      <c r="D404" s="1277"/>
      <c r="E404" s="1277"/>
      <c r="F404" s="1277"/>
      <c r="G404" s="1277"/>
      <c r="H404" s="1277"/>
      <c r="I404" s="1277"/>
      <c r="J404" s="1277"/>
      <c r="K404" s="1277"/>
      <c r="L404" s="1277"/>
      <c r="M404" s="1277"/>
      <c r="N404" s="1277"/>
      <c r="O404" s="1277"/>
      <c r="P404" s="205">
        <f>N401</f>
        <v>11</v>
      </c>
      <c r="Q404" s="203">
        <f>P404</f>
        <v>11</v>
      </c>
      <c r="R404" s="204">
        <f>Q404+R403</f>
        <v>11</v>
      </c>
      <c r="T404" s="1278"/>
      <c r="U404" s="1279"/>
    </row>
    <row r="405" spans="1:21" ht="18" customHeight="1">
      <c r="A405" s="187" t="e">
        <f>#REF!</f>
        <v>#REF!</v>
      </c>
      <c r="B405" s="1275" t="e">
        <f>IF(A405="","",VLOOKUP($A405,'[2]FDE-JUNHO-08'!$A$6:$D$3537,2,FALSE()))</f>
        <v>#REF!</v>
      </c>
      <c r="C405" s="1275"/>
      <c r="D405" s="1275"/>
      <c r="E405" s="1275"/>
      <c r="F405" s="1275"/>
      <c r="G405" s="1275"/>
      <c r="H405" s="1275"/>
      <c r="I405" s="1275"/>
      <c r="J405" s="1275"/>
      <c r="K405" s="1275"/>
      <c r="L405" s="1275"/>
      <c r="M405" s="1275"/>
      <c r="N405" s="1275"/>
      <c r="O405" s="1275"/>
      <c r="P405" s="188" t="e">
        <f>IF(A405="","",VLOOKUP($A405,'[2]FDE-JUNHO-08'!$A$6:$D$3537,3,FALSE()))</f>
        <v>#REF!</v>
      </c>
      <c r="Q405" s="189" t="s">
        <v>1205</v>
      </c>
      <c r="R405" s="189" t="s">
        <v>1206</v>
      </c>
      <c r="T405" s="190"/>
      <c r="U405" s="191"/>
    </row>
    <row r="406" spans="1:21">
      <c r="A406" s="192"/>
      <c r="B406" s="1281"/>
      <c r="C406" s="1281"/>
      <c r="D406" s="1281"/>
      <c r="E406" s="1281"/>
      <c r="F406" s="1281"/>
      <c r="G406" s="1281"/>
      <c r="H406" s="1281"/>
      <c r="I406" s="1281"/>
      <c r="J406" s="1281"/>
      <c r="K406" s="1281"/>
      <c r="L406" s="1281"/>
      <c r="M406" s="1281"/>
      <c r="N406" s="1281"/>
      <c r="O406" s="1281"/>
      <c r="P406" s="193"/>
      <c r="Q406" s="194"/>
      <c r="R406" s="194"/>
      <c r="T406" s="190"/>
      <c r="U406" s="191"/>
    </row>
    <row r="407" spans="1:21">
      <c r="A407" s="192"/>
      <c r="B407" s="216" t="s">
        <v>1221</v>
      </c>
      <c r="C407" s="196"/>
      <c r="D407" s="197"/>
      <c r="E407" s="198"/>
      <c r="F407" s="197"/>
      <c r="G407" s="198"/>
      <c r="H407" s="197"/>
      <c r="I407" s="198"/>
      <c r="J407" s="197"/>
      <c r="K407" s="198"/>
      <c r="L407" s="199"/>
      <c r="M407" s="199" t="s">
        <v>1208</v>
      </c>
      <c r="N407" s="199">
        <v>5</v>
      </c>
      <c r="O407" s="217"/>
      <c r="P407" s="193"/>
      <c r="Q407" s="200"/>
      <c r="R407" s="194"/>
      <c r="T407" s="190"/>
      <c r="U407" s="191"/>
    </row>
    <row r="408" spans="1:21">
      <c r="A408" s="192"/>
      <c r="B408" s="216" t="s">
        <v>1222</v>
      </c>
      <c r="C408" s="196"/>
      <c r="D408" s="197"/>
      <c r="E408" s="198"/>
      <c r="F408" s="197"/>
      <c r="G408" s="198"/>
      <c r="H408" s="197"/>
      <c r="I408" s="198"/>
      <c r="J408" s="197"/>
      <c r="K408" s="198"/>
      <c r="L408" s="199"/>
      <c r="M408" s="199" t="s">
        <v>1208</v>
      </c>
      <c r="N408" s="199">
        <v>6</v>
      </c>
      <c r="O408" s="217"/>
      <c r="P408" s="193"/>
      <c r="Q408" s="200"/>
      <c r="R408" s="194"/>
      <c r="T408" s="190"/>
      <c r="U408" s="191"/>
    </row>
    <row r="409" spans="1:21">
      <c r="A409" s="192"/>
      <c r="B409" s="216"/>
      <c r="C409" s="196"/>
      <c r="D409" s="197"/>
      <c r="E409" s="198"/>
      <c r="F409" s="197"/>
      <c r="G409" s="198"/>
      <c r="H409" s="197"/>
      <c r="I409" s="198"/>
      <c r="J409" s="197"/>
      <c r="K409" s="198"/>
      <c r="L409" s="199"/>
      <c r="M409" s="199"/>
      <c r="N409" s="201"/>
      <c r="O409" s="202"/>
      <c r="P409" s="193"/>
      <c r="Q409" s="200"/>
      <c r="R409" s="194"/>
      <c r="T409" s="190"/>
      <c r="U409" s="191"/>
    </row>
    <row r="410" spans="1:21">
      <c r="A410" s="192"/>
      <c r="B410" s="216"/>
      <c r="C410" s="196"/>
      <c r="D410" s="197"/>
      <c r="E410" s="198"/>
      <c r="F410" s="197"/>
      <c r="G410" s="198"/>
      <c r="H410" s="197"/>
      <c r="I410" s="198"/>
      <c r="J410" s="197"/>
      <c r="K410" s="198"/>
      <c r="L410" s="199" t="s">
        <v>1140</v>
      </c>
      <c r="M410" s="199" t="s">
        <v>1208</v>
      </c>
      <c r="N410" s="199">
        <f>SUM(N407:N408)</f>
        <v>11</v>
      </c>
      <c r="O410" s="217" t="e">
        <f>P405</f>
        <v>#REF!</v>
      </c>
      <c r="P410" s="193"/>
      <c r="Q410" s="200"/>
      <c r="R410" s="194"/>
      <c r="T410" s="190"/>
      <c r="U410" s="191"/>
    </row>
    <row r="411" spans="1:21">
      <c r="A411" s="192"/>
      <c r="B411" s="195"/>
      <c r="C411" s="196"/>
      <c r="D411" s="197"/>
      <c r="E411" s="198"/>
      <c r="F411" s="197"/>
      <c r="G411" s="198"/>
      <c r="H411" s="197"/>
      <c r="I411" s="198"/>
      <c r="J411" s="197"/>
      <c r="K411" s="198"/>
      <c r="L411" s="199"/>
      <c r="M411" s="199"/>
      <c r="N411" s="199"/>
      <c r="O411" s="155"/>
      <c r="P411" s="193"/>
      <c r="Q411" s="200"/>
      <c r="R411" s="194"/>
      <c r="T411" s="190"/>
      <c r="U411" s="191"/>
    </row>
    <row r="412" spans="1:21">
      <c r="A412" s="192"/>
      <c r="B412" s="1277" t="s">
        <v>1209</v>
      </c>
      <c r="C412" s="1277"/>
      <c r="D412" s="1277"/>
      <c r="E412" s="1277"/>
      <c r="F412" s="1277"/>
      <c r="G412" s="1277"/>
      <c r="H412" s="1277"/>
      <c r="I412" s="1277"/>
      <c r="J412" s="1277"/>
      <c r="K412" s="1277"/>
      <c r="L412" s="1277"/>
      <c r="M412" s="1277"/>
      <c r="N412" s="1277"/>
      <c r="O412" s="1277"/>
      <c r="P412" s="1277"/>
      <c r="Q412" s="203">
        <v>0</v>
      </c>
      <c r="R412" s="204">
        <f>Q412</f>
        <v>0</v>
      </c>
      <c r="T412" s="1278"/>
      <c r="U412" s="1279"/>
    </row>
    <row r="413" spans="1:21">
      <c r="A413" s="192"/>
      <c r="B413" s="1277" t="e">
        <f>med</f>
        <v>#NAME?</v>
      </c>
      <c r="C413" s="1277"/>
      <c r="D413" s="1277"/>
      <c r="E413" s="1277"/>
      <c r="F413" s="1277"/>
      <c r="G413" s="1277"/>
      <c r="H413" s="1277"/>
      <c r="I413" s="1277"/>
      <c r="J413" s="1277"/>
      <c r="K413" s="1277"/>
      <c r="L413" s="1277"/>
      <c r="M413" s="1277"/>
      <c r="N413" s="1277"/>
      <c r="O413" s="1277"/>
      <c r="P413" s="205">
        <f>N410</f>
        <v>11</v>
      </c>
      <c r="Q413" s="203">
        <f>P413</f>
        <v>11</v>
      </c>
      <c r="R413" s="204">
        <f>Q413+R412</f>
        <v>11</v>
      </c>
      <c r="T413" s="1278"/>
      <c r="U413" s="1279"/>
    </row>
    <row r="414" spans="1:21" ht="18" customHeight="1">
      <c r="A414" s="187" t="e">
        <f>#REF!</f>
        <v>#REF!</v>
      </c>
      <c r="B414" s="1275" t="e">
        <f>IF(A414="","",VLOOKUP($A414,'[2]FDE-JUNHO-08'!$A$6:$D$3537,2,FALSE()))</f>
        <v>#REF!</v>
      </c>
      <c r="C414" s="1275"/>
      <c r="D414" s="1275"/>
      <c r="E414" s="1275"/>
      <c r="F414" s="1275"/>
      <c r="G414" s="1275"/>
      <c r="H414" s="1275"/>
      <c r="I414" s="1275"/>
      <c r="J414" s="1275"/>
      <c r="K414" s="1275"/>
      <c r="L414" s="1275"/>
      <c r="M414" s="1275"/>
      <c r="N414" s="1275"/>
      <c r="O414" s="1275"/>
      <c r="P414" s="188" t="e">
        <f>IF(A414="","",VLOOKUP($A414,'[2]FDE-JUNHO-08'!$A$6:$D$3537,3,FALSE()))</f>
        <v>#REF!</v>
      </c>
      <c r="Q414" s="189" t="s">
        <v>1205</v>
      </c>
      <c r="R414" s="189" t="s">
        <v>1206</v>
      </c>
      <c r="T414" s="190"/>
      <c r="U414" s="191"/>
    </row>
    <row r="415" spans="1:21">
      <c r="A415" s="192"/>
      <c r="B415" s="1281"/>
      <c r="C415" s="1281"/>
      <c r="D415" s="1281"/>
      <c r="E415" s="1281"/>
      <c r="F415" s="1281"/>
      <c r="G415" s="1281"/>
      <c r="H415" s="1281"/>
      <c r="I415" s="1281"/>
      <c r="J415" s="1281"/>
      <c r="K415" s="1281"/>
      <c r="L415" s="1281"/>
      <c r="M415" s="1281"/>
      <c r="N415" s="1281"/>
      <c r="O415" s="1281"/>
      <c r="P415" s="193"/>
      <c r="Q415" s="194"/>
      <c r="R415" s="194"/>
      <c r="T415" s="190"/>
      <c r="U415" s="191"/>
    </row>
    <row r="416" spans="1:21">
      <c r="A416" s="192"/>
      <c r="B416" s="195" t="s">
        <v>1207</v>
      </c>
      <c r="C416" s="196"/>
      <c r="D416" s="197"/>
      <c r="E416" s="198"/>
      <c r="F416" s="197"/>
      <c r="G416" s="198"/>
      <c r="H416" s="197"/>
      <c r="I416" s="198"/>
      <c r="J416" s="197"/>
      <c r="K416" s="198"/>
      <c r="L416" s="199"/>
      <c r="M416" s="199" t="s">
        <v>1208</v>
      </c>
      <c r="N416" s="199">
        <v>15</v>
      </c>
      <c r="O416" s="155"/>
      <c r="P416" s="193"/>
      <c r="Q416" s="200"/>
      <c r="R416" s="194"/>
      <c r="T416" s="190"/>
      <c r="U416" s="191"/>
    </row>
    <row r="417" spans="1:21">
      <c r="A417" s="192"/>
      <c r="B417" s="195"/>
      <c r="C417" s="196"/>
      <c r="D417" s="197"/>
      <c r="E417" s="198"/>
      <c r="F417" s="197"/>
      <c r="G417" s="198"/>
      <c r="H417" s="197"/>
      <c r="I417" s="198"/>
      <c r="J417" s="197"/>
      <c r="K417" s="198"/>
      <c r="L417" s="199"/>
      <c r="M417" s="199"/>
      <c r="N417" s="201"/>
      <c r="O417" s="202"/>
      <c r="P417" s="193"/>
      <c r="Q417" s="200"/>
      <c r="R417" s="194"/>
      <c r="T417" s="190"/>
      <c r="U417" s="191"/>
    </row>
    <row r="418" spans="1:21">
      <c r="A418" s="192"/>
      <c r="B418" s="195"/>
      <c r="C418" s="196"/>
      <c r="D418" s="197"/>
      <c r="E418" s="198"/>
      <c r="F418" s="197"/>
      <c r="G418" s="198"/>
      <c r="H418" s="197"/>
      <c r="I418" s="198"/>
      <c r="J418" s="197"/>
      <c r="K418" s="198"/>
      <c r="L418" s="199" t="s">
        <v>1140</v>
      </c>
      <c r="M418" s="199" t="s">
        <v>1208</v>
      </c>
      <c r="N418" s="199">
        <f>SUM(N416:N417)</f>
        <v>15</v>
      </c>
      <c r="O418" s="155" t="e">
        <f>P414</f>
        <v>#REF!</v>
      </c>
      <c r="P418" s="193"/>
      <c r="Q418" s="200"/>
      <c r="R418" s="194"/>
      <c r="T418" s="190"/>
      <c r="U418" s="191"/>
    </row>
    <row r="419" spans="1:21">
      <c r="A419" s="192"/>
      <c r="B419" s="195"/>
      <c r="C419" s="196"/>
      <c r="D419" s="197"/>
      <c r="E419" s="198"/>
      <c r="F419" s="197"/>
      <c r="G419" s="198"/>
      <c r="H419" s="197"/>
      <c r="I419" s="198"/>
      <c r="J419" s="197"/>
      <c r="K419" s="198"/>
      <c r="L419" s="199"/>
      <c r="M419" s="199"/>
      <c r="N419" s="199"/>
      <c r="O419" s="155"/>
      <c r="P419" s="193"/>
      <c r="Q419" s="200"/>
      <c r="R419" s="194"/>
      <c r="T419" s="190"/>
      <c r="U419" s="191"/>
    </row>
    <row r="420" spans="1:21">
      <c r="A420" s="192"/>
      <c r="B420" s="1277" t="s">
        <v>1209</v>
      </c>
      <c r="C420" s="1277"/>
      <c r="D420" s="1277"/>
      <c r="E420" s="1277"/>
      <c r="F420" s="1277"/>
      <c r="G420" s="1277"/>
      <c r="H420" s="1277"/>
      <c r="I420" s="1277"/>
      <c r="J420" s="1277"/>
      <c r="K420" s="1277"/>
      <c r="L420" s="1277"/>
      <c r="M420" s="1277"/>
      <c r="N420" s="1277"/>
      <c r="O420" s="1277"/>
      <c r="P420" s="1277"/>
      <c r="Q420" s="203">
        <v>0</v>
      </c>
      <c r="R420" s="204">
        <f>Q420</f>
        <v>0</v>
      </c>
      <c r="T420" s="1278"/>
      <c r="U420" s="1279"/>
    </row>
    <row r="421" spans="1:21">
      <c r="A421" s="192"/>
      <c r="B421" s="1277" t="e">
        <f>med</f>
        <v>#NAME?</v>
      </c>
      <c r="C421" s="1277"/>
      <c r="D421" s="1277"/>
      <c r="E421" s="1277"/>
      <c r="F421" s="1277"/>
      <c r="G421" s="1277"/>
      <c r="H421" s="1277"/>
      <c r="I421" s="1277"/>
      <c r="J421" s="1277"/>
      <c r="K421" s="1277"/>
      <c r="L421" s="1277"/>
      <c r="M421" s="1277"/>
      <c r="N421" s="1277"/>
      <c r="O421" s="1277"/>
      <c r="P421" s="205">
        <f>N418</f>
        <v>15</v>
      </c>
      <c r="Q421" s="203">
        <f>P421</f>
        <v>15</v>
      </c>
      <c r="R421" s="204">
        <f>Q421+R420</f>
        <v>15</v>
      </c>
      <c r="T421" s="1278"/>
      <c r="U421" s="1279"/>
    </row>
    <row r="422" spans="1:21" ht="18" customHeight="1">
      <c r="A422" s="187" t="e">
        <f>#REF!</f>
        <v>#REF!</v>
      </c>
      <c r="B422" s="1275" t="e">
        <f>IF(A422="","",VLOOKUP($A422,'[2]FDE-JUNHO-08'!$A$6:$D$3537,2,FALSE()))</f>
        <v>#REF!</v>
      </c>
      <c r="C422" s="1275"/>
      <c r="D422" s="1275"/>
      <c r="E422" s="1275"/>
      <c r="F422" s="1275"/>
      <c r="G422" s="1275"/>
      <c r="H422" s="1275"/>
      <c r="I422" s="1275"/>
      <c r="J422" s="1275"/>
      <c r="K422" s="1275"/>
      <c r="L422" s="1275"/>
      <c r="M422" s="1275"/>
      <c r="N422" s="1275"/>
      <c r="O422" s="1275"/>
      <c r="P422" s="188" t="e">
        <f>IF(A422="","",VLOOKUP($A422,'[2]FDE-JUNHO-08'!$A$6:$D$3537,3,FALSE()))</f>
        <v>#REF!</v>
      </c>
      <c r="Q422" s="189" t="s">
        <v>1205</v>
      </c>
      <c r="R422" s="189" t="s">
        <v>1206</v>
      </c>
      <c r="T422" s="190"/>
      <c r="U422" s="191"/>
    </row>
    <row r="423" spans="1:21">
      <c r="A423" s="192"/>
      <c r="B423" s="1281"/>
      <c r="C423" s="1281"/>
      <c r="D423" s="1281"/>
      <c r="E423" s="1281"/>
      <c r="F423" s="1281"/>
      <c r="G423" s="1281"/>
      <c r="H423" s="1281"/>
      <c r="I423" s="1281"/>
      <c r="J423" s="1281"/>
      <c r="K423" s="1281"/>
      <c r="L423" s="1281"/>
      <c r="M423" s="1281"/>
      <c r="N423" s="1281"/>
      <c r="O423" s="1281"/>
      <c r="P423" s="193"/>
      <c r="Q423" s="194"/>
      <c r="R423" s="194"/>
      <c r="T423" s="190"/>
      <c r="U423" s="191"/>
    </row>
    <row r="424" spans="1:21">
      <c r="A424" s="192"/>
      <c r="B424" s="195" t="s">
        <v>1207</v>
      </c>
      <c r="C424" s="196"/>
      <c r="D424" s="197"/>
      <c r="E424" s="198"/>
      <c r="F424" s="197"/>
      <c r="G424" s="198"/>
      <c r="H424" s="197"/>
      <c r="I424" s="198"/>
      <c r="J424" s="197"/>
      <c r="K424" s="198"/>
      <c r="L424" s="199"/>
      <c r="M424" s="199" t="s">
        <v>1208</v>
      </c>
      <c r="N424" s="199">
        <v>36</v>
      </c>
      <c r="O424" s="155"/>
      <c r="P424" s="193"/>
      <c r="Q424" s="200"/>
      <c r="R424" s="194"/>
      <c r="T424" s="190"/>
      <c r="U424" s="191"/>
    </row>
    <row r="425" spans="1:21">
      <c r="A425" s="192"/>
      <c r="B425" s="195"/>
      <c r="C425" s="196"/>
      <c r="D425" s="197"/>
      <c r="E425" s="198"/>
      <c r="F425" s="197"/>
      <c r="G425" s="198"/>
      <c r="H425" s="197"/>
      <c r="I425" s="198"/>
      <c r="J425" s="197"/>
      <c r="K425" s="198"/>
      <c r="L425" s="199"/>
      <c r="M425" s="199"/>
      <c r="N425" s="201"/>
      <c r="O425" s="202"/>
      <c r="P425" s="193"/>
      <c r="Q425" s="200"/>
      <c r="R425" s="194"/>
      <c r="T425" s="190"/>
      <c r="U425" s="191"/>
    </row>
    <row r="426" spans="1:21">
      <c r="A426" s="192"/>
      <c r="B426" s="195"/>
      <c r="C426" s="196"/>
      <c r="D426" s="197"/>
      <c r="E426" s="198"/>
      <c r="F426" s="197"/>
      <c r="G426" s="198"/>
      <c r="H426" s="197"/>
      <c r="I426" s="198"/>
      <c r="J426" s="197"/>
      <c r="K426" s="198"/>
      <c r="L426" s="199" t="s">
        <v>1140</v>
      </c>
      <c r="M426" s="199" t="s">
        <v>1208</v>
      </c>
      <c r="N426" s="199">
        <f>SUM(N424:N425)</f>
        <v>36</v>
      </c>
      <c r="O426" s="155" t="e">
        <f>P422</f>
        <v>#REF!</v>
      </c>
      <c r="P426" s="193"/>
      <c r="Q426" s="200"/>
      <c r="R426" s="194"/>
      <c r="T426" s="190"/>
      <c r="U426" s="191"/>
    </row>
    <row r="427" spans="1:21">
      <c r="A427" s="192"/>
      <c r="B427" s="195"/>
      <c r="C427" s="196"/>
      <c r="D427" s="197"/>
      <c r="E427" s="198"/>
      <c r="F427" s="197"/>
      <c r="G427" s="198"/>
      <c r="H427" s="197"/>
      <c r="I427" s="198"/>
      <c r="J427" s="197"/>
      <c r="K427" s="198"/>
      <c r="L427" s="199"/>
      <c r="M427" s="199"/>
      <c r="N427" s="199"/>
      <c r="O427" s="155"/>
      <c r="P427" s="193"/>
      <c r="Q427" s="200"/>
      <c r="R427" s="194"/>
      <c r="T427" s="190"/>
      <c r="U427" s="191"/>
    </row>
    <row r="428" spans="1:21">
      <c r="A428" s="192"/>
      <c r="B428" s="1277" t="s">
        <v>1209</v>
      </c>
      <c r="C428" s="1277"/>
      <c r="D428" s="1277"/>
      <c r="E428" s="1277"/>
      <c r="F428" s="1277"/>
      <c r="G428" s="1277"/>
      <c r="H428" s="1277"/>
      <c r="I428" s="1277"/>
      <c r="J428" s="1277"/>
      <c r="K428" s="1277"/>
      <c r="L428" s="1277"/>
      <c r="M428" s="1277"/>
      <c r="N428" s="1277"/>
      <c r="O428" s="1277"/>
      <c r="P428" s="1277"/>
      <c r="Q428" s="203">
        <v>0</v>
      </c>
      <c r="R428" s="204">
        <f>Q428</f>
        <v>0</v>
      </c>
      <c r="T428" s="1278"/>
      <c r="U428" s="1279"/>
    </row>
    <row r="429" spans="1:21">
      <c r="A429" s="192"/>
      <c r="B429" s="1277" t="e">
        <f>med</f>
        <v>#NAME?</v>
      </c>
      <c r="C429" s="1277"/>
      <c r="D429" s="1277"/>
      <c r="E429" s="1277"/>
      <c r="F429" s="1277"/>
      <c r="G429" s="1277"/>
      <c r="H429" s="1277"/>
      <c r="I429" s="1277"/>
      <c r="J429" s="1277"/>
      <c r="K429" s="1277"/>
      <c r="L429" s="1277"/>
      <c r="M429" s="1277"/>
      <c r="N429" s="1277"/>
      <c r="O429" s="1277"/>
      <c r="P429" s="205">
        <f>N426</f>
        <v>36</v>
      </c>
      <c r="Q429" s="203">
        <f>P429</f>
        <v>36</v>
      </c>
      <c r="R429" s="204">
        <f>Q429+R428</f>
        <v>36</v>
      </c>
      <c r="T429" s="1278"/>
      <c r="U429" s="1279"/>
    </row>
    <row r="430" spans="1:21" ht="18" customHeight="1">
      <c r="A430" s="187" t="e">
        <f>#REF!</f>
        <v>#REF!</v>
      </c>
      <c r="B430" s="1275" t="e">
        <f>IF(A430="","",VLOOKUP($A430,'[2]FDE-JUNHO-08'!$A$6:$D$3537,2,FALSE()))</f>
        <v>#REF!</v>
      </c>
      <c r="C430" s="1275"/>
      <c r="D430" s="1275"/>
      <c r="E430" s="1275"/>
      <c r="F430" s="1275"/>
      <c r="G430" s="1275"/>
      <c r="H430" s="1275"/>
      <c r="I430" s="1275"/>
      <c r="J430" s="1275"/>
      <c r="K430" s="1275"/>
      <c r="L430" s="1275"/>
      <c r="M430" s="1275"/>
      <c r="N430" s="1275"/>
      <c r="O430" s="1275"/>
      <c r="P430" s="188" t="e">
        <f>IF(A430="","",VLOOKUP($A430,'[2]FDE-JUNHO-08'!$A$6:$D$3537,3,FALSE()))</f>
        <v>#REF!</v>
      </c>
      <c r="Q430" s="189" t="s">
        <v>1205</v>
      </c>
      <c r="R430" s="189" t="s">
        <v>1206</v>
      </c>
      <c r="T430" s="190"/>
      <c r="U430" s="191"/>
    </row>
    <row r="431" spans="1:21">
      <c r="A431" s="192"/>
      <c r="B431" s="1281"/>
      <c r="C431" s="1281"/>
      <c r="D431" s="1281"/>
      <c r="E431" s="1281"/>
      <c r="F431" s="1281"/>
      <c r="G431" s="1281"/>
      <c r="H431" s="1281"/>
      <c r="I431" s="1281"/>
      <c r="J431" s="1281"/>
      <c r="K431" s="1281"/>
      <c r="L431" s="1281"/>
      <c r="M431" s="1281"/>
      <c r="N431" s="1281"/>
      <c r="O431" s="1281"/>
      <c r="P431" s="193"/>
      <c r="Q431" s="194"/>
      <c r="R431" s="194"/>
      <c r="T431" s="190"/>
      <c r="U431" s="191"/>
    </row>
    <row r="432" spans="1:21" ht="13.8">
      <c r="A432" s="192"/>
      <c r="B432" s="210" t="s">
        <v>1207</v>
      </c>
      <c r="C432" s="196"/>
      <c r="D432" s="197"/>
      <c r="E432" s="198"/>
      <c r="F432" s="197"/>
      <c r="G432" s="198"/>
      <c r="H432" s="197"/>
      <c r="I432" s="198"/>
      <c r="J432" s="197"/>
      <c r="K432" s="198"/>
      <c r="L432" s="199"/>
      <c r="M432" s="199" t="s">
        <v>1208</v>
      </c>
      <c r="N432" s="199">
        <v>1</v>
      </c>
      <c r="O432" s="155"/>
      <c r="P432" s="193"/>
      <c r="Q432" s="200"/>
      <c r="R432" s="194"/>
      <c r="T432" s="190"/>
      <c r="U432" s="191"/>
    </row>
    <row r="433" spans="1:21">
      <c r="A433" s="192"/>
      <c r="B433" s="195"/>
      <c r="C433" s="196"/>
      <c r="D433" s="197"/>
      <c r="E433" s="198"/>
      <c r="F433" s="197"/>
      <c r="G433" s="198"/>
      <c r="H433" s="197"/>
      <c r="I433" s="198"/>
      <c r="J433" s="197"/>
      <c r="K433" s="198"/>
      <c r="L433" s="199"/>
      <c r="M433" s="199"/>
      <c r="N433" s="201"/>
      <c r="O433" s="202"/>
      <c r="P433" s="193"/>
      <c r="Q433" s="200"/>
      <c r="R433" s="194"/>
      <c r="T433" s="190"/>
      <c r="U433" s="191"/>
    </row>
    <row r="434" spans="1:21">
      <c r="A434" s="192"/>
      <c r="B434" s="195"/>
      <c r="C434" s="196"/>
      <c r="D434" s="197"/>
      <c r="E434" s="198"/>
      <c r="F434" s="197"/>
      <c r="G434" s="198"/>
      <c r="H434" s="197"/>
      <c r="I434" s="198"/>
      <c r="J434" s="197"/>
      <c r="K434" s="198"/>
      <c r="L434" s="199" t="s">
        <v>1140</v>
      </c>
      <c r="M434" s="199" t="s">
        <v>1208</v>
      </c>
      <c r="N434" s="199">
        <f>SUM(N432:N433)</f>
        <v>1</v>
      </c>
      <c r="O434" s="155" t="e">
        <f>P430</f>
        <v>#REF!</v>
      </c>
      <c r="P434" s="193"/>
      <c r="Q434" s="200"/>
      <c r="R434" s="194"/>
      <c r="T434" s="190"/>
      <c r="U434" s="191"/>
    </row>
    <row r="435" spans="1:21">
      <c r="A435" s="192"/>
      <c r="B435" s="195"/>
      <c r="C435" s="196"/>
      <c r="D435" s="197"/>
      <c r="E435" s="198"/>
      <c r="F435" s="197"/>
      <c r="G435" s="198"/>
      <c r="H435" s="197"/>
      <c r="I435" s="198"/>
      <c r="J435" s="197"/>
      <c r="K435" s="198"/>
      <c r="L435" s="199"/>
      <c r="M435" s="199"/>
      <c r="N435" s="199"/>
      <c r="O435" s="155"/>
      <c r="P435" s="193"/>
      <c r="Q435" s="200"/>
      <c r="R435" s="194"/>
      <c r="T435" s="190"/>
      <c r="U435" s="191"/>
    </row>
    <row r="436" spans="1:21">
      <c r="A436" s="192"/>
      <c r="B436" s="1277" t="s">
        <v>1209</v>
      </c>
      <c r="C436" s="1277"/>
      <c r="D436" s="1277"/>
      <c r="E436" s="1277"/>
      <c r="F436" s="1277"/>
      <c r="G436" s="1277"/>
      <c r="H436" s="1277"/>
      <c r="I436" s="1277"/>
      <c r="J436" s="1277"/>
      <c r="K436" s="1277"/>
      <c r="L436" s="1277"/>
      <c r="M436" s="1277"/>
      <c r="N436" s="1277"/>
      <c r="O436" s="1277"/>
      <c r="P436" s="1277"/>
      <c r="Q436" s="203">
        <v>0</v>
      </c>
      <c r="R436" s="204">
        <f>Q436</f>
        <v>0</v>
      </c>
      <c r="T436" s="1278"/>
      <c r="U436" s="1279"/>
    </row>
    <row r="437" spans="1:21">
      <c r="A437" s="192"/>
      <c r="B437" s="1277" t="e">
        <f>med</f>
        <v>#NAME?</v>
      </c>
      <c r="C437" s="1277"/>
      <c r="D437" s="1277"/>
      <c r="E437" s="1277"/>
      <c r="F437" s="1277"/>
      <c r="G437" s="1277"/>
      <c r="H437" s="1277"/>
      <c r="I437" s="1277"/>
      <c r="J437" s="1277"/>
      <c r="K437" s="1277"/>
      <c r="L437" s="1277"/>
      <c r="M437" s="1277"/>
      <c r="N437" s="1277"/>
      <c r="O437" s="1277"/>
      <c r="P437" s="205">
        <f>N434</f>
        <v>1</v>
      </c>
      <c r="Q437" s="203">
        <f>P437</f>
        <v>1</v>
      </c>
      <c r="R437" s="204">
        <f>Q437+R436</f>
        <v>1</v>
      </c>
      <c r="T437" s="1278"/>
      <c r="U437" s="1279"/>
    </row>
    <row r="438" spans="1:21" ht="18" customHeight="1">
      <c r="A438" s="187" t="e">
        <f>#REF!</f>
        <v>#REF!</v>
      </c>
      <c r="B438" s="1275" t="e">
        <f>IF(A438="","",VLOOKUP($A438,'[2]FDE-JUNHO-08'!$A$6:$D$3537,2,FALSE()))</f>
        <v>#REF!</v>
      </c>
      <c r="C438" s="1275"/>
      <c r="D438" s="1275"/>
      <c r="E438" s="1275"/>
      <c r="F438" s="1275"/>
      <c r="G438" s="1275"/>
      <c r="H438" s="1275"/>
      <c r="I438" s="1275"/>
      <c r="J438" s="1275"/>
      <c r="K438" s="1275"/>
      <c r="L438" s="1275"/>
      <c r="M438" s="1275"/>
      <c r="N438" s="1275"/>
      <c r="O438" s="1275"/>
      <c r="P438" s="188" t="e">
        <f>IF(A438="","",VLOOKUP($A438,'[2]FDE-JUNHO-08'!$A$6:$D$3537,3,FALSE()))</f>
        <v>#REF!</v>
      </c>
      <c r="Q438" s="189" t="s">
        <v>1205</v>
      </c>
      <c r="R438" s="189" t="s">
        <v>1206</v>
      </c>
      <c r="T438" s="190"/>
      <c r="U438" s="191"/>
    </row>
    <row r="439" spans="1:21">
      <c r="A439" s="192"/>
      <c r="B439" s="1281"/>
      <c r="C439" s="1281"/>
      <c r="D439" s="1281"/>
      <c r="E439" s="1281"/>
      <c r="F439" s="1281"/>
      <c r="G439" s="1281"/>
      <c r="H439" s="1281"/>
      <c r="I439" s="1281"/>
      <c r="J439" s="1281"/>
      <c r="K439" s="1281"/>
      <c r="L439" s="1281"/>
      <c r="M439" s="1281"/>
      <c r="N439" s="1281"/>
      <c r="O439" s="1281"/>
      <c r="P439" s="193"/>
      <c r="Q439" s="194"/>
      <c r="R439" s="194"/>
      <c r="T439" s="190"/>
      <c r="U439" s="191"/>
    </row>
    <row r="440" spans="1:21">
      <c r="A440" s="192"/>
      <c r="B440" s="195" t="s">
        <v>1207</v>
      </c>
      <c r="C440" s="196"/>
      <c r="D440" s="197"/>
      <c r="E440" s="198"/>
      <c r="F440" s="197"/>
      <c r="G440" s="198"/>
      <c r="H440" s="197"/>
      <c r="I440" s="198"/>
      <c r="J440" s="197"/>
      <c r="K440" s="198"/>
      <c r="L440" s="199"/>
      <c r="M440" s="199" t="s">
        <v>1208</v>
      </c>
      <c r="N440" s="199">
        <f>PLANILHA!E67</f>
        <v>20</v>
      </c>
      <c r="O440" s="155"/>
      <c r="P440" s="193"/>
      <c r="Q440" s="200"/>
      <c r="R440" s="194"/>
      <c r="T440" s="190"/>
      <c r="U440" s="191"/>
    </row>
    <row r="441" spans="1:21">
      <c r="A441" s="192"/>
      <c r="B441" s="195"/>
      <c r="C441" s="196"/>
      <c r="D441" s="197"/>
      <c r="E441" s="198"/>
      <c r="F441" s="197"/>
      <c r="G441" s="198"/>
      <c r="H441" s="197"/>
      <c r="I441" s="198"/>
      <c r="J441" s="197"/>
      <c r="K441" s="198"/>
      <c r="L441" s="199"/>
      <c r="M441" s="199"/>
      <c r="N441" s="201"/>
      <c r="O441" s="202"/>
      <c r="P441" s="193"/>
      <c r="Q441" s="200"/>
      <c r="R441" s="194"/>
      <c r="T441" s="190"/>
      <c r="U441" s="191"/>
    </row>
    <row r="442" spans="1:21">
      <c r="A442" s="192"/>
      <c r="B442" s="195"/>
      <c r="C442" s="196"/>
      <c r="D442" s="197"/>
      <c r="E442" s="198"/>
      <c r="F442" s="197"/>
      <c r="G442" s="198"/>
      <c r="H442" s="197"/>
      <c r="I442" s="198"/>
      <c r="J442" s="197"/>
      <c r="K442" s="198"/>
      <c r="L442" s="199" t="s">
        <v>1140</v>
      </c>
      <c r="M442" s="199" t="s">
        <v>1208</v>
      </c>
      <c r="N442" s="199">
        <f>SUM(N440:N441)</f>
        <v>20</v>
      </c>
      <c r="O442" s="155" t="e">
        <f>P438</f>
        <v>#REF!</v>
      </c>
      <c r="P442" s="193"/>
      <c r="Q442" s="200"/>
      <c r="R442" s="194"/>
      <c r="T442" s="190"/>
      <c r="U442" s="191"/>
    </row>
    <row r="443" spans="1:21">
      <c r="A443" s="192"/>
      <c r="B443" s="195"/>
      <c r="C443" s="196"/>
      <c r="D443" s="197"/>
      <c r="E443" s="198"/>
      <c r="F443" s="197"/>
      <c r="G443" s="198"/>
      <c r="H443" s="197"/>
      <c r="I443" s="198"/>
      <c r="J443" s="197"/>
      <c r="K443" s="198"/>
      <c r="L443" s="199"/>
      <c r="M443" s="199"/>
      <c r="N443" s="199"/>
      <c r="O443" s="155"/>
      <c r="P443" s="193"/>
      <c r="Q443" s="200"/>
      <c r="R443" s="194"/>
      <c r="T443" s="190"/>
      <c r="U443" s="191"/>
    </row>
    <row r="444" spans="1:21">
      <c r="A444" s="192"/>
      <c r="B444" s="1277" t="s">
        <v>1209</v>
      </c>
      <c r="C444" s="1277"/>
      <c r="D444" s="1277"/>
      <c r="E444" s="1277"/>
      <c r="F444" s="1277"/>
      <c r="G444" s="1277"/>
      <c r="H444" s="1277"/>
      <c r="I444" s="1277"/>
      <c r="J444" s="1277"/>
      <c r="K444" s="1277"/>
      <c r="L444" s="1277"/>
      <c r="M444" s="1277"/>
      <c r="N444" s="1277"/>
      <c r="O444" s="1277"/>
      <c r="P444" s="1277"/>
      <c r="Q444" s="203">
        <v>0</v>
      </c>
      <c r="R444" s="204">
        <f>Q444</f>
        <v>0</v>
      </c>
      <c r="T444" s="1278"/>
      <c r="U444" s="1279"/>
    </row>
    <row r="445" spans="1:21">
      <c r="A445" s="192"/>
      <c r="B445" s="1277" t="e">
        <f>med</f>
        <v>#NAME?</v>
      </c>
      <c r="C445" s="1277"/>
      <c r="D445" s="1277"/>
      <c r="E445" s="1277"/>
      <c r="F445" s="1277"/>
      <c r="G445" s="1277"/>
      <c r="H445" s="1277"/>
      <c r="I445" s="1277"/>
      <c r="J445" s="1277"/>
      <c r="K445" s="1277"/>
      <c r="L445" s="1277"/>
      <c r="M445" s="1277"/>
      <c r="N445" s="1277"/>
      <c r="O445" s="1277"/>
      <c r="P445" s="205">
        <f>N442</f>
        <v>20</v>
      </c>
      <c r="Q445" s="203">
        <f>P445</f>
        <v>20</v>
      </c>
      <c r="R445" s="204">
        <f>Q445+R444</f>
        <v>20</v>
      </c>
      <c r="T445" s="1278"/>
      <c r="U445" s="1279"/>
    </row>
    <row r="446" spans="1:21" ht="18" customHeight="1">
      <c r="A446" s="187" t="e">
        <f>#REF!</f>
        <v>#REF!</v>
      </c>
      <c r="B446" s="1275" t="e">
        <f>IF(A446="","",VLOOKUP($A446,'[2]FDE-JUNHO-08'!$A$6:$D$3537,2,FALSE()))</f>
        <v>#REF!</v>
      </c>
      <c r="C446" s="1275"/>
      <c r="D446" s="1275"/>
      <c r="E446" s="1275"/>
      <c r="F446" s="1275"/>
      <c r="G446" s="1275"/>
      <c r="H446" s="1275"/>
      <c r="I446" s="1275"/>
      <c r="J446" s="1275"/>
      <c r="K446" s="1275"/>
      <c r="L446" s="1275"/>
      <c r="M446" s="1275"/>
      <c r="N446" s="1275"/>
      <c r="O446" s="1275"/>
      <c r="P446" s="188" t="e">
        <f>IF(A446="","",VLOOKUP($A446,'[2]FDE-JUNHO-08'!$A$6:$D$3537,3,FALSE()))</f>
        <v>#REF!</v>
      </c>
      <c r="Q446" s="189" t="s">
        <v>1205</v>
      </c>
      <c r="R446" s="189" t="s">
        <v>1206</v>
      </c>
      <c r="T446" s="190"/>
      <c r="U446" s="191"/>
    </row>
    <row r="447" spans="1:21">
      <c r="A447" s="192"/>
      <c r="B447" s="1281"/>
      <c r="C447" s="1281"/>
      <c r="D447" s="1281"/>
      <c r="E447" s="1281"/>
      <c r="F447" s="1281"/>
      <c r="G447" s="1281"/>
      <c r="H447" s="1281"/>
      <c r="I447" s="1281"/>
      <c r="J447" s="1281"/>
      <c r="K447" s="1281"/>
      <c r="L447" s="1281"/>
      <c r="M447" s="1281"/>
      <c r="N447" s="1281"/>
      <c r="O447" s="1281"/>
      <c r="P447" s="193"/>
      <c r="Q447" s="194"/>
      <c r="R447" s="194"/>
      <c r="T447" s="190"/>
      <c r="U447" s="191"/>
    </row>
    <row r="448" spans="1:21">
      <c r="A448" s="192"/>
      <c r="B448" s="195" t="s">
        <v>1207</v>
      </c>
      <c r="C448" s="196"/>
      <c r="D448" s="197"/>
      <c r="E448" s="198"/>
      <c r="F448" s="197"/>
      <c r="G448" s="198"/>
      <c r="H448" s="197"/>
      <c r="I448" s="198"/>
      <c r="J448" s="197"/>
      <c r="K448" s="198"/>
      <c r="L448" s="199"/>
      <c r="M448" s="199" t="s">
        <v>1208</v>
      </c>
      <c r="N448" s="199">
        <f>PLANILHA!E68</f>
        <v>269</v>
      </c>
      <c r="O448" s="155"/>
      <c r="P448" s="193"/>
      <c r="Q448" s="200"/>
      <c r="R448" s="194"/>
      <c r="T448" s="190"/>
      <c r="U448" s="191"/>
    </row>
    <row r="449" spans="1:21">
      <c r="A449" s="192"/>
      <c r="B449" s="195"/>
      <c r="C449" s="196"/>
      <c r="D449" s="197"/>
      <c r="E449" s="198"/>
      <c r="F449" s="197"/>
      <c r="G449" s="198"/>
      <c r="H449" s="197"/>
      <c r="I449" s="198"/>
      <c r="J449" s="197"/>
      <c r="K449" s="198"/>
      <c r="L449" s="199"/>
      <c r="M449" s="199"/>
      <c r="N449" s="201"/>
      <c r="O449" s="202"/>
      <c r="P449" s="193"/>
      <c r="Q449" s="200"/>
      <c r="R449" s="194"/>
      <c r="T449" s="190"/>
      <c r="U449" s="191"/>
    </row>
    <row r="450" spans="1:21">
      <c r="A450" s="192"/>
      <c r="B450" s="195"/>
      <c r="C450" s="196"/>
      <c r="D450" s="197"/>
      <c r="E450" s="198"/>
      <c r="F450" s="197"/>
      <c r="G450" s="198"/>
      <c r="H450" s="197"/>
      <c r="I450" s="198"/>
      <c r="J450" s="197"/>
      <c r="K450" s="198"/>
      <c r="L450" s="199" t="s">
        <v>1140</v>
      </c>
      <c r="M450" s="199" t="s">
        <v>1208</v>
      </c>
      <c r="N450" s="199">
        <f>SUM(N448:N449)</f>
        <v>269</v>
      </c>
      <c r="O450" s="155" t="e">
        <f>P446</f>
        <v>#REF!</v>
      </c>
      <c r="P450" s="193"/>
      <c r="Q450" s="200"/>
      <c r="R450" s="194"/>
      <c r="T450" s="190"/>
      <c r="U450" s="191"/>
    </row>
    <row r="451" spans="1:21">
      <c r="A451" s="192"/>
      <c r="B451" s="195"/>
      <c r="C451" s="196"/>
      <c r="D451" s="197"/>
      <c r="E451" s="198"/>
      <c r="F451" s="197"/>
      <c r="G451" s="198"/>
      <c r="H451" s="197"/>
      <c r="I451" s="198"/>
      <c r="J451" s="197"/>
      <c r="K451" s="198"/>
      <c r="L451" s="199"/>
      <c r="M451" s="199"/>
      <c r="N451" s="199"/>
      <c r="O451" s="155"/>
      <c r="P451" s="193"/>
      <c r="Q451" s="200"/>
      <c r="R451" s="194"/>
      <c r="T451" s="190"/>
      <c r="U451" s="191"/>
    </row>
    <row r="452" spans="1:21">
      <c r="A452" s="192"/>
      <c r="B452" s="1277" t="s">
        <v>1209</v>
      </c>
      <c r="C452" s="1277"/>
      <c r="D452" s="1277"/>
      <c r="E452" s="1277"/>
      <c r="F452" s="1277"/>
      <c r="G452" s="1277"/>
      <c r="H452" s="1277"/>
      <c r="I452" s="1277"/>
      <c r="J452" s="1277"/>
      <c r="K452" s="1277"/>
      <c r="L452" s="1277"/>
      <c r="M452" s="1277"/>
      <c r="N452" s="1277"/>
      <c r="O452" s="1277"/>
      <c r="P452" s="1277"/>
      <c r="Q452" s="203">
        <v>0</v>
      </c>
      <c r="R452" s="204">
        <f>Q452</f>
        <v>0</v>
      </c>
      <c r="T452" s="1278"/>
      <c r="U452" s="1279"/>
    </row>
    <row r="453" spans="1:21">
      <c r="A453" s="192"/>
      <c r="B453" s="1277" t="e">
        <f>med</f>
        <v>#NAME?</v>
      </c>
      <c r="C453" s="1277"/>
      <c r="D453" s="1277"/>
      <c r="E453" s="1277"/>
      <c r="F453" s="1277"/>
      <c r="G453" s="1277"/>
      <c r="H453" s="1277"/>
      <c r="I453" s="1277"/>
      <c r="J453" s="1277"/>
      <c r="K453" s="1277"/>
      <c r="L453" s="1277"/>
      <c r="M453" s="1277"/>
      <c r="N453" s="1277"/>
      <c r="O453" s="1277"/>
      <c r="P453" s="205">
        <f>N450</f>
        <v>269</v>
      </c>
      <c r="Q453" s="203">
        <f>P453</f>
        <v>269</v>
      </c>
      <c r="R453" s="204">
        <f>Q453+R452</f>
        <v>269</v>
      </c>
      <c r="T453" s="1278"/>
      <c r="U453" s="1279"/>
    </row>
    <row r="454" spans="1:21" ht="18" hidden="1" customHeight="1">
      <c r="A454" s="187" t="e">
        <f>#VALUE!</f>
        <v>#VALUE!</v>
      </c>
      <c r="B454" s="1275" t="e">
        <f>IF(A454="","",VLOOKUP($A454,'[2]FDE-JUNHO-08'!$A$6:$D$3537,2,FALSE()))</f>
        <v>#VALUE!</v>
      </c>
      <c r="C454" s="1275"/>
      <c r="D454" s="1275"/>
      <c r="E454" s="1275"/>
      <c r="F454" s="1275"/>
      <c r="G454" s="1275"/>
      <c r="H454" s="1275"/>
      <c r="I454" s="1275"/>
      <c r="J454" s="1275"/>
      <c r="K454" s="1275"/>
      <c r="L454" s="1275"/>
      <c r="M454" s="1275"/>
      <c r="N454" s="1275"/>
      <c r="O454" s="1275"/>
      <c r="P454" s="188" t="e">
        <f>IF(A454="","",VLOOKUP($A454,'[2]FDE-JUNHO-08'!$A$6:$D$3537,3,FALSE()))</f>
        <v>#VALUE!</v>
      </c>
      <c r="Q454" s="189" t="s">
        <v>1205</v>
      </c>
      <c r="R454" s="189" t="s">
        <v>1206</v>
      </c>
      <c r="T454" s="190"/>
      <c r="U454" s="191"/>
    </row>
    <row r="455" spans="1:21" ht="13.5" hidden="1" customHeight="1">
      <c r="A455" s="192"/>
      <c r="B455" s="1281"/>
      <c r="C455" s="1281"/>
      <c r="D455" s="1281"/>
      <c r="E455" s="1281"/>
      <c r="F455" s="1281"/>
      <c r="G455" s="1281"/>
      <c r="H455" s="1281"/>
      <c r="I455" s="1281"/>
      <c r="J455" s="1281"/>
      <c r="K455" s="1281"/>
      <c r="L455" s="1281"/>
      <c r="M455" s="1281"/>
      <c r="N455" s="1281"/>
      <c r="O455" s="1281"/>
      <c r="P455" s="193"/>
      <c r="Q455" s="194"/>
      <c r="R455" s="194"/>
      <c r="T455" s="190"/>
      <c r="U455" s="191"/>
    </row>
    <row r="456" spans="1:21" hidden="1">
      <c r="A456" s="192"/>
      <c r="B456" s="195"/>
      <c r="C456" s="196"/>
      <c r="D456" s="197"/>
      <c r="E456" s="198"/>
      <c r="F456" s="197"/>
      <c r="G456" s="198"/>
      <c r="H456" s="197"/>
      <c r="I456" s="207"/>
      <c r="J456" s="207"/>
      <c r="K456" s="208"/>
      <c r="L456" s="209"/>
      <c r="M456" s="209"/>
      <c r="N456" s="209"/>
      <c r="O456" s="155"/>
      <c r="P456" s="193"/>
      <c r="Q456" s="200"/>
      <c r="R456" s="194"/>
      <c r="T456" s="190"/>
      <c r="U456" s="191"/>
    </row>
    <row r="457" spans="1:21" ht="13.8" hidden="1">
      <c r="A457" s="192"/>
      <c r="B457" s="210"/>
      <c r="C457" s="196"/>
      <c r="D457" s="197"/>
      <c r="E457" s="198"/>
      <c r="F457" s="197"/>
      <c r="G457" s="198"/>
      <c r="H457" s="197"/>
      <c r="I457" s="198"/>
      <c r="J457" s="197"/>
      <c r="K457" s="198"/>
      <c r="L457" s="199"/>
      <c r="M457" s="199"/>
      <c r="N457" s="199"/>
      <c r="O457" s="155"/>
      <c r="P457" s="193"/>
      <c r="Q457" s="200"/>
      <c r="R457" s="194"/>
      <c r="T457" s="190"/>
      <c r="U457" s="191"/>
    </row>
    <row r="458" spans="1:21" hidden="1">
      <c r="A458" s="192"/>
      <c r="B458" s="195"/>
      <c r="C458" s="196"/>
      <c r="D458" s="197"/>
      <c r="E458" s="198"/>
      <c r="F458" s="197"/>
      <c r="G458" s="198"/>
      <c r="H458" s="197"/>
      <c r="I458" s="198"/>
      <c r="J458" s="197"/>
      <c r="K458" s="198"/>
      <c r="L458" s="199"/>
      <c r="M458" s="199"/>
      <c r="N458" s="199"/>
      <c r="O458" s="155"/>
      <c r="P458" s="193"/>
      <c r="Q458" s="200"/>
      <c r="R458" s="194"/>
      <c r="T458" s="190"/>
      <c r="U458" s="191"/>
    </row>
    <row r="459" spans="1:21" hidden="1">
      <c r="A459" s="192"/>
      <c r="B459" s="195"/>
      <c r="C459" s="196"/>
      <c r="D459" s="197"/>
      <c r="E459" s="198"/>
      <c r="F459" s="197"/>
      <c r="G459" s="198"/>
      <c r="H459" s="197"/>
      <c r="I459" s="198"/>
      <c r="J459" s="197"/>
      <c r="K459" s="198"/>
      <c r="L459" s="199"/>
      <c r="M459" s="199"/>
      <c r="N459" s="199"/>
      <c r="O459" s="155"/>
      <c r="P459" s="193"/>
      <c r="Q459" s="200"/>
      <c r="R459" s="194"/>
      <c r="T459" s="190"/>
      <c r="U459" s="191"/>
    </row>
    <row r="460" spans="1:21" hidden="1">
      <c r="A460" s="192"/>
      <c r="B460" s="195"/>
      <c r="C460" s="196"/>
      <c r="D460" s="197"/>
      <c r="E460" s="198"/>
      <c r="F460" s="197"/>
      <c r="G460" s="198"/>
      <c r="H460" s="197"/>
      <c r="I460" s="198"/>
      <c r="J460" s="197"/>
      <c r="K460" s="198"/>
      <c r="L460" s="199"/>
      <c r="M460" s="199"/>
      <c r="N460" s="199"/>
      <c r="O460" s="155"/>
      <c r="P460" s="193"/>
      <c r="Q460" s="200"/>
      <c r="R460" s="194"/>
      <c r="T460" s="190"/>
      <c r="U460" s="191"/>
    </row>
    <row r="461" spans="1:21" hidden="1">
      <c r="A461" s="192"/>
      <c r="B461" s="195"/>
      <c r="C461" s="196"/>
      <c r="D461" s="197"/>
      <c r="E461" s="198"/>
      <c r="F461" s="197"/>
      <c r="G461" s="198"/>
      <c r="H461" s="197"/>
      <c r="I461" s="198"/>
      <c r="J461" s="197"/>
      <c r="K461" s="198"/>
      <c r="L461" s="199"/>
      <c r="M461" s="199"/>
      <c r="N461" s="201"/>
      <c r="O461" s="202"/>
      <c r="P461" s="193"/>
      <c r="Q461" s="200"/>
      <c r="R461" s="194"/>
      <c r="T461" s="190"/>
      <c r="U461" s="191"/>
    </row>
    <row r="462" spans="1:21" hidden="1">
      <c r="A462" s="192"/>
      <c r="B462" s="195"/>
      <c r="C462" s="196"/>
      <c r="D462" s="197"/>
      <c r="E462" s="198"/>
      <c r="F462" s="197"/>
      <c r="G462" s="198"/>
      <c r="H462" s="197"/>
      <c r="I462" s="198"/>
      <c r="J462" s="197"/>
      <c r="K462" s="198"/>
      <c r="L462" s="199" t="s">
        <v>1140</v>
      </c>
      <c r="M462" s="199" t="s">
        <v>1208</v>
      </c>
      <c r="N462" s="199">
        <f>SUM(N457:N461)</f>
        <v>0</v>
      </c>
      <c r="O462" s="155" t="e">
        <f>P454</f>
        <v>#VALUE!</v>
      </c>
      <c r="P462" s="193"/>
      <c r="Q462" s="200"/>
      <c r="R462" s="194"/>
      <c r="T462" s="190"/>
      <c r="U462" s="191"/>
    </row>
    <row r="463" spans="1:21" hidden="1">
      <c r="A463" s="192"/>
      <c r="B463" s="195"/>
      <c r="C463" s="196"/>
      <c r="D463" s="197"/>
      <c r="E463" s="198"/>
      <c r="F463" s="197"/>
      <c r="G463" s="198"/>
      <c r="H463" s="197"/>
      <c r="I463" s="198"/>
      <c r="J463" s="197"/>
      <c r="K463" s="198"/>
      <c r="L463" s="199"/>
      <c r="M463" s="199"/>
      <c r="N463" s="199"/>
      <c r="O463" s="155"/>
      <c r="P463" s="193"/>
      <c r="Q463" s="200"/>
      <c r="R463" s="194"/>
      <c r="T463" s="190"/>
      <c r="U463" s="191"/>
    </row>
    <row r="464" spans="1:21" ht="13.5" hidden="1" customHeight="1">
      <c r="A464" s="192"/>
      <c r="B464" s="1277" t="s">
        <v>1209</v>
      </c>
      <c r="C464" s="1277"/>
      <c r="D464" s="1277"/>
      <c r="E464" s="1277"/>
      <c r="F464" s="1277"/>
      <c r="G464" s="1277"/>
      <c r="H464" s="1277"/>
      <c r="I464" s="1277"/>
      <c r="J464" s="1277"/>
      <c r="K464" s="1277"/>
      <c r="L464" s="1277"/>
      <c r="M464" s="1277"/>
      <c r="N464" s="1277"/>
      <c r="O464" s="1277"/>
      <c r="P464" s="1277"/>
      <c r="Q464" s="203">
        <v>0</v>
      </c>
      <c r="R464" s="204">
        <f>Q464</f>
        <v>0</v>
      </c>
      <c r="T464" s="1278"/>
      <c r="U464" s="1279"/>
    </row>
    <row r="465" spans="1:21" ht="14.25" hidden="1" customHeight="1">
      <c r="A465" s="192"/>
      <c r="B465" s="1277" t="e">
        <f>med</f>
        <v>#NAME?</v>
      </c>
      <c r="C465" s="1277"/>
      <c r="D465" s="1277"/>
      <c r="E465" s="1277"/>
      <c r="F465" s="1277"/>
      <c r="G465" s="1277"/>
      <c r="H465" s="1277"/>
      <c r="I465" s="1277"/>
      <c r="J465" s="1277"/>
      <c r="K465" s="1277"/>
      <c r="L465" s="1277"/>
      <c r="M465" s="1277"/>
      <c r="N465" s="1277"/>
      <c r="O465" s="1277"/>
      <c r="P465" s="205">
        <f>N462</f>
        <v>0</v>
      </c>
      <c r="Q465" s="203">
        <f>P465</f>
        <v>0</v>
      </c>
      <c r="R465" s="204">
        <f>Q465+R464</f>
        <v>0</v>
      </c>
      <c r="T465" s="1278"/>
      <c r="U465" s="1279"/>
    </row>
    <row r="466" spans="1:21" ht="18" customHeight="1">
      <c r="A466" s="187" t="e">
        <f>#REF!</f>
        <v>#REF!</v>
      </c>
      <c r="B466" s="1275" t="e">
        <f>IF(A466="","",VLOOKUP($A466,'[2]FDE-JUNHO-08'!$A$6:$D$3537,2,FALSE()))</f>
        <v>#REF!</v>
      </c>
      <c r="C466" s="1275"/>
      <c r="D466" s="1275"/>
      <c r="E466" s="1275"/>
      <c r="F466" s="1275"/>
      <c r="G466" s="1275"/>
      <c r="H466" s="1275"/>
      <c r="I466" s="1275"/>
      <c r="J466" s="1275"/>
      <c r="K466" s="1275"/>
      <c r="L466" s="1275"/>
      <c r="M466" s="1275"/>
      <c r="N466" s="1275"/>
      <c r="O466" s="1275"/>
      <c r="P466" s="188" t="e">
        <f>IF(A466="","",VLOOKUP($A466,'[2]FDE-JUNHO-08'!$A$6:$D$3537,3,FALSE()))</f>
        <v>#REF!</v>
      </c>
      <c r="Q466" s="189" t="s">
        <v>1205</v>
      </c>
      <c r="R466" s="189" t="s">
        <v>1206</v>
      </c>
      <c r="T466" s="190"/>
      <c r="U466" s="191"/>
    </row>
    <row r="467" spans="1:21">
      <c r="A467" s="192"/>
      <c r="B467" s="1281"/>
      <c r="C467" s="1281"/>
      <c r="D467" s="1281"/>
      <c r="E467" s="1281"/>
      <c r="F467" s="1281"/>
      <c r="G467" s="1281"/>
      <c r="H467" s="1281"/>
      <c r="I467" s="1281"/>
      <c r="J467" s="1281"/>
      <c r="K467" s="1281"/>
      <c r="L467" s="1281"/>
      <c r="M467" s="1281"/>
      <c r="N467" s="1281"/>
      <c r="O467" s="1281"/>
      <c r="P467" s="193"/>
      <c r="Q467" s="194"/>
      <c r="R467" s="194"/>
      <c r="T467" s="190"/>
      <c r="U467" s="191"/>
    </row>
    <row r="468" spans="1:21">
      <c r="A468" s="192"/>
      <c r="B468" s="195" t="s">
        <v>1207</v>
      </c>
      <c r="C468" s="196"/>
      <c r="D468" s="197"/>
      <c r="E468" s="198"/>
      <c r="F468" s="197"/>
      <c r="G468" s="198"/>
      <c r="H468" s="197"/>
      <c r="I468" s="198"/>
      <c r="J468" s="197"/>
      <c r="K468" s="198"/>
      <c r="L468" s="199"/>
      <c r="M468" s="199" t="s">
        <v>1208</v>
      </c>
      <c r="N468" s="199">
        <f>PLANILHA!E69</f>
        <v>286.33999999999997</v>
      </c>
      <c r="O468" s="155"/>
      <c r="P468" s="193"/>
      <c r="Q468" s="200"/>
      <c r="R468" s="194"/>
      <c r="T468" s="190"/>
      <c r="U468" s="191"/>
    </row>
    <row r="469" spans="1:21">
      <c r="A469" s="192"/>
      <c r="B469" s="195"/>
      <c r="C469" s="196"/>
      <c r="D469" s="197"/>
      <c r="E469" s="198"/>
      <c r="F469" s="197"/>
      <c r="G469" s="198"/>
      <c r="H469" s="197"/>
      <c r="I469" s="198"/>
      <c r="J469" s="197"/>
      <c r="K469" s="198"/>
      <c r="L469" s="199"/>
      <c r="M469" s="199"/>
      <c r="N469" s="201"/>
      <c r="O469" s="202"/>
      <c r="P469" s="193"/>
      <c r="Q469" s="200"/>
      <c r="R469" s="194"/>
      <c r="T469" s="190"/>
      <c r="U469" s="191"/>
    </row>
    <row r="470" spans="1:21">
      <c r="A470" s="192"/>
      <c r="B470" s="195"/>
      <c r="C470" s="196"/>
      <c r="D470" s="197"/>
      <c r="E470" s="198"/>
      <c r="F470" s="197"/>
      <c r="G470" s="198"/>
      <c r="H470" s="197"/>
      <c r="I470" s="198"/>
      <c r="J470" s="197"/>
      <c r="K470" s="198"/>
      <c r="L470" s="199" t="s">
        <v>1140</v>
      </c>
      <c r="M470" s="199" t="s">
        <v>1208</v>
      </c>
      <c r="N470" s="199">
        <f>SUM(N468:N469)</f>
        <v>286.33999999999997</v>
      </c>
      <c r="O470" s="155" t="e">
        <f>P466</f>
        <v>#REF!</v>
      </c>
      <c r="P470" s="193"/>
      <c r="Q470" s="200"/>
      <c r="R470" s="194"/>
      <c r="T470" s="190"/>
      <c r="U470" s="191"/>
    </row>
    <row r="471" spans="1:21">
      <c r="A471" s="192"/>
      <c r="B471" s="195"/>
      <c r="C471" s="196"/>
      <c r="D471" s="197"/>
      <c r="E471" s="198"/>
      <c r="F471" s="197"/>
      <c r="G471" s="198"/>
      <c r="H471" s="197"/>
      <c r="I471" s="198"/>
      <c r="J471" s="197"/>
      <c r="K471" s="198"/>
      <c r="L471" s="199"/>
      <c r="M471" s="199"/>
      <c r="N471" s="199"/>
      <c r="O471" s="155"/>
      <c r="P471" s="193"/>
      <c r="Q471" s="200"/>
      <c r="R471" s="194"/>
      <c r="T471" s="190"/>
      <c r="U471" s="191"/>
    </row>
    <row r="472" spans="1:21">
      <c r="A472" s="192"/>
      <c r="B472" s="1277" t="s">
        <v>1209</v>
      </c>
      <c r="C472" s="1277"/>
      <c r="D472" s="1277"/>
      <c r="E472" s="1277"/>
      <c r="F472" s="1277"/>
      <c r="G472" s="1277"/>
      <c r="H472" s="1277"/>
      <c r="I472" s="1277"/>
      <c r="J472" s="1277"/>
      <c r="K472" s="1277"/>
      <c r="L472" s="1277"/>
      <c r="M472" s="1277"/>
      <c r="N472" s="1277"/>
      <c r="O472" s="1277"/>
      <c r="P472" s="1277"/>
      <c r="Q472" s="203">
        <v>0</v>
      </c>
      <c r="R472" s="204">
        <f>Q472</f>
        <v>0</v>
      </c>
      <c r="T472" s="1278"/>
      <c r="U472" s="1279"/>
    </row>
    <row r="473" spans="1:21">
      <c r="A473" s="192"/>
      <c r="B473" s="1277" t="e">
        <f>med</f>
        <v>#NAME?</v>
      </c>
      <c r="C473" s="1277"/>
      <c r="D473" s="1277"/>
      <c r="E473" s="1277"/>
      <c r="F473" s="1277"/>
      <c r="G473" s="1277"/>
      <c r="H473" s="1277"/>
      <c r="I473" s="1277"/>
      <c r="J473" s="1277"/>
      <c r="K473" s="1277"/>
      <c r="L473" s="1277"/>
      <c r="M473" s="1277"/>
      <c r="N473" s="1277"/>
      <c r="O473" s="1277"/>
      <c r="P473" s="205">
        <f>N470</f>
        <v>286.33999999999997</v>
      </c>
      <c r="Q473" s="203">
        <f>P473</f>
        <v>286.33999999999997</v>
      </c>
      <c r="R473" s="204">
        <f>Q473+R472</f>
        <v>286.33999999999997</v>
      </c>
      <c r="T473" s="1278"/>
      <c r="U473" s="1279"/>
    </row>
    <row r="474" spans="1:21" ht="18" customHeight="1">
      <c r="A474" s="187" t="e">
        <f>#REF!</f>
        <v>#REF!</v>
      </c>
      <c r="B474" s="1275" t="e">
        <f>IF(A474="","",VLOOKUP($A474,'[2]FDE-JUNHO-08'!$A$6:$D$3537,2,FALSE()))</f>
        <v>#REF!</v>
      </c>
      <c r="C474" s="1275"/>
      <c r="D474" s="1275"/>
      <c r="E474" s="1275"/>
      <c r="F474" s="1275"/>
      <c r="G474" s="1275"/>
      <c r="H474" s="1275"/>
      <c r="I474" s="1275"/>
      <c r="J474" s="1275"/>
      <c r="K474" s="1275"/>
      <c r="L474" s="1275"/>
      <c r="M474" s="1275"/>
      <c r="N474" s="1275"/>
      <c r="O474" s="1275"/>
      <c r="P474" s="188" t="e">
        <f>IF(A474="","",VLOOKUP($A474,'[2]FDE-JUNHO-08'!$A$6:$D$3537,3,FALSE()))</f>
        <v>#REF!</v>
      </c>
      <c r="Q474" s="189" t="s">
        <v>1205</v>
      </c>
      <c r="R474" s="189" t="s">
        <v>1206</v>
      </c>
      <c r="T474" s="190"/>
      <c r="U474" s="191"/>
    </row>
    <row r="475" spans="1:21" ht="13.8">
      <c r="A475" s="192"/>
      <c r="B475" s="210"/>
      <c r="C475" s="196"/>
      <c r="D475" s="197"/>
      <c r="E475" s="198"/>
      <c r="F475" s="197"/>
      <c r="G475" s="198"/>
      <c r="H475" s="197"/>
      <c r="I475" s="198"/>
      <c r="J475" s="197"/>
      <c r="K475" s="198"/>
      <c r="L475" s="199"/>
      <c r="M475" s="199"/>
      <c r="N475" s="199"/>
      <c r="O475" s="155"/>
      <c r="P475" s="193"/>
      <c r="Q475" s="200"/>
      <c r="R475" s="194"/>
      <c r="T475" s="190"/>
      <c r="U475" s="191"/>
    </row>
    <row r="476" spans="1:21" ht="13.8">
      <c r="A476" s="192"/>
      <c r="B476" s="210" t="s">
        <v>1207</v>
      </c>
      <c r="C476" s="196"/>
      <c r="D476" s="197"/>
      <c r="E476" s="198"/>
      <c r="F476" s="197"/>
      <c r="G476" s="198"/>
      <c r="H476" s="197"/>
      <c r="I476" s="198"/>
      <c r="J476" s="197"/>
      <c r="K476" s="198"/>
      <c r="L476" s="199"/>
      <c r="M476" s="199" t="s">
        <v>1208</v>
      </c>
      <c r="N476" s="199">
        <f>PLANILHA!E70</f>
        <v>6</v>
      </c>
      <c r="O476" s="155"/>
      <c r="P476" s="193"/>
      <c r="Q476" s="200"/>
      <c r="R476" s="194"/>
      <c r="T476" s="190"/>
      <c r="U476" s="191"/>
    </row>
    <row r="477" spans="1:21">
      <c r="A477" s="192"/>
      <c r="B477" s="195"/>
      <c r="C477" s="196"/>
      <c r="D477" s="197"/>
      <c r="E477" s="198"/>
      <c r="F477" s="197"/>
      <c r="G477" s="198"/>
      <c r="H477" s="197"/>
      <c r="I477" s="198"/>
      <c r="J477" s="197"/>
      <c r="K477" s="198"/>
      <c r="L477" s="199"/>
      <c r="M477" s="199"/>
      <c r="N477" s="201"/>
      <c r="O477" s="202"/>
      <c r="P477" s="193"/>
      <c r="Q477" s="200"/>
      <c r="R477" s="194"/>
      <c r="T477" s="190"/>
      <c r="U477" s="191"/>
    </row>
    <row r="478" spans="1:21">
      <c r="A478" s="192"/>
      <c r="B478" s="195"/>
      <c r="C478" s="196"/>
      <c r="D478" s="197"/>
      <c r="E478" s="198"/>
      <c r="F478" s="197"/>
      <c r="G478" s="198"/>
      <c r="H478" s="197"/>
      <c r="I478" s="198"/>
      <c r="J478" s="197"/>
      <c r="K478" s="198"/>
      <c r="L478" s="199" t="s">
        <v>1140</v>
      </c>
      <c r="M478" s="199" t="s">
        <v>1208</v>
      </c>
      <c r="N478" s="199">
        <f>SUM(N475:N477)</f>
        <v>6</v>
      </c>
      <c r="O478" s="155" t="e">
        <f>P474</f>
        <v>#REF!</v>
      </c>
      <c r="P478" s="193"/>
      <c r="Q478" s="200"/>
      <c r="R478" s="194"/>
      <c r="T478" s="190"/>
      <c r="U478" s="191"/>
    </row>
    <row r="479" spans="1:21">
      <c r="A479" s="192"/>
      <c r="B479" s="195"/>
      <c r="C479" s="196"/>
      <c r="D479" s="197"/>
      <c r="E479" s="198"/>
      <c r="F479" s="197"/>
      <c r="G479" s="198"/>
      <c r="H479" s="197"/>
      <c r="I479" s="198"/>
      <c r="J479" s="197"/>
      <c r="K479" s="198"/>
      <c r="L479" s="199"/>
      <c r="M479" s="199"/>
      <c r="N479" s="199"/>
      <c r="O479" s="155"/>
      <c r="P479" s="193"/>
      <c r="Q479" s="200"/>
      <c r="R479" s="194"/>
      <c r="T479" s="190"/>
      <c r="U479" s="191"/>
    </row>
    <row r="480" spans="1:21">
      <c r="A480" s="192"/>
      <c r="B480" s="1277" t="s">
        <v>1209</v>
      </c>
      <c r="C480" s="1277"/>
      <c r="D480" s="1277"/>
      <c r="E480" s="1277"/>
      <c r="F480" s="1277"/>
      <c r="G480" s="1277"/>
      <c r="H480" s="1277"/>
      <c r="I480" s="1277"/>
      <c r="J480" s="1277"/>
      <c r="K480" s="1277"/>
      <c r="L480" s="1277"/>
      <c r="M480" s="1277"/>
      <c r="N480" s="1277"/>
      <c r="O480" s="1277"/>
      <c r="P480" s="1277"/>
      <c r="Q480" s="203">
        <v>0</v>
      </c>
      <c r="R480" s="204">
        <f>Q480</f>
        <v>0</v>
      </c>
      <c r="T480" s="1278"/>
      <c r="U480" s="1279"/>
    </row>
    <row r="481" spans="1:21">
      <c r="A481" s="206"/>
      <c r="B481" s="1277" t="e">
        <f>med</f>
        <v>#NAME?</v>
      </c>
      <c r="C481" s="1277"/>
      <c r="D481" s="1277"/>
      <c r="E481" s="1277"/>
      <c r="F481" s="1277"/>
      <c r="G481" s="1277"/>
      <c r="H481" s="1277"/>
      <c r="I481" s="1277"/>
      <c r="J481" s="1277"/>
      <c r="K481" s="1277"/>
      <c r="L481" s="1277"/>
      <c r="M481" s="1277"/>
      <c r="N481" s="1277"/>
      <c r="O481" s="1277"/>
      <c r="P481" s="205">
        <f>N478</f>
        <v>6</v>
      </c>
      <c r="Q481" s="203">
        <f>P481</f>
        <v>6</v>
      </c>
      <c r="R481" s="204">
        <f>Q481+R480</f>
        <v>6</v>
      </c>
      <c r="T481" s="1278"/>
      <c r="U481" s="1279"/>
    </row>
    <row r="482" spans="1:21" ht="18" customHeight="1">
      <c r="A482" s="187" t="e">
        <f>#REF!</f>
        <v>#REF!</v>
      </c>
      <c r="B482" s="1275" t="e">
        <f>IF(A482="","",VLOOKUP($A482,'[2]FDE-JUNHO-08'!$A$6:$D$3537,2,FALSE()))</f>
        <v>#REF!</v>
      </c>
      <c r="C482" s="1275"/>
      <c r="D482" s="1275"/>
      <c r="E482" s="1275"/>
      <c r="F482" s="1275"/>
      <c r="G482" s="1275"/>
      <c r="H482" s="1275"/>
      <c r="I482" s="1275"/>
      <c r="J482" s="1275"/>
      <c r="K482" s="1275"/>
      <c r="L482" s="1275"/>
      <c r="M482" s="1275"/>
      <c r="N482" s="1275"/>
      <c r="O482" s="1275"/>
      <c r="P482" s="188" t="e">
        <f>IF(A482="","",VLOOKUP($A482,'[2]FDE-JUNHO-08'!$A$6:$D$3537,3,FALSE()))</f>
        <v>#REF!</v>
      </c>
      <c r="Q482" s="189" t="s">
        <v>1205</v>
      </c>
      <c r="R482" s="189" t="s">
        <v>1206</v>
      </c>
      <c r="T482" s="190"/>
      <c r="U482" s="191"/>
    </row>
    <row r="483" spans="1:21">
      <c r="A483" s="192"/>
      <c r="B483" s="1281"/>
      <c r="C483" s="1281"/>
      <c r="D483" s="1281"/>
      <c r="E483" s="1281"/>
      <c r="F483" s="1281"/>
      <c r="G483" s="1281"/>
      <c r="H483" s="1281"/>
      <c r="I483" s="1281"/>
      <c r="J483" s="1281"/>
      <c r="K483" s="1281"/>
      <c r="L483" s="1281"/>
      <c r="M483" s="1281"/>
      <c r="N483" s="1281"/>
      <c r="O483" s="1281"/>
      <c r="P483" s="193"/>
      <c r="Q483" s="194"/>
      <c r="R483" s="194"/>
      <c r="T483" s="190"/>
      <c r="U483" s="191"/>
    </row>
    <row r="484" spans="1:21">
      <c r="A484" s="192"/>
      <c r="B484" s="212" t="s">
        <v>1207</v>
      </c>
      <c r="C484" s="218"/>
      <c r="D484" s="219"/>
      <c r="E484" s="207"/>
      <c r="F484" s="219"/>
      <c r="G484" s="207"/>
      <c r="H484" s="219"/>
      <c r="I484" s="207"/>
      <c r="J484" s="219"/>
      <c r="K484" s="207"/>
      <c r="L484" s="209"/>
      <c r="M484" s="209" t="s">
        <v>1208</v>
      </c>
      <c r="N484" s="199">
        <v>98</v>
      </c>
      <c r="O484" s="155"/>
      <c r="P484" s="193"/>
      <c r="Q484" s="200"/>
      <c r="R484" s="194"/>
      <c r="T484" s="190"/>
      <c r="U484" s="191"/>
    </row>
    <row r="485" spans="1:21">
      <c r="A485" s="192"/>
      <c r="B485" s="212"/>
      <c r="C485" s="218"/>
      <c r="D485" s="219"/>
      <c r="E485" s="207"/>
      <c r="F485" s="219"/>
      <c r="G485" s="207"/>
      <c r="H485" s="219"/>
      <c r="I485" s="207"/>
      <c r="J485" s="219"/>
      <c r="K485" s="207"/>
      <c r="L485" s="209"/>
      <c r="M485" s="209"/>
      <c r="N485" s="201"/>
      <c r="O485" s="202"/>
      <c r="P485" s="193"/>
      <c r="Q485" s="200"/>
      <c r="R485" s="194"/>
      <c r="T485" s="190"/>
      <c r="U485" s="191"/>
    </row>
    <row r="486" spans="1:21">
      <c r="A486" s="192"/>
      <c r="B486" s="212"/>
      <c r="C486" s="218"/>
      <c r="D486" s="219"/>
      <c r="E486" s="207"/>
      <c r="F486" s="219"/>
      <c r="G486" s="207"/>
      <c r="H486" s="219"/>
      <c r="I486" s="207"/>
      <c r="J486" s="219"/>
      <c r="K486" s="207"/>
      <c r="L486" s="209" t="s">
        <v>1140</v>
      </c>
      <c r="M486" s="209" t="s">
        <v>1208</v>
      </c>
      <c r="N486" s="199">
        <f>SUM(N484:N485)</f>
        <v>98</v>
      </c>
      <c r="O486" s="155" t="e">
        <f>P482</f>
        <v>#REF!</v>
      </c>
      <c r="P486" s="193"/>
      <c r="Q486" s="200"/>
      <c r="R486" s="194"/>
      <c r="T486" s="190"/>
      <c r="U486" s="191"/>
    </row>
    <row r="487" spans="1:21">
      <c r="A487" s="192"/>
      <c r="B487" s="195"/>
      <c r="C487" s="196"/>
      <c r="D487" s="197"/>
      <c r="E487" s="198"/>
      <c r="F487" s="197"/>
      <c r="G487" s="198"/>
      <c r="H487" s="197"/>
      <c r="I487" s="198"/>
      <c r="J487" s="197"/>
      <c r="K487" s="198"/>
      <c r="L487" s="199"/>
      <c r="M487" s="199"/>
      <c r="N487" s="199"/>
      <c r="O487" s="155"/>
      <c r="P487" s="193"/>
      <c r="Q487" s="200"/>
      <c r="R487" s="194"/>
      <c r="T487" s="190"/>
      <c r="U487" s="191"/>
    </row>
    <row r="488" spans="1:21">
      <c r="A488" s="192"/>
      <c r="B488" s="1277" t="s">
        <v>1209</v>
      </c>
      <c r="C488" s="1277"/>
      <c r="D488" s="1277"/>
      <c r="E488" s="1277"/>
      <c r="F488" s="1277"/>
      <c r="G488" s="1277"/>
      <c r="H488" s="1277"/>
      <c r="I488" s="1277"/>
      <c r="J488" s="1277"/>
      <c r="K488" s="1277"/>
      <c r="L488" s="1277"/>
      <c r="M488" s="1277"/>
      <c r="N488" s="1277"/>
      <c r="O488" s="1277"/>
      <c r="P488" s="1277"/>
      <c r="Q488" s="203">
        <v>0</v>
      </c>
      <c r="R488" s="204">
        <f>Q488</f>
        <v>0</v>
      </c>
      <c r="T488" s="1278"/>
      <c r="U488" s="1279"/>
    </row>
    <row r="489" spans="1:21">
      <c r="A489" s="192"/>
      <c r="B489" s="1277" t="e">
        <f>med</f>
        <v>#NAME?</v>
      </c>
      <c r="C489" s="1277"/>
      <c r="D489" s="1277"/>
      <c r="E489" s="1277"/>
      <c r="F489" s="1277"/>
      <c r="G489" s="1277"/>
      <c r="H489" s="1277"/>
      <c r="I489" s="1277"/>
      <c r="J489" s="1277"/>
      <c r="K489" s="1277"/>
      <c r="L489" s="1277"/>
      <c r="M489" s="1277"/>
      <c r="N489" s="1277"/>
      <c r="O489" s="1277"/>
      <c r="P489" s="205">
        <f>N486</f>
        <v>98</v>
      </c>
      <c r="Q489" s="203">
        <f>P489</f>
        <v>98</v>
      </c>
      <c r="R489" s="204">
        <f>Q489+R488</f>
        <v>98</v>
      </c>
      <c r="T489" s="1278"/>
      <c r="U489" s="1279"/>
    </row>
    <row r="490" spans="1:21" ht="18" customHeight="1">
      <c r="A490" s="187" t="e">
        <f>#REF!</f>
        <v>#REF!</v>
      </c>
      <c r="B490" s="1275" t="e">
        <f>IF(A490="","",VLOOKUP($A490,'[2]FDE-JUNHO-08'!$A$6:$D$3537,2,FALSE()))</f>
        <v>#REF!</v>
      </c>
      <c r="C490" s="1275"/>
      <c r="D490" s="1275"/>
      <c r="E490" s="1275"/>
      <c r="F490" s="1275"/>
      <c r="G490" s="1275"/>
      <c r="H490" s="1275"/>
      <c r="I490" s="1275"/>
      <c r="J490" s="1275"/>
      <c r="K490" s="1275"/>
      <c r="L490" s="1275"/>
      <c r="M490" s="1275"/>
      <c r="N490" s="1275"/>
      <c r="O490" s="1275"/>
      <c r="P490" s="188" t="e">
        <f>IF(A490="","",VLOOKUP($A490,'[2]FDE-JUNHO-08'!$A$6:$D$3537,3,FALSE()))</f>
        <v>#REF!</v>
      </c>
      <c r="Q490" s="189" t="s">
        <v>1205</v>
      </c>
      <c r="R490" s="189" t="s">
        <v>1206</v>
      </c>
      <c r="T490" s="190"/>
      <c r="U490" s="191"/>
    </row>
    <row r="491" spans="1:21">
      <c r="A491" s="192"/>
      <c r="B491" s="1281"/>
      <c r="C491" s="1281"/>
      <c r="D491" s="1281"/>
      <c r="E491" s="1281"/>
      <c r="F491" s="1281"/>
      <c r="G491" s="1281"/>
      <c r="H491" s="1281"/>
      <c r="I491" s="1281"/>
      <c r="J491" s="1281"/>
      <c r="K491" s="1281"/>
      <c r="L491" s="1281"/>
      <c r="M491" s="1281"/>
      <c r="N491" s="1281"/>
      <c r="O491" s="1281"/>
      <c r="P491" s="193"/>
      <c r="Q491" s="194"/>
      <c r="R491" s="194"/>
      <c r="T491" s="190"/>
      <c r="U491" s="191"/>
    </row>
    <row r="492" spans="1:21">
      <c r="A492" s="192"/>
      <c r="B492" s="195" t="s">
        <v>1207</v>
      </c>
      <c r="C492" s="196"/>
      <c r="D492" s="197"/>
      <c r="E492" s="198"/>
      <c r="F492" s="197"/>
      <c r="G492" s="198"/>
      <c r="H492" s="197"/>
      <c r="I492" s="198"/>
      <c r="J492" s="197"/>
      <c r="K492" s="198"/>
      <c r="L492" s="199"/>
      <c r="M492" s="199" t="s">
        <v>1208</v>
      </c>
      <c r="N492" s="199" t="e">
        <f>#REF!</f>
        <v>#REF!</v>
      </c>
      <c r="O492" s="155"/>
      <c r="P492" s="193"/>
      <c r="Q492" s="200"/>
      <c r="R492" s="194"/>
      <c r="T492" s="190"/>
      <c r="U492" s="191"/>
    </row>
    <row r="493" spans="1:21">
      <c r="A493" s="192"/>
      <c r="B493" s="195"/>
      <c r="C493" s="196"/>
      <c r="D493" s="197"/>
      <c r="E493" s="198"/>
      <c r="F493" s="197"/>
      <c r="G493" s="198"/>
      <c r="H493" s="197"/>
      <c r="I493" s="198"/>
      <c r="J493" s="197"/>
      <c r="K493" s="198"/>
      <c r="L493" s="199"/>
      <c r="M493" s="199"/>
      <c r="N493" s="201"/>
      <c r="O493" s="202"/>
      <c r="P493" s="193"/>
      <c r="Q493" s="200"/>
      <c r="R493" s="194"/>
      <c r="T493" s="190"/>
      <c r="U493" s="191"/>
    </row>
    <row r="494" spans="1:21">
      <c r="A494" s="192"/>
      <c r="B494" s="195"/>
      <c r="C494" s="196"/>
      <c r="D494" s="197"/>
      <c r="E494" s="198"/>
      <c r="F494" s="197"/>
      <c r="G494" s="198"/>
      <c r="H494" s="197"/>
      <c r="I494" s="198"/>
      <c r="J494" s="197"/>
      <c r="K494" s="198"/>
      <c r="L494" s="199" t="s">
        <v>1140</v>
      </c>
      <c r="M494" s="199" t="s">
        <v>1208</v>
      </c>
      <c r="N494" s="199" t="e">
        <f>SUM(N492:N493)</f>
        <v>#REF!</v>
      </c>
      <c r="O494" s="155" t="e">
        <f>P490</f>
        <v>#REF!</v>
      </c>
      <c r="P494" s="193"/>
      <c r="Q494" s="200"/>
      <c r="R494" s="194"/>
      <c r="T494" s="190"/>
      <c r="U494" s="191"/>
    </row>
    <row r="495" spans="1:21">
      <c r="A495" s="192"/>
      <c r="B495" s="195"/>
      <c r="C495" s="196"/>
      <c r="D495" s="197"/>
      <c r="E495" s="198"/>
      <c r="F495" s="197"/>
      <c r="G495" s="198"/>
      <c r="H495" s="197"/>
      <c r="I495" s="198"/>
      <c r="J495" s="197"/>
      <c r="K495" s="198"/>
      <c r="L495" s="199"/>
      <c r="M495" s="199"/>
      <c r="N495" s="199"/>
      <c r="O495" s="155"/>
      <c r="P495" s="193"/>
      <c r="Q495" s="200"/>
      <c r="R495" s="194"/>
      <c r="T495" s="190"/>
      <c r="U495" s="191"/>
    </row>
    <row r="496" spans="1:21">
      <c r="A496" s="192"/>
      <c r="B496" s="1277" t="s">
        <v>1209</v>
      </c>
      <c r="C496" s="1277"/>
      <c r="D496" s="1277"/>
      <c r="E496" s="1277"/>
      <c r="F496" s="1277"/>
      <c r="G496" s="1277"/>
      <c r="H496" s="1277"/>
      <c r="I496" s="1277"/>
      <c r="J496" s="1277"/>
      <c r="K496" s="1277"/>
      <c r="L496" s="1277"/>
      <c r="M496" s="1277"/>
      <c r="N496" s="1277"/>
      <c r="O496" s="1277"/>
      <c r="P496" s="1277"/>
      <c r="Q496" s="203">
        <v>0</v>
      </c>
      <c r="R496" s="204">
        <f>Q496</f>
        <v>0</v>
      </c>
      <c r="T496" s="1278"/>
      <c r="U496" s="1279"/>
    </row>
    <row r="497" spans="1:21">
      <c r="A497" s="192"/>
      <c r="B497" s="1277" t="e">
        <f>med</f>
        <v>#NAME?</v>
      </c>
      <c r="C497" s="1277"/>
      <c r="D497" s="1277"/>
      <c r="E497" s="1277"/>
      <c r="F497" s="1277"/>
      <c r="G497" s="1277"/>
      <c r="H497" s="1277"/>
      <c r="I497" s="1277"/>
      <c r="J497" s="1277"/>
      <c r="K497" s="1277"/>
      <c r="L497" s="1277"/>
      <c r="M497" s="1277"/>
      <c r="N497" s="1277"/>
      <c r="O497" s="1277"/>
      <c r="P497" s="205" t="e">
        <f>N494</f>
        <v>#REF!</v>
      </c>
      <c r="Q497" s="203" t="e">
        <f>P497</f>
        <v>#REF!</v>
      </c>
      <c r="R497" s="204" t="e">
        <f>Q497+R496</f>
        <v>#REF!</v>
      </c>
      <c r="T497" s="1278"/>
      <c r="U497" s="1279"/>
    </row>
    <row r="498" spans="1:21" ht="18" customHeight="1">
      <c r="A498" s="187" t="e">
        <f>#REF!</f>
        <v>#REF!</v>
      </c>
      <c r="B498" s="1275" t="e">
        <f>IF(A498="","",VLOOKUP($A498,'[2]FDE-JUNHO-08'!$A$6:$D$3537,2,FALSE()))</f>
        <v>#REF!</v>
      </c>
      <c r="C498" s="1275"/>
      <c r="D498" s="1275"/>
      <c r="E498" s="1275"/>
      <c r="F498" s="1275"/>
      <c r="G498" s="1275"/>
      <c r="H498" s="1275"/>
      <c r="I498" s="1275"/>
      <c r="J498" s="1275"/>
      <c r="K498" s="1275"/>
      <c r="L498" s="1275"/>
      <c r="M498" s="1275"/>
      <c r="N498" s="1275"/>
      <c r="O498" s="1275"/>
      <c r="P498" s="188" t="e">
        <f>IF(A498="","",VLOOKUP($A498,'[2]FDE-JUNHO-08'!$A$6:$D$3537,3,FALSE()))</f>
        <v>#REF!</v>
      </c>
      <c r="Q498" s="189" t="s">
        <v>1205</v>
      </c>
      <c r="R498" s="189" t="s">
        <v>1206</v>
      </c>
      <c r="T498" s="190"/>
      <c r="U498" s="191"/>
    </row>
    <row r="499" spans="1:21">
      <c r="A499" s="192"/>
      <c r="B499" s="1281"/>
      <c r="C499" s="1281"/>
      <c r="D499" s="1281"/>
      <c r="E499" s="1281"/>
      <c r="F499" s="1281"/>
      <c r="G499" s="1281"/>
      <c r="H499" s="1281"/>
      <c r="I499" s="1281"/>
      <c r="J499" s="1281"/>
      <c r="K499" s="1281"/>
      <c r="L499" s="1281"/>
      <c r="M499" s="1281"/>
      <c r="N499" s="1281"/>
      <c r="O499" s="1281"/>
      <c r="P499" s="193"/>
      <c r="Q499" s="194"/>
      <c r="R499" s="194"/>
      <c r="T499" s="190"/>
      <c r="U499" s="191"/>
    </row>
    <row r="500" spans="1:21">
      <c r="A500" s="192"/>
      <c r="B500" s="195" t="s">
        <v>1207</v>
      </c>
      <c r="C500" s="196"/>
      <c r="D500" s="197"/>
      <c r="E500" s="198"/>
      <c r="F500" s="197"/>
      <c r="G500" s="198"/>
      <c r="H500" s="197"/>
      <c r="I500" s="198"/>
      <c r="J500" s="197"/>
      <c r="K500" s="198"/>
      <c r="L500" s="199"/>
      <c r="M500" s="199" t="s">
        <v>1208</v>
      </c>
      <c r="N500" s="199">
        <v>11</v>
      </c>
      <c r="O500" s="155"/>
      <c r="P500" s="193"/>
      <c r="Q500" s="200"/>
      <c r="R500" s="194"/>
      <c r="T500" s="190"/>
      <c r="U500" s="191"/>
    </row>
    <row r="501" spans="1:21">
      <c r="A501" s="192"/>
      <c r="B501" s="195"/>
      <c r="C501" s="196"/>
      <c r="D501" s="197"/>
      <c r="E501" s="198"/>
      <c r="F501" s="197"/>
      <c r="G501" s="198"/>
      <c r="H501" s="197"/>
      <c r="I501" s="198"/>
      <c r="J501" s="197"/>
      <c r="K501" s="198"/>
      <c r="L501" s="199"/>
      <c r="M501" s="199"/>
      <c r="N501" s="201"/>
      <c r="O501" s="202"/>
      <c r="P501" s="193"/>
      <c r="Q501" s="200"/>
      <c r="R501" s="194"/>
      <c r="T501" s="190"/>
      <c r="U501" s="191"/>
    </row>
    <row r="502" spans="1:21">
      <c r="A502" s="192"/>
      <c r="B502" s="195"/>
      <c r="C502" s="196"/>
      <c r="D502" s="197"/>
      <c r="E502" s="198"/>
      <c r="F502" s="197"/>
      <c r="G502" s="198"/>
      <c r="H502" s="197"/>
      <c r="I502" s="198"/>
      <c r="J502" s="197"/>
      <c r="K502" s="198"/>
      <c r="L502" s="199" t="s">
        <v>1140</v>
      </c>
      <c r="M502" s="199" t="s">
        <v>1208</v>
      </c>
      <c r="N502" s="199">
        <f>SUM(N500:N501)</f>
        <v>11</v>
      </c>
      <c r="O502" s="155" t="e">
        <f>P498</f>
        <v>#REF!</v>
      </c>
      <c r="P502" s="193"/>
      <c r="Q502" s="200"/>
      <c r="R502" s="194"/>
      <c r="T502" s="190"/>
      <c r="U502" s="191"/>
    </row>
    <row r="503" spans="1:21">
      <c r="A503" s="192"/>
      <c r="B503" s="195"/>
      <c r="C503" s="196"/>
      <c r="D503" s="197"/>
      <c r="E503" s="198"/>
      <c r="F503" s="197"/>
      <c r="G503" s="198"/>
      <c r="H503" s="197"/>
      <c r="I503" s="198"/>
      <c r="J503" s="197"/>
      <c r="K503" s="198"/>
      <c r="L503" s="199"/>
      <c r="M503" s="199"/>
      <c r="N503" s="199"/>
      <c r="O503" s="155"/>
      <c r="P503" s="193"/>
      <c r="Q503" s="200"/>
      <c r="R503" s="194"/>
      <c r="T503" s="190"/>
      <c r="U503" s="191"/>
    </row>
    <row r="504" spans="1:21">
      <c r="A504" s="192"/>
      <c r="B504" s="1277" t="s">
        <v>1209</v>
      </c>
      <c r="C504" s="1277"/>
      <c r="D504" s="1277"/>
      <c r="E504" s="1277"/>
      <c r="F504" s="1277"/>
      <c r="G504" s="1277"/>
      <c r="H504" s="1277"/>
      <c r="I504" s="1277"/>
      <c r="J504" s="1277"/>
      <c r="K504" s="1277"/>
      <c r="L504" s="1277"/>
      <c r="M504" s="1277"/>
      <c r="N504" s="1277"/>
      <c r="O504" s="1277"/>
      <c r="P504" s="1277"/>
      <c r="Q504" s="203">
        <v>0</v>
      </c>
      <c r="R504" s="204">
        <f>Q504</f>
        <v>0</v>
      </c>
      <c r="T504" s="1278"/>
      <c r="U504" s="1279"/>
    </row>
    <row r="505" spans="1:21">
      <c r="A505" s="192"/>
      <c r="B505" s="1277" t="e">
        <f>med</f>
        <v>#NAME?</v>
      </c>
      <c r="C505" s="1277"/>
      <c r="D505" s="1277"/>
      <c r="E505" s="1277"/>
      <c r="F505" s="1277"/>
      <c r="G505" s="1277"/>
      <c r="H505" s="1277"/>
      <c r="I505" s="1277"/>
      <c r="J505" s="1277"/>
      <c r="K505" s="1277"/>
      <c r="L505" s="1277"/>
      <c r="M505" s="1277"/>
      <c r="N505" s="1277"/>
      <c r="O505" s="1277"/>
      <c r="P505" s="205">
        <f>N502</f>
        <v>11</v>
      </c>
      <c r="Q505" s="203">
        <f>P505</f>
        <v>11</v>
      </c>
      <c r="R505" s="204">
        <f>Q505+R504</f>
        <v>11</v>
      </c>
      <c r="T505" s="1278"/>
      <c r="U505" s="1279"/>
    </row>
    <row r="506" spans="1:21" ht="18" customHeight="1">
      <c r="A506" s="187" t="e">
        <f>#REF!</f>
        <v>#REF!</v>
      </c>
      <c r="B506" s="1275" t="e">
        <f>IF(A506="","",VLOOKUP($A506,'[2]FDE-JUNHO-08'!$A$6:$D$3537,2,FALSE()))</f>
        <v>#REF!</v>
      </c>
      <c r="C506" s="1275"/>
      <c r="D506" s="1275"/>
      <c r="E506" s="1275"/>
      <c r="F506" s="1275"/>
      <c r="G506" s="1275"/>
      <c r="H506" s="1275"/>
      <c r="I506" s="1275"/>
      <c r="J506" s="1275"/>
      <c r="K506" s="1275"/>
      <c r="L506" s="1275"/>
      <c r="M506" s="1275"/>
      <c r="N506" s="1275"/>
      <c r="O506" s="1275"/>
      <c r="P506" s="188" t="e">
        <f>IF(A506="","",VLOOKUP($A506,'[2]FDE-JUNHO-08'!$A$6:$D$3537,3,FALSE()))</f>
        <v>#REF!</v>
      </c>
      <c r="Q506" s="189" t="s">
        <v>1205</v>
      </c>
      <c r="R506" s="189" t="s">
        <v>1206</v>
      </c>
      <c r="T506" s="190"/>
      <c r="U506" s="191"/>
    </row>
    <row r="507" spans="1:21">
      <c r="A507" s="192"/>
      <c r="B507" s="1281"/>
      <c r="C507" s="1281"/>
      <c r="D507" s="1281"/>
      <c r="E507" s="1281"/>
      <c r="F507" s="1281"/>
      <c r="G507" s="1281"/>
      <c r="H507" s="1281"/>
      <c r="I507" s="1281"/>
      <c r="J507" s="1281"/>
      <c r="K507" s="1281"/>
      <c r="L507" s="1281"/>
      <c r="M507" s="1281"/>
      <c r="N507" s="1281"/>
      <c r="O507" s="1281"/>
      <c r="P507" s="193"/>
      <c r="Q507" s="194"/>
      <c r="R507" s="194"/>
      <c r="T507" s="190"/>
      <c r="U507" s="191"/>
    </row>
    <row r="508" spans="1:21" ht="13.8">
      <c r="A508" s="192"/>
      <c r="B508" s="210" t="s">
        <v>1207</v>
      </c>
      <c r="C508" s="196"/>
      <c r="D508" s="197"/>
      <c r="E508" s="198"/>
      <c r="F508" s="197"/>
      <c r="G508" s="198"/>
      <c r="H508" s="197"/>
      <c r="I508" s="198"/>
      <c r="J508" s="197"/>
      <c r="K508" s="198"/>
      <c r="L508" s="199"/>
      <c r="M508" s="199" t="s">
        <v>1208</v>
      </c>
      <c r="N508" s="199">
        <v>64</v>
      </c>
      <c r="O508" s="155"/>
      <c r="P508" s="193"/>
      <c r="Q508" s="200"/>
      <c r="R508" s="194"/>
      <c r="T508" s="190"/>
      <c r="U508" s="191"/>
    </row>
    <row r="509" spans="1:21">
      <c r="A509" s="192"/>
      <c r="B509" s="195"/>
      <c r="C509" s="196"/>
      <c r="D509" s="197"/>
      <c r="E509" s="198"/>
      <c r="F509" s="197"/>
      <c r="G509" s="198"/>
      <c r="H509" s="197"/>
      <c r="I509" s="198"/>
      <c r="J509" s="197"/>
      <c r="K509" s="198"/>
      <c r="L509" s="199"/>
      <c r="M509" s="199"/>
      <c r="N509" s="201"/>
      <c r="O509" s="202"/>
      <c r="P509" s="193"/>
      <c r="Q509" s="200"/>
      <c r="R509" s="194"/>
      <c r="T509" s="190"/>
      <c r="U509" s="191"/>
    </row>
    <row r="510" spans="1:21">
      <c r="A510" s="192"/>
      <c r="B510" s="195"/>
      <c r="C510" s="196"/>
      <c r="D510" s="197"/>
      <c r="E510" s="198"/>
      <c r="F510" s="197"/>
      <c r="G510" s="198"/>
      <c r="H510" s="197"/>
      <c r="I510" s="198"/>
      <c r="J510" s="197"/>
      <c r="K510" s="198"/>
      <c r="L510" s="199" t="s">
        <v>1140</v>
      </c>
      <c r="M510" s="199" t="s">
        <v>1208</v>
      </c>
      <c r="N510" s="199">
        <f>SUM(N508:N509)</f>
        <v>64</v>
      </c>
      <c r="O510" s="155" t="e">
        <f>P506</f>
        <v>#REF!</v>
      </c>
      <c r="P510" s="193"/>
      <c r="Q510" s="200"/>
      <c r="R510" s="194"/>
      <c r="T510" s="190"/>
      <c r="U510" s="191"/>
    </row>
    <row r="511" spans="1:21">
      <c r="A511" s="192"/>
      <c r="B511" s="195"/>
      <c r="C511" s="196"/>
      <c r="D511" s="197"/>
      <c r="E511" s="198"/>
      <c r="F511" s="197"/>
      <c r="G511" s="198"/>
      <c r="H511" s="197"/>
      <c r="I511" s="198"/>
      <c r="J511" s="197"/>
      <c r="K511" s="198"/>
      <c r="L511" s="199"/>
      <c r="M511" s="199"/>
      <c r="N511" s="199"/>
      <c r="O511" s="155"/>
      <c r="P511" s="193"/>
      <c r="Q511" s="200"/>
      <c r="R511" s="194"/>
      <c r="T511" s="190"/>
      <c r="U511" s="191"/>
    </row>
    <row r="512" spans="1:21">
      <c r="A512" s="192"/>
      <c r="B512" s="1277" t="s">
        <v>1209</v>
      </c>
      <c r="C512" s="1277"/>
      <c r="D512" s="1277"/>
      <c r="E512" s="1277"/>
      <c r="F512" s="1277"/>
      <c r="G512" s="1277"/>
      <c r="H512" s="1277"/>
      <c r="I512" s="1277"/>
      <c r="J512" s="1277"/>
      <c r="K512" s="1277"/>
      <c r="L512" s="1277"/>
      <c r="M512" s="1277"/>
      <c r="N512" s="1277"/>
      <c r="O512" s="1277"/>
      <c r="P512" s="1277"/>
      <c r="Q512" s="203">
        <v>0</v>
      </c>
      <c r="R512" s="204">
        <f>Q512</f>
        <v>0</v>
      </c>
      <c r="T512" s="1278"/>
      <c r="U512" s="1279"/>
    </row>
    <row r="513" spans="1:21">
      <c r="A513" s="192"/>
      <c r="B513" s="1277" t="e">
        <f>med</f>
        <v>#NAME?</v>
      </c>
      <c r="C513" s="1277"/>
      <c r="D513" s="1277"/>
      <c r="E513" s="1277"/>
      <c r="F513" s="1277"/>
      <c r="G513" s="1277"/>
      <c r="H513" s="1277"/>
      <c r="I513" s="1277"/>
      <c r="J513" s="1277"/>
      <c r="K513" s="1277"/>
      <c r="L513" s="1277"/>
      <c r="M513" s="1277"/>
      <c r="N513" s="1277"/>
      <c r="O513" s="1277"/>
      <c r="P513" s="205">
        <f>N510</f>
        <v>64</v>
      </c>
      <c r="Q513" s="203">
        <f>P513</f>
        <v>64</v>
      </c>
      <c r="R513" s="204">
        <f>Q513+R512</f>
        <v>64</v>
      </c>
      <c r="T513" s="1278"/>
      <c r="U513" s="1279"/>
    </row>
    <row r="514" spans="1:21" ht="18" customHeight="1">
      <c r="A514" s="187" t="e">
        <f>#REF!</f>
        <v>#REF!</v>
      </c>
      <c r="B514" s="1275" t="e">
        <f>IF(A514="","",VLOOKUP($A514,'[2]FDE-JUNHO-08'!$A$6:$D$3537,2,FALSE()))</f>
        <v>#REF!</v>
      </c>
      <c r="C514" s="1275"/>
      <c r="D514" s="1275"/>
      <c r="E514" s="1275"/>
      <c r="F514" s="1275"/>
      <c r="G514" s="1275"/>
      <c r="H514" s="1275"/>
      <c r="I514" s="1275"/>
      <c r="J514" s="1275"/>
      <c r="K514" s="1275"/>
      <c r="L514" s="1275"/>
      <c r="M514" s="1275"/>
      <c r="N514" s="1275"/>
      <c r="O514" s="1275"/>
      <c r="P514" s="188" t="e">
        <f>IF(A514="","",VLOOKUP($A514,'[2]FDE-JUNHO-08'!$A$6:$D$3537,3,FALSE()))</f>
        <v>#REF!</v>
      </c>
      <c r="Q514" s="189" t="s">
        <v>1205</v>
      </c>
      <c r="R514" s="189" t="s">
        <v>1206</v>
      </c>
      <c r="T514" s="190"/>
      <c r="U514" s="191"/>
    </row>
    <row r="515" spans="1:21">
      <c r="A515" s="192"/>
      <c r="B515" s="1281"/>
      <c r="C515" s="1281"/>
      <c r="D515" s="1281"/>
      <c r="E515" s="1281"/>
      <c r="F515" s="1281"/>
      <c r="G515" s="1281"/>
      <c r="H515" s="1281"/>
      <c r="I515" s="1281"/>
      <c r="J515" s="1281"/>
      <c r="K515" s="1281"/>
      <c r="L515" s="1281"/>
      <c r="M515" s="1281"/>
      <c r="N515" s="1281"/>
      <c r="O515" s="1281"/>
      <c r="P515" s="193"/>
      <c r="Q515" s="194"/>
      <c r="R515" s="194"/>
      <c r="T515" s="190"/>
      <c r="U515" s="191"/>
    </row>
    <row r="516" spans="1:21">
      <c r="A516" s="192"/>
      <c r="B516" s="195" t="s">
        <v>1207</v>
      </c>
      <c r="C516" s="196"/>
      <c r="D516" s="197"/>
      <c r="E516" s="198"/>
      <c r="F516" s="197"/>
      <c r="G516" s="198"/>
      <c r="H516" s="197"/>
      <c r="I516" s="198"/>
      <c r="J516" s="197"/>
      <c r="K516" s="198"/>
      <c r="L516" s="199"/>
      <c r="M516" s="199" t="s">
        <v>1208</v>
      </c>
      <c r="N516" s="199">
        <f>PLANILHA!E75</f>
        <v>64</v>
      </c>
      <c r="O516" s="155"/>
      <c r="P516" s="193"/>
      <c r="Q516" s="200"/>
      <c r="R516" s="194"/>
      <c r="T516" s="190"/>
      <c r="U516" s="191"/>
    </row>
    <row r="517" spans="1:21">
      <c r="A517" s="192"/>
      <c r="B517" s="195"/>
      <c r="C517" s="196"/>
      <c r="D517" s="197"/>
      <c r="E517" s="198"/>
      <c r="F517" s="197"/>
      <c r="G517" s="198"/>
      <c r="H517" s="197"/>
      <c r="I517" s="198"/>
      <c r="J517" s="197"/>
      <c r="K517" s="198"/>
      <c r="L517" s="199"/>
      <c r="M517" s="199"/>
      <c r="N517" s="201"/>
      <c r="O517" s="202"/>
      <c r="P517" s="193"/>
      <c r="Q517" s="200"/>
      <c r="R517" s="194"/>
      <c r="T517" s="190"/>
      <c r="U517" s="191"/>
    </row>
    <row r="518" spans="1:21">
      <c r="A518" s="192"/>
      <c r="B518" s="195"/>
      <c r="C518" s="196"/>
      <c r="D518" s="197"/>
      <c r="E518" s="198"/>
      <c r="F518" s="197"/>
      <c r="G518" s="198"/>
      <c r="H518" s="197"/>
      <c r="I518" s="198"/>
      <c r="J518" s="197"/>
      <c r="K518" s="198"/>
      <c r="L518" s="199" t="s">
        <v>1140</v>
      </c>
      <c r="M518" s="199" t="s">
        <v>1208</v>
      </c>
      <c r="N518" s="199">
        <f>SUM(N516:N517)</f>
        <v>64</v>
      </c>
      <c r="O518" s="155" t="e">
        <f>P514</f>
        <v>#REF!</v>
      </c>
      <c r="P518" s="193"/>
      <c r="Q518" s="200"/>
      <c r="R518" s="194"/>
      <c r="T518" s="190"/>
      <c r="U518" s="191"/>
    </row>
    <row r="519" spans="1:21">
      <c r="A519" s="192"/>
      <c r="B519" s="195"/>
      <c r="C519" s="196"/>
      <c r="D519" s="197"/>
      <c r="E519" s="198"/>
      <c r="F519" s="197"/>
      <c r="G519" s="198"/>
      <c r="H519" s="197"/>
      <c r="I519" s="198"/>
      <c r="J519" s="197"/>
      <c r="K519" s="198"/>
      <c r="L519" s="199"/>
      <c r="M519" s="199"/>
      <c r="N519" s="199"/>
      <c r="O519" s="155"/>
      <c r="P519" s="193"/>
      <c r="Q519" s="200"/>
      <c r="R519" s="194"/>
      <c r="T519" s="190"/>
      <c r="U519" s="191"/>
    </row>
    <row r="520" spans="1:21">
      <c r="A520" s="192"/>
      <c r="B520" s="1277" t="s">
        <v>1209</v>
      </c>
      <c r="C520" s="1277"/>
      <c r="D520" s="1277"/>
      <c r="E520" s="1277"/>
      <c r="F520" s="1277"/>
      <c r="G520" s="1277"/>
      <c r="H520" s="1277"/>
      <c r="I520" s="1277"/>
      <c r="J520" s="1277"/>
      <c r="K520" s="1277"/>
      <c r="L520" s="1277"/>
      <c r="M520" s="1277"/>
      <c r="N520" s="1277"/>
      <c r="O520" s="1277"/>
      <c r="P520" s="1277"/>
      <c r="Q520" s="203">
        <v>0</v>
      </c>
      <c r="R520" s="204">
        <f>Q520</f>
        <v>0</v>
      </c>
      <c r="T520" s="1278"/>
      <c r="U520" s="1279"/>
    </row>
    <row r="521" spans="1:21">
      <c r="A521" s="192"/>
      <c r="B521" s="1277" t="e">
        <f>med</f>
        <v>#NAME?</v>
      </c>
      <c r="C521" s="1277"/>
      <c r="D521" s="1277"/>
      <c r="E521" s="1277"/>
      <c r="F521" s="1277"/>
      <c r="G521" s="1277"/>
      <c r="H521" s="1277"/>
      <c r="I521" s="1277"/>
      <c r="J521" s="1277"/>
      <c r="K521" s="1277"/>
      <c r="L521" s="1277"/>
      <c r="M521" s="1277"/>
      <c r="N521" s="1277"/>
      <c r="O521" s="1277"/>
      <c r="P521" s="205">
        <f>N518</f>
        <v>64</v>
      </c>
      <c r="Q521" s="203">
        <f>P521</f>
        <v>64</v>
      </c>
      <c r="R521" s="204">
        <f>Q521+R520</f>
        <v>64</v>
      </c>
      <c r="T521" s="1278"/>
      <c r="U521" s="1279"/>
    </row>
    <row r="522" spans="1:21" ht="18" customHeight="1">
      <c r="A522" s="187" t="e">
        <f>#REF!</f>
        <v>#REF!</v>
      </c>
      <c r="B522" s="1275" t="e">
        <f>IF(A522="","",VLOOKUP($A522,'[2]FDE-JUNHO-08'!$A$6:$D$3537,2,FALSE()))</f>
        <v>#REF!</v>
      </c>
      <c r="C522" s="1275"/>
      <c r="D522" s="1275"/>
      <c r="E522" s="1275"/>
      <c r="F522" s="1275"/>
      <c r="G522" s="1275"/>
      <c r="H522" s="1275"/>
      <c r="I522" s="1275"/>
      <c r="J522" s="1275"/>
      <c r="K522" s="1275"/>
      <c r="L522" s="1275"/>
      <c r="M522" s="1275"/>
      <c r="N522" s="1275"/>
      <c r="O522" s="1275"/>
      <c r="P522" s="188" t="e">
        <f>IF(A522="","",VLOOKUP($A522,'[2]FDE-JUNHO-08'!$A$6:$D$3537,3,FALSE()))</f>
        <v>#REF!</v>
      </c>
      <c r="Q522" s="189" t="s">
        <v>1205</v>
      </c>
      <c r="R522" s="189" t="s">
        <v>1206</v>
      </c>
      <c r="T522" s="190"/>
      <c r="U522" s="191"/>
    </row>
    <row r="523" spans="1:21">
      <c r="A523" s="192"/>
      <c r="B523" s="1281"/>
      <c r="C523" s="1281"/>
      <c r="D523" s="1281"/>
      <c r="E523" s="1281"/>
      <c r="F523" s="1281"/>
      <c r="G523" s="1281"/>
      <c r="H523" s="1281"/>
      <c r="I523" s="1281"/>
      <c r="J523" s="1281"/>
      <c r="K523" s="1281"/>
      <c r="L523" s="1281"/>
      <c r="M523" s="1281"/>
      <c r="N523" s="1281"/>
      <c r="O523" s="1281"/>
      <c r="P523" s="193"/>
      <c r="Q523" s="194"/>
      <c r="R523" s="194"/>
      <c r="T523" s="190"/>
      <c r="U523" s="191"/>
    </row>
    <row r="524" spans="1:21">
      <c r="A524" s="192"/>
      <c r="B524" s="195" t="s">
        <v>1207</v>
      </c>
      <c r="C524" s="196"/>
      <c r="D524" s="197"/>
      <c r="E524" s="198"/>
      <c r="F524" s="197"/>
      <c r="G524" s="198"/>
      <c r="H524" s="197"/>
      <c r="I524" s="198"/>
      <c r="J524" s="197"/>
      <c r="K524" s="198"/>
      <c r="L524" s="199"/>
      <c r="M524" s="199" t="s">
        <v>1208</v>
      </c>
      <c r="N524" s="199">
        <v>1</v>
      </c>
      <c r="O524" s="155"/>
      <c r="P524" s="193"/>
      <c r="Q524" s="200"/>
      <c r="R524" s="194"/>
      <c r="T524" s="190"/>
      <c r="U524" s="191"/>
    </row>
    <row r="525" spans="1:21">
      <c r="A525" s="192"/>
      <c r="B525" s="195"/>
      <c r="C525" s="196"/>
      <c r="D525" s="197"/>
      <c r="E525" s="198"/>
      <c r="F525" s="197"/>
      <c r="G525" s="198"/>
      <c r="H525" s="197"/>
      <c r="I525" s="198"/>
      <c r="J525" s="197"/>
      <c r="K525" s="198"/>
      <c r="L525" s="199"/>
      <c r="M525" s="199"/>
      <c r="N525" s="201"/>
      <c r="O525" s="202"/>
      <c r="P525" s="193"/>
      <c r="Q525" s="200"/>
      <c r="R525" s="194"/>
      <c r="T525" s="190"/>
      <c r="U525" s="191"/>
    </row>
    <row r="526" spans="1:21">
      <c r="A526" s="192"/>
      <c r="B526" s="195"/>
      <c r="C526" s="196"/>
      <c r="D526" s="197"/>
      <c r="E526" s="198"/>
      <c r="F526" s="197"/>
      <c r="G526" s="198"/>
      <c r="H526" s="197"/>
      <c r="I526" s="198"/>
      <c r="J526" s="197"/>
      <c r="K526" s="198"/>
      <c r="L526" s="199" t="s">
        <v>1140</v>
      </c>
      <c r="M526" s="199" t="s">
        <v>1208</v>
      </c>
      <c r="N526" s="199">
        <f>SUM(N524:N525)</f>
        <v>1</v>
      </c>
      <c r="O526" s="155" t="e">
        <f>P522</f>
        <v>#REF!</v>
      </c>
      <c r="P526" s="193"/>
      <c r="Q526" s="200"/>
      <c r="R526" s="194"/>
      <c r="T526" s="190"/>
      <c r="U526" s="191"/>
    </row>
    <row r="527" spans="1:21">
      <c r="A527" s="192"/>
      <c r="B527" s="195"/>
      <c r="C527" s="196"/>
      <c r="D527" s="197"/>
      <c r="E527" s="198"/>
      <c r="F527" s="197"/>
      <c r="G527" s="198"/>
      <c r="H527" s="197"/>
      <c r="I527" s="198"/>
      <c r="J527" s="197"/>
      <c r="K527" s="198"/>
      <c r="L527" s="199"/>
      <c r="M527" s="199"/>
      <c r="N527" s="199"/>
      <c r="O527" s="155"/>
      <c r="P527" s="193"/>
      <c r="Q527" s="200"/>
      <c r="R527" s="194"/>
      <c r="T527" s="190"/>
      <c r="U527" s="191"/>
    </row>
    <row r="528" spans="1:21">
      <c r="A528" s="192"/>
      <c r="B528" s="1277" t="s">
        <v>1209</v>
      </c>
      <c r="C528" s="1277"/>
      <c r="D528" s="1277"/>
      <c r="E528" s="1277"/>
      <c r="F528" s="1277"/>
      <c r="G528" s="1277"/>
      <c r="H528" s="1277"/>
      <c r="I528" s="1277"/>
      <c r="J528" s="1277"/>
      <c r="K528" s="1277"/>
      <c r="L528" s="1277"/>
      <c r="M528" s="1277"/>
      <c r="N528" s="1277"/>
      <c r="O528" s="1277"/>
      <c r="P528" s="1277"/>
      <c r="Q528" s="203">
        <v>0</v>
      </c>
      <c r="R528" s="204">
        <f>Q528</f>
        <v>0</v>
      </c>
      <c r="T528" s="1278"/>
      <c r="U528" s="1279"/>
    </row>
    <row r="529" spans="1:21">
      <c r="A529" s="192"/>
      <c r="B529" s="1277" t="e">
        <f>med</f>
        <v>#NAME?</v>
      </c>
      <c r="C529" s="1277"/>
      <c r="D529" s="1277"/>
      <c r="E529" s="1277"/>
      <c r="F529" s="1277"/>
      <c r="G529" s="1277"/>
      <c r="H529" s="1277"/>
      <c r="I529" s="1277"/>
      <c r="J529" s="1277"/>
      <c r="K529" s="1277"/>
      <c r="L529" s="1277"/>
      <c r="M529" s="1277"/>
      <c r="N529" s="1277"/>
      <c r="O529" s="1277"/>
      <c r="P529" s="205">
        <f>N526</f>
        <v>1</v>
      </c>
      <c r="Q529" s="203">
        <f>P529</f>
        <v>1</v>
      </c>
      <c r="R529" s="204">
        <f>Q529+R528</f>
        <v>1</v>
      </c>
      <c r="T529" s="1278"/>
      <c r="U529" s="1279"/>
    </row>
    <row r="530" spans="1:21" ht="18" customHeight="1">
      <c r="A530" s="187" t="e">
        <f>#REF!</f>
        <v>#REF!</v>
      </c>
      <c r="B530" s="1275" t="e">
        <f>IF(A530="","",VLOOKUP($A530,'[2]FDE-JUNHO-08'!$A$6:$D$3537,2,FALSE()))</f>
        <v>#REF!</v>
      </c>
      <c r="C530" s="1275"/>
      <c r="D530" s="1275"/>
      <c r="E530" s="1275"/>
      <c r="F530" s="1275"/>
      <c r="G530" s="1275"/>
      <c r="H530" s="1275"/>
      <c r="I530" s="1275"/>
      <c r="J530" s="1275"/>
      <c r="K530" s="1275"/>
      <c r="L530" s="1275"/>
      <c r="M530" s="1275"/>
      <c r="N530" s="1275"/>
      <c r="O530" s="1275"/>
      <c r="P530" s="188" t="e">
        <f>IF(A530="","",VLOOKUP($A530,'[2]FDE-JUNHO-08'!$A$6:$D$3537,3,FALSE()))</f>
        <v>#REF!</v>
      </c>
      <c r="Q530" s="189" t="s">
        <v>1205</v>
      </c>
      <c r="R530" s="189" t="s">
        <v>1206</v>
      </c>
      <c r="T530" s="190"/>
      <c r="U530" s="191"/>
    </row>
    <row r="531" spans="1:21">
      <c r="A531" s="192"/>
      <c r="B531" s="195"/>
      <c r="C531" s="196"/>
      <c r="D531" s="197"/>
      <c r="E531" s="198"/>
      <c r="F531" s="197"/>
      <c r="G531" s="198"/>
      <c r="H531" s="197"/>
      <c r="I531" s="207"/>
      <c r="J531" s="207"/>
      <c r="K531" s="208"/>
      <c r="L531" s="209"/>
      <c r="M531" s="209"/>
      <c r="N531" s="209"/>
      <c r="O531" s="155"/>
      <c r="P531" s="193"/>
      <c r="Q531" s="200"/>
      <c r="R531" s="194"/>
      <c r="T531" s="190"/>
      <c r="U531" s="191"/>
    </row>
    <row r="532" spans="1:21">
      <c r="A532" s="192"/>
      <c r="B532" s="195" t="s">
        <v>1207</v>
      </c>
      <c r="C532" s="196"/>
      <c r="D532" s="197"/>
      <c r="E532" s="198"/>
      <c r="F532" s="197"/>
      <c r="G532" s="198"/>
      <c r="H532" s="197"/>
      <c r="I532" s="198"/>
      <c r="J532" s="197"/>
      <c r="K532" s="198"/>
      <c r="L532" s="199"/>
      <c r="M532" s="199" t="s">
        <v>1208</v>
      </c>
      <c r="N532" s="199">
        <f>PLANILHA!E77</f>
        <v>10</v>
      </c>
      <c r="O532" s="155"/>
      <c r="P532" s="193"/>
      <c r="Q532" s="200"/>
      <c r="R532" s="194"/>
      <c r="T532" s="190"/>
      <c r="U532" s="191"/>
    </row>
    <row r="533" spans="1:21">
      <c r="A533" s="192"/>
      <c r="B533" s="195"/>
      <c r="C533" s="196"/>
      <c r="D533" s="197"/>
      <c r="E533" s="198"/>
      <c r="F533" s="197"/>
      <c r="G533" s="198"/>
      <c r="H533" s="197"/>
      <c r="I533" s="198"/>
      <c r="J533" s="197"/>
      <c r="K533" s="198"/>
      <c r="L533" s="199"/>
      <c r="M533" s="199"/>
      <c r="N533" s="201"/>
      <c r="O533" s="202"/>
      <c r="P533" s="193"/>
      <c r="Q533" s="200"/>
      <c r="R533" s="194"/>
      <c r="T533" s="190"/>
      <c r="U533" s="191"/>
    </row>
    <row r="534" spans="1:21">
      <c r="A534" s="192"/>
      <c r="B534" s="195"/>
      <c r="C534" s="196"/>
      <c r="D534" s="197"/>
      <c r="E534" s="198"/>
      <c r="F534" s="197"/>
      <c r="G534" s="198"/>
      <c r="H534" s="197"/>
      <c r="I534" s="198"/>
      <c r="J534" s="197"/>
      <c r="K534" s="198"/>
      <c r="L534" s="199" t="s">
        <v>1140</v>
      </c>
      <c r="M534" s="199" t="s">
        <v>1208</v>
      </c>
      <c r="N534" s="199">
        <f>SUM(N532:N533)</f>
        <v>10</v>
      </c>
      <c r="O534" s="155" t="e">
        <f>P530</f>
        <v>#REF!</v>
      </c>
      <c r="P534" s="193"/>
      <c r="Q534" s="200"/>
      <c r="R534" s="194"/>
      <c r="T534" s="190"/>
      <c r="U534" s="191"/>
    </row>
    <row r="535" spans="1:21">
      <c r="A535" s="192"/>
      <c r="B535" s="195"/>
      <c r="C535" s="196"/>
      <c r="D535" s="197"/>
      <c r="E535" s="198"/>
      <c r="F535" s="197"/>
      <c r="G535" s="198"/>
      <c r="H535" s="197"/>
      <c r="I535" s="198"/>
      <c r="J535" s="197"/>
      <c r="K535" s="198"/>
      <c r="L535" s="199"/>
      <c r="M535" s="199"/>
      <c r="N535" s="199"/>
      <c r="O535" s="155"/>
      <c r="P535" s="193"/>
      <c r="Q535" s="200"/>
      <c r="R535" s="194"/>
      <c r="T535" s="190"/>
      <c r="U535" s="191"/>
    </row>
    <row r="536" spans="1:21">
      <c r="A536" s="192"/>
      <c r="B536" s="1277" t="s">
        <v>1209</v>
      </c>
      <c r="C536" s="1277"/>
      <c r="D536" s="1277"/>
      <c r="E536" s="1277"/>
      <c r="F536" s="1277"/>
      <c r="G536" s="1277"/>
      <c r="H536" s="1277"/>
      <c r="I536" s="1277"/>
      <c r="J536" s="1277"/>
      <c r="K536" s="1277"/>
      <c r="L536" s="1277"/>
      <c r="M536" s="1277"/>
      <c r="N536" s="1277"/>
      <c r="O536" s="1277"/>
      <c r="P536" s="1277"/>
      <c r="Q536" s="203">
        <v>0</v>
      </c>
      <c r="R536" s="204">
        <f>Q536</f>
        <v>0</v>
      </c>
      <c r="T536" s="1278"/>
      <c r="U536" s="1279"/>
    </row>
    <row r="537" spans="1:21">
      <c r="A537" s="192"/>
      <c r="B537" s="1277" t="e">
        <f>med</f>
        <v>#NAME?</v>
      </c>
      <c r="C537" s="1277"/>
      <c r="D537" s="1277"/>
      <c r="E537" s="1277"/>
      <c r="F537" s="1277"/>
      <c r="G537" s="1277"/>
      <c r="H537" s="1277"/>
      <c r="I537" s="1277"/>
      <c r="J537" s="1277"/>
      <c r="K537" s="1277"/>
      <c r="L537" s="1277"/>
      <c r="M537" s="1277"/>
      <c r="N537" s="1277"/>
      <c r="O537" s="1277"/>
      <c r="P537" s="205">
        <f>N534</f>
        <v>10</v>
      </c>
      <c r="Q537" s="203">
        <f>P537</f>
        <v>10</v>
      </c>
      <c r="R537" s="204">
        <f>Q537+R536</f>
        <v>10</v>
      </c>
      <c r="T537" s="1278"/>
      <c r="U537" s="1279"/>
    </row>
    <row r="538" spans="1:21" ht="18" customHeight="1">
      <c r="A538" s="187" t="e">
        <f>#REF!</f>
        <v>#REF!</v>
      </c>
      <c r="B538" s="1275" t="e">
        <f>IF(A538="","",VLOOKUP($A538,'[2]FDE-JUNHO-08'!$A$6:$D$3537,2,FALSE()))</f>
        <v>#REF!</v>
      </c>
      <c r="C538" s="1275"/>
      <c r="D538" s="1275"/>
      <c r="E538" s="1275"/>
      <c r="F538" s="1275"/>
      <c r="G538" s="1275"/>
      <c r="H538" s="1275"/>
      <c r="I538" s="1275"/>
      <c r="J538" s="1275"/>
      <c r="K538" s="1275"/>
      <c r="L538" s="1275"/>
      <c r="M538" s="1275"/>
      <c r="N538" s="1275"/>
      <c r="O538" s="1275"/>
      <c r="P538" s="188" t="e">
        <f>IF(A538="","",VLOOKUP($A538,'[2]FDE-JUNHO-08'!$A$6:$D$3537,3,FALSE()))</f>
        <v>#REF!</v>
      </c>
      <c r="Q538" s="189" t="s">
        <v>1205</v>
      </c>
      <c r="R538" s="189" t="s">
        <v>1206</v>
      </c>
      <c r="T538" s="190"/>
      <c r="U538" s="191"/>
    </row>
    <row r="539" spans="1:21">
      <c r="A539" s="192"/>
      <c r="B539" s="1281"/>
      <c r="C539" s="1281"/>
      <c r="D539" s="1281"/>
      <c r="E539" s="1281"/>
      <c r="F539" s="1281"/>
      <c r="G539" s="1281"/>
      <c r="H539" s="1281"/>
      <c r="I539" s="1281"/>
      <c r="J539" s="1281"/>
      <c r="K539" s="1281"/>
      <c r="L539" s="1281"/>
      <c r="M539" s="1281"/>
      <c r="N539" s="1281"/>
      <c r="O539" s="1281"/>
      <c r="P539" s="193"/>
      <c r="Q539" s="194"/>
      <c r="R539" s="194"/>
      <c r="T539" s="190"/>
      <c r="U539" s="191"/>
    </row>
    <row r="540" spans="1:21">
      <c r="A540" s="192"/>
      <c r="B540" s="195" t="s">
        <v>1207</v>
      </c>
      <c r="C540" s="196"/>
      <c r="D540" s="197"/>
      <c r="E540" s="198"/>
      <c r="F540" s="197"/>
      <c r="G540" s="198"/>
      <c r="H540" s="197"/>
      <c r="I540" s="198"/>
      <c r="J540" s="197"/>
      <c r="K540" s="198"/>
      <c r="L540" s="199"/>
      <c r="M540" s="199" t="s">
        <v>1208</v>
      </c>
      <c r="N540" s="199">
        <f>PLANILHA!E78</f>
        <v>8</v>
      </c>
      <c r="O540" s="155"/>
      <c r="P540" s="193"/>
      <c r="Q540" s="200"/>
      <c r="R540" s="194"/>
      <c r="T540" s="190"/>
      <c r="U540" s="191"/>
    </row>
    <row r="541" spans="1:21">
      <c r="A541" s="192"/>
      <c r="B541" s="195"/>
      <c r="C541" s="196"/>
      <c r="D541" s="197"/>
      <c r="E541" s="198"/>
      <c r="F541" s="197"/>
      <c r="G541" s="198"/>
      <c r="H541" s="197"/>
      <c r="I541" s="198"/>
      <c r="J541" s="197"/>
      <c r="K541" s="198"/>
      <c r="L541" s="199"/>
      <c r="M541" s="199"/>
      <c r="N541" s="201"/>
      <c r="O541" s="202"/>
      <c r="P541" s="193"/>
      <c r="Q541" s="200"/>
      <c r="R541" s="194"/>
      <c r="T541" s="190"/>
      <c r="U541" s="191"/>
    </row>
    <row r="542" spans="1:21">
      <c r="A542" s="192"/>
      <c r="B542" s="195"/>
      <c r="C542" s="196"/>
      <c r="D542" s="197"/>
      <c r="E542" s="198"/>
      <c r="F542" s="197"/>
      <c r="G542" s="198"/>
      <c r="H542" s="197"/>
      <c r="I542" s="198"/>
      <c r="J542" s="197"/>
      <c r="K542" s="198"/>
      <c r="L542" s="199" t="s">
        <v>1140</v>
      </c>
      <c r="M542" s="199" t="s">
        <v>1208</v>
      </c>
      <c r="N542" s="199">
        <f>SUM(N540:N541)</f>
        <v>8</v>
      </c>
      <c r="O542" s="155" t="e">
        <f>P538</f>
        <v>#REF!</v>
      </c>
      <c r="P542" s="193"/>
      <c r="Q542" s="200"/>
      <c r="R542" s="194"/>
      <c r="T542" s="190"/>
      <c r="U542" s="191"/>
    </row>
    <row r="543" spans="1:21">
      <c r="A543" s="192"/>
      <c r="B543" s="195"/>
      <c r="C543" s="196"/>
      <c r="D543" s="197"/>
      <c r="E543" s="198"/>
      <c r="F543" s="197"/>
      <c r="G543" s="198"/>
      <c r="H543" s="197"/>
      <c r="I543" s="198"/>
      <c r="J543" s="197"/>
      <c r="K543" s="198"/>
      <c r="L543" s="199"/>
      <c r="M543" s="199"/>
      <c r="N543" s="199"/>
      <c r="O543" s="155"/>
      <c r="P543" s="193"/>
      <c r="Q543" s="200"/>
      <c r="R543" s="194"/>
      <c r="T543" s="190"/>
      <c r="U543" s="191"/>
    </row>
    <row r="544" spans="1:21">
      <c r="A544" s="192"/>
      <c r="B544" s="1277" t="s">
        <v>1209</v>
      </c>
      <c r="C544" s="1277"/>
      <c r="D544" s="1277"/>
      <c r="E544" s="1277"/>
      <c r="F544" s="1277"/>
      <c r="G544" s="1277"/>
      <c r="H544" s="1277"/>
      <c r="I544" s="1277"/>
      <c r="J544" s="1277"/>
      <c r="K544" s="1277"/>
      <c r="L544" s="1277"/>
      <c r="M544" s="1277"/>
      <c r="N544" s="1277"/>
      <c r="O544" s="1277"/>
      <c r="P544" s="1277"/>
      <c r="Q544" s="203">
        <v>0</v>
      </c>
      <c r="R544" s="204">
        <f>Q544</f>
        <v>0</v>
      </c>
      <c r="T544" s="1278"/>
      <c r="U544" s="1279"/>
    </row>
    <row r="545" spans="1:21">
      <c r="A545" s="206"/>
      <c r="B545" s="1277" t="e">
        <f>med</f>
        <v>#NAME?</v>
      </c>
      <c r="C545" s="1277"/>
      <c r="D545" s="1277"/>
      <c r="E545" s="1277"/>
      <c r="F545" s="1277"/>
      <c r="G545" s="1277"/>
      <c r="H545" s="1277"/>
      <c r="I545" s="1277"/>
      <c r="J545" s="1277"/>
      <c r="K545" s="1277"/>
      <c r="L545" s="1277"/>
      <c r="M545" s="1277"/>
      <c r="N545" s="1277"/>
      <c r="O545" s="1277"/>
      <c r="P545" s="205">
        <f>N542</f>
        <v>8</v>
      </c>
      <c r="Q545" s="203">
        <f>P545</f>
        <v>8</v>
      </c>
      <c r="R545" s="204">
        <f>Q545+R544</f>
        <v>8</v>
      </c>
      <c r="T545" s="1278"/>
      <c r="U545" s="1279"/>
    </row>
    <row r="546" spans="1:21" ht="18" customHeight="1">
      <c r="A546" s="187" t="e">
        <f>#REF!</f>
        <v>#REF!</v>
      </c>
      <c r="B546" s="1275" t="e">
        <f>IF(A546="","",VLOOKUP($A546,'[2]FDE-JUNHO-08'!$A$6:$D$3537,2,FALSE()))</f>
        <v>#REF!</v>
      </c>
      <c r="C546" s="1275"/>
      <c r="D546" s="1275"/>
      <c r="E546" s="1275"/>
      <c r="F546" s="1275"/>
      <c r="G546" s="1275"/>
      <c r="H546" s="1275"/>
      <c r="I546" s="1275"/>
      <c r="J546" s="1275"/>
      <c r="K546" s="1275"/>
      <c r="L546" s="1275"/>
      <c r="M546" s="1275"/>
      <c r="N546" s="1275"/>
      <c r="O546" s="1275"/>
      <c r="P546" s="188" t="e">
        <f>IF(A546="","",VLOOKUP($A546,'[2]FDE-JUNHO-08'!$A$6:$D$3537,3,FALSE()))</f>
        <v>#REF!</v>
      </c>
      <c r="Q546" s="189" t="s">
        <v>1205</v>
      </c>
      <c r="R546" s="189" t="s">
        <v>1206</v>
      </c>
      <c r="T546" s="190"/>
      <c r="U546" s="191"/>
    </row>
    <row r="547" spans="1:21">
      <c r="A547" s="192"/>
      <c r="B547" s="1281"/>
      <c r="C547" s="1281"/>
      <c r="D547" s="1281"/>
      <c r="E547" s="1281"/>
      <c r="F547" s="1281"/>
      <c r="G547" s="1281"/>
      <c r="H547" s="1281"/>
      <c r="I547" s="1281"/>
      <c r="J547" s="1281"/>
      <c r="K547" s="1281"/>
      <c r="L547" s="1281"/>
      <c r="M547" s="1281"/>
      <c r="N547" s="1281"/>
      <c r="O547" s="1281"/>
      <c r="P547" s="193"/>
      <c r="Q547" s="194"/>
      <c r="R547" s="194"/>
      <c r="T547" s="190"/>
      <c r="U547" s="191"/>
    </row>
    <row r="548" spans="1:21">
      <c r="A548" s="192"/>
      <c r="B548" s="195" t="s">
        <v>1207</v>
      </c>
      <c r="C548" s="196"/>
      <c r="D548" s="197"/>
      <c r="E548" s="198"/>
      <c r="F548" s="197"/>
      <c r="G548" s="198"/>
      <c r="H548" s="197"/>
      <c r="I548" s="198"/>
      <c r="J548" s="197"/>
      <c r="K548" s="198"/>
      <c r="L548" s="199"/>
      <c r="M548" s="199" t="s">
        <v>1208</v>
      </c>
      <c r="N548" s="199">
        <f>PLANILHA!E79</f>
        <v>18</v>
      </c>
      <c r="O548" s="155"/>
      <c r="P548" s="193"/>
      <c r="Q548" s="200"/>
      <c r="R548" s="194"/>
      <c r="T548" s="190"/>
      <c r="U548" s="191"/>
    </row>
    <row r="549" spans="1:21">
      <c r="A549" s="192"/>
      <c r="B549" s="195"/>
      <c r="C549" s="196"/>
      <c r="D549" s="197"/>
      <c r="E549" s="198"/>
      <c r="F549" s="197"/>
      <c r="G549" s="198"/>
      <c r="H549" s="197"/>
      <c r="I549" s="198"/>
      <c r="J549" s="197"/>
      <c r="K549" s="198"/>
      <c r="L549" s="199"/>
      <c r="M549" s="199"/>
      <c r="N549" s="201"/>
      <c r="O549" s="202"/>
      <c r="P549" s="193"/>
      <c r="Q549" s="200"/>
      <c r="R549" s="194"/>
      <c r="T549" s="190"/>
      <c r="U549" s="191"/>
    </row>
    <row r="550" spans="1:21">
      <c r="A550" s="192"/>
      <c r="B550" s="195"/>
      <c r="C550" s="196"/>
      <c r="D550" s="197"/>
      <c r="E550" s="198"/>
      <c r="F550" s="197"/>
      <c r="G550" s="198"/>
      <c r="H550" s="197"/>
      <c r="I550" s="198"/>
      <c r="J550" s="197"/>
      <c r="K550" s="198"/>
      <c r="L550" s="199" t="s">
        <v>1140</v>
      </c>
      <c r="M550" s="199" t="s">
        <v>1208</v>
      </c>
      <c r="N550" s="199">
        <f>SUM(N548:N549)</f>
        <v>18</v>
      </c>
      <c r="O550" s="155" t="e">
        <f>P546</f>
        <v>#REF!</v>
      </c>
      <c r="P550" s="193"/>
      <c r="Q550" s="200"/>
      <c r="R550" s="194"/>
      <c r="T550" s="190"/>
      <c r="U550" s="191"/>
    </row>
    <row r="551" spans="1:21">
      <c r="A551" s="192"/>
      <c r="B551" s="195"/>
      <c r="C551" s="196"/>
      <c r="D551" s="197"/>
      <c r="E551" s="198"/>
      <c r="F551" s="197"/>
      <c r="G551" s="198"/>
      <c r="H551" s="197"/>
      <c r="I551" s="198"/>
      <c r="J551" s="197"/>
      <c r="K551" s="198"/>
      <c r="L551" s="199"/>
      <c r="M551" s="199"/>
      <c r="N551" s="199"/>
      <c r="O551" s="155"/>
      <c r="P551" s="193"/>
      <c r="Q551" s="200"/>
      <c r="R551" s="194"/>
      <c r="T551" s="190"/>
      <c r="U551" s="191"/>
    </row>
    <row r="552" spans="1:21">
      <c r="A552" s="192"/>
      <c r="B552" s="1277" t="s">
        <v>1209</v>
      </c>
      <c r="C552" s="1277"/>
      <c r="D552" s="1277"/>
      <c r="E552" s="1277"/>
      <c r="F552" s="1277"/>
      <c r="G552" s="1277"/>
      <c r="H552" s="1277"/>
      <c r="I552" s="1277"/>
      <c r="J552" s="1277"/>
      <c r="K552" s="1277"/>
      <c r="L552" s="1277"/>
      <c r="M552" s="1277"/>
      <c r="N552" s="1277"/>
      <c r="O552" s="1277"/>
      <c r="P552" s="1277"/>
      <c r="Q552" s="203">
        <v>0</v>
      </c>
      <c r="R552" s="204">
        <f>Q552</f>
        <v>0</v>
      </c>
      <c r="T552" s="1278"/>
      <c r="U552" s="1279"/>
    </row>
    <row r="553" spans="1:21">
      <c r="A553" s="192"/>
      <c r="B553" s="1277" t="e">
        <f>med</f>
        <v>#NAME?</v>
      </c>
      <c r="C553" s="1277"/>
      <c r="D553" s="1277"/>
      <c r="E553" s="1277"/>
      <c r="F553" s="1277"/>
      <c r="G553" s="1277"/>
      <c r="H553" s="1277"/>
      <c r="I553" s="1277"/>
      <c r="J553" s="1277"/>
      <c r="K553" s="1277"/>
      <c r="L553" s="1277"/>
      <c r="M553" s="1277"/>
      <c r="N553" s="1277"/>
      <c r="O553" s="1277"/>
      <c r="P553" s="205">
        <f>N550</f>
        <v>18</v>
      </c>
      <c r="Q553" s="203">
        <f>P553</f>
        <v>18</v>
      </c>
      <c r="R553" s="204">
        <f>Q553+R552</f>
        <v>18</v>
      </c>
      <c r="T553" s="1278"/>
      <c r="U553" s="1279"/>
    </row>
    <row r="554" spans="1:21" ht="18" customHeight="1">
      <c r="A554" s="187" t="e">
        <f>#REF!</f>
        <v>#REF!</v>
      </c>
      <c r="B554" s="1275" t="e">
        <f>IF(A554="","",VLOOKUP($A554,'[2]FDE-JUNHO-08'!$A$6:$D$3537,2,FALSE()))</f>
        <v>#REF!</v>
      </c>
      <c r="C554" s="1275"/>
      <c r="D554" s="1275"/>
      <c r="E554" s="1275"/>
      <c r="F554" s="1275"/>
      <c r="G554" s="1275"/>
      <c r="H554" s="1275"/>
      <c r="I554" s="1275"/>
      <c r="J554" s="1275"/>
      <c r="K554" s="1275"/>
      <c r="L554" s="1275"/>
      <c r="M554" s="1275"/>
      <c r="N554" s="1275"/>
      <c r="O554" s="1275"/>
      <c r="P554" s="188" t="e">
        <f>IF(A554="","",VLOOKUP($A554,'[2]FDE-JUNHO-08'!$A$6:$D$3537,3,FALSE()))</f>
        <v>#REF!</v>
      </c>
      <c r="Q554" s="189" t="s">
        <v>1205</v>
      </c>
      <c r="R554" s="189" t="s">
        <v>1206</v>
      </c>
      <c r="T554" s="190"/>
      <c r="U554" s="191"/>
    </row>
    <row r="555" spans="1:21">
      <c r="A555" s="192"/>
      <c r="B555" s="1281"/>
      <c r="C555" s="1281"/>
      <c r="D555" s="1281"/>
      <c r="E555" s="1281"/>
      <c r="F555" s="1281"/>
      <c r="G555" s="1281"/>
      <c r="H555" s="1281"/>
      <c r="I555" s="1281"/>
      <c r="J555" s="1281"/>
      <c r="K555" s="1281"/>
      <c r="L555" s="1281"/>
      <c r="M555" s="1281"/>
      <c r="N555" s="1281"/>
      <c r="O555" s="1281"/>
      <c r="P555" s="193"/>
      <c r="Q555" s="194"/>
      <c r="R555" s="194"/>
      <c r="T555" s="190"/>
      <c r="U555" s="191"/>
    </row>
    <row r="556" spans="1:21">
      <c r="A556" s="192"/>
      <c r="B556" s="195" t="s">
        <v>1207</v>
      </c>
      <c r="C556" s="196"/>
      <c r="D556" s="197"/>
      <c r="E556" s="198"/>
      <c r="F556" s="197"/>
      <c r="G556" s="198"/>
      <c r="H556" s="197"/>
      <c r="I556" s="198"/>
      <c r="J556" s="197"/>
      <c r="K556" s="198"/>
      <c r="L556" s="199"/>
      <c r="M556" s="199" t="s">
        <v>1208</v>
      </c>
      <c r="N556" s="199">
        <f>PLANILHA!E80</f>
        <v>16</v>
      </c>
      <c r="O556" s="155"/>
      <c r="P556" s="193"/>
      <c r="Q556" s="200"/>
      <c r="R556" s="194"/>
      <c r="T556" s="190"/>
      <c r="U556" s="191"/>
    </row>
    <row r="557" spans="1:21">
      <c r="A557" s="192"/>
      <c r="B557" s="195"/>
      <c r="C557" s="196"/>
      <c r="D557" s="197"/>
      <c r="E557" s="198"/>
      <c r="F557" s="197"/>
      <c r="G557" s="198"/>
      <c r="H557" s="197"/>
      <c r="I557" s="198"/>
      <c r="J557" s="197"/>
      <c r="K557" s="198"/>
      <c r="L557" s="199"/>
      <c r="M557" s="199"/>
      <c r="N557" s="201"/>
      <c r="O557" s="202"/>
      <c r="P557" s="193"/>
      <c r="Q557" s="200"/>
      <c r="R557" s="194"/>
      <c r="T557" s="190"/>
      <c r="U557" s="191"/>
    </row>
    <row r="558" spans="1:21">
      <c r="A558" s="192"/>
      <c r="B558" s="195"/>
      <c r="C558" s="196"/>
      <c r="D558" s="197"/>
      <c r="E558" s="198"/>
      <c r="F558" s="197"/>
      <c r="G558" s="198"/>
      <c r="H558" s="197"/>
      <c r="I558" s="198"/>
      <c r="J558" s="197"/>
      <c r="K558" s="198"/>
      <c r="L558" s="199" t="s">
        <v>1140</v>
      </c>
      <c r="M558" s="199" t="s">
        <v>1208</v>
      </c>
      <c r="N558" s="199">
        <f>SUM(N556:N557)</f>
        <v>16</v>
      </c>
      <c r="O558" s="155" t="e">
        <f>P554</f>
        <v>#REF!</v>
      </c>
      <c r="P558" s="193"/>
      <c r="Q558" s="200"/>
      <c r="R558" s="194"/>
      <c r="T558" s="190"/>
      <c r="U558" s="191"/>
    </row>
    <row r="559" spans="1:21">
      <c r="A559" s="192"/>
      <c r="B559" s="195"/>
      <c r="C559" s="196"/>
      <c r="D559" s="197"/>
      <c r="E559" s="198"/>
      <c r="F559" s="197"/>
      <c r="G559" s="198"/>
      <c r="H559" s="197"/>
      <c r="I559" s="198"/>
      <c r="J559" s="197"/>
      <c r="K559" s="198"/>
      <c r="L559" s="199"/>
      <c r="M559" s="199"/>
      <c r="N559" s="199"/>
      <c r="O559" s="155"/>
      <c r="P559" s="193"/>
      <c r="Q559" s="200"/>
      <c r="R559" s="194"/>
      <c r="T559" s="190"/>
      <c r="U559" s="191"/>
    </row>
    <row r="560" spans="1:21">
      <c r="A560" s="192"/>
      <c r="B560" s="1277" t="s">
        <v>1209</v>
      </c>
      <c r="C560" s="1277"/>
      <c r="D560" s="1277"/>
      <c r="E560" s="1277"/>
      <c r="F560" s="1277"/>
      <c r="G560" s="1277"/>
      <c r="H560" s="1277"/>
      <c r="I560" s="1277"/>
      <c r="J560" s="1277"/>
      <c r="K560" s="1277"/>
      <c r="L560" s="1277"/>
      <c r="M560" s="1277"/>
      <c r="N560" s="1277"/>
      <c r="O560" s="1277"/>
      <c r="P560" s="1277"/>
      <c r="Q560" s="203">
        <v>0</v>
      </c>
      <c r="R560" s="204">
        <f>Q560</f>
        <v>0</v>
      </c>
      <c r="T560" s="1278"/>
      <c r="U560" s="1279"/>
    </row>
    <row r="561" spans="1:21">
      <c r="A561" s="192"/>
      <c r="B561" s="1277" t="e">
        <f>med</f>
        <v>#NAME?</v>
      </c>
      <c r="C561" s="1277"/>
      <c r="D561" s="1277"/>
      <c r="E561" s="1277"/>
      <c r="F561" s="1277"/>
      <c r="G561" s="1277"/>
      <c r="H561" s="1277"/>
      <c r="I561" s="1277"/>
      <c r="J561" s="1277"/>
      <c r="K561" s="1277"/>
      <c r="L561" s="1277"/>
      <c r="M561" s="1277"/>
      <c r="N561" s="1277"/>
      <c r="O561" s="1277"/>
      <c r="P561" s="205">
        <f>N558</f>
        <v>16</v>
      </c>
      <c r="Q561" s="203">
        <f>P561</f>
        <v>16</v>
      </c>
      <c r="R561" s="204">
        <f>Q561+R560</f>
        <v>16</v>
      </c>
      <c r="T561" s="1278"/>
      <c r="U561" s="1279"/>
    </row>
    <row r="562" spans="1:21" ht="18" customHeight="1">
      <c r="A562" s="187" t="e">
        <f>#REF!</f>
        <v>#REF!</v>
      </c>
      <c r="B562" s="1275" t="e">
        <f>IF(A562="","",VLOOKUP($A562,'[2]FDE-JUNHO-08'!$A$6:$D$3537,2,FALSE()))</f>
        <v>#REF!</v>
      </c>
      <c r="C562" s="1275"/>
      <c r="D562" s="1275"/>
      <c r="E562" s="1275"/>
      <c r="F562" s="1275"/>
      <c r="G562" s="1275"/>
      <c r="H562" s="1275"/>
      <c r="I562" s="1275"/>
      <c r="J562" s="1275"/>
      <c r="K562" s="1275"/>
      <c r="L562" s="1275"/>
      <c r="M562" s="1275"/>
      <c r="N562" s="1275"/>
      <c r="O562" s="1275"/>
      <c r="P562" s="188" t="e">
        <f>IF(A562="","",VLOOKUP($A562,'[2]FDE-JUNHO-08'!$A$6:$D$3537,3,FALSE()))</f>
        <v>#REF!</v>
      </c>
      <c r="Q562" s="189" t="s">
        <v>1205</v>
      </c>
      <c r="R562" s="189" t="s">
        <v>1206</v>
      </c>
      <c r="T562" s="190"/>
      <c r="U562" s="191"/>
    </row>
    <row r="563" spans="1:21">
      <c r="A563" s="192"/>
      <c r="B563" s="1281"/>
      <c r="C563" s="1281"/>
      <c r="D563" s="1281"/>
      <c r="E563" s="1281"/>
      <c r="F563" s="1281"/>
      <c r="G563" s="1281"/>
      <c r="H563" s="1281"/>
      <c r="I563" s="1281"/>
      <c r="J563" s="1281"/>
      <c r="K563" s="1281"/>
      <c r="L563" s="1281"/>
      <c r="M563" s="1281"/>
      <c r="N563" s="1281"/>
      <c r="O563" s="1281"/>
      <c r="P563" s="193"/>
      <c r="Q563" s="194"/>
      <c r="R563" s="194"/>
      <c r="T563" s="190"/>
      <c r="U563" s="191"/>
    </row>
    <row r="564" spans="1:21">
      <c r="A564" s="192"/>
      <c r="B564" s="195" t="s">
        <v>1207</v>
      </c>
      <c r="C564" s="196"/>
      <c r="D564" s="197"/>
      <c r="E564" s="198"/>
      <c r="F564" s="197"/>
      <c r="G564" s="198"/>
      <c r="H564" s="197"/>
      <c r="I564" s="198"/>
      <c r="J564" s="197"/>
      <c r="K564" s="198"/>
      <c r="L564" s="199"/>
      <c r="M564" s="199" t="s">
        <v>1208</v>
      </c>
      <c r="N564" s="199">
        <v>8</v>
      </c>
      <c r="O564" s="155"/>
      <c r="P564" s="193"/>
      <c r="Q564" s="200"/>
      <c r="R564" s="194"/>
      <c r="T564" s="190"/>
      <c r="U564" s="191"/>
    </row>
    <row r="565" spans="1:21">
      <c r="A565" s="192"/>
      <c r="B565" s="195"/>
      <c r="C565" s="196"/>
      <c r="D565" s="197"/>
      <c r="E565" s="198"/>
      <c r="F565" s="197"/>
      <c r="G565" s="198"/>
      <c r="H565" s="197"/>
      <c r="I565" s="198"/>
      <c r="J565" s="197"/>
      <c r="K565" s="198"/>
      <c r="L565" s="199"/>
      <c r="M565" s="199"/>
      <c r="N565" s="201"/>
      <c r="O565" s="202"/>
      <c r="P565" s="193"/>
      <c r="Q565" s="200"/>
      <c r="R565" s="194"/>
      <c r="T565" s="190"/>
      <c r="U565" s="191"/>
    </row>
    <row r="566" spans="1:21">
      <c r="A566" s="192"/>
      <c r="B566" s="195"/>
      <c r="C566" s="196"/>
      <c r="D566" s="197"/>
      <c r="E566" s="198"/>
      <c r="F566" s="197"/>
      <c r="G566" s="198"/>
      <c r="H566" s="197"/>
      <c r="I566" s="198"/>
      <c r="J566" s="197"/>
      <c r="K566" s="198"/>
      <c r="L566" s="199" t="s">
        <v>1140</v>
      </c>
      <c r="M566" s="199" t="s">
        <v>1208</v>
      </c>
      <c r="N566" s="199">
        <f>SUM(N564:N565)</f>
        <v>8</v>
      </c>
      <c r="O566" s="155" t="e">
        <f>P562</f>
        <v>#REF!</v>
      </c>
      <c r="P566" s="193"/>
      <c r="Q566" s="200"/>
      <c r="R566" s="194"/>
      <c r="T566" s="190"/>
      <c r="U566" s="191"/>
    </row>
    <row r="567" spans="1:21">
      <c r="A567" s="192"/>
      <c r="B567" s="195"/>
      <c r="C567" s="196"/>
      <c r="D567" s="197"/>
      <c r="E567" s="198"/>
      <c r="F567" s="197"/>
      <c r="G567" s="198"/>
      <c r="H567" s="197"/>
      <c r="I567" s="198"/>
      <c r="J567" s="197"/>
      <c r="K567" s="198"/>
      <c r="L567" s="199"/>
      <c r="M567" s="199"/>
      <c r="N567" s="199"/>
      <c r="O567" s="155"/>
      <c r="P567" s="193"/>
      <c r="Q567" s="200"/>
      <c r="R567" s="194"/>
      <c r="T567" s="190"/>
      <c r="U567" s="191"/>
    </row>
    <row r="568" spans="1:21">
      <c r="A568" s="192"/>
      <c r="B568" s="1277" t="s">
        <v>1209</v>
      </c>
      <c r="C568" s="1277"/>
      <c r="D568" s="1277"/>
      <c r="E568" s="1277"/>
      <c r="F568" s="1277"/>
      <c r="G568" s="1277"/>
      <c r="H568" s="1277"/>
      <c r="I568" s="1277"/>
      <c r="J568" s="1277"/>
      <c r="K568" s="1277"/>
      <c r="L568" s="1277"/>
      <c r="M568" s="1277"/>
      <c r="N568" s="1277"/>
      <c r="O568" s="1277"/>
      <c r="P568" s="1277"/>
      <c r="Q568" s="203">
        <v>0</v>
      </c>
      <c r="R568" s="204">
        <f>Q568</f>
        <v>0</v>
      </c>
      <c r="T568" s="1278"/>
      <c r="U568" s="1279"/>
    </row>
    <row r="569" spans="1:21">
      <c r="A569" s="192"/>
      <c r="B569" s="1277" t="e">
        <f>med</f>
        <v>#NAME?</v>
      </c>
      <c r="C569" s="1277"/>
      <c r="D569" s="1277"/>
      <c r="E569" s="1277"/>
      <c r="F569" s="1277"/>
      <c r="G569" s="1277"/>
      <c r="H569" s="1277"/>
      <c r="I569" s="1277"/>
      <c r="J569" s="1277"/>
      <c r="K569" s="1277"/>
      <c r="L569" s="1277"/>
      <c r="M569" s="1277"/>
      <c r="N569" s="1277"/>
      <c r="O569" s="1277"/>
      <c r="P569" s="205">
        <f>N566</f>
        <v>8</v>
      </c>
      <c r="Q569" s="203">
        <f>P569</f>
        <v>8</v>
      </c>
      <c r="R569" s="204">
        <f>Q569+R568</f>
        <v>8</v>
      </c>
      <c r="T569" s="1278"/>
      <c r="U569" s="1279"/>
    </row>
    <row r="570" spans="1:21" ht="18" customHeight="1">
      <c r="A570" s="187" t="e">
        <f>#REF!</f>
        <v>#REF!</v>
      </c>
      <c r="B570" s="1275" t="e">
        <f>IF(A570="","",VLOOKUP($A570,'[2]FDE-JUNHO-08'!$A$6:$D$3537,2,FALSE()))</f>
        <v>#REF!</v>
      </c>
      <c r="C570" s="1275"/>
      <c r="D570" s="1275"/>
      <c r="E570" s="1275"/>
      <c r="F570" s="1275"/>
      <c r="G570" s="1275"/>
      <c r="H570" s="1275"/>
      <c r="I570" s="1275"/>
      <c r="J570" s="1275"/>
      <c r="K570" s="1275"/>
      <c r="L570" s="1275"/>
      <c r="M570" s="1275"/>
      <c r="N570" s="1275"/>
      <c r="O570" s="1275"/>
      <c r="P570" s="188" t="e">
        <f>IF(A570="","",VLOOKUP($A570,'[2]FDE-JUNHO-08'!$A$6:$D$3537,3,FALSE()))</f>
        <v>#REF!</v>
      </c>
      <c r="Q570" s="189" t="s">
        <v>1205</v>
      </c>
      <c r="R570" s="189" t="s">
        <v>1206</v>
      </c>
      <c r="T570" s="190"/>
      <c r="U570" s="191"/>
    </row>
    <row r="571" spans="1:21">
      <c r="A571" s="192"/>
      <c r="B571" s="195"/>
      <c r="C571" s="196"/>
      <c r="D571" s="197"/>
      <c r="E571" s="198"/>
      <c r="F571" s="197"/>
      <c r="G571" s="198"/>
      <c r="H571" s="197"/>
      <c r="I571" s="207"/>
      <c r="J571" s="207"/>
      <c r="K571" s="208"/>
      <c r="L571" s="209"/>
      <c r="M571" s="209"/>
      <c r="N571" s="209"/>
      <c r="O571" s="155"/>
      <c r="P571" s="193"/>
      <c r="Q571" s="200"/>
      <c r="R571" s="194"/>
      <c r="T571" s="190"/>
      <c r="U571" s="191"/>
    </row>
    <row r="572" spans="1:21">
      <c r="A572" s="192"/>
      <c r="B572" s="195" t="s">
        <v>1207</v>
      </c>
      <c r="C572" s="196"/>
      <c r="D572" s="197"/>
      <c r="E572" s="198"/>
      <c r="F572" s="197"/>
      <c r="G572" s="198"/>
      <c r="H572" s="197"/>
      <c r="I572" s="198"/>
      <c r="J572" s="197"/>
      <c r="K572" s="198"/>
      <c r="L572" s="199"/>
      <c r="M572" s="199" t="s">
        <v>1208</v>
      </c>
      <c r="N572" s="199" t="e">
        <f>#REF!</f>
        <v>#REF!</v>
      </c>
      <c r="O572" s="155"/>
      <c r="P572" s="193"/>
      <c r="Q572" s="200"/>
      <c r="R572" s="194"/>
      <c r="T572" s="190"/>
      <c r="U572" s="191"/>
    </row>
    <row r="573" spans="1:21">
      <c r="A573" s="192"/>
      <c r="B573" s="195"/>
      <c r="C573" s="196"/>
      <c r="D573" s="197"/>
      <c r="E573" s="198"/>
      <c r="F573" s="197"/>
      <c r="G573" s="198"/>
      <c r="H573" s="197"/>
      <c r="I573" s="198"/>
      <c r="J573" s="197"/>
      <c r="K573" s="198"/>
      <c r="L573" s="199"/>
      <c r="M573" s="199"/>
      <c r="N573" s="201"/>
      <c r="O573" s="202"/>
      <c r="P573" s="193"/>
      <c r="Q573" s="200"/>
      <c r="R573" s="194"/>
      <c r="T573" s="190"/>
      <c r="U573" s="191"/>
    </row>
    <row r="574" spans="1:21">
      <c r="A574" s="192"/>
      <c r="B574" s="195"/>
      <c r="C574" s="196"/>
      <c r="D574" s="197"/>
      <c r="E574" s="198"/>
      <c r="F574" s="197"/>
      <c r="G574" s="198"/>
      <c r="H574" s="197"/>
      <c r="I574" s="198"/>
      <c r="J574" s="197"/>
      <c r="K574" s="198"/>
      <c r="L574" s="199" t="s">
        <v>1140</v>
      </c>
      <c r="M574" s="199" t="s">
        <v>1208</v>
      </c>
      <c r="N574" s="199" t="e">
        <f>SUM(N572:N573)</f>
        <v>#REF!</v>
      </c>
      <c r="O574" s="155" t="e">
        <f>P570</f>
        <v>#REF!</v>
      </c>
      <c r="P574" s="193"/>
      <c r="Q574" s="200"/>
      <c r="R574" s="194"/>
      <c r="T574" s="190"/>
      <c r="U574" s="191"/>
    </row>
    <row r="575" spans="1:21">
      <c r="A575" s="192"/>
      <c r="B575" s="195"/>
      <c r="C575" s="196"/>
      <c r="D575" s="197"/>
      <c r="E575" s="198"/>
      <c r="F575" s="197"/>
      <c r="G575" s="198"/>
      <c r="H575" s="197"/>
      <c r="I575" s="198"/>
      <c r="J575" s="197"/>
      <c r="K575" s="198"/>
      <c r="L575" s="199"/>
      <c r="M575" s="199"/>
      <c r="N575" s="199"/>
      <c r="O575" s="155"/>
      <c r="P575" s="193"/>
      <c r="Q575" s="200"/>
      <c r="R575" s="194"/>
      <c r="T575" s="190"/>
      <c r="U575" s="191"/>
    </row>
    <row r="576" spans="1:21">
      <c r="A576" s="192"/>
      <c r="B576" s="1277" t="s">
        <v>1209</v>
      </c>
      <c r="C576" s="1277"/>
      <c r="D576" s="1277"/>
      <c r="E576" s="1277"/>
      <c r="F576" s="1277"/>
      <c r="G576" s="1277"/>
      <c r="H576" s="1277"/>
      <c r="I576" s="1277"/>
      <c r="J576" s="1277"/>
      <c r="K576" s="1277"/>
      <c r="L576" s="1277"/>
      <c r="M576" s="1277"/>
      <c r="N576" s="1277"/>
      <c r="O576" s="1277"/>
      <c r="P576" s="1277"/>
      <c r="Q576" s="203">
        <v>0</v>
      </c>
      <c r="R576" s="204">
        <f>Q576</f>
        <v>0</v>
      </c>
      <c r="T576" s="1278"/>
      <c r="U576" s="1279"/>
    </row>
    <row r="577" spans="1:21">
      <c r="A577" s="192"/>
      <c r="B577" s="1277" t="e">
        <f>med</f>
        <v>#NAME?</v>
      </c>
      <c r="C577" s="1277"/>
      <c r="D577" s="1277"/>
      <c r="E577" s="1277"/>
      <c r="F577" s="1277"/>
      <c r="G577" s="1277"/>
      <c r="H577" s="1277"/>
      <c r="I577" s="1277"/>
      <c r="J577" s="1277"/>
      <c r="K577" s="1277"/>
      <c r="L577" s="1277"/>
      <c r="M577" s="1277"/>
      <c r="N577" s="1277"/>
      <c r="O577" s="1277"/>
      <c r="P577" s="205" t="e">
        <f>N574</f>
        <v>#REF!</v>
      </c>
      <c r="Q577" s="203" t="e">
        <f>P577</f>
        <v>#REF!</v>
      </c>
      <c r="R577" s="204" t="e">
        <f>Q577+R576</f>
        <v>#REF!</v>
      </c>
      <c r="T577" s="1278"/>
      <c r="U577" s="1279"/>
    </row>
    <row r="578" spans="1:21" ht="18" customHeight="1">
      <c r="A578" s="187" t="e">
        <f>#REF!</f>
        <v>#REF!</v>
      </c>
      <c r="B578" s="1275" t="e">
        <f>IF(A578="","",VLOOKUP($A578,'[2]FDE-JUNHO-08'!$A$6:$D$3537,2,FALSE()))</f>
        <v>#REF!</v>
      </c>
      <c r="C578" s="1275"/>
      <c r="D578" s="1275"/>
      <c r="E578" s="1275"/>
      <c r="F578" s="1275"/>
      <c r="G578" s="1275"/>
      <c r="H578" s="1275"/>
      <c r="I578" s="1275"/>
      <c r="J578" s="1275"/>
      <c r="K578" s="1275"/>
      <c r="L578" s="1275"/>
      <c r="M578" s="1275"/>
      <c r="N578" s="1275"/>
      <c r="O578" s="1275"/>
      <c r="P578" s="188" t="e">
        <f>IF(A578="","",VLOOKUP($A578,'[2]FDE-JUNHO-08'!$A$6:$D$3537,3,FALSE()))</f>
        <v>#REF!</v>
      </c>
      <c r="Q578" s="189" t="s">
        <v>1205</v>
      </c>
      <c r="R578" s="189" t="s">
        <v>1206</v>
      </c>
      <c r="T578" s="190"/>
      <c r="U578" s="191"/>
    </row>
    <row r="579" spans="1:21">
      <c r="A579" s="192"/>
      <c r="B579" s="1281"/>
      <c r="C579" s="1281"/>
      <c r="D579" s="1281"/>
      <c r="E579" s="1281"/>
      <c r="F579" s="1281"/>
      <c r="G579" s="1281"/>
      <c r="H579" s="1281"/>
      <c r="I579" s="1281"/>
      <c r="J579" s="1281"/>
      <c r="K579" s="1281"/>
      <c r="L579" s="1281"/>
      <c r="M579" s="1281"/>
      <c r="N579" s="1281"/>
      <c r="O579" s="1281"/>
      <c r="P579" s="193"/>
      <c r="Q579" s="194"/>
      <c r="R579" s="194"/>
      <c r="T579" s="190"/>
      <c r="U579" s="191"/>
    </row>
    <row r="580" spans="1:21">
      <c r="A580" s="192"/>
      <c r="B580" s="195" t="s">
        <v>1207</v>
      </c>
      <c r="C580" s="196"/>
      <c r="D580" s="197"/>
      <c r="E580" s="198"/>
      <c r="F580" s="197"/>
      <c r="G580" s="198"/>
      <c r="H580" s="197"/>
      <c r="I580" s="198"/>
      <c r="J580" s="197"/>
      <c r="K580" s="198"/>
      <c r="L580" s="199"/>
      <c r="M580" s="199" t="s">
        <v>1208</v>
      </c>
      <c r="N580" s="199">
        <f>PLANILHA!E83</f>
        <v>15</v>
      </c>
      <c r="O580" s="155"/>
      <c r="P580" s="193"/>
      <c r="Q580" s="200"/>
      <c r="R580" s="194"/>
      <c r="T580" s="190"/>
      <c r="U580" s="191"/>
    </row>
    <row r="581" spans="1:21">
      <c r="A581" s="192"/>
      <c r="B581" s="195"/>
      <c r="C581" s="196"/>
      <c r="D581" s="197"/>
      <c r="E581" s="198"/>
      <c r="F581" s="197"/>
      <c r="G581" s="198"/>
      <c r="H581" s="197"/>
      <c r="I581" s="198"/>
      <c r="J581" s="197"/>
      <c r="K581" s="198"/>
      <c r="L581" s="199"/>
      <c r="M581" s="199"/>
      <c r="N581" s="201"/>
      <c r="O581" s="202"/>
      <c r="P581" s="193"/>
      <c r="Q581" s="200"/>
      <c r="R581" s="194"/>
      <c r="T581" s="190"/>
      <c r="U581" s="191"/>
    </row>
    <row r="582" spans="1:21">
      <c r="A582" s="192"/>
      <c r="B582" s="195"/>
      <c r="C582" s="196"/>
      <c r="D582" s="197"/>
      <c r="E582" s="198"/>
      <c r="F582" s="197"/>
      <c r="G582" s="198"/>
      <c r="H582" s="197"/>
      <c r="I582" s="198"/>
      <c r="J582" s="197"/>
      <c r="K582" s="198"/>
      <c r="L582" s="199" t="s">
        <v>1140</v>
      </c>
      <c r="M582" s="199" t="s">
        <v>1208</v>
      </c>
      <c r="N582" s="199">
        <f>SUM(N580:N581)</f>
        <v>15</v>
      </c>
      <c r="O582" s="155" t="e">
        <f>P578</f>
        <v>#REF!</v>
      </c>
      <c r="P582" s="193"/>
      <c r="Q582" s="200"/>
      <c r="R582" s="194"/>
      <c r="T582" s="190"/>
      <c r="U582" s="191"/>
    </row>
    <row r="583" spans="1:21">
      <c r="A583" s="192"/>
      <c r="B583" s="195"/>
      <c r="C583" s="196"/>
      <c r="D583" s="197"/>
      <c r="E583" s="198"/>
      <c r="F583" s="197"/>
      <c r="G583" s="198"/>
      <c r="H583" s="197"/>
      <c r="I583" s="198"/>
      <c r="J583" s="197"/>
      <c r="K583" s="198"/>
      <c r="L583" s="199"/>
      <c r="M583" s="199"/>
      <c r="N583" s="199"/>
      <c r="O583" s="155"/>
      <c r="P583" s="193"/>
      <c r="Q583" s="200"/>
      <c r="R583" s="194"/>
      <c r="T583" s="190"/>
      <c r="U583" s="191"/>
    </row>
    <row r="584" spans="1:21">
      <c r="A584" s="192"/>
      <c r="B584" s="1277" t="s">
        <v>1209</v>
      </c>
      <c r="C584" s="1277"/>
      <c r="D584" s="1277"/>
      <c r="E584" s="1277"/>
      <c r="F584" s="1277"/>
      <c r="G584" s="1277"/>
      <c r="H584" s="1277"/>
      <c r="I584" s="1277"/>
      <c r="J584" s="1277"/>
      <c r="K584" s="1277"/>
      <c r="L584" s="1277"/>
      <c r="M584" s="1277"/>
      <c r="N584" s="1277"/>
      <c r="O584" s="1277"/>
      <c r="P584" s="1277"/>
      <c r="Q584" s="203">
        <v>0</v>
      </c>
      <c r="R584" s="204">
        <f>Q584</f>
        <v>0</v>
      </c>
      <c r="T584" s="1278"/>
      <c r="U584" s="1279"/>
    </row>
    <row r="585" spans="1:21">
      <c r="A585" s="192"/>
      <c r="B585" s="1280" t="e">
        <f>med</f>
        <v>#NAME?</v>
      </c>
      <c r="C585" s="1280"/>
      <c r="D585" s="1280"/>
      <c r="E585" s="1280"/>
      <c r="F585" s="1280"/>
      <c r="G585" s="1280"/>
      <c r="H585" s="1280"/>
      <c r="I585" s="1280"/>
      <c r="J585" s="1280"/>
      <c r="K585" s="1280"/>
      <c r="L585" s="1280"/>
      <c r="M585" s="1280"/>
      <c r="N585" s="1280"/>
      <c r="O585" s="1280"/>
      <c r="P585" s="205">
        <f>N582</f>
        <v>15</v>
      </c>
      <c r="Q585" s="203">
        <f>P585</f>
        <v>15</v>
      </c>
      <c r="R585" s="204">
        <f>Q585+R584</f>
        <v>15</v>
      </c>
      <c r="T585" s="1278"/>
      <c r="U585" s="1279"/>
    </row>
    <row r="586" spans="1:21" ht="18" customHeight="1">
      <c r="A586" s="187" t="e">
        <f>#REF!</f>
        <v>#REF!</v>
      </c>
      <c r="B586" s="1275" t="e">
        <f>IF(A586="","",VLOOKUP($A586,'[2]FDE-JUNHO-08'!$A$6:$D$3537,2,FALSE()))</f>
        <v>#REF!</v>
      </c>
      <c r="C586" s="1275"/>
      <c r="D586" s="1275"/>
      <c r="E586" s="1275"/>
      <c r="F586" s="1275"/>
      <c r="G586" s="1275"/>
      <c r="H586" s="1275"/>
      <c r="I586" s="1275"/>
      <c r="J586" s="1275"/>
      <c r="K586" s="1275"/>
      <c r="L586" s="1275"/>
      <c r="M586" s="1275"/>
      <c r="N586" s="1275"/>
      <c r="O586" s="1275"/>
      <c r="P586" s="188" t="e">
        <f>IF(A586="","",VLOOKUP($A586,'[2]FDE-JUNHO-08'!$A$6:$D$3537,3,FALSE()))</f>
        <v>#REF!</v>
      </c>
      <c r="Q586" s="189" t="s">
        <v>1205</v>
      </c>
      <c r="R586" s="189" t="s">
        <v>1206</v>
      </c>
      <c r="T586" s="190"/>
      <c r="U586" s="191"/>
    </row>
    <row r="587" spans="1:21">
      <c r="A587" s="192"/>
      <c r="B587" s="1276"/>
      <c r="C587" s="1276"/>
      <c r="D587" s="1276"/>
      <c r="E587" s="1276"/>
      <c r="F587" s="1276"/>
      <c r="G587" s="1276"/>
      <c r="H587" s="1276"/>
      <c r="I587" s="1276"/>
      <c r="J587" s="1276"/>
      <c r="K587" s="1276"/>
      <c r="L587" s="1276"/>
      <c r="M587" s="1276"/>
      <c r="N587" s="1276"/>
      <c r="O587" s="1276"/>
      <c r="P587" s="193"/>
      <c r="Q587" s="194"/>
      <c r="R587" s="194"/>
      <c r="T587" s="190"/>
      <c r="U587" s="191"/>
    </row>
    <row r="588" spans="1:21">
      <c r="A588" s="192"/>
      <c r="B588" s="195" t="s">
        <v>1207</v>
      </c>
      <c r="C588" s="196"/>
      <c r="D588" s="197"/>
      <c r="E588" s="198"/>
      <c r="F588" s="197"/>
      <c r="G588" s="198"/>
      <c r="H588" s="197"/>
      <c r="I588" s="198"/>
      <c r="J588" s="197"/>
      <c r="K588" s="198"/>
      <c r="L588" s="199"/>
      <c r="M588" s="199" t="s">
        <v>1208</v>
      </c>
      <c r="N588" s="199">
        <v>20</v>
      </c>
      <c r="O588" s="155"/>
      <c r="P588" s="193"/>
      <c r="Q588" s="200"/>
      <c r="R588" s="194"/>
      <c r="T588" s="190"/>
      <c r="U588" s="191"/>
    </row>
    <row r="589" spans="1:21">
      <c r="A589" s="192"/>
      <c r="B589" s="195"/>
      <c r="C589" s="196"/>
      <c r="D589" s="197"/>
      <c r="E589" s="198"/>
      <c r="F589" s="197"/>
      <c r="G589" s="198"/>
      <c r="H589" s="197"/>
      <c r="I589" s="198"/>
      <c r="J589" s="197"/>
      <c r="K589" s="198"/>
      <c r="L589" s="199"/>
      <c r="M589" s="199"/>
      <c r="N589" s="201"/>
      <c r="O589" s="202"/>
      <c r="P589" s="193"/>
      <c r="Q589" s="200"/>
      <c r="R589" s="194"/>
      <c r="T589" s="190"/>
      <c r="U589" s="191"/>
    </row>
    <row r="590" spans="1:21">
      <c r="A590" s="192"/>
      <c r="B590" s="195"/>
      <c r="C590" s="196"/>
      <c r="D590" s="197"/>
      <c r="E590" s="198"/>
      <c r="F590" s="197"/>
      <c r="G590" s="198"/>
      <c r="H590" s="197"/>
      <c r="I590" s="198"/>
      <c r="J590" s="197"/>
      <c r="K590" s="198"/>
      <c r="L590" s="199" t="s">
        <v>1140</v>
      </c>
      <c r="M590" s="199" t="s">
        <v>1208</v>
      </c>
      <c r="N590" s="199">
        <f>SUM(N588:N589)</f>
        <v>20</v>
      </c>
      <c r="O590" s="155" t="e">
        <f>P586</f>
        <v>#REF!</v>
      </c>
      <c r="P590" s="193"/>
      <c r="Q590" s="200"/>
      <c r="R590" s="194"/>
      <c r="T590" s="190"/>
      <c r="U590" s="191"/>
    </row>
    <row r="591" spans="1:21">
      <c r="A591" s="192"/>
      <c r="B591" s="195"/>
      <c r="C591" s="196"/>
      <c r="D591" s="197"/>
      <c r="E591" s="198"/>
      <c r="F591" s="197"/>
      <c r="G591" s="198"/>
      <c r="H591" s="197"/>
      <c r="I591" s="198"/>
      <c r="J591" s="197"/>
      <c r="K591" s="198"/>
      <c r="L591" s="199"/>
      <c r="M591" s="199"/>
      <c r="N591" s="199"/>
      <c r="O591" s="155"/>
      <c r="P591" s="193"/>
      <c r="Q591" s="200"/>
      <c r="R591" s="194"/>
      <c r="T591" s="190"/>
      <c r="U591" s="191"/>
    </row>
    <row r="592" spans="1:21">
      <c r="A592" s="192"/>
      <c r="B592" s="1277" t="s">
        <v>1209</v>
      </c>
      <c r="C592" s="1277"/>
      <c r="D592" s="1277"/>
      <c r="E592" s="1277"/>
      <c r="F592" s="1277"/>
      <c r="G592" s="1277"/>
      <c r="H592" s="1277"/>
      <c r="I592" s="1277"/>
      <c r="J592" s="1277"/>
      <c r="K592" s="1277"/>
      <c r="L592" s="1277"/>
      <c r="M592" s="1277"/>
      <c r="N592" s="1277"/>
      <c r="O592" s="1277"/>
      <c r="P592" s="1277"/>
      <c r="Q592" s="203">
        <v>0</v>
      </c>
      <c r="R592" s="204">
        <f>Q592</f>
        <v>0</v>
      </c>
      <c r="T592" s="1278"/>
      <c r="U592" s="1279"/>
    </row>
    <row r="593" spans="1:21">
      <c r="A593" s="192"/>
      <c r="B593" s="1280" t="e">
        <f>med</f>
        <v>#NAME?</v>
      </c>
      <c r="C593" s="1280"/>
      <c r="D593" s="1280"/>
      <c r="E593" s="1280"/>
      <c r="F593" s="1280"/>
      <c r="G593" s="1280"/>
      <c r="H593" s="1280"/>
      <c r="I593" s="1280"/>
      <c r="J593" s="1280"/>
      <c r="K593" s="1280"/>
      <c r="L593" s="1280"/>
      <c r="M593" s="1280"/>
      <c r="N593" s="1280"/>
      <c r="O593" s="1280"/>
      <c r="P593" s="205">
        <f>N590</f>
        <v>20</v>
      </c>
      <c r="Q593" s="203">
        <f>P593</f>
        <v>20</v>
      </c>
      <c r="R593" s="204">
        <f>Q593+R592</f>
        <v>20</v>
      </c>
      <c r="T593" s="1278"/>
      <c r="U593" s="1279"/>
    </row>
    <row r="594" spans="1:21" ht="18" customHeight="1">
      <c r="A594" s="187" t="e">
        <f>#REF!</f>
        <v>#REF!</v>
      </c>
      <c r="B594" s="1275" t="e">
        <f>IF(A594="","",VLOOKUP($A594,'[2]FDE-JUNHO-08'!$A$6:$D$3537,2,FALSE()))</f>
        <v>#REF!</v>
      </c>
      <c r="C594" s="1275"/>
      <c r="D594" s="1275"/>
      <c r="E594" s="1275"/>
      <c r="F594" s="1275"/>
      <c r="G594" s="1275"/>
      <c r="H594" s="1275"/>
      <c r="I594" s="1275"/>
      <c r="J594" s="1275"/>
      <c r="K594" s="1275"/>
      <c r="L594" s="1275"/>
      <c r="M594" s="1275"/>
      <c r="N594" s="1275"/>
      <c r="O594" s="1275"/>
      <c r="P594" s="188" t="e">
        <f>IF(A594="","",VLOOKUP($A594,'[2]FDE-JUNHO-08'!$A$6:$D$3537,3,FALSE()))</f>
        <v>#REF!</v>
      </c>
      <c r="Q594" s="189" t="s">
        <v>1205</v>
      </c>
      <c r="R594" s="189" t="s">
        <v>1206</v>
      </c>
      <c r="T594" s="190"/>
      <c r="U594" s="191"/>
    </row>
    <row r="595" spans="1:21">
      <c r="A595" s="192"/>
      <c r="B595" s="195"/>
      <c r="C595" s="196"/>
      <c r="D595" s="197"/>
      <c r="E595" s="198"/>
      <c r="F595" s="197"/>
      <c r="G595" s="198"/>
      <c r="H595" s="197"/>
      <c r="I595" s="207"/>
      <c r="J595" s="207"/>
      <c r="K595" s="208"/>
      <c r="L595" s="209"/>
      <c r="M595" s="209"/>
      <c r="N595" s="209"/>
      <c r="O595" s="155"/>
      <c r="P595" s="193"/>
      <c r="Q595" s="200"/>
      <c r="R595" s="194"/>
      <c r="T595" s="190"/>
      <c r="U595" s="191"/>
    </row>
    <row r="596" spans="1:21">
      <c r="A596" s="192"/>
      <c r="B596" s="195" t="s">
        <v>1223</v>
      </c>
      <c r="C596" s="196"/>
      <c r="D596" s="197"/>
      <c r="E596" s="198"/>
      <c r="F596" s="197"/>
      <c r="G596" s="198"/>
      <c r="H596" s="197"/>
      <c r="I596" s="198"/>
      <c r="J596" s="197"/>
      <c r="K596" s="198"/>
      <c r="L596" s="199"/>
      <c r="M596" s="199" t="s">
        <v>1208</v>
      </c>
      <c r="N596" s="199">
        <v>112.98</v>
      </c>
      <c r="O596" s="155"/>
      <c r="P596" s="193"/>
      <c r="Q596" s="200"/>
      <c r="R596" s="194"/>
      <c r="T596" s="190"/>
      <c r="U596" s="191"/>
    </row>
    <row r="597" spans="1:21">
      <c r="A597" s="192"/>
      <c r="B597" s="195"/>
      <c r="C597" s="196"/>
      <c r="D597" s="197"/>
      <c r="E597" s="198"/>
      <c r="F597" s="197"/>
      <c r="G597" s="198"/>
      <c r="H597" s="197"/>
      <c r="I597" s="198"/>
      <c r="J597" s="197"/>
      <c r="K597" s="198"/>
      <c r="L597" s="199"/>
      <c r="M597" s="199"/>
      <c r="N597" s="201"/>
      <c r="O597" s="202"/>
      <c r="P597" s="193"/>
      <c r="Q597" s="200"/>
      <c r="R597" s="194"/>
      <c r="T597" s="190"/>
      <c r="U597" s="191"/>
    </row>
    <row r="598" spans="1:21">
      <c r="A598" s="192"/>
      <c r="B598" s="195"/>
      <c r="C598" s="196"/>
      <c r="D598" s="197"/>
      <c r="E598" s="198"/>
      <c r="F598" s="197"/>
      <c r="G598" s="198"/>
      <c r="H598" s="197"/>
      <c r="I598" s="198"/>
      <c r="J598" s="197"/>
      <c r="K598" s="198"/>
      <c r="L598" s="199" t="s">
        <v>1140</v>
      </c>
      <c r="M598" s="199" t="s">
        <v>1208</v>
      </c>
      <c r="N598" s="199">
        <f>SUM(N596:N597)</f>
        <v>112.98</v>
      </c>
      <c r="O598" s="155" t="e">
        <f>P594</f>
        <v>#REF!</v>
      </c>
      <c r="P598" s="193"/>
      <c r="Q598" s="200"/>
      <c r="R598" s="194"/>
      <c r="T598" s="190"/>
      <c r="U598" s="191"/>
    </row>
    <row r="599" spans="1:21">
      <c r="A599" s="192"/>
      <c r="B599" s="195"/>
      <c r="C599" s="196"/>
      <c r="D599" s="197"/>
      <c r="E599" s="198"/>
      <c r="F599" s="197"/>
      <c r="G599" s="198"/>
      <c r="H599" s="197"/>
      <c r="I599" s="198"/>
      <c r="J599" s="197"/>
      <c r="K599" s="198"/>
      <c r="L599" s="199"/>
      <c r="M599" s="199"/>
      <c r="N599" s="199"/>
      <c r="O599" s="155"/>
      <c r="P599" s="193"/>
      <c r="Q599" s="200"/>
      <c r="R599" s="194"/>
      <c r="T599" s="190"/>
      <c r="U599" s="191"/>
    </row>
    <row r="600" spans="1:21">
      <c r="A600" s="192"/>
      <c r="B600" s="1277" t="s">
        <v>1209</v>
      </c>
      <c r="C600" s="1277"/>
      <c r="D600" s="1277"/>
      <c r="E600" s="1277"/>
      <c r="F600" s="1277"/>
      <c r="G600" s="1277"/>
      <c r="H600" s="1277"/>
      <c r="I600" s="1277"/>
      <c r="J600" s="1277"/>
      <c r="K600" s="1277"/>
      <c r="L600" s="1277"/>
      <c r="M600" s="1277"/>
      <c r="N600" s="1277"/>
      <c r="O600" s="1277"/>
      <c r="P600" s="1277"/>
      <c r="Q600" s="203">
        <v>0</v>
      </c>
      <c r="R600" s="204">
        <f>Q600</f>
        <v>0</v>
      </c>
      <c r="T600" s="1278"/>
      <c r="U600" s="1279"/>
    </row>
    <row r="601" spans="1:21">
      <c r="A601" s="192"/>
      <c r="B601" s="1280" t="e">
        <f>med</f>
        <v>#NAME?</v>
      </c>
      <c r="C601" s="1280"/>
      <c r="D601" s="1280"/>
      <c r="E601" s="1280"/>
      <c r="F601" s="1280"/>
      <c r="G601" s="1280"/>
      <c r="H601" s="1280"/>
      <c r="I601" s="1280"/>
      <c r="J601" s="1280"/>
      <c r="K601" s="1280"/>
      <c r="L601" s="1280"/>
      <c r="M601" s="1280"/>
      <c r="N601" s="1280"/>
      <c r="O601" s="1280"/>
      <c r="P601" s="205">
        <f>N598</f>
        <v>112.98</v>
      </c>
      <c r="Q601" s="203">
        <f>P601</f>
        <v>112.98</v>
      </c>
      <c r="R601" s="204">
        <f>Q601+R600</f>
        <v>112.98</v>
      </c>
      <c r="T601" s="1278"/>
      <c r="U601" s="1279"/>
    </row>
    <row r="602" spans="1:21" ht="18" customHeight="1">
      <c r="A602" s="187" t="e">
        <f>#REF!</f>
        <v>#REF!</v>
      </c>
      <c r="B602" s="1275" t="e">
        <f>IF(A602="","",VLOOKUP($A602,'[2]FDE-JUNHO-08'!$A$6:$D$3537,2,FALSE()))</f>
        <v>#REF!</v>
      </c>
      <c r="C602" s="1275"/>
      <c r="D602" s="1275"/>
      <c r="E602" s="1275"/>
      <c r="F602" s="1275"/>
      <c r="G602" s="1275"/>
      <c r="H602" s="1275"/>
      <c r="I602" s="1275"/>
      <c r="J602" s="1275"/>
      <c r="K602" s="1275"/>
      <c r="L602" s="1275"/>
      <c r="M602" s="1275"/>
      <c r="N602" s="1275"/>
      <c r="O602" s="1275"/>
      <c r="P602" s="188" t="e">
        <f>IF(A602="","",VLOOKUP($A602,'[2]FDE-JUNHO-08'!$A$6:$D$3537,3,FALSE()))</f>
        <v>#REF!</v>
      </c>
      <c r="Q602" s="189" t="s">
        <v>1205</v>
      </c>
      <c r="R602" s="189" t="s">
        <v>1206</v>
      </c>
      <c r="T602" s="190"/>
      <c r="U602" s="191"/>
    </row>
    <row r="603" spans="1:21">
      <c r="A603" s="192"/>
      <c r="B603" s="1276"/>
      <c r="C603" s="1276"/>
      <c r="D603" s="1276"/>
      <c r="E603" s="1276"/>
      <c r="F603" s="1276"/>
      <c r="G603" s="1276"/>
      <c r="H603" s="1276"/>
      <c r="I603" s="1276"/>
      <c r="J603" s="1276"/>
      <c r="K603" s="1276"/>
      <c r="L603" s="1276"/>
      <c r="M603" s="1276"/>
      <c r="N603" s="1276"/>
      <c r="O603" s="1276"/>
      <c r="P603" s="193"/>
      <c r="Q603" s="194"/>
      <c r="R603" s="194"/>
      <c r="T603" s="190"/>
      <c r="U603" s="191"/>
    </row>
    <row r="604" spans="1:21">
      <c r="A604" s="192"/>
      <c r="B604" s="195" t="s">
        <v>1207</v>
      </c>
      <c r="C604" s="196"/>
      <c r="D604" s="197"/>
      <c r="E604" s="198"/>
      <c r="F604" s="197"/>
      <c r="G604" s="198"/>
      <c r="H604" s="197"/>
      <c r="I604" s="198"/>
      <c r="J604" s="197"/>
      <c r="K604" s="198"/>
      <c r="L604" s="199"/>
      <c r="M604" s="199" t="s">
        <v>1208</v>
      </c>
      <c r="N604" s="199">
        <f>PLANILHA!E86</f>
        <v>4</v>
      </c>
      <c r="O604" s="155"/>
      <c r="P604" s="193"/>
      <c r="Q604" s="200"/>
      <c r="R604" s="194"/>
      <c r="T604" s="190"/>
      <c r="U604" s="191"/>
    </row>
    <row r="605" spans="1:21">
      <c r="A605" s="192"/>
      <c r="B605" s="195"/>
      <c r="C605" s="196"/>
      <c r="D605" s="197"/>
      <c r="E605" s="198"/>
      <c r="F605" s="197"/>
      <c r="G605" s="198"/>
      <c r="H605" s="197"/>
      <c r="I605" s="198"/>
      <c r="J605" s="197"/>
      <c r="K605" s="198"/>
      <c r="L605" s="199"/>
      <c r="M605" s="199"/>
      <c r="N605" s="201"/>
      <c r="O605" s="202"/>
      <c r="P605" s="193"/>
      <c r="Q605" s="200"/>
      <c r="R605" s="194"/>
      <c r="T605" s="190"/>
      <c r="U605" s="191"/>
    </row>
    <row r="606" spans="1:21">
      <c r="A606" s="192"/>
      <c r="B606" s="195"/>
      <c r="C606" s="196"/>
      <c r="D606" s="197"/>
      <c r="E606" s="198"/>
      <c r="F606" s="197"/>
      <c r="G606" s="198"/>
      <c r="H606" s="197"/>
      <c r="I606" s="198"/>
      <c r="J606" s="197"/>
      <c r="K606" s="198"/>
      <c r="L606" s="199" t="s">
        <v>1140</v>
      </c>
      <c r="M606" s="199" t="s">
        <v>1208</v>
      </c>
      <c r="N606" s="199">
        <f>SUM(N604:N605)</f>
        <v>4</v>
      </c>
      <c r="O606" s="155" t="e">
        <f>P602</f>
        <v>#REF!</v>
      </c>
      <c r="P606" s="193"/>
      <c r="Q606" s="200"/>
      <c r="R606" s="194"/>
      <c r="T606" s="190"/>
      <c r="U606" s="191"/>
    </row>
    <row r="607" spans="1:21">
      <c r="A607" s="192"/>
      <c r="B607" s="195"/>
      <c r="C607" s="196"/>
      <c r="D607" s="197"/>
      <c r="E607" s="198"/>
      <c r="F607" s="197"/>
      <c r="G607" s="198"/>
      <c r="H607" s="197"/>
      <c r="I607" s="198"/>
      <c r="J607" s="197"/>
      <c r="K607" s="198"/>
      <c r="L607" s="199"/>
      <c r="M607" s="199"/>
      <c r="N607" s="199"/>
      <c r="O607" s="155"/>
      <c r="P607" s="193"/>
      <c r="Q607" s="200"/>
      <c r="R607" s="194"/>
      <c r="T607" s="190"/>
      <c r="U607" s="191"/>
    </row>
    <row r="608" spans="1:21">
      <c r="A608" s="192"/>
      <c r="B608" s="1277" t="s">
        <v>1209</v>
      </c>
      <c r="C608" s="1277"/>
      <c r="D608" s="1277"/>
      <c r="E608" s="1277"/>
      <c r="F608" s="1277"/>
      <c r="G608" s="1277"/>
      <c r="H608" s="1277"/>
      <c r="I608" s="1277"/>
      <c r="J608" s="1277"/>
      <c r="K608" s="1277"/>
      <c r="L608" s="1277"/>
      <c r="M608" s="1277"/>
      <c r="N608" s="1277"/>
      <c r="O608" s="1277"/>
      <c r="P608" s="1277"/>
      <c r="Q608" s="203">
        <v>0</v>
      </c>
      <c r="R608" s="204">
        <f>Q608</f>
        <v>0</v>
      </c>
      <c r="T608" s="1278"/>
      <c r="U608" s="1279"/>
    </row>
    <row r="609" spans="1:21">
      <c r="A609" s="206"/>
      <c r="B609" s="1280" t="e">
        <f>med</f>
        <v>#NAME?</v>
      </c>
      <c r="C609" s="1280"/>
      <c r="D609" s="1280"/>
      <c r="E609" s="1280"/>
      <c r="F609" s="1280"/>
      <c r="G609" s="1280"/>
      <c r="H609" s="1280"/>
      <c r="I609" s="1280"/>
      <c r="J609" s="1280"/>
      <c r="K609" s="1280"/>
      <c r="L609" s="1280"/>
      <c r="M609" s="1280"/>
      <c r="N609" s="1280"/>
      <c r="O609" s="1280"/>
      <c r="P609" s="205">
        <f>N606</f>
        <v>4</v>
      </c>
      <c r="Q609" s="203">
        <f>P609</f>
        <v>4</v>
      </c>
      <c r="R609" s="204">
        <f>Q609+R608</f>
        <v>4</v>
      </c>
      <c r="T609" s="1278"/>
      <c r="U609" s="1279"/>
    </row>
    <row r="610" spans="1:21" ht="18" customHeight="1">
      <c r="A610" s="187" t="e">
        <f>#REF!</f>
        <v>#REF!</v>
      </c>
      <c r="B610" s="1275" t="e">
        <f>IF(A610="","",VLOOKUP($A610,'[2]FDE-JUNHO-08'!$A$6:$D$3537,2,FALSE()))</f>
        <v>#REF!</v>
      </c>
      <c r="C610" s="1275"/>
      <c r="D610" s="1275"/>
      <c r="E610" s="1275"/>
      <c r="F610" s="1275"/>
      <c r="G610" s="1275"/>
      <c r="H610" s="1275"/>
      <c r="I610" s="1275"/>
      <c r="J610" s="1275"/>
      <c r="K610" s="1275"/>
      <c r="L610" s="1275"/>
      <c r="M610" s="1275"/>
      <c r="N610" s="1275"/>
      <c r="O610" s="1275"/>
      <c r="P610" s="188" t="e">
        <f>IF(A610="","",VLOOKUP($A610,'[2]FDE-JUNHO-08'!$A$6:$D$3537,3,FALSE()))</f>
        <v>#REF!</v>
      </c>
      <c r="Q610" s="189" t="s">
        <v>1205</v>
      </c>
      <c r="R610" s="189" t="s">
        <v>1206</v>
      </c>
      <c r="T610" s="190"/>
      <c r="U610" s="191"/>
    </row>
    <row r="611" spans="1:21">
      <c r="A611" s="192"/>
      <c r="B611" s="1276"/>
      <c r="C611" s="1276"/>
      <c r="D611" s="1276"/>
      <c r="E611" s="1276"/>
      <c r="F611" s="1276"/>
      <c r="G611" s="1276"/>
      <c r="H611" s="1276"/>
      <c r="I611" s="1276"/>
      <c r="J611" s="1276"/>
      <c r="K611" s="1276"/>
      <c r="L611" s="1276"/>
      <c r="M611" s="1276"/>
      <c r="N611" s="1276"/>
      <c r="O611" s="1276"/>
      <c r="P611" s="193"/>
      <c r="Q611" s="194"/>
      <c r="R611" s="194"/>
      <c r="T611" s="190"/>
      <c r="U611" s="191"/>
    </row>
    <row r="612" spans="1:21">
      <c r="A612" s="192"/>
      <c r="B612" s="195" t="s">
        <v>1207</v>
      </c>
      <c r="C612" s="196"/>
      <c r="D612" s="197"/>
      <c r="E612" s="198"/>
      <c r="F612" s="197"/>
      <c r="G612" s="198"/>
      <c r="H612" s="197"/>
      <c r="I612" s="198"/>
      <c r="J612" s="197"/>
      <c r="K612" s="198"/>
      <c r="L612" s="199"/>
      <c r="M612" s="199" t="s">
        <v>1208</v>
      </c>
      <c r="N612" s="199">
        <f>PLANILHA!E87</f>
        <v>2</v>
      </c>
      <c r="O612" s="155"/>
      <c r="P612" s="193"/>
      <c r="Q612" s="200"/>
      <c r="R612" s="194"/>
      <c r="T612" s="190"/>
      <c r="U612" s="191"/>
    </row>
    <row r="613" spans="1:21">
      <c r="A613" s="192"/>
      <c r="B613" s="195"/>
      <c r="C613" s="196"/>
      <c r="D613" s="197"/>
      <c r="E613" s="198"/>
      <c r="F613" s="197"/>
      <c r="G613" s="198"/>
      <c r="H613" s="197"/>
      <c r="I613" s="198"/>
      <c r="J613" s="197"/>
      <c r="K613" s="198"/>
      <c r="L613" s="199"/>
      <c r="M613" s="199"/>
      <c r="N613" s="201"/>
      <c r="O613" s="202"/>
      <c r="P613" s="193"/>
      <c r="Q613" s="200"/>
      <c r="R613" s="194"/>
      <c r="T613" s="190"/>
      <c r="U613" s="191"/>
    </row>
    <row r="614" spans="1:21">
      <c r="A614" s="192"/>
      <c r="B614" s="195"/>
      <c r="C614" s="196"/>
      <c r="D614" s="197"/>
      <c r="E614" s="198"/>
      <c r="F614" s="197"/>
      <c r="G614" s="198"/>
      <c r="H614" s="197"/>
      <c r="I614" s="198"/>
      <c r="J614" s="197"/>
      <c r="K614" s="198"/>
      <c r="L614" s="199" t="s">
        <v>1140</v>
      </c>
      <c r="M614" s="199" t="s">
        <v>1208</v>
      </c>
      <c r="N614" s="199">
        <f>SUM(N612:N613)</f>
        <v>2</v>
      </c>
      <c r="O614" s="155" t="e">
        <f>P610</f>
        <v>#REF!</v>
      </c>
      <c r="P614" s="193"/>
      <c r="Q614" s="200"/>
      <c r="R614" s="194"/>
      <c r="T614" s="190"/>
      <c r="U614" s="191"/>
    </row>
    <row r="615" spans="1:21">
      <c r="A615" s="192"/>
      <c r="B615" s="195"/>
      <c r="C615" s="196"/>
      <c r="D615" s="197"/>
      <c r="E615" s="198"/>
      <c r="F615" s="197"/>
      <c r="G615" s="198"/>
      <c r="H615" s="197"/>
      <c r="I615" s="198"/>
      <c r="J615" s="197"/>
      <c r="K615" s="198"/>
      <c r="L615" s="199"/>
      <c r="M615" s="199"/>
      <c r="N615" s="199"/>
      <c r="O615" s="155"/>
      <c r="P615" s="193"/>
      <c r="Q615" s="200"/>
      <c r="R615" s="194"/>
      <c r="T615" s="190"/>
      <c r="U615" s="191"/>
    </row>
    <row r="616" spans="1:21">
      <c r="A616" s="192"/>
      <c r="B616" s="1277" t="s">
        <v>1209</v>
      </c>
      <c r="C616" s="1277"/>
      <c r="D616" s="1277"/>
      <c r="E616" s="1277"/>
      <c r="F616" s="1277"/>
      <c r="G616" s="1277"/>
      <c r="H616" s="1277"/>
      <c r="I616" s="1277"/>
      <c r="J616" s="1277"/>
      <c r="K616" s="1277"/>
      <c r="L616" s="1277"/>
      <c r="M616" s="1277"/>
      <c r="N616" s="1277"/>
      <c r="O616" s="1277"/>
      <c r="P616" s="1277"/>
      <c r="Q616" s="203">
        <v>0</v>
      </c>
      <c r="R616" s="204">
        <f>Q616</f>
        <v>0</v>
      </c>
      <c r="T616" s="1278"/>
      <c r="U616" s="1279"/>
    </row>
    <row r="617" spans="1:21">
      <c r="A617" s="192"/>
      <c r="B617" s="1280" t="e">
        <f>med</f>
        <v>#NAME?</v>
      </c>
      <c r="C617" s="1280"/>
      <c r="D617" s="1280"/>
      <c r="E617" s="1280"/>
      <c r="F617" s="1280"/>
      <c r="G617" s="1280"/>
      <c r="H617" s="1280"/>
      <c r="I617" s="1280"/>
      <c r="J617" s="1280"/>
      <c r="K617" s="1280"/>
      <c r="L617" s="1280"/>
      <c r="M617" s="1280"/>
      <c r="N617" s="1280"/>
      <c r="O617" s="1280"/>
      <c r="P617" s="205">
        <f>N614</f>
        <v>2</v>
      </c>
      <c r="Q617" s="203">
        <f>P617</f>
        <v>2</v>
      </c>
      <c r="R617" s="204">
        <f>Q617+R616</f>
        <v>2</v>
      </c>
      <c r="T617" s="1278"/>
      <c r="U617" s="1279"/>
    </row>
    <row r="618" spans="1:21" ht="18" customHeight="1">
      <c r="A618" s="187" t="e">
        <f>#REF!</f>
        <v>#REF!</v>
      </c>
      <c r="B618" s="1275" t="e">
        <f>IF(A618="","",VLOOKUP($A618,'[2]FDE-JUNHO-08'!$A$6:$D$3537,2,FALSE()))</f>
        <v>#REF!</v>
      </c>
      <c r="C618" s="1275"/>
      <c r="D618" s="1275"/>
      <c r="E618" s="1275"/>
      <c r="F618" s="1275"/>
      <c r="G618" s="1275"/>
      <c r="H618" s="1275"/>
      <c r="I618" s="1275"/>
      <c r="J618" s="1275"/>
      <c r="K618" s="1275"/>
      <c r="L618" s="1275"/>
      <c r="M618" s="1275"/>
      <c r="N618" s="1275"/>
      <c r="O618" s="1275"/>
      <c r="P618" s="188" t="e">
        <f>IF(A618="","",VLOOKUP($A618,'[2]FDE-JUNHO-08'!$A$6:$D$3537,3,FALSE()))</f>
        <v>#REF!</v>
      </c>
      <c r="Q618" s="189" t="s">
        <v>1205</v>
      </c>
      <c r="R618" s="189" t="s">
        <v>1206</v>
      </c>
      <c r="T618" s="190"/>
      <c r="U618" s="191"/>
    </row>
    <row r="619" spans="1:21">
      <c r="A619" s="192"/>
      <c r="B619" s="1276"/>
      <c r="C619" s="1276"/>
      <c r="D619" s="1276"/>
      <c r="E619" s="1276"/>
      <c r="F619" s="1276"/>
      <c r="G619" s="1276"/>
      <c r="H619" s="1276"/>
      <c r="I619" s="1276"/>
      <c r="J619" s="1276"/>
      <c r="K619" s="1276"/>
      <c r="L619" s="1276"/>
      <c r="M619" s="1276"/>
      <c r="N619" s="1276"/>
      <c r="O619" s="1276"/>
      <c r="P619" s="193"/>
      <c r="Q619" s="194"/>
      <c r="R619" s="194"/>
      <c r="T619" s="190"/>
      <c r="U619" s="191"/>
    </row>
    <row r="620" spans="1:21">
      <c r="A620" s="192"/>
      <c r="B620" s="195" t="s">
        <v>1207</v>
      </c>
      <c r="C620" s="196"/>
      <c r="D620" s="197"/>
      <c r="E620" s="198"/>
      <c r="F620" s="197"/>
      <c r="G620" s="198"/>
      <c r="H620" s="197"/>
      <c r="I620" s="198"/>
      <c r="J620" s="197"/>
      <c r="K620" s="198"/>
      <c r="L620" s="199"/>
      <c r="M620" s="199" t="s">
        <v>1208</v>
      </c>
      <c r="N620" s="199">
        <v>93</v>
      </c>
      <c r="O620" s="155"/>
      <c r="P620" s="193"/>
      <c r="Q620" s="200"/>
      <c r="R620" s="194"/>
      <c r="T620" s="190"/>
      <c r="U620" s="191"/>
    </row>
    <row r="621" spans="1:21">
      <c r="A621" s="192"/>
      <c r="B621" s="195"/>
      <c r="C621" s="196"/>
      <c r="D621" s="197"/>
      <c r="E621" s="198"/>
      <c r="F621" s="197"/>
      <c r="G621" s="198"/>
      <c r="H621" s="197"/>
      <c r="I621" s="198"/>
      <c r="J621" s="197"/>
      <c r="K621" s="198"/>
      <c r="L621" s="199"/>
      <c r="M621" s="199"/>
      <c r="N621" s="201"/>
      <c r="O621" s="202"/>
      <c r="P621" s="193"/>
      <c r="Q621" s="200"/>
      <c r="R621" s="194"/>
      <c r="T621" s="190"/>
      <c r="U621" s="191"/>
    </row>
    <row r="622" spans="1:21">
      <c r="A622" s="192"/>
      <c r="B622" s="195"/>
      <c r="C622" s="196"/>
      <c r="D622" s="197"/>
      <c r="E622" s="198"/>
      <c r="F622" s="197"/>
      <c r="G622" s="198"/>
      <c r="H622" s="197"/>
      <c r="I622" s="198"/>
      <c r="J622" s="197"/>
      <c r="K622" s="198"/>
      <c r="L622" s="199" t="s">
        <v>1140</v>
      </c>
      <c r="M622" s="199" t="s">
        <v>1208</v>
      </c>
      <c r="N622" s="199">
        <f>SUM(N620:N621)</f>
        <v>93</v>
      </c>
      <c r="O622" s="155" t="e">
        <f>P618</f>
        <v>#REF!</v>
      </c>
      <c r="P622" s="193"/>
      <c r="Q622" s="200"/>
      <c r="R622" s="194"/>
      <c r="T622" s="190"/>
      <c r="U622" s="191"/>
    </row>
    <row r="623" spans="1:21">
      <c r="A623" s="192"/>
      <c r="B623" s="195"/>
      <c r="C623" s="196"/>
      <c r="D623" s="197"/>
      <c r="E623" s="198"/>
      <c r="F623" s="197"/>
      <c r="G623" s="198"/>
      <c r="H623" s="197"/>
      <c r="I623" s="198"/>
      <c r="J623" s="197"/>
      <c r="K623" s="198"/>
      <c r="L623" s="199"/>
      <c r="M623" s="199"/>
      <c r="N623" s="199"/>
      <c r="O623" s="155"/>
      <c r="P623" s="193"/>
      <c r="Q623" s="200"/>
      <c r="R623" s="194"/>
      <c r="T623" s="190"/>
      <c r="U623" s="191"/>
    </row>
    <row r="624" spans="1:21">
      <c r="A624" s="192"/>
      <c r="B624" s="1277" t="s">
        <v>1209</v>
      </c>
      <c r="C624" s="1277"/>
      <c r="D624" s="1277"/>
      <c r="E624" s="1277"/>
      <c r="F624" s="1277"/>
      <c r="G624" s="1277"/>
      <c r="H624" s="1277"/>
      <c r="I624" s="1277"/>
      <c r="J624" s="1277"/>
      <c r="K624" s="1277"/>
      <c r="L624" s="1277"/>
      <c r="M624" s="1277"/>
      <c r="N624" s="1277"/>
      <c r="O624" s="1277"/>
      <c r="P624" s="1277"/>
      <c r="Q624" s="203">
        <v>0</v>
      </c>
      <c r="R624" s="204">
        <f>Q624</f>
        <v>0</v>
      </c>
      <c r="T624" s="1278"/>
      <c r="U624" s="1279"/>
    </row>
    <row r="625" spans="1:21">
      <c r="A625" s="192"/>
      <c r="B625" s="1280" t="e">
        <f>med</f>
        <v>#NAME?</v>
      </c>
      <c r="C625" s="1280"/>
      <c r="D625" s="1280"/>
      <c r="E625" s="1280"/>
      <c r="F625" s="1280"/>
      <c r="G625" s="1280"/>
      <c r="H625" s="1280"/>
      <c r="I625" s="1280"/>
      <c r="J625" s="1280"/>
      <c r="K625" s="1280"/>
      <c r="L625" s="1280"/>
      <c r="M625" s="1280"/>
      <c r="N625" s="1280"/>
      <c r="O625" s="1280"/>
      <c r="P625" s="205">
        <f>N622</f>
        <v>93</v>
      </c>
      <c r="Q625" s="203">
        <f>P625</f>
        <v>93</v>
      </c>
      <c r="R625" s="204">
        <f>Q625+R624</f>
        <v>93</v>
      </c>
      <c r="T625" s="1278"/>
      <c r="U625" s="1279"/>
    </row>
    <row r="626" spans="1:21" ht="18" customHeight="1">
      <c r="A626" s="187" t="e">
        <f>#REF!</f>
        <v>#REF!</v>
      </c>
      <c r="B626" s="1275" t="e">
        <f>IF(A626="","",VLOOKUP($A626,'[2]FDE-JUNHO-08'!$A$6:$D$3537,2,FALSE()))</f>
        <v>#REF!</v>
      </c>
      <c r="C626" s="1275"/>
      <c r="D626" s="1275"/>
      <c r="E626" s="1275"/>
      <c r="F626" s="1275"/>
      <c r="G626" s="1275"/>
      <c r="H626" s="1275"/>
      <c r="I626" s="1275"/>
      <c r="J626" s="1275"/>
      <c r="K626" s="1275"/>
      <c r="L626" s="1275"/>
      <c r="M626" s="1275"/>
      <c r="N626" s="1275"/>
      <c r="O626" s="1275"/>
      <c r="P626" s="188" t="e">
        <f>IF(A626="","",VLOOKUP($A626,'[2]FDE-JUNHO-08'!$A$6:$D$3537,3,FALSE()))</f>
        <v>#REF!</v>
      </c>
      <c r="Q626" s="189" t="s">
        <v>1205</v>
      </c>
      <c r="R626" s="189" t="s">
        <v>1206</v>
      </c>
      <c r="T626" s="190"/>
      <c r="U626" s="191"/>
    </row>
    <row r="627" spans="1:21">
      <c r="A627" s="192"/>
      <c r="B627" s="1276"/>
      <c r="C627" s="1276"/>
      <c r="D627" s="1276"/>
      <c r="E627" s="1276"/>
      <c r="F627" s="1276"/>
      <c r="G627" s="1276"/>
      <c r="H627" s="1276"/>
      <c r="I627" s="1276"/>
      <c r="J627" s="1276"/>
      <c r="K627" s="1276"/>
      <c r="L627" s="1276"/>
      <c r="M627" s="1276"/>
      <c r="N627" s="1276"/>
      <c r="O627" s="1276"/>
      <c r="P627" s="193"/>
      <c r="Q627" s="194"/>
      <c r="R627" s="194"/>
      <c r="T627" s="190"/>
      <c r="U627" s="191"/>
    </row>
    <row r="628" spans="1:21">
      <c r="A628" s="192"/>
      <c r="B628" s="195" t="s">
        <v>1207</v>
      </c>
      <c r="C628" s="196"/>
      <c r="D628" s="197"/>
      <c r="E628" s="198"/>
      <c r="F628" s="197"/>
      <c r="G628" s="198"/>
      <c r="H628" s="197"/>
      <c r="I628" s="198"/>
      <c r="J628" s="197"/>
      <c r="K628" s="198"/>
      <c r="L628" s="199"/>
      <c r="M628" s="199" t="s">
        <v>1208</v>
      </c>
      <c r="N628" s="199">
        <f>PLANILHA!E89</f>
        <v>8</v>
      </c>
      <c r="O628" s="155"/>
      <c r="P628" s="193"/>
      <c r="Q628" s="200"/>
      <c r="R628" s="194"/>
      <c r="T628" s="190"/>
      <c r="U628" s="191"/>
    </row>
    <row r="629" spans="1:21">
      <c r="A629" s="192"/>
      <c r="B629" s="195"/>
      <c r="C629" s="196"/>
      <c r="D629" s="197"/>
      <c r="E629" s="198"/>
      <c r="F629" s="197"/>
      <c r="G629" s="198"/>
      <c r="H629" s="197"/>
      <c r="I629" s="198"/>
      <c r="J629" s="197"/>
      <c r="K629" s="198"/>
      <c r="L629" s="199"/>
      <c r="M629" s="199"/>
      <c r="N629" s="201"/>
      <c r="O629" s="202"/>
      <c r="P629" s="193"/>
      <c r="Q629" s="200"/>
      <c r="R629" s="194"/>
      <c r="T629" s="190"/>
      <c r="U629" s="191"/>
    </row>
    <row r="630" spans="1:21">
      <c r="A630" s="192"/>
      <c r="B630" s="195"/>
      <c r="C630" s="196"/>
      <c r="D630" s="197"/>
      <c r="E630" s="198"/>
      <c r="F630" s="197"/>
      <c r="G630" s="198"/>
      <c r="H630" s="197"/>
      <c r="I630" s="198"/>
      <c r="J630" s="197"/>
      <c r="K630" s="198"/>
      <c r="L630" s="199" t="s">
        <v>1140</v>
      </c>
      <c r="M630" s="199" t="s">
        <v>1208</v>
      </c>
      <c r="N630" s="199">
        <f>SUM(N628:N629)</f>
        <v>8</v>
      </c>
      <c r="O630" s="155" t="e">
        <f>P626</f>
        <v>#REF!</v>
      </c>
      <c r="P630" s="193"/>
      <c r="Q630" s="200"/>
      <c r="R630" s="194"/>
      <c r="T630" s="190"/>
      <c r="U630" s="191"/>
    </row>
    <row r="631" spans="1:21">
      <c r="A631" s="192"/>
      <c r="B631" s="195"/>
      <c r="C631" s="196"/>
      <c r="D631" s="197"/>
      <c r="E631" s="198"/>
      <c r="F631" s="197"/>
      <c r="G631" s="198"/>
      <c r="H631" s="197"/>
      <c r="I631" s="198"/>
      <c r="J631" s="197"/>
      <c r="K631" s="198"/>
      <c r="L631" s="199"/>
      <c r="M631" s="199"/>
      <c r="N631" s="199"/>
      <c r="O631" s="155"/>
      <c r="P631" s="193"/>
      <c r="Q631" s="200"/>
      <c r="R631" s="194"/>
      <c r="T631" s="190"/>
      <c r="U631" s="191"/>
    </row>
    <row r="632" spans="1:21">
      <c r="A632" s="192"/>
      <c r="B632" s="1277" t="s">
        <v>1209</v>
      </c>
      <c r="C632" s="1277"/>
      <c r="D632" s="1277"/>
      <c r="E632" s="1277"/>
      <c r="F632" s="1277"/>
      <c r="G632" s="1277"/>
      <c r="H632" s="1277"/>
      <c r="I632" s="1277"/>
      <c r="J632" s="1277"/>
      <c r="K632" s="1277"/>
      <c r="L632" s="1277"/>
      <c r="M632" s="1277"/>
      <c r="N632" s="1277"/>
      <c r="O632" s="1277"/>
      <c r="P632" s="1277"/>
      <c r="Q632" s="203">
        <v>0</v>
      </c>
      <c r="R632" s="204">
        <f>Q632</f>
        <v>0</v>
      </c>
      <c r="T632" s="1278"/>
      <c r="U632" s="1279"/>
    </row>
    <row r="633" spans="1:21">
      <c r="A633" s="192"/>
      <c r="B633" s="1280" t="e">
        <f>med</f>
        <v>#NAME?</v>
      </c>
      <c r="C633" s="1280"/>
      <c r="D633" s="1280"/>
      <c r="E633" s="1280"/>
      <c r="F633" s="1280"/>
      <c r="G633" s="1280"/>
      <c r="H633" s="1280"/>
      <c r="I633" s="1280"/>
      <c r="J633" s="1280"/>
      <c r="K633" s="1280"/>
      <c r="L633" s="1280"/>
      <c r="M633" s="1280"/>
      <c r="N633" s="1280"/>
      <c r="O633" s="1280"/>
      <c r="P633" s="205">
        <f>N630</f>
        <v>8</v>
      </c>
      <c r="Q633" s="203">
        <f>P633</f>
        <v>8</v>
      </c>
      <c r="R633" s="204">
        <f>Q633+R632</f>
        <v>8</v>
      </c>
      <c r="T633" s="1278"/>
      <c r="U633" s="1279"/>
    </row>
    <row r="634" spans="1:21" ht="18" customHeight="1">
      <c r="A634" s="187" t="e">
        <f>#REF!</f>
        <v>#REF!</v>
      </c>
      <c r="B634" s="1275" t="e">
        <f>IF(A634="","",VLOOKUP($A634,'[2]FDE-JUNHO-08'!$A$6:$D$3537,2,FALSE()))</f>
        <v>#REF!</v>
      </c>
      <c r="C634" s="1275"/>
      <c r="D634" s="1275"/>
      <c r="E634" s="1275"/>
      <c r="F634" s="1275"/>
      <c r="G634" s="1275"/>
      <c r="H634" s="1275"/>
      <c r="I634" s="1275"/>
      <c r="J634" s="1275"/>
      <c r="K634" s="1275"/>
      <c r="L634" s="1275"/>
      <c r="M634" s="1275"/>
      <c r="N634" s="1275"/>
      <c r="O634" s="1275"/>
      <c r="P634" s="188" t="e">
        <f>IF(A634="","",VLOOKUP($A634,'[2]FDE-JUNHO-08'!$A$6:$D$3537,3,FALSE()))</f>
        <v>#REF!</v>
      </c>
      <c r="Q634" s="189" t="s">
        <v>1205</v>
      </c>
      <c r="R634" s="189" t="s">
        <v>1206</v>
      </c>
      <c r="T634" s="190"/>
      <c r="U634" s="191"/>
    </row>
    <row r="635" spans="1:21">
      <c r="A635" s="192"/>
      <c r="B635" s="195"/>
      <c r="C635" s="196"/>
      <c r="D635" s="197"/>
      <c r="E635" s="198"/>
      <c r="F635" s="197"/>
      <c r="G635" s="198"/>
      <c r="H635" s="197"/>
      <c r="I635" s="207"/>
      <c r="J635" s="207"/>
      <c r="K635" s="208"/>
      <c r="L635" s="209"/>
      <c r="M635" s="209"/>
      <c r="N635" s="209"/>
      <c r="O635" s="155"/>
      <c r="P635" s="193"/>
      <c r="Q635" s="200"/>
      <c r="R635" s="194"/>
      <c r="T635" s="190"/>
      <c r="U635" s="191"/>
    </row>
    <row r="636" spans="1:21" ht="13.8">
      <c r="A636" s="192"/>
      <c r="B636" s="210" t="s">
        <v>1207</v>
      </c>
      <c r="C636" s="196"/>
      <c r="D636" s="197"/>
      <c r="E636" s="198"/>
      <c r="F636" s="197"/>
      <c r="G636" s="198"/>
      <c r="H636" s="197"/>
      <c r="I636" s="198"/>
      <c r="J636" s="197"/>
      <c r="K636" s="198"/>
      <c r="L636" s="199"/>
      <c r="M636" s="199" t="s">
        <v>1208</v>
      </c>
      <c r="N636" s="199">
        <f>PLANILHA!E90</f>
        <v>6</v>
      </c>
      <c r="O636" s="155"/>
      <c r="P636" s="193"/>
      <c r="Q636" s="200"/>
      <c r="R636" s="194"/>
      <c r="T636" s="190"/>
      <c r="U636" s="191"/>
    </row>
    <row r="637" spans="1:21">
      <c r="A637" s="192"/>
      <c r="B637" s="195"/>
      <c r="C637" s="196"/>
      <c r="D637" s="197"/>
      <c r="E637" s="198"/>
      <c r="F637" s="197"/>
      <c r="G637" s="198"/>
      <c r="H637" s="197"/>
      <c r="I637" s="198"/>
      <c r="J637" s="197"/>
      <c r="K637" s="198"/>
      <c r="L637" s="199"/>
      <c r="M637" s="199"/>
      <c r="N637" s="201"/>
      <c r="O637" s="202"/>
      <c r="P637" s="193"/>
      <c r="Q637" s="200"/>
      <c r="R637" s="194"/>
      <c r="T637" s="190"/>
      <c r="U637" s="191"/>
    </row>
    <row r="638" spans="1:21">
      <c r="A638" s="192"/>
      <c r="B638" s="195"/>
      <c r="C638" s="196"/>
      <c r="D638" s="197"/>
      <c r="E638" s="198"/>
      <c r="F638" s="197"/>
      <c r="G638" s="198"/>
      <c r="H638" s="197"/>
      <c r="I638" s="198"/>
      <c r="J638" s="197"/>
      <c r="K638" s="198"/>
      <c r="L638" s="199" t="s">
        <v>1140</v>
      </c>
      <c r="M638" s="199" t="s">
        <v>1208</v>
      </c>
      <c r="N638" s="199">
        <f>SUM(N636:N637)</f>
        <v>6</v>
      </c>
      <c r="O638" s="155" t="e">
        <f>P634</f>
        <v>#REF!</v>
      </c>
      <c r="P638" s="193"/>
      <c r="Q638" s="200"/>
      <c r="R638" s="194"/>
      <c r="T638" s="190"/>
      <c r="U638" s="191"/>
    </row>
    <row r="639" spans="1:21">
      <c r="A639" s="192"/>
      <c r="B639" s="195"/>
      <c r="C639" s="196"/>
      <c r="D639" s="197"/>
      <c r="E639" s="198"/>
      <c r="F639" s="197"/>
      <c r="G639" s="198"/>
      <c r="H639" s="197"/>
      <c r="I639" s="198"/>
      <c r="J639" s="197"/>
      <c r="K639" s="198"/>
      <c r="L639" s="199"/>
      <c r="M639" s="199"/>
      <c r="N639" s="199"/>
      <c r="O639" s="155"/>
      <c r="P639" s="193"/>
      <c r="Q639" s="200"/>
      <c r="R639" s="194"/>
      <c r="T639" s="190"/>
      <c r="U639" s="191"/>
    </row>
    <row r="640" spans="1:21">
      <c r="A640" s="192"/>
      <c r="B640" s="1277" t="s">
        <v>1209</v>
      </c>
      <c r="C640" s="1277"/>
      <c r="D640" s="1277"/>
      <c r="E640" s="1277"/>
      <c r="F640" s="1277"/>
      <c r="G640" s="1277"/>
      <c r="H640" s="1277"/>
      <c r="I640" s="1277"/>
      <c r="J640" s="1277"/>
      <c r="K640" s="1277"/>
      <c r="L640" s="1277"/>
      <c r="M640" s="1277"/>
      <c r="N640" s="1277"/>
      <c r="O640" s="1277"/>
      <c r="P640" s="1277"/>
      <c r="Q640" s="203">
        <v>0</v>
      </c>
      <c r="R640" s="204">
        <f>Q640</f>
        <v>0</v>
      </c>
      <c r="T640" s="1278"/>
      <c r="U640" s="1279"/>
    </row>
    <row r="641" spans="1:21">
      <c r="A641" s="192"/>
      <c r="B641" s="1280" t="e">
        <f>med</f>
        <v>#NAME?</v>
      </c>
      <c r="C641" s="1280"/>
      <c r="D641" s="1280"/>
      <c r="E641" s="1280"/>
      <c r="F641" s="1280"/>
      <c r="G641" s="1280"/>
      <c r="H641" s="1280"/>
      <c r="I641" s="1280"/>
      <c r="J641" s="1280"/>
      <c r="K641" s="1280"/>
      <c r="L641" s="1280"/>
      <c r="M641" s="1280"/>
      <c r="N641" s="1280"/>
      <c r="O641" s="1280"/>
      <c r="P641" s="205">
        <f>N638</f>
        <v>6</v>
      </c>
      <c r="Q641" s="203">
        <f>P641</f>
        <v>6</v>
      </c>
      <c r="R641" s="204">
        <f>Q641+R640</f>
        <v>6</v>
      </c>
      <c r="T641" s="1278"/>
      <c r="U641" s="1279"/>
    </row>
    <row r="642" spans="1:21" ht="18" customHeight="1">
      <c r="A642" s="187" t="e">
        <f>#REF!</f>
        <v>#REF!</v>
      </c>
      <c r="B642" s="1275" t="e">
        <f>IF(A642="","",VLOOKUP($A642,'[2]FDE-JUNHO-08'!$A$6:$D$3537,2,FALSE()))</f>
        <v>#REF!</v>
      </c>
      <c r="C642" s="1275"/>
      <c r="D642" s="1275"/>
      <c r="E642" s="1275"/>
      <c r="F642" s="1275"/>
      <c r="G642" s="1275"/>
      <c r="H642" s="1275"/>
      <c r="I642" s="1275"/>
      <c r="J642" s="1275"/>
      <c r="K642" s="1275"/>
      <c r="L642" s="1275"/>
      <c r="M642" s="1275"/>
      <c r="N642" s="1275"/>
      <c r="O642" s="1275"/>
      <c r="P642" s="188" t="e">
        <f>IF(A642="","",VLOOKUP($A642,'[2]FDE-JUNHO-08'!$A$6:$D$3537,3,FALSE()))</f>
        <v>#REF!</v>
      </c>
      <c r="Q642" s="189" t="s">
        <v>1205</v>
      </c>
      <c r="R642" s="189" t="s">
        <v>1206</v>
      </c>
      <c r="T642" s="190"/>
      <c r="U642" s="191"/>
    </row>
    <row r="643" spans="1:21">
      <c r="A643" s="192"/>
      <c r="B643" s="1276"/>
      <c r="C643" s="1276"/>
      <c r="D643" s="1276"/>
      <c r="E643" s="1276"/>
      <c r="F643" s="1276"/>
      <c r="G643" s="1276"/>
      <c r="H643" s="1276"/>
      <c r="I643" s="1276"/>
      <c r="J643" s="1276"/>
      <c r="K643" s="1276"/>
      <c r="L643" s="1276"/>
      <c r="M643" s="1276"/>
      <c r="N643" s="1276"/>
      <c r="O643" s="1276"/>
      <c r="P643" s="193"/>
      <c r="Q643" s="194"/>
      <c r="R643" s="194"/>
      <c r="T643" s="190"/>
      <c r="U643" s="191"/>
    </row>
    <row r="644" spans="1:21">
      <c r="A644" s="192"/>
      <c r="B644" s="216" t="s">
        <v>1224</v>
      </c>
      <c r="C644" s="196"/>
      <c r="D644" s="197"/>
      <c r="E644" s="198"/>
      <c r="F644" s="197"/>
      <c r="G644" s="198"/>
      <c r="H644" s="197"/>
      <c r="I644" s="198"/>
      <c r="J644" s="197"/>
      <c r="K644" s="198"/>
      <c r="L644" s="199"/>
      <c r="M644" s="199" t="s">
        <v>1208</v>
      </c>
      <c r="N644" s="199">
        <f>PLANILHA!E91</f>
        <v>3</v>
      </c>
      <c r="O644" s="217"/>
      <c r="P644" s="193"/>
      <c r="Q644" s="200"/>
      <c r="R644" s="194"/>
      <c r="T644" s="190"/>
      <c r="U644" s="191"/>
    </row>
    <row r="645" spans="1:21">
      <c r="A645" s="192"/>
      <c r="B645" s="216"/>
      <c r="C645" s="196"/>
      <c r="D645" s="197"/>
      <c r="E645" s="198"/>
      <c r="F645" s="197"/>
      <c r="G645" s="198"/>
      <c r="H645" s="197"/>
      <c r="I645" s="198"/>
      <c r="J645" s="197"/>
      <c r="K645" s="198"/>
      <c r="L645" s="199"/>
      <c r="M645" s="199"/>
      <c r="N645" s="201"/>
      <c r="O645" s="202"/>
      <c r="P645" s="193"/>
      <c r="Q645" s="200"/>
      <c r="R645" s="194"/>
      <c r="T645" s="190"/>
      <c r="U645" s="191"/>
    </row>
    <row r="646" spans="1:21">
      <c r="A646" s="192"/>
      <c r="B646" s="216"/>
      <c r="C646" s="196"/>
      <c r="D646" s="197"/>
      <c r="E646" s="198"/>
      <c r="F646" s="197"/>
      <c r="G646" s="198"/>
      <c r="H646" s="197"/>
      <c r="I646" s="198"/>
      <c r="J646" s="197"/>
      <c r="K646" s="198"/>
      <c r="L646" s="199" t="s">
        <v>1140</v>
      </c>
      <c r="M646" s="199" t="s">
        <v>1208</v>
      </c>
      <c r="N646" s="199">
        <f>SUM(N644:N644)</f>
        <v>3</v>
      </c>
      <c r="O646" s="217" t="e">
        <f>P642</f>
        <v>#REF!</v>
      </c>
      <c r="P646" s="193"/>
      <c r="Q646" s="200"/>
      <c r="R646" s="194"/>
      <c r="T646" s="190"/>
      <c r="U646" s="191"/>
    </row>
    <row r="647" spans="1:21">
      <c r="A647" s="192"/>
      <c r="B647" s="195"/>
      <c r="C647" s="196"/>
      <c r="D647" s="197"/>
      <c r="E647" s="198"/>
      <c r="F647" s="197"/>
      <c r="G647" s="198"/>
      <c r="H647" s="197"/>
      <c r="I647" s="198"/>
      <c r="J647" s="197"/>
      <c r="K647" s="198"/>
      <c r="L647" s="199"/>
      <c r="M647" s="199"/>
      <c r="N647" s="199"/>
      <c r="O647" s="155"/>
      <c r="P647" s="193"/>
      <c r="Q647" s="200"/>
      <c r="R647" s="194"/>
      <c r="T647" s="190"/>
      <c r="U647" s="191"/>
    </row>
    <row r="648" spans="1:21">
      <c r="A648" s="192"/>
      <c r="B648" s="1277" t="s">
        <v>1209</v>
      </c>
      <c r="C648" s="1277"/>
      <c r="D648" s="1277"/>
      <c r="E648" s="1277"/>
      <c r="F648" s="1277"/>
      <c r="G648" s="1277"/>
      <c r="H648" s="1277"/>
      <c r="I648" s="1277"/>
      <c r="J648" s="1277"/>
      <c r="K648" s="1277"/>
      <c r="L648" s="1277"/>
      <c r="M648" s="1277"/>
      <c r="N648" s="1277"/>
      <c r="O648" s="1277"/>
      <c r="P648" s="1277"/>
      <c r="Q648" s="203">
        <v>0</v>
      </c>
      <c r="R648" s="204">
        <f>Q648</f>
        <v>0</v>
      </c>
      <c r="T648" s="1278"/>
      <c r="U648" s="1279"/>
    </row>
    <row r="649" spans="1:21">
      <c r="A649" s="192"/>
      <c r="B649" s="1277" t="e">
        <f>med</f>
        <v>#NAME?</v>
      </c>
      <c r="C649" s="1277"/>
      <c r="D649" s="1277"/>
      <c r="E649" s="1277"/>
      <c r="F649" s="1277"/>
      <c r="G649" s="1277"/>
      <c r="H649" s="1277"/>
      <c r="I649" s="1277"/>
      <c r="J649" s="1277"/>
      <c r="K649" s="1277"/>
      <c r="L649" s="1277"/>
      <c r="M649" s="1277"/>
      <c r="N649" s="1277"/>
      <c r="O649" s="1277"/>
      <c r="P649" s="205">
        <f>N646</f>
        <v>3</v>
      </c>
      <c r="Q649" s="203">
        <f>P649</f>
        <v>3</v>
      </c>
      <c r="R649" s="204">
        <f>Q649+R648</f>
        <v>3</v>
      </c>
      <c r="T649" s="1278"/>
      <c r="U649" s="1279"/>
    </row>
    <row r="650" spans="1:21" ht="18" customHeight="1">
      <c r="A650" s="187" t="e">
        <f>#REF!</f>
        <v>#REF!</v>
      </c>
      <c r="B650" s="1275" t="e">
        <f>IF(A650="","",VLOOKUP($A650,'[2]FDE-JUNHO-08'!$A$6:$D$3537,2,FALSE()))</f>
        <v>#REF!</v>
      </c>
      <c r="C650" s="1275"/>
      <c r="D650" s="1275"/>
      <c r="E650" s="1275"/>
      <c r="F650" s="1275"/>
      <c r="G650" s="1275"/>
      <c r="H650" s="1275"/>
      <c r="I650" s="1275"/>
      <c r="J650" s="1275"/>
      <c r="K650" s="1275"/>
      <c r="L650" s="1275"/>
      <c r="M650" s="1275"/>
      <c r="N650" s="1275"/>
      <c r="O650" s="1275"/>
      <c r="P650" s="188" t="e">
        <f>IF(A650="","",VLOOKUP($A650,'[2]FDE-JUNHO-08'!$A$6:$D$3537,3,FALSE()))</f>
        <v>#REF!</v>
      </c>
      <c r="Q650" s="189" t="s">
        <v>1205</v>
      </c>
      <c r="R650" s="189" t="s">
        <v>1206</v>
      </c>
      <c r="T650" s="190"/>
      <c r="U650" s="191"/>
    </row>
    <row r="651" spans="1:21">
      <c r="A651" s="192"/>
      <c r="B651" s="1281"/>
      <c r="C651" s="1281"/>
      <c r="D651" s="1281"/>
      <c r="E651" s="1281"/>
      <c r="F651" s="1281"/>
      <c r="G651" s="1281"/>
      <c r="H651" s="1281"/>
      <c r="I651" s="1281"/>
      <c r="J651" s="1281"/>
      <c r="K651" s="1281"/>
      <c r="L651" s="1281"/>
      <c r="M651" s="1281"/>
      <c r="N651" s="1281"/>
      <c r="O651" s="1281"/>
      <c r="P651" s="193"/>
      <c r="Q651" s="194"/>
      <c r="R651" s="194"/>
      <c r="T651" s="190"/>
      <c r="U651" s="191"/>
    </row>
    <row r="652" spans="1:21">
      <c r="A652" s="192"/>
      <c r="B652" s="216" t="s">
        <v>1224</v>
      </c>
      <c r="C652" s="196"/>
      <c r="D652" s="197"/>
      <c r="E652" s="198"/>
      <c r="F652" s="197"/>
      <c r="G652" s="198"/>
      <c r="H652" s="197"/>
      <c r="I652" s="198"/>
      <c r="J652" s="197"/>
      <c r="K652" s="198"/>
      <c r="L652" s="199"/>
      <c r="M652" s="199" t="s">
        <v>1208</v>
      </c>
      <c r="N652" s="199">
        <f>PLANILHA!E92</f>
        <v>42</v>
      </c>
      <c r="O652" s="155"/>
      <c r="P652" s="193"/>
      <c r="Q652" s="200"/>
      <c r="R652" s="194"/>
      <c r="T652" s="190"/>
      <c r="U652" s="191"/>
    </row>
    <row r="653" spans="1:21">
      <c r="A653" s="192"/>
      <c r="B653" s="195"/>
      <c r="C653" s="196"/>
      <c r="D653" s="197"/>
      <c r="E653" s="198"/>
      <c r="F653" s="197"/>
      <c r="G653" s="198"/>
      <c r="H653" s="197"/>
      <c r="I653" s="198"/>
      <c r="J653" s="197"/>
      <c r="K653" s="198"/>
      <c r="L653" s="199"/>
      <c r="M653" s="199"/>
      <c r="N653" s="201"/>
      <c r="O653" s="202"/>
      <c r="P653" s="193"/>
      <c r="Q653" s="200"/>
      <c r="R653" s="194"/>
      <c r="T653" s="190"/>
      <c r="U653" s="191"/>
    </row>
    <row r="654" spans="1:21">
      <c r="A654" s="192"/>
      <c r="B654" s="195"/>
      <c r="C654" s="196"/>
      <c r="D654" s="197"/>
      <c r="E654" s="198"/>
      <c r="F654" s="197"/>
      <c r="G654" s="198"/>
      <c r="H654" s="197"/>
      <c r="I654" s="198"/>
      <c r="J654" s="197"/>
      <c r="K654" s="198"/>
      <c r="L654" s="199" t="s">
        <v>1140</v>
      </c>
      <c r="M654" s="199" t="s">
        <v>1208</v>
      </c>
      <c r="N654" s="199">
        <f>SUM(N652:N653)</f>
        <v>42</v>
      </c>
      <c r="O654" s="155" t="e">
        <f>P650</f>
        <v>#REF!</v>
      </c>
      <c r="P654" s="193"/>
      <c r="Q654" s="200"/>
      <c r="R654" s="194"/>
      <c r="T654" s="190"/>
      <c r="U654" s="191"/>
    </row>
    <row r="655" spans="1:21">
      <c r="A655" s="192"/>
      <c r="B655" s="195"/>
      <c r="C655" s="196"/>
      <c r="D655" s="197"/>
      <c r="E655" s="198"/>
      <c r="F655" s="197"/>
      <c r="G655" s="198"/>
      <c r="H655" s="197"/>
      <c r="I655" s="198"/>
      <c r="J655" s="197"/>
      <c r="K655" s="198"/>
      <c r="L655" s="199"/>
      <c r="M655" s="199"/>
      <c r="N655" s="199"/>
      <c r="O655" s="155"/>
      <c r="P655" s="193"/>
      <c r="Q655" s="200"/>
      <c r="R655" s="194"/>
      <c r="T655" s="190"/>
      <c r="U655" s="191"/>
    </row>
    <row r="656" spans="1:21">
      <c r="A656" s="192"/>
      <c r="B656" s="1277" t="s">
        <v>1209</v>
      </c>
      <c r="C656" s="1277"/>
      <c r="D656" s="1277"/>
      <c r="E656" s="1277"/>
      <c r="F656" s="1277"/>
      <c r="G656" s="1277"/>
      <c r="H656" s="1277"/>
      <c r="I656" s="1277"/>
      <c r="J656" s="1277"/>
      <c r="K656" s="1277"/>
      <c r="L656" s="1277"/>
      <c r="M656" s="1277"/>
      <c r="N656" s="1277"/>
      <c r="O656" s="1277"/>
      <c r="P656" s="1277"/>
      <c r="Q656" s="203">
        <v>0</v>
      </c>
      <c r="R656" s="204">
        <f>Q656</f>
        <v>0</v>
      </c>
      <c r="T656" s="1278"/>
      <c r="U656" s="1279"/>
    </row>
    <row r="657" spans="1:21">
      <c r="A657" s="192"/>
      <c r="B657" s="1277" t="e">
        <f>med</f>
        <v>#NAME?</v>
      </c>
      <c r="C657" s="1277"/>
      <c r="D657" s="1277"/>
      <c r="E657" s="1277"/>
      <c r="F657" s="1277"/>
      <c r="G657" s="1277"/>
      <c r="H657" s="1277"/>
      <c r="I657" s="1277"/>
      <c r="J657" s="1277"/>
      <c r="K657" s="1277"/>
      <c r="L657" s="1277"/>
      <c r="M657" s="1277"/>
      <c r="N657" s="1277"/>
      <c r="O657" s="1277"/>
      <c r="P657" s="205">
        <f>N654</f>
        <v>42</v>
      </c>
      <c r="Q657" s="203">
        <f>P657</f>
        <v>42</v>
      </c>
      <c r="R657" s="204">
        <f>Q657+R656</f>
        <v>42</v>
      </c>
      <c r="T657" s="1278"/>
      <c r="U657" s="1279"/>
    </row>
    <row r="658" spans="1:21" ht="18" customHeight="1">
      <c r="A658" s="187" t="e">
        <f>#REF!</f>
        <v>#REF!</v>
      </c>
      <c r="B658" s="1275" t="e">
        <f>IF(A658="","",VLOOKUP($A658,'[2]FDE-JUNHO-08'!$A$6:$D$3537,2,FALSE()))</f>
        <v>#REF!</v>
      </c>
      <c r="C658" s="1275"/>
      <c r="D658" s="1275"/>
      <c r="E658" s="1275"/>
      <c r="F658" s="1275"/>
      <c r="G658" s="1275"/>
      <c r="H658" s="1275"/>
      <c r="I658" s="1275"/>
      <c r="J658" s="1275"/>
      <c r="K658" s="1275"/>
      <c r="L658" s="1275"/>
      <c r="M658" s="1275"/>
      <c r="N658" s="1275"/>
      <c r="O658" s="1275"/>
      <c r="P658" s="188" t="e">
        <f>IF(A658="","",VLOOKUP($A658,'[2]FDE-JUNHO-08'!$A$6:$D$3537,3,FALSE()))</f>
        <v>#REF!</v>
      </c>
      <c r="Q658" s="189" t="s">
        <v>1205</v>
      </c>
      <c r="R658" s="189" t="s">
        <v>1206</v>
      </c>
      <c r="T658" s="190"/>
      <c r="U658" s="191"/>
    </row>
    <row r="659" spans="1:21">
      <c r="A659" s="192"/>
      <c r="B659" s="1281"/>
      <c r="C659" s="1281"/>
      <c r="D659" s="1281"/>
      <c r="E659" s="1281"/>
      <c r="F659" s="1281"/>
      <c r="G659" s="1281"/>
      <c r="H659" s="1281"/>
      <c r="I659" s="1281"/>
      <c r="J659" s="1281"/>
      <c r="K659" s="1281"/>
      <c r="L659" s="1281"/>
      <c r="M659" s="1281"/>
      <c r="N659" s="1281"/>
      <c r="O659" s="1281"/>
      <c r="P659" s="193"/>
      <c r="Q659" s="194"/>
      <c r="R659" s="194"/>
      <c r="T659" s="190"/>
      <c r="U659" s="191"/>
    </row>
    <row r="660" spans="1:21">
      <c r="A660" s="192"/>
      <c r="B660" s="195" t="s">
        <v>1207</v>
      </c>
      <c r="C660" s="196"/>
      <c r="D660" s="197"/>
      <c r="E660" s="198"/>
      <c r="F660" s="197"/>
      <c r="G660" s="198"/>
      <c r="H660" s="197"/>
      <c r="I660" s="198"/>
      <c r="J660" s="197"/>
      <c r="K660" s="198"/>
      <c r="L660" s="199"/>
      <c r="M660" s="199" t="s">
        <v>1208</v>
      </c>
      <c r="N660" s="199">
        <f>PLANILHA!E93</f>
        <v>21</v>
      </c>
      <c r="O660" s="155"/>
      <c r="P660" s="193"/>
      <c r="Q660" s="200"/>
      <c r="R660" s="194"/>
      <c r="T660" s="190"/>
      <c r="U660" s="191"/>
    </row>
    <row r="661" spans="1:21">
      <c r="A661" s="192"/>
      <c r="B661" s="195"/>
      <c r="C661" s="196"/>
      <c r="D661" s="197"/>
      <c r="E661" s="198"/>
      <c r="F661" s="197"/>
      <c r="G661" s="198"/>
      <c r="H661" s="197"/>
      <c r="I661" s="198"/>
      <c r="J661" s="197"/>
      <c r="K661" s="198"/>
      <c r="L661" s="199"/>
      <c r="M661" s="199"/>
      <c r="N661" s="201"/>
      <c r="O661" s="202"/>
      <c r="P661" s="193"/>
      <c r="Q661" s="200"/>
      <c r="R661" s="194"/>
      <c r="T661" s="190"/>
      <c r="U661" s="191"/>
    </row>
    <row r="662" spans="1:21">
      <c r="A662" s="192"/>
      <c r="B662" s="195"/>
      <c r="C662" s="196"/>
      <c r="D662" s="197"/>
      <c r="E662" s="198"/>
      <c r="F662" s="197"/>
      <c r="G662" s="198"/>
      <c r="H662" s="197"/>
      <c r="I662" s="198"/>
      <c r="J662" s="197"/>
      <c r="K662" s="198"/>
      <c r="L662" s="199" t="s">
        <v>1140</v>
      </c>
      <c r="M662" s="199" t="s">
        <v>1208</v>
      </c>
      <c r="N662" s="199">
        <f>SUM(N660:N661)</f>
        <v>21</v>
      </c>
      <c r="O662" s="155" t="e">
        <f>P658</f>
        <v>#REF!</v>
      </c>
      <c r="P662" s="193"/>
      <c r="Q662" s="200"/>
      <c r="R662" s="194"/>
      <c r="T662" s="190"/>
      <c r="U662" s="191"/>
    </row>
    <row r="663" spans="1:21">
      <c r="A663" s="192"/>
      <c r="B663" s="195"/>
      <c r="C663" s="196"/>
      <c r="D663" s="197"/>
      <c r="E663" s="198"/>
      <c r="F663" s="197"/>
      <c r="G663" s="198"/>
      <c r="H663" s="197"/>
      <c r="I663" s="198"/>
      <c r="J663" s="197"/>
      <c r="K663" s="198"/>
      <c r="L663" s="199"/>
      <c r="M663" s="199"/>
      <c r="N663" s="199"/>
      <c r="O663" s="155"/>
      <c r="P663" s="193"/>
      <c r="Q663" s="200"/>
      <c r="R663" s="194"/>
      <c r="T663" s="190"/>
      <c r="U663" s="191"/>
    </row>
    <row r="664" spans="1:21">
      <c r="A664" s="192"/>
      <c r="B664" s="1277" t="s">
        <v>1209</v>
      </c>
      <c r="C664" s="1277"/>
      <c r="D664" s="1277"/>
      <c r="E664" s="1277"/>
      <c r="F664" s="1277"/>
      <c r="G664" s="1277"/>
      <c r="H664" s="1277"/>
      <c r="I664" s="1277"/>
      <c r="J664" s="1277"/>
      <c r="K664" s="1277"/>
      <c r="L664" s="1277"/>
      <c r="M664" s="1277"/>
      <c r="N664" s="1277"/>
      <c r="O664" s="1277"/>
      <c r="P664" s="1277"/>
      <c r="Q664" s="203">
        <v>0</v>
      </c>
      <c r="R664" s="204">
        <f>Q664</f>
        <v>0</v>
      </c>
      <c r="T664" s="1278"/>
      <c r="U664" s="1279"/>
    </row>
    <row r="665" spans="1:21">
      <c r="A665" s="192"/>
      <c r="B665" s="1277" t="e">
        <f>med</f>
        <v>#NAME?</v>
      </c>
      <c r="C665" s="1277"/>
      <c r="D665" s="1277"/>
      <c r="E665" s="1277"/>
      <c r="F665" s="1277"/>
      <c r="G665" s="1277"/>
      <c r="H665" s="1277"/>
      <c r="I665" s="1277"/>
      <c r="J665" s="1277"/>
      <c r="K665" s="1277"/>
      <c r="L665" s="1277"/>
      <c r="M665" s="1277"/>
      <c r="N665" s="1277"/>
      <c r="O665" s="1277"/>
      <c r="P665" s="205">
        <f>N662</f>
        <v>21</v>
      </c>
      <c r="Q665" s="203">
        <f>P665</f>
        <v>21</v>
      </c>
      <c r="R665" s="204">
        <f>Q665+R664</f>
        <v>21</v>
      </c>
      <c r="T665" s="1278"/>
      <c r="U665" s="1279"/>
    </row>
    <row r="666" spans="1:21" ht="18" customHeight="1">
      <c r="A666" s="187" t="e">
        <f>#REF!</f>
        <v>#REF!</v>
      </c>
      <c r="B666" s="1275" t="e">
        <f>IF(A666="","",VLOOKUP($A666,'[2]FDE-JUNHO-08'!$A$6:$D$3537,2,FALSE()))</f>
        <v>#REF!</v>
      </c>
      <c r="C666" s="1275"/>
      <c r="D666" s="1275"/>
      <c r="E666" s="1275"/>
      <c r="F666" s="1275"/>
      <c r="G666" s="1275"/>
      <c r="H666" s="1275"/>
      <c r="I666" s="1275"/>
      <c r="J666" s="1275"/>
      <c r="K666" s="1275"/>
      <c r="L666" s="1275"/>
      <c r="M666" s="1275"/>
      <c r="N666" s="1275"/>
      <c r="O666" s="1275"/>
      <c r="P666" s="188" t="e">
        <f>IF(A666="","",VLOOKUP($A666,'[2]FDE-JUNHO-08'!$A$6:$D$3537,3,FALSE()))</f>
        <v>#REF!</v>
      </c>
      <c r="Q666" s="189" t="s">
        <v>1205</v>
      </c>
      <c r="R666" s="189" t="s">
        <v>1206</v>
      </c>
      <c r="T666" s="190"/>
      <c r="U666" s="191"/>
    </row>
    <row r="667" spans="1:21">
      <c r="A667" s="192"/>
      <c r="B667" s="1281"/>
      <c r="C667" s="1281"/>
      <c r="D667" s="1281"/>
      <c r="E667" s="1281"/>
      <c r="F667" s="1281"/>
      <c r="G667" s="1281"/>
      <c r="H667" s="1281"/>
      <c r="I667" s="1281"/>
      <c r="J667" s="1281"/>
      <c r="K667" s="1281"/>
      <c r="L667" s="1281"/>
      <c r="M667" s="1281"/>
      <c r="N667" s="1281"/>
      <c r="O667" s="1281"/>
      <c r="P667" s="193"/>
      <c r="Q667" s="194"/>
      <c r="R667" s="194"/>
      <c r="T667" s="190"/>
      <c r="U667" s="191"/>
    </row>
    <row r="668" spans="1:21">
      <c r="A668" s="192"/>
      <c r="B668" s="195" t="s">
        <v>1207</v>
      </c>
      <c r="C668" s="196"/>
      <c r="D668" s="197"/>
      <c r="E668" s="198"/>
      <c r="F668" s="197"/>
      <c r="G668" s="198"/>
      <c r="H668" s="197"/>
      <c r="I668" s="198"/>
      <c r="J668" s="197"/>
      <c r="K668" s="198"/>
      <c r="L668" s="199"/>
      <c r="M668" s="199" t="s">
        <v>1208</v>
      </c>
      <c r="N668" s="199">
        <v>44</v>
      </c>
      <c r="O668" s="155"/>
      <c r="P668" s="193"/>
      <c r="Q668" s="200"/>
      <c r="R668" s="194"/>
      <c r="T668" s="190"/>
      <c r="U668" s="191"/>
    </row>
    <row r="669" spans="1:21">
      <c r="A669" s="192"/>
      <c r="B669" s="195"/>
      <c r="C669" s="196"/>
      <c r="D669" s="197"/>
      <c r="E669" s="198"/>
      <c r="F669" s="197"/>
      <c r="G669" s="198"/>
      <c r="H669" s="197"/>
      <c r="I669" s="198"/>
      <c r="J669" s="197"/>
      <c r="K669" s="198"/>
      <c r="L669" s="199"/>
      <c r="M669" s="199"/>
      <c r="N669" s="201"/>
      <c r="O669" s="202"/>
      <c r="P669" s="193"/>
      <c r="Q669" s="200"/>
      <c r="R669" s="194"/>
      <c r="T669" s="190"/>
      <c r="U669" s="191"/>
    </row>
    <row r="670" spans="1:21">
      <c r="A670" s="192"/>
      <c r="B670" s="195"/>
      <c r="C670" s="196"/>
      <c r="D670" s="197"/>
      <c r="E670" s="198"/>
      <c r="F670" s="197"/>
      <c r="G670" s="198"/>
      <c r="H670" s="197"/>
      <c r="I670" s="198"/>
      <c r="J670" s="197"/>
      <c r="K670" s="198"/>
      <c r="L670" s="199" t="s">
        <v>1140</v>
      </c>
      <c r="M670" s="199" t="s">
        <v>1208</v>
      </c>
      <c r="N670" s="199">
        <f>SUM(N668:N669)</f>
        <v>44</v>
      </c>
      <c r="O670" s="155" t="e">
        <f>P666</f>
        <v>#REF!</v>
      </c>
      <c r="P670" s="193"/>
      <c r="Q670" s="200"/>
      <c r="R670" s="194"/>
      <c r="T670" s="190"/>
      <c r="U670" s="191"/>
    </row>
    <row r="671" spans="1:21">
      <c r="A671" s="192"/>
      <c r="B671" s="195"/>
      <c r="C671" s="196"/>
      <c r="D671" s="197"/>
      <c r="E671" s="198"/>
      <c r="F671" s="197"/>
      <c r="G671" s="198"/>
      <c r="H671" s="197"/>
      <c r="I671" s="198"/>
      <c r="J671" s="197"/>
      <c r="K671" s="198"/>
      <c r="L671" s="199"/>
      <c r="M671" s="199"/>
      <c r="N671" s="199"/>
      <c r="O671" s="155"/>
      <c r="P671" s="193"/>
      <c r="Q671" s="200"/>
      <c r="R671" s="194"/>
      <c r="T671" s="190"/>
      <c r="U671" s="191"/>
    </row>
    <row r="672" spans="1:21">
      <c r="A672" s="192"/>
      <c r="B672" s="1277" t="s">
        <v>1209</v>
      </c>
      <c r="C672" s="1277"/>
      <c r="D672" s="1277"/>
      <c r="E672" s="1277"/>
      <c r="F672" s="1277"/>
      <c r="G672" s="1277"/>
      <c r="H672" s="1277"/>
      <c r="I672" s="1277"/>
      <c r="J672" s="1277"/>
      <c r="K672" s="1277"/>
      <c r="L672" s="1277"/>
      <c r="M672" s="1277"/>
      <c r="N672" s="1277"/>
      <c r="O672" s="1277"/>
      <c r="P672" s="1277"/>
      <c r="Q672" s="203">
        <v>0</v>
      </c>
      <c r="R672" s="204">
        <f>Q672</f>
        <v>0</v>
      </c>
      <c r="T672" s="1278"/>
      <c r="U672" s="1279"/>
    </row>
    <row r="673" spans="1:21">
      <c r="A673" s="206"/>
      <c r="B673" s="1277" t="e">
        <f>med</f>
        <v>#NAME?</v>
      </c>
      <c r="C673" s="1277"/>
      <c r="D673" s="1277"/>
      <c r="E673" s="1277"/>
      <c r="F673" s="1277"/>
      <c r="G673" s="1277"/>
      <c r="H673" s="1277"/>
      <c r="I673" s="1277"/>
      <c r="J673" s="1277"/>
      <c r="K673" s="1277"/>
      <c r="L673" s="1277"/>
      <c r="M673" s="1277"/>
      <c r="N673" s="1277"/>
      <c r="O673" s="1277"/>
      <c r="P673" s="205">
        <f>N670</f>
        <v>44</v>
      </c>
      <c r="Q673" s="203">
        <f>P673</f>
        <v>44</v>
      </c>
      <c r="R673" s="204">
        <f>Q673+R672</f>
        <v>44</v>
      </c>
      <c r="T673" s="1278"/>
      <c r="U673" s="1279"/>
    </row>
    <row r="674" spans="1:21" ht="18" customHeight="1">
      <c r="A674" s="187" t="e">
        <f>#REF!</f>
        <v>#REF!</v>
      </c>
      <c r="B674" s="1275" t="e">
        <f>IF(A674="","",VLOOKUP($A674,'[2]FDE-JUNHO-08'!$A$6:$D$3537,2,FALSE()))</f>
        <v>#REF!</v>
      </c>
      <c r="C674" s="1275"/>
      <c r="D674" s="1275"/>
      <c r="E674" s="1275"/>
      <c r="F674" s="1275"/>
      <c r="G674" s="1275"/>
      <c r="H674" s="1275"/>
      <c r="I674" s="1275"/>
      <c r="J674" s="1275"/>
      <c r="K674" s="1275"/>
      <c r="L674" s="1275"/>
      <c r="M674" s="1275"/>
      <c r="N674" s="1275"/>
      <c r="O674" s="1275"/>
      <c r="P674" s="188" t="e">
        <f>IF(A674="","",VLOOKUP($A674,'[2]FDE-JUNHO-08'!$A$6:$D$3537,3,FALSE()))</f>
        <v>#REF!</v>
      </c>
      <c r="Q674" s="189" t="s">
        <v>1205</v>
      </c>
      <c r="R674" s="189" t="s">
        <v>1206</v>
      </c>
      <c r="T674" s="190"/>
      <c r="U674" s="191"/>
    </row>
    <row r="675" spans="1:21">
      <c r="A675" s="192"/>
      <c r="B675" s="1281"/>
      <c r="C675" s="1281"/>
      <c r="D675" s="1281"/>
      <c r="E675" s="1281"/>
      <c r="F675" s="1281"/>
      <c r="G675" s="1281"/>
      <c r="H675" s="1281"/>
      <c r="I675" s="1281"/>
      <c r="J675" s="1281"/>
      <c r="K675" s="1281"/>
      <c r="L675" s="1281"/>
      <c r="M675" s="1281"/>
      <c r="N675" s="1281"/>
      <c r="O675" s="1281"/>
      <c r="P675" s="193"/>
      <c r="Q675" s="220"/>
      <c r="R675" s="220"/>
      <c r="T675" s="190"/>
      <c r="U675" s="191"/>
    </row>
    <row r="676" spans="1:21" ht="13.8">
      <c r="A676" s="192"/>
      <c r="B676" s="210" t="s">
        <v>1207</v>
      </c>
      <c r="C676" s="196"/>
      <c r="D676" s="197"/>
      <c r="E676" s="198"/>
      <c r="F676" s="197"/>
      <c r="G676" s="198"/>
      <c r="H676" s="197"/>
      <c r="I676" s="198"/>
      <c r="J676" s="197"/>
      <c r="K676" s="198"/>
      <c r="L676" s="199"/>
      <c r="M676" s="199" t="s">
        <v>1208</v>
      </c>
      <c r="N676" s="199">
        <v>66</v>
      </c>
      <c r="O676" s="155"/>
      <c r="P676" s="193"/>
      <c r="Q676" s="221"/>
      <c r="R676" s="220"/>
      <c r="T676" s="190"/>
      <c r="U676" s="191"/>
    </row>
    <row r="677" spans="1:21">
      <c r="A677" s="192"/>
      <c r="B677" s="195"/>
      <c r="C677" s="196"/>
      <c r="D677" s="197"/>
      <c r="E677" s="198"/>
      <c r="F677" s="197"/>
      <c r="G677" s="198"/>
      <c r="H677" s="197"/>
      <c r="I677" s="198"/>
      <c r="J677" s="197"/>
      <c r="K677" s="198"/>
      <c r="L677" s="199"/>
      <c r="M677" s="199"/>
      <c r="N677" s="201"/>
      <c r="O677" s="202"/>
      <c r="P677" s="193"/>
      <c r="Q677" s="221"/>
      <c r="R677" s="220"/>
      <c r="T677" s="190"/>
      <c r="U677" s="191"/>
    </row>
    <row r="678" spans="1:21">
      <c r="A678" s="192"/>
      <c r="B678" s="195"/>
      <c r="C678" s="196"/>
      <c r="D678" s="197"/>
      <c r="E678" s="198"/>
      <c r="F678" s="197"/>
      <c r="G678" s="198"/>
      <c r="H678" s="197"/>
      <c r="I678" s="198"/>
      <c r="J678" s="197"/>
      <c r="K678" s="198"/>
      <c r="L678" s="199" t="s">
        <v>1140</v>
      </c>
      <c r="M678" s="199" t="s">
        <v>1208</v>
      </c>
      <c r="N678" s="199">
        <f>SUM(N676:N677)</f>
        <v>66</v>
      </c>
      <c r="O678" s="155" t="e">
        <f>P674</f>
        <v>#REF!</v>
      </c>
      <c r="P678" s="193"/>
      <c r="Q678" s="221"/>
      <c r="R678" s="220"/>
      <c r="T678" s="190"/>
      <c r="U678" s="191"/>
    </row>
    <row r="679" spans="1:21">
      <c r="A679" s="192"/>
      <c r="B679" s="195"/>
      <c r="C679" s="196"/>
      <c r="D679" s="197"/>
      <c r="E679" s="198"/>
      <c r="F679" s="197"/>
      <c r="G679" s="198"/>
      <c r="H679" s="197"/>
      <c r="I679" s="198"/>
      <c r="J679" s="197"/>
      <c r="K679" s="198"/>
      <c r="L679" s="199"/>
      <c r="M679" s="199"/>
      <c r="N679" s="199"/>
      <c r="O679" s="155"/>
      <c r="P679" s="193"/>
      <c r="Q679" s="221"/>
      <c r="R679" s="220"/>
      <c r="T679" s="190"/>
      <c r="U679" s="191"/>
    </row>
    <row r="680" spans="1:21">
      <c r="A680" s="192"/>
      <c r="B680" s="1277" t="s">
        <v>1209</v>
      </c>
      <c r="C680" s="1277"/>
      <c r="D680" s="1277"/>
      <c r="E680" s="1277"/>
      <c r="F680" s="1277"/>
      <c r="G680" s="1277"/>
      <c r="H680" s="1277"/>
      <c r="I680" s="1277"/>
      <c r="J680" s="1277"/>
      <c r="K680" s="1277"/>
      <c r="L680" s="1277"/>
      <c r="M680" s="1277"/>
      <c r="N680" s="1277"/>
      <c r="O680" s="1277"/>
      <c r="P680" s="1277"/>
      <c r="Q680" s="203">
        <v>0</v>
      </c>
      <c r="R680" s="204">
        <f>Q680</f>
        <v>0</v>
      </c>
      <c r="T680" s="1278"/>
      <c r="U680" s="1279"/>
    </row>
    <row r="681" spans="1:21">
      <c r="A681" s="192"/>
      <c r="B681" s="1277" t="e">
        <f>med</f>
        <v>#NAME?</v>
      </c>
      <c r="C681" s="1277"/>
      <c r="D681" s="1277"/>
      <c r="E681" s="1277"/>
      <c r="F681" s="1277"/>
      <c r="G681" s="1277"/>
      <c r="H681" s="1277"/>
      <c r="I681" s="1277"/>
      <c r="J681" s="1277"/>
      <c r="K681" s="1277"/>
      <c r="L681" s="1277"/>
      <c r="M681" s="1277"/>
      <c r="N681" s="1277"/>
      <c r="O681" s="1277"/>
      <c r="P681" s="205">
        <f>N678</f>
        <v>66</v>
      </c>
      <c r="Q681" s="203">
        <f>P681</f>
        <v>66</v>
      </c>
      <c r="R681" s="204">
        <f>Q681+R680</f>
        <v>66</v>
      </c>
      <c r="T681" s="1278"/>
      <c r="U681" s="1279"/>
    </row>
    <row r="682" spans="1:21" ht="18" customHeight="1">
      <c r="A682" s="187" t="e">
        <f>#REF!</f>
        <v>#REF!</v>
      </c>
      <c r="B682" s="1275" t="e">
        <f>IF(A682="","",VLOOKUP($A682,'[2]FDE-JUNHO-08'!$A$6:$D$3537,2,FALSE()))</f>
        <v>#REF!</v>
      </c>
      <c r="C682" s="1275"/>
      <c r="D682" s="1275"/>
      <c r="E682" s="1275"/>
      <c r="F682" s="1275"/>
      <c r="G682" s="1275"/>
      <c r="H682" s="1275"/>
      <c r="I682" s="1275"/>
      <c r="J682" s="1275"/>
      <c r="K682" s="1275"/>
      <c r="L682" s="1275"/>
      <c r="M682" s="1275"/>
      <c r="N682" s="1275"/>
      <c r="O682" s="1275"/>
      <c r="P682" s="188" t="e">
        <f>IF(A682="","",VLOOKUP($A682,'[2]FDE-JUNHO-08'!$A$6:$D$3537,3,FALSE()))</f>
        <v>#REF!</v>
      </c>
      <c r="Q682" s="189" t="s">
        <v>1205</v>
      </c>
      <c r="R682" s="189" t="s">
        <v>1206</v>
      </c>
      <c r="T682" s="190"/>
      <c r="U682" s="191"/>
    </row>
    <row r="683" spans="1:21">
      <c r="A683" s="192"/>
      <c r="B683" s="1281"/>
      <c r="C683" s="1281"/>
      <c r="D683" s="1281"/>
      <c r="E683" s="1281"/>
      <c r="F683" s="1281"/>
      <c r="G683" s="1281"/>
      <c r="H683" s="1281"/>
      <c r="I683" s="1281"/>
      <c r="J683" s="1281"/>
      <c r="K683" s="1281"/>
      <c r="L683" s="1281"/>
      <c r="M683" s="1281"/>
      <c r="N683" s="1281"/>
      <c r="O683" s="1281"/>
      <c r="P683" s="193"/>
      <c r="Q683" s="194"/>
      <c r="R683" s="194"/>
      <c r="T683" s="190"/>
      <c r="U683" s="191"/>
    </row>
    <row r="684" spans="1:21">
      <c r="A684" s="192"/>
      <c r="B684" s="195" t="s">
        <v>1207</v>
      </c>
      <c r="C684" s="196"/>
      <c r="D684" s="197"/>
      <c r="E684" s="198"/>
      <c r="F684" s="197"/>
      <c r="G684" s="198"/>
      <c r="H684" s="197"/>
      <c r="I684" s="198"/>
      <c r="J684" s="197"/>
      <c r="K684" s="198"/>
      <c r="L684" s="199"/>
      <c r="M684" s="199" t="s">
        <v>1208</v>
      </c>
      <c r="N684" s="199">
        <f>PLANILHA!E96</f>
        <v>83</v>
      </c>
      <c r="O684" s="155"/>
      <c r="P684" s="193"/>
      <c r="Q684" s="200"/>
      <c r="R684" s="194"/>
      <c r="T684" s="190"/>
      <c r="U684" s="191"/>
    </row>
    <row r="685" spans="1:21">
      <c r="A685" s="192"/>
      <c r="B685" s="195"/>
      <c r="C685" s="196"/>
      <c r="D685" s="197"/>
      <c r="E685" s="198"/>
      <c r="F685" s="197"/>
      <c r="G685" s="198"/>
      <c r="H685" s="197"/>
      <c r="I685" s="198"/>
      <c r="J685" s="197"/>
      <c r="K685" s="198"/>
      <c r="L685" s="199"/>
      <c r="M685" s="199"/>
      <c r="N685" s="201"/>
      <c r="O685" s="202"/>
      <c r="P685" s="193"/>
      <c r="Q685" s="200"/>
      <c r="R685" s="194"/>
      <c r="T685" s="190"/>
      <c r="U685" s="191"/>
    </row>
    <row r="686" spans="1:21">
      <c r="A686" s="192"/>
      <c r="B686" s="195"/>
      <c r="C686" s="196"/>
      <c r="D686" s="197"/>
      <c r="E686" s="198"/>
      <c r="F686" s="197"/>
      <c r="G686" s="198"/>
      <c r="H686" s="197"/>
      <c r="I686" s="198"/>
      <c r="J686" s="197"/>
      <c r="K686" s="198"/>
      <c r="L686" s="199" t="s">
        <v>1140</v>
      </c>
      <c r="M686" s="199" t="s">
        <v>1208</v>
      </c>
      <c r="N686" s="199">
        <f>SUM(N684:N685)</f>
        <v>83</v>
      </c>
      <c r="O686" s="155" t="e">
        <f>P682</f>
        <v>#REF!</v>
      </c>
      <c r="P686" s="193"/>
      <c r="Q686" s="200"/>
      <c r="R686" s="194"/>
      <c r="T686" s="190"/>
      <c r="U686" s="191"/>
    </row>
    <row r="687" spans="1:21">
      <c r="A687" s="192"/>
      <c r="B687" s="195"/>
      <c r="C687" s="196"/>
      <c r="D687" s="197"/>
      <c r="E687" s="198"/>
      <c r="F687" s="197"/>
      <c r="G687" s="198"/>
      <c r="H687" s="197"/>
      <c r="I687" s="198"/>
      <c r="J687" s="197"/>
      <c r="K687" s="198"/>
      <c r="L687" s="199"/>
      <c r="M687" s="199"/>
      <c r="N687" s="199"/>
      <c r="O687" s="155"/>
      <c r="P687" s="193"/>
      <c r="Q687" s="200"/>
      <c r="R687" s="194"/>
      <c r="T687" s="190"/>
      <c r="U687" s="191"/>
    </row>
    <row r="688" spans="1:21">
      <c r="A688" s="192"/>
      <c r="B688" s="1277" t="s">
        <v>1209</v>
      </c>
      <c r="C688" s="1277"/>
      <c r="D688" s="1277"/>
      <c r="E688" s="1277"/>
      <c r="F688" s="1277"/>
      <c r="G688" s="1277"/>
      <c r="H688" s="1277"/>
      <c r="I688" s="1277"/>
      <c r="J688" s="1277"/>
      <c r="K688" s="1277"/>
      <c r="L688" s="1277"/>
      <c r="M688" s="1277"/>
      <c r="N688" s="1277"/>
      <c r="O688" s="1277"/>
      <c r="P688" s="1277"/>
      <c r="Q688" s="203">
        <v>0</v>
      </c>
      <c r="R688" s="204">
        <f>Q688</f>
        <v>0</v>
      </c>
      <c r="T688" s="1278"/>
      <c r="U688" s="1279"/>
    </row>
    <row r="689" spans="1:21">
      <c r="A689" s="192"/>
      <c r="B689" s="1277" t="e">
        <f>med</f>
        <v>#NAME?</v>
      </c>
      <c r="C689" s="1277"/>
      <c r="D689" s="1277"/>
      <c r="E689" s="1277"/>
      <c r="F689" s="1277"/>
      <c r="G689" s="1277"/>
      <c r="H689" s="1277"/>
      <c r="I689" s="1277"/>
      <c r="J689" s="1277"/>
      <c r="K689" s="1277"/>
      <c r="L689" s="1277"/>
      <c r="M689" s="1277"/>
      <c r="N689" s="1277"/>
      <c r="O689" s="1277"/>
      <c r="P689" s="205">
        <f>N686</f>
        <v>83</v>
      </c>
      <c r="Q689" s="203">
        <f>P689</f>
        <v>83</v>
      </c>
      <c r="R689" s="204">
        <f>Q689+R688</f>
        <v>83</v>
      </c>
      <c r="T689" s="1278"/>
      <c r="U689" s="1279"/>
    </row>
    <row r="690" spans="1:21" ht="18" customHeight="1">
      <c r="A690" s="187" t="e">
        <f>#REF!</f>
        <v>#REF!</v>
      </c>
      <c r="B690" s="1275" t="e">
        <f>IF(A690="","",VLOOKUP($A690,'[2]FDE-JUNHO-08'!$A$6:$D$3537,2,FALSE()))</f>
        <v>#REF!</v>
      </c>
      <c r="C690" s="1275"/>
      <c r="D690" s="1275"/>
      <c r="E690" s="1275"/>
      <c r="F690" s="1275"/>
      <c r="G690" s="1275"/>
      <c r="H690" s="1275"/>
      <c r="I690" s="1275"/>
      <c r="J690" s="1275"/>
      <c r="K690" s="1275"/>
      <c r="L690" s="1275"/>
      <c r="M690" s="1275"/>
      <c r="N690" s="1275"/>
      <c r="O690" s="1275"/>
      <c r="P690" s="188" t="e">
        <f>IF(A690="","",VLOOKUP($A690,'[2]FDE-JUNHO-08'!$A$6:$D$3537,3,FALSE()))</f>
        <v>#REF!</v>
      </c>
      <c r="Q690" s="189" t="s">
        <v>1205</v>
      </c>
      <c r="R690" s="189" t="s">
        <v>1206</v>
      </c>
      <c r="T690" s="190"/>
      <c r="U690" s="191"/>
    </row>
    <row r="691" spans="1:21">
      <c r="A691" s="192"/>
      <c r="B691" s="1281"/>
      <c r="C691" s="1281"/>
      <c r="D691" s="1281"/>
      <c r="E691" s="1281"/>
      <c r="F691" s="1281"/>
      <c r="G691" s="1281"/>
      <c r="H691" s="1281"/>
      <c r="I691" s="1281"/>
      <c r="J691" s="1281"/>
      <c r="K691" s="1281"/>
      <c r="L691" s="1281"/>
      <c r="M691" s="1281"/>
      <c r="N691" s="1281"/>
      <c r="O691" s="1281"/>
      <c r="P691" s="193"/>
      <c r="Q691" s="194"/>
      <c r="R691" s="194"/>
      <c r="T691" s="190"/>
      <c r="U691" s="191"/>
    </row>
    <row r="692" spans="1:21">
      <c r="A692" s="192"/>
      <c r="B692" s="195" t="s">
        <v>1207</v>
      </c>
      <c r="C692" s="196"/>
      <c r="D692" s="197"/>
      <c r="E692" s="198"/>
      <c r="F692" s="197"/>
      <c r="G692" s="198"/>
      <c r="H692" s="197"/>
      <c r="I692" s="198"/>
      <c r="J692" s="197"/>
      <c r="K692" s="198"/>
      <c r="L692" s="199"/>
      <c r="M692" s="199" t="s">
        <v>1208</v>
      </c>
      <c r="N692" s="199">
        <f>PLANILHA!E97</f>
        <v>65</v>
      </c>
      <c r="O692" s="155"/>
      <c r="P692" s="193"/>
      <c r="Q692" s="200"/>
      <c r="R692" s="194"/>
      <c r="T692" s="190"/>
      <c r="U692" s="191"/>
    </row>
    <row r="693" spans="1:21">
      <c r="A693" s="192"/>
      <c r="B693" s="195"/>
      <c r="C693" s="196"/>
      <c r="D693" s="197"/>
      <c r="E693" s="198"/>
      <c r="F693" s="197"/>
      <c r="G693" s="198"/>
      <c r="H693" s="197"/>
      <c r="I693" s="198"/>
      <c r="J693" s="197"/>
      <c r="K693" s="198"/>
      <c r="L693" s="199"/>
      <c r="M693" s="199"/>
      <c r="N693" s="201"/>
      <c r="O693" s="202"/>
      <c r="P693" s="193"/>
      <c r="Q693" s="200"/>
      <c r="R693" s="194"/>
      <c r="T693" s="190"/>
      <c r="U693" s="191"/>
    </row>
    <row r="694" spans="1:21">
      <c r="A694" s="192"/>
      <c r="B694" s="195"/>
      <c r="C694" s="196"/>
      <c r="D694" s="197"/>
      <c r="E694" s="198"/>
      <c r="F694" s="197"/>
      <c r="G694" s="198"/>
      <c r="H694" s="197"/>
      <c r="I694" s="198"/>
      <c r="J694" s="197"/>
      <c r="K694" s="198"/>
      <c r="L694" s="199" t="s">
        <v>1140</v>
      </c>
      <c r="M694" s="199" t="s">
        <v>1208</v>
      </c>
      <c r="N694" s="199">
        <f>SUM(N692:N693)</f>
        <v>65</v>
      </c>
      <c r="O694" s="155" t="e">
        <f>P690</f>
        <v>#REF!</v>
      </c>
      <c r="P694" s="193"/>
      <c r="Q694" s="200"/>
      <c r="R694" s="194"/>
      <c r="T694" s="190"/>
      <c r="U694" s="191"/>
    </row>
    <row r="695" spans="1:21">
      <c r="A695" s="192"/>
      <c r="B695" s="195"/>
      <c r="C695" s="196"/>
      <c r="D695" s="197"/>
      <c r="E695" s="198"/>
      <c r="F695" s="197"/>
      <c r="G695" s="198"/>
      <c r="H695" s="197"/>
      <c r="I695" s="198"/>
      <c r="J695" s="197"/>
      <c r="K695" s="198"/>
      <c r="L695" s="199"/>
      <c r="M695" s="199"/>
      <c r="N695" s="199"/>
      <c r="O695" s="155"/>
      <c r="P695" s="193"/>
      <c r="Q695" s="200"/>
      <c r="R695" s="194"/>
      <c r="T695" s="190"/>
      <c r="U695" s="191"/>
    </row>
    <row r="696" spans="1:21">
      <c r="A696" s="192"/>
      <c r="B696" s="1277" t="s">
        <v>1209</v>
      </c>
      <c r="C696" s="1277"/>
      <c r="D696" s="1277"/>
      <c r="E696" s="1277"/>
      <c r="F696" s="1277"/>
      <c r="G696" s="1277"/>
      <c r="H696" s="1277"/>
      <c r="I696" s="1277"/>
      <c r="J696" s="1277"/>
      <c r="K696" s="1277"/>
      <c r="L696" s="1277"/>
      <c r="M696" s="1277"/>
      <c r="N696" s="1277"/>
      <c r="O696" s="1277"/>
      <c r="P696" s="1277"/>
      <c r="Q696" s="203">
        <v>0</v>
      </c>
      <c r="R696" s="204">
        <f>Q696</f>
        <v>0</v>
      </c>
      <c r="T696" s="1278"/>
      <c r="U696" s="1279"/>
    </row>
    <row r="697" spans="1:21">
      <c r="A697" s="192"/>
      <c r="B697" s="1277" t="e">
        <f>med</f>
        <v>#NAME?</v>
      </c>
      <c r="C697" s="1277"/>
      <c r="D697" s="1277"/>
      <c r="E697" s="1277"/>
      <c r="F697" s="1277"/>
      <c r="G697" s="1277"/>
      <c r="H697" s="1277"/>
      <c r="I697" s="1277"/>
      <c r="J697" s="1277"/>
      <c r="K697" s="1277"/>
      <c r="L697" s="1277"/>
      <c r="M697" s="1277"/>
      <c r="N697" s="1277"/>
      <c r="O697" s="1277"/>
      <c r="P697" s="205">
        <f>N694</f>
        <v>65</v>
      </c>
      <c r="Q697" s="203">
        <f>P697</f>
        <v>65</v>
      </c>
      <c r="R697" s="204">
        <f>Q697+R696</f>
        <v>65</v>
      </c>
      <c r="T697" s="1278"/>
      <c r="U697" s="1279"/>
    </row>
    <row r="698" spans="1:21" ht="18" hidden="1" customHeight="1">
      <c r="A698" s="187" t="e">
        <f>#VALUE!</f>
        <v>#VALUE!</v>
      </c>
      <c r="B698" s="1275" t="e">
        <f>IF(A698="","",VLOOKUP($A698,'[2]FDE-JUNHO-08'!$A$6:$D$3537,2,FALSE()))</f>
        <v>#VALUE!</v>
      </c>
      <c r="C698" s="1275"/>
      <c r="D698" s="1275"/>
      <c r="E698" s="1275"/>
      <c r="F698" s="1275"/>
      <c r="G698" s="1275"/>
      <c r="H698" s="1275"/>
      <c r="I698" s="1275"/>
      <c r="J698" s="1275"/>
      <c r="K698" s="1275"/>
      <c r="L698" s="1275"/>
      <c r="M698" s="1275"/>
      <c r="N698" s="1275"/>
      <c r="O698" s="1275"/>
      <c r="P698" s="188" t="e">
        <f>IF(A698="","",VLOOKUP($A698,'[2]FDE-JUNHO-08'!$A$6:$D$3537,3,FALSE()))</f>
        <v>#VALUE!</v>
      </c>
      <c r="Q698" s="189" t="s">
        <v>1205</v>
      </c>
      <c r="R698" s="189" t="s">
        <v>1206</v>
      </c>
      <c r="T698" s="190"/>
      <c r="U698" s="191"/>
    </row>
    <row r="699" spans="1:21" ht="13.5" hidden="1" customHeight="1">
      <c r="A699" s="192"/>
      <c r="B699" s="1281"/>
      <c r="C699" s="1281"/>
      <c r="D699" s="1281"/>
      <c r="E699" s="1281"/>
      <c r="F699" s="1281"/>
      <c r="G699" s="1281"/>
      <c r="H699" s="1281"/>
      <c r="I699" s="1281"/>
      <c r="J699" s="1281"/>
      <c r="K699" s="1281"/>
      <c r="L699" s="1281"/>
      <c r="M699" s="1281"/>
      <c r="N699" s="1281"/>
      <c r="O699" s="1281"/>
      <c r="P699" s="193"/>
      <c r="Q699" s="194"/>
      <c r="R699" s="194"/>
      <c r="T699" s="190"/>
      <c r="U699" s="191"/>
    </row>
    <row r="700" spans="1:21" hidden="1">
      <c r="A700" s="192"/>
      <c r="B700" s="195"/>
      <c r="C700" s="196"/>
      <c r="D700" s="197"/>
      <c r="E700" s="198"/>
      <c r="F700" s="197"/>
      <c r="G700" s="198"/>
      <c r="H700" s="197"/>
      <c r="I700" s="207"/>
      <c r="J700" s="207"/>
      <c r="K700" s="208"/>
      <c r="L700" s="209"/>
      <c r="M700" s="209"/>
      <c r="N700" s="209"/>
      <c r="O700" s="155"/>
      <c r="P700" s="193"/>
      <c r="Q700" s="200"/>
      <c r="R700" s="194"/>
      <c r="T700" s="190"/>
      <c r="U700" s="191"/>
    </row>
    <row r="701" spans="1:21" ht="13.8" hidden="1">
      <c r="A701" s="192"/>
      <c r="B701" s="210"/>
      <c r="C701" s="196"/>
      <c r="D701" s="197"/>
      <c r="E701" s="198"/>
      <c r="F701" s="197"/>
      <c r="G701" s="198"/>
      <c r="H701" s="197"/>
      <c r="I701" s="198"/>
      <c r="J701" s="197"/>
      <c r="K701" s="198"/>
      <c r="L701" s="199"/>
      <c r="M701" s="199"/>
      <c r="N701" s="199"/>
      <c r="O701" s="155"/>
      <c r="P701" s="193"/>
      <c r="Q701" s="200"/>
      <c r="R701" s="194"/>
      <c r="T701" s="190"/>
      <c r="U701" s="191"/>
    </row>
    <row r="702" spans="1:21" hidden="1">
      <c r="A702" s="192"/>
      <c r="B702" s="195"/>
      <c r="C702" s="196"/>
      <c r="D702" s="197"/>
      <c r="E702" s="198"/>
      <c r="F702" s="197"/>
      <c r="G702" s="198"/>
      <c r="H702" s="197"/>
      <c r="I702" s="198"/>
      <c r="J702" s="197"/>
      <c r="K702" s="198"/>
      <c r="L702" s="199"/>
      <c r="M702" s="199"/>
      <c r="N702" s="199"/>
      <c r="O702" s="155"/>
      <c r="P702" s="193"/>
      <c r="Q702" s="200"/>
      <c r="R702" s="194"/>
      <c r="T702" s="190"/>
      <c r="U702" s="191"/>
    </row>
    <row r="703" spans="1:21" hidden="1">
      <c r="A703" s="192"/>
      <c r="B703" s="195"/>
      <c r="C703" s="196"/>
      <c r="D703" s="197"/>
      <c r="E703" s="198"/>
      <c r="F703" s="197"/>
      <c r="G703" s="198"/>
      <c r="H703" s="197"/>
      <c r="I703" s="198"/>
      <c r="J703" s="197"/>
      <c r="K703" s="198"/>
      <c r="L703" s="199"/>
      <c r="M703" s="199"/>
      <c r="N703" s="199"/>
      <c r="O703" s="155"/>
      <c r="P703" s="193"/>
      <c r="Q703" s="200"/>
      <c r="R703" s="194"/>
      <c r="T703" s="190"/>
      <c r="U703" s="191"/>
    </row>
    <row r="704" spans="1:21" hidden="1">
      <c r="A704" s="192"/>
      <c r="B704" s="195"/>
      <c r="C704" s="196"/>
      <c r="D704" s="197"/>
      <c r="E704" s="198"/>
      <c r="F704" s="197"/>
      <c r="G704" s="198"/>
      <c r="H704" s="197"/>
      <c r="I704" s="198"/>
      <c r="J704" s="197"/>
      <c r="K704" s="198"/>
      <c r="L704" s="199"/>
      <c r="M704" s="199"/>
      <c r="N704" s="199"/>
      <c r="O704" s="155"/>
      <c r="P704" s="193"/>
      <c r="Q704" s="200"/>
      <c r="R704" s="194"/>
      <c r="T704" s="190"/>
      <c r="U704" s="191"/>
    </row>
    <row r="705" spans="1:21" hidden="1">
      <c r="A705" s="192"/>
      <c r="B705" s="195"/>
      <c r="C705" s="196"/>
      <c r="D705" s="197"/>
      <c r="E705" s="198"/>
      <c r="F705" s="197"/>
      <c r="G705" s="198"/>
      <c r="H705" s="197"/>
      <c r="I705" s="198"/>
      <c r="J705" s="197"/>
      <c r="K705" s="198"/>
      <c r="L705" s="199"/>
      <c r="M705" s="199"/>
      <c r="N705" s="201"/>
      <c r="O705" s="202"/>
      <c r="P705" s="193"/>
      <c r="Q705" s="200"/>
      <c r="R705" s="194"/>
      <c r="T705" s="190"/>
      <c r="U705" s="191"/>
    </row>
    <row r="706" spans="1:21" hidden="1">
      <c r="A706" s="192"/>
      <c r="B706" s="195"/>
      <c r="C706" s="196"/>
      <c r="D706" s="197"/>
      <c r="E706" s="198"/>
      <c r="F706" s="197"/>
      <c r="G706" s="198"/>
      <c r="H706" s="197"/>
      <c r="I706" s="198"/>
      <c r="J706" s="197"/>
      <c r="K706" s="198"/>
      <c r="L706" s="199" t="s">
        <v>1140</v>
      </c>
      <c r="M706" s="199" t="s">
        <v>1208</v>
      </c>
      <c r="N706" s="199">
        <f>SUM(N701:N705)</f>
        <v>0</v>
      </c>
      <c r="O706" s="155" t="e">
        <f>P698</f>
        <v>#VALUE!</v>
      </c>
      <c r="P706" s="193"/>
      <c r="Q706" s="200"/>
      <c r="R706" s="194"/>
      <c r="T706" s="190"/>
      <c r="U706" s="191"/>
    </row>
    <row r="707" spans="1:21" hidden="1">
      <c r="A707" s="192"/>
      <c r="B707" s="195"/>
      <c r="C707" s="196"/>
      <c r="D707" s="197"/>
      <c r="E707" s="198"/>
      <c r="F707" s="197"/>
      <c r="G707" s="198"/>
      <c r="H707" s="197"/>
      <c r="I707" s="198"/>
      <c r="J707" s="197"/>
      <c r="K707" s="198"/>
      <c r="L707" s="199"/>
      <c r="M707" s="199"/>
      <c r="N707" s="199"/>
      <c r="O707" s="155"/>
      <c r="P707" s="193"/>
      <c r="Q707" s="200"/>
      <c r="R707" s="194"/>
      <c r="T707" s="190"/>
      <c r="U707" s="191"/>
    </row>
    <row r="708" spans="1:21" ht="13.5" hidden="1" customHeight="1">
      <c r="A708" s="192"/>
      <c r="B708" s="1277" t="s">
        <v>1209</v>
      </c>
      <c r="C708" s="1277"/>
      <c r="D708" s="1277"/>
      <c r="E708" s="1277"/>
      <c r="F708" s="1277"/>
      <c r="G708" s="1277"/>
      <c r="H708" s="1277"/>
      <c r="I708" s="1277"/>
      <c r="J708" s="1277"/>
      <c r="K708" s="1277"/>
      <c r="L708" s="1277"/>
      <c r="M708" s="1277"/>
      <c r="N708" s="1277"/>
      <c r="O708" s="1277"/>
      <c r="P708" s="1277"/>
      <c r="Q708" s="203">
        <v>0</v>
      </c>
      <c r="R708" s="204">
        <f>Q708</f>
        <v>0</v>
      </c>
      <c r="T708" s="1278"/>
      <c r="U708" s="1279"/>
    </row>
    <row r="709" spans="1:21" ht="14.25" hidden="1" customHeight="1">
      <c r="A709" s="192"/>
      <c r="B709" s="1277" t="e">
        <f>med</f>
        <v>#NAME?</v>
      </c>
      <c r="C709" s="1277"/>
      <c r="D709" s="1277"/>
      <c r="E709" s="1277"/>
      <c r="F709" s="1277"/>
      <c r="G709" s="1277"/>
      <c r="H709" s="1277"/>
      <c r="I709" s="1277"/>
      <c r="J709" s="1277"/>
      <c r="K709" s="1277"/>
      <c r="L709" s="1277"/>
      <c r="M709" s="1277"/>
      <c r="N709" s="1277"/>
      <c r="O709" s="1277"/>
      <c r="P709" s="205">
        <f>N706</f>
        <v>0</v>
      </c>
      <c r="Q709" s="203">
        <f>P709</f>
        <v>0</v>
      </c>
      <c r="R709" s="204">
        <f>Q709+R708</f>
        <v>0</v>
      </c>
      <c r="T709" s="1278"/>
      <c r="U709" s="1279"/>
    </row>
    <row r="710" spans="1:21" ht="18" customHeight="1">
      <c r="A710" s="187" t="e">
        <f>#REF!</f>
        <v>#REF!</v>
      </c>
      <c r="B710" s="1275" t="e">
        <f>IF(A710="","",VLOOKUP($A710,'[2]FDE-JUNHO-08'!$A$6:$D$3537,2,FALSE()))</f>
        <v>#REF!</v>
      </c>
      <c r="C710" s="1275"/>
      <c r="D710" s="1275"/>
      <c r="E710" s="1275"/>
      <c r="F710" s="1275"/>
      <c r="G710" s="1275"/>
      <c r="H710" s="1275"/>
      <c r="I710" s="1275"/>
      <c r="J710" s="1275"/>
      <c r="K710" s="1275"/>
      <c r="L710" s="1275"/>
      <c r="M710" s="1275"/>
      <c r="N710" s="1275"/>
      <c r="O710" s="1275"/>
      <c r="P710" s="188" t="e">
        <f>IF(A710="","",VLOOKUP($A710,'[2]FDE-JUNHO-08'!$A$6:$D$3537,3,FALSE()))</f>
        <v>#REF!</v>
      </c>
      <c r="Q710" s="189" t="s">
        <v>1205</v>
      </c>
      <c r="R710" s="189" t="s">
        <v>1206</v>
      </c>
      <c r="T710" s="190"/>
      <c r="U710" s="191"/>
    </row>
    <row r="711" spans="1:21">
      <c r="A711" s="192"/>
      <c r="B711" s="1281"/>
      <c r="C711" s="1281"/>
      <c r="D711" s="1281"/>
      <c r="E711" s="1281"/>
      <c r="F711" s="1281"/>
      <c r="G711" s="1281"/>
      <c r="H711" s="1281"/>
      <c r="I711" s="1281"/>
      <c r="J711" s="1281"/>
      <c r="K711" s="1281"/>
      <c r="L711" s="1281"/>
      <c r="M711" s="1281"/>
      <c r="N711" s="1281"/>
      <c r="O711" s="1281"/>
      <c r="P711" s="193"/>
      <c r="Q711" s="194"/>
      <c r="R711" s="194"/>
      <c r="T711" s="190"/>
      <c r="U711" s="191"/>
    </row>
    <row r="712" spans="1:21">
      <c r="A712" s="192"/>
      <c r="B712" s="195" t="s">
        <v>1207</v>
      </c>
      <c r="C712" s="196"/>
      <c r="D712" s="197"/>
      <c r="E712" s="198"/>
      <c r="F712" s="197"/>
      <c r="G712" s="198"/>
      <c r="H712" s="197"/>
      <c r="I712" s="198"/>
      <c r="J712" s="197"/>
      <c r="K712" s="198"/>
      <c r="L712" s="199"/>
      <c r="M712" s="199" t="s">
        <v>1208</v>
      </c>
      <c r="N712" s="199">
        <v>28</v>
      </c>
      <c r="O712" s="155"/>
      <c r="P712" s="193"/>
      <c r="Q712" s="200"/>
      <c r="R712" s="194"/>
      <c r="T712" s="190"/>
      <c r="U712" s="191"/>
    </row>
    <row r="713" spans="1:21">
      <c r="A713" s="192"/>
      <c r="B713" s="195"/>
      <c r="C713" s="196"/>
      <c r="D713" s="197"/>
      <c r="E713" s="198"/>
      <c r="F713" s="197"/>
      <c r="G713" s="198"/>
      <c r="H713" s="197"/>
      <c r="I713" s="198"/>
      <c r="J713" s="197"/>
      <c r="K713" s="198"/>
      <c r="L713" s="199"/>
      <c r="M713" s="199"/>
      <c r="N713" s="201"/>
      <c r="O713" s="202"/>
      <c r="P713" s="193"/>
      <c r="Q713" s="200"/>
      <c r="R713" s="194"/>
      <c r="T713" s="190"/>
      <c r="U713" s="191"/>
    </row>
    <row r="714" spans="1:21">
      <c r="A714" s="192"/>
      <c r="B714" s="195"/>
      <c r="C714" s="196"/>
      <c r="D714" s="197"/>
      <c r="E714" s="198"/>
      <c r="F714" s="197"/>
      <c r="G714" s="198"/>
      <c r="H714" s="197"/>
      <c r="I714" s="198"/>
      <c r="J714" s="197"/>
      <c r="K714" s="198"/>
      <c r="L714" s="199" t="s">
        <v>1140</v>
      </c>
      <c r="M714" s="199" t="s">
        <v>1208</v>
      </c>
      <c r="N714" s="199">
        <f>SUM(N712:N713)</f>
        <v>28</v>
      </c>
      <c r="O714" s="155" t="e">
        <f>P710</f>
        <v>#REF!</v>
      </c>
      <c r="P714" s="193"/>
      <c r="Q714" s="200"/>
      <c r="R714" s="194"/>
      <c r="T714" s="190"/>
      <c r="U714" s="191"/>
    </row>
    <row r="715" spans="1:21">
      <c r="A715" s="192"/>
      <c r="B715" s="195"/>
      <c r="C715" s="196"/>
      <c r="D715" s="197"/>
      <c r="E715" s="198"/>
      <c r="F715" s="197"/>
      <c r="G715" s="198"/>
      <c r="H715" s="197"/>
      <c r="I715" s="198"/>
      <c r="J715" s="197"/>
      <c r="K715" s="198"/>
      <c r="L715" s="199"/>
      <c r="M715" s="199"/>
      <c r="N715" s="199"/>
      <c r="O715" s="155"/>
      <c r="P715" s="193"/>
      <c r="Q715" s="200"/>
      <c r="R715" s="194"/>
      <c r="T715" s="190"/>
      <c r="U715" s="191"/>
    </row>
    <row r="716" spans="1:21">
      <c r="A716" s="192"/>
      <c r="B716" s="1277" t="s">
        <v>1209</v>
      </c>
      <c r="C716" s="1277"/>
      <c r="D716" s="1277"/>
      <c r="E716" s="1277"/>
      <c r="F716" s="1277"/>
      <c r="G716" s="1277"/>
      <c r="H716" s="1277"/>
      <c r="I716" s="1277"/>
      <c r="J716" s="1277"/>
      <c r="K716" s="1277"/>
      <c r="L716" s="1277"/>
      <c r="M716" s="1277"/>
      <c r="N716" s="1277"/>
      <c r="O716" s="1277"/>
      <c r="P716" s="1277"/>
      <c r="Q716" s="203">
        <v>0</v>
      </c>
      <c r="R716" s="204">
        <f>Q716</f>
        <v>0</v>
      </c>
      <c r="T716" s="1278"/>
      <c r="U716" s="1279"/>
    </row>
    <row r="717" spans="1:21">
      <c r="A717" s="192"/>
      <c r="B717" s="1277" t="e">
        <f>med</f>
        <v>#NAME?</v>
      </c>
      <c r="C717" s="1277"/>
      <c r="D717" s="1277"/>
      <c r="E717" s="1277"/>
      <c r="F717" s="1277"/>
      <c r="G717" s="1277"/>
      <c r="H717" s="1277"/>
      <c r="I717" s="1277"/>
      <c r="J717" s="1277"/>
      <c r="K717" s="1277"/>
      <c r="L717" s="1277"/>
      <c r="M717" s="1277"/>
      <c r="N717" s="1277"/>
      <c r="O717" s="1277"/>
      <c r="P717" s="205">
        <f>N714</f>
        <v>28</v>
      </c>
      <c r="Q717" s="203">
        <f>P717</f>
        <v>28</v>
      </c>
      <c r="R717" s="204">
        <f>Q717+R716</f>
        <v>28</v>
      </c>
      <c r="T717" s="1278"/>
      <c r="U717" s="1279"/>
    </row>
    <row r="718" spans="1:21" ht="18" customHeight="1">
      <c r="A718" s="187" t="e">
        <f>#REF!</f>
        <v>#REF!</v>
      </c>
      <c r="B718" s="1275" t="e">
        <f>IF(A718="","",VLOOKUP($A718,'[2]FDE-JUNHO-08'!$A$6:$D$3537,2,FALSE()))</f>
        <v>#REF!</v>
      </c>
      <c r="C718" s="1275"/>
      <c r="D718" s="1275"/>
      <c r="E718" s="1275"/>
      <c r="F718" s="1275"/>
      <c r="G718" s="1275"/>
      <c r="H718" s="1275"/>
      <c r="I718" s="1275"/>
      <c r="J718" s="1275"/>
      <c r="K718" s="1275"/>
      <c r="L718" s="1275"/>
      <c r="M718" s="1275"/>
      <c r="N718" s="1275"/>
      <c r="O718" s="1275"/>
      <c r="P718" s="188" t="e">
        <f>IF(A718="","",VLOOKUP($A718,'[2]FDE-JUNHO-08'!$A$6:$D$3537,3,FALSE()))</f>
        <v>#REF!</v>
      </c>
      <c r="Q718" s="189" t="s">
        <v>1205</v>
      </c>
      <c r="R718" s="189" t="s">
        <v>1206</v>
      </c>
      <c r="T718" s="190"/>
      <c r="U718" s="191"/>
    </row>
    <row r="719" spans="1:21" ht="13.8">
      <c r="A719" s="192"/>
      <c r="B719" s="210"/>
      <c r="C719" s="196"/>
      <c r="D719" s="197"/>
      <c r="E719" s="198"/>
      <c r="F719" s="197"/>
      <c r="G719" s="198"/>
      <c r="H719" s="197"/>
      <c r="I719" s="198"/>
      <c r="J719" s="197"/>
      <c r="K719" s="198"/>
      <c r="L719" s="199"/>
      <c r="M719" s="199"/>
      <c r="N719" s="199"/>
      <c r="O719" s="155"/>
      <c r="P719" s="193"/>
      <c r="Q719" s="200"/>
      <c r="R719" s="194"/>
      <c r="T719" s="190"/>
      <c r="U719" s="191"/>
    </row>
    <row r="720" spans="1:21" ht="13.8">
      <c r="A720" s="192"/>
      <c r="B720" s="210" t="s">
        <v>1207</v>
      </c>
      <c r="C720" s="196"/>
      <c r="D720" s="197"/>
      <c r="E720" s="198"/>
      <c r="F720" s="197"/>
      <c r="G720" s="198"/>
      <c r="H720" s="197"/>
      <c r="I720" s="198"/>
      <c r="J720" s="197"/>
      <c r="K720" s="198"/>
      <c r="L720" s="199"/>
      <c r="M720" s="199" t="s">
        <v>1208</v>
      </c>
      <c r="N720" s="199">
        <v>175</v>
      </c>
      <c r="O720" s="155"/>
      <c r="P720" s="193"/>
      <c r="Q720" s="200"/>
      <c r="R720" s="194"/>
      <c r="T720" s="190"/>
      <c r="U720" s="191"/>
    </row>
    <row r="721" spans="1:21">
      <c r="A721" s="192"/>
      <c r="B721" s="195"/>
      <c r="C721" s="196"/>
      <c r="D721" s="197"/>
      <c r="E721" s="198"/>
      <c r="F721" s="197"/>
      <c r="G721" s="198"/>
      <c r="H721" s="197"/>
      <c r="I721" s="198"/>
      <c r="J721" s="197"/>
      <c r="K721" s="198"/>
      <c r="L721" s="199"/>
      <c r="M721" s="199"/>
      <c r="N721" s="201"/>
      <c r="O721" s="202"/>
      <c r="P721" s="193"/>
      <c r="Q721" s="200"/>
      <c r="R721" s="194"/>
      <c r="T721" s="190"/>
      <c r="U721" s="191"/>
    </row>
    <row r="722" spans="1:21">
      <c r="A722" s="192"/>
      <c r="B722" s="195"/>
      <c r="C722" s="196"/>
      <c r="D722" s="197"/>
      <c r="E722" s="198"/>
      <c r="F722" s="197"/>
      <c r="G722" s="198"/>
      <c r="H722" s="197"/>
      <c r="I722" s="198"/>
      <c r="J722" s="197"/>
      <c r="K722" s="198"/>
      <c r="L722" s="199" t="s">
        <v>1140</v>
      </c>
      <c r="M722" s="199" t="s">
        <v>1208</v>
      </c>
      <c r="N722" s="199">
        <f>SUM(N719:N721)</f>
        <v>175</v>
      </c>
      <c r="O722" s="155" t="e">
        <f>P718</f>
        <v>#REF!</v>
      </c>
      <c r="P722" s="193"/>
      <c r="Q722" s="200"/>
      <c r="R722" s="194"/>
      <c r="T722" s="190"/>
      <c r="U722" s="191"/>
    </row>
    <row r="723" spans="1:21">
      <c r="A723" s="192"/>
      <c r="B723" s="195"/>
      <c r="C723" s="196"/>
      <c r="D723" s="197"/>
      <c r="E723" s="198"/>
      <c r="F723" s="197"/>
      <c r="G723" s="198"/>
      <c r="H723" s="197"/>
      <c r="I723" s="198"/>
      <c r="J723" s="197"/>
      <c r="K723" s="198"/>
      <c r="L723" s="199"/>
      <c r="M723" s="199"/>
      <c r="N723" s="199"/>
      <c r="O723" s="155"/>
      <c r="P723" s="193"/>
      <c r="Q723" s="200"/>
      <c r="R723" s="194"/>
      <c r="T723" s="190"/>
      <c r="U723" s="191"/>
    </row>
    <row r="724" spans="1:21">
      <c r="A724" s="192"/>
      <c r="B724" s="1277" t="s">
        <v>1209</v>
      </c>
      <c r="C724" s="1277"/>
      <c r="D724" s="1277"/>
      <c r="E724" s="1277"/>
      <c r="F724" s="1277"/>
      <c r="G724" s="1277"/>
      <c r="H724" s="1277"/>
      <c r="I724" s="1277"/>
      <c r="J724" s="1277"/>
      <c r="K724" s="1277"/>
      <c r="L724" s="1277"/>
      <c r="M724" s="1277"/>
      <c r="N724" s="1277"/>
      <c r="O724" s="1277"/>
      <c r="P724" s="1277"/>
      <c r="Q724" s="203">
        <v>0</v>
      </c>
      <c r="R724" s="204">
        <f>Q724</f>
        <v>0</v>
      </c>
      <c r="T724" s="1278"/>
      <c r="U724" s="1279"/>
    </row>
    <row r="725" spans="1:21">
      <c r="A725" s="192"/>
      <c r="B725" s="1277" t="e">
        <f>med</f>
        <v>#NAME?</v>
      </c>
      <c r="C725" s="1277"/>
      <c r="D725" s="1277"/>
      <c r="E725" s="1277"/>
      <c r="F725" s="1277"/>
      <c r="G725" s="1277"/>
      <c r="H725" s="1277"/>
      <c r="I725" s="1277"/>
      <c r="J725" s="1277"/>
      <c r="K725" s="1277"/>
      <c r="L725" s="1277"/>
      <c r="M725" s="1277"/>
      <c r="N725" s="1277"/>
      <c r="O725" s="1277"/>
      <c r="P725" s="205">
        <f>N722</f>
        <v>175</v>
      </c>
      <c r="Q725" s="203">
        <f>P725</f>
        <v>175</v>
      </c>
      <c r="R725" s="204">
        <f>Q725+R724</f>
        <v>175</v>
      </c>
      <c r="T725" s="1278"/>
      <c r="U725" s="1279"/>
    </row>
    <row r="726" spans="1:21" ht="18" customHeight="1">
      <c r="A726" s="187" t="e">
        <f>#REF!</f>
        <v>#REF!</v>
      </c>
      <c r="B726" s="1275" t="e">
        <f>IF(A726="","",VLOOKUP($A726,'[2]FDE-JUNHO-08'!$A$6:$D$3537,2,FALSE()))</f>
        <v>#REF!</v>
      </c>
      <c r="C726" s="1275"/>
      <c r="D726" s="1275"/>
      <c r="E726" s="1275"/>
      <c r="F726" s="1275"/>
      <c r="G726" s="1275"/>
      <c r="H726" s="1275"/>
      <c r="I726" s="1275"/>
      <c r="J726" s="1275"/>
      <c r="K726" s="1275"/>
      <c r="L726" s="1275"/>
      <c r="M726" s="1275"/>
      <c r="N726" s="1275"/>
      <c r="O726" s="1275"/>
      <c r="P726" s="188" t="e">
        <f>IF(A726="","",VLOOKUP($A726,'[2]FDE-JUNHO-08'!$A$6:$D$3537,3,FALSE()))</f>
        <v>#REF!</v>
      </c>
      <c r="Q726" s="189" t="s">
        <v>1205</v>
      </c>
      <c r="R726" s="189" t="s">
        <v>1206</v>
      </c>
      <c r="T726" s="190"/>
      <c r="U726" s="191"/>
    </row>
    <row r="727" spans="1:21">
      <c r="A727" s="192"/>
      <c r="B727" s="1281"/>
      <c r="C727" s="1281"/>
      <c r="D727" s="1281"/>
      <c r="E727" s="1281"/>
      <c r="F727" s="1281"/>
      <c r="G727" s="1281"/>
      <c r="H727" s="1281"/>
      <c r="I727" s="1281"/>
      <c r="J727" s="1281"/>
      <c r="K727" s="1281"/>
      <c r="L727" s="1281"/>
      <c r="M727" s="1281"/>
      <c r="N727" s="1281"/>
      <c r="O727" s="1281"/>
      <c r="P727" s="193"/>
      <c r="Q727" s="194"/>
      <c r="R727" s="194"/>
      <c r="T727" s="190"/>
      <c r="U727" s="191"/>
    </row>
    <row r="728" spans="1:21">
      <c r="A728" s="192"/>
      <c r="B728" s="195" t="s">
        <v>1225</v>
      </c>
      <c r="C728" s="196"/>
      <c r="D728" s="197"/>
      <c r="E728" s="198"/>
      <c r="F728" s="197"/>
      <c r="G728" s="198"/>
      <c r="H728" s="197"/>
      <c r="I728" s="198"/>
      <c r="J728" s="197"/>
      <c r="K728" s="198"/>
      <c r="L728" s="199"/>
      <c r="M728" s="199" t="s">
        <v>1208</v>
      </c>
      <c r="N728" s="199">
        <v>97</v>
      </c>
      <c r="O728" s="155"/>
      <c r="P728" s="193"/>
      <c r="Q728" s="200"/>
      <c r="R728" s="194"/>
      <c r="T728" s="190"/>
      <c r="U728" s="191"/>
    </row>
    <row r="729" spans="1:21">
      <c r="A729" s="192"/>
      <c r="B729" s="212"/>
      <c r="C729" s="218"/>
      <c r="D729" s="219"/>
      <c r="E729" s="207"/>
      <c r="F729" s="219"/>
      <c r="G729" s="207"/>
      <c r="H729" s="219"/>
      <c r="I729" s="207"/>
      <c r="J729" s="219"/>
      <c r="K729" s="207"/>
      <c r="L729" s="209"/>
      <c r="M729" s="209"/>
      <c r="N729" s="222"/>
      <c r="O729" s="223"/>
      <c r="P729" s="193"/>
      <c r="Q729" s="200"/>
      <c r="R729" s="194"/>
      <c r="T729" s="190"/>
      <c r="U729" s="191"/>
    </row>
    <row r="730" spans="1:21">
      <c r="A730" s="192"/>
      <c r="B730" s="212"/>
      <c r="C730" s="218"/>
      <c r="D730" s="219"/>
      <c r="E730" s="207"/>
      <c r="F730" s="219"/>
      <c r="G730" s="207"/>
      <c r="H730" s="219"/>
      <c r="I730" s="207"/>
      <c r="J730" s="219"/>
      <c r="K730" s="207"/>
      <c r="L730" s="209" t="s">
        <v>1140</v>
      </c>
      <c r="M730" s="209" t="s">
        <v>1208</v>
      </c>
      <c r="N730" s="209">
        <f>SUM(N728:N729)</f>
        <v>97</v>
      </c>
      <c r="O730" s="208" t="e">
        <f>P726</f>
        <v>#REF!</v>
      </c>
      <c r="P730" s="193"/>
      <c r="Q730" s="200"/>
      <c r="R730" s="194"/>
      <c r="T730" s="190"/>
      <c r="U730" s="191"/>
    </row>
    <row r="731" spans="1:21">
      <c r="A731" s="192"/>
      <c r="B731" s="195"/>
      <c r="C731" s="196"/>
      <c r="D731" s="197"/>
      <c r="E731" s="198"/>
      <c r="F731" s="197"/>
      <c r="G731" s="198"/>
      <c r="H731" s="197"/>
      <c r="I731" s="198"/>
      <c r="J731" s="197"/>
      <c r="K731" s="198"/>
      <c r="L731" s="199"/>
      <c r="M731" s="199"/>
      <c r="N731" s="199"/>
      <c r="O731" s="155"/>
      <c r="P731" s="193"/>
      <c r="Q731" s="200"/>
      <c r="R731" s="194"/>
      <c r="T731" s="190"/>
      <c r="U731" s="191"/>
    </row>
    <row r="732" spans="1:21">
      <c r="A732" s="192"/>
      <c r="B732" s="1277" t="s">
        <v>1209</v>
      </c>
      <c r="C732" s="1277"/>
      <c r="D732" s="1277"/>
      <c r="E732" s="1277"/>
      <c r="F732" s="1277"/>
      <c r="G732" s="1277"/>
      <c r="H732" s="1277"/>
      <c r="I732" s="1277"/>
      <c r="J732" s="1277"/>
      <c r="K732" s="1277"/>
      <c r="L732" s="1277"/>
      <c r="M732" s="1277"/>
      <c r="N732" s="1277"/>
      <c r="O732" s="1277"/>
      <c r="P732" s="1277"/>
      <c r="Q732" s="203">
        <v>0</v>
      </c>
      <c r="R732" s="204">
        <f>Q732</f>
        <v>0</v>
      </c>
      <c r="T732" s="1278"/>
      <c r="U732" s="1279"/>
    </row>
    <row r="733" spans="1:21">
      <c r="A733" s="192"/>
      <c r="B733" s="1277" t="e">
        <f>med</f>
        <v>#NAME?</v>
      </c>
      <c r="C733" s="1277"/>
      <c r="D733" s="1277"/>
      <c r="E733" s="1277"/>
      <c r="F733" s="1277"/>
      <c r="G733" s="1277"/>
      <c r="H733" s="1277"/>
      <c r="I733" s="1277"/>
      <c r="J733" s="1277"/>
      <c r="K733" s="1277"/>
      <c r="L733" s="1277"/>
      <c r="M733" s="1277"/>
      <c r="N733" s="1277"/>
      <c r="O733" s="1277"/>
      <c r="P733" s="205">
        <f>N730</f>
        <v>97</v>
      </c>
      <c r="Q733" s="203">
        <f>P733</f>
        <v>97</v>
      </c>
      <c r="R733" s="204">
        <f>Q733+R732</f>
        <v>97</v>
      </c>
      <c r="T733" s="1278"/>
      <c r="U733" s="1279"/>
    </row>
    <row r="734" spans="1:21" ht="18" customHeight="1">
      <c r="A734" s="187" t="e">
        <f>#REF!</f>
        <v>#REF!</v>
      </c>
      <c r="B734" s="1275" t="e">
        <f>IF(A734="","",VLOOKUP($A734,'[2]FDE-JUNHO-08'!$A$6:$D$3537,2,FALSE()))</f>
        <v>#REF!</v>
      </c>
      <c r="C734" s="1275"/>
      <c r="D734" s="1275"/>
      <c r="E734" s="1275"/>
      <c r="F734" s="1275"/>
      <c r="G734" s="1275"/>
      <c r="H734" s="1275"/>
      <c r="I734" s="1275"/>
      <c r="J734" s="1275"/>
      <c r="K734" s="1275"/>
      <c r="L734" s="1275"/>
      <c r="M734" s="1275"/>
      <c r="N734" s="1275"/>
      <c r="O734" s="1275"/>
      <c r="P734" s="188" t="e">
        <f>IF(A734="","",VLOOKUP($A734,'[2]FDE-JUNHO-08'!$A$6:$D$3537,3,FALSE()))</f>
        <v>#REF!</v>
      </c>
      <c r="Q734" s="189" t="s">
        <v>1205</v>
      </c>
      <c r="R734" s="189" t="s">
        <v>1206</v>
      </c>
      <c r="T734" s="190"/>
      <c r="U734" s="191"/>
    </row>
    <row r="735" spans="1:21">
      <c r="A735" s="192"/>
      <c r="B735" s="1281"/>
      <c r="C735" s="1281"/>
      <c r="D735" s="1281"/>
      <c r="E735" s="1281"/>
      <c r="F735" s="1281"/>
      <c r="G735" s="1281"/>
      <c r="H735" s="1281"/>
      <c r="I735" s="1281"/>
      <c r="J735" s="1281"/>
      <c r="K735" s="1281"/>
      <c r="L735" s="1281"/>
      <c r="M735" s="1281"/>
      <c r="N735" s="1281"/>
      <c r="O735" s="1281"/>
      <c r="P735" s="193"/>
      <c r="Q735" s="194"/>
      <c r="R735" s="194"/>
      <c r="T735" s="190"/>
      <c r="U735" s="191"/>
    </row>
    <row r="736" spans="1:21" ht="13.8">
      <c r="A736" s="192"/>
      <c r="B736" s="210" t="s">
        <v>1207</v>
      </c>
      <c r="C736" s="196"/>
      <c r="D736" s="197"/>
      <c r="E736" s="198"/>
      <c r="F736" s="197"/>
      <c r="G736" s="198"/>
      <c r="H736" s="197"/>
      <c r="I736" s="198"/>
      <c r="J736" s="197"/>
      <c r="K736" s="198"/>
      <c r="L736" s="199"/>
      <c r="M736" s="199" t="s">
        <v>1208</v>
      </c>
      <c r="N736" s="199">
        <v>5</v>
      </c>
      <c r="O736" s="155"/>
      <c r="P736" s="193"/>
      <c r="Q736" s="200"/>
      <c r="R736" s="194"/>
      <c r="T736" s="190"/>
      <c r="U736" s="191"/>
    </row>
    <row r="737" spans="1:21">
      <c r="A737" s="192"/>
      <c r="B737" s="195"/>
      <c r="C737" s="196"/>
      <c r="D737" s="197"/>
      <c r="E737" s="198"/>
      <c r="F737" s="197"/>
      <c r="G737" s="198"/>
      <c r="H737" s="197"/>
      <c r="I737" s="198"/>
      <c r="J737" s="197"/>
      <c r="K737" s="198"/>
      <c r="L737" s="199"/>
      <c r="M737" s="199"/>
      <c r="N737" s="201"/>
      <c r="O737" s="202"/>
      <c r="P737" s="193"/>
      <c r="Q737" s="200"/>
      <c r="R737" s="194"/>
      <c r="T737" s="190"/>
      <c r="U737" s="191"/>
    </row>
    <row r="738" spans="1:21">
      <c r="A738" s="192"/>
      <c r="B738" s="195"/>
      <c r="C738" s="196"/>
      <c r="D738" s="197"/>
      <c r="E738" s="198"/>
      <c r="F738" s="197"/>
      <c r="G738" s="198"/>
      <c r="H738" s="197"/>
      <c r="I738" s="198"/>
      <c r="J738" s="197"/>
      <c r="K738" s="198"/>
      <c r="L738" s="199" t="s">
        <v>1140</v>
      </c>
      <c r="M738" s="199" t="s">
        <v>1208</v>
      </c>
      <c r="N738" s="199">
        <f>SUM(N735:N737)</f>
        <v>5</v>
      </c>
      <c r="O738" s="155" t="e">
        <f>P734</f>
        <v>#REF!</v>
      </c>
      <c r="P738" s="193"/>
      <c r="Q738" s="200"/>
      <c r="R738" s="194"/>
      <c r="T738" s="190"/>
      <c r="U738" s="191"/>
    </row>
    <row r="739" spans="1:21">
      <c r="A739" s="192"/>
      <c r="B739" s="195"/>
      <c r="C739" s="196"/>
      <c r="D739" s="197"/>
      <c r="E739" s="198"/>
      <c r="F739" s="197"/>
      <c r="G739" s="198"/>
      <c r="H739" s="197"/>
      <c r="I739" s="198"/>
      <c r="J739" s="197"/>
      <c r="K739" s="198"/>
      <c r="L739" s="199"/>
      <c r="M739" s="199"/>
      <c r="N739" s="199"/>
      <c r="O739" s="155"/>
      <c r="P739" s="193"/>
      <c r="Q739" s="200"/>
      <c r="R739" s="194"/>
      <c r="T739" s="190"/>
      <c r="U739" s="191"/>
    </row>
    <row r="740" spans="1:21">
      <c r="A740" s="192"/>
      <c r="B740" s="1277" t="s">
        <v>1209</v>
      </c>
      <c r="C740" s="1277"/>
      <c r="D740" s="1277"/>
      <c r="E740" s="1277"/>
      <c r="F740" s="1277"/>
      <c r="G740" s="1277"/>
      <c r="H740" s="1277"/>
      <c r="I740" s="1277"/>
      <c r="J740" s="1277"/>
      <c r="K740" s="1277"/>
      <c r="L740" s="1277"/>
      <c r="M740" s="1277"/>
      <c r="N740" s="1277"/>
      <c r="O740" s="1277"/>
      <c r="P740" s="1277"/>
      <c r="Q740" s="203">
        <v>0</v>
      </c>
      <c r="R740" s="204">
        <f>Q740</f>
        <v>0</v>
      </c>
      <c r="T740" s="1278"/>
      <c r="U740" s="1279"/>
    </row>
    <row r="741" spans="1:21">
      <c r="A741" s="192"/>
      <c r="B741" s="1277" t="e">
        <f>med</f>
        <v>#NAME?</v>
      </c>
      <c r="C741" s="1277"/>
      <c r="D741" s="1277"/>
      <c r="E741" s="1277"/>
      <c r="F741" s="1277"/>
      <c r="G741" s="1277"/>
      <c r="H741" s="1277"/>
      <c r="I741" s="1277"/>
      <c r="J741" s="1277"/>
      <c r="K741" s="1277"/>
      <c r="L741" s="1277"/>
      <c r="M741" s="1277"/>
      <c r="N741" s="1277"/>
      <c r="O741" s="1277"/>
      <c r="P741" s="205">
        <f>N738</f>
        <v>5</v>
      </c>
      <c r="Q741" s="203">
        <f>P741</f>
        <v>5</v>
      </c>
      <c r="R741" s="204">
        <f>Q741+R740</f>
        <v>5</v>
      </c>
      <c r="T741" s="1278"/>
      <c r="U741" s="1279"/>
    </row>
    <row r="742" spans="1:21" ht="18" customHeight="1">
      <c r="A742" s="187">
        <f>'[2]PLANILHA DE MEDIÇÃO'!A19</f>
        <v>0</v>
      </c>
      <c r="B742" s="1275" t="e">
        <f>IF(A742="","",VLOOKUP($A742,'[2]FDE-JUNHO-08'!$A$6:$D$3537,2,FALSE()))</f>
        <v>#N/A</v>
      </c>
      <c r="C742" s="1275"/>
      <c r="D742" s="1275"/>
      <c r="E742" s="1275"/>
      <c r="F742" s="1275"/>
      <c r="G742" s="1275"/>
      <c r="H742" s="1275"/>
      <c r="I742" s="1275"/>
      <c r="J742" s="1275"/>
      <c r="K742" s="1275"/>
      <c r="L742" s="1275"/>
      <c r="M742" s="1275"/>
      <c r="N742" s="1275"/>
      <c r="O742" s="1275"/>
      <c r="P742" s="188" t="e">
        <f>IF(A742="","",VLOOKUP($A742,'[2]FDE-JUNHO-08'!$A$6:$D$3537,3,FALSE()))</f>
        <v>#N/A</v>
      </c>
      <c r="Q742" s="189" t="s">
        <v>1205</v>
      </c>
      <c r="R742" s="189" t="s">
        <v>1206</v>
      </c>
      <c r="T742" s="190"/>
      <c r="U742" s="191"/>
    </row>
    <row r="743" spans="1:21">
      <c r="A743" s="192"/>
      <c r="B743" s="195"/>
      <c r="C743" s="196"/>
      <c r="D743" s="197"/>
      <c r="E743" s="198"/>
      <c r="F743" s="197"/>
      <c r="G743" s="198"/>
      <c r="H743" s="197"/>
      <c r="I743" s="207"/>
      <c r="J743" s="207"/>
      <c r="K743" s="208"/>
      <c r="L743" s="209"/>
      <c r="M743" s="209"/>
      <c r="N743" s="209"/>
      <c r="O743" s="155"/>
      <c r="P743" s="193"/>
      <c r="Q743" s="200"/>
      <c r="R743" s="194"/>
      <c r="T743" s="190"/>
      <c r="U743" s="191"/>
    </row>
    <row r="744" spans="1:21" ht="13.8">
      <c r="A744" s="192"/>
      <c r="B744" s="210" t="s">
        <v>1226</v>
      </c>
      <c r="C744" s="196"/>
      <c r="D744" s="197"/>
      <c r="E744" s="198"/>
      <c r="F744" s="197"/>
      <c r="G744" s="198"/>
      <c r="H744" s="197">
        <f>P1906</f>
        <v>117.80016300000004</v>
      </c>
      <c r="I744" s="198" t="s">
        <v>1227</v>
      </c>
      <c r="J744" s="197">
        <v>25</v>
      </c>
      <c r="K744" s="198"/>
      <c r="L744" s="199"/>
      <c r="M744" s="199" t="s">
        <v>1208</v>
      </c>
      <c r="N744" s="199">
        <f>J744*H744</f>
        <v>2945.0040750000012</v>
      </c>
      <c r="O744" s="155"/>
      <c r="P744" s="193"/>
      <c r="Q744" s="200"/>
      <c r="R744" s="194"/>
      <c r="T744" s="190"/>
      <c r="U744" s="191"/>
    </row>
    <row r="745" spans="1:21">
      <c r="A745" s="192"/>
      <c r="B745" s="195"/>
      <c r="C745" s="196"/>
      <c r="D745" s="197"/>
      <c r="E745" s="198"/>
      <c r="F745" s="197"/>
      <c r="G745" s="198"/>
      <c r="H745" s="198" t="s">
        <v>1228</v>
      </c>
      <c r="I745" s="198"/>
      <c r="J745" s="198" t="s">
        <v>1229</v>
      </c>
      <c r="K745" s="198"/>
      <c r="L745" s="199"/>
      <c r="M745" s="199"/>
      <c r="N745" s="199"/>
      <c r="O745" s="155"/>
      <c r="P745" s="193"/>
      <c r="Q745" s="200"/>
      <c r="R745" s="194"/>
      <c r="T745" s="190"/>
      <c r="U745" s="191"/>
    </row>
    <row r="746" spans="1:21">
      <c r="A746" s="192"/>
      <c r="B746" s="195"/>
      <c r="C746" s="196"/>
      <c r="D746" s="197"/>
      <c r="E746" s="198"/>
      <c r="F746" s="197"/>
      <c r="G746" s="198"/>
      <c r="H746" s="197"/>
      <c r="I746" s="198"/>
      <c r="J746" s="197"/>
      <c r="K746" s="198"/>
      <c r="L746" s="199"/>
      <c r="M746" s="199"/>
      <c r="N746" s="201"/>
      <c r="O746" s="202"/>
      <c r="P746" s="193"/>
      <c r="Q746" s="200"/>
      <c r="R746" s="194"/>
      <c r="T746" s="190"/>
      <c r="U746" s="191"/>
    </row>
    <row r="747" spans="1:21">
      <c r="A747" s="192"/>
      <c r="B747" s="195"/>
      <c r="C747" s="196"/>
      <c r="D747" s="197"/>
      <c r="E747" s="198"/>
      <c r="F747" s="197"/>
      <c r="G747" s="198"/>
      <c r="H747" s="197"/>
      <c r="I747" s="198"/>
      <c r="J747" s="197"/>
      <c r="K747" s="198"/>
      <c r="L747" s="199" t="s">
        <v>1140</v>
      </c>
      <c r="M747" s="199" t="s">
        <v>1208</v>
      </c>
      <c r="N747" s="199">
        <f>SUM(N744:N746)</f>
        <v>2945.0040750000012</v>
      </c>
      <c r="O747" s="155" t="e">
        <f>P742</f>
        <v>#N/A</v>
      </c>
      <c r="P747" s="193"/>
      <c r="Q747" s="200"/>
      <c r="R747" s="194"/>
      <c r="T747" s="190"/>
      <c r="U747" s="191"/>
    </row>
    <row r="748" spans="1:21">
      <c r="A748" s="192"/>
      <c r="B748" s="195"/>
      <c r="C748" s="196"/>
      <c r="D748" s="197"/>
      <c r="E748" s="198"/>
      <c r="F748" s="197"/>
      <c r="G748" s="198"/>
      <c r="H748" s="197"/>
      <c r="I748" s="198"/>
      <c r="J748" s="197"/>
      <c r="K748" s="198"/>
      <c r="L748" s="199"/>
      <c r="M748" s="199"/>
      <c r="N748" s="199"/>
      <c r="O748" s="155"/>
      <c r="P748" s="193"/>
      <c r="Q748" s="200"/>
      <c r="R748" s="194"/>
      <c r="T748" s="190"/>
      <c r="U748" s="191"/>
    </row>
    <row r="749" spans="1:21">
      <c r="A749" s="192"/>
      <c r="B749" s="1277" t="s">
        <v>1209</v>
      </c>
      <c r="C749" s="1277"/>
      <c r="D749" s="1277"/>
      <c r="E749" s="1277"/>
      <c r="F749" s="1277"/>
      <c r="G749" s="1277"/>
      <c r="H749" s="1277"/>
      <c r="I749" s="1277"/>
      <c r="J749" s="1277"/>
      <c r="K749" s="1277"/>
      <c r="L749" s="1277"/>
      <c r="M749" s="1277"/>
      <c r="N749" s="1277"/>
      <c r="O749" s="1277"/>
      <c r="P749" s="1277"/>
      <c r="Q749" s="203">
        <v>0</v>
      </c>
      <c r="R749" s="204">
        <f>Q749</f>
        <v>0</v>
      </c>
      <c r="T749" s="1278"/>
      <c r="U749" s="1279"/>
    </row>
    <row r="750" spans="1:21">
      <c r="A750" s="206"/>
      <c r="B750" s="1277" t="e">
        <f>med</f>
        <v>#NAME?</v>
      </c>
      <c r="C750" s="1277"/>
      <c r="D750" s="1277"/>
      <c r="E750" s="1277"/>
      <c r="F750" s="1277"/>
      <c r="G750" s="1277"/>
      <c r="H750" s="1277"/>
      <c r="I750" s="1277"/>
      <c r="J750" s="1277"/>
      <c r="K750" s="1277"/>
      <c r="L750" s="1277"/>
      <c r="M750" s="1277"/>
      <c r="N750" s="1277"/>
      <c r="O750" s="1277"/>
      <c r="P750" s="205">
        <f>N747</f>
        <v>2945.0040750000012</v>
      </c>
      <c r="Q750" s="203">
        <f>P750</f>
        <v>2945.0040750000012</v>
      </c>
      <c r="R750" s="204">
        <f>Q750+R749</f>
        <v>2945.0040750000012</v>
      </c>
      <c r="T750" s="1278"/>
      <c r="U750" s="1279"/>
    </row>
    <row r="751" spans="1:21" ht="18" customHeight="1">
      <c r="A751" s="187" t="e">
        <f>#REF!</f>
        <v>#REF!</v>
      </c>
      <c r="B751" s="1275" t="e">
        <f>IF(A751="","",VLOOKUP($A751,'[2]FDE-JUNHO-08'!$A$6:$D$3537,2,FALSE()))</f>
        <v>#REF!</v>
      </c>
      <c r="C751" s="1275"/>
      <c r="D751" s="1275"/>
      <c r="E751" s="1275"/>
      <c r="F751" s="1275"/>
      <c r="G751" s="1275"/>
      <c r="H751" s="1275"/>
      <c r="I751" s="1275"/>
      <c r="J751" s="1275"/>
      <c r="K751" s="1275"/>
      <c r="L751" s="1275"/>
      <c r="M751" s="1275"/>
      <c r="N751" s="1275"/>
      <c r="O751" s="1275"/>
      <c r="P751" s="188" t="e">
        <f>IF(A751="","",VLOOKUP($A751,'[2]FDE-JUNHO-08'!$A$6:$D$3537,3,FALSE()))</f>
        <v>#REF!</v>
      </c>
      <c r="Q751" s="189" t="s">
        <v>1205</v>
      </c>
      <c r="R751" s="189" t="s">
        <v>1206</v>
      </c>
      <c r="T751" s="190"/>
      <c r="U751" s="191"/>
    </row>
    <row r="752" spans="1:21" ht="13.5" customHeight="1">
      <c r="A752" s="224"/>
      <c r="B752" s="225"/>
      <c r="C752" s="225"/>
      <c r="D752" s="225"/>
      <c r="E752" s="225"/>
      <c r="F752" s="225"/>
      <c r="G752" s="225"/>
      <c r="H752" s="225"/>
      <c r="I752" s="225"/>
      <c r="J752" s="225"/>
      <c r="K752" s="225"/>
      <c r="L752" s="225"/>
      <c r="M752" s="225"/>
      <c r="N752" s="225"/>
      <c r="O752" s="225"/>
      <c r="P752" s="226"/>
      <c r="Q752" s="227"/>
      <c r="R752" s="228"/>
      <c r="T752" s="190"/>
      <c r="U752" s="191"/>
    </row>
    <row r="753" spans="1:21">
      <c r="A753" s="192"/>
      <c r="B753" s="195"/>
      <c r="C753" s="196"/>
      <c r="D753" s="197"/>
      <c r="E753" s="198"/>
      <c r="F753" s="199"/>
      <c r="G753" s="198"/>
      <c r="H753" s="198"/>
      <c r="I753" s="198"/>
      <c r="J753" s="198" t="s">
        <v>1230</v>
      </c>
      <c r="K753" s="198"/>
      <c r="L753" s="198" t="s">
        <v>1231</v>
      </c>
      <c r="M753" s="199"/>
      <c r="N753" s="209"/>
      <c r="O753" s="155"/>
      <c r="P753" s="193"/>
      <c r="Q753" s="213"/>
      <c r="R753" s="211"/>
      <c r="T753" s="190"/>
      <c r="U753" s="191"/>
    </row>
    <row r="754" spans="1:21">
      <c r="A754" s="192"/>
      <c r="B754" s="195" t="s">
        <v>1232</v>
      </c>
      <c r="C754" s="196"/>
      <c r="D754" s="197"/>
      <c r="E754" s="198"/>
      <c r="F754" s="197"/>
      <c r="G754" s="198"/>
      <c r="H754" s="198"/>
      <c r="I754" s="198"/>
      <c r="J754" s="198">
        <v>5</v>
      </c>
      <c r="K754" s="198" t="s">
        <v>1227</v>
      </c>
      <c r="L754" s="197">
        <v>7.5</v>
      </c>
      <c r="M754" s="199" t="s">
        <v>1208</v>
      </c>
      <c r="N754" s="199">
        <f t="shared" ref="N754:N763" si="0">J754*L754</f>
        <v>37.5</v>
      </c>
      <c r="O754" s="155"/>
      <c r="P754" s="193"/>
      <c r="Q754" s="213"/>
      <c r="R754" s="211"/>
      <c r="T754" s="190"/>
      <c r="U754" s="191"/>
    </row>
    <row r="755" spans="1:21">
      <c r="A755" s="192"/>
      <c r="B755" s="195" t="s">
        <v>1233</v>
      </c>
      <c r="C755" s="196"/>
      <c r="D755" s="197"/>
      <c r="E755" s="198"/>
      <c r="F755" s="197"/>
      <c r="G755" s="198"/>
      <c r="H755" s="198"/>
      <c r="I755" s="198"/>
      <c r="J755" s="198">
        <v>2.5</v>
      </c>
      <c r="K755" s="198" t="s">
        <v>1227</v>
      </c>
      <c r="L755" s="197">
        <v>21</v>
      </c>
      <c r="M755" s="199" t="s">
        <v>1208</v>
      </c>
      <c r="N755" s="199">
        <f t="shared" si="0"/>
        <v>52.5</v>
      </c>
      <c r="O755" s="155"/>
      <c r="P755" s="193"/>
      <c r="Q755" s="213"/>
      <c r="R755" s="211"/>
      <c r="T755" s="190"/>
      <c r="U755" s="191"/>
    </row>
    <row r="756" spans="1:21">
      <c r="A756" s="192"/>
      <c r="B756" s="195" t="s">
        <v>1234</v>
      </c>
      <c r="C756" s="196"/>
      <c r="D756" s="197"/>
      <c r="E756" s="198"/>
      <c r="F756" s="199"/>
      <c r="G756" s="198"/>
      <c r="H756" s="198"/>
      <c r="I756" s="198"/>
      <c r="J756" s="198">
        <v>6</v>
      </c>
      <c r="K756" s="198" t="s">
        <v>1227</v>
      </c>
      <c r="L756" s="197">
        <f>21-2</f>
        <v>19</v>
      </c>
      <c r="M756" s="199" t="s">
        <v>1208</v>
      </c>
      <c r="N756" s="199">
        <f t="shared" si="0"/>
        <v>114</v>
      </c>
      <c r="O756" s="155"/>
      <c r="P756" s="193"/>
      <c r="Q756" s="213"/>
      <c r="R756" s="211"/>
      <c r="T756" s="190"/>
      <c r="U756" s="191"/>
    </row>
    <row r="757" spans="1:21">
      <c r="A757" s="192"/>
      <c r="B757" s="195" t="s">
        <v>1235</v>
      </c>
      <c r="C757" s="196"/>
      <c r="D757" s="197"/>
      <c r="E757" s="198"/>
      <c r="F757" s="199"/>
      <c r="G757" s="198"/>
      <c r="H757" s="198"/>
      <c r="I757" s="198"/>
      <c r="J757" s="198">
        <v>5.5</v>
      </c>
      <c r="K757" s="198" t="s">
        <v>1227</v>
      </c>
      <c r="L757" s="197">
        <v>6</v>
      </c>
      <c r="M757" s="199" t="s">
        <v>1208</v>
      </c>
      <c r="N757" s="199">
        <f t="shared" si="0"/>
        <v>33</v>
      </c>
      <c r="O757" s="155"/>
      <c r="P757" s="193"/>
      <c r="Q757" s="213"/>
      <c r="R757" s="211"/>
      <c r="T757" s="190"/>
      <c r="U757" s="191"/>
    </row>
    <row r="758" spans="1:21">
      <c r="A758" s="192"/>
      <c r="B758" s="195" t="s">
        <v>1236</v>
      </c>
      <c r="C758" s="196"/>
      <c r="D758" s="197"/>
      <c r="E758" s="198"/>
      <c r="F758" s="199"/>
      <c r="G758" s="198"/>
      <c r="H758" s="198"/>
      <c r="I758" s="198"/>
      <c r="J758" s="198">
        <v>6</v>
      </c>
      <c r="K758" s="198" t="s">
        <v>1227</v>
      </c>
      <c r="L758" s="197">
        <v>2.2000000000000002</v>
      </c>
      <c r="M758" s="199" t="s">
        <v>1208</v>
      </c>
      <c r="N758" s="199">
        <f t="shared" si="0"/>
        <v>13.200000000000001</v>
      </c>
      <c r="O758" s="155"/>
      <c r="P758" s="193"/>
      <c r="Q758" s="213"/>
      <c r="R758" s="211"/>
      <c r="T758" s="190"/>
      <c r="U758" s="191"/>
    </row>
    <row r="759" spans="1:21">
      <c r="A759" s="192"/>
      <c r="B759" s="195" t="s">
        <v>1237</v>
      </c>
      <c r="C759" s="196"/>
      <c r="D759" s="197"/>
      <c r="E759" s="198"/>
      <c r="F759" s="199"/>
      <c r="G759" s="198"/>
      <c r="H759" s="198"/>
      <c r="I759" s="198"/>
      <c r="J759" s="198">
        <v>5.5</v>
      </c>
      <c r="K759" s="198" t="s">
        <v>1227</v>
      </c>
      <c r="L759" s="197">
        <v>3.35</v>
      </c>
      <c r="M759" s="199" t="s">
        <v>1208</v>
      </c>
      <c r="N759" s="199">
        <f t="shared" si="0"/>
        <v>18.425000000000001</v>
      </c>
      <c r="O759" s="155"/>
      <c r="P759" s="193"/>
      <c r="Q759" s="213"/>
      <c r="R759" s="211"/>
      <c r="T759" s="190"/>
      <c r="U759" s="191"/>
    </row>
    <row r="760" spans="1:21">
      <c r="A760" s="192"/>
      <c r="B760" s="195" t="s">
        <v>1191</v>
      </c>
      <c r="C760" s="196"/>
      <c r="D760" s="197"/>
      <c r="E760" s="198"/>
      <c r="F760" s="199"/>
      <c r="G760" s="198"/>
      <c r="H760" s="198"/>
      <c r="I760" s="198"/>
      <c r="J760" s="198">
        <v>5.5</v>
      </c>
      <c r="K760" s="198" t="s">
        <v>1227</v>
      </c>
      <c r="L760" s="197">
        <v>3.35</v>
      </c>
      <c r="M760" s="199" t="s">
        <v>1208</v>
      </c>
      <c r="N760" s="199">
        <f t="shared" si="0"/>
        <v>18.425000000000001</v>
      </c>
      <c r="O760" s="155"/>
      <c r="P760" s="193"/>
      <c r="Q760" s="213"/>
      <c r="R760" s="211"/>
      <c r="T760" s="190"/>
      <c r="U760" s="191"/>
    </row>
    <row r="761" spans="1:21">
      <c r="A761" s="192"/>
      <c r="B761" s="195" t="s">
        <v>1233</v>
      </c>
      <c r="C761" s="196"/>
      <c r="D761" s="197"/>
      <c r="E761" s="198"/>
      <c r="F761" s="197"/>
      <c r="G761" s="198"/>
      <c r="H761" s="198"/>
      <c r="I761" s="198"/>
      <c r="J761" s="198">
        <v>2.5</v>
      </c>
      <c r="K761" s="198" t="s">
        <v>1227</v>
      </c>
      <c r="L761" s="197">
        <v>3.78</v>
      </c>
      <c r="M761" s="199" t="s">
        <v>1208</v>
      </c>
      <c r="N761" s="199">
        <f t="shared" si="0"/>
        <v>9.4499999999999993</v>
      </c>
      <c r="O761" s="155"/>
      <c r="P761" s="193"/>
      <c r="Q761" s="229"/>
      <c r="R761" s="230"/>
      <c r="T761" s="190"/>
      <c r="U761" s="191"/>
    </row>
    <row r="762" spans="1:21">
      <c r="A762" s="192"/>
      <c r="B762" s="195" t="s">
        <v>1238</v>
      </c>
      <c r="C762" s="196"/>
      <c r="D762" s="197"/>
      <c r="E762" s="198"/>
      <c r="F762" s="199"/>
      <c r="G762" s="198"/>
      <c r="H762" s="198"/>
      <c r="I762" s="198"/>
      <c r="J762" s="198">
        <v>2</v>
      </c>
      <c r="K762" s="198" t="s">
        <v>1227</v>
      </c>
      <c r="L762" s="197">
        <v>3.35</v>
      </c>
      <c r="M762" s="199" t="s">
        <v>1208</v>
      </c>
      <c r="N762" s="199">
        <f t="shared" si="0"/>
        <v>6.7</v>
      </c>
      <c r="O762" s="155"/>
      <c r="P762" s="193"/>
      <c r="Q762" s="213"/>
      <c r="R762" s="211"/>
      <c r="T762" s="190"/>
      <c r="U762" s="191"/>
    </row>
    <row r="763" spans="1:21">
      <c r="A763" s="192"/>
      <c r="B763" s="195" t="s">
        <v>1239</v>
      </c>
      <c r="C763" s="196"/>
      <c r="D763" s="197"/>
      <c r="E763" s="198"/>
      <c r="F763" s="199"/>
      <c r="G763" s="198"/>
      <c r="H763" s="198"/>
      <c r="I763" s="198"/>
      <c r="J763" s="198">
        <v>2.5499999999999998</v>
      </c>
      <c r="K763" s="198" t="s">
        <v>1227</v>
      </c>
      <c r="L763" s="197">
        <v>8</v>
      </c>
      <c r="M763" s="199" t="s">
        <v>1208</v>
      </c>
      <c r="N763" s="199">
        <f t="shared" si="0"/>
        <v>20.399999999999999</v>
      </c>
      <c r="O763" s="155"/>
      <c r="P763" s="193"/>
      <c r="Q763" s="229"/>
      <c r="R763" s="230"/>
      <c r="T763" s="190"/>
      <c r="U763" s="191"/>
    </row>
    <row r="764" spans="1:21">
      <c r="A764" s="192"/>
      <c r="B764" s="195"/>
      <c r="C764" s="196"/>
      <c r="D764" s="197"/>
      <c r="E764" s="198"/>
      <c r="F764" s="199"/>
      <c r="G764" s="198"/>
      <c r="H764" s="198"/>
      <c r="I764" s="198"/>
      <c r="J764" s="198"/>
      <c r="K764" s="198"/>
      <c r="L764" s="197"/>
      <c r="M764" s="199"/>
      <c r="N764" s="201"/>
      <c r="O764" s="202"/>
      <c r="P764" s="193"/>
      <c r="Q764" s="229"/>
      <c r="R764" s="230"/>
      <c r="T764" s="190"/>
      <c r="U764" s="191"/>
    </row>
    <row r="765" spans="1:21">
      <c r="A765" s="192"/>
      <c r="B765" s="195"/>
      <c r="C765" s="196"/>
      <c r="D765" s="197"/>
      <c r="E765" s="198"/>
      <c r="F765" s="197"/>
      <c r="G765" s="198"/>
      <c r="H765" s="197"/>
      <c r="I765" s="198"/>
      <c r="J765" s="197"/>
      <c r="K765" s="198"/>
      <c r="L765" s="199" t="s">
        <v>1140</v>
      </c>
      <c r="M765" s="199" t="s">
        <v>1208</v>
      </c>
      <c r="N765" s="199">
        <f>SUM(N754:N763)</f>
        <v>323.59999999999997</v>
      </c>
      <c r="O765" s="155" t="s">
        <v>1240</v>
      </c>
      <c r="P765" s="193"/>
      <c r="Q765" s="229"/>
      <c r="R765" s="230"/>
      <c r="T765" s="190"/>
      <c r="U765" s="191"/>
    </row>
    <row r="766" spans="1:21">
      <c r="A766" s="192"/>
      <c r="B766" s="1277" t="s">
        <v>1209</v>
      </c>
      <c r="C766" s="1277"/>
      <c r="D766" s="1277"/>
      <c r="E766" s="1277"/>
      <c r="F766" s="1277"/>
      <c r="G766" s="1277"/>
      <c r="H766" s="1277"/>
      <c r="I766" s="1277"/>
      <c r="J766" s="1277"/>
      <c r="K766" s="1277"/>
      <c r="L766" s="1277"/>
      <c r="M766" s="1277"/>
      <c r="N766" s="1277"/>
      <c r="O766" s="1277"/>
      <c r="P766" s="1277"/>
      <c r="Q766" s="203">
        <v>0</v>
      </c>
      <c r="R766" s="204">
        <f>Q766</f>
        <v>0</v>
      </c>
      <c r="T766" s="1278"/>
      <c r="U766" s="1279"/>
    </row>
    <row r="767" spans="1:21">
      <c r="A767" s="192"/>
      <c r="B767" s="1277" t="e">
        <f>med</f>
        <v>#NAME?</v>
      </c>
      <c r="C767" s="1277"/>
      <c r="D767" s="1277"/>
      <c r="E767" s="1277"/>
      <c r="F767" s="1277"/>
      <c r="G767" s="1277"/>
      <c r="H767" s="1277"/>
      <c r="I767" s="1277"/>
      <c r="J767" s="1277"/>
      <c r="K767" s="1277"/>
      <c r="L767" s="1277"/>
      <c r="M767" s="1277"/>
      <c r="N767" s="1277"/>
      <c r="O767" s="1277"/>
      <c r="P767" s="205">
        <f>N765</f>
        <v>323.59999999999997</v>
      </c>
      <c r="Q767" s="203">
        <f>P767</f>
        <v>323.59999999999997</v>
      </c>
      <c r="R767" s="204">
        <f>Q767+R766</f>
        <v>323.59999999999997</v>
      </c>
      <c r="T767" s="1278"/>
      <c r="U767" s="1279"/>
    </row>
    <row r="768" spans="1:21" ht="18" customHeight="1">
      <c r="A768" s="187" t="e">
        <f>#REF!</f>
        <v>#REF!</v>
      </c>
      <c r="B768" s="1275" t="e">
        <f>IF(A768="","",VLOOKUP($A768,'[2]FDE-JUNHO-08'!$A$6:$D$3537,2,FALSE()))</f>
        <v>#REF!</v>
      </c>
      <c r="C768" s="1275"/>
      <c r="D768" s="1275"/>
      <c r="E768" s="1275"/>
      <c r="F768" s="1275"/>
      <c r="G768" s="1275"/>
      <c r="H768" s="1275"/>
      <c r="I768" s="1275"/>
      <c r="J768" s="1275"/>
      <c r="K768" s="1275"/>
      <c r="L768" s="1275"/>
      <c r="M768" s="1275"/>
      <c r="N768" s="1275"/>
      <c r="O768" s="1275"/>
      <c r="P768" s="188" t="e">
        <f>IF(A768="","",VLOOKUP($A768,'[2]FDE-JUNHO-08'!$A$6:$D$3537,3,FALSE()))</f>
        <v>#REF!</v>
      </c>
      <c r="Q768" s="189" t="s">
        <v>1205</v>
      </c>
      <c r="R768" s="189" t="s">
        <v>1206</v>
      </c>
      <c r="T768" s="190"/>
      <c r="U768" s="191"/>
    </row>
    <row r="769" spans="1:21" ht="18" customHeight="1">
      <c r="A769" s="224"/>
      <c r="B769" s="225"/>
      <c r="C769" s="225"/>
      <c r="D769" s="225"/>
      <c r="E769" s="225"/>
      <c r="F769" s="225"/>
      <c r="G769" s="225"/>
      <c r="H769" s="225"/>
      <c r="I769" s="225"/>
      <c r="J769" s="225"/>
      <c r="K769" s="225"/>
      <c r="L769" s="225"/>
      <c r="M769" s="225"/>
      <c r="N769" s="225"/>
      <c r="O769" s="225"/>
      <c r="P769" s="226"/>
      <c r="Q769" s="231"/>
      <c r="R769" s="232"/>
      <c r="T769" s="190"/>
      <c r="U769" s="191"/>
    </row>
    <row r="770" spans="1:21">
      <c r="A770" s="192"/>
      <c r="B770" s="195"/>
      <c r="C770" s="196"/>
      <c r="D770" s="197"/>
      <c r="E770" s="198"/>
      <c r="F770" s="199"/>
      <c r="G770" s="198"/>
      <c r="H770" s="198"/>
      <c r="I770" s="198"/>
      <c r="J770" s="198" t="s">
        <v>1230</v>
      </c>
      <c r="K770" s="198"/>
      <c r="L770" s="198" t="s">
        <v>1231</v>
      </c>
      <c r="M770" s="199"/>
      <c r="N770" s="209"/>
      <c r="O770" s="155"/>
      <c r="P770" s="193"/>
      <c r="Q770" s="229"/>
      <c r="R770" s="230"/>
      <c r="T770" s="190"/>
      <c r="U770" s="191"/>
    </row>
    <row r="771" spans="1:21">
      <c r="A771" s="192"/>
      <c r="B771" s="195" t="s">
        <v>1232</v>
      </c>
      <c r="C771" s="196"/>
      <c r="D771" s="197"/>
      <c r="E771" s="198"/>
      <c r="F771" s="197"/>
      <c r="G771" s="198"/>
      <c r="H771" s="198"/>
      <c r="I771" s="198"/>
      <c r="J771" s="198">
        <v>5</v>
      </c>
      <c r="K771" s="198" t="s">
        <v>1227</v>
      </c>
      <c r="L771" s="197">
        <v>7.5</v>
      </c>
      <c r="M771" s="199" t="s">
        <v>1208</v>
      </c>
      <c r="N771" s="199">
        <f t="shared" ref="N771:N780" si="1">J771*L771</f>
        <v>37.5</v>
      </c>
      <c r="O771" s="155"/>
      <c r="P771" s="193"/>
      <c r="Q771" s="229"/>
      <c r="R771" s="230"/>
      <c r="T771" s="190"/>
      <c r="U771" s="191"/>
    </row>
    <row r="772" spans="1:21">
      <c r="A772" s="192"/>
      <c r="B772" s="195" t="s">
        <v>1233</v>
      </c>
      <c r="C772" s="196"/>
      <c r="D772" s="197"/>
      <c r="E772" s="198"/>
      <c r="F772" s="197"/>
      <c r="G772" s="198"/>
      <c r="H772" s="198"/>
      <c r="I772" s="198"/>
      <c r="J772" s="198">
        <v>2.5</v>
      </c>
      <c r="K772" s="198" t="s">
        <v>1227</v>
      </c>
      <c r="L772" s="197">
        <v>21</v>
      </c>
      <c r="M772" s="199" t="s">
        <v>1208</v>
      </c>
      <c r="N772" s="199">
        <f t="shared" si="1"/>
        <v>52.5</v>
      </c>
      <c r="O772" s="155"/>
      <c r="P772" s="193"/>
      <c r="Q772" s="229"/>
      <c r="R772" s="230"/>
      <c r="T772" s="190"/>
      <c r="U772" s="191"/>
    </row>
    <row r="773" spans="1:21">
      <c r="A773" s="192"/>
      <c r="B773" s="195" t="s">
        <v>1234</v>
      </c>
      <c r="C773" s="196"/>
      <c r="D773" s="197"/>
      <c r="E773" s="198"/>
      <c r="F773" s="199"/>
      <c r="G773" s="198"/>
      <c r="H773" s="198"/>
      <c r="I773" s="198"/>
      <c r="J773" s="198">
        <v>6</v>
      </c>
      <c r="K773" s="198" t="s">
        <v>1227</v>
      </c>
      <c r="L773" s="197">
        <f>21-2</f>
        <v>19</v>
      </c>
      <c r="M773" s="199" t="s">
        <v>1208</v>
      </c>
      <c r="N773" s="199">
        <f t="shared" si="1"/>
        <v>114</v>
      </c>
      <c r="O773" s="155"/>
      <c r="P773" s="193"/>
      <c r="Q773" s="229"/>
      <c r="R773" s="230"/>
      <c r="T773" s="190"/>
      <c r="U773" s="191"/>
    </row>
    <row r="774" spans="1:21" ht="13.5" customHeight="1">
      <c r="A774" s="224"/>
      <c r="B774" s="195" t="s">
        <v>1235</v>
      </c>
      <c r="C774" s="196"/>
      <c r="D774" s="197"/>
      <c r="E774" s="198"/>
      <c r="F774" s="199"/>
      <c r="G774" s="198"/>
      <c r="H774" s="198"/>
      <c r="I774" s="198"/>
      <c r="J774" s="198">
        <v>5.5</v>
      </c>
      <c r="K774" s="198" t="s">
        <v>1227</v>
      </c>
      <c r="L774" s="197">
        <v>6</v>
      </c>
      <c r="M774" s="199" t="s">
        <v>1208</v>
      </c>
      <c r="N774" s="199">
        <f t="shared" si="1"/>
        <v>33</v>
      </c>
      <c r="O774" s="155"/>
      <c r="P774" s="193"/>
      <c r="Q774" s="233"/>
      <c r="R774" s="234"/>
      <c r="T774" s="190"/>
      <c r="U774" s="191"/>
    </row>
    <row r="775" spans="1:21">
      <c r="A775" s="192"/>
      <c r="B775" s="195" t="s">
        <v>1236</v>
      </c>
      <c r="C775" s="196"/>
      <c r="D775" s="197"/>
      <c r="E775" s="198"/>
      <c r="F775" s="199"/>
      <c r="G775" s="198"/>
      <c r="H775" s="198"/>
      <c r="I775" s="198"/>
      <c r="J775" s="198">
        <v>6</v>
      </c>
      <c r="K775" s="198" t="s">
        <v>1227</v>
      </c>
      <c r="L775" s="197">
        <v>2.2000000000000002</v>
      </c>
      <c r="M775" s="199" t="s">
        <v>1208</v>
      </c>
      <c r="N775" s="199">
        <f t="shared" si="1"/>
        <v>13.200000000000001</v>
      </c>
      <c r="O775" s="155"/>
      <c r="P775" s="193"/>
      <c r="Q775" s="229"/>
      <c r="R775" s="230"/>
      <c r="T775" s="190"/>
      <c r="U775" s="191"/>
    </row>
    <row r="776" spans="1:21">
      <c r="A776" s="192"/>
      <c r="B776" s="195" t="s">
        <v>1237</v>
      </c>
      <c r="C776" s="196"/>
      <c r="D776" s="197"/>
      <c r="E776" s="198"/>
      <c r="F776" s="199"/>
      <c r="G776" s="198"/>
      <c r="H776" s="198"/>
      <c r="I776" s="198"/>
      <c r="J776" s="198">
        <v>5.5</v>
      </c>
      <c r="K776" s="198" t="s">
        <v>1227</v>
      </c>
      <c r="L776" s="197">
        <v>3.35</v>
      </c>
      <c r="M776" s="199" t="s">
        <v>1208</v>
      </c>
      <c r="N776" s="199">
        <f t="shared" si="1"/>
        <v>18.425000000000001</v>
      </c>
      <c r="O776" s="155"/>
      <c r="P776" s="193"/>
      <c r="Q776" s="229"/>
      <c r="R776" s="230"/>
      <c r="T776" s="190"/>
      <c r="U776" s="191"/>
    </row>
    <row r="777" spans="1:21">
      <c r="A777" s="192"/>
      <c r="B777" s="195" t="s">
        <v>1191</v>
      </c>
      <c r="C777" s="196"/>
      <c r="D777" s="197"/>
      <c r="E777" s="198"/>
      <c r="F777" s="199"/>
      <c r="G777" s="198"/>
      <c r="H777" s="198"/>
      <c r="I777" s="198"/>
      <c r="J777" s="198">
        <v>5.5</v>
      </c>
      <c r="K777" s="198" t="s">
        <v>1227</v>
      </c>
      <c r="L777" s="197">
        <v>3.35</v>
      </c>
      <c r="M777" s="199" t="s">
        <v>1208</v>
      </c>
      <c r="N777" s="199">
        <f t="shared" si="1"/>
        <v>18.425000000000001</v>
      </c>
      <c r="O777" s="155"/>
      <c r="P777" s="193"/>
      <c r="Q777" s="229"/>
      <c r="R777" s="230"/>
      <c r="T777" s="190"/>
      <c r="U777" s="191"/>
    </row>
    <row r="778" spans="1:21">
      <c r="A778" s="192"/>
      <c r="B778" s="195" t="s">
        <v>1233</v>
      </c>
      <c r="C778" s="196"/>
      <c r="D778" s="197"/>
      <c r="E778" s="198"/>
      <c r="F778" s="197"/>
      <c r="G778" s="198"/>
      <c r="H778" s="198"/>
      <c r="I778" s="198"/>
      <c r="J778" s="198">
        <v>2.5</v>
      </c>
      <c r="K778" s="198" t="s">
        <v>1227</v>
      </c>
      <c r="L778" s="197">
        <v>3.78</v>
      </c>
      <c r="M778" s="199" t="s">
        <v>1208</v>
      </c>
      <c r="N778" s="199">
        <f t="shared" si="1"/>
        <v>9.4499999999999993</v>
      </c>
      <c r="O778" s="155"/>
      <c r="P778" s="193"/>
      <c r="Q778" s="229"/>
      <c r="R778" s="230"/>
      <c r="T778" s="190"/>
      <c r="U778" s="191"/>
    </row>
    <row r="779" spans="1:21">
      <c r="A779" s="192"/>
      <c r="B779" s="195" t="s">
        <v>1238</v>
      </c>
      <c r="C779" s="196"/>
      <c r="D779" s="197"/>
      <c r="E779" s="198"/>
      <c r="F779" s="199"/>
      <c r="G779" s="198"/>
      <c r="H779" s="198"/>
      <c r="I779" s="198"/>
      <c r="J779" s="198">
        <v>2</v>
      </c>
      <c r="K779" s="198" t="s">
        <v>1227</v>
      </c>
      <c r="L779" s="197">
        <v>3.35</v>
      </c>
      <c r="M779" s="199" t="s">
        <v>1208</v>
      </c>
      <c r="N779" s="199">
        <f t="shared" si="1"/>
        <v>6.7</v>
      </c>
      <c r="O779" s="155"/>
      <c r="P779" s="193"/>
      <c r="Q779" s="229"/>
      <c r="R779" s="230"/>
      <c r="T779" s="190"/>
      <c r="U779" s="191"/>
    </row>
    <row r="780" spans="1:21">
      <c r="A780" s="192"/>
      <c r="B780" s="195" t="s">
        <v>1239</v>
      </c>
      <c r="C780" s="196"/>
      <c r="D780" s="197"/>
      <c r="E780" s="198"/>
      <c r="F780" s="199"/>
      <c r="G780" s="198"/>
      <c r="H780" s="198"/>
      <c r="I780" s="198"/>
      <c r="J780" s="198">
        <v>2.5499999999999998</v>
      </c>
      <c r="K780" s="198" t="s">
        <v>1227</v>
      </c>
      <c r="L780" s="197">
        <v>8</v>
      </c>
      <c r="M780" s="199" t="s">
        <v>1208</v>
      </c>
      <c r="N780" s="199">
        <f t="shared" si="1"/>
        <v>20.399999999999999</v>
      </c>
      <c r="O780" s="155"/>
      <c r="P780" s="193"/>
      <c r="Q780" s="229"/>
      <c r="R780" s="230"/>
      <c r="T780" s="190"/>
      <c r="U780" s="191"/>
    </row>
    <row r="781" spans="1:21">
      <c r="A781" s="192"/>
      <c r="B781" s="195" t="s">
        <v>1241</v>
      </c>
      <c r="C781" s="196"/>
      <c r="D781" s="197"/>
      <c r="E781" s="198"/>
      <c r="F781" s="199"/>
      <c r="G781" s="198"/>
      <c r="H781" s="198">
        <v>1.1499999999999999</v>
      </c>
      <c r="I781" s="198" t="s">
        <v>1227</v>
      </c>
      <c r="J781" s="198">
        <v>11</v>
      </c>
      <c r="K781" s="198" t="s">
        <v>1227</v>
      </c>
      <c r="L781" s="197">
        <v>10</v>
      </c>
      <c r="M781" s="199" t="s">
        <v>1208</v>
      </c>
      <c r="N781" s="199">
        <f>J781*L781*H781</f>
        <v>126.49999999999999</v>
      </c>
      <c r="O781" s="155"/>
      <c r="P781" s="193"/>
      <c r="Q781" s="229"/>
      <c r="R781" s="230"/>
      <c r="T781" s="190"/>
      <c r="U781" s="191"/>
    </row>
    <row r="782" spans="1:21">
      <c r="A782" s="192"/>
      <c r="B782" s="195"/>
      <c r="C782" s="196"/>
      <c r="D782" s="197"/>
      <c r="E782" s="198"/>
      <c r="F782" s="199"/>
      <c r="G782" s="198"/>
      <c r="H782" s="198"/>
      <c r="I782" s="198"/>
      <c r="J782" s="198"/>
      <c r="K782" s="198"/>
      <c r="L782" s="197"/>
      <c r="M782" s="199"/>
      <c r="N782" s="201"/>
      <c r="O782" s="202"/>
      <c r="P782" s="193"/>
      <c r="Q782" s="229"/>
      <c r="R782" s="230"/>
      <c r="T782" s="190"/>
      <c r="U782" s="191"/>
    </row>
    <row r="783" spans="1:21">
      <c r="A783" s="192"/>
      <c r="B783" s="195"/>
      <c r="C783" s="196"/>
      <c r="D783" s="197"/>
      <c r="E783" s="198"/>
      <c r="F783" s="197"/>
      <c r="G783" s="198"/>
      <c r="H783" s="197"/>
      <c r="I783" s="198"/>
      <c r="J783" s="197"/>
      <c r="K783" s="198"/>
      <c r="L783" s="199" t="s">
        <v>1140</v>
      </c>
      <c r="M783" s="199" t="s">
        <v>1208</v>
      </c>
      <c r="N783" s="199">
        <f>SUM(N771:N781)</f>
        <v>450.09999999999997</v>
      </c>
      <c r="O783" s="155" t="s">
        <v>1240</v>
      </c>
      <c r="P783" s="193"/>
      <c r="Q783" s="229"/>
      <c r="R783" s="230"/>
      <c r="T783" s="190"/>
      <c r="U783" s="191"/>
    </row>
    <row r="784" spans="1:21">
      <c r="A784" s="192"/>
      <c r="B784" s="195"/>
      <c r="C784" s="196"/>
      <c r="D784" s="197"/>
      <c r="E784" s="198"/>
      <c r="F784" s="197"/>
      <c r="G784" s="198"/>
      <c r="H784" s="197"/>
      <c r="I784" s="198"/>
      <c r="J784" s="197"/>
      <c r="K784" s="198"/>
      <c r="L784" s="199"/>
      <c r="M784" s="199"/>
      <c r="N784" s="199"/>
      <c r="O784" s="217"/>
      <c r="P784" s="193"/>
      <c r="Q784" s="229"/>
      <c r="R784" s="230"/>
      <c r="T784" s="190"/>
      <c r="U784" s="191"/>
    </row>
    <row r="785" spans="1:21">
      <c r="A785" s="192"/>
      <c r="B785" s="195"/>
      <c r="C785" s="196"/>
      <c r="D785" s="197"/>
      <c r="E785" s="198"/>
      <c r="F785" s="197"/>
      <c r="G785" s="198"/>
      <c r="H785" s="197"/>
      <c r="I785" s="198"/>
      <c r="J785" s="197"/>
      <c r="K785" s="198"/>
      <c r="L785" s="199"/>
      <c r="M785" s="199"/>
      <c r="N785" s="199"/>
      <c r="O785" s="155"/>
      <c r="P785" s="193"/>
      <c r="Q785" s="229"/>
      <c r="R785" s="230"/>
      <c r="T785" s="190"/>
      <c r="U785" s="191"/>
    </row>
    <row r="786" spans="1:21">
      <c r="A786" s="192"/>
      <c r="B786" s="1277" t="s">
        <v>1209</v>
      </c>
      <c r="C786" s="1277"/>
      <c r="D786" s="1277"/>
      <c r="E786" s="1277"/>
      <c r="F786" s="1277"/>
      <c r="G786" s="1277"/>
      <c r="H786" s="1277"/>
      <c r="I786" s="1277"/>
      <c r="J786" s="1277"/>
      <c r="K786" s="1277"/>
      <c r="L786" s="1277"/>
      <c r="M786" s="1277"/>
      <c r="N786" s="1277"/>
      <c r="O786" s="1277"/>
      <c r="P786" s="1277"/>
      <c r="Q786" s="203">
        <v>0</v>
      </c>
      <c r="R786" s="204">
        <f>Q786</f>
        <v>0</v>
      </c>
      <c r="T786" s="1278"/>
      <c r="U786" s="1279"/>
    </row>
    <row r="787" spans="1:21">
      <c r="A787" s="192"/>
      <c r="B787" s="1277" t="e">
        <f>med</f>
        <v>#NAME?</v>
      </c>
      <c r="C787" s="1277"/>
      <c r="D787" s="1277"/>
      <c r="E787" s="1277"/>
      <c r="F787" s="1277"/>
      <c r="G787" s="1277"/>
      <c r="H787" s="1277"/>
      <c r="I787" s="1277"/>
      <c r="J787" s="1277"/>
      <c r="K787" s="1277"/>
      <c r="L787" s="1277"/>
      <c r="M787" s="1277"/>
      <c r="N787" s="1277"/>
      <c r="O787" s="1277"/>
      <c r="P787" s="205">
        <f>N783</f>
        <v>450.09999999999997</v>
      </c>
      <c r="Q787" s="203">
        <f>P787</f>
        <v>450.09999999999997</v>
      </c>
      <c r="R787" s="204">
        <f>Q787+R786</f>
        <v>450.09999999999997</v>
      </c>
      <c r="T787" s="1278"/>
      <c r="U787" s="1279"/>
    </row>
    <row r="788" spans="1:21" ht="18" customHeight="1">
      <c r="A788" s="187" t="e">
        <f>#REF!</f>
        <v>#REF!</v>
      </c>
      <c r="B788" s="1275" t="e">
        <f>IF(A788="","",VLOOKUP($A788,'[2]FDE-JUNHO-08'!$A$6:$D$3537,2,FALSE()))</f>
        <v>#REF!</v>
      </c>
      <c r="C788" s="1275"/>
      <c r="D788" s="1275"/>
      <c r="E788" s="1275"/>
      <c r="F788" s="1275"/>
      <c r="G788" s="1275"/>
      <c r="H788" s="1275"/>
      <c r="I788" s="1275"/>
      <c r="J788" s="1275"/>
      <c r="K788" s="1275"/>
      <c r="L788" s="1275"/>
      <c r="M788" s="1275"/>
      <c r="N788" s="1275"/>
      <c r="O788" s="1275"/>
      <c r="P788" s="188" t="e">
        <f>IF(A788="","",VLOOKUP($A788,'[2]FDE-JUNHO-08'!$A$6:$D$3537,3,FALSE()))</f>
        <v>#REF!</v>
      </c>
      <c r="Q788" s="189" t="s">
        <v>1205</v>
      </c>
      <c r="R788" s="189" t="s">
        <v>1206</v>
      </c>
      <c r="T788" s="190"/>
      <c r="U788" s="191"/>
    </row>
    <row r="789" spans="1:21" ht="13.5" customHeight="1">
      <c r="A789" s="224"/>
      <c r="B789" s="225"/>
      <c r="C789" s="225"/>
      <c r="D789" s="225"/>
      <c r="E789" s="225"/>
      <c r="F789" s="225"/>
      <c r="G789" s="225"/>
      <c r="H789" s="225"/>
      <c r="I789" s="225"/>
      <c r="J789" s="225"/>
      <c r="K789" s="225"/>
      <c r="L789" s="225"/>
      <c r="M789" s="225"/>
      <c r="N789" s="225"/>
      <c r="O789" s="225"/>
      <c r="P789" s="226"/>
      <c r="Q789" s="231"/>
      <c r="R789" s="232"/>
      <c r="T789" s="190"/>
      <c r="U789" s="191"/>
    </row>
    <row r="790" spans="1:21">
      <c r="A790" s="192"/>
      <c r="B790" s="195"/>
      <c r="C790" s="196"/>
      <c r="D790" s="197"/>
      <c r="E790" s="198"/>
      <c r="F790" s="199"/>
      <c r="G790" s="198"/>
      <c r="H790" s="198"/>
      <c r="I790" s="198"/>
      <c r="J790" s="198" t="s">
        <v>1242</v>
      </c>
      <c r="K790" s="198"/>
      <c r="L790" s="199" t="s">
        <v>1243</v>
      </c>
      <c r="M790" s="199"/>
      <c r="N790" s="209"/>
      <c r="O790" s="155"/>
      <c r="P790" s="193"/>
      <c r="Q790" s="229"/>
      <c r="R790" s="230"/>
      <c r="T790" s="190"/>
      <c r="U790" s="191"/>
    </row>
    <row r="791" spans="1:21">
      <c r="A791" s="192"/>
      <c r="B791" s="195" t="s">
        <v>1244</v>
      </c>
      <c r="C791" s="196"/>
      <c r="D791" s="197"/>
      <c r="E791" s="198"/>
      <c r="F791" s="199"/>
      <c r="G791" s="198"/>
      <c r="H791" s="197"/>
      <c r="I791" s="198"/>
      <c r="J791" s="197">
        <v>1</v>
      </c>
      <c r="K791" s="198" t="s">
        <v>1227</v>
      </c>
      <c r="L791" s="199">
        <v>275.76</v>
      </c>
      <c r="M791" s="199" t="s">
        <v>1208</v>
      </c>
      <c r="N791" s="199">
        <f>J791*L791</f>
        <v>275.76</v>
      </c>
      <c r="O791" s="155"/>
      <c r="P791" s="193"/>
      <c r="Q791" s="229"/>
      <c r="R791" s="230"/>
      <c r="T791" s="190"/>
      <c r="U791" s="191"/>
    </row>
    <row r="792" spans="1:21">
      <c r="A792" s="192"/>
      <c r="B792" s="195" t="s">
        <v>1245</v>
      </c>
      <c r="C792" s="196"/>
      <c r="D792" s="197"/>
      <c r="E792" s="198"/>
      <c r="F792" s="199"/>
      <c r="G792" s="198"/>
      <c r="H792" s="197"/>
      <c r="I792" s="198"/>
      <c r="J792" s="197">
        <v>1</v>
      </c>
      <c r="K792" s="198" t="s">
        <v>1227</v>
      </c>
      <c r="L792" s="199">
        <v>76.959999999999894</v>
      </c>
      <c r="M792" s="199" t="s">
        <v>1208</v>
      </c>
      <c r="N792" s="199">
        <f>J792*L792</f>
        <v>76.959999999999894</v>
      </c>
      <c r="O792" s="155"/>
      <c r="P792" s="193"/>
      <c r="Q792" s="229"/>
      <c r="R792" s="230"/>
      <c r="T792" s="190"/>
      <c r="U792" s="191"/>
    </row>
    <row r="793" spans="1:21">
      <c r="A793" s="192"/>
      <c r="B793" s="195" t="s">
        <v>1246</v>
      </c>
      <c r="C793" s="196"/>
      <c r="D793" s="197"/>
      <c r="E793" s="198"/>
      <c r="F793" s="199"/>
      <c r="G793" s="198"/>
      <c r="H793" s="197"/>
      <c r="I793" s="198"/>
      <c r="J793" s="197">
        <v>1</v>
      </c>
      <c r="K793" s="198" t="s">
        <v>1227</v>
      </c>
      <c r="L793" s="199">
        <v>58.64</v>
      </c>
      <c r="M793" s="199" t="s">
        <v>1208</v>
      </c>
      <c r="N793" s="199">
        <f>J793*L793</f>
        <v>58.64</v>
      </c>
      <c r="O793" s="155"/>
      <c r="P793" s="193"/>
      <c r="Q793" s="229"/>
      <c r="R793" s="230"/>
      <c r="T793" s="190"/>
      <c r="U793" s="191"/>
    </row>
    <row r="794" spans="1:21">
      <c r="A794" s="192"/>
      <c r="B794" s="195" t="s">
        <v>1247</v>
      </c>
      <c r="C794" s="196"/>
      <c r="D794" s="197"/>
      <c r="E794" s="198"/>
      <c r="F794" s="199"/>
      <c r="G794" s="198"/>
      <c r="H794" s="197"/>
      <c r="I794" s="198"/>
      <c r="J794" s="197">
        <v>20</v>
      </c>
      <c r="K794" s="198" t="s">
        <v>1227</v>
      </c>
      <c r="L794" s="199">
        <v>28.76</v>
      </c>
      <c r="M794" s="199" t="s">
        <v>1208</v>
      </c>
      <c r="N794" s="199">
        <f>J794*L794</f>
        <v>575.20000000000005</v>
      </c>
      <c r="O794" s="155"/>
      <c r="P794" s="193"/>
      <c r="Q794" s="229"/>
      <c r="R794" s="230"/>
      <c r="T794" s="190"/>
      <c r="U794" s="191"/>
    </row>
    <row r="795" spans="1:21">
      <c r="A795" s="192"/>
      <c r="B795" s="195"/>
      <c r="C795" s="196"/>
      <c r="D795" s="197"/>
      <c r="E795" s="198"/>
      <c r="F795" s="197"/>
      <c r="G795" s="198"/>
      <c r="H795" s="197"/>
      <c r="I795" s="198"/>
      <c r="J795" s="197"/>
      <c r="K795" s="198"/>
      <c r="L795" s="199"/>
      <c r="M795" s="199"/>
      <c r="N795" s="201"/>
      <c r="O795" s="202"/>
      <c r="P795" s="193"/>
      <c r="Q795" s="229"/>
      <c r="R795" s="230"/>
      <c r="T795" s="190"/>
      <c r="U795" s="191"/>
    </row>
    <row r="796" spans="1:21">
      <c r="A796" s="192"/>
      <c r="B796" s="195"/>
      <c r="C796" s="196"/>
      <c r="D796" s="197"/>
      <c r="E796" s="198"/>
      <c r="F796" s="197"/>
      <c r="G796" s="198"/>
      <c r="H796" s="197"/>
      <c r="I796" s="198"/>
      <c r="J796" s="197"/>
      <c r="K796" s="198"/>
      <c r="L796" s="199" t="s">
        <v>1140</v>
      </c>
      <c r="M796" s="199" t="s">
        <v>1208</v>
      </c>
      <c r="N796" s="199">
        <f>SUM(N791:N795)</f>
        <v>986.56</v>
      </c>
      <c r="O796" s="155" t="s">
        <v>1248</v>
      </c>
      <c r="P796" s="193"/>
      <c r="Q796" s="229"/>
      <c r="R796" s="230"/>
      <c r="T796" s="190"/>
      <c r="U796" s="191"/>
    </row>
    <row r="797" spans="1:21">
      <c r="A797" s="192"/>
      <c r="B797" s="195"/>
      <c r="C797" s="196"/>
      <c r="D797" s="197"/>
      <c r="E797" s="198"/>
      <c r="F797" s="197"/>
      <c r="G797" s="198"/>
      <c r="H797" s="197"/>
      <c r="I797" s="198"/>
      <c r="J797" s="197"/>
      <c r="K797" s="198"/>
      <c r="L797" s="199"/>
      <c r="M797" s="199"/>
      <c r="N797" s="199"/>
      <c r="O797" s="155"/>
      <c r="P797" s="193"/>
      <c r="Q797" s="229"/>
      <c r="R797" s="230"/>
      <c r="T797" s="190"/>
      <c r="U797" s="191"/>
    </row>
    <row r="798" spans="1:21">
      <c r="A798" s="192"/>
      <c r="B798" s="1277" t="s">
        <v>1209</v>
      </c>
      <c r="C798" s="1277"/>
      <c r="D798" s="1277"/>
      <c r="E798" s="1277"/>
      <c r="F798" s="1277"/>
      <c r="G798" s="1277"/>
      <c r="H798" s="1277"/>
      <c r="I798" s="1277"/>
      <c r="J798" s="1277"/>
      <c r="K798" s="1277"/>
      <c r="L798" s="1277"/>
      <c r="M798" s="1277"/>
      <c r="N798" s="1277"/>
      <c r="O798" s="1277"/>
      <c r="P798" s="1277"/>
      <c r="Q798" s="203">
        <v>0</v>
      </c>
      <c r="R798" s="204">
        <f>Q798</f>
        <v>0</v>
      </c>
      <c r="T798" s="1278"/>
      <c r="U798" s="1279"/>
    </row>
    <row r="799" spans="1:21">
      <c r="A799" s="192"/>
      <c r="B799" s="1277" t="e">
        <f>med</f>
        <v>#NAME?</v>
      </c>
      <c r="C799" s="1277"/>
      <c r="D799" s="1277"/>
      <c r="E799" s="1277"/>
      <c r="F799" s="1277"/>
      <c r="G799" s="1277"/>
      <c r="H799" s="1277"/>
      <c r="I799" s="1277"/>
      <c r="J799" s="1277"/>
      <c r="K799" s="1277"/>
      <c r="L799" s="1277"/>
      <c r="M799" s="1277"/>
      <c r="N799" s="1277"/>
      <c r="O799" s="1277"/>
      <c r="P799" s="205">
        <f>N796</f>
        <v>986.56</v>
      </c>
      <c r="Q799" s="203">
        <f>P799</f>
        <v>986.56</v>
      </c>
      <c r="R799" s="204">
        <f>Q799+R798</f>
        <v>986.56</v>
      </c>
      <c r="T799" s="1278"/>
      <c r="U799" s="1279"/>
    </row>
    <row r="800" spans="1:21" ht="18" customHeight="1">
      <c r="A800" s="187" t="e">
        <f>#REF!</f>
        <v>#REF!</v>
      </c>
      <c r="B800" s="1275" t="e">
        <f>IF(A800="","",VLOOKUP($A800,'[2]FDE-JUNHO-08'!$A$6:$D$3537,2,FALSE()))</f>
        <v>#REF!</v>
      </c>
      <c r="C800" s="1275"/>
      <c r="D800" s="1275"/>
      <c r="E800" s="1275"/>
      <c r="F800" s="1275"/>
      <c r="G800" s="1275"/>
      <c r="H800" s="1275"/>
      <c r="I800" s="1275"/>
      <c r="J800" s="1275"/>
      <c r="K800" s="1275"/>
      <c r="L800" s="1275"/>
      <c r="M800" s="1275"/>
      <c r="N800" s="1275"/>
      <c r="O800" s="1275"/>
      <c r="P800" s="188" t="e">
        <f>IF(A800="","",VLOOKUP($A800,'[2]FDE-JUNHO-08'!$A$6:$D$3537,3,FALSE()))</f>
        <v>#REF!</v>
      </c>
      <c r="Q800" s="189" t="s">
        <v>1205</v>
      </c>
      <c r="R800" s="189" t="s">
        <v>1206</v>
      </c>
      <c r="T800" s="190"/>
      <c r="U800" s="191"/>
    </row>
    <row r="801" spans="1:21" ht="13.5" customHeight="1">
      <c r="A801" s="224"/>
      <c r="B801" s="225"/>
      <c r="C801" s="225"/>
      <c r="D801" s="225"/>
      <c r="E801" s="225"/>
      <c r="F801" s="225"/>
      <c r="G801" s="225"/>
      <c r="H801" s="225"/>
      <c r="I801" s="225"/>
      <c r="J801" s="225"/>
      <c r="K801" s="225"/>
      <c r="L801" s="225"/>
      <c r="M801" s="225"/>
      <c r="N801" s="225"/>
      <c r="O801" s="225"/>
      <c r="P801" s="226"/>
      <c r="Q801" s="231"/>
      <c r="R801" s="232"/>
      <c r="T801" s="190"/>
      <c r="U801" s="191"/>
    </row>
    <row r="802" spans="1:21">
      <c r="A802" s="192"/>
      <c r="B802" s="195"/>
      <c r="C802" s="196"/>
      <c r="D802" s="197"/>
      <c r="E802" s="198"/>
      <c r="F802" s="199"/>
      <c r="G802" s="198"/>
      <c r="H802" s="198"/>
      <c r="I802" s="198"/>
      <c r="J802" s="198" t="s">
        <v>1242</v>
      </c>
      <c r="K802" s="198"/>
      <c r="L802" s="199" t="s">
        <v>1243</v>
      </c>
      <c r="M802" s="199"/>
      <c r="N802" s="209"/>
      <c r="O802" s="155"/>
      <c r="P802" s="193"/>
      <c r="Q802" s="200"/>
      <c r="R802" s="194"/>
      <c r="T802" s="190"/>
      <c r="U802" s="191"/>
    </row>
    <row r="803" spans="1:21">
      <c r="A803" s="192"/>
      <c r="B803" s="195" t="s">
        <v>1249</v>
      </c>
      <c r="C803" s="196"/>
      <c r="D803" s="197"/>
      <c r="E803" s="198"/>
      <c r="F803" s="199"/>
      <c r="G803" s="198"/>
      <c r="H803" s="197"/>
      <c r="I803" s="198"/>
      <c r="J803" s="198">
        <v>1</v>
      </c>
      <c r="K803" s="198" t="s">
        <v>1227</v>
      </c>
      <c r="L803" s="199" t="e">
        <f>#REF!</f>
        <v>#REF!</v>
      </c>
      <c r="M803" s="199" t="s">
        <v>1208</v>
      </c>
      <c r="N803" s="199" t="e">
        <f>J803*L803</f>
        <v>#REF!</v>
      </c>
      <c r="O803" s="155"/>
      <c r="P803" s="193"/>
      <c r="Q803" s="200"/>
      <c r="R803" s="194"/>
      <c r="T803" s="190"/>
      <c r="U803" s="191"/>
    </row>
    <row r="804" spans="1:21" ht="12" customHeight="1">
      <c r="A804" s="192"/>
      <c r="B804" s="195"/>
      <c r="C804" s="196"/>
      <c r="D804" s="197"/>
      <c r="E804" s="198"/>
      <c r="F804" s="199"/>
      <c r="G804" s="198"/>
      <c r="H804" s="197"/>
      <c r="I804" s="198"/>
      <c r="J804" s="198"/>
      <c r="K804" s="198"/>
      <c r="L804" s="199"/>
      <c r="M804" s="199"/>
      <c r="N804" s="199"/>
      <c r="O804" s="155"/>
      <c r="P804" s="193"/>
      <c r="Q804" s="200"/>
      <c r="R804" s="194"/>
      <c r="T804" s="190"/>
      <c r="U804" s="191"/>
    </row>
    <row r="805" spans="1:21">
      <c r="A805" s="192"/>
      <c r="B805" s="195"/>
      <c r="C805" s="196"/>
      <c r="D805" s="197"/>
      <c r="E805" s="198"/>
      <c r="F805" s="197"/>
      <c r="G805" s="198"/>
      <c r="H805" s="197"/>
      <c r="I805" s="198"/>
      <c r="J805" s="197"/>
      <c r="K805" s="198"/>
      <c r="L805" s="199" t="s">
        <v>1140</v>
      </c>
      <c r="M805" s="199" t="s">
        <v>1208</v>
      </c>
      <c r="N805" s="199" t="e">
        <f>SUM(N803:N804)</f>
        <v>#REF!</v>
      </c>
      <c r="O805" s="155" t="s">
        <v>1248</v>
      </c>
      <c r="P805" s="193"/>
      <c r="Q805" s="200"/>
      <c r="R805" s="194"/>
      <c r="T805" s="190"/>
      <c r="U805" s="191"/>
    </row>
    <row r="806" spans="1:21">
      <c r="A806" s="192"/>
      <c r="B806" s="195"/>
      <c r="C806" s="196"/>
      <c r="D806" s="197"/>
      <c r="E806" s="198"/>
      <c r="F806" s="197"/>
      <c r="G806" s="198"/>
      <c r="H806" s="197"/>
      <c r="I806" s="198"/>
      <c r="J806" s="197"/>
      <c r="K806" s="198"/>
      <c r="L806" s="199"/>
      <c r="M806" s="199"/>
      <c r="N806" s="199"/>
      <c r="O806" s="155"/>
      <c r="P806" s="193"/>
      <c r="Q806" s="200"/>
      <c r="R806" s="194"/>
      <c r="T806" s="190"/>
      <c r="U806" s="191"/>
    </row>
    <row r="807" spans="1:21">
      <c r="A807" s="192"/>
      <c r="B807" s="1277" t="s">
        <v>1209</v>
      </c>
      <c r="C807" s="1277"/>
      <c r="D807" s="1277"/>
      <c r="E807" s="1277"/>
      <c r="F807" s="1277"/>
      <c r="G807" s="1277"/>
      <c r="H807" s="1277"/>
      <c r="I807" s="1277"/>
      <c r="J807" s="1277"/>
      <c r="K807" s="1277"/>
      <c r="L807" s="1277"/>
      <c r="M807" s="1277"/>
      <c r="N807" s="1277"/>
      <c r="O807" s="1277"/>
      <c r="P807" s="1277"/>
      <c r="Q807" s="203">
        <v>0</v>
      </c>
      <c r="R807" s="204">
        <f>Q807</f>
        <v>0</v>
      </c>
      <c r="T807" s="1278"/>
      <c r="U807" s="1279"/>
    </row>
    <row r="808" spans="1:21">
      <c r="A808" s="206"/>
      <c r="B808" s="1277" t="e">
        <f>med</f>
        <v>#NAME?</v>
      </c>
      <c r="C808" s="1277"/>
      <c r="D808" s="1277"/>
      <c r="E808" s="1277"/>
      <c r="F808" s="1277"/>
      <c r="G808" s="1277"/>
      <c r="H808" s="1277"/>
      <c r="I808" s="1277"/>
      <c r="J808" s="1277"/>
      <c r="K808" s="1277"/>
      <c r="L808" s="1277"/>
      <c r="M808" s="1277"/>
      <c r="N808" s="1277"/>
      <c r="O808" s="1277"/>
      <c r="P808" s="205" t="e">
        <f>N805</f>
        <v>#REF!</v>
      </c>
      <c r="Q808" s="203" t="e">
        <f>P808</f>
        <v>#REF!</v>
      </c>
      <c r="R808" s="204" t="e">
        <f>Q808+R807</f>
        <v>#REF!</v>
      </c>
      <c r="T808" s="1278"/>
      <c r="U808" s="1279"/>
    </row>
    <row r="809" spans="1:21" ht="18" customHeight="1">
      <c r="A809" s="187" t="e">
        <f>#REF!</f>
        <v>#REF!</v>
      </c>
      <c r="B809" s="1275" t="e">
        <f>IF(A809="","",VLOOKUP($A809,'[2]FDE-JUNHO-08'!$A$6:$D$3537,2,FALSE()))</f>
        <v>#REF!</v>
      </c>
      <c r="C809" s="1275"/>
      <c r="D809" s="1275"/>
      <c r="E809" s="1275"/>
      <c r="F809" s="1275"/>
      <c r="G809" s="1275"/>
      <c r="H809" s="1275"/>
      <c r="I809" s="1275"/>
      <c r="J809" s="1275"/>
      <c r="K809" s="1275"/>
      <c r="L809" s="1275"/>
      <c r="M809" s="1275"/>
      <c r="N809" s="1275"/>
      <c r="O809" s="1275"/>
      <c r="P809" s="188" t="e">
        <f>IF(A809="","",VLOOKUP($A809,'[2]FDE-JUNHO-08'!$A$6:$D$3537,3,FALSE()))</f>
        <v>#REF!</v>
      </c>
      <c r="Q809" s="189" t="s">
        <v>1205</v>
      </c>
      <c r="R809" s="189" t="s">
        <v>1206</v>
      </c>
      <c r="T809" s="190"/>
      <c r="U809" s="191"/>
    </row>
    <row r="810" spans="1:21" ht="13.5" customHeight="1">
      <c r="A810" s="192"/>
      <c r="B810" s="195"/>
      <c r="C810" s="196"/>
      <c r="D810" s="197"/>
      <c r="E810" s="198"/>
      <c r="F810" s="197"/>
      <c r="G810" s="198"/>
      <c r="H810" s="197"/>
      <c r="I810" s="207"/>
      <c r="J810" s="207"/>
      <c r="K810" s="208"/>
      <c r="L810" s="209"/>
      <c r="M810" s="209"/>
      <c r="N810" s="209"/>
      <c r="O810" s="155"/>
      <c r="P810" s="193"/>
      <c r="Q810" s="229"/>
      <c r="R810" s="230"/>
      <c r="T810" s="190"/>
      <c r="U810" s="191"/>
    </row>
    <row r="811" spans="1:21" ht="13.5" customHeight="1">
      <c r="A811" s="192"/>
      <c r="B811" s="195" t="s">
        <v>1250</v>
      </c>
      <c r="C811" s="196"/>
      <c r="D811" s="197"/>
      <c r="E811" s="198"/>
      <c r="F811" s="198"/>
      <c r="G811" s="198"/>
      <c r="H811" s="198" t="s">
        <v>1251</v>
      </c>
      <c r="I811" s="198"/>
      <c r="J811" s="198" t="s">
        <v>1252</v>
      </c>
      <c r="K811" s="198"/>
      <c r="L811" s="198" t="s">
        <v>1253</v>
      </c>
      <c r="M811" s="199"/>
      <c r="N811" s="199"/>
      <c r="O811" s="155"/>
      <c r="P811" s="193"/>
      <c r="Q811" s="229"/>
      <c r="R811" s="230"/>
      <c r="T811" s="190"/>
      <c r="U811" s="191"/>
    </row>
    <row r="812" spans="1:21" ht="13.5" customHeight="1">
      <c r="A812" s="192"/>
      <c r="B812" s="195" t="s">
        <v>1254</v>
      </c>
      <c r="C812" s="196"/>
      <c r="D812" s="197"/>
      <c r="E812" s="198"/>
      <c r="F812" s="198"/>
      <c r="G812" s="198"/>
      <c r="H812" s="198">
        <v>1</v>
      </c>
      <c r="I812" s="198" t="s">
        <v>1255</v>
      </c>
      <c r="J812" s="198">
        <v>1.35</v>
      </c>
      <c r="K812" s="198" t="s">
        <v>1255</v>
      </c>
      <c r="L812" s="198">
        <v>1.3</v>
      </c>
      <c r="M812" s="199" t="s">
        <v>1208</v>
      </c>
      <c r="N812" s="199">
        <f t="shared" ref="N812:N820" si="2">L812*J812*H812</f>
        <v>1.7550000000000001</v>
      </c>
      <c r="O812" s="155"/>
      <c r="P812" s="193"/>
      <c r="Q812" s="229"/>
      <c r="R812" s="230"/>
      <c r="T812" s="190"/>
      <c r="U812" s="191"/>
    </row>
    <row r="813" spans="1:21" ht="13.5" customHeight="1">
      <c r="A813" s="192"/>
      <c r="B813" s="195" t="s">
        <v>1256</v>
      </c>
      <c r="C813" s="196"/>
      <c r="D813" s="197"/>
      <c r="E813" s="198"/>
      <c r="F813" s="198"/>
      <c r="G813" s="198"/>
      <c r="H813" s="198">
        <v>1</v>
      </c>
      <c r="I813" s="198" t="s">
        <v>1255</v>
      </c>
      <c r="J813" s="198">
        <v>0.65</v>
      </c>
      <c r="K813" s="198" t="s">
        <v>1255</v>
      </c>
      <c r="L813" s="198">
        <v>1.3</v>
      </c>
      <c r="M813" s="199" t="s">
        <v>1208</v>
      </c>
      <c r="N813" s="199">
        <f t="shared" si="2"/>
        <v>0.84500000000000008</v>
      </c>
      <c r="O813" s="155"/>
      <c r="P813" s="193"/>
      <c r="Q813" s="229"/>
      <c r="R813" s="230"/>
      <c r="T813" s="190"/>
      <c r="U813" s="191"/>
    </row>
    <row r="814" spans="1:21" ht="13.5" customHeight="1">
      <c r="A814" s="192"/>
      <c r="B814" s="195" t="s">
        <v>1257</v>
      </c>
      <c r="C814" s="196"/>
      <c r="D814" s="197"/>
      <c r="E814" s="198"/>
      <c r="F814" s="198"/>
      <c r="G814" s="198"/>
      <c r="H814" s="198">
        <v>1</v>
      </c>
      <c r="I814" s="198" t="s">
        <v>1255</v>
      </c>
      <c r="J814" s="198">
        <v>0.65</v>
      </c>
      <c r="K814" s="198" t="s">
        <v>1255</v>
      </c>
      <c r="L814" s="198">
        <v>1.1499999999999999</v>
      </c>
      <c r="M814" s="199" t="s">
        <v>1208</v>
      </c>
      <c r="N814" s="199">
        <f t="shared" si="2"/>
        <v>0.74749999999999994</v>
      </c>
      <c r="O814" s="155"/>
      <c r="P814" s="193"/>
      <c r="Q814" s="229"/>
      <c r="R814" s="230"/>
      <c r="T814" s="190"/>
      <c r="U814" s="191"/>
    </row>
    <row r="815" spans="1:21">
      <c r="A815" s="192"/>
      <c r="B815" s="195" t="s">
        <v>1258</v>
      </c>
      <c r="C815" s="196"/>
      <c r="D815" s="197"/>
      <c r="E815" s="198"/>
      <c r="F815" s="198"/>
      <c r="G815" s="198"/>
      <c r="H815" s="198">
        <v>6</v>
      </c>
      <c r="I815" s="198" t="s">
        <v>1255</v>
      </c>
      <c r="J815" s="198">
        <v>1.85</v>
      </c>
      <c r="K815" s="198" t="s">
        <v>1255</v>
      </c>
      <c r="L815" s="198">
        <v>1.3</v>
      </c>
      <c r="M815" s="199" t="s">
        <v>1208</v>
      </c>
      <c r="N815" s="199">
        <f t="shared" si="2"/>
        <v>14.430000000000001</v>
      </c>
      <c r="O815" s="155"/>
      <c r="P815" s="193"/>
      <c r="Q815" s="229"/>
      <c r="R815" s="230"/>
      <c r="T815" s="190"/>
      <c r="U815" s="191"/>
    </row>
    <row r="816" spans="1:21">
      <c r="A816" s="192"/>
      <c r="B816" s="195" t="s">
        <v>1259</v>
      </c>
      <c r="C816" s="196"/>
      <c r="D816" s="197"/>
      <c r="E816" s="198"/>
      <c r="F816" s="198"/>
      <c r="G816" s="198"/>
      <c r="H816" s="198">
        <v>2</v>
      </c>
      <c r="I816" s="198" t="s">
        <v>1255</v>
      </c>
      <c r="J816" s="198">
        <v>1.3</v>
      </c>
      <c r="K816" s="198" t="s">
        <v>1255</v>
      </c>
      <c r="L816" s="198">
        <v>1.3</v>
      </c>
      <c r="M816" s="199" t="s">
        <v>1208</v>
      </c>
      <c r="N816" s="199">
        <f t="shared" si="2"/>
        <v>3.3800000000000003</v>
      </c>
      <c r="O816" s="155"/>
      <c r="P816" s="193"/>
      <c r="Q816" s="229"/>
      <c r="R816" s="230"/>
      <c r="T816" s="190"/>
      <c r="U816" s="191"/>
    </row>
    <row r="817" spans="1:21">
      <c r="A817" s="192"/>
      <c r="B817" s="195" t="s">
        <v>1260</v>
      </c>
      <c r="C817" s="196"/>
      <c r="D817" s="197"/>
      <c r="E817" s="198"/>
      <c r="F817" s="198"/>
      <c r="G817" s="198"/>
      <c r="H817" s="198">
        <v>1</v>
      </c>
      <c r="I817" s="198" t="s">
        <v>1255</v>
      </c>
      <c r="J817" s="198">
        <v>1.3</v>
      </c>
      <c r="K817" s="198" t="s">
        <v>1255</v>
      </c>
      <c r="L817" s="198">
        <v>1.3</v>
      </c>
      <c r="M817" s="199" t="s">
        <v>1208</v>
      </c>
      <c r="N817" s="199">
        <f t="shared" si="2"/>
        <v>1.6900000000000002</v>
      </c>
      <c r="O817" s="155"/>
      <c r="P817" s="193"/>
      <c r="Q817" s="229"/>
      <c r="R817" s="230"/>
      <c r="T817" s="190"/>
      <c r="U817" s="191"/>
    </row>
    <row r="818" spans="1:21">
      <c r="A818" s="192"/>
      <c r="B818" s="195" t="s">
        <v>1261</v>
      </c>
      <c r="C818" s="196"/>
      <c r="D818" s="197"/>
      <c r="E818" s="198"/>
      <c r="F818" s="198"/>
      <c r="G818" s="198"/>
      <c r="H818" s="198">
        <v>1</v>
      </c>
      <c r="I818" s="198" t="s">
        <v>1255</v>
      </c>
      <c r="J818" s="198">
        <v>1.85</v>
      </c>
      <c r="K818" s="198" t="s">
        <v>1255</v>
      </c>
      <c r="L818" s="198">
        <v>1.3</v>
      </c>
      <c r="M818" s="199" t="s">
        <v>1208</v>
      </c>
      <c r="N818" s="199">
        <f t="shared" si="2"/>
        <v>2.4050000000000002</v>
      </c>
      <c r="O818" s="155"/>
      <c r="P818" s="193"/>
      <c r="Q818" s="213"/>
      <c r="R818" s="211"/>
      <c r="T818" s="190"/>
      <c r="U818" s="191"/>
    </row>
    <row r="819" spans="1:21">
      <c r="A819" s="192"/>
      <c r="B819" s="195" t="s">
        <v>1261</v>
      </c>
      <c r="C819" s="196"/>
      <c r="D819" s="197"/>
      <c r="E819" s="198"/>
      <c r="F819" s="198"/>
      <c r="G819" s="198"/>
      <c r="H819" s="198">
        <v>1</v>
      </c>
      <c r="I819" s="198" t="s">
        <v>1255</v>
      </c>
      <c r="J819" s="198">
        <v>0.75</v>
      </c>
      <c r="K819" s="198" t="s">
        <v>1255</v>
      </c>
      <c r="L819" s="198">
        <v>1.3</v>
      </c>
      <c r="M819" s="199" t="s">
        <v>1208</v>
      </c>
      <c r="N819" s="199">
        <f t="shared" si="2"/>
        <v>0.97500000000000009</v>
      </c>
      <c r="O819" s="155"/>
      <c r="P819" s="193"/>
      <c r="Q819" s="229"/>
      <c r="R819" s="230"/>
      <c r="T819" s="190"/>
      <c r="U819" s="191"/>
    </row>
    <row r="820" spans="1:21">
      <c r="A820" s="192"/>
      <c r="B820" s="195" t="s">
        <v>1262</v>
      </c>
      <c r="C820" s="196"/>
      <c r="D820" s="197"/>
      <c r="E820" s="198"/>
      <c r="F820" s="198"/>
      <c r="G820" s="198"/>
      <c r="H820" s="198">
        <v>6</v>
      </c>
      <c r="I820" s="198" t="s">
        <v>1255</v>
      </c>
      <c r="J820" s="198">
        <v>0.7</v>
      </c>
      <c r="K820" s="198" t="s">
        <v>1255</v>
      </c>
      <c r="L820" s="198">
        <v>0.7</v>
      </c>
      <c r="M820" s="199" t="s">
        <v>1208</v>
      </c>
      <c r="N820" s="199">
        <f t="shared" si="2"/>
        <v>2.9399999999999995</v>
      </c>
      <c r="O820" s="155"/>
      <c r="P820" s="193"/>
      <c r="Q820" s="229"/>
      <c r="R820" s="230"/>
      <c r="T820" s="190"/>
      <c r="U820" s="191"/>
    </row>
    <row r="821" spans="1:21">
      <c r="A821" s="192"/>
      <c r="B821" s="195"/>
      <c r="C821" s="196"/>
      <c r="D821" s="197"/>
      <c r="E821" s="198"/>
      <c r="F821" s="198"/>
      <c r="G821" s="198"/>
      <c r="H821" s="198"/>
      <c r="I821" s="198"/>
      <c r="J821" s="198"/>
      <c r="K821" s="198"/>
      <c r="L821" s="198"/>
      <c r="M821" s="199"/>
      <c r="N821" s="199"/>
      <c r="O821" s="155"/>
      <c r="P821" s="193"/>
      <c r="Q821" s="229"/>
      <c r="R821" s="230"/>
      <c r="T821" s="190"/>
      <c r="U821" s="191"/>
    </row>
    <row r="822" spans="1:21">
      <c r="A822" s="192"/>
      <c r="B822" s="195" t="s">
        <v>1263</v>
      </c>
      <c r="C822" s="196"/>
      <c r="D822" s="197"/>
      <c r="E822" s="198"/>
      <c r="F822" s="198"/>
      <c r="G822" s="198"/>
      <c r="H822" s="198"/>
      <c r="I822" s="198"/>
      <c r="J822" s="198"/>
      <c r="K822" s="198"/>
      <c r="L822" s="198"/>
      <c r="M822" s="199"/>
      <c r="N822" s="199"/>
      <c r="O822" s="155"/>
      <c r="P822" s="193"/>
      <c r="Q822" s="213"/>
      <c r="R822" s="211"/>
      <c r="T822" s="190"/>
      <c r="U822" s="191"/>
    </row>
    <row r="823" spans="1:21" ht="13.5" customHeight="1">
      <c r="A823" s="192"/>
      <c r="B823" s="195" t="s">
        <v>1264</v>
      </c>
      <c r="C823" s="196"/>
      <c r="D823" s="197"/>
      <c r="E823" s="198"/>
      <c r="F823" s="198"/>
      <c r="G823" s="198"/>
      <c r="H823" s="198">
        <v>1</v>
      </c>
      <c r="I823" s="198" t="s">
        <v>1255</v>
      </c>
      <c r="J823" s="198">
        <v>4.8</v>
      </c>
      <c r="K823" s="198" t="s">
        <v>1255</v>
      </c>
      <c r="L823" s="198">
        <v>2.35</v>
      </c>
      <c r="M823" s="199" t="s">
        <v>1208</v>
      </c>
      <c r="N823" s="199">
        <f>L823*J823*H823</f>
        <v>11.28</v>
      </c>
      <c r="O823" s="155"/>
      <c r="P823" s="193"/>
      <c r="Q823" s="229"/>
      <c r="R823" s="230"/>
      <c r="T823" s="190"/>
      <c r="U823" s="191"/>
    </row>
    <row r="824" spans="1:21" ht="13.5" customHeight="1">
      <c r="A824" s="192"/>
      <c r="B824" s="195" t="s">
        <v>1265</v>
      </c>
      <c r="C824" s="196"/>
      <c r="D824" s="197"/>
      <c r="E824" s="198"/>
      <c r="F824" s="198"/>
      <c r="G824" s="198"/>
      <c r="H824" s="198">
        <v>1</v>
      </c>
      <c r="I824" s="198" t="s">
        <v>1255</v>
      </c>
      <c r="J824" s="198">
        <v>1</v>
      </c>
      <c r="K824" s="198" t="s">
        <v>1255</v>
      </c>
      <c r="L824" s="198">
        <v>1.8</v>
      </c>
      <c r="M824" s="199" t="s">
        <v>1208</v>
      </c>
      <c r="N824" s="199">
        <f>L824*J824*H824</f>
        <v>1.8</v>
      </c>
      <c r="O824" s="155"/>
      <c r="P824" s="193"/>
      <c r="Q824" s="229"/>
      <c r="R824" s="230"/>
      <c r="T824" s="190"/>
      <c r="U824" s="191"/>
    </row>
    <row r="825" spans="1:21" ht="13.5" customHeight="1">
      <c r="A825" s="192"/>
      <c r="B825" s="195" t="s">
        <v>1266</v>
      </c>
      <c r="C825" s="196"/>
      <c r="D825" s="197"/>
      <c r="E825" s="198"/>
      <c r="F825" s="198"/>
      <c r="G825" s="198"/>
      <c r="H825" s="198">
        <v>1</v>
      </c>
      <c r="I825" s="198" t="s">
        <v>1255</v>
      </c>
      <c r="J825" s="198">
        <v>3</v>
      </c>
      <c r="K825" s="198" t="s">
        <v>1255</v>
      </c>
      <c r="L825" s="198">
        <v>1.5</v>
      </c>
      <c r="M825" s="199" t="s">
        <v>1208</v>
      </c>
      <c r="N825" s="199">
        <f>L825*J825*H825</f>
        <v>4.5</v>
      </c>
      <c r="O825" s="155"/>
      <c r="P825" s="193"/>
      <c r="Q825" s="229"/>
      <c r="R825" s="230"/>
      <c r="T825" s="190"/>
      <c r="U825" s="191"/>
    </row>
    <row r="826" spans="1:21" ht="13.5" customHeight="1">
      <c r="A826" s="192"/>
      <c r="B826" s="195" t="s">
        <v>1267</v>
      </c>
      <c r="C826" s="196"/>
      <c r="D826" s="197"/>
      <c r="E826" s="198"/>
      <c r="F826" s="198"/>
      <c r="G826" s="198"/>
      <c r="H826" s="198">
        <v>1</v>
      </c>
      <c r="I826" s="198" t="s">
        <v>1255</v>
      </c>
      <c r="J826" s="198">
        <v>3</v>
      </c>
      <c r="K826" s="198" t="s">
        <v>1255</v>
      </c>
      <c r="L826" s="198">
        <v>1.8</v>
      </c>
      <c r="M826" s="199" t="s">
        <v>1208</v>
      </c>
      <c r="N826" s="199">
        <f>L826*J826*H826</f>
        <v>5.4</v>
      </c>
      <c r="O826" s="155"/>
      <c r="P826" s="193"/>
      <c r="Q826" s="229"/>
      <c r="R826" s="230"/>
      <c r="T826" s="190"/>
      <c r="U826" s="191"/>
    </row>
    <row r="827" spans="1:21">
      <c r="A827" s="192"/>
      <c r="B827" s="195" t="s">
        <v>1268</v>
      </c>
      <c r="C827" s="196"/>
      <c r="D827" s="197"/>
      <c r="E827" s="198"/>
      <c r="F827" s="198"/>
      <c r="G827" s="198"/>
      <c r="H827" s="198">
        <v>1</v>
      </c>
      <c r="I827" s="198" t="s">
        <v>1255</v>
      </c>
      <c r="J827" s="198">
        <v>7.68</v>
      </c>
      <c r="K827" s="198" t="s">
        <v>1255</v>
      </c>
      <c r="L827" s="198">
        <v>7.68</v>
      </c>
      <c r="M827" s="199" t="s">
        <v>1208</v>
      </c>
      <c r="N827" s="199">
        <f>L827*J827*H827</f>
        <v>58.982399999999998</v>
      </c>
      <c r="O827" s="155"/>
      <c r="P827" s="193"/>
      <c r="Q827" s="229"/>
      <c r="R827" s="230"/>
      <c r="T827" s="190"/>
      <c r="U827" s="191"/>
    </row>
    <row r="828" spans="1:21">
      <c r="A828" s="192"/>
      <c r="B828" s="195"/>
      <c r="C828" s="196"/>
      <c r="D828" s="197"/>
      <c r="E828" s="198"/>
      <c r="F828" s="197"/>
      <c r="G828" s="198"/>
      <c r="H828" s="197"/>
      <c r="I828" s="198"/>
      <c r="J828" s="197"/>
      <c r="K828" s="198"/>
      <c r="L828" s="199"/>
      <c r="M828" s="199"/>
      <c r="N828" s="201"/>
      <c r="O828" s="202"/>
      <c r="P828" s="193"/>
      <c r="Q828" s="229"/>
      <c r="R828" s="230"/>
      <c r="T828" s="190"/>
      <c r="U828" s="191"/>
    </row>
    <row r="829" spans="1:21">
      <c r="A829" s="192"/>
      <c r="B829" s="195"/>
      <c r="C829" s="196"/>
      <c r="D829" s="197"/>
      <c r="E829" s="198"/>
      <c r="F829" s="197"/>
      <c r="G829" s="198"/>
      <c r="H829" s="197"/>
      <c r="I829" s="198"/>
      <c r="J829" s="197"/>
      <c r="K829" s="198"/>
      <c r="L829" s="199" t="s">
        <v>1140</v>
      </c>
      <c r="M829" s="199" t="s">
        <v>1208</v>
      </c>
      <c r="N829" s="199">
        <f>SUM(N811:N828)</f>
        <v>111.12989999999999</v>
      </c>
      <c r="O829" s="155" t="e">
        <f>P809</f>
        <v>#REF!</v>
      </c>
      <c r="P829" s="193"/>
      <c r="Q829" s="229"/>
      <c r="R829" s="230"/>
      <c r="T829" s="190"/>
      <c r="U829" s="191"/>
    </row>
    <row r="830" spans="1:21">
      <c r="A830" s="192"/>
      <c r="B830" s="195"/>
      <c r="C830" s="196"/>
      <c r="D830" s="197"/>
      <c r="E830" s="198"/>
      <c r="F830" s="197"/>
      <c r="G830" s="198"/>
      <c r="H830" s="197"/>
      <c r="I830" s="198"/>
      <c r="J830" s="197"/>
      <c r="K830" s="198"/>
      <c r="L830" s="199"/>
      <c r="M830" s="199"/>
      <c r="N830" s="199"/>
      <c r="O830" s="155"/>
      <c r="P830" s="193"/>
      <c r="Q830" s="229"/>
      <c r="R830" s="230"/>
      <c r="T830" s="190"/>
      <c r="U830" s="191"/>
    </row>
    <row r="831" spans="1:21">
      <c r="A831" s="192"/>
      <c r="B831" s="195"/>
      <c r="C831" s="196"/>
      <c r="D831" s="197"/>
      <c r="E831" s="198"/>
      <c r="F831" s="197"/>
      <c r="G831" s="198"/>
      <c r="H831" s="197"/>
      <c r="I831" s="199"/>
      <c r="J831" s="197"/>
      <c r="K831" s="197"/>
      <c r="L831" s="199"/>
      <c r="M831" s="199"/>
      <c r="N831" s="199"/>
      <c r="O831" s="155"/>
      <c r="P831" s="193"/>
      <c r="Q831" s="229"/>
      <c r="R831" s="230"/>
      <c r="T831" s="190"/>
      <c r="U831" s="191"/>
    </row>
    <row r="832" spans="1:21">
      <c r="A832" s="192"/>
      <c r="B832" s="195"/>
      <c r="C832" s="196"/>
      <c r="D832" s="197"/>
      <c r="E832" s="198"/>
      <c r="F832" s="197"/>
      <c r="G832" s="198"/>
      <c r="H832" s="197"/>
      <c r="I832" s="207"/>
      <c r="J832" s="207"/>
      <c r="K832" s="208"/>
      <c r="L832" s="209"/>
      <c r="M832" s="209"/>
      <c r="N832" s="209"/>
      <c r="O832" s="155"/>
      <c r="P832" s="193"/>
      <c r="Q832" s="213"/>
      <c r="R832" s="211"/>
      <c r="T832" s="190"/>
      <c r="U832" s="191"/>
    </row>
    <row r="833" spans="1:21">
      <c r="A833" s="192"/>
      <c r="B833" s="1277" t="s">
        <v>1209</v>
      </c>
      <c r="C833" s="1277"/>
      <c r="D833" s="1277"/>
      <c r="E833" s="1277"/>
      <c r="F833" s="1277"/>
      <c r="G833" s="1277"/>
      <c r="H833" s="1277"/>
      <c r="I833" s="1277"/>
      <c r="J833" s="1277"/>
      <c r="K833" s="1277"/>
      <c r="L833" s="1277"/>
      <c r="M833" s="1277"/>
      <c r="N833" s="1277"/>
      <c r="O833" s="1277"/>
      <c r="P833" s="1277"/>
      <c r="Q833" s="203">
        <v>0</v>
      </c>
      <c r="R833" s="204">
        <f>Q833</f>
        <v>0</v>
      </c>
      <c r="T833" s="1278"/>
      <c r="U833" s="1279"/>
    </row>
    <row r="834" spans="1:21">
      <c r="A834" s="192"/>
      <c r="B834" s="1277" t="e">
        <f>med</f>
        <v>#NAME?</v>
      </c>
      <c r="C834" s="1277"/>
      <c r="D834" s="1277"/>
      <c r="E834" s="1277"/>
      <c r="F834" s="1277"/>
      <c r="G834" s="1277"/>
      <c r="H834" s="1277"/>
      <c r="I834" s="1277"/>
      <c r="J834" s="1277"/>
      <c r="K834" s="1277"/>
      <c r="L834" s="1277"/>
      <c r="M834" s="1277"/>
      <c r="N834" s="1277"/>
      <c r="O834" s="1277"/>
      <c r="P834" s="205">
        <f>N829</f>
        <v>111.12989999999999</v>
      </c>
      <c r="Q834" s="203">
        <f>P834</f>
        <v>111.12989999999999</v>
      </c>
      <c r="R834" s="204">
        <f>Q834+R833</f>
        <v>111.12989999999999</v>
      </c>
      <c r="T834" s="1278"/>
      <c r="U834" s="1279"/>
    </row>
    <row r="835" spans="1:21" ht="18" customHeight="1">
      <c r="A835" s="187">
        <f>PLANILHA!B112</f>
        <v>40146</v>
      </c>
      <c r="B835" s="1275" t="e">
        <f>IF(A835="","",VLOOKUP($A835,'[2]FDE-JUNHO-08'!$A$6:$D$3537,2,FALSE()))</f>
        <v>#N/A</v>
      </c>
      <c r="C835" s="1275"/>
      <c r="D835" s="1275"/>
      <c r="E835" s="1275"/>
      <c r="F835" s="1275"/>
      <c r="G835" s="1275"/>
      <c r="H835" s="1275"/>
      <c r="I835" s="1275"/>
      <c r="J835" s="1275"/>
      <c r="K835" s="1275"/>
      <c r="L835" s="1275"/>
      <c r="M835" s="1275"/>
      <c r="N835" s="1275"/>
      <c r="O835" s="1275"/>
      <c r="P835" s="188" t="e">
        <f>IF(A835="","",VLOOKUP($A835,'[2]FDE-JUNHO-08'!$A$6:$D$3537,3,FALSE()))</f>
        <v>#N/A</v>
      </c>
      <c r="Q835" s="189" t="s">
        <v>1205</v>
      </c>
      <c r="R835" s="189" t="s">
        <v>1206</v>
      </c>
      <c r="T835" s="190"/>
      <c r="U835" s="191"/>
    </row>
    <row r="836" spans="1:21">
      <c r="A836" s="192"/>
      <c r="B836" s="195"/>
      <c r="C836" s="196"/>
      <c r="D836" s="197"/>
      <c r="E836" s="198"/>
      <c r="F836" s="197"/>
      <c r="G836" s="198"/>
      <c r="H836" s="199"/>
      <c r="I836" s="198"/>
      <c r="J836" s="198"/>
      <c r="K836" s="198"/>
      <c r="L836" s="198"/>
      <c r="M836" s="209"/>
      <c r="N836" s="209"/>
      <c r="O836" s="155"/>
      <c r="P836" s="193"/>
      <c r="Q836" s="200"/>
      <c r="R836" s="194"/>
      <c r="T836" s="190"/>
      <c r="U836" s="191"/>
    </row>
    <row r="837" spans="1:21">
      <c r="A837" s="192"/>
      <c r="B837" s="195" t="s">
        <v>1269</v>
      </c>
      <c r="C837" s="196"/>
      <c r="D837" s="197"/>
      <c r="E837" s="198"/>
      <c r="F837" s="199"/>
      <c r="G837" s="198"/>
      <c r="H837" s="197"/>
      <c r="I837" s="198"/>
      <c r="J837" s="197"/>
      <c r="K837" s="198"/>
      <c r="L837" s="197"/>
      <c r="M837" s="199" t="s">
        <v>1208</v>
      </c>
      <c r="N837" s="199">
        <f>N849*100</f>
        <v>89</v>
      </c>
      <c r="O837" s="155"/>
      <c r="P837" s="193"/>
      <c r="Q837" s="200"/>
      <c r="R837" s="194"/>
      <c r="T837" s="190"/>
      <c r="U837" s="191"/>
    </row>
    <row r="838" spans="1:21">
      <c r="A838" s="192"/>
      <c r="B838" s="195" t="s">
        <v>1270</v>
      </c>
      <c r="C838" s="196"/>
      <c r="D838" s="197"/>
      <c r="E838" s="198"/>
      <c r="F838" s="197"/>
      <c r="G838" s="198"/>
      <c r="H838" s="197"/>
      <c r="I838" s="198"/>
      <c r="J838" s="197"/>
      <c r="K838" s="198"/>
      <c r="L838" s="197"/>
      <c r="M838" s="199" t="s">
        <v>1208</v>
      </c>
      <c r="N838" s="199">
        <v>18</v>
      </c>
      <c r="O838" s="217"/>
      <c r="P838" s="193"/>
      <c r="Q838" s="200"/>
      <c r="R838" s="194"/>
      <c r="T838" s="190"/>
      <c r="U838" s="191"/>
    </row>
    <row r="839" spans="1:21">
      <c r="A839" s="192"/>
      <c r="B839" s="195" t="s">
        <v>1271</v>
      </c>
      <c r="C839" s="196"/>
      <c r="D839" s="197"/>
      <c r="E839" s="198"/>
      <c r="F839" s="197"/>
      <c r="G839" s="198"/>
      <c r="H839" s="197"/>
      <c r="I839" s="198"/>
      <c r="J839" s="197"/>
      <c r="K839" s="198"/>
      <c r="L839" s="197"/>
      <c r="M839" s="199" t="s">
        <v>1208</v>
      </c>
      <c r="N839" s="199">
        <v>56</v>
      </c>
      <c r="O839" s="217"/>
      <c r="P839" s="193"/>
      <c r="Q839" s="200"/>
      <c r="R839" s="194"/>
      <c r="T839" s="190"/>
      <c r="U839" s="191"/>
    </row>
    <row r="840" spans="1:21">
      <c r="A840" s="192"/>
      <c r="B840" s="195" t="s">
        <v>1272</v>
      </c>
      <c r="C840" s="196"/>
      <c r="D840" s="197"/>
      <c r="E840" s="198"/>
      <c r="F840" s="197"/>
      <c r="G840" s="198"/>
      <c r="H840" s="197"/>
      <c r="I840" s="198"/>
      <c r="J840" s="197"/>
      <c r="K840" s="198"/>
      <c r="L840" s="197"/>
      <c r="M840" s="199" t="s">
        <v>1208</v>
      </c>
      <c r="N840" s="199">
        <f>1.5*1.5*1.2*80</f>
        <v>215.99999999999997</v>
      </c>
      <c r="O840" s="217"/>
      <c r="P840" s="193"/>
      <c r="Q840" s="200"/>
      <c r="R840" s="194"/>
      <c r="T840" s="190"/>
      <c r="U840" s="191"/>
    </row>
    <row r="841" spans="1:21">
      <c r="A841" s="192"/>
      <c r="B841" s="195" t="s">
        <v>1273</v>
      </c>
      <c r="C841" s="196"/>
      <c r="D841" s="197"/>
      <c r="E841" s="198"/>
      <c r="F841" s="197"/>
      <c r="G841" s="198"/>
      <c r="H841" s="197"/>
      <c r="I841" s="198"/>
      <c r="J841" s="197"/>
      <c r="K841" s="198"/>
      <c r="L841" s="197"/>
      <c r="M841" s="199" t="s">
        <v>1208</v>
      </c>
      <c r="N841" s="199">
        <v>66</v>
      </c>
      <c r="O841" s="217"/>
      <c r="P841" s="193"/>
      <c r="Q841" s="200"/>
      <c r="R841" s="194"/>
      <c r="T841" s="190"/>
      <c r="U841" s="191"/>
    </row>
    <row r="842" spans="1:21">
      <c r="A842" s="192"/>
      <c r="B842" s="195"/>
      <c r="C842" s="196"/>
      <c r="D842" s="197"/>
      <c r="E842" s="198"/>
      <c r="F842" s="197"/>
      <c r="G842" s="198"/>
      <c r="H842" s="199"/>
      <c r="I842" s="198"/>
      <c r="J842" s="198"/>
      <c r="K842" s="198"/>
      <c r="L842" s="198"/>
      <c r="M842" s="199"/>
      <c r="N842" s="201"/>
      <c r="O842" s="202"/>
      <c r="P842" s="193"/>
      <c r="Q842" s="200"/>
      <c r="R842" s="194"/>
      <c r="T842" s="190"/>
      <c r="U842" s="191"/>
    </row>
    <row r="843" spans="1:21">
      <c r="A843" s="192"/>
      <c r="B843" s="195"/>
      <c r="C843" s="196"/>
      <c r="D843" s="197"/>
      <c r="E843" s="198"/>
      <c r="F843" s="197"/>
      <c r="G843" s="198"/>
      <c r="H843" s="197"/>
      <c r="I843" s="198"/>
      <c r="J843" s="197"/>
      <c r="K843" s="198"/>
      <c r="L843" s="199" t="s">
        <v>1140</v>
      </c>
      <c r="M843" s="199" t="s">
        <v>1208</v>
      </c>
      <c r="N843" s="199">
        <f>SUM(N836:N841)</f>
        <v>445</v>
      </c>
      <c r="O843" s="155" t="e">
        <f>P835</f>
        <v>#N/A</v>
      </c>
      <c r="P843" s="193"/>
      <c r="Q843" s="200"/>
      <c r="R843" s="194"/>
      <c r="T843" s="190"/>
      <c r="U843" s="191"/>
    </row>
    <row r="844" spans="1:21">
      <c r="A844" s="192"/>
      <c r="B844" s="195"/>
      <c r="C844" s="196"/>
      <c r="D844" s="197"/>
      <c r="E844" s="198"/>
      <c r="F844" s="199"/>
      <c r="G844" s="198"/>
      <c r="H844" s="197"/>
      <c r="I844" s="198"/>
      <c r="J844" s="197"/>
      <c r="K844" s="198"/>
      <c r="L844" s="199"/>
      <c r="M844" s="199"/>
      <c r="N844" s="199"/>
      <c r="O844" s="155"/>
      <c r="P844" s="193"/>
      <c r="Q844" s="200"/>
      <c r="R844" s="194"/>
      <c r="T844" s="190"/>
      <c r="U844" s="191"/>
    </row>
    <row r="845" spans="1:21">
      <c r="A845" s="192"/>
      <c r="B845" s="1277" t="s">
        <v>1209</v>
      </c>
      <c r="C845" s="1277"/>
      <c r="D845" s="1277"/>
      <c r="E845" s="1277"/>
      <c r="F845" s="1277"/>
      <c r="G845" s="1277"/>
      <c r="H845" s="1277"/>
      <c r="I845" s="1277"/>
      <c r="J845" s="1277"/>
      <c r="K845" s="1277"/>
      <c r="L845" s="1277"/>
      <c r="M845" s="1277"/>
      <c r="N845" s="1277"/>
      <c r="O845" s="1277"/>
      <c r="P845" s="1277"/>
      <c r="Q845" s="203">
        <v>0</v>
      </c>
      <c r="R845" s="204">
        <f>Q845</f>
        <v>0</v>
      </c>
      <c r="T845" s="1278"/>
      <c r="U845" s="1279"/>
    </row>
    <row r="846" spans="1:21">
      <c r="A846" s="192"/>
      <c r="B846" s="1277" t="e">
        <f>med</f>
        <v>#NAME?</v>
      </c>
      <c r="C846" s="1277"/>
      <c r="D846" s="1277"/>
      <c r="E846" s="1277"/>
      <c r="F846" s="1277"/>
      <c r="G846" s="1277"/>
      <c r="H846" s="1277"/>
      <c r="I846" s="1277"/>
      <c r="J846" s="1277"/>
      <c r="K846" s="1277"/>
      <c r="L846" s="1277"/>
      <c r="M846" s="1277"/>
      <c r="N846" s="1277"/>
      <c r="O846" s="1277"/>
      <c r="P846" s="205">
        <f>N843</f>
        <v>445</v>
      </c>
      <c r="Q846" s="203">
        <f>P846</f>
        <v>445</v>
      </c>
      <c r="R846" s="204">
        <f>Q846+R845</f>
        <v>445</v>
      </c>
      <c r="T846" s="1278"/>
      <c r="U846" s="1279"/>
    </row>
    <row r="847" spans="1:21" ht="18" customHeight="1">
      <c r="A847" s="187" t="e">
        <f>#REF!</f>
        <v>#REF!</v>
      </c>
      <c r="B847" s="1275" t="e">
        <f>IF(A847="","",VLOOKUP($A847,'[2]FDE-JUNHO-08'!$A$6:$D$3537,2,FALSE()))</f>
        <v>#REF!</v>
      </c>
      <c r="C847" s="1275"/>
      <c r="D847" s="1275"/>
      <c r="E847" s="1275"/>
      <c r="F847" s="1275"/>
      <c r="G847" s="1275"/>
      <c r="H847" s="1275"/>
      <c r="I847" s="1275"/>
      <c r="J847" s="1275"/>
      <c r="K847" s="1275"/>
      <c r="L847" s="1275"/>
      <c r="M847" s="1275"/>
      <c r="N847" s="1275"/>
      <c r="O847" s="1275"/>
      <c r="P847" s="188" t="e">
        <f>IF(A847="","",VLOOKUP($A847,'[2]FDE-JUNHO-08'!$A$6:$D$3537,3,FALSE()))</f>
        <v>#REF!</v>
      </c>
      <c r="Q847" s="189" t="s">
        <v>1205</v>
      </c>
      <c r="R847" s="189" t="s">
        <v>1206</v>
      </c>
      <c r="T847" s="190"/>
      <c r="U847" s="191"/>
    </row>
    <row r="848" spans="1:21">
      <c r="A848" s="192"/>
      <c r="B848" s="212"/>
      <c r="C848" s="212"/>
      <c r="D848" s="212"/>
      <c r="E848" s="212"/>
      <c r="F848" s="212"/>
      <c r="G848" s="212"/>
      <c r="H848" s="212"/>
      <c r="I848" s="212"/>
      <c r="J848" s="212"/>
      <c r="K848" s="212"/>
      <c r="L848" s="212"/>
      <c r="M848" s="212"/>
      <c r="N848" s="212"/>
      <c r="O848" s="212"/>
      <c r="P848" s="193"/>
      <c r="Q848" s="200"/>
      <c r="R848" s="194"/>
      <c r="T848" s="190"/>
      <c r="U848" s="191"/>
    </row>
    <row r="849" spans="1:21">
      <c r="A849" s="192"/>
      <c r="B849" s="195" t="s">
        <v>1274</v>
      </c>
      <c r="C849" s="196"/>
      <c r="D849" s="197"/>
      <c r="E849" s="198"/>
      <c r="F849" s="199"/>
      <c r="G849" s="198"/>
      <c r="H849" s="197"/>
      <c r="I849" s="198"/>
      <c r="J849" s="197"/>
      <c r="K849" s="198"/>
      <c r="L849" s="197"/>
      <c r="M849" s="199" t="s">
        <v>1208</v>
      </c>
      <c r="N849" s="199">
        <v>0.89</v>
      </c>
      <c r="O849" s="217"/>
      <c r="P849" s="193"/>
      <c r="Q849" s="200"/>
      <c r="R849" s="194"/>
      <c r="T849" s="190"/>
      <c r="U849" s="191"/>
    </row>
    <row r="850" spans="1:21">
      <c r="A850" s="192"/>
      <c r="B850" s="195"/>
      <c r="C850" s="196"/>
      <c r="D850" s="197"/>
      <c r="E850" s="198"/>
      <c r="F850" s="199"/>
      <c r="G850" s="198"/>
      <c r="H850" s="198"/>
      <c r="I850" s="198"/>
      <c r="J850" s="198"/>
      <c r="K850" s="198"/>
      <c r="L850" s="198"/>
      <c r="M850" s="199"/>
      <c r="N850" s="201"/>
      <c r="O850" s="202"/>
      <c r="P850" s="193"/>
      <c r="Q850" s="200"/>
      <c r="R850" s="194"/>
      <c r="T850" s="190"/>
      <c r="U850" s="191"/>
    </row>
    <row r="851" spans="1:21">
      <c r="A851" s="192"/>
      <c r="B851" s="195"/>
      <c r="C851" s="196"/>
      <c r="D851" s="197"/>
      <c r="E851" s="198"/>
      <c r="F851" s="199"/>
      <c r="G851" s="198"/>
      <c r="H851" s="197"/>
      <c r="I851" s="198"/>
      <c r="J851" s="197"/>
      <c r="K851" s="198"/>
      <c r="L851" s="199" t="s">
        <v>1140</v>
      </c>
      <c r="M851" s="199" t="s">
        <v>1208</v>
      </c>
      <c r="N851" s="199">
        <f>SUM(N847:N849)</f>
        <v>0.89</v>
      </c>
      <c r="O851" s="155" t="str">
        <f>PLANILHA!D113</f>
        <v>M3</v>
      </c>
      <c r="P851" s="193"/>
      <c r="Q851" s="200"/>
      <c r="R851" s="194"/>
      <c r="T851" s="190"/>
      <c r="U851" s="191"/>
    </row>
    <row r="852" spans="1:21">
      <c r="A852" s="192"/>
      <c r="B852" s="195"/>
      <c r="C852" s="196"/>
      <c r="D852" s="197"/>
      <c r="E852" s="198"/>
      <c r="F852" s="197"/>
      <c r="G852" s="198"/>
      <c r="H852" s="197"/>
      <c r="I852" s="198"/>
      <c r="J852" s="197"/>
      <c r="K852" s="198"/>
      <c r="L852" s="199"/>
      <c r="M852" s="199"/>
      <c r="N852" s="199"/>
      <c r="O852" s="155"/>
      <c r="P852" s="193"/>
      <c r="Q852" s="200"/>
      <c r="R852" s="194"/>
      <c r="T852" s="190"/>
      <c r="U852" s="191"/>
    </row>
    <row r="853" spans="1:21">
      <c r="A853" s="192"/>
      <c r="B853" s="1277" t="s">
        <v>1209</v>
      </c>
      <c r="C853" s="1277"/>
      <c r="D853" s="1277"/>
      <c r="E853" s="1277"/>
      <c r="F853" s="1277"/>
      <c r="G853" s="1277"/>
      <c r="H853" s="1277"/>
      <c r="I853" s="1277"/>
      <c r="J853" s="1277"/>
      <c r="K853" s="1277"/>
      <c r="L853" s="1277"/>
      <c r="M853" s="1277"/>
      <c r="N853" s="1277"/>
      <c r="O853" s="1277"/>
      <c r="P853" s="1277"/>
      <c r="Q853" s="203">
        <v>0</v>
      </c>
      <c r="R853" s="204">
        <f>Q853</f>
        <v>0</v>
      </c>
      <c r="T853" s="1278"/>
      <c r="U853" s="1279"/>
    </row>
    <row r="854" spans="1:21">
      <c r="A854" s="192"/>
      <c r="B854" s="1277" t="e">
        <f>med</f>
        <v>#NAME?</v>
      </c>
      <c r="C854" s="1277"/>
      <c r="D854" s="1277"/>
      <c r="E854" s="1277"/>
      <c r="F854" s="1277"/>
      <c r="G854" s="1277"/>
      <c r="H854" s="1277"/>
      <c r="I854" s="1277"/>
      <c r="J854" s="1277"/>
      <c r="K854" s="1277"/>
      <c r="L854" s="1277"/>
      <c r="M854" s="1277"/>
      <c r="N854" s="1277"/>
      <c r="O854" s="1277"/>
      <c r="P854" s="205">
        <f>N851</f>
        <v>0.89</v>
      </c>
      <c r="Q854" s="203">
        <f>P854</f>
        <v>0.89</v>
      </c>
      <c r="R854" s="204">
        <f>Q854+R853</f>
        <v>0.89</v>
      </c>
      <c r="T854" s="1278"/>
      <c r="U854" s="1279"/>
    </row>
    <row r="855" spans="1:21" ht="18" customHeight="1">
      <c r="A855" s="187" t="e">
        <f>#REF!</f>
        <v>#REF!</v>
      </c>
      <c r="B855" s="1275" t="e">
        <f>IF(A855="","",VLOOKUP($A855,'[2]FDE-JUNHO-08'!$A$6:$D$3537,2,FALSE()))</f>
        <v>#REF!</v>
      </c>
      <c r="C855" s="1275"/>
      <c r="D855" s="1275"/>
      <c r="E855" s="1275"/>
      <c r="F855" s="1275"/>
      <c r="G855" s="1275"/>
      <c r="H855" s="1275"/>
      <c r="I855" s="1275"/>
      <c r="J855" s="1275"/>
      <c r="K855" s="1275"/>
      <c r="L855" s="1275"/>
      <c r="M855" s="1275"/>
      <c r="N855" s="1275"/>
      <c r="O855" s="1275"/>
      <c r="P855" s="188" t="e">
        <f>IF(A855="","",VLOOKUP($A855,'[2]FDE-JUNHO-08'!$A$6:$D$3537,3,FALSE()))</f>
        <v>#REF!</v>
      </c>
      <c r="Q855" s="189" t="s">
        <v>1205</v>
      </c>
      <c r="R855" s="189" t="s">
        <v>1206</v>
      </c>
      <c r="T855" s="190"/>
      <c r="U855" s="191"/>
    </row>
    <row r="856" spans="1:21" ht="18" customHeight="1">
      <c r="A856" s="224"/>
      <c r="B856" s="225"/>
      <c r="C856" s="225"/>
      <c r="D856" s="225"/>
      <c r="E856" s="225"/>
      <c r="F856" s="225"/>
      <c r="G856" s="225"/>
      <c r="H856" s="198" t="s">
        <v>1275</v>
      </c>
      <c r="I856" s="225"/>
      <c r="J856" s="198" t="s">
        <v>1230</v>
      </c>
      <c r="K856" s="198"/>
      <c r="L856" s="198" t="s">
        <v>1231</v>
      </c>
      <c r="M856" s="199"/>
      <c r="N856" s="209"/>
      <c r="O856" s="225"/>
      <c r="P856" s="226"/>
      <c r="Q856" s="231"/>
      <c r="R856" s="232"/>
      <c r="T856" s="190"/>
      <c r="U856" s="191"/>
    </row>
    <row r="857" spans="1:21">
      <c r="A857" s="192"/>
      <c r="B857" s="195" t="s">
        <v>1276</v>
      </c>
      <c r="C857" s="196"/>
      <c r="D857" s="197"/>
      <c r="E857" s="198"/>
      <c r="F857" s="197"/>
      <c r="G857" s="198"/>
      <c r="H857" s="198">
        <v>1</v>
      </c>
      <c r="I857" s="198" t="s">
        <v>1227</v>
      </c>
      <c r="J857" s="198">
        <v>1.1499999999999999</v>
      </c>
      <c r="K857" s="198" t="s">
        <v>1227</v>
      </c>
      <c r="L857" s="197">
        <v>4</v>
      </c>
      <c r="M857" s="199" t="s">
        <v>1208</v>
      </c>
      <c r="N857" s="198">
        <f>H857*J857*L857</f>
        <v>4.5999999999999996</v>
      </c>
      <c r="O857" s="155"/>
      <c r="P857" s="193"/>
      <c r="Q857" s="200"/>
      <c r="R857" s="194"/>
      <c r="T857" s="190"/>
      <c r="U857" s="191"/>
    </row>
    <row r="858" spans="1:21">
      <c r="A858" s="192"/>
      <c r="B858" s="195" t="s">
        <v>1277</v>
      </c>
      <c r="C858" s="196"/>
      <c r="D858" s="197"/>
      <c r="E858" s="198"/>
      <c r="F858" s="197"/>
      <c r="G858" s="198"/>
      <c r="H858" s="198">
        <v>3</v>
      </c>
      <c r="I858" s="198" t="s">
        <v>1227</v>
      </c>
      <c r="J858" s="198">
        <v>0.83</v>
      </c>
      <c r="K858" s="198" t="s">
        <v>1227</v>
      </c>
      <c r="L858" s="198">
        <v>0.90800000000000003</v>
      </c>
      <c r="M858" s="198" t="s">
        <v>1208</v>
      </c>
      <c r="N858" s="198">
        <f>H858*J858*L858</f>
        <v>2.26092</v>
      </c>
      <c r="O858" s="155"/>
      <c r="P858" s="193"/>
      <c r="Q858" s="200"/>
      <c r="R858" s="194"/>
      <c r="T858" s="190"/>
      <c r="U858" s="191"/>
    </row>
    <row r="859" spans="1:21">
      <c r="A859" s="192"/>
      <c r="B859" s="195" t="s">
        <v>1278</v>
      </c>
      <c r="C859" s="196"/>
      <c r="D859" s="197"/>
      <c r="E859" s="198"/>
      <c r="F859" s="197"/>
      <c r="G859" s="198"/>
      <c r="H859" s="198">
        <v>1</v>
      </c>
      <c r="I859" s="198" t="s">
        <v>1227</v>
      </c>
      <c r="J859" s="198">
        <v>3</v>
      </c>
      <c r="K859" s="198" t="s">
        <v>1227</v>
      </c>
      <c r="L859" s="198">
        <v>2</v>
      </c>
      <c r="M859" s="198" t="s">
        <v>1208</v>
      </c>
      <c r="N859" s="198">
        <f>H859*J859*L859</f>
        <v>6</v>
      </c>
      <c r="O859" s="155"/>
      <c r="P859" s="193"/>
      <c r="Q859" s="200"/>
      <c r="R859" s="194"/>
      <c r="T859" s="190"/>
      <c r="U859" s="191"/>
    </row>
    <row r="860" spans="1:21">
      <c r="A860" s="192"/>
      <c r="B860" s="195" t="s">
        <v>1279</v>
      </c>
      <c r="C860" s="196"/>
      <c r="D860" s="197"/>
      <c r="E860" s="198"/>
      <c r="F860" s="197"/>
      <c r="G860" s="198"/>
      <c r="H860" s="198">
        <v>3</v>
      </c>
      <c r="I860" s="198" t="s">
        <v>1227</v>
      </c>
      <c r="J860" s="198">
        <v>0.8</v>
      </c>
      <c r="K860" s="198" t="s">
        <v>1227</v>
      </c>
      <c r="L860" s="198">
        <v>2</v>
      </c>
      <c r="M860" s="198" t="s">
        <v>1208</v>
      </c>
      <c r="N860" s="198">
        <f>H860*J860*L860</f>
        <v>4.8000000000000007</v>
      </c>
      <c r="O860" s="155"/>
      <c r="P860" s="193"/>
      <c r="Q860" s="200"/>
      <c r="R860" s="194"/>
      <c r="T860" s="190"/>
      <c r="U860" s="191"/>
    </row>
    <row r="861" spans="1:21">
      <c r="A861" s="192"/>
      <c r="B861" s="195" t="s">
        <v>1280</v>
      </c>
      <c r="C861" s="196"/>
      <c r="D861" s="197"/>
      <c r="E861" s="198"/>
      <c r="F861" s="197"/>
      <c r="G861" s="198"/>
      <c r="H861" s="198">
        <v>1</v>
      </c>
      <c r="I861" s="198" t="s">
        <v>1227</v>
      </c>
      <c r="J861" s="198">
        <v>1.7</v>
      </c>
      <c r="K861" s="198" t="s">
        <v>1227</v>
      </c>
      <c r="L861" s="198">
        <v>2</v>
      </c>
      <c r="M861" s="198" t="s">
        <v>1208</v>
      </c>
      <c r="N861" s="198">
        <f>H861*J861*L861</f>
        <v>3.4</v>
      </c>
      <c r="O861" s="155"/>
      <c r="P861" s="193"/>
      <c r="Q861" s="200"/>
      <c r="R861" s="194"/>
      <c r="T861" s="190"/>
      <c r="U861" s="191"/>
    </row>
    <row r="862" spans="1:21">
      <c r="A862" s="192"/>
      <c r="B862" s="195"/>
      <c r="C862" s="196"/>
      <c r="D862" s="197"/>
      <c r="E862" s="198"/>
      <c r="F862" s="197"/>
      <c r="G862" s="198"/>
      <c r="H862" s="197"/>
      <c r="I862" s="198"/>
      <c r="J862" s="197"/>
      <c r="K862" s="198"/>
      <c r="L862" s="199"/>
      <c r="M862" s="199"/>
      <c r="N862" s="201"/>
      <c r="O862" s="202"/>
      <c r="P862" s="193"/>
      <c r="Q862" s="200"/>
      <c r="R862" s="194"/>
      <c r="T862" s="190"/>
      <c r="U862" s="191"/>
    </row>
    <row r="863" spans="1:21">
      <c r="A863" s="192"/>
      <c r="B863" s="195"/>
      <c r="C863" s="196"/>
      <c r="D863" s="197"/>
      <c r="E863" s="198"/>
      <c r="F863" s="197"/>
      <c r="G863" s="198"/>
      <c r="H863" s="197"/>
      <c r="I863" s="198"/>
      <c r="J863" s="197"/>
      <c r="K863" s="198"/>
      <c r="L863" s="199" t="s">
        <v>1140</v>
      </c>
      <c r="M863" s="199" t="s">
        <v>1208</v>
      </c>
      <c r="N863" s="199">
        <f>SUM(N857:N862)</f>
        <v>21.060919999999999</v>
      </c>
      <c r="O863" s="155" t="e">
        <f>P855</f>
        <v>#REF!</v>
      </c>
      <c r="P863" s="193"/>
      <c r="Q863" s="200"/>
      <c r="R863" s="194"/>
      <c r="T863" s="190"/>
      <c r="U863" s="191"/>
    </row>
    <row r="864" spans="1:21">
      <c r="A864" s="192"/>
      <c r="B864" s="1277" t="s">
        <v>1209</v>
      </c>
      <c r="C864" s="1277"/>
      <c r="D864" s="1277"/>
      <c r="E864" s="1277"/>
      <c r="F864" s="1277"/>
      <c r="G864" s="1277"/>
      <c r="H864" s="1277"/>
      <c r="I864" s="1277"/>
      <c r="J864" s="1277"/>
      <c r="K864" s="1277"/>
      <c r="L864" s="1277"/>
      <c r="M864" s="1277"/>
      <c r="N864" s="1277"/>
      <c r="O864" s="1277"/>
      <c r="P864" s="1277"/>
      <c r="Q864" s="203">
        <v>0</v>
      </c>
      <c r="R864" s="204">
        <f>Q864</f>
        <v>0</v>
      </c>
      <c r="T864" s="1278"/>
      <c r="U864" s="1279"/>
    </row>
    <row r="865" spans="1:22">
      <c r="A865" s="192"/>
      <c r="B865" s="1277" t="e">
        <f>med</f>
        <v>#NAME?</v>
      </c>
      <c r="C865" s="1277"/>
      <c r="D865" s="1277"/>
      <c r="E865" s="1277"/>
      <c r="F865" s="1277"/>
      <c r="G865" s="1277"/>
      <c r="H865" s="1277"/>
      <c r="I865" s="1277"/>
      <c r="J865" s="1277"/>
      <c r="K865" s="1277"/>
      <c r="L865" s="1277"/>
      <c r="M865" s="1277"/>
      <c r="N865" s="1277"/>
      <c r="O865" s="1277"/>
      <c r="P865" s="205">
        <f>N863</f>
        <v>21.060919999999999</v>
      </c>
      <c r="Q865" s="203">
        <f>P865</f>
        <v>21.060919999999999</v>
      </c>
      <c r="R865" s="204">
        <f>Q865+R864</f>
        <v>21.060919999999999</v>
      </c>
      <c r="T865" s="1278"/>
      <c r="U865" s="1279"/>
    </row>
    <row r="866" spans="1:22" ht="18" customHeight="1">
      <c r="A866" s="187" t="e">
        <f>#REF!</f>
        <v>#REF!</v>
      </c>
      <c r="B866" s="1275" t="e">
        <f>IF(A866="","",VLOOKUP($A866,'[2]FDE-JUNHO-08'!$A$6:$D$3537,2,FALSE()))</f>
        <v>#REF!</v>
      </c>
      <c r="C866" s="1275"/>
      <c r="D866" s="1275"/>
      <c r="E866" s="1275"/>
      <c r="F866" s="1275"/>
      <c r="G866" s="1275"/>
      <c r="H866" s="1275"/>
      <c r="I866" s="1275"/>
      <c r="J866" s="1275"/>
      <c r="K866" s="1275"/>
      <c r="L866" s="1275"/>
      <c r="M866" s="1275"/>
      <c r="N866" s="1275"/>
      <c r="O866" s="1275"/>
      <c r="P866" s="188" t="e">
        <f>IF(A866="","",VLOOKUP($A866,'[2]FDE-JUNHO-08'!$A$6:$D$3537,3,FALSE()))</f>
        <v>#REF!</v>
      </c>
      <c r="Q866" s="189" t="s">
        <v>1205</v>
      </c>
      <c r="R866" s="189" t="s">
        <v>1206</v>
      </c>
      <c r="T866" s="190"/>
      <c r="U866" s="191"/>
    </row>
    <row r="867" spans="1:22" ht="18" customHeight="1">
      <c r="A867" s="224"/>
      <c r="B867" s="225"/>
      <c r="C867" s="225"/>
      <c r="D867" s="225"/>
      <c r="E867" s="225"/>
      <c r="F867" s="225"/>
      <c r="G867" s="225"/>
      <c r="H867" s="225"/>
      <c r="I867" s="225"/>
      <c r="J867" s="198" t="s">
        <v>1231</v>
      </c>
      <c r="K867" s="198"/>
      <c r="L867" s="198" t="s">
        <v>1281</v>
      </c>
      <c r="M867" s="225"/>
      <c r="N867" s="225"/>
      <c r="O867" s="225"/>
      <c r="P867" s="226"/>
      <c r="Q867" s="231"/>
      <c r="R867" s="232"/>
      <c r="T867" s="190"/>
      <c r="U867" s="191"/>
    </row>
    <row r="868" spans="1:22">
      <c r="A868" s="192"/>
      <c r="B868" s="195" t="s">
        <v>1282</v>
      </c>
      <c r="C868" s="196"/>
      <c r="D868" s="197"/>
      <c r="E868" s="198"/>
      <c r="F868" s="197"/>
      <c r="G868" s="198"/>
      <c r="H868" s="197"/>
      <c r="I868" s="198"/>
      <c r="J868" s="198">
        <v>9.9250000000000007</v>
      </c>
      <c r="K868" s="198" t="s">
        <v>1227</v>
      </c>
      <c r="L868" s="198">
        <v>2.5</v>
      </c>
      <c r="M868" s="198" t="s">
        <v>1208</v>
      </c>
      <c r="N868" s="198">
        <f>L868*J868</f>
        <v>24.8125</v>
      </c>
      <c r="O868" s="155"/>
      <c r="P868" s="193"/>
      <c r="Q868" s="200"/>
      <c r="R868" s="194"/>
      <c r="T868" s="190"/>
      <c r="U868" s="191"/>
    </row>
    <row r="869" spans="1:22">
      <c r="A869" s="192"/>
      <c r="B869" s="195" t="s">
        <v>1283</v>
      </c>
      <c r="C869" s="196"/>
      <c r="D869" s="197"/>
      <c r="E869" s="198"/>
      <c r="F869" s="197"/>
      <c r="G869" s="198"/>
      <c r="H869" s="197"/>
      <c r="I869" s="198"/>
      <c r="J869" s="198">
        <v>6</v>
      </c>
      <c r="K869" s="198" t="s">
        <v>1227</v>
      </c>
      <c r="L869" s="198">
        <v>2.5</v>
      </c>
      <c r="M869" s="198" t="s">
        <v>1208</v>
      </c>
      <c r="N869" s="198">
        <f>L869*J869</f>
        <v>15</v>
      </c>
      <c r="O869" s="155"/>
      <c r="P869" s="193"/>
      <c r="Q869" s="200"/>
      <c r="R869" s="194"/>
      <c r="T869" s="190"/>
      <c r="U869" s="191"/>
    </row>
    <row r="870" spans="1:22">
      <c r="A870" s="192"/>
      <c r="B870" s="195"/>
      <c r="C870" s="196"/>
      <c r="D870" s="197"/>
      <c r="E870" s="198"/>
      <c r="F870" s="197"/>
      <c r="G870" s="198"/>
      <c r="H870" s="197"/>
      <c r="I870" s="198"/>
      <c r="J870" s="197"/>
      <c r="K870" s="198"/>
      <c r="L870" s="199"/>
      <c r="M870" s="199"/>
      <c r="N870" s="201"/>
      <c r="O870" s="202"/>
      <c r="P870" s="193"/>
      <c r="Q870" s="200"/>
      <c r="R870" s="194"/>
      <c r="T870" s="190"/>
      <c r="U870" s="191"/>
    </row>
    <row r="871" spans="1:22">
      <c r="A871" s="192"/>
      <c r="B871" s="195"/>
      <c r="C871" s="196"/>
      <c r="D871" s="197"/>
      <c r="E871" s="198"/>
      <c r="F871" s="197"/>
      <c r="G871" s="198"/>
      <c r="H871" s="197"/>
      <c r="I871" s="198"/>
      <c r="J871" s="197"/>
      <c r="K871" s="198"/>
      <c r="L871" s="199" t="s">
        <v>1140</v>
      </c>
      <c r="M871" s="199" t="s">
        <v>1208</v>
      </c>
      <c r="N871" s="199">
        <f>SUM(N868:N870)</f>
        <v>39.8125</v>
      </c>
      <c r="O871" s="155" t="e">
        <f>P866</f>
        <v>#REF!</v>
      </c>
      <c r="P871" s="193"/>
      <c r="Q871" s="200"/>
      <c r="R871" s="194"/>
      <c r="T871" s="190"/>
      <c r="U871" s="191"/>
    </row>
    <row r="872" spans="1:22">
      <c r="A872" s="192"/>
      <c r="B872" s="195"/>
      <c r="C872" s="196"/>
      <c r="D872" s="197"/>
      <c r="E872" s="198"/>
      <c r="F872" s="197"/>
      <c r="G872" s="198"/>
      <c r="H872" s="197"/>
      <c r="I872" s="198"/>
      <c r="J872" s="197"/>
      <c r="K872" s="198"/>
      <c r="L872" s="199"/>
      <c r="M872" s="199"/>
      <c r="N872" s="199"/>
      <c r="O872" s="155"/>
      <c r="P872" s="193"/>
      <c r="Q872" s="200"/>
      <c r="R872" s="194"/>
      <c r="T872" s="190"/>
      <c r="U872" s="191"/>
    </row>
    <row r="873" spans="1:22">
      <c r="A873" s="192"/>
      <c r="B873" s="1277" t="s">
        <v>1209</v>
      </c>
      <c r="C873" s="1277"/>
      <c r="D873" s="1277"/>
      <c r="E873" s="1277"/>
      <c r="F873" s="1277"/>
      <c r="G873" s="1277"/>
      <c r="H873" s="1277"/>
      <c r="I873" s="1277"/>
      <c r="J873" s="1277"/>
      <c r="K873" s="1277"/>
      <c r="L873" s="1277"/>
      <c r="M873" s="1277"/>
      <c r="N873" s="1277"/>
      <c r="O873" s="1277"/>
      <c r="P873" s="1277"/>
      <c r="Q873" s="203">
        <v>0</v>
      </c>
      <c r="R873" s="204">
        <f>Q873</f>
        <v>0</v>
      </c>
      <c r="T873" s="1278"/>
      <c r="U873" s="1279"/>
    </row>
    <row r="874" spans="1:22" s="235" customFormat="1">
      <c r="A874" s="206"/>
      <c r="B874" s="1277" t="e">
        <f>med</f>
        <v>#NAME?</v>
      </c>
      <c r="C874" s="1277"/>
      <c r="D874" s="1277"/>
      <c r="E874" s="1277"/>
      <c r="F874" s="1277"/>
      <c r="G874" s="1277"/>
      <c r="H874" s="1277"/>
      <c r="I874" s="1277"/>
      <c r="J874" s="1277"/>
      <c r="K874" s="1277"/>
      <c r="L874" s="1277"/>
      <c r="M874" s="1277"/>
      <c r="N874" s="1277"/>
      <c r="O874" s="1277"/>
      <c r="P874" s="205">
        <f>N871</f>
        <v>39.8125</v>
      </c>
      <c r="Q874" s="203">
        <f>P874</f>
        <v>39.8125</v>
      </c>
      <c r="R874" s="204">
        <f>Q874+R873</f>
        <v>39.8125</v>
      </c>
      <c r="S874"/>
      <c r="T874" s="1278"/>
      <c r="U874" s="1279"/>
      <c r="V874"/>
    </row>
    <row r="875" spans="1:22" s="235" customFormat="1" ht="18" customHeight="1">
      <c r="A875" s="187" t="e">
        <f>#REF!</f>
        <v>#REF!</v>
      </c>
      <c r="B875" s="1275" t="e">
        <f>IF(A875="","",VLOOKUP($A875,'[2]FDE-JUNHO-08'!$A$6:$D$3537,2,FALSE()))</f>
        <v>#REF!</v>
      </c>
      <c r="C875" s="1275"/>
      <c r="D875" s="1275"/>
      <c r="E875" s="1275"/>
      <c r="F875" s="1275"/>
      <c r="G875" s="1275"/>
      <c r="H875" s="1275"/>
      <c r="I875" s="1275"/>
      <c r="J875" s="1275"/>
      <c r="K875" s="1275"/>
      <c r="L875" s="1275"/>
      <c r="M875" s="1275"/>
      <c r="N875" s="1275"/>
      <c r="O875" s="1275"/>
      <c r="P875" s="188" t="e">
        <f>IF(A875="","",VLOOKUP($A875,'[2]FDE-JUNHO-08'!$A$6:$D$3537,3,FALSE()))</f>
        <v>#REF!</v>
      </c>
      <c r="Q875" s="189" t="s">
        <v>1205</v>
      </c>
      <c r="R875" s="189" t="s">
        <v>1206</v>
      </c>
      <c r="S875"/>
      <c r="T875" s="190"/>
      <c r="U875" s="191"/>
      <c r="V875"/>
    </row>
    <row r="876" spans="1:22" s="235" customFormat="1" ht="18" customHeight="1">
      <c r="A876" s="224"/>
      <c r="B876" s="225"/>
      <c r="C876" s="225"/>
      <c r="D876" s="225"/>
      <c r="E876" s="225"/>
      <c r="F876" s="198" t="s">
        <v>1275</v>
      </c>
      <c r="G876" s="198"/>
      <c r="H876" s="198" t="s">
        <v>1231</v>
      </c>
      <c r="I876" s="198"/>
      <c r="J876" s="198" t="s">
        <v>1281</v>
      </c>
      <c r="K876" s="198"/>
      <c r="L876" s="198" t="s">
        <v>1284</v>
      </c>
      <c r="M876" s="225"/>
      <c r="N876" s="225"/>
      <c r="O876" s="225"/>
      <c r="P876" s="226"/>
      <c r="Q876" s="231"/>
      <c r="R876" s="232"/>
      <c r="S876"/>
      <c r="T876" s="190"/>
      <c r="U876" s="191"/>
    </row>
    <row r="877" spans="1:22" s="235" customFormat="1">
      <c r="A877" s="192"/>
      <c r="B877" s="195" t="s">
        <v>1285</v>
      </c>
      <c r="C877" s="196"/>
      <c r="D877" s="197"/>
      <c r="E877" s="198"/>
      <c r="F877" s="198">
        <v>1</v>
      </c>
      <c r="G877" s="198" t="s">
        <v>1227</v>
      </c>
      <c r="H877" s="198">
        <v>0.7</v>
      </c>
      <c r="I877" s="198" t="s">
        <v>1227</v>
      </c>
      <c r="J877" s="198">
        <v>1.4</v>
      </c>
      <c r="K877" s="198" t="s">
        <v>1227</v>
      </c>
      <c r="L877" s="198">
        <v>0.7</v>
      </c>
      <c r="M877" s="198" t="s">
        <v>1208</v>
      </c>
      <c r="N877" s="198">
        <f>H877*J877*L877*F877</f>
        <v>0.68599999999999983</v>
      </c>
      <c r="O877" s="155"/>
      <c r="P877" s="193"/>
      <c r="Q877" s="200"/>
      <c r="R877" s="194"/>
      <c r="S877"/>
      <c r="T877" s="190"/>
      <c r="U877" s="191"/>
    </row>
    <row r="878" spans="1:22" s="235" customFormat="1">
      <c r="A878" s="192"/>
      <c r="B878" s="195" t="s">
        <v>1286</v>
      </c>
      <c r="C878" s="196"/>
      <c r="D878" s="197"/>
      <c r="E878" s="198"/>
      <c r="F878" s="198">
        <v>1</v>
      </c>
      <c r="G878" s="198" t="s">
        <v>1227</v>
      </c>
      <c r="H878" s="198">
        <v>3</v>
      </c>
      <c r="I878" s="198" t="s">
        <v>1227</v>
      </c>
      <c r="J878" s="198">
        <v>1.2</v>
      </c>
      <c r="K878" s="198" t="s">
        <v>1227</v>
      </c>
      <c r="L878" s="198">
        <v>0.15</v>
      </c>
      <c r="M878" s="198" t="s">
        <v>1208</v>
      </c>
      <c r="N878" s="198">
        <f>H878*J878*L878*F878</f>
        <v>0.53999999999999992</v>
      </c>
      <c r="O878" s="155"/>
      <c r="P878" s="193"/>
      <c r="Q878" s="200"/>
      <c r="R878" s="194"/>
      <c r="S878"/>
      <c r="T878" s="190"/>
      <c r="U878" s="191"/>
    </row>
    <row r="879" spans="1:22" s="235" customFormat="1">
      <c r="A879" s="192"/>
      <c r="B879" s="195" t="s">
        <v>1287</v>
      </c>
      <c r="C879" s="196"/>
      <c r="D879" s="197"/>
      <c r="E879" s="198"/>
      <c r="F879" s="198">
        <v>6</v>
      </c>
      <c r="G879" s="198" t="s">
        <v>1227</v>
      </c>
      <c r="H879" s="198">
        <v>2</v>
      </c>
      <c r="I879" s="198" t="s">
        <v>1227</v>
      </c>
      <c r="J879" s="198">
        <v>0.2</v>
      </c>
      <c r="K879" s="198" t="s">
        <v>1227</v>
      </c>
      <c r="L879" s="198">
        <v>0.2</v>
      </c>
      <c r="M879" s="198" t="s">
        <v>1208</v>
      </c>
      <c r="N879" s="198">
        <f>H879*J879*L879</f>
        <v>8.0000000000000016E-2</v>
      </c>
      <c r="O879" s="155"/>
      <c r="P879" s="193"/>
      <c r="Q879" s="200"/>
      <c r="R879" s="194"/>
      <c r="S879"/>
      <c r="T879" s="190"/>
      <c r="U879" s="191"/>
    </row>
    <row r="880" spans="1:22">
      <c r="A880" s="192"/>
      <c r="B880" s="195" t="s">
        <v>1288</v>
      </c>
      <c r="C880" s="196"/>
      <c r="D880" s="197"/>
      <c r="E880" s="198"/>
      <c r="F880" s="198">
        <v>1</v>
      </c>
      <c r="G880" s="198" t="s">
        <v>1227</v>
      </c>
      <c r="H880" s="198">
        <f>5</f>
        <v>5</v>
      </c>
      <c r="I880" s="198" t="s">
        <v>1227</v>
      </c>
      <c r="J880" s="198">
        <v>0.4</v>
      </c>
      <c r="K880" s="198" t="s">
        <v>1227</v>
      </c>
      <c r="L880" s="198">
        <v>0.3</v>
      </c>
      <c r="M880" s="198" t="s">
        <v>1208</v>
      </c>
      <c r="N880" s="198">
        <f>H880*J880*L880</f>
        <v>0.6</v>
      </c>
      <c r="O880" s="155"/>
      <c r="P880" s="193"/>
      <c r="Q880" s="200"/>
      <c r="R880" s="194"/>
      <c r="T880" s="190"/>
      <c r="U880" s="191"/>
      <c r="V880" s="235"/>
    </row>
    <row r="881" spans="1:22">
      <c r="A881" s="192"/>
      <c r="B881" s="195" t="s">
        <v>1289</v>
      </c>
      <c r="C881" s="196"/>
      <c r="D881" s="197"/>
      <c r="E881" s="198"/>
      <c r="F881" s="198">
        <v>1</v>
      </c>
      <c r="G881" s="198" t="s">
        <v>1227</v>
      </c>
      <c r="H881" s="198">
        <v>1.4</v>
      </c>
      <c r="I881" s="198" t="s">
        <v>1227</v>
      </c>
      <c r="J881" s="198">
        <v>1.4</v>
      </c>
      <c r="K881" s="198" t="s">
        <v>1227</v>
      </c>
      <c r="L881" s="198">
        <v>1.4</v>
      </c>
      <c r="M881" s="198" t="s">
        <v>1208</v>
      </c>
      <c r="N881" s="198">
        <f>H881*J881*L881</f>
        <v>2.7439999999999993</v>
      </c>
      <c r="O881" s="155"/>
      <c r="P881" s="193"/>
      <c r="Q881" s="200"/>
      <c r="R881" s="194"/>
      <c r="T881" s="190"/>
      <c r="U881" s="191"/>
      <c r="V881" s="235"/>
    </row>
    <row r="882" spans="1:22">
      <c r="A882" s="192"/>
      <c r="B882" s="195"/>
      <c r="C882" s="196"/>
      <c r="D882" s="197"/>
      <c r="E882" s="198"/>
      <c r="F882" s="197"/>
      <c r="G882" s="198"/>
      <c r="H882" s="197"/>
      <c r="I882" s="198"/>
      <c r="J882" s="197"/>
      <c r="K882" s="198"/>
      <c r="L882" s="199"/>
      <c r="M882" s="199"/>
      <c r="N882" s="201"/>
      <c r="O882" s="202"/>
      <c r="P882" s="193"/>
      <c r="Q882" s="200"/>
      <c r="R882" s="194"/>
      <c r="T882" s="190"/>
      <c r="U882" s="191"/>
    </row>
    <row r="883" spans="1:22">
      <c r="A883" s="192"/>
      <c r="B883" s="195"/>
      <c r="C883" s="196"/>
      <c r="D883" s="197"/>
      <c r="E883" s="198"/>
      <c r="F883" s="197"/>
      <c r="G883" s="198"/>
      <c r="H883" s="197"/>
      <c r="I883" s="198"/>
      <c r="J883" s="197"/>
      <c r="K883" s="198"/>
      <c r="L883" s="199" t="s">
        <v>1140</v>
      </c>
      <c r="M883" s="199" t="s">
        <v>1208</v>
      </c>
      <c r="N883" s="198">
        <f>SUM(N877:N882)</f>
        <v>4.6499999999999986</v>
      </c>
      <c r="O883" s="155" t="e">
        <f>P875</f>
        <v>#REF!</v>
      </c>
      <c r="P883" s="193"/>
      <c r="Q883" s="200"/>
      <c r="R883" s="194"/>
      <c r="T883" s="190"/>
      <c r="U883" s="191"/>
    </row>
    <row r="884" spans="1:22" s="235" customFormat="1">
      <c r="A884" s="192"/>
      <c r="B884" s="195"/>
      <c r="C884" s="196"/>
      <c r="D884" s="197"/>
      <c r="E884" s="198"/>
      <c r="F884" s="197"/>
      <c r="G884" s="198"/>
      <c r="H884" s="197"/>
      <c r="I884" s="198"/>
      <c r="J884" s="197"/>
      <c r="K884" s="198"/>
      <c r="L884" s="199"/>
      <c r="M884" s="199"/>
      <c r="N884" s="199"/>
      <c r="O884" s="155"/>
      <c r="P884" s="193"/>
      <c r="Q884" s="200"/>
      <c r="R884" s="194"/>
      <c r="S884"/>
      <c r="T884" s="190"/>
      <c r="U884" s="191"/>
      <c r="V884"/>
    </row>
    <row r="885" spans="1:22" s="235" customFormat="1">
      <c r="A885" s="192"/>
      <c r="B885" s="1277" t="s">
        <v>1209</v>
      </c>
      <c r="C885" s="1277"/>
      <c r="D885" s="1277"/>
      <c r="E885" s="1277"/>
      <c r="F885" s="1277"/>
      <c r="G885" s="1277"/>
      <c r="H885" s="1277"/>
      <c r="I885" s="1277"/>
      <c r="J885" s="1277"/>
      <c r="K885" s="1277"/>
      <c r="L885" s="1277"/>
      <c r="M885" s="1277"/>
      <c r="N885" s="1277"/>
      <c r="O885" s="1277"/>
      <c r="P885" s="1277"/>
      <c r="Q885" s="203">
        <v>0</v>
      </c>
      <c r="R885" s="204">
        <f>Q885</f>
        <v>0</v>
      </c>
      <c r="S885"/>
      <c r="T885" s="1278"/>
      <c r="U885" s="1279"/>
      <c r="V885"/>
    </row>
    <row r="886" spans="1:22" s="235" customFormat="1">
      <c r="A886" s="192"/>
      <c r="B886" s="1277" t="e">
        <f>med</f>
        <v>#NAME?</v>
      </c>
      <c r="C886" s="1277"/>
      <c r="D886" s="1277"/>
      <c r="E886" s="1277"/>
      <c r="F886" s="1277"/>
      <c r="G886" s="1277"/>
      <c r="H886" s="1277"/>
      <c r="I886" s="1277"/>
      <c r="J886" s="1277"/>
      <c r="K886" s="1277"/>
      <c r="L886" s="1277"/>
      <c r="M886" s="1277"/>
      <c r="N886" s="1277"/>
      <c r="O886" s="1277"/>
      <c r="P886" s="205">
        <f>N883</f>
        <v>4.6499999999999986</v>
      </c>
      <c r="Q886" s="203">
        <f>P886</f>
        <v>4.6499999999999986</v>
      </c>
      <c r="R886" s="204">
        <f>Q886+R885</f>
        <v>4.6499999999999986</v>
      </c>
      <c r="S886"/>
      <c r="T886" s="1278"/>
      <c r="U886" s="1279"/>
    </row>
    <row r="887" spans="1:22" ht="18" customHeight="1">
      <c r="A887" s="187" t="e">
        <f>#REF!</f>
        <v>#REF!</v>
      </c>
      <c r="B887" s="1275" t="e">
        <f>IF(A887="","",VLOOKUP($A887,'[2]FDE-JUNHO-08'!$A$6:$D$3537,2,FALSE()))</f>
        <v>#REF!</v>
      </c>
      <c r="C887" s="1275"/>
      <c r="D887" s="1275"/>
      <c r="E887" s="1275"/>
      <c r="F887" s="1275"/>
      <c r="G887" s="1275"/>
      <c r="H887" s="1275"/>
      <c r="I887" s="1275"/>
      <c r="J887" s="1275"/>
      <c r="K887" s="1275"/>
      <c r="L887" s="1275"/>
      <c r="M887" s="1275"/>
      <c r="N887" s="1275"/>
      <c r="O887" s="1275"/>
      <c r="P887" s="188" t="e">
        <f>IF(A887="","",VLOOKUP($A887,'[2]FDE-JUNHO-08'!$A$6:$D$3537,3,FALSE()))</f>
        <v>#REF!</v>
      </c>
      <c r="Q887" s="189" t="s">
        <v>1205</v>
      </c>
      <c r="R887" s="189" t="s">
        <v>1206</v>
      </c>
      <c r="T887" s="190"/>
      <c r="U887" s="191"/>
      <c r="V887" s="235"/>
    </row>
    <row r="888" spans="1:22" ht="18" customHeight="1">
      <c r="A888" s="224"/>
      <c r="B888" s="225"/>
      <c r="C888" s="225"/>
      <c r="D888" s="225"/>
      <c r="E888" s="225"/>
      <c r="F888" s="198"/>
      <c r="G888" s="198"/>
      <c r="H888" s="198" t="s">
        <v>1275</v>
      </c>
      <c r="I888" s="198"/>
      <c r="J888" s="198" t="s">
        <v>1231</v>
      </c>
      <c r="K888" s="198"/>
      <c r="L888" s="198" t="s">
        <v>1281</v>
      </c>
      <c r="M888" s="225"/>
      <c r="N888" s="225"/>
      <c r="O888" s="225"/>
      <c r="P888" s="226"/>
      <c r="Q888" s="231"/>
      <c r="R888" s="232"/>
      <c r="T888" s="190"/>
      <c r="U888" s="191"/>
      <c r="V888" s="235"/>
    </row>
    <row r="889" spans="1:22">
      <c r="A889" s="192"/>
      <c r="B889" s="195" t="s">
        <v>1286</v>
      </c>
      <c r="C889" s="196"/>
      <c r="D889" s="197"/>
      <c r="E889" s="198"/>
      <c r="F889" s="198"/>
      <c r="G889" s="198"/>
      <c r="H889" s="198">
        <v>1</v>
      </c>
      <c r="I889" s="198" t="s">
        <v>1227</v>
      </c>
      <c r="J889" s="198">
        <v>3</v>
      </c>
      <c r="K889" s="198" t="s">
        <v>1227</v>
      </c>
      <c r="L889" s="198">
        <v>1.2</v>
      </c>
      <c r="M889" s="198" t="s">
        <v>1208</v>
      </c>
      <c r="N889" s="198">
        <f>H889*J889*L889</f>
        <v>3.5999999999999996</v>
      </c>
      <c r="O889" s="155"/>
      <c r="P889" s="193"/>
      <c r="Q889" s="200"/>
      <c r="R889" s="194"/>
      <c r="T889" s="190"/>
      <c r="U889" s="191"/>
    </row>
    <row r="890" spans="1:22">
      <c r="A890" s="192"/>
      <c r="B890" s="195" t="s">
        <v>1290</v>
      </c>
      <c r="C890" s="196"/>
      <c r="D890" s="197"/>
      <c r="E890" s="198"/>
      <c r="F890" s="198"/>
      <c r="G890" s="198"/>
      <c r="H890" s="198">
        <v>6</v>
      </c>
      <c r="I890" s="198" t="s">
        <v>1227</v>
      </c>
      <c r="J890" s="198">
        <v>0.2</v>
      </c>
      <c r="K890" s="198" t="s">
        <v>1227</v>
      </c>
      <c r="L890" s="198">
        <v>0.2</v>
      </c>
      <c r="M890" s="198" t="s">
        <v>1208</v>
      </c>
      <c r="N890" s="198">
        <f>H890*J890*L890</f>
        <v>0.24000000000000005</v>
      </c>
      <c r="O890" s="155"/>
      <c r="P890" s="193"/>
      <c r="Q890" s="200"/>
      <c r="R890" s="194"/>
      <c r="T890" s="190"/>
      <c r="U890" s="191"/>
    </row>
    <row r="891" spans="1:22">
      <c r="A891" s="192"/>
      <c r="B891" s="195"/>
      <c r="C891" s="196"/>
      <c r="D891" s="197"/>
      <c r="E891" s="198"/>
      <c r="F891" s="197"/>
      <c r="G891" s="198"/>
      <c r="H891" s="197"/>
      <c r="I891" s="198"/>
      <c r="J891" s="197"/>
      <c r="K891" s="198"/>
      <c r="L891" s="199"/>
      <c r="M891" s="199"/>
      <c r="N891" s="201"/>
      <c r="O891" s="202"/>
      <c r="P891" s="193"/>
      <c r="Q891" s="200"/>
      <c r="R891" s="194"/>
      <c r="T891" s="190"/>
      <c r="U891" s="191"/>
    </row>
    <row r="892" spans="1:22">
      <c r="A892" s="192"/>
      <c r="B892" s="195"/>
      <c r="C892" s="196"/>
      <c r="D892" s="197"/>
      <c r="E892" s="198"/>
      <c r="F892" s="197"/>
      <c r="G892" s="198"/>
      <c r="H892" s="197"/>
      <c r="I892" s="198"/>
      <c r="J892" s="197"/>
      <c r="K892" s="198"/>
      <c r="L892" s="199" t="s">
        <v>1140</v>
      </c>
      <c r="M892" s="199" t="s">
        <v>1208</v>
      </c>
      <c r="N892" s="198">
        <f>SUM(N889:N891)</f>
        <v>3.84</v>
      </c>
      <c r="O892" s="155" t="e">
        <f>P887</f>
        <v>#REF!</v>
      </c>
      <c r="P892" s="193"/>
      <c r="Q892" s="200"/>
      <c r="R892" s="194"/>
      <c r="T892" s="190"/>
      <c r="U892" s="191"/>
    </row>
    <row r="893" spans="1:22">
      <c r="A893" s="192"/>
      <c r="B893" s="195"/>
      <c r="C893" s="196"/>
      <c r="D893" s="197"/>
      <c r="E893" s="198"/>
      <c r="F893" s="197"/>
      <c r="G893" s="198"/>
      <c r="H893" s="197"/>
      <c r="I893" s="198"/>
      <c r="J893" s="197"/>
      <c r="K893" s="198"/>
      <c r="L893" s="199"/>
      <c r="M893" s="199"/>
      <c r="N893" s="199"/>
      <c r="O893" s="155"/>
      <c r="P893" s="193"/>
      <c r="Q893" s="200"/>
      <c r="R893" s="194"/>
      <c r="T893" s="190"/>
      <c r="U893" s="191"/>
    </row>
    <row r="894" spans="1:22">
      <c r="A894" s="192"/>
      <c r="B894" s="1277" t="s">
        <v>1209</v>
      </c>
      <c r="C894" s="1277"/>
      <c r="D894" s="1277"/>
      <c r="E894" s="1277"/>
      <c r="F894" s="1277"/>
      <c r="G894" s="1277"/>
      <c r="H894" s="1277"/>
      <c r="I894" s="1277"/>
      <c r="J894" s="1277"/>
      <c r="K894" s="1277"/>
      <c r="L894" s="1277"/>
      <c r="M894" s="1277"/>
      <c r="N894" s="1277"/>
      <c r="O894" s="1277"/>
      <c r="P894" s="1277"/>
      <c r="Q894" s="203">
        <v>0</v>
      </c>
      <c r="R894" s="204">
        <f>Q894</f>
        <v>0</v>
      </c>
      <c r="T894" s="1278"/>
      <c r="U894" s="1279"/>
    </row>
    <row r="895" spans="1:22">
      <c r="A895" s="192"/>
      <c r="B895" s="1277" t="e">
        <f>med</f>
        <v>#NAME?</v>
      </c>
      <c r="C895" s="1277"/>
      <c r="D895" s="1277"/>
      <c r="E895" s="1277"/>
      <c r="F895" s="1277"/>
      <c r="G895" s="1277"/>
      <c r="H895" s="1277"/>
      <c r="I895" s="1277"/>
      <c r="J895" s="1277"/>
      <c r="K895" s="1277"/>
      <c r="L895" s="1277"/>
      <c r="M895" s="1277"/>
      <c r="N895" s="1277"/>
      <c r="O895" s="1277"/>
      <c r="P895" s="205">
        <f>N892</f>
        <v>3.84</v>
      </c>
      <c r="Q895" s="203">
        <f>P895</f>
        <v>3.84</v>
      </c>
      <c r="R895" s="204">
        <f>Q895+R894</f>
        <v>3.84</v>
      </c>
      <c r="T895" s="1278"/>
      <c r="U895" s="1279"/>
    </row>
    <row r="896" spans="1:22" ht="18" customHeight="1">
      <c r="A896" s="187" t="e">
        <f>#REF!</f>
        <v>#REF!</v>
      </c>
      <c r="B896" s="1275" t="e">
        <f>IF(A896="","",VLOOKUP($A896,'[2]FDE-JUNHO-08'!$A$6:$D$3537,2,FALSE()))</f>
        <v>#REF!</v>
      </c>
      <c r="C896" s="1275"/>
      <c r="D896" s="1275"/>
      <c r="E896" s="1275"/>
      <c r="F896" s="1275"/>
      <c r="G896" s="1275"/>
      <c r="H896" s="1275"/>
      <c r="I896" s="1275"/>
      <c r="J896" s="1275"/>
      <c r="K896" s="1275"/>
      <c r="L896" s="1275"/>
      <c r="M896" s="1275"/>
      <c r="N896" s="1275"/>
      <c r="O896" s="1275"/>
      <c r="P896" s="188" t="e">
        <f>IF(A896="","",VLOOKUP($A896,'[2]FDE-JUNHO-08'!$A$6:$D$3537,3,FALSE()))</f>
        <v>#REF!</v>
      </c>
      <c r="Q896" s="189" t="s">
        <v>1205</v>
      </c>
      <c r="R896" s="189" t="s">
        <v>1206</v>
      </c>
      <c r="T896" s="190"/>
      <c r="U896" s="191"/>
    </row>
    <row r="897" spans="1:22" ht="18" customHeight="1">
      <c r="A897" s="224"/>
      <c r="B897" s="225"/>
      <c r="C897" s="225"/>
      <c r="D897" s="225"/>
      <c r="E897" s="225"/>
      <c r="F897" s="225"/>
      <c r="G897" s="225"/>
      <c r="H897" s="225"/>
      <c r="I897" s="225"/>
      <c r="J897" s="198" t="s">
        <v>1231</v>
      </c>
      <c r="K897" s="198"/>
      <c r="L897" s="198" t="s">
        <v>1281</v>
      </c>
      <c r="M897" s="225"/>
      <c r="N897" s="225"/>
      <c r="O897" s="225"/>
      <c r="P897" s="226"/>
      <c r="Q897" s="231"/>
      <c r="R897" s="232"/>
      <c r="T897" s="190"/>
      <c r="U897" s="191"/>
    </row>
    <row r="898" spans="1:22">
      <c r="A898" s="192"/>
      <c r="B898" s="195" t="s">
        <v>1291</v>
      </c>
      <c r="C898" s="196"/>
      <c r="D898" s="197"/>
      <c r="E898" s="198"/>
      <c r="F898" s="197"/>
      <c r="G898" s="198"/>
      <c r="H898" s="197"/>
      <c r="I898" s="198"/>
      <c r="J898" s="198">
        <v>5</v>
      </c>
      <c r="K898" s="198" t="s">
        <v>1227</v>
      </c>
      <c r="L898" s="198">
        <v>2.5</v>
      </c>
      <c r="M898" s="198" t="s">
        <v>1208</v>
      </c>
      <c r="N898" s="198">
        <f>L898*J898</f>
        <v>12.5</v>
      </c>
      <c r="O898" s="155"/>
      <c r="P898" s="193"/>
      <c r="Q898" s="200"/>
      <c r="R898" s="194"/>
      <c r="T898" s="190"/>
      <c r="U898" s="191"/>
    </row>
    <row r="899" spans="1:22">
      <c r="A899" s="192"/>
      <c r="B899" s="195" t="s">
        <v>1292</v>
      </c>
      <c r="C899" s="196"/>
      <c r="D899" s="197"/>
      <c r="E899" s="198"/>
      <c r="F899" s="197"/>
      <c r="G899" s="198"/>
      <c r="H899" s="197"/>
      <c r="I899" s="198"/>
      <c r="J899" s="198">
        <v>4.9249999999999998</v>
      </c>
      <c r="K899" s="198" t="s">
        <v>1227</v>
      </c>
      <c r="L899" s="198">
        <v>2.5</v>
      </c>
      <c r="M899" s="198" t="s">
        <v>1208</v>
      </c>
      <c r="N899" s="198">
        <f>L899*J899</f>
        <v>12.3125</v>
      </c>
      <c r="O899" s="155"/>
      <c r="P899" s="193"/>
      <c r="Q899" s="200"/>
      <c r="R899" s="194"/>
      <c r="T899" s="190"/>
      <c r="U899" s="191"/>
    </row>
    <row r="900" spans="1:22">
      <c r="A900" s="192"/>
      <c r="B900" s="195" t="s">
        <v>1283</v>
      </c>
      <c r="C900" s="196"/>
      <c r="D900" s="197"/>
      <c r="E900" s="198"/>
      <c r="F900" s="197"/>
      <c r="G900" s="198"/>
      <c r="H900" s="197"/>
      <c r="I900" s="198"/>
      <c r="J900" s="198">
        <v>6</v>
      </c>
      <c r="K900" s="198" t="s">
        <v>1227</v>
      </c>
      <c r="L900" s="198">
        <v>2.5</v>
      </c>
      <c r="M900" s="198" t="s">
        <v>1208</v>
      </c>
      <c r="N900" s="198">
        <f>L900*J900</f>
        <v>15</v>
      </c>
      <c r="O900" s="155"/>
      <c r="P900" s="193"/>
      <c r="Q900" s="200"/>
      <c r="R900" s="194"/>
      <c r="T900" s="190"/>
      <c r="U900" s="191"/>
    </row>
    <row r="901" spans="1:22">
      <c r="A901" s="192"/>
      <c r="B901" s="195"/>
      <c r="C901" s="196"/>
      <c r="D901" s="197"/>
      <c r="E901" s="198"/>
      <c r="F901" s="197"/>
      <c r="G901" s="198"/>
      <c r="H901" s="197"/>
      <c r="I901" s="198"/>
      <c r="J901" s="197"/>
      <c r="K901" s="198"/>
      <c r="L901" s="199"/>
      <c r="M901" s="199"/>
      <c r="N901" s="201"/>
      <c r="O901" s="202"/>
      <c r="P901" s="193"/>
      <c r="Q901" s="200"/>
      <c r="R901" s="194"/>
      <c r="T901" s="190"/>
      <c r="U901" s="191"/>
    </row>
    <row r="902" spans="1:22">
      <c r="A902" s="192"/>
      <c r="B902" s="195"/>
      <c r="C902" s="196"/>
      <c r="D902" s="197"/>
      <c r="E902" s="198"/>
      <c r="F902" s="197"/>
      <c r="G902" s="198"/>
      <c r="H902" s="197"/>
      <c r="I902" s="198"/>
      <c r="J902" s="197"/>
      <c r="K902" s="198"/>
      <c r="L902" s="199" t="s">
        <v>1140</v>
      </c>
      <c r="M902" s="199" t="s">
        <v>1208</v>
      </c>
      <c r="N902" s="199">
        <f>SUM(N898:N901)</f>
        <v>39.8125</v>
      </c>
      <c r="O902" s="155" t="e">
        <f>P896</f>
        <v>#REF!</v>
      </c>
      <c r="P902" s="193"/>
      <c r="Q902" s="200"/>
      <c r="R902" s="194"/>
      <c r="T902" s="190"/>
      <c r="U902" s="191"/>
    </row>
    <row r="903" spans="1:22">
      <c r="A903" s="192"/>
      <c r="B903" s="195"/>
      <c r="C903" s="196"/>
      <c r="D903" s="197"/>
      <c r="E903" s="198"/>
      <c r="F903" s="197"/>
      <c r="G903" s="198"/>
      <c r="H903" s="197"/>
      <c r="I903" s="198"/>
      <c r="J903" s="197"/>
      <c r="K903" s="198"/>
      <c r="L903" s="199"/>
      <c r="M903" s="199"/>
      <c r="N903" s="199"/>
      <c r="O903" s="155"/>
      <c r="P903" s="193"/>
      <c r="Q903" s="200"/>
      <c r="R903" s="194"/>
      <c r="T903" s="190"/>
      <c r="U903" s="191"/>
    </row>
    <row r="904" spans="1:22">
      <c r="A904" s="192"/>
      <c r="B904" s="1277" t="s">
        <v>1209</v>
      </c>
      <c r="C904" s="1277"/>
      <c r="D904" s="1277"/>
      <c r="E904" s="1277"/>
      <c r="F904" s="1277"/>
      <c r="G904" s="1277"/>
      <c r="H904" s="1277"/>
      <c r="I904" s="1277"/>
      <c r="J904" s="1277"/>
      <c r="K904" s="1277"/>
      <c r="L904" s="1277"/>
      <c r="M904" s="1277"/>
      <c r="N904" s="1277"/>
      <c r="O904" s="1277"/>
      <c r="P904" s="1277"/>
      <c r="Q904" s="203">
        <v>0</v>
      </c>
      <c r="R904" s="204">
        <f>Q904</f>
        <v>0</v>
      </c>
      <c r="T904" s="1278"/>
      <c r="U904" s="1279"/>
    </row>
    <row r="905" spans="1:22">
      <c r="A905" s="192"/>
      <c r="B905" s="1277" t="e">
        <f>med</f>
        <v>#NAME?</v>
      </c>
      <c r="C905" s="1277"/>
      <c r="D905" s="1277"/>
      <c r="E905" s="1277"/>
      <c r="F905" s="1277"/>
      <c r="G905" s="1277"/>
      <c r="H905" s="1277"/>
      <c r="I905" s="1277"/>
      <c r="J905" s="1277"/>
      <c r="K905" s="1277"/>
      <c r="L905" s="1277"/>
      <c r="M905" s="1277"/>
      <c r="N905" s="1277"/>
      <c r="O905" s="1277"/>
      <c r="P905" s="205">
        <f>N902</f>
        <v>39.8125</v>
      </c>
      <c r="Q905" s="203">
        <f>P905</f>
        <v>39.8125</v>
      </c>
      <c r="R905" s="204">
        <f>Q905+R904</f>
        <v>39.8125</v>
      </c>
      <c r="T905" s="1278"/>
      <c r="U905" s="1279"/>
    </row>
    <row r="906" spans="1:22" ht="18" customHeight="1">
      <c r="A906" s="187" t="e">
        <f>#REF!</f>
        <v>#REF!</v>
      </c>
      <c r="B906" s="1275" t="e">
        <f>IF(A906="","",VLOOKUP($A906,'[2]FDE-JUNHO-08'!$A$6:$D$3537,2,FALSE()))</f>
        <v>#REF!</v>
      </c>
      <c r="C906" s="1275"/>
      <c r="D906" s="1275"/>
      <c r="E906" s="1275"/>
      <c r="F906" s="1275"/>
      <c r="G906" s="1275"/>
      <c r="H906" s="1275"/>
      <c r="I906" s="1275"/>
      <c r="J906" s="1275"/>
      <c r="K906" s="1275"/>
      <c r="L906" s="1275"/>
      <c r="M906" s="1275"/>
      <c r="N906" s="1275"/>
      <c r="O906" s="1275"/>
      <c r="P906" s="188" t="e">
        <f>IF(A906="","",VLOOKUP($A906,'[2]FDE-JUNHO-08'!$A$6:$D$3537,3,FALSE()))</f>
        <v>#REF!</v>
      </c>
      <c r="Q906" s="189" t="s">
        <v>1205</v>
      </c>
      <c r="R906" s="189" t="s">
        <v>1206</v>
      </c>
      <c r="T906" s="190"/>
      <c r="U906" s="191"/>
    </row>
    <row r="907" spans="1:22" ht="13.8">
      <c r="A907" s="192"/>
      <c r="B907" s="210"/>
      <c r="C907" s="196"/>
      <c r="D907" s="197"/>
      <c r="E907" s="198"/>
      <c r="F907" s="197"/>
      <c r="G907" s="198"/>
      <c r="H907" s="197"/>
      <c r="I907" s="207"/>
      <c r="J907" s="198" t="s">
        <v>1231</v>
      </c>
      <c r="K907" s="198"/>
      <c r="L907" s="198" t="s">
        <v>1281</v>
      </c>
      <c r="M907" s="209"/>
      <c r="N907" s="209"/>
      <c r="O907" s="155"/>
      <c r="P907" s="193"/>
      <c r="Q907" s="200"/>
      <c r="R907" s="194"/>
      <c r="T907" s="190"/>
      <c r="U907" s="191"/>
    </row>
    <row r="908" spans="1:22" s="235" customFormat="1">
      <c r="A908" s="192"/>
      <c r="B908" s="195" t="s">
        <v>1293</v>
      </c>
      <c r="C908" s="196"/>
      <c r="D908" s="197"/>
      <c r="E908" s="198"/>
      <c r="F908" s="197"/>
      <c r="G908" s="198"/>
      <c r="H908" s="197"/>
      <c r="I908" s="198"/>
      <c r="J908" s="198">
        <v>10</v>
      </c>
      <c r="K908" s="198" t="s">
        <v>1227</v>
      </c>
      <c r="L908" s="198">
        <v>2.1</v>
      </c>
      <c r="M908" s="198" t="s">
        <v>1208</v>
      </c>
      <c r="N908" s="198">
        <f>L908*J908</f>
        <v>21</v>
      </c>
      <c r="O908" s="155"/>
      <c r="P908" s="193"/>
      <c r="Q908" s="200"/>
      <c r="R908" s="194"/>
      <c r="S908"/>
      <c r="T908" s="190"/>
      <c r="U908" s="191"/>
      <c r="V908"/>
    </row>
    <row r="909" spans="1:22" s="235" customFormat="1">
      <c r="A909" s="192"/>
      <c r="B909" s="195" t="s">
        <v>1294</v>
      </c>
      <c r="C909" s="196"/>
      <c r="D909" s="197"/>
      <c r="E909" s="198"/>
      <c r="F909" s="197"/>
      <c r="G909" s="198"/>
      <c r="H909" s="197"/>
      <c r="I909" s="198"/>
      <c r="J909" s="198">
        <v>6</v>
      </c>
      <c r="K909" s="198" t="s">
        <v>1227</v>
      </c>
      <c r="L909" s="198">
        <v>2.1</v>
      </c>
      <c r="M909" s="198" t="s">
        <v>1208</v>
      </c>
      <c r="N909" s="198">
        <f>L909*J909</f>
        <v>12.600000000000001</v>
      </c>
      <c r="O909" s="155"/>
      <c r="P909" s="193"/>
      <c r="Q909" s="200"/>
      <c r="R909" s="194"/>
      <c r="S909"/>
      <c r="T909" s="190"/>
      <c r="U909" s="191"/>
      <c r="V909"/>
    </row>
    <row r="910" spans="1:22" s="235" customFormat="1">
      <c r="A910" s="192"/>
      <c r="B910" s="195"/>
      <c r="C910" s="196"/>
      <c r="D910" s="197"/>
      <c r="E910" s="198"/>
      <c r="F910" s="197"/>
      <c r="G910" s="198"/>
      <c r="H910" s="197"/>
      <c r="I910" s="198"/>
      <c r="J910" s="197"/>
      <c r="K910" s="198"/>
      <c r="L910" s="199"/>
      <c r="M910" s="199"/>
      <c r="N910" s="201"/>
      <c r="O910" s="202"/>
      <c r="P910" s="193"/>
      <c r="Q910" s="200"/>
      <c r="R910" s="194"/>
      <c r="S910"/>
      <c r="T910" s="190"/>
      <c r="U910" s="191"/>
    </row>
    <row r="911" spans="1:22">
      <c r="A911" s="192"/>
      <c r="B911" s="195"/>
      <c r="C911" s="196"/>
      <c r="D911" s="197"/>
      <c r="E911" s="198"/>
      <c r="F911" s="197"/>
      <c r="G911" s="198"/>
      <c r="H911" s="197"/>
      <c r="I911" s="198"/>
      <c r="J911" s="197"/>
      <c r="K911" s="198"/>
      <c r="L911" s="199" t="s">
        <v>1140</v>
      </c>
      <c r="M911" s="199" t="s">
        <v>1208</v>
      </c>
      <c r="N911" s="199">
        <f>SUM(N906:N910)</f>
        <v>33.6</v>
      </c>
      <c r="O911" s="155" t="e">
        <f>P906</f>
        <v>#REF!</v>
      </c>
      <c r="P911" s="193"/>
      <c r="Q911" s="200"/>
      <c r="R911" s="194"/>
      <c r="T911" s="190"/>
      <c r="U911" s="191"/>
      <c r="V911" s="235"/>
    </row>
    <row r="912" spans="1:22">
      <c r="A912" s="192"/>
      <c r="B912" s="195"/>
      <c r="C912" s="196"/>
      <c r="D912" s="197"/>
      <c r="E912" s="198"/>
      <c r="F912" s="197"/>
      <c r="G912" s="198"/>
      <c r="H912" s="197"/>
      <c r="I912" s="198"/>
      <c r="J912" s="197"/>
      <c r="K912" s="198"/>
      <c r="L912" s="199"/>
      <c r="M912" s="199"/>
      <c r="N912" s="199"/>
      <c r="O912" s="155"/>
      <c r="P912" s="193"/>
      <c r="Q912" s="200"/>
      <c r="R912" s="194"/>
      <c r="T912" s="190"/>
      <c r="U912" s="191"/>
      <c r="V912" s="235"/>
    </row>
    <row r="913" spans="1:22">
      <c r="A913" s="192"/>
      <c r="B913" s="1277" t="s">
        <v>1209</v>
      </c>
      <c r="C913" s="1277"/>
      <c r="D913" s="1277"/>
      <c r="E913" s="1277"/>
      <c r="F913" s="1277"/>
      <c r="G913" s="1277"/>
      <c r="H913" s="1277"/>
      <c r="I913" s="1277"/>
      <c r="J913" s="1277"/>
      <c r="K913" s="1277"/>
      <c r="L913" s="1277"/>
      <c r="M913" s="1277"/>
      <c r="N913" s="1277"/>
      <c r="O913" s="1277"/>
      <c r="P913" s="1277"/>
      <c r="Q913" s="203">
        <v>0</v>
      </c>
      <c r="R913" s="204">
        <f>Q913</f>
        <v>0</v>
      </c>
      <c r="T913" s="1278"/>
      <c r="U913" s="1279"/>
    </row>
    <row r="914" spans="1:22">
      <c r="A914" s="192"/>
      <c r="B914" s="1277" t="e">
        <f>med</f>
        <v>#NAME?</v>
      </c>
      <c r="C914" s="1277"/>
      <c r="D914" s="1277"/>
      <c r="E914" s="1277"/>
      <c r="F914" s="1277"/>
      <c r="G914" s="1277"/>
      <c r="H914" s="1277"/>
      <c r="I914" s="1277"/>
      <c r="J914" s="1277"/>
      <c r="K914" s="1277"/>
      <c r="L914" s="1277"/>
      <c r="M914" s="1277"/>
      <c r="N914" s="1277"/>
      <c r="O914" s="1277"/>
      <c r="P914" s="205">
        <f>N911</f>
        <v>33.6</v>
      </c>
      <c r="Q914" s="203">
        <f>P914</f>
        <v>33.6</v>
      </c>
      <c r="R914" s="204">
        <f>Q914+R913</f>
        <v>33.6</v>
      </c>
      <c r="T914" s="1278"/>
      <c r="U914" s="1279"/>
    </row>
    <row r="915" spans="1:22" ht="18" customHeight="1">
      <c r="A915" s="187" t="e">
        <f>#REF!</f>
        <v>#REF!</v>
      </c>
      <c r="B915" s="1275" t="e">
        <f>IF(A915="","",VLOOKUP($A915,'[2]FDE-JUNHO-08'!$A$6:$D$3537,2,FALSE()))</f>
        <v>#REF!</v>
      </c>
      <c r="C915" s="1275"/>
      <c r="D915" s="1275"/>
      <c r="E915" s="1275"/>
      <c r="F915" s="1275"/>
      <c r="G915" s="1275"/>
      <c r="H915" s="1275"/>
      <c r="I915" s="1275"/>
      <c r="J915" s="1275"/>
      <c r="K915" s="1275"/>
      <c r="L915" s="1275"/>
      <c r="M915" s="1275"/>
      <c r="N915" s="1275"/>
      <c r="O915" s="1275"/>
      <c r="P915" s="188" t="e">
        <f>IF(A915="","",VLOOKUP($A915,'[2]FDE-JUNHO-08'!$A$6:$D$3537,3,FALSE()))</f>
        <v>#REF!</v>
      </c>
      <c r="Q915" s="189" t="s">
        <v>1205</v>
      </c>
      <c r="R915" s="189" t="s">
        <v>1206</v>
      </c>
      <c r="S915" s="235"/>
      <c r="T915" s="236"/>
      <c r="U915" s="236"/>
      <c r="V915" s="235"/>
    </row>
    <row r="916" spans="1:22">
      <c r="A916" s="192"/>
      <c r="B916" s="1281"/>
      <c r="C916" s="1281"/>
      <c r="D916" s="1281"/>
      <c r="E916" s="1281"/>
      <c r="F916" s="1281"/>
      <c r="G916" s="1281"/>
      <c r="H916" s="1281"/>
      <c r="I916" s="1281"/>
      <c r="J916" s="1281"/>
      <c r="K916" s="1281"/>
      <c r="L916" s="1281"/>
      <c r="M916" s="1281"/>
      <c r="N916" s="1281"/>
      <c r="O916" s="1281"/>
      <c r="P916" s="193"/>
      <c r="Q916" s="194"/>
      <c r="R916" s="194"/>
      <c r="S916" s="235"/>
      <c r="T916" s="236"/>
      <c r="U916" s="236"/>
      <c r="V916" s="235"/>
    </row>
    <row r="917" spans="1:22">
      <c r="A917" s="192"/>
      <c r="B917" s="195" t="s">
        <v>1295</v>
      </c>
      <c r="C917" s="196"/>
      <c r="D917" s="197"/>
      <c r="E917" s="198"/>
      <c r="F917" s="197"/>
      <c r="G917" s="198"/>
      <c r="H917" s="197"/>
      <c r="I917" s="198"/>
      <c r="J917" s="198"/>
      <c r="K917" s="198"/>
      <c r="L917" s="198"/>
      <c r="M917" s="198" t="s">
        <v>1208</v>
      </c>
      <c r="N917" s="199">
        <v>1</v>
      </c>
      <c r="O917" s="155"/>
      <c r="P917" s="193"/>
      <c r="Q917" s="200"/>
      <c r="R917" s="194"/>
      <c r="S917" s="235"/>
      <c r="T917" s="236"/>
      <c r="U917" s="236"/>
      <c r="V917" s="235"/>
    </row>
    <row r="918" spans="1:22">
      <c r="A918" s="192"/>
      <c r="B918" s="195"/>
      <c r="C918" s="196"/>
      <c r="D918" s="197"/>
      <c r="E918" s="198"/>
      <c r="F918" s="197"/>
      <c r="G918" s="198"/>
      <c r="H918" s="197"/>
      <c r="I918" s="198"/>
      <c r="J918" s="197"/>
      <c r="K918" s="198"/>
      <c r="L918" s="199"/>
      <c r="M918" s="199"/>
      <c r="N918" s="201"/>
      <c r="O918" s="202"/>
      <c r="P918" s="193"/>
      <c r="Q918" s="200"/>
      <c r="R918" s="194"/>
      <c r="S918" s="235"/>
      <c r="T918" s="236"/>
      <c r="U918" s="236"/>
      <c r="V918" s="235"/>
    </row>
    <row r="919" spans="1:22">
      <c r="A919" s="192"/>
      <c r="B919" s="195"/>
      <c r="C919" s="196"/>
      <c r="D919" s="197"/>
      <c r="E919" s="198"/>
      <c r="F919" s="197"/>
      <c r="G919" s="198"/>
      <c r="H919" s="197"/>
      <c r="I919" s="198"/>
      <c r="J919" s="197"/>
      <c r="K919" s="198"/>
      <c r="L919" s="199" t="s">
        <v>1140</v>
      </c>
      <c r="M919" s="199" t="s">
        <v>1208</v>
      </c>
      <c r="N919" s="199">
        <f>SUM(N915:N918)</f>
        <v>1</v>
      </c>
      <c r="O919" s="155" t="e">
        <f>P915</f>
        <v>#REF!</v>
      </c>
      <c r="P919" s="193"/>
      <c r="Q919" s="200"/>
      <c r="R919" s="194"/>
      <c r="S919" s="235"/>
      <c r="T919" s="236"/>
      <c r="U919" s="236"/>
      <c r="V919" s="235"/>
    </row>
    <row r="920" spans="1:22">
      <c r="A920" s="192"/>
      <c r="B920" s="195"/>
      <c r="C920" s="196"/>
      <c r="D920" s="197"/>
      <c r="E920" s="198"/>
      <c r="F920" s="197"/>
      <c r="G920" s="198"/>
      <c r="H920" s="197"/>
      <c r="I920" s="198"/>
      <c r="J920" s="197"/>
      <c r="K920" s="198"/>
      <c r="L920" s="199"/>
      <c r="M920" s="199"/>
      <c r="N920" s="199"/>
      <c r="O920" s="155"/>
      <c r="P920" s="193"/>
      <c r="Q920" s="200"/>
      <c r="R920" s="194"/>
      <c r="S920" s="235"/>
      <c r="T920" s="236"/>
      <c r="U920" s="236"/>
      <c r="V920" s="235"/>
    </row>
    <row r="921" spans="1:22">
      <c r="A921" s="192"/>
      <c r="B921" s="1277" t="s">
        <v>1209</v>
      </c>
      <c r="C921" s="1277"/>
      <c r="D921" s="1277"/>
      <c r="E921" s="1277"/>
      <c r="F921" s="1277"/>
      <c r="G921" s="1277"/>
      <c r="H921" s="1277"/>
      <c r="I921" s="1277"/>
      <c r="J921" s="1277"/>
      <c r="K921" s="1277"/>
      <c r="L921" s="1277"/>
      <c r="M921" s="1277"/>
      <c r="N921" s="1277"/>
      <c r="O921" s="1277"/>
      <c r="P921" s="1277"/>
      <c r="Q921" s="203">
        <v>0</v>
      </c>
      <c r="R921" s="204">
        <f>Q921</f>
        <v>0</v>
      </c>
      <c r="T921" s="1278"/>
      <c r="U921" s="1279"/>
    </row>
    <row r="922" spans="1:22">
      <c r="A922" s="192"/>
      <c r="B922" s="1277" t="e">
        <f>med</f>
        <v>#NAME?</v>
      </c>
      <c r="C922" s="1277"/>
      <c r="D922" s="1277"/>
      <c r="E922" s="1277"/>
      <c r="F922" s="1277"/>
      <c r="G922" s="1277"/>
      <c r="H922" s="1277"/>
      <c r="I922" s="1277"/>
      <c r="J922" s="1277"/>
      <c r="K922" s="1277"/>
      <c r="L922" s="1277"/>
      <c r="M922" s="1277"/>
      <c r="N922" s="1277"/>
      <c r="O922" s="1277"/>
      <c r="P922" s="205">
        <f>N919</f>
        <v>1</v>
      </c>
      <c r="Q922" s="203">
        <f>P922</f>
        <v>1</v>
      </c>
      <c r="R922" s="204">
        <f>Q922+R921</f>
        <v>1</v>
      </c>
      <c r="T922" s="1278"/>
      <c r="U922" s="1279"/>
    </row>
    <row r="923" spans="1:22" ht="18" customHeight="1">
      <c r="A923" s="187" t="e">
        <f>#REF!</f>
        <v>#REF!</v>
      </c>
      <c r="B923" s="1275" t="e">
        <f>IF(A923="","",VLOOKUP($A923,'[2]FDE-JUNHO-08'!$A$6:$D$3537,2,FALSE()))</f>
        <v>#REF!</v>
      </c>
      <c r="C923" s="1275"/>
      <c r="D923" s="1275"/>
      <c r="E923" s="1275"/>
      <c r="F923" s="1275"/>
      <c r="G923" s="1275"/>
      <c r="H923" s="1275"/>
      <c r="I923" s="1275"/>
      <c r="J923" s="1275"/>
      <c r="K923" s="1275"/>
      <c r="L923" s="1275"/>
      <c r="M923" s="1275"/>
      <c r="N923" s="1275"/>
      <c r="O923" s="1275"/>
      <c r="P923" s="188" t="e">
        <f>IF(A923="","",VLOOKUP($A923,'[2]FDE-JUNHO-08'!$A$6:$D$3537,3,FALSE()))</f>
        <v>#REF!</v>
      </c>
      <c r="Q923" s="189" t="s">
        <v>1205</v>
      </c>
      <c r="R923" s="189" t="s">
        <v>1206</v>
      </c>
      <c r="T923" s="190"/>
      <c r="U923" s="191"/>
    </row>
    <row r="924" spans="1:22" ht="13.5" customHeight="1">
      <c r="A924" s="224"/>
      <c r="B924" s="225"/>
      <c r="C924" s="225"/>
      <c r="D924" s="225"/>
      <c r="E924" s="225"/>
      <c r="F924" s="225"/>
      <c r="G924" s="225"/>
      <c r="H924" s="225"/>
      <c r="I924" s="225"/>
      <c r="J924" s="225"/>
      <c r="K924" s="225"/>
      <c r="L924" s="225"/>
      <c r="M924" s="225"/>
      <c r="N924" s="225"/>
      <c r="O924" s="225"/>
      <c r="P924" s="226"/>
      <c r="Q924" s="231"/>
      <c r="R924" s="232"/>
      <c r="T924" s="190"/>
      <c r="U924" s="191"/>
    </row>
    <row r="925" spans="1:22">
      <c r="A925" s="192"/>
      <c r="B925" s="195" t="s">
        <v>1296</v>
      </c>
      <c r="C925" s="196"/>
      <c r="D925" s="197"/>
      <c r="E925" s="198"/>
      <c r="F925" s="197"/>
      <c r="G925" s="198"/>
      <c r="H925" s="197"/>
      <c r="I925" s="198"/>
      <c r="J925" s="198"/>
      <c r="K925" s="198"/>
      <c r="L925" s="198"/>
      <c r="M925" s="198"/>
      <c r="N925" s="199">
        <v>9</v>
      </c>
      <c r="O925" s="155"/>
      <c r="P925" s="193"/>
      <c r="Q925" s="200"/>
      <c r="R925" s="194"/>
      <c r="S925" s="235"/>
      <c r="T925" s="236"/>
      <c r="U925" s="236"/>
      <c r="V925" s="235"/>
    </row>
    <row r="926" spans="1:22">
      <c r="A926" s="192"/>
      <c r="B926" s="195"/>
      <c r="C926" s="196"/>
      <c r="D926" s="197"/>
      <c r="E926" s="198"/>
      <c r="F926" s="197"/>
      <c r="G926" s="198"/>
      <c r="H926" s="197"/>
      <c r="I926" s="198"/>
      <c r="J926" s="197"/>
      <c r="K926" s="198"/>
      <c r="L926" s="199"/>
      <c r="M926" s="199"/>
      <c r="N926" s="201"/>
      <c r="O926" s="202"/>
      <c r="P926" s="193"/>
      <c r="Q926" s="200"/>
      <c r="R926" s="194"/>
      <c r="S926" s="235"/>
      <c r="T926" s="236"/>
      <c r="U926" s="236"/>
      <c r="V926" s="235"/>
    </row>
    <row r="927" spans="1:22">
      <c r="A927" s="192"/>
      <c r="B927" s="195"/>
      <c r="C927" s="196"/>
      <c r="D927" s="197"/>
      <c r="E927" s="198"/>
      <c r="F927" s="197"/>
      <c r="G927" s="198"/>
      <c r="H927" s="197"/>
      <c r="I927" s="198"/>
      <c r="J927" s="197"/>
      <c r="K927" s="198"/>
      <c r="L927" s="199" t="s">
        <v>1140</v>
      </c>
      <c r="M927" s="199" t="s">
        <v>1208</v>
      </c>
      <c r="N927" s="199">
        <f>SUM(N923:N926)</f>
        <v>9</v>
      </c>
      <c r="O927" s="155" t="e">
        <f>P923</f>
        <v>#REF!</v>
      </c>
      <c r="P927" s="193"/>
      <c r="Q927" s="200"/>
      <c r="R927" s="194"/>
      <c r="S927" s="235"/>
      <c r="T927" s="236"/>
      <c r="U927" s="236"/>
      <c r="V927" s="235"/>
    </row>
    <row r="928" spans="1:22">
      <c r="A928" s="192"/>
      <c r="B928" s="195"/>
      <c r="C928" s="196"/>
      <c r="D928" s="197"/>
      <c r="E928" s="198"/>
      <c r="F928" s="197"/>
      <c r="G928" s="198"/>
      <c r="H928" s="197"/>
      <c r="I928" s="198"/>
      <c r="J928" s="197"/>
      <c r="K928" s="198"/>
      <c r="L928" s="199"/>
      <c r="M928" s="199"/>
      <c r="N928" s="199"/>
      <c r="O928" s="155"/>
      <c r="P928" s="193"/>
      <c r="Q928" s="200"/>
      <c r="R928" s="194"/>
      <c r="T928" s="190"/>
      <c r="U928" s="191"/>
    </row>
    <row r="929" spans="1:21">
      <c r="A929" s="192"/>
      <c r="B929" s="1277" t="s">
        <v>1209</v>
      </c>
      <c r="C929" s="1277"/>
      <c r="D929" s="1277"/>
      <c r="E929" s="1277"/>
      <c r="F929" s="1277"/>
      <c r="G929" s="1277"/>
      <c r="H929" s="1277"/>
      <c r="I929" s="1277"/>
      <c r="J929" s="1277"/>
      <c r="K929" s="1277"/>
      <c r="L929" s="1277"/>
      <c r="M929" s="1277"/>
      <c r="N929" s="1277"/>
      <c r="O929" s="1277"/>
      <c r="P929" s="1277"/>
      <c r="Q929" s="203">
        <v>0</v>
      </c>
      <c r="R929" s="204">
        <f>Q929</f>
        <v>0</v>
      </c>
      <c r="T929" s="1278"/>
      <c r="U929" s="1279"/>
    </row>
    <row r="930" spans="1:21">
      <c r="A930" s="192"/>
      <c r="B930" s="1277" t="e">
        <f>med</f>
        <v>#NAME?</v>
      </c>
      <c r="C930" s="1277"/>
      <c r="D930" s="1277"/>
      <c r="E930" s="1277"/>
      <c r="F930" s="1277"/>
      <c r="G930" s="1277"/>
      <c r="H930" s="1277"/>
      <c r="I930" s="1277"/>
      <c r="J930" s="1277"/>
      <c r="K930" s="1277"/>
      <c r="L930" s="1277"/>
      <c r="M930" s="1277"/>
      <c r="N930" s="1277"/>
      <c r="O930" s="1277"/>
      <c r="P930" s="205">
        <f>N927</f>
        <v>9</v>
      </c>
      <c r="Q930" s="203">
        <f>P930</f>
        <v>9</v>
      </c>
      <c r="R930" s="204">
        <f>Q930+R929</f>
        <v>9</v>
      </c>
      <c r="T930" s="1278"/>
      <c r="U930" s="1279"/>
    </row>
    <row r="931" spans="1:21" ht="18" customHeight="1">
      <c r="A931" s="187" t="e">
        <f>#REF!</f>
        <v>#REF!</v>
      </c>
      <c r="B931" s="1275" t="e">
        <f>IF(A931="","",VLOOKUP($A931,'[2]FDE-JUNHO-08'!$A$6:$D$3537,2,FALSE()))</f>
        <v>#REF!</v>
      </c>
      <c r="C931" s="1275"/>
      <c r="D931" s="1275"/>
      <c r="E931" s="1275"/>
      <c r="F931" s="1275"/>
      <c r="G931" s="1275"/>
      <c r="H931" s="1275"/>
      <c r="I931" s="1275"/>
      <c r="J931" s="1275"/>
      <c r="K931" s="1275"/>
      <c r="L931" s="1275"/>
      <c r="M931" s="1275"/>
      <c r="N931" s="1275"/>
      <c r="O931" s="1275"/>
      <c r="P931" s="188" t="e">
        <f>IF(A931="","",VLOOKUP($A931,'[2]FDE-JUNHO-08'!$A$6:$D$3537,3,FALSE()))</f>
        <v>#REF!</v>
      </c>
      <c r="Q931" s="189" t="s">
        <v>1205</v>
      </c>
      <c r="R931" s="189" t="s">
        <v>1206</v>
      </c>
      <c r="T931" s="190"/>
      <c r="U931" s="191"/>
    </row>
    <row r="932" spans="1:21">
      <c r="A932" s="192"/>
      <c r="B932" s="1281"/>
      <c r="C932" s="1281"/>
      <c r="D932" s="1281"/>
      <c r="E932" s="1281"/>
      <c r="F932" s="1281"/>
      <c r="G932" s="1281"/>
      <c r="H932" s="1281"/>
      <c r="I932" s="1281"/>
      <c r="J932" s="1281"/>
      <c r="K932" s="1281"/>
      <c r="L932" s="1281"/>
      <c r="M932" s="1281"/>
      <c r="N932" s="1281"/>
      <c r="O932" s="1281"/>
      <c r="P932" s="193"/>
      <c r="Q932" s="194"/>
      <c r="R932" s="194"/>
      <c r="T932" s="190"/>
      <c r="U932" s="191"/>
    </row>
    <row r="933" spans="1:21">
      <c r="A933" s="192"/>
      <c r="B933" s="195" t="s">
        <v>1297</v>
      </c>
      <c r="C933" s="196"/>
      <c r="D933" s="197"/>
      <c r="E933" s="198"/>
      <c r="F933" s="197"/>
      <c r="G933" s="198"/>
      <c r="H933" s="197"/>
      <c r="I933" s="198"/>
      <c r="J933" s="198"/>
      <c r="K933" s="198"/>
      <c r="L933" s="198"/>
      <c r="M933" s="198"/>
      <c r="N933" s="198">
        <v>13</v>
      </c>
      <c r="O933" s="155"/>
      <c r="P933" s="193"/>
      <c r="Q933" s="200"/>
      <c r="R933" s="194"/>
      <c r="T933" s="190"/>
      <c r="U933" s="191"/>
    </row>
    <row r="934" spans="1:21">
      <c r="A934" s="192"/>
      <c r="B934" s="195"/>
      <c r="C934" s="196"/>
      <c r="D934" s="197"/>
      <c r="E934" s="198"/>
      <c r="F934" s="197"/>
      <c r="G934" s="198"/>
      <c r="H934" s="197"/>
      <c r="I934" s="198"/>
      <c r="J934" s="197"/>
      <c r="K934" s="198"/>
      <c r="L934" s="199"/>
      <c r="M934" s="199"/>
      <c r="N934" s="201"/>
      <c r="O934" s="202"/>
      <c r="P934" s="193"/>
      <c r="Q934" s="200"/>
      <c r="R934" s="194"/>
      <c r="T934" s="190"/>
      <c r="U934" s="191"/>
    </row>
    <row r="935" spans="1:21">
      <c r="A935" s="192"/>
      <c r="B935" s="195"/>
      <c r="C935" s="196"/>
      <c r="D935" s="197"/>
      <c r="E935" s="198"/>
      <c r="F935" s="197"/>
      <c r="G935" s="198"/>
      <c r="H935" s="197"/>
      <c r="I935" s="198"/>
      <c r="J935" s="197"/>
      <c r="K935" s="198"/>
      <c r="L935" s="199" t="s">
        <v>1140</v>
      </c>
      <c r="M935" s="199" t="s">
        <v>1208</v>
      </c>
      <c r="N935" s="199">
        <f>SUM(N931:N934)</f>
        <v>13</v>
      </c>
      <c r="O935" s="155" t="e">
        <f>P931</f>
        <v>#REF!</v>
      </c>
      <c r="P935" s="193"/>
      <c r="Q935" s="200"/>
      <c r="R935" s="194"/>
      <c r="T935" s="190"/>
      <c r="U935" s="191"/>
    </row>
    <row r="936" spans="1:21">
      <c r="A936" s="192"/>
      <c r="B936" s="195"/>
      <c r="C936" s="196"/>
      <c r="D936" s="197"/>
      <c r="E936" s="198"/>
      <c r="F936" s="197"/>
      <c r="G936" s="198"/>
      <c r="H936" s="197"/>
      <c r="I936" s="198"/>
      <c r="J936" s="197"/>
      <c r="K936" s="198"/>
      <c r="L936" s="199"/>
      <c r="M936" s="199"/>
      <c r="N936" s="199"/>
      <c r="O936" s="155"/>
      <c r="P936" s="193"/>
      <c r="Q936" s="200"/>
      <c r="R936" s="194"/>
      <c r="T936" s="190"/>
      <c r="U936" s="191"/>
    </row>
    <row r="937" spans="1:21">
      <c r="A937" s="192"/>
      <c r="B937" s="1277" t="s">
        <v>1209</v>
      </c>
      <c r="C937" s="1277"/>
      <c r="D937" s="1277"/>
      <c r="E937" s="1277"/>
      <c r="F937" s="1277"/>
      <c r="G937" s="1277"/>
      <c r="H937" s="1277"/>
      <c r="I937" s="1277"/>
      <c r="J937" s="1277"/>
      <c r="K937" s="1277"/>
      <c r="L937" s="1277"/>
      <c r="M937" s="1277"/>
      <c r="N937" s="1277"/>
      <c r="O937" s="1277"/>
      <c r="P937" s="1277"/>
      <c r="Q937" s="203">
        <v>0</v>
      </c>
      <c r="R937" s="204">
        <f>Q937</f>
        <v>0</v>
      </c>
      <c r="T937" s="1278"/>
      <c r="U937" s="1279"/>
    </row>
    <row r="938" spans="1:21">
      <c r="A938" s="206"/>
      <c r="B938" s="1277" t="e">
        <f>med</f>
        <v>#NAME?</v>
      </c>
      <c r="C938" s="1277"/>
      <c r="D938" s="1277"/>
      <c r="E938" s="1277"/>
      <c r="F938" s="1277"/>
      <c r="G938" s="1277"/>
      <c r="H938" s="1277"/>
      <c r="I938" s="1277"/>
      <c r="J938" s="1277"/>
      <c r="K938" s="1277"/>
      <c r="L938" s="1277"/>
      <c r="M938" s="1277"/>
      <c r="N938" s="1277"/>
      <c r="O938" s="1277"/>
      <c r="P938" s="205">
        <f>N935</f>
        <v>13</v>
      </c>
      <c r="Q938" s="203">
        <f>P938</f>
        <v>13</v>
      </c>
      <c r="R938" s="204">
        <f>Q938+R937</f>
        <v>13</v>
      </c>
      <c r="T938" s="1278"/>
      <c r="U938" s="1279"/>
    </row>
    <row r="939" spans="1:21" ht="18" customHeight="1">
      <c r="A939" s="187">
        <f>PLANILHA!B122</f>
        <v>58071</v>
      </c>
      <c r="B939" s="1275" t="e">
        <f>IF(A939="","",VLOOKUP($A939,'[2]FDE-JUNHO-08'!$A$6:$D$3537,2,FALSE()))</f>
        <v>#N/A</v>
      </c>
      <c r="C939" s="1275"/>
      <c r="D939" s="1275"/>
      <c r="E939" s="1275"/>
      <c r="F939" s="1275"/>
      <c r="G939" s="1275"/>
      <c r="H939" s="1275"/>
      <c r="I939" s="1275"/>
      <c r="J939" s="1275"/>
      <c r="K939" s="1275"/>
      <c r="L939" s="1275"/>
      <c r="M939" s="1275"/>
      <c r="N939" s="1275"/>
      <c r="O939" s="1275"/>
      <c r="P939" s="188" t="e">
        <f>IF(A939="","",VLOOKUP($A939,'[2]FDE-JUNHO-08'!$A$6:$D$3537,3,FALSE()))</f>
        <v>#N/A</v>
      </c>
      <c r="Q939" s="189" t="s">
        <v>1205</v>
      </c>
      <c r="R939" s="189" t="s">
        <v>1206</v>
      </c>
      <c r="T939" s="190"/>
      <c r="U939" s="191"/>
    </row>
    <row r="940" spans="1:21">
      <c r="A940" s="192"/>
      <c r="B940" s="1281"/>
      <c r="C940" s="1281"/>
      <c r="D940" s="1281"/>
      <c r="E940" s="1281"/>
      <c r="F940" s="1281"/>
      <c r="G940" s="1281"/>
      <c r="H940" s="1281"/>
      <c r="I940" s="1281"/>
      <c r="J940" s="1281"/>
      <c r="K940" s="1281"/>
      <c r="L940" s="1281"/>
      <c r="M940" s="1281"/>
      <c r="N940" s="1281"/>
      <c r="O940" s="1281"/>
      <c r="P940" s="193"/>
      <c r="Q940" s="194"/>
      <c r="R940" s="194"/>
      <c r="T940" s="190"/>
      <c r="U940" s="191"/>
    </row>
    <row r="941" spans="1:21">
      <c r="A941" s="192"/>
      <c r="B941" s="195" t="s">
        <v>1298</v>
      </c>
      <c r="C941" s="196"/>
      <c r="D941" s="197"/>
      <c r="E941" s="198"/>
      <c r="F941" s="197"/>
      <c r="G941" s="198"/>
      <c r="H941" s="197"/>
      <c r="I941" s="198"/>
      <c r="J941" s="197"/>
      <c r="K941" s="198"/>
      <c r="L941" s="198"/>
      <c r="M941" s="198"/>
      <c r="N941" s="199">
        <v>3</v>
      </c>
      <c r="O941" s="155"/>
      <c r="P941" s="193"/>
      <c r="Q941" s="200"/>
      <c r="R941" s="194"/>
      <c r="T941" s="190"/>
      <c r="U941" s="191"/>
    </row>
    <row r="942" spans="1:21">
      <c r="A942" s="192"/>
      <c r="B942" s="195"/>
      <c r="C942" s="196"/>
      <c r="D942" s="197"/>
      <c r="E942" s="198"/>
      <c r="F942" s="199"/>
      <c r="G942" s="198"/>
      <c r="H942" s="199"/>
      <c r="I942" s="198"/>
      <c r="J942" s="197"/>
      <c r="K942" s="198"/>
      <c r="L942" s="199"/>
      <c r="M942" s="199"/>
      <c r="N942" s="201"/>
      <c r="O942" s="202"/>
      <c r="P942" s="193"/>
      <c r="Q942" s="200"/>
      <c r="R942" s="194"/>
      <c r="T942" s="190"/>
      <c r="U942" s="191"/>
    </row>
    <row r="943" spans="1:21">
      <c r="A943" s="192"/>
      <c r="B943" s="195"/>
      <c r="C943" s="196"/>
      <c r="D943" s="197"/>
      <c r="E943" s="198"/>
      <c r="F943" s="197"/>
      <c r="G943" s="198"/>
      <c r="H943" s="197"/>
      <c r="I943" s="198"/>
      <c r="J943" s="197"/>
      <c r="K943" s="198"/>
      <c r="L943" s="199" t="s">
        <v>1140</v>
      </c>
      <c r="M943" s="199" t="s">
        <v>1208</v>
      </c>
      <c r="N943" s="199">
        <f>SUM(N940:N942)</f>
        <v>3</v>
      </c>
      <c r="O943" s="155" t="e">
        <f>P939</f>
        <v>#N/A</v>
      </c>
      <c r="P943" s="193"/>
      <c r="Q943" s="200"/>
      <c r="R943" s="194"/>
      <c r="T943" s="190"/>
      <c r="U943" s="191"/>
    </row>
    <row r="944" spans="1:21">
      <c r="A944" s="192"/>
      <c r="B944" s="195"/>
      <c r="C944" s="196"/>
      <c r="D944" s="197"/>
      <c r="E944" s="198"/>
      <c r="F944" s="197"/>
      <c r="G944" s="198"/>
      <c r="H944" s="197"/>
      <c r="I944" s="198"/>
      <c r="J944" s="197"/>
      <c r="K944" s="198"/>
      <c r="L944" s="199"/>
      <c r="M944" s="199"/>
      <c r="N944" s="201"/>
      <c r="O944" s="202"/>
      <c r="P944" s="193"/>
      <c r="Q944" s="200"/>
      <c r="R944" s="194"/>
      <c r="T944" s="190"/>
      <c r="U944" s="191"/>
    </row>
    <row r="945" spans="1:22">
      <c r="A945" s="192"/>
      <c r="B945" s="1277" t="s">
        <v>1209</v>
      </c>
      <c r="C945" s="1277"/>
      <c r="D945" s="1277"/>
      <c r="E945" s="1277"/>
      <c r="F945" s="1277"/>
      <c r="G945" s="1277"/>
      <c r="H945" s="1277"/>
      <c r="I945" s="1277"/>
      <c r="J945" s="1277"/>
      <c r="K945" s="1277"/>
      <c r="L945" s="1277"/>
      <c r="M945" s="1277"/>
      <c r="N945" s="1277"/>
      <c r="O945" s="1277"/>
      <c r="P945" s="1277"/>
      <c r="Q945" s="203">
        <v>0</v>
      </c>
      <c r="R945" s="204">
        <f>Q945</f>
        <v>0</v>
      </c>
      <c r="T945" s="1278"/>
      <c r="U945" s="1279"/>
    </row>
    <row r="946" spans="1:22">
      <c r="A946" s="192"/>
      <c r="B946" s="1277" t="e">
        <f>med</f>
        <v>#NAME?</v>
      </c>
      <c r="C946" s="1277"/>
      <c r="D946" s="1277"/>
      <c r="E946" s="1277"/>
      <c r="F946" s="1277"/>
      <c r="G946" s="1277"/>
      <c r="H946" s="1277"/>
      <c r="I946" s="1277"/>
      <c r="J946" s="1277"/>
      <c r="K946" s="1277"/>
      <c r="L946" s="1277"/>
      <c r="M946" s="1277"/>
      <c r="N946" s="1277"/>
      <c r="O946" s="1277"/>
      <c r="P946" s="205">
        <f>N943</f>
        <v>3</v>
      </c>
      <c r="Q946" s="203">
        <f>P946</f>
        <v>3</v>
      </c>
      <c r="R946" s="204">
        <f>Q946+R945</f>
        <v>3</v>
      </c>
      <c r="T946" s="1278"/>
      <c r="U946" s="1279"/>
    </row>
    <row r="947" spans="1:22" ht="18" customHeight="1">
      <c r="A947" s="187" t="e">
        <f>#REF!</f>
        <v>#REF!</v>
      </c>
      <c r="B947" s="1275" t="e">
        <f>IF(A947="","",VLOOKUP($A947,'[2]FDE-JUNHO-08'!$A$6:$D$3537,2,FALSE()))</f>
        <v>#REF!</v>
      </c>
      <c r="C947" s="1275"/>
      <c r="D947" s="1275"/>
      <c r="E947" s="1275"/>
      <c r="F947" s="1275"/>
      <c r="G947" s="1275"/>
      <c r="H947" s="1275"/>
      <c r="I947" s="1275"/>
      <c r="J947" s="1275"/>
      <c r="K947" s="1275"/>
      <c r="L947" s="1275"/>
      <c r="M947" s="1275"/>
      <c r="N947" s="1275"/>
      <c r="O947" s="1275"/>
      <c r="P947" s="188" t="e">
        <f>IF(A947="","",VLOOKUP($A947,'[2]FDE-JUNHO-08'!$A$6:$D$3537,3,FALSE()))</f>
        <v>#REF!</v>
      </c>
      <c r="Q947" s="189" t="s">
        <v>1205</v>
      </c>
      <c r="R947" s="189" t="s">
        <v>1206</v>
      </c>
      <c r="T947" s="190"/>
      <c r="U947" s="191"/>
    </row>
    <row r="948" spans="1:22">
      <c r="A948" s="192"/>
      <c r="B948" s="1281"/>
      <c r="C948" s="1281"/>
      <c r="D948" s="1281"/>
      <c r="E948" s="1281"/>
      <c r="F948" s="1281"/>
      <c r="G948" s="1281"/>
      <c r="H948" s="1281"/>
      <c r="I948" s="1281"/>
      <c r="J948" s="1281"/>
      <c r="K948" s="1281"/>
      <c r="L948" s="1281"/>
      <c r="M948" s="1281"/>
      <c r="N948" s="1281"/>
      <c r="O948" s="1281"/>
      <c r="P948" s="193"/>
      <c r="Q948" s="194"/>
      <c r="R948" s="194"/>
      <c r="T948" s="190"/>
      <c r="U948" s="191"/>
    </row>
    <row r="949" spans="1:22">
      <c r="A949" s="192"/>
      <c r="B949" s="195" t="s">
        <v>1299</v>
      </c>
      <c r="C949" s="196"/>
      <c r="D949" s="197"/>
      <c r="E949" s="198"/>
      <c r="F949" s="197"/>
      <c r="G949" s="198"/>
      <c r="H949" s="197"/>
      <c r="I949" s="198"/>
      <c r="J949" s="198"/>
      <c r="K949" s="198"/>
      <c r="L949" s="198"/>
      <c r="M949" s="198"/>
      <c r="N949" s="199">
        <v>2</v>
      </c>
      <c r="O949" s="155"/>
      <c r="P949" s="193"/>
      <c r="Q949" s="200"/>
      <c r="R949" s="194"/>
      <c r="S949" s="235"/>
      <c r="T949" s="236"/>
      <c r="U949" s="236"/>
      <c r="V949" s="235"/>
    </row>
    <row r="950" spans="1:22">
      <c r="A950" s="192"/>
      <c r="B950" s="195"/>
      <c r="C950" s="196"/>
      <c r="D950" s="197"/>
      <c r="E950" s="198"/>
      <c r="F950" s="197"/>
      <c r="G950" s="198"/>
      <c r="H950" s="197"/>
      <c r="I950" s="198"/>
      <c r="J950" s="197"/>
      <c r="K950" s="198"/>
      <c r="L950" s="199"/>
      <c r="M950" s="199"/>
      <c r="N950" s="201"/>
      <c r="O950" s="202"/>
      <c r="P950" s="193"/>
      <c r="Q950" s="200"/>
      <c r="R950" s="194"/>
      <c r="S950" s="235"/>
      <c r="T950" s="236"/>
      <c r="U950" s="236"/>
      <c r="V950" s="235"/>
    </row>
    <row r="951" spans="1:22">
      <c r="A951" s="192"/>
      <c r="B951" s="195"/>
      <c r="C951" s="196"/>
      <c r="D951" s="197"/>
      <c r="E951" s="198"/>
      <c r="F951" s="197"/>
      <c r="G951" s="198"/>
      <c r="H951" s="197"/>
      <c r="I951" s="198"/>
      <c r="J951" s="197"/>
      <c r="K951" s="198"/>
      <c r="L951" s="199" t="s">
        <v>1140</v>
      </c>
      <c r="M951" s="199" t="s">
        <v>1208</v>
      </c>
      <c r="N951" s="199">
        <f>SUM(N947:N950)</f>
        <v>2</v>
      </c>
      <c r="O951" s="155" t="e">
        <f>P947</f>
        <v>#REF!</v>
      </c>
      <c r="P951" s="193"/>
      <c r="Q951" s="200"/>
      <c r="R951" s="194"/>
      <c r="S951" s="235"/>
      <c r="T951" s="236"/>
      <c r="U951" s="236"/>
      <c r="V951" s="235"/>
    </row>
    <row r="952" spans="1:22">
      <c r="A952" s="192"/>
      <c r="B952" s="195"/>
      <c r="C952" s="196"/>
      <c r="D952" s="197"/>
      <c r="E952" s="198"/>
      <c r="F952" s="197"/>
      <c r="G952" s="198"/>
      <c r="H952" s="197"/>
      <c r="I952" s="198"/>
      <c r="J952" s="197"/>
      <c r="K952" s="198"/>
      <c r="L952" s="199"/>
      <c r="M952" s="199"/>
      <c r="N952" s="199"/>
      <c r="O952" s="155"/>
      <c r="P952" s="193"/>
      <c r="Q952" s="200"/>
      <c r="R952" s="194"/>
      <c r="T952" s="190"/>
      <c r="U952" s="191"/>
    </row>
    <row r="953" spans="1:22">
      <c r="A953" s="192"/>
      <c r="B953" s="1277" t="s">
        <v>1209</v>
      </c>
      <c r="C953" s="1277"/>
      <c r="D953" s="1277"/>
      <c r="E953" s="1277"/>
      <c r="F953" s="1277"/>
      <c r="G953" s="1277"/>
      <c r="H953" s="1277"/>
      <c r="I953" s="1277"/>
      <c r="J953" s="1277"/>
      <c r="K953" s="1277"/>
      <c r="L953" s="1277"/>
      <c r="M953" s="1277"/>
      <c r="N953" s="1277"/>
      <c r="O953" s="1277"/>
      <c r="P953" s="1277"/>
      <c r="Q953" s="203">
        <v>0</v>
      </c>
      <c r="R953" s="204">
        <f>Q953</f>
        <v>0</v>
      </c>
      <c r="T953" s="1278"/>
      <c r="U953" s="1279"/>
    </row>
    <row r="954" spans="1:22">
      <c r="A954" s="192"/>
      <c r="B954" s="1277" t="e">
        <f>med</f>
        <v>#NAME?</v>
      </c>
      <c r="C954" s="1277"/>
      <c r="D954" s="1277"/>
      <c r="E954" s="1277"/>
      <c r="F954" s="1277"/>
      <c r="G954" s="1277"/>
      <c r="H954" s="1277"/>
      <c r="I954" s="1277"/>
      <c r="J954" s="1277"/>
      <c r="K954" s="1277"/>
      <c r="L954" s="1277"/>
      <c r="M954" s="1277"/>
      <c r="N954" s="1277"/>
      <c r="O954" s="1277"/>
      <c r="P954" s="205">
        <f>N951</f>
        <v>2</v>
      </c>
      <c r="Q954" s="203">
        <f>P954</f>
        <v>2</v>
      </c>
      <c r="R954" s="204">
        <f>Q954+R953</f>
        <v>2</v>
      </c>
      <c r="T954" s="1278"/>
      <c r="U954" s="1279"/>
    </row>
    <row r="955" spans="1:22" ht="18" customHeight="1">
      <c r="A955" s="187">
        <f>PLANILHA!B124</f>
        <v>146001</v>
      </c>
      <c r="B955" s="1275" t="e">
        <f>IF(A955="","",VLOOKUP($A955,'[2]FDE-JUNHO-08'!$A$6:$D$3537,2,FALSE()))</f>
        <v>#N/A</v>
      </c>
      <c r="C955" s="1275"/>
      <c r="D955" s="1275"/>
      <c r="E955" s="1275"/>
      <c r="F955" s="1275"/>
      <c r="G955" s="1275"/>
      <c r="H955" s="1275"/>
      <c r="I955" s="1275"/>
      <c r="J955" s="1275"/>
      <c r="K955" s="1275"/>
      <c r="L955" s="1275"/>
      <c r="M955" s="1275"/>
      <c r="N955" s="1275"/>
      <c r="O955" s="1275"/>
      <c r="P955" s="188" t="e">
        <f>IF(A955="","",VLOOKUP($A955,'[2]FDE-JUNHO-08'!$A$6:$D$3537,3,FALSE()))</f>
        <v>#N/A</v>
      </c>
      <c r="Q955" s="189" t="s">
        <v>1205</v>
      </c>
      <c r="R955" s="189" t="s">
        <v>1206</v>
      </c>
      <c r="T955" s="190"/>
      <c r="U955" s="191"/>
    </row>
    <row r="956" spans="1:22">
      <c r="A956" s="192"/>
      <c r="B956" s="237"/>
      <c r="C956" s="238"/>
      <c r="D956" s="238"/>
      <c r="E956" s="238"/>
      <c r="F956" s="238"/>
      <c r="G956" s="238"/>
      <c r="H956" s="238"/>
      <c r="I956" s="238"/>
      <c r="J956" s="198" t="s">
        <v>1231</v>
      </c>
      <c r="K956" s="198"/>
      <c r="L956" s="198" t="s">
        <v>1281</v>
      </c>
      <c r="M956" s="238"/>
      <c r="N956" s="238"/>
      <c r="O956" s="239"/>
      <c r="P956" s="193"/>
      <c r="Q956" s="194"/>
      <c r="R956" s="194"/>
      <c r="T956" s="190"/>
      <c r="U956" s="191"/>
    </row>
    <row r="957" spans="1:22">
      <c r="A957" s="192"/>
      <c r="B957" s="195" t="s">
        <v>1300</v>
      </c>
      <c r="C957" s="196"/>
      <c r="D957" s="197"/>
      <c r="E957" s="198"/>
      <c r="F957" s="197"/>
      <c r="G957" s="198"/>
      <c r="H957" s="197"/>
      <c r="I957" s="198"/>
      <c r="J957" s="198">
        <v>4.17</v>
      </c>
      <c r="K957" s="198" t="s">
        <v>1227</v>
      </c>
      <c r="L957" s="198">
        <v>1.2</v>
      </c>
      <c r="M957" s="198" t="s">
        <v>1208</v>
      </c>
      <c r="N957" s="199">
        <f>L957*J957</f>
        <v>5.0039999999999996</v>
      </c>
      <c r="O957" s="155"/>
      <c r="P957" s="193"/>
      <c r="Q957" s="200"/>
      <c r="R957" s="194"/>
      <c r="T957" s="190"/>
      <c r="U957" s="191"/>
    </row>
    <row r="958" spans="1:22">
      <c r="A958" s="192"/>
      <c r="B958" s="195"/>
      <c r="C958" s="196"/>
      <c r="D958" s="197"/>
      <c r="E958" s="198"/>
      <c r="F958" s="197"/>
      <c r="G958" s="198"/>
      <c r="H958" s="197"/>
      <c r="I958" s="198"/>
      <c r="J958" s="197"/>
      <c r="K958" s="198"/>
      <c r="L958" s="199"/>
      <c r="M958" s="199"/>
      <c r="N958" s="201"/>
      <c r="O958" s="202"/>
      <c r="P958" s="193"/>
      <c r="Q958" s="200"/>
      <c r="R958" s="194"/>
      <c r="T958" s="190"/>
      <c r="U958" s="191"/>
    </row>
    <row r="959" spans="1:22">
      <c r="A959" s="192"/>
      <c r="B959" s="195"/>
      <c r="C959" s="196"/>
      <c r="D959" s="197"/>
      <c r="E959" s="198"/>
      <c r="F959" s="197"/>
      <c r="G959" s="198"/>
      <c r="H959" s="197"/>
      <c r="I959" s="198"/>
      <c r="J959" s="197"/>
      <c r="K959" s="198"/>
      <c r="L959" s="199" t="s">
        <v>1140</v>
      </c>
      <c r="M959" s="199" t="s">
        <v>1208</v>
      </c>
      <c r="N959" s="199">
        <f>SUM(N955:N958)</f>
        <v>5.0039999999999996</v>
      </c>
      <c r="O959" s="155" t="e">
        <f>P955</f>
        <v>#N/A</v>
      </c>
      <c r="P959" s="193"/>
      <c r="Q959" s="200"/>
      <c r="R959" s="194"/>
      <c r="T959" s="190"/>
      <c r="U959" s="191"/>
    </row>
    <row r="960" spans="1:22" ht="13.8">
      <c r="A960" s="192"/>
      <c r="B960" s="210"/>
      <c r="C960" s="196"/>
      <c r="D960" s="197"/>
      <c r="E960" s="198"/>
      <c r="F960" s="197"/>
      <c r="G960" s="198"/>
      <c r="H960" s="197"/>
      <c r="I960" s="207"/>
      <c r="J960" s="207"/>
      <c r="K960" s="208"/>
      <c r="L960" s="209"/>
      <c r="M960" s="209"/>
      <c r="N960" s="209"/>
      <c r="O960" s="155"/>
      <c r="P960" s="193"/>
      <c r="Q960" s="200"/>
      <c r="R960" s="194"/>
      <c r="T960" s="190"/>
      <c r="U960" s="191"/>
    </row>
    <row r="961" spans="1:21">
      <c r="A961" s="192"/>
      <c r="B961" s="1277" t="s">
        <v>1209</v>
      </c>
      <c r="C961" s="1277"/>
      <c r="D961" s="1277"/>
      <c r="E961" s="1277"/>
      <c r="F961" s="1277"/>
      <c r="G961" s="1277"/>
      <c r="H961" s="1277"/>
      <c r="I961" s="1277"/>
      <c r="J961" s="1277"/>
      <c r="K961" s="1277"/>
      <c r="L961" s="1277"/>
      <c r="M961" s="1277"/>
      <c r="N961" s="1277"/>
      <c r="O961" s="1277"/>
      <c r="P961" s="1277"/>
      <c r="Q961" s="203">
        <v>0</v>
      </c>
      <c r="R961" s="204">
        <f>Q961</f>
        <v>0</v>
      </c>
      <c r="T961" s="1278"/>
      <c r="U961" s="1279"/>
    </row>
    <row r="962" spans="1:21">
      <c r="A962" s="192"/>
      <c r="B962" s="1277" t="e">
        <f>med</f>
        <v>#NAME?</v>
      </c>
      <c r="C962" s="1277"/>
      <c r="D962" s="1277"/>
      <c r="E962" s="1277"/>
      <c r="F962" s="1277"/>
      <c r="G962" s="1277"/>
      <c r="H962" s="1277"/>
      <c r="I962" s="1277"/>
      <c r="J962" s="1277"/>
      <c r="K962" s="1277"/>
      <c r="L962" s="1277"/>
      <c r="M962" s="1277"/>
      <c r="N962" s="1277"/>
      <c r="O962" s="1277"/>
      <c r="P962" s="205">
        <f>N959</f>
        <v>5.0039999999999996</v>
      </c>
      <c r="Q962" s="203">
        <f>P962</f>
        <v>5.0039999999999996</v>
      </c>
      <c r="R962" s="204">
        <f>Q962+R961</f>
        <v>5.0039999999999996</v>
      </c>
      <c r="T962" s="1278"/>
      <c r="U962" s="1279"/>
    </row>
    <row r="963" spans="1:21" ht="18" customHeight="1">
      <c r="A963" s="187" t="e">
        <f>#REF!</f>
        <v>#REF!</v>
      </c>
      <c r="B963" s="1275" t="e">
        <f>IF(A963="","",VLOOKUP($A963,'[2]FDE-JUNHO-08'!$A$6:$D$3537,2,FALSE()))</f>
        <v>#REF!</v>
      </c>
      <c r="C963" s="1275"/>
      <c r="D963" s="1275"/>
      <c r="E963" s="1275"/>
      <c r="F963" s="1275"/>
      <c r="G963" s="1275"/>
      <c r="H963" s="1275"/>
      <c r="I963" s="1275"/>
      <c r="J963" s="1275"/>
      <c r="K963" s="1275"/>
      <c r="L963" s="1275"/>
      <c r="M963" s="1275"/>
      <c r="N963" s="1275"/>
      <c r="O963" s="1275"/>
      <c r="P963" s="188" t="e">
        <f>IF(A963="","",VLOOKUP($A963,'[2]FDE-JUNHO-08'!$A$6:$D$3537,3,FALSE()))</f>
        <v>#REF!</v>
      </c>
      <c r="Q963" s="189" t="s">
        <v>1205</v>
      </c>
      <c r="R963" s="189" t="s">
        <v>1206</v>
      </c>
      <c r="T963" s="190"/>
      <c r="U963" s="191"/>
    </row>
    <row r="964" spans="1:21">
      <c r="A964" s="192"/>
      <c r="B964" s="237"/>
      <c r="C964" s="238"/>
      <c r="D964" s="238"/>
      <c r="E964" s="238"/>
      <c r="F964" s="238"/>
      <c r="G964" s="238"/>
      <c r="H964" s="238"/>
      <c r="I964" s="238"/>
      <c r="J964" s="198" t="s">
        <v>1231</v>
      </c>
      <c r="K964" s="198"/>
      <c r="L964" s="198" t="s">
        <v>1281</v>
      </c>
      <c r="M964" s="238"/>
      <c r="N964" s="238"/>
      <c r="O964" s="239"/>
      <c r="P964" s="193"/>
      <c r="Q964" s="194"/>
      <c r="R964" s="194"/>
      <c r="T964" s="190"/>
      <c r="U964" s="191"/>
    </row>
    <row r="965" spans="1:21">
      <c r="A965" s="192"/>
      <c r="B965" s="195" t="s">
        <v>1300</v>
      </c>
      <c r="C965" s="196"/>
      <c r="D965" s="197"/>
      <c r="E965" s="198"/>
      <c r="F965" s="197"/>
      <c r="G965" s="198"/>
      <c r="H965" s="197"/>
      <c r="I965" s="198"/>
      <c r="J965" s="198">
        <v>4.17</v>
      </c>
      <c r="K965" s="198" t="s">
        <v>1227</v>
      </c>
      <c r="L965" s="198">
        <v>1.2</v>
      </c>
      <c r="M965" s="198" t="s">
        <v>1208</v>
      </c>
      <c r="N965" s="199">
        <f>L965*J965</f>
        <v>5.0039999999999996</v>
      </c>
      <c r="O965" s="155"/>
      <c r="P965" s="193"/>
      <c r="Q965" s="200"/>
      <c r="R965" s="194"/>
      <c r="T965" s="190"/>
      <c r="U965" s="191"/>
    </row>
    <row r="966" spans="1:21">
      <c r="A966" s="192"/>
      <c r="B966" s="195"/>
      <c r="C966" s="196"/>
      <c r="D966" s="197"/>
      <c r="E966" s="198"/>
      <c r="F966" s="197"/>
      <c r="G966" s="198"/>
      <c r="H966" s="197"/>
      <c r="I966" s="198"/>
      <c r="J966" s="197"/>
      <c r="K966" s="198"/>
      <c r="L966" s="199"/>
      <c r="M966" s="199"/>
      <c r="N966" s="201"/>
      <c r="O966" s="202"/>
      <c r="P966" s="193"/>
      <c r="Q966" s="200"/>
      <c r="R966" s="194"/>
      <c r="T966" s="190"/>
      <c r="U966" s="191"/>
    </row>
    <row r="967" spans="1:21">
      <c r="A967" s="192"/>
      <c r="B967" s="195"/>
      <c r="C967" s="196"/>
      <c r="D967" s="197"/>
      <c r="E967" s="198"/>
      <c r="F967" s="197"/>
      <c r="G967" s="198"/>
      <c r="H967" s="197"/>
      <c r="I967" s="198"/>
      <c r="J967" s="197"/>
      <c r="K967" s="198"/>
      <c r="L967" s="199" t="s">
        <v>1140</v>
      </c>
      <c r="M967" s="199" t="s">
        <v>1208</v>
      </c>
      <c r="N967" s="199">
        <f>SUM(N963:N966)</f>
        <v>5.0039999999999996</v>
      </c>
      <c r="O967" s="155" t="e">
        <f>P963</f>
        <v>#REF!</v>
      </c>
      <c r="P967" s="193"/>
      <c r="Q967" s="200"/>
      <c r="R967" s="194"/>
      <c r="T967" s="190"/>
      <c r="U967" s="191"/>
    </row>
    <row r="968" spans="1:21" ht="13.8">
      <c r="A968" s="192"/>
      <c r="B968" s="210"/>
      <c r="C968" s="196"/>
      <c r="D968" s="197"/>
      <c r="E968" s="198"/>
      <c r="F968" s="197"/>
      <c r="G968" s="198"/>
      <c r="H968" s="197"/>
      <c r="I968" s="207"/>
      <c r="J968" s="207"/>
      <c r="K968" s="208"/>
      <c r="L968" s="209"/>
      <c r="M968" s="209"/>
      <c r="N968" s="209"/>
      <c r="O968" s="155"/>
      <c r="P968" s="193"/>
      <c r="Q968" s="200"/>
      <c r="R968" s="194"/>
      <c r="T968" s="190"/>
      <c r="U968" s="191"/>
    </row>
    <row r="969" spans="1:21">
      <c r="A969" s="192"/>
      <c r="B969" s="1277" t="s">
        <v>1209</v>
      </c>
      <c r="C969" s="1277"/>
      <c r="D969" s="1277"/>
      <c r="E969" s="1277"/>
      <c r="F969" s="1277"/>
      <c r="G969" s="1277"/>
      <c r="H969" s="1277"/>
      <c r="I969" s="1277"/>
      <c r="J969" s="1277"/>
      <c r="K969" s="1277"/>
      <c r="L969" s="1277"/>
      <c r="M969" s="1277"/>
      <c r="N969" s="1277"/>
      <c r="O969" s="1277"/>
      <c r="P969" s="1277"/>
      <c r="Q969" s="203">
        <v>0</v>
      </c>
      <c r="R969" s="204">
        <f>Q969</f>
        <v>0</v>
      </c>
      <c r="T969" s="1278"/>
      <c r="U969" s="1279"/>
    </row>
    <row r="970" spans="1:21">
      <c r="A970" s="192"/>
      <c r="B970" s="1277" t="e">
        <f>med</f>
        <v>#NAME?</v>
      </c>
      <c r="C970" s="1277"/>
      <c r="D970" s="1277"/>
      <c r="E970" s="1277"/>
      <c r="F970" s="1277"/>
      <c r="G970" s="1277"/>
      <c r="H970" s="1277"/>
      <c r="I970" s="1277"/>
      <c r="J970" s="1277"/>
      <c r="K970" s="1277"/>
      <c r="L970" s="1277"/>
      <c r="M970" s="1277"/>
      <c r="N970" s="1277"/>
      <c r="O970" s="1277"/>
      <c r="P970" s="205">
        <f>N967</f>
        <v>5.0039999999999996</v>
      </c>
      <c r="Q970" s="203">
        <f>P970</f>
        <v>5.0039999999999996</v>
      </c>
      <c r="R970" s="204">
        <f>Q970+R969</f>
        <v>5.0039999999999996</v>
      </c>
      <c r="T970" s="1278"/>
      <c r="U970" s="1279"/>
    </row>
    <row r="971" spans="1:21" ht="18" customHeight="1">
      <c r="A971" s="187" t="e">
        <f>#REF!</f>
        <v>#REF!</v>
      </c>
      <c r="B971" s="1275" t="e">
        <f>IF(A971="","",VLOOKUP($A971,'[2]FDE-JUNHO-08'!$A$6:$D$3537,2,FALSE()))</f>
        <v>#REF!</v>
      </c>
      <c r="C971" s="1275"/>
      <c r="D971" s="1275"/>
      <c r="E971" s="1275"/>
      <c r="F971" s="1275"/>
      <c r="G971" s="1275"/>
      <c r="H971" s="1275"/>
      <c r="I971" s="1275"/>
      <c r="J971" s="1275"/>
      <c r="K971" s="1275"/>
      <c r="L971" s="1275"/>
      <c r="M971" s="1275"/>
      <c r="N971" s="1275"/>
      <c r="O971" s="1275"/>
      <c r="P971" s="188" t="e">
        <f>IF(A971="","",VLOOKUP($A971,'[2]FDE-JUNHO-08'!$A$6:$D$3537,3,FALSE()))</f>
        <v>#REF!</v>
      </c>
      <c r="Q971" s="189" t="s">
        <v>1205</v>
      </c>
      <c r="R971" s="189" t="s">
        <v>1206</v>
      </c>
      <c r="T971" s="190"/>
      <c r="U971" s="191"/>
    </row>
    <row r="972" spans="1:21" ht="13.8">
      <c r="A972" s="192"/>
      <c r="B972" s="210"/>
      <c r="C972" s="196"/>
      <c r="D972" s="197"/>
      <c r="E972" s="198"/>
      <c r="F972" s="197"/>
      <c r="G972" s="198"/>
      <c r="H972" s="197"/>
      <c r="I972" s="198"/>
      <c r="J972" s="198" t="s">
        <v>1231</v>
      </c>
      <c r="K972" s="198"/>
      <c r="L972" s="198" t="s">
        <v>1281</v>
      </c>
      <c r="M972" s="238"/>
      <c r="N972" s="199"/>
      <c r="O972" s="155"/>
      <c r="P972" s="193"/>
      <c r="Q972" s="200"/>
      <c r="R972" s="194"/>
      <c r="T972" s="190"/>
      <c r="U972" s="191"/>
    </row>
    <row r="973" spans="1:21">
      <c r="A973" s="192"/>
      <c r="B973" s="195" t="s">
        <v>1301</v>
      </c>
      <c r="C973" s="196"/>
      <c r="D973" s="197"/>
      <c r="E973" s="198"/>
      <c r="F973" s="197"/>
      <c r="G973" s="198"/>
      <c r="H973" s="197"/>
      <c r="I973" s="198"/>
      <c r="J973" s="198">
        <v>4.17</v>
      </c>
      <c r="K973" s="198" t="s">
        <v>1227</v>
      </c>
      <c r="L973" s="198">
        <v>1.2</v>
      </c>
      <c r="M973" s="198" t="s">
        <v>1208</v>
      </c>
      <c r="N973" s="199">
        <f>J973*L973</f>
        <v>5.0039999999999996</v>
      </c>
      <c r="O973" s="155"/>
      <c r="P973" s="193"/>
      <c r="Q973" s="200"/>
      <c r="R973" s="194"/>
      <c r="T973" s="190"/>
      <c r="U973" s="191"/>
    </row>
    <row r="974" spans="1:21">
      <c r="A974" s="192"/>
      <c r="B974" s="195" t="s">
        <v>1301</v>
      </c>
      <c r="C974" s="196"/>
      <c r="D974" s="197"/>
      <c r="E974" s="198"/>
      <c r="F974" s="197"/>
      <c r="G974" s="198"/>
      <c r="H974" s="197"/>
      <c r="I974" s="198"/>
      <c r="J974" s="197"/>
      <c r="K974" s="198"/>
      <c r="L974" s="199"/>
      <c r="M974" s="199"/>
      <c r="N974" s="199"/>
      <c r="O974" s="155"/>
      <c r="P974" s="193"/>
      <c r="Q974" s="200"/>
      <c r="R974" s="194"/>
      <c r="T974" s="190"/>
      <c r="U974" s="191"/>
    </row>
    <row r="975" spans="1:21">
      <c r="A975" s="192"/>
      <c r="B975" s="195"/>
      <c r="C975" s="196"/>
      <c r="D975" s="197"/>
      <c r="E975" s="198"/>
      <c r="F975" s="197"/>
      <c r="G975" s="198"/>
      <c r="H975" s="197"/>
      <c r="I975" s="198"/>
      <c r="J975" s="197"/>
      <c r="K975" s="198"/>
      <c r="L975" s="199"/>
      <c r="M975" s="199"/>
      <c r="N975" s="201"/>
      <c r="O975" s="202"/>
      <c r="P975" s="193"/>
      <c r="Q975" s="200"/>
      <c r="R975" s="194"/>
      <c r="T975" s="190"/>
      <c r="U975" s="191"/>
    </row>
    <row r="976" spans="1:21">
      <c r="A976" s="192"/>
      <c r="B976" s="195"/>
      <c r="C976" s="196"/>
      <c r="D976" s="197"/>
      <c r="E976" s="198"/>
      <c r="F976" s="197"/>
      <c r="G976" s="198"/>
      <c r="H976" s="197"/>
      <c r="I976" s="198"/>
      <c r="J976" s="197"/>
      <c r="K976" s="198"/>
      <c r="L976" s="199" t="s">
        <v>1140</v>
      </c>
      <c r="M976" s="199" t="s">
        <v>1208</v>
      </c>
      <c r="N976" s="199">
        <f>SUM(N972:N975)</f>
        <v>5.0039999999999996</v>
      </c>
      <c r="O976" s="155" t="e">
        <f>P971</f>
        <v>#REF!</v>
      </c>
      <c r="P976" s="193"/>
      <c r="Q976" s="200"/>
      <c r="R976" s="194"/>
      <c r="T976" s="190"/>
      <c r="U976" s="191"/>
    </row>
    <row r="977" spans="1:21">
      <c r="A977" s="192"/>
      <c r="B977" s="195"/>
      <c r="C977" s="196"/>
      <c r="D977" s="197"/>
      <c r="E977" s="198"/>
      <c r="F977" s="197"/>
      <c r="G977" s="198"/>
      <c r="H977" s="197"/>
      <c r="I977" s="198"/>
      <c r="J977" s="197"/>
      <c r="K977" s="198"/>
      <c r="L977" s="199"/>
      <c r="M977" s="199"/>
      <c r="N977" s="199"/>
      <c r="O977" s="155"/>
      <c r="P977" s="193"/>
      <c r="Q977" s="200"/>
      <c r="R977" s="194"/>
      <c r="T977" s="190"/>
      <c r="U977" s="191"/>
    </row>
    <row r="978" spans="1:21">
      <c r="A978" s="192"/>
      <c r="B978" s="1277" t="s">
        <v>1209</v>
      </c>
      <c r="C978" s="1277"/>
      <c r="D978" s="1277"/>
      <c r="E978" s="1277"/>
      <c r="F978" s="1277"/>
      <c r="G978" s="1277"/>
      <c r="H978" s="1277"/>
      <c r="I978" s="1277"/>
      <c r="J978" s="1277"/>
      <c r="K978" s="1277"/>
      <c r="L978" s="1277"/>
      <c r="M978" s="1277"/>
      <c r="N978" s="1277"/>
      <c r="O978" s="1277"/>
      <c r="P978" s="1277"/>
      <c r="Q978" s="203">
        <v>0</v>
      </c>
      <c r="R978" s="204">
        <f>Q978</f>
        <v>0</v>
      </c>
      <c r="T978" s="1278"/>
      <c r="U978" s="1279"/>
    </row>
    <row r="979" spans="1:21">
      <c r="A979" s="192"/>
      <c r="B979" s="1277" t="e">
        <f>med</f>
        <v>#NAME?</v>
      </c>
      <c r="C979" s="1277"/>
      <c r="D979" s="1277"/>
      <c r="E979" s="1277"/>
      <c r="F979" s="1277"/>
      <c r="G979" s="1277"/>
      <c r="H979" s="1277"/>
      <c r="I979" s="1277"/>
      <c r="J979" s="1277"/>
      <c r="K979" s="1277"/>
      <c r="L979" s="1277"/>
      <c r="M979" s="1277"/>
      <c r="N979" s="1277"/>
      <c r="O979" s="1277"/>
      <c r="P979" s="205">
        <f>N976</f>
        <v>5.0039999999999996</v>
      </c>
      <c r="Q979" s="203">
        <f>P979</f>
        <v>5.0039999999999996</v>
      </c>
      <c r="R979" s="204">
        <f>Q979+R978</f>
        <v>5.0039999999999996</v>
      </c>
      <c r="T979" s="1278"/>
      <c r="U979" s="1279"/>
    </row>
    <row r="980" spans="1:21" ht="18" customHeight="1">
      <c r="A980" s="187">
        <v>70415</v>
      </c>
      <c r="B980" s="1275" t="e">
        <f>IF(A980="","",VLOOKUP($A980,'[2]FDE-JUNHO-08'!$A$6:$D$3537,2,FALSE()))</f>
        <v>#N/A</v>
      </c>
      <c r="C980" s="1275"/>
      <c r="D980" s="1275"/>
      <c r="E980" s="1275"/>
      <c r="F980" s="1275"/>
      <c r="G980" s="1275"/>
      <c r="H980" s="1275"/>
      <c r="I980" s="1275"/>
      <c r="J980" s="1275"/>
      <c r="K980" s="1275"/>
      <c r="L980" s="1275"/>
      <c r="M980" s="1275"/>
      <c r="N980" s="1275"/>
      <c r="O980" s="1275"/>
      <c r="P980" s="188" t="e">
        <f>IF(A980="","",VLOOKUP($A980,'[2]FDE-JUNHO-08'!$A$6:$D$3537,3,FALSE()))</f>
        <v>#N/A</v>
      </c>
      <c r="Q980" s="189" t="s">
        <v>1205</v>
      </c>
      <c r="R980" s="189" t="s">
        <v>1206</v>
      </c>
      <c r="T980" s="190"/>
      <c r="U980" s="191"/>
    </row>
    <row r="981" spans="1:21" ht="13.8">
      <c r="A981" s="192"/>
      <c r="B981" s="210"/>
      <c r="C981" s="196"/>
      <c r="D981" s="197"/>
      <c r="E981" s="198"/>
      <c r="F981" s="197"/>
      <c r="G981" s="198"/>
      <c r="H981" s="197"/>
      <c r="I981" s="198"/>
      <c r="J981" s="197"/>
      <c r="K981" s="198"/>
      <c r="L981" s="199"/>
      <c r="M981" s="199"/>
      <c r="N981" s="199"/>
      <c r="O981" s="155"/>
      <c r="P981" s="193"/>
      <c r="Q981" s="200"/>
      <c r="R981" s="194"/>
      <c r="T981" s="190"/>
      <c r="U981" s="191"/>
    </row>
    <row r="982" spans="1:21">
      <c r="A982" s="192"/>
      <c r="B982" s="195" t="s">
        <v>1302</v>
      </c>
      <c r="C982" s="196"/>
      <c r="D982" s="197"/>
      <c r="E982" s="198"/>
      <c r="F982" s="197"/>
      <c r="G982" s="198"/>
      <c r="H982" s="197"/>
      <c r="I982" s="198"/>
      <c r="J982" s="197"/>
      <c r="K982" s="198"/>
      <c r="L982" s="199"/>
      <c r="M982" s="199"/>
      <c r="N982" s="199">
        <v>28</v>
      </c>
      <c r="O982" s="155"/>
      <c r="P982" s="193"/>
      <c r="Q982" s="200"/>
      <c r="R982" s="194"/>
      <c r="T982" s="190"/>
      <c r="U982" s="191"/>
    </row>
    <row r="983" spans="1:21">
      <c r="A983" s="192"/>
      <c r="B983" s="195"/>
      <c r="C983" s="196"/>
      <c r="D983" s="197"/>
      <c r="E983" s="198"/>
      <c r="F983" s="197"/>
      <c r="G983" s="198"/>
      <c r="H983" s="197"/>
      <c r="I983" s="198"/>
      <c r="J983" s="197"/>
      <c r="K983" s="198"/>
      <c r="L983" s="199"/>
      <c r="M983" s="199"/>
      <c r="N983" s="201"/>
      <c r="O983" s="202"/>
      <c r="P983" s="193"/>
      <c r="Q983" s="200"/>
      <c r="R983" s="194"/>
      <c r="T983" s="190"/>
      <c r="U983" s="191"/>
    </row>
    <row r="984" spans="1:21">
      <c r="A984" s="192"/>
      <c r="B984" s="195"/>
      <c r="C984" s="196"/>
      <c r="D984" s="197"/>
      <c r="E984" s="198"/>
      <c r="F984" s="197"/>
      <c r="G984" s="198"/>
      <c r="H984" s="197"/>
      <c r="I984" s="198"/>
      <c r="J984" s="197"/>
      <c r="K984" s="198"/>
      <c r="L984" s="199" t="s">
        <v>1140</v>
      </c>
      <c r="M984" s="199" t="s">
        <v>1208</v>
      </c>
      <c r="N984" s="199">
        <f>SUM(N981:N983)</f>
        <v>28</v>
      </c>
      <c r="O984" s="155" t="e">
        <f>P980</f>
        <v>#N/A</v>
      </c>
      <c r="P984" s="193"/>
      <c r="Q984" s="200"/>
      <c r="R984" s="194"/>
      <c r="T984" s="190"/>
      <c r="U984" s="191"/>
    </row>
    <row r="985" spans="1:21">
      <c r="A985" s="192"/>
      <c r="B985" s="195"/>
      <c r="C985" s="196"/>
      <c r="D985" s="197"/>
      <c r="E985" s="198"/>
      <c r="F985" s="197"/>
      <c r="G985" s="198"/>
      <c r="H985" s="197"/>
      <c r="I985" s="198"/>
      <c r="J985" s="197"/>
      <c r="K985" s="198"/>
      <c r="L985" s="199"/>
      <c r="M985" s="199"/>
      <c r="N985" s="199"/>
      <c r="O985" s="155"/>
      <c r="P985" s="193"/>
      <c r="Q985" s="200"/>
      <c r="R985" s="194"/>
      <c r="T985" s="190"/>
      <c r="U985" s="191"/>
    </row>
    <row r="986" spans="1:21">
      <c r="A986" s="192"/>
      <c r="B986" s="1277" t="s">
        <v>1209</v>
      </c>
      <c r="C986" s="1277"/>
      <c r="D986" s="1277"/>
      <c r="E986" s="1277"/>
      <c r="F986" s="1277"/>
      <c r="G986" s="1277"/>
      <c r="H986" s="1277"/>
      <c r="I986" s="1277"/>
      <c r="J986" s="1277"/>
      <c r="K986" s="1277"/>
      <c r="L986" s="1277"/>
      <c r="M986" s="1277"/>
      <c r="N986" s="1277"/>
      <c r="O986" s="1277"/>
      <c r="P986" s="1277"/>
      <c r="Q986" s="203">
        <v>0</v>
      </c>
      <c r="R986" s="204">
        <f>Q986</f>
        <v>0</v>
      </c>
      <c r="T986" s="1278"/>
      <c r="U986" s="1279"/>
    </row>
    <row r="987" spans="1:21">
      <c r="A987" s="192"/>
      <c r="B987" s="1277" t="e">
        <f>med</f>
        <v>#NAME?</v>
      </c>
      <c r="C987" s="1277"/>
      <c r="D987" s="1277"/>
      <c r="E987" s="1277"/>
      <c r="F987" s="1277"/>
      <c r="G987" s="1277"/>
      <c r="H987" s="1277"/>
      <c r="I987" s="1277"/>
      <c r="J987" s="1277"/>
      <c r="K987" s="1277"/>
      <c r="L987" s="1277"/>
      <c r="M987" s="1277"/>
      <c r="N987" s="1277"/>
      <c r="O987" s="1277"/>
      <c r="P987" s="205">
        <f>N984</f>
        <v>28</v>
      </c>
      <c r="Q987" s="203">
        <f>P987</f>
        <v>28</v>
      </c>
      <c r="R987" s="204">
        <f>Q987+R986</f>
        <v>28</v>
      </c>
      <c r="T987" s="1278"/>
      <c r="U987" s="1279"/>
    </row>
    <row r="988" spans="1:21" ht="18" customHeight="1">
      <c r="A988" s="187" t="e">
        <f>#REF!</f>
        <v>#REF!</v>
      </c>
      <c r="B988" s="1275" t="e">
        <f>IF(A988="","",VLOOKUP($A988,'[2]FDE-JUNHO-08'!$A$6:$D$3537,2,FALSE()))</f>
        <v>#REF!</v>
      </c>
      <c r="C988" s="1275"/>
      <c r="D988" s="1275"/>
      <c r="E988" s="1275"/>
      <c r="F988" s="1275"/>
      <c r="G988" s="1275"/>
      <c r="H988" s="1275"/>
      <c r="I988" s="1275"/>
      <c r="J988" s="1275"/>
      <c r="K988" s="1275"/>
      <c r="L988" s="1275"/>
      <c r="M988" s="1275"/>
      <c r="N988" s="1275"/>
      <c r="O988" s="1275"/>
      <c r="P988" s="188" t="e">
        <f>IF(A988="","",VLOOKUP($A988,'[2]FDE-JUNHO-08'!$A$6:$D$3537,3,FALSE()))</f>
        <v>#REF!</v>
      </c>
      <c r="Q988" s="189" t="s">
        <v>1205</v>
      </c>
      <c r="R988" s="189" t="s">
        <v>1206</v>
      </c>
      <c r="T988" s="190"/>
      <c r="U988" s="191"/>
    </row>
    <row r="989" spans="1:21">
      <c r="A989" s="192"/>
      <c r="B989" s="1281"/>
      <c r="C989" s="1281"/>
      <c r="D989" s="1281"/>
      <c r="E989" s="1281"/>
      <c r="F989" s="1281"/>
      <c r="G989" s="1281"/>
      <c r="H989" s="1281"/>
      <c r="I989" s="1281"/>
      <c r="J989" s="1281"/>
      <c r="K989" s="1281"/>
      <c r="L989" s="1281"/>
      <c r="M989" s="1281"/>
      <c r="N989" s="1281"/>
      <c r="O989" s="1281"/>
      <c r="P989" s="193"/>
      <c r="Q989" s="194"/>
      <c r="R989" s="194"/>
      <c r="T989" s="190"/>
      <c r="U989" s="191"/>
    </row>
    <row r="990" spans="1:21">
      <c r="A990" s="192"/>
      <c r="B990" s="195" t="s">
        <v>1303</v>
      </c>
      <c r="C990" s="196"/>
      <c r="D990" s="197"/>
      <c r="E990" s="198"/>
      <c r="F990" s="197"/>
      <c r="G990" s="198"/>
      <c r="H990" s="197"/>
      <c r="I990" s="198"/>
      <c r="J990" s="197"/>
      <c r="K990" s="198"/>
      <c r="L990" s="199"/>
      <c r="M990" s="199" t="s">
        <v>1208</v>
      </c>
      <c r="N990" s="199">
        <v>73</v>
      </c>
      <c r="O990" s="155"/>
      <c r="P990" s="193"/>
      <c r="Q990" s="200"/>
      <c r="R990" s="194"/>
      <c r="T990" s="190"/>
      <c r="U990" s="191"/>
    </row>
    <row r="991" spans="1:21">
      <c r="A991" s="192"/>
      <c r="B991" s="195"/>
      <c r="C991" s="196"/>
      <c r="D991" s="197"/>
      <c r="E991" s="198"/>
      <c r="F991" s="197"/>
      <c r="G991" s="198"/>
      <c r="H991" s="197"/>
      <c r="I991" s="198"/>
      <c r="J991" s="197"/>
      <c r="K991" s="198"/>
      <c r="L991" s="199"/>
      <c r="M991" s="199"/>
      <c r="N991" s="201"/>
      <c r="O991" s="202"/>
      <c r="P991" s="193"/>
      <c r="Q991" s="200"/>
      <c r="R991" s="194"/>
      <c r="T991" s="190"/>
      <c r="U991" s="191"/>
    </row>
    <row r="992" spans="1:21">
      <c r="A992" s="192"/>
      <c r="B992" s="195"/>
      <c r="C992" s="196"/>
      <c r="D992" s="197"/>
      <c r="E992" s="198"/>
      <c r="F992" s="197"/>
      <c r="G992" s="198"/>
      <c r="H992" s="197"/>
      <c r="I992" s="198"/>
      <c r="J992" s="197"/>
      <c r="K992" s="198"/>
      <c r="L992" s="199" t="s">
        <v>1140</v>
      </c>
      <c r="M992" s="199" t="s">
        <v>1208</v>
      </c>
      <c r="N992" s="199">
        <f>SUM(N990:N991)</f>
        <v>73</v>
      </c>
      <c r="O992" s="155" t="e">
        <f>P988</f>
        <v>#REF!</v>
      </c>
      <c r="P992" s="193"/>
      <c r="Q992" s="200"/>
      <c r="R992" s="194"/>
      <c r="T992" s="190"/>
      <c r="U992" s="191"/>
    </row>
    <row r="993" spans="1:21">
      <c r="A993" s="192"/>
      <c r="B993" s="195"/>
      <c r="C993" s="196"/>
      <c r="D993" s="197"/>
      <c r="E993" s="198"/>
      <c r="F993" s="197"/>
      <c r="G993" s="198"/>
      <c r="H993" s="197"/>
      <c r="I993" s="198"/>
      <c r="J993" s="197"/>
      <c r="K993" s="198"/>
      <c r="L993" s="199"/>
      <c r="M993" s="199"/>
      <c r="N993" s="199"/>
      <c r="O993" s="155"/>
      <c r="P993" s="193"/>
      <c r="Q993" s="200"/>
      <c r="R993" s="194"/>
      <c r="T993" s="190"/>
      <c r="U993" s="191"/>
    </row>
    <row r="994" spans="1:21">
      <c r="A994" s="192"/>
      <c r="B994" s="1277" t="s">
        <v>1209</v>
      </c>
      <c r="C994" s="1277"/>
      <c r="D994" s="1277"/>
      <c r="E994" s="1277"/>
      <c r="F994" s="1277"/>
      <c r="G994" s="1277"/>
      <c r="H994" s="1277"/>
      <c r="I994" s="1277"/>
      <c r="J994" s="1277"/>
      <c r="K994" s="1277"/>
      <c r="L994" s="1277"/>
      <c r="M994" s="1277"/>
      <c r="N994" s="1277"/>
      <c r="O994" s="1277"/>
      <c r="P994" s="1277"/>
      <c r="Q994" s="203">
        <v>0</v>
      </c>
      <c r="R994" s="204">
        <f>Q994</f>
        <v>0</v>
      </c>
      <c r="T994" s="1278"/>
      <c r="U994" s="1279"/>
    </row>
    <row r="995" spans="1:21">
      <c r="A995" s="192"/>
      <c r="B995" s="1277" t="e">
        <f>med</f>
        <v>#NAME?</v>
      </c>
      <c r="C995" s="1277"/>
      <c r="D995" s="1277"/>
      <c r="E995" s="1277"/>
      <c r="F995" s="1277"/>
      <c r="G995" s="1277"/>
      <c r="H995" s="1277"/>
      <c r="I995" s="1277"/>
      <c r="J995" s="1277"/>
      <c r="K995" s="1277"/>
      <c r="L995" s="1277"/>
      <c r="M995" s="1277"/>
      <c r="N995" s="1277"/>
      <c r="O995" s="1277"/>
      <c r="P995" s="205">
        <f>N992</f>
        <v>73</v>
      </c>
      <c r="Q995" s="203">
        <f>P995</f>
        <v>73</v>
      </c>
      <c r="R995" s="204">
        <f>Q995+R994</f>
        <v>73</v>
      </c>
      <c r="T995" s="1278"/>
      <c r="U995" s="1279"/>
    </row>
    <row r="996" spans="1:21" ht="18" customHeight="1">
      <c r="A996" s="187" t="e">
        <f>#REF!</f>
        <v>#REF!</v>
      </c>
      <c r="B996" s="1275" t="e">
        <f>IF(A996="","",VLOOKUP($A996,'[2]FDE-JUNHO-08'!$A$6:$D$3537,2,FALSE()))</f>
        <v>#REF!</v>
      </c>
      <c r="C996" s="1275"/>
      <c r="D996" s="1275"/>
      <c r="E996" s="1275"/>
      <c r="F996" s="1275"/>
      <c r="G996" s="1275"/>
      <c r="H996" s="1275"/>
      <c r="I996" s="1275"/>
      <c r="J996" s="1275"/>
      <c r="K996" s="1275"/>
      <c r="L996" s="1275"/>
      <c r="M996" s="1275"/>
      <c r="N996" s="1275"/>
      <c r="O996" s="1275"/>
      <c r="P996" s="188" t="e">
        <f>IF(A996="","",VLOOKUP($A996,'[2]FDE-JUNHO-08'!$A$6:$D$3537,3,FALSE()))</f>
        <v>#REF!</v>
      </c>
      <c r="Q996" s="189" t="s">
        <v>1205</v>
      </c>
      <c r="R996" s="189" t="s">
        <v>1206</v>
      </c>
      <c r="T996" s="190"/>
      <c r="U996" s="191"/>
    </row>
    <row r="997" spans="1:21">
      <c r="A997" s="192"/>
      <c r="B997" s="1281"/>
      <c r="C997" s="1281"/>
      <c r="D997" s="1281"/>
      <c r="E997" s="1281"/>
      <c r="F997" s="1281"/>
      <c r="G997" s="1281"/>
      <c r="H997" s="1281"/>
      <c r="I997" s="1281"/>
      <c r="J997" s="1281"/>
      <c r="K997" s="1281"/>
      <c r="L997" s="1281"/>
      <c r="M997" s="1281"/>
      <c r="N997" s="1281"/>
      <c r="O997" s="1281"/>
      <c r="P997" s="193"/>
      <c r="Q997" s="194"/>
      <c r="R997" s="194"/>
      <c r="T997" s="190"/>
      <c r="U997" s="191"/>
    </row>
    <row r="998" spans="1:21">
      <c r="A998" s="192"/>
      <c r="B998" s="195" t="s">
        <v>1303</v>
      </c>
      <c r="C998" s="196"/>
      <c r="D998" s="197"/>
      <c r="E998" s="198"/>
      <c r="F998" s="197"/>
      <c r="G998" s="198"/>
      <c r="H998" s="197"/>
      <c r="I998" s="198"/>
      <c r="J998" s="197"/>
      <c r="K998" s="198"/>
      <c r="L998" s="199"/>
      <c r="M998" s="199" t="s">
        <v>1208</v>
      </c>
      <c r="N998" s="199">
        <v>66</v>
      </c>
      <c r="O998" s="155"/>
      <c r="P998" s="193"/>
      <c r="Q998" s="200"/>
      <c r="R998" s="194"/>
      <c r="T998" s="190"/>
      <c r="U998" s="191"/>
    </row>
    <row r="999" spans="1:21">
      <c r="A999" s="192"/>
      <c r="B999" s="195"/>
      <c r="C999" s="196"/>
      <c r="D999" s="197"/>
      <c r="E999" s="198"/>
      <c r="F999" s="197"/>
      <c r="G999" s="198"/>
      <c r="H999" s="197"/>
      <c r="I999" s="198"/>
      <c r="J999" s="197"/>
      <c r="K999" s="198"/>
      <c r="L999" s="199"/>
      <c r="M999" s="199"/>
      <c r="N999" s="201"/>
      <c r="O999" s="202"/>
      <c r="P999" s="193"/>
      <c r="Q999" s="200"/>
      <c r="R999" s="194"/>
      <c r="T999" s="190"/>
      <c r="U999" s="191"/>
    </row>
    <row r="1000" spans="1:21">
      <c r="A1000" s="192"/>
      <c r="B1000" s="195"/>
      <c r="C1000" s="196"/>
      <c r="D1000" s="197"/>
      <c r="E1000" s="198"/>
      <c r="F1000" s="197"/>
      <c r="G1000" s="198"/>
      <c r="H1000" s="197"/>
      <c r="I1000" s="198"/>
      <c r="J1000" s="197"/>
      <c r="K1000" s="198"/>
      <c r="L1000" s="199" t="s">
        <v>1140</v>
      </c>
      <c r="M1000" s="199" t="s">
        <v>1208</v>
      </c>
      <c r="N1000" s="199">
        <f>SUM(N998:N999)</f>
        <v>66</v>
      </c>
      <c r="O1000" s="155" t="e">
        <f>P996</f>
        <v>#REF!</v>
      </c>
      <c r="P1000" s="193"/>
      <c r="Q1000" s="200"/>
      <c r="R1000" s="194"/>
      <c r="T1000" s="190"/>
      <c r="U1000" s="191"/>
    </row>
    <row r="1001" spans="1:21">
      <c r="A1001" s="192"/>
      <c r="B1001" s="195"/>
      <c r="C1001" s="196"/>
      <c r="D1001" s="197"/>
      <c r="E1001" s="198"/>
      <c r="F1001" s="197"/>
      <c r="G1001" s="198"/>
      <c r="H1001" s="197"/>
      <c r="I1001" s="198"/>
      <c r="J1001" s="197"/>
      <c r="K1001" s="198"/>
      <c r="L1001" s="199"/>
      <c r="M1001" s="199"/>
      <c r="N1001" s="199"/>
      <c r="O1001" s="155"/>
      <c r="P1001" s="193"/>
      <c r="Q1001" s="200"/>
      <c r="R1001" s="194"/>
      <c r="T1001" s="190"/>
      <c r="U1001" s="191"/>
    </row>
    <row r="1002" spans="1:21">
      <c r="A1002" s="192"/>
      <c r="B1002" s="1277" t="s">
        <v>1209</v>
      </c>
      <c r="C1002" s="1277"/>
      <c r="D1002" s="1277"/>
      <c r="E1002" s="1277"/>
      <c r="F1002" s="1277"/>
      <c r="G1002" s="1277"/>
      <c r="H1002" s="1277"/>
      <c r="I1002" s="1277"/>
      <c r="J1002" s="1277"/>
      <c r="K1002" s="1277"/>
      <c r="L1002" s="1277"/>
      <c r="M1002" s="1277"/>
      <c r="N1002" s="1277"/>
      <c r="O1002" s="1277"/>
      <c r="P1002" s="1277"/>
      <c r="Q1002" s="203">
        <v>0</v>
      </c>
      <c r="R1002" s="204">
        <f>Q1002</f>
        <v>0</v>
      </c>
      <c r="T1002" s="1278"/>
      <c r="U1002" s="1279"/>
    </row>
    <row r="1003" spans="1:21">
      <c r="A1003" s="206"/>
      <c r="B1003" s="1277" t="e">
        <f>med</f>
        <v>#NAME?</v>
      </c>
      <c r="C1003" s="1277"/>
      <c r="D1003" s="1277"/>
      <c r="E1003" s="1277"/>
      <c r="F1003" s="1277"/>
      <c r="G1003" s="1277"/>
      <c r="H1003" s="1277"/>
      <c r="I1003" s="1277"/>
      <c r="J1003" s="1277"/>
      <c r="K1003" s="1277"/>
      <c r="L1003" s="1277"/>
      <c r="M1003" s="1277"/>
      <c r="N1003" s="1277"/>
      <c r="O1003" s="1277"/>
      <c r="P1003" s="205">
        <f>N1000</f>
        <v>66</v>
      </c>
      <c r="Q1003" s="203">
        <f>P1003</f>
        <v>66</v>
      </c>
      <c r="R1003" s="204">
        <f>Q1003+R1002</f>
        <v>66</v>
      </c>
      <c r="T1003" s="1278"/>
      <c r="U1003" s="1279"/>
    </row>
    <row r="1004" spans="1:21" ht="18" customHeight="1">
      <c r="A1004" s="187" t="e">
        <f>#REF!</f>
        <v>#REF!</v>
      </c>
      <c r="B1004" s="1275" t="e">
        <f>IF(A1004="","",VLOOKUP($A1004,'[2]FDE-JUNHO-08'!$A$6:$D$3537,2,FALSE()))</f>
        <v>#REF!</v>
      </c>
      <c r="C1004" s="1275"/>
      <c r="D1004" s="1275"/>
      <c r="E1004" s="1275"/>
      <c r="F1004" s="1275"/>
      <c r="G1004" s="1275"/>
      <c r="H1004" s="1275"/>
      <c r="I1004" s="1275"/>
      <c r="J1004" s="1275"/>
      <c r="K1004" s="1275"/>
      <c r="L1004" s="1275"/>
      <c r="M1004" s="1275"/>
      <c r="N1004" s="1275"/>
      <c r="O1004" s="1275"/>
      <c r="P1004" s="188" t="e">
        <f>IF(A1004="","",VLOOKUP($A1004,'[2]FDE-JUNHO-08'!$A$6:$D$3537,3,FALSE()))</f>
        <v>#REF!</v>
      </c>
      <c r="Q1004" s="189" t="s">
        <v>1205</v>
      </c>
      <c r="R1004" s="189" t="s">
        <v>1206</v>
      </c>
      <c r="T1004" s="190"/>
      <c r="U1004" s="191"/>
    </row>
    <row r="1005" spans="1:21">
      <c r="A1005" s="192"/>
      <c r="B1005" s="1281"/>
      <c r="C1005" s="1281"/>
      <c r="D1005" s="1281"/>
      <c r="E1005" s="1281"/>
      <c r="F1005" s="1281"/>
      <c r="G1005" s="1281"/>
      <c r="H1005" s="1281"/>
      <c r="I1005" s="1281"/>
      <c r="J1005" s="1281"/>
      <c r="K1005" s="1281"/>
      <c r="L1005" s="1281"/>
      <c r="M1005" s="1281"/>
      <c r="N1005" s="1281"/>
      <c r="O1005" s="1281"/>
      <c r="P1005" s="193"/>
      <c r="Q1005" s="194"/>
      <c r="R1005" s="194"/>
      <c r="T1005" s="190"/>
      <c r="U1005" s="191"/>
    </row>
    <row r="1006" spans="1:21">
      <c r="A1006" s="192"/>
      <c r="B1006" s="195" t="s">
        <v>1303</v>
      </c>
      <c r="C1006" s="196"/>
      <c r="D1006" s="197"/>
      <c r="E1006" s="198"/>
      <c r="F1006" s="197"/>
      <c r="G1006" s="198"/>
      <c r="H1006" s="197"/>
      <c r="I1006" s="198"/>
      <c r="J1006" s="197"/>
      <c r="K1006" s="198"/>
      <c r="L1006" s="199"/>
      <c r="M1006" s="199" t="s">
        <v>1208</v>
      </c>
      <c r="N1006" s="199">
        <v>357.36</v>
      </c>
      <c r="O1006" s="155"/>
      <c r="P1006" s="193"/>
      <c r="Q1006" s="200"/>
      <c r="R1006" s="194"/>
      <c r="T1006" s="190"/>
      <c r="U1006" s="191"/>
    </row>
    <row r="1007" spans="1:21">
      <c r="A1007" s="192"/>
      <c r="B1007" s="195"/>
      <c r="C1007" s="196"/>
      <c r="D1007" s="197"/>
      <c r="E1007" s="198"/>
      <c r="F1007" s="197"/>
      <c r="G1007" s="198"/>
      <c r="H1007" s="197"/>
      <c r="I1007" s="198"/>
      <c r="J1007" s="197"/>
      <c r="K1007" s="198"/>
      <c r="L1007" s="199"/>
      <c r="M1007" s="199"/>
      <c r="N1007" s="201"/>
      <c r="O1007" s="202"/>
      <c r="P1007" s="193"/>
      <c r="Q1007" s="200"/>
      <c r="R1007" s="194"/>
      <c r="T1007" s="190"/>
      <c r="U1007" s="191"/>
    </row>
    <row r="1008" spans="1:21">
      <c r="A1008" s="192"/>
      <c r="B1008" s="195"/>
      <c r="C1008" s="196"/>
      <c r="D1008" s="197"/>
      <c r="E1008" s="198"/>
      <c r="F1008" s="197"/>
      <c r="G1008" s="198"/>
      <c r="H1008" s="197"/>
      <c r="I1008" s="198"/>
      <c r="J1008" s="197"/>
      <c r="K1008" s="198"/>
      <c r="L1008" s="199" t="s">
        <v>1140</v>
      </c>
      <c r="M1008" s="199" t="s">
        <v>1208</v>
      </c>
      <c r="N1008" s="199">
        <f>SUM(N1006:N1007)</f>
        <v>357.36</v>
      </c>
      <c r="O1008" s="155" t="e">
        <f>P1004</f>
        <v>#REF!</v>
      </c>
      <c r="P1008" s="193"/>
      <c r="Q1008" s="200"/>
      <c r="R1008" s="194"/>
      <c r="T1008" s="190"/>
      <c r="U1008" s="191"/>
    </row>
    <row r="1009" spans="1:21">
      <c r="A1009" s="192"/>
      <c r="B1009" s="195"/>
      <c r="C1009" s="196"/>
      <c r="D1009" s="197"/>
      <c r="E1009" s="198"/>
      <c r="F1009" s="197"/>
      <c r="G1009" s="198"/>
      <c r="H1009" s="197"/>
      <c r="I1009" s="198"/>
      <c r="J1009" s="197"/>
      <c r="K1009" s="198"/>
      <c r="L1009" s="199"/>
      <c r="M1009" s="199"/>
      <c r="N1009" s="199"/>
      <c r="O1009" s="155"/>
      <c r="P1009" s="193"/>
      <c r="Q1009" s="200"/>
      <c r="R1009" s="194"/>
      <c r="T1009" s="190"/>
      <c r="U1009" s="191"/>
    </row>
    <row r="1010" spans="1:21">
      <c r="A1010" s="192"/>
      <c r="B1010" s="1277" t="s">
        <v>1209</v>
      </c>
      <c r="C1010" s="1277"/>
      <c r="D1010" s="1277"/>
      <c r="E1010" s="1277"/>
      <c r="F1010" s="1277"/>
      <c r="G1010" s="1277"/>
      <c r="H1010" s="1277"/>
      <c r="I1010" s="1277"/>
      <c r="J1010" s="1277"/>
      <c r="K1010" s="1277"/>
      <c r="L1010" s="1277"/>
      <c r="M1010" s="1277"/>
      <c r="N1010" s="1277"/>
      <c r="O1010" s="1277"/>
      <c r="P1010" s="1277"/>
      <c r="Q1010" s="203">
        <v>0</v>
      </c>
      <c r="R1010" s="204">
        <f>Q1010</f>
        <v>0</v>
      </c>
      <c r="T1010" s="1278"/>
      <c r="U1010" s="1279"/>
    </row>
    <row r="1011" spans="1:21">
      <c r="A1011" s="192"/>
      <c r="B1011" s="1277" t="e">
        <f>med</f>
        <v>#NAME?</v>
      </c>
      <c r="C1011" s="1277"/>
      <c r="D1011" s="1277"/>
      <c r="E1011" s="1277"/>
      <c r="F1011" s="1277"/>
      <c r="G1011" s="1277"/>
      <c r="H1011" s="1277"/>
      <c r="I1011" s="1277"/>
      <c r="J1011" s="1277"/>
      <c r="K1011" s="1277"/>
      <c r="L1011" s="1277"/>
      <c r="M1011" s="1277"/>
      <c r="N1011" s="1277"/>
      <c r="O1011" s="1277"/>
      <c r="P1011" s="205">
        <f>N1008</f>
        <v>357.36</v>
      </c>
      <c r="Q1011" s="203">
        <f>P1011</f>
        <v>357.36</v>
      </c>
      <c r="R1011" s="204">
        <f>Q1011+R1010</f>
        <v>357.36</v>
      </c>
      <c r="T1011" s="1278"/>
      <c r="U1011" s="1279"/>
    </row>
    <row r="1012" spans="1:21" ht="18" customHeight="1">
      <c r="A1012" s="187" t="e">
        <f>#REF!</f>
        <v>#REF!</v>
      </c>
      <c r="B1012" s="1275" t="e">
        <f>IF(A1012="","",VLOOKUP($A1012,'[2]FDE-JUNHO-08'!$A$6:$D$3537,2,FALSE()))</f>
        <v>#REF!</v>
      </c>
      <c r="C1012" s="1275"/>
      <c r="D1012" s="1275"/>
      <c r="E1012" s="1275"/>
      <c r="F1012" s="1275"/>
      <c r="G1012" s="1275"/>
      <c r="H1012" s="1275"/>
      <c r="I1012" s="1275"/>
      <c r="J1012" s="1275"/>
      <c r="K1012" s="1275"/>
      <c r="L1012" s="1275"/>
      <c r="M1012" s="1275"/>
      <c r="N1012" s="1275"/>
      <c r="O1012" s="1275"/>
      <c r="P1012" s="188" t="e">
        <f>IF(A1012="","",VLOOKUP($A1012,'[2]FDE-JUNHO-08'!$A$6:$D$3537,3,FALSE()))</f>
        <v>#REF!</v>
      </c>
      <c r="Q1012" s="189" t="s">
        <v>1205</v>
      </c>
      <c r="R1012" s="189" t="s">
        <v>1206</v>
      </c>
      <c r="T1012" s="190"/>
      <c r="U1012" s="191"/>
    </row>
    <row r="1013" spans="1:21">
      <c r="A1013" s="192"/>
      <c r="B1013" s="1281"/>
      <c r="C1013" s="1281"/>
      <c r="D1013" s="1281"/>
      <c r="E1013" s="1281"/>
      <c r="F1013" s="1281"/>
      <c r="G1013" s="1281"/>
      <c r="H1013" s="1281"/>
      <c r="I1013" s="1281"/>
      <c r="J1013" s="1281"/>
      <c r="K1013" s="1281"/>
      <c r="L1013" s="1281"/>
      <c r="M1013" s="1281"/>
      <c r="N1013" s="1281"/>
      <c r="O1013" s="1281"/>
      <c r="P1013" s="193"/>
      <c r="Q1013" s="194"/>
      <c r="R1013" s="194"/>
      <c r="T1013" s="190"/>
      <c r="U1013" s="191"/>
    </row>
    <row r="1014" spans="1:21">
      <c r="A1014" s="192"/>
      <c r="B1014" s="195" t="s">
        <v>1303</v>
      </c>
      <c r="C1014" s="196"/>
      <c r="D1014" s="197"/>
      <c r="E1014" s="198"/>
      <c r="F1014" s="197"/>
      <c r="G1014" s="198"/>
      <c r="H1014" s="197"/>
      <c r="I1014" s="198"/>
      <c r="J1014" s="197"/>
      <c r="K1014" s="198"/>
      <c r="L1014" s="199"/>
      <c r="M1014" s="199" t="s">
        <v>1208</v>
      </c>
      <c r="N1014" s="199" t="e">
        <f>#REF!</f>
        <v>#REF!</v>
      </c>
      <c r="O1014" s="155"/>
      <c r="P1014" s="193"/>
      <c r="Q1014" s="200"/>
      <c r="R1014" s="194"/>
      <c r="T1014" s="190"/>
      <c r="U1014" s="191"/>
    </row>
    <row r="1015" spans="1:21">
      <c r="A1015" s="192"/>
      <c r="B1015" s="195"/>
      <c r="C1015" s="196"/>
      <c r="D1015" s="197"/>
      <c r="E1015" s="198"/>
      <c r="F1015" s="197"/>
      <c r="G1015" s="198"/>
      <c r="H1015" s="197"/>
      <c r="I1015" s="198"/>
      <c r="J1015" s="197"/>
      <c r="K1015" s="198"/>
      <c r="L1015" s="199"/>
      <c r="M1015" s="199"/>
      <c r="N1015" s="201"/>
      <c r="O1015" s="202"/>
      <c r="P1015" s="193"/>
      <c r="Q1015" s="200"/>
      <c r="R1015" s="194"/>
      <c r="T1015" s="190"/>
      <c r="U1015" s="191"/>
    </row>
    <row r="1016" spans="1:21">
      <c r="A1016" s="192"/>
      <c r="B1016" s="195"/>
      <c r="C1016" s="196"/>
      <c r="D1016" s="197"/>
      <c r="E1016" s="198"/>
      <c r="F1016" s="197"/>
      <c r="G1016" s="198"/>
      <c r="H1016" s="197"/>
      <c r="I1016" s="198"/>
      <c r="J1016" s="197"/>
      <c r="K1016" s="198"/>
      <c r="L1016" s="199" t="s">
        <v>1140</v>
      </c>
      <c r="M1016" s="199" t="s">
        <v>1208</v>
      </c>
      <c r="N1016" s="199" t="e">
        <f>SUM(N1014:N1015)</f>
        <v>#REF!</v>
      </c>
      <c r="O1016" s="155" t="e">
        <f>P1012</f>
        <v>#REF!</v>
      </c>
      <c r="P1016" s="193"/>
      <c r="Q1016" s="200"/>
      <c r="R1016" s="194"/>
      <c r="T1016" s="190"/>
      <c r="U1016" s="191"/>
    </row>
    <row r="1017" spans="1:21">
      <c r="A1017" s="192"/>
      <c r="B1017" s="195"/>
      <c r="C1017" s="196"/>
      <c r="D1017" s="197"/>
      <c r="E1017" s="198"/>
      <c r="F1017" s="197"/>
      <c r="G1017" s="198"/>
      <c r="H1017" s="197"/>
      <c r="I1017" s="198"/>
      <c r="J1017" s="197"/>
      <c r="K1017" s="198"/>
      <c r="L1017" s="199"/>
      <c r="M1017" s="199"/>
      <c r="N1017" s="199"/>
      <c r="O1017" s="155"/>
      <c r="P1017" s="193"/>
      <c r="Q1017" s="200"/>
      <c r="R1017" s="194"/>
      <c r="T1017" s="190"/>
      <c r="U1017" s="191"/>
    </row>
    <row r="1018" spans="1:21">
      <c r="A1018" s="192"/>
      <c r="B1018" s="1277" t="s">
        <v>1209</v>
      </c>
      <c r="C1018" s="1277"/>
      <c r="D1018" s="1277"/>
      <c r="E1018" s="1277"/>
      <c r="F1018" s="1277"/>
      <c r="G1018" s="1277"/>
      <c r="H1018" s="1277"/>
      <c r="I1018" s="1277"/>
      <c r="J1018" s="1277"/>
      <c r="K1018" s="1277"/>
      <c r="L1018" s="1277"/>
      <c r="M1018" s="1277"/>
      <c r="N1018" s="1277"/>
      <c r="O1018" s="1277"/>
      <c r="P1018" s="1277"/>
      <c r="Q1018" s="203">
        <v>0</v>
      </c>
      <c r="R1018" s="204">
        <f>Q1018</f>
        <v>0</v>
      </c>
      <c r="T1018" s="1278"/>
      <c r="U1018" s="1279"/>
    </row>
    <row r="1019" spans="1:21">
      <c r="A1019" s="192"/>
      <c r="B1019" s="1277" t="e">
        <f>med</f>
        <v>#NAME?</v>
      </c>
      <c r="C1019" s="1277"/>
      <c r="D1019" s="1277"/>
      <c r="E1019" s="1277"/>
      <c r="F1019" s="1277"/>
      <c r="G1019" s="1277"/>
      <c r="H1019" s="1277"/>
      <c r="I1019" s="1277"/>
      <c r="J1019" s="1277"/>
      <c r="K1019" s="1277"/>
      <c r="L1019" s="1277"/>
      <c r="M1019" s="1277"/>
      <c r="N1019" s="1277"/>
      <c r="O1019" s="1277"/>
      <c r="P1019" s="205" t="e">
        <f>N1016</f>
        <v>#REF!</v>
      </c>
      <c r="Q1019" s="203" t="e">
        <f>P1019</f>
        <v>#REF!</v>
      </c>
      <c r="R1019" s="204" t="e">
        <f>Q1019+R1018</f>
        <v>#REF!</v>
      </c>
      <c r="T1019" s="1278"/>
      <c r="U1019" s="1279"/>
    </row>
    <row r="1020" spans="1:21" ht="18" customHeight="1">
      <c r="A1020" s="187" t="e">
        <f>#REF!</f>
        <v>#REF!</v>
      </c>
      <c r="B1020" s="1275" t="e">
        <f>IF(A1020="","",VLOOKUP($A1020,'[2]FDE-JUNHO-08'!$A$6:$D$3537,2,FALSE()))</f>
        <v>#REF!</v>
      </c>
      <c r="C1020" s="1275"/>
      <c r="D1020" s="1275"/>
      <c r="E1020" s="1275"/>
      <c r="F1020" s="1275"/>
      <c r="G1020" s="1275"/>
      <c r="H1020" s="1275"/>
      <c r="I1020" s="1275"/>
      <c r="J1020" s="1275"/>
      <c r="K1020" s="1275"/>
      <c r="L1020" s="1275"/>
      <c r="M1020" s="1275"/>
      <c r="N1020" s="1275"/>
      <c r="O1020" s="1275"/>
      <c r="P1020" s="188" t="e">
        <f>IF(A1020="","",VLOOKUP($A1020,'[2]FDE-JUNHO-08'!$A$6:$D$3537,3,FALSE()))</f>
        <v>#REF!</v>
      </c>
      <c r="Q1020" s="189" t="s">
        <v>1205</v>
      </c>
      <c r="R1020" s="189" t="s">
        <v>1206</v>
      </c>
      <c r="T1020" s="190"/>
      <c r="U1020" s="191"/>
    </row>
    <row r="1021" spans="1:21">
      <c r="A1021" s="192"/>
      <c r="B1021" s="1281"/>
      <c r="C1021" s="1281"/>
      <c r="D1021" s="1281"/>
      <c r="E1021" s="1281"/>
      <c r="F1021" s="1281"/>
      <c r="G1021" s="1281"/>
      <c r="H1021" s="1281"/>
      <c r="I1021" s="1281"/>
      <c r="J1021" s="1281"/>
      <c r="K1021" s="1281"/>
      <c r="L1021" s="1281"/>
      <c r="M1021" s="1281"/>
      <c r="N1021" s="1281"/>
      <c r="O1021" s="1281"/>
      <c r="P1021" s="193"/>
      <c r="Q1021" s="194"/>
      <c r="R1021" s="194"/>
      <c r="T1021" s="190"/>
      <c r="U1021" s="191"/>
    </row>
    <row r="1022" spans="1:21">
      <c r="A1022" s="192"/>
      <c r="B1022" s="195" t="s">
        <v>1303</v>
      </c>
      <c r="C1022" s="196"/>
      <c r="D1022" s="197"/>
      <c r="E1022" s="198"/>
      <c r="F1022" s="197"/>
      <c r="G1022" s="198"/>
      <c r="H1022" s="197"/>
      <c r="I1022" s="198"/>
      <c r="J1022" s="197"/>
      <c r="K1022" s="198"/>
      <c r="L1022" s="199"/>
      <c r="M1022" s="199" t="s">
        <v>1208</v>
      </c>
      <c r="N1022" s="199">
        <f>PLANILHA!E134</f>
        <v>34</v>
      </c>
      <c r="O1022" s="155"/>
      <c r="P1022" s="193"/>
      <c r="Q1022" s="200"/>
      <c r="R1022" s="194"/>
      <c r="T1022" s="190"/>
      <c r="U1022" s="191"/>
    </row>
    <row r="1023" spans="1:21">
      <c r="A1023" s="192"/>
      <c r="B1023" s="195"/>
      <c r="C1023" s="196"/>
      <c r="D1023" s="197"/>
      <c r="E1023" s="198"/>
      <c r="F1023" s="197"/>
      <c r="G1023" s="198"/>
      <c r="H1023" s="197"/>
      <c r="I1023" s="198"/>
      <c r="J1023" s="197"/>
      <c r="K1023" s="198"/>
      <c r="L1023" s="199"/>
      <c r="M1023" s="199"/>
      <c r="N1023" s="201"/>
      <c r="O1023" s="202"/>
      <c r="P1023" s="193"/>
      <c r="Q1023" s="200"/>
      <c r="R1023" s="194"/>
      <c r="T1023" s="190"/>
      <c r="U1023" s="191"/>
    </row>
    <row r="1024" spans="1:21">
      <c r="A1024" s="192"/>
      <c r="B1024" s="195"/>
      <c r="C1024" s="196"/>
      <c r="D1024" s="197"/>
      <c r="E1024" s="198"/>
      <c r="F1024" s="197"/>
      <c r="G1024" s="198"/>
      <c r="H1024" s="197"/>
      <c r="I1024" s="198"/>
      <c r="J1024" s="197"/>
      <c r="K1024" s="198"/>
      <c r="L1024" s="199" t="s">
        <v>1140</v>
      </c>
      <c r="M1024" s="199" t="s">
        <v>1208</v>
      </c>
      <c r="N1024" s="199">
        <f>SUM(N1022:N1023)</f>
        <v>34</v>
      </c>
      <c r="O1024" s="155" t="e">
        <f>P1020</f>
        <v>#REF!</v>
      </c>
      <c r="P1024" s="193"/>
      <c r="Q1024" s="200"/>
      <c r="R1024" s="194"/>
      <c r="T1024" s="190"/>
      <c r="U1024" s="191"/>
    </row>
    <row r="1025" spans="1:21">
      <c r="A1025" s="192"/>
      <c r="B1025" s="195"/>
      <c r="C1025" s="196"/>
      <c r="D1025" s="197"/>
      <c r="E1025" s="198"/>
      <c r="F1025" s="197"/>
      <c r="G1025" s="198"/>
      <c r="H1025" s="197"/>
      <c r="I1025" s="198"/>
      <c r="J1025" s="197"/>
      <c r="K1025" s="198"/>
      <c r="L1025" s="199"/>
      <c r="M1025" s="199"/>
      <c r="N1025" s="199"/>
      <c r="O1025" s="155"/>
      <c r="P1025" s="193"/>
      <c r="Q1025" s="200"/>
      <c r="R1025" s="194"/>
      <c r="T1025" s="190"/>
      <c r="U1025" s="191"/>
    </row>
    <row r="1026" spans="1:21">
      <c r="A1026" s="192"/>
      <c r="B1026" s="1277" t="s">
        <v>1209</v>
      </c>
      <c r="C1026" s="1277"/>
      <c r="D1026" s="1277"/>
      <c r="E1026" s="1277"/>
      <c r="F1026" s="1277"/>
      <c r="G1026" s="1277"/>
      <c r="H1026" s="1277"/>
      <c r="I1026" s="1277"/>
      <c r="J1026" s="1277"/>
      <c r="K1026" s="1277"/>
      <c r="L1026" s="1277"/>
      <c r="M1026" s="1277"/>
      <c r="N1026" s="1277"/>
      <c r="O1026" s="1277"/>
      <c r="P1026" s="1277"/>
      <c r="Q1026" s="203">
        <v>0</v>
      </c>
      <c r="R1026" s="204">
        <f>Q1026</f>
        <v>0</v>
      </c>
      <c r="T1026" s="1278"/>
      <c r="U1026" s="1279"/>
    </row>
    <row r="1027" spans="1:21">
      <c r="A1027" s="192"/>
      <c r="B1027" s="1277" t="e">
        <f>med</f>
        <v>#NAME?</v>
      </c>
      <c r="C1027" s="1277"/>
      <c r="D1027" s="1277"/>
      <c r="E1027" s="1277"/>
      <c r="F1027" s="1277"/>
      <c r="G1027" s="1277"/>
      <c r="H1027" s="1277"/>
      <c r="I1027" s="1277"/>
      <c r="J1027" s="1277"/>
      <c r="K1027" s="1277"/>
      <c r="L1027" s="1277"/>
      <c r="M1027" s="1277"/>
      <c r="N1027" s="1277"/>
      <c r="O1027" s="1277"/>
      <c r="P1027" s="205">
        <f>N1024</f>
        <v>34</v>
      </c>
      <c r="Q1027" s="203">
        <f>P1027</f>
        <v>34</v>
      </c>
      <c r="R1027" s="204">
        <f>Q1027+R1026</f>
        <v>34</v>
      </c>
      <c r="T1027" s="1278"/>
      <c r="U1027" s="1279"/>
    </row>
    <row r="1028" spans="1:21" ht="18" customHeight="1">
      <c r="A1028" s="187" t="e">
        <f>#REF!</f>
        <v>#REF!</v>
      </c>
      <c r="B1028" s="1275" t="e">
        <f>IF(A1028="","",VLOOKUP($A1028,'[2]FDE-JUNHO-08'!$A$6:$D$3537,2,FALSE()))</f>
        <v>#REF!</v>
      </c>
      <c r="C1028" s="1275"/>
      <c r="D1028" s="1275"/>
      <c r="E1028" s="1275"/>
      <c r="F1028" s="1275"/>
      <c r="G1028" s="1275"/>
      <c r="H1028" s="1275"/>
      <c r="I1028" s="1275"/>
      <c r="J1028" s="1275"/>
      <c r="K1028" s="1275"/>
      <c r="L1028" s="1275"/>
      <c r="M1028" s="1275"/>
      <c r="N1028" s="1275"/>
      <c r="O1028" s="1275"/>
      <c r="P1028" s="188" t="e">
        <f>IF(A1028="","",VLOOKUP($A1028,'[2]FDE-JUNHO-08'!$A$6:$D$3537,3,FALSE()))</f>
        <v>#REF!</v>
      </c>
      <c r="Q1028" s="189" t="s">
        <v>1205</v>
      </c>
      <c r="R1028" s="189" t="s">
        <v>1206</v>
      </c>
      <c r="T1028" s="190"/>
      <c r="U1028" s="191"/>
    </row>
    <row r="1029" spans="1:21">
      <c r="A1029" s="192"/>
      <c r="B1029" s="1281"/>
      <c r="C1029" s="1281"/>
      <c r="D1029" s="1281"/>
      <c r="E1029" s="1281"/>
      <c r="F1029" s="1281"/>
      <c r="G1029" s="1281"/>
      <c r="H1029" s="1281"/>
      <c r="I1029" s="1281"/>
      <c r="J1029" s="1281"/>
      <c r="K1029" s="1281"/>
      <c r="L1029" s="1281"/>
      <c r="M1029" s="1281"/>
      <c r="N1029" s="1281"/>
      <c r="O1029" s="1281"/>
      <c r="P1029" s="193"/>
      <c r="Q1029" s="194"/>
      <c r="R1029" s="194"/>
      <c r="T1029" s="190"/>
      <c r="U1029" s="191"/>
    </row>
    <row r="1030" spans="1:21">
      <c r="A1030" s="192"/>
      <c r="B1030" s="195" t="s">
        <v>1303</v>
      </c>
      <c r="C1030" s="196"/>
      <c r="D1030" s="197"/>
      <c r="E1030" s="198"/>
      <c r="F1030" s="197"/>
      <c r="G1030" s="198"/>
      <c r="H1030" s="197"/>
      <c r="I1030" s="198"/>
      <c r="J1030" s="197"/>
      <c r="K1030" s="198"/>
      <c r="L1030" s="199"/>
      <c r="M1030" s="199" t="s">
        <v>1208</v>
      </c>
      <c r="N1030" s="199" t="e">
        <f>#REF!</f>
        <v>#REF!</v>
      </c>
      <c r="O1030" s="155"/>
      <c r="P1030" s="193"/>
      <c r="Q1030" s="200"/>
      <c r="R1030" s="194"/>
      <c r="T1030" s="190"/>
      <c r="U1030" s="191"/>
    </row>
    <row r="1031" spans="1:21">
      <c r="A1031" s="192"/>
      <c r="B1031" s="195"/>
      <c r="C1031" s="196"/>
      <c r="D1031" s="197"/>
      <c r="E1031" s="198"/>
      <c r="F1031" s="197"/>
      <c r="G1031" s="198"/>
      <c r="H1031" s="197"/>
      <c r="I1031" s="198"/>
      <c r="J1031" s="197"/>
      <c r="K1031" s="198"/>
      <c r="L1031" s="199"/>
      <c r="M1031" s="199"/>
      <c r="N1031" s="201"/>
      <c r="O1031" s="202"/>
      <c r="P1031" s="193"/>
      <c r="Q1031" s="200"/>
      <c r="R1031" s="194"/>
      <c r="T1031" s="190"/>
      <c r="U1031" s="191"/>
    </row>
    <row r="1032" spans="1:21">
      <c r="A1032" s="192"/>
      <c r="B1032" s="195"/>
      <c r="C1032" s="196"/>
      <c r="D1032" s="197"/>
      <c r="E1032" s="198"/>
      <c r="F1032" s="197"/>
      <c r="G1032" s="198"/>
      <c r="H1032" s="197"/>
      <c r="I1032" s="198"/>
      <c r="J1032" s="197"/>
      <c r="K1032" s="198"/>
      <c r="L1032" s="199" t="s">
        <v>1140</v>
      </c>
      <c r="M1032" s="199" t="s">
        <v>1208</v>
      </c>
      <c r="N1032" s="199" t="e">
        <f>SUM(N1030:N1031)</f>
        <v>#REF!</v>
      </c>
      <c r="O1032" s="155" t="e">
        <f>P1028</f>
        <v>#REF!</v>
      </c>
      <c r="P1032" s="193"/>
      <c r="Q1032" s="200"/>
      <c r="R1032" s="194"/>
      <c r="T1032" s="190"/>
      <c r="U1032" s="191"/>
    </row>
    <row r="1033" spans="1:21">
      <c r="A1033" s="192"/>
      <c r="B1033" s="195"/>
      <c r="C1033" s="196"/>
      <c r="D1033" s="197"/>
      <c r="E1033" s="198"/>
      <c r="F1033" s="197"/>
      <c r="G1033" s="198"/>
      <c r="H1033" s="197"/>
      <c r="I1033" s="198"/>
      <c r="J1033" s="197"/>
      <c r="K1033" s="198"/>
      <c r="L1033" s="199"/>
      <c r="M1033" s="199"/>
      <c r="N1033" s="199"/>
      <c r="O1033" s="155"/>
      <c r="P1033" s="193"/>
      <c r="Q1033" s="200"/>
      <c r="R1033" s="194"/>
      <c r="T1033" s="190"/>
      <c r="U1033" s="191"/>
    </row>
    <row r="1034" spans="1:21">
      <c r="A1034" s="192"/>
      <c r="B1034" s="1277" t="s">
        <v>1209</v>
      </c>
      <c r="C1034" s="1277"/>
      <c r="D1034" s="1277"/>
      <c r="E1034" s="1277"/>
      <c r="F1034" s="1277"/>
      <c r="G1034" s="1277"/>
      <c r="H1034" s="1277"/>
      <c r="I1034" s="1277"/>
      <c r="J1034" s="1277"/>
      <c r="K1034" s="1277"/>
      <c r="L1034" s="1277"/>
      <c r="M1034" s="1277"/>
      <c r="N1034" s="1277"/>
      <c r="O1034" s="1277"/>
      <c r="P1034" s="1277"/>
      <c r="Q1034" s="203">
        <v>0</v>
      </c>
      <c r="R1034" s="204">
        <f>Q1034</f>
        <v>0</v>
      </c>
      <c r="T1034" s="1278"/>
      <c r="U1034" s="1279"/>
    </row>
    <row r="1035" spans="1:21">
      <c r="A1035" s="192"/>
      <c r="B1035" s="1277" t="e">
        <f>med</f>
        <v>#NAME?</v>
      </c>
      <c r="C1035" s="1277"/>
      <c r="D1035" s="1277"/>
      <c r="E1035" s="1277"/>
      <c r="F1035" s="1277"/>
      <c r="G1035" s="1277"/>
      <c r="H1035" s="1277"/>
      <c r="I1035" s="1277"/>
      <c r="J1035" s="1277"/>
      <c r="K1035" s="1277"/>
      <c r="L1035" s="1277"/>
      <c r="M1035" s="1277"/>
      <c r="N1035" s="1277"/>
      <c r="O1035" s="1277"/>
      <c r="P1035" s="205" t="e">
        <f>N1032</f>
        <v>#REF!</v>
      </c>
      <c r="Q1035" s="203" t="e">
        <f>P1035</f>
        <v>#REF!</v>
      </c>
      <c r="R1035" s="204" t="e">
        <f>Q1035+R1034</f>
        <v>#REF!</v>
      </c>
      <c r="T1035" s="1278"/>
      <c r="U1035" s="1279"/>
    </row>
    <row r="1036" spans="1:21" ht="18" customHeight="1">
      <c r="A1036" s="187" t="e">
        <f>#REF!</f>
        <v>#REF!</v>
      </c>
      <c r="B1036" s="1275" t="e">
        <f>IF(A1036="","",VLOOKUP($A1036,'[2]FDE-JUNHO-08'!$A$6:$D$3537,2,FALSE()))</f>
        <v>#REF!</v>
      </c>
      <c r="C1036" s="1275"/>
      <c r="D1036" s="1275"/>
      <c r="E1036" s="1275"/>
      <c r="F1036" s="1275"/>
      <c r="G1036" s="1275"/>
      <c r="H1036" s="1275"/>
      <c r="I1036" s="1275"/>
      <c r="J1036" s="1275"/>
      <c r="K1036" s="1275"/>
      <c r="L1036" s="1275"/>
      <c r="M1036" s="1275"/>
      <c r="N1036" s="1275"/>
      <c r="O1036" s="1275"/>
      <c r="P1036" s="188" t="e">
        <f>IF(A1036="","",VLOOKUP($A1036,'[2]FDE-JUNHO-08'!$A$6:$D$3537,3,FALSE()))</f>
        <v>#REF!</v>
      </c>
      <c r="Q1036" s="189" t="s">
        <v>1205</v>
      </c>
      <c r="R1036" s="189" t="s">
        <v>1206</v>
      </c>
      <c r="T1036" s="190"/>
      <c r="U1036" s="191"/>
    </row>
    <row r="1037" spans="1:21">
      <c r="A1037" s="192"/>
      <c r="B1037" s="1281"/>
      <c r="C1037" s="1281"/>
      <c r="D1037" s="1281"/>
      <c r="E1037" s="1281"/>
      <c r="F1037" s="1281"/>
      <c r="G1037" s="1281"/>
      <c r="H1037" s="1281"/>
      <c r="I1037" s="1281"/>
      <c r="J1037" s="1281"/>
      <c r="K1037" s="1281"/>
      <c r="L1037" s="1281"/>
      <c r="M1037" s="1281"/>
      <c r="N1037" s="1281"/>
      <c r="O1037" s="1281"/>
      <c r="P1037" s="193"/>
      <c r="Q1037" s="194"/>
      <c r="R1037" s="194"/>
      <c r="T1037" s="190"/>
      <c r="U1037" s="191"/>
    </row>
    <row r="1038" spans="1:21">
      <c r="A1038" s="192"/>
      <c r="B1038" s="195" t="s">
        <v>1303</v>
      </c>
      <c r="C1038" s="196"/>
      <c r="D1038" s="197"/>
      <c r="E1038" s="198"/>
      <c r="F1038" s="197"/>
      <c r="G1038" s="198"/>
      <c r="H1038" s="197"/>
      <c r="I1038" s="198"/>
      <c r="J1038" s="197"/>
      <c r="K1038" s="198"/>
      <c r="L1038" s="199"/>
      <c r="M1038" s="199" t="s">
        <v>1208</v>
      </c>
      <c r="N1038" s="199" t="e">
        <f>#REF!</f>
        <v>#REF!</v>
      </c>
      <c r="O1038" s="155"/>
      <c r="P1038" s="193"/>
      <c r="Q1038" s="200"/>
      <c r="R1038" s="194"/>
      <c r="T1038" s="190"/>
      <c r="U1038" s="191"/>
    </row>
    <row r="1039" spans="1:21">
      <c r="A1039" s="192"/>
      <c r="B1039" s="195"/>
      <c r="C1039" s="196"/>
      <c r="D1039" s="197"/>
      <c r="E1039" s="198"/>
      <c r="F1039" s="197"/>
      <c r="G1039" s="198"/>
      <c r="H1039" s="197"/>
      <c r="I1039" s="198"/>
      <c r="J1039" s="197"/>
      <c r="K1039" s="198"/>
      <c r="L1039" s="199"/>
      <c r="M1039" s="199"/>
      <c r="N1039" s="201"/>
      <c r="O1039" s="202"/>
      <c r="P1039" s="193"/>
      <c r="Q1039" s="200"/>
      <c r="R1039" s="194"/>
      <c r="T1039" s="190"/>
      <c r="U1039" s="191"/>
    </row>
    <row r="1040" spans="1:21">
      <c r="A1040" s="192"/>
      <c r="B1040" s="195"/>
      <c r="C1040" s="196"/>
      <c r="D1040" s="197"/>
      <c r="E1040" s="198"/>
      <c r="F1040" s="197"/>
      <c r="G1040" s="198"/>
      <c r="H1040" s="197"/>
      <c r="I1040" s="198"/>
      <c r="J1040" s="197"/>
      <c r="K1040" s="198"/>
      <c r="L1040" s="199" t="s">
        <v>1140</v>
      </c>
      <c r="M1040" s="199" t="s">
        <v>1208</v>
      </c>
      <c r="N1040" s="199" t="e">
        <f>SUM(N1038:N1039)</f>
        <v>#REF!</v>
      </c>
      <c r="O1040" s="155" t="e">
        <f>P1036</f>
        <v>#REF!</v>
      </c>
      <c r="P1040" s="193"/>
      <c r="Q1040" s="200"/>
      <c r="R1040" s="194"/>
      <c r="T1040" s="190"/>
      <c r="U1040" s="191"/>
    </row>
    <row r="1041" spans="1:21">
      <c r="A1041" s="192"/>
      <c r="B1041" s="195"/>
      <c r="C1041" s="196"/>
      <c r="D1041" s="197"/>
      <c r="E1041" s="198"/>
      <c r="F1041" s="197"/>
      <c r="G1041" s="198"/>
      <c r="H1041" s="197"/>
      <c r="I1041" s="198"/>
      <c r="J1041" s="197"/>
      <c r="K1041" s="198"/>
      <c r="L1041" s="199"/>
      <c r="M1041" s="199"/>
      <c r="N1041" s="199"/>
      <c r="O1041" s="155"/>
      <c r="P1041" s="193"/>
      <c r="Q1041" s="200"/>
      <c r="R1041" s="194"/>
      <c r="T1041" s="190"/>
      <c r="U1041" s="191"/>
    </row>
    <row r="1042" spans="1:21">
      <c r="A1042" s="192"/>
      <c r="B1042" s="1277" t="s">
        <v>1209</v>
      </c>
      <c r="C1042" s="1277"/>
      <c r="D1042" s="1277"/>
      <c r="E1042" s="1277"/>
      <c r="F1042" s="1277"/>
      <c r="G1042" s="1277"/>
      <c r="H1042" s="1277"/>
      <c r="I1042" s="1277"/>
      <c r="J1042" s="1277"/>
      <c r="K1042" s="1277"/>
      <c r="L1042" s="1277"/>
      <c r="M1042" s="1277"/>
      <c r="N1042" s="1277"/>
      <c r="O1042" s="1277"/>
      <c r="P1042" s="1277"/>
      <c r="Q1042" s="203">
        <v>0</v>
      </c>
      <c r="R1042" s="204">
        <f>Q1042</f>
        <v>0</v>
      </c>
      <c r="T1042" s="1278"/>
      <c r="U1042" s="1279"/>
    </row>
    <row r="1043" spans="1:21" ht="14.25" customHeight="1">
      <c r="A1043" s="192"/>
      <c r="B1043" s="1277" t="e">
        <f>med</f>
        <v>#NAME?</v>
      </c>
      <c r="C1043" s="1277"/>
      <c r="D1043" s="1277"/>
      <c r="E1043" s="1277"/>
      <c r="F1043" s="1277"/>
      <c r="G1043" s="1277"/>
      <c r="H1043" s="1277"/>
      <c r="I1043" s="1277"/>
      <c r="J1043" s="1277"/>
      <c r="K1043" s="1277"/>
      <c r="L1043" s="1277"/>
      <c r="M1043" s="1277"/>
      <c r="N1043" s="1277"/>
      <c r="O1043" s="1277"/>
      <c r="P1043" s="205" t="e">
        <f>N1040</f>
        <v>#REF!</v>
      </c>
      <c r="Q1043" s="203" t="e">
        <f>P1043</f>
        <v>#REF!</v>
      </c>
      <c r="R1043" s="204" t="e">
        <f>Q1043+R1042</f>
        <v>#REF!</v>
      </c>
      <c r="T1043" s="1278"/>
      <c r="U1043" s="1279"/>
    </row>
    <row r="1044" spans="1:21" ht="18" customHeight="1">
      <c r="A1044" s="187" t="e">
        <f>#REF!</f>
        <v>#REF!</v>
      </c>
      <c r="B1044" s="1275" t="e">
        <f>IF(A1044="","",VLOOKUP($A1044,'[2]FDE-JUNHO-08'!$A$6:$D$3537,2,FALSE()))</f>
        <v>#REF!</v>
      </c>
      <c r="C1044" s="1275"/>
      <c r="D1044" s="1275"/>
      <c r="E1044" s="1275"/>
      <c r="F1044" s="1275"/>
      <c r="G1044" s="1275"/>
      <c r="H1044" s="1275"/>
      <c r="I1044" s="1275"/>
      <c r="J1044" s="1275"/>
      <c r="K1044" s="1275"/>
      <c r="L1044" s="1275"/>
      <c r="M1044" s="1275"/>
      <c r="N1044" s="1275"/>
      <c r="O1044" s="1275"/>
      <c r="P1044" s="188" t="e">
        <f>IF(A1044="","",VLOOKUP($A1044,'[2]FDE-JUNHO-08'!$A$6:$D$3537,3,FALSE()))</f>
        <v>#REF!</v>
      </c>
      <c r="Q1044" s="189" t="s">
        <v>1205</v>
      </c>
      <c r="R1044" s="189" t="s">
        <v>1206</v>
      </c>
      <c r="T1044" s="190"/>
      <c r="U1044" s="191"/>
    </row>
    <row r="1045" spans="1:21">
      <c r="A1045" s="192"/>
      <c r="B1045" s="1281"/>
      <c r="C1045" s="1281"/>
      <c r="D1045" s="1281"/>
      <c r="E1045" s="1281"/>
      <c r="F1045" s="1281"/>
      <c r="G1045" s="1281"/>
      <c r="H1045" s="1281"/>
      <c r="I1045" s="1281"/>
      <c r="J1045" s="1281"/>
      <c r="K1045" s="1281"/>
      <c r="L1045" s="1281"/>
      <c r="M1045" s="1281"/>
      <c r="N1045" s="1281"/>
      <c r="O1045" s="1281"/>
      <c r="P1045" s="193"/>
      <c r="Q1045" s="194"/>
      <c r="R1045" s="194"/>
      <c r="T1045" s="190"/>
      <c r="U1045" s="191"/>
    </row>
    <row r="1046" spans="1:21">
      <c r="A1046" s="192"/>
      <c r="B1046" s="195" t="s">
        <v>1304</v>
      </c>
      <c r="C1046" s="196"/>
      <c r="D1046" s="197"/>
      <c r="E1046" s="198"/>
      <c r="F1046" s="197"/>
      <c r="G1046" s="198"/>
      <c r="H1046" s="197"/>
      <c r="I1046" s="198"/>
      <c r="J1046" s="197"/>
      <c r="K1046" s="198"/>
      <c r="L1046" s="199"/>
      <c r="M1046" s="199" t="s">
        <v>1208</v>
      </c>
      <c r="N1046" s="199" t="e">
        <f>N1014-N1006</f>
        <v>#REF!</v>
      </c>
      <c r="O1046" s="155"/>
      <c r="P1046" s="193"/>
      <c r="Q1046" s="200"/>
      <c r="R1046" s="194"/>
      <c r="T1046" s="190"/>
      <c r="U1046" s="191"/>
    </row>
    <row r="1047" spans="1:21">
      <c r="A1047" s="192"/>
      <c r="B1047" s="195"/>
      <c r="C1047" s="196"/>
      <c r="D1047" s="197"/>
      <c r="E1047" s="198"/>
      <c r="F1047" s="197"/>
      <c r="G1047" s="198"/>
      <c r="H1047" s="197"/>
      <c r="I1047" s="198"/>
      <c r="J1047" s="197"/>
      <c r="K1047" s="198"/>
      <c r="L1047" s="199"/>
      <c r="M1047" s="199"/>
      <c r="N1047" s="201"/>
      <c r="O1047" s="202"/>
      <c r="P1047" s="193"/>
      <c r="Q1047" s="200"/>
      <c r="R1047" s="194"/>
      <c r="T1047" s="190"/>
      <c r="U1047" s="191"/>
    </row>
    <row r="1048" spans="1:21">
      <c r="A1048" s="192"/>
      <c r="B1048" s="195"/>
      <c r="C1048" s="196"/>
      <c r="D1048" s="197"/>
      <c r="E1048" s="198"/>
      <c r="F1048" s="197"/>
      <c r="G1048" s="198"/>
      <c r="H1048" s="197"/>
      <c r="I1048" s="198"/>
      <c r="J1048" s="197"/>
      <c r="K1048" s="198"/>
      <c r="L1048" s="199" t="s">
        <v>1140</v>
      </c>
      <c r="M1048" s="199" t="s">
        <v>1208</v>
      </c>
      <c r="N1048" s="199" t="e">
        <f>SUM(N1046:N1047)</f>
        <v>#REF!</v>
      </c>
      <c r="O1048" s="155" t="e">
        <f>P1044</f>
        <v>#REF!</v>
      </c>
      <c r="P1048" s="193"/>
      <c r="Q1048" s="200"/>
      <c r="R1048" s="194"/>
      <c r="T1048" s="190"/>
      <c r="U1048" s="191"/>
    </row>
    <row r="1049" spans="1:21">
      <c r="A1049" s="192"/>
      <c r="B1049" s="195"/>
      <c r="C1049" s="196"/>
      <c r="D1049" s="197"/>
      <c r="E1049" s="198"/>
      <c r="F1049" s="197"/>
      <c r="G1049" s="198"/>
      <c r="H1049" s="197"/>
      <c r="I1049" s="198"/>
      <c r="J1049" s="197"/>
      <c r="K1049" s="198"/>
      <c r="L1049" s="199"/>
      <c r="M1049" s="199"/>
      <c r="N1049" s="199"/>
      <c r="O1049" s="155"/>
      <c r="P1049" s="193"/>
      <c r="Q1049" s="200"/>
      <c r="R1049" s="194"/>
      <c r="T1049" s="190"/>
      <c r="U1049" s="191"/>
    </row>
    <row r="1050" spans="1:21">
      <c r="A1050" s="192"/>
      <c r="B1050" s="1277" t="s">
        <v>1209</v>
      </c>
      <c r="C1050" s="1277"/>
      <c r="D1050" s="1277"/>
      <c r="E1050" s="1277"/>
      <c r="F1050" s="1277"/>
      <c r="G1050" s="1277"/>
      <c r="H1050" s="1277"/>
      <c r="I1050" s="1277"/>
      <c r="J1050" s="1277"/>
      <c r="K1050" s="1277"/>
      <c r="L1050" s="1277"/>
      <c r="M1050" s="1277"/>
      <c r="N1050" s="1277"/>
      <c r="O1050" s="1277"/>
      <c r="P1050" s="1277"/>
      <c r="Q1050" s="203">
        <v>0</v>
      </c>
      <c r="R1050" s="204">
        <f>Q1050</f>
        <v>0</v>
      </c>
      <c r="T1050" s="1278"/>
      <c r="U1050" s="1279"/>
    </row>
    <row r="1051" spans="1:21">
      <c r="A1051" s="192"/>
      <c r="B1051" s="1277" t="e">
        <f>med</f>
        <v>#NAME?</v>
      </c>
      <c r="C1051" s="1277"/>
      <c r="D1051" s="1277"/>
      <c r="E1051" s="1277"/>
      <c r="F1051" s="1277"/>
      <c r="G1051" s="1277"/>
      <c r="H1051" s="1277"/>
      <c r="I1051" s="1277"/>
      <c r="J1051" s="1277"/>
      <c r="K1051" s="1277"/>
      <c r="L1051" s="1277"/>
      <c r="M1051" s="1277"/>
      <c r="N1051" s="1277"/>
      <c r="O1051" s="1277"/>
      <c r="P1051" s="205" t="e">
        <f>N1048</f>
        <v>#REF!</v>
      </c>
      <c r="Q1051" s="203" t="e">
        <f>P1051</f>
        <v>#REF!</v>
      </c>
      <c r="R1051" s="204" t="e">
        <f>Q1051+R1050</f>
        <v>#REF!</v>
      </c>
      <c r="T1051" s="1278"/>
      <c r="U1051" s="1279"/>
    </row>
    <row r="1052" spans="1:21" ht="18" customHeight="1">
      <c r="A1052" s="187" t="e">
        <f>#REF!</f>
        <v>#REF!</v>
      </c>
      <c r="B1052" s="1275" t="e">
        <f>IF(A1052="","",VLOOKUP($A1052,'[2]FDE-JUNHO-08'!$A$6:$D$3537,2,FALSE()))</f>
        <v>#REF!</v>
      </c>
      <c r="C1052" s="1275"/>
      <c r="D1052" s="1275"/>
      <c r="E1052" s="1275"/>
      <c r="F1052" s="1275"/>
      <c r="G1052" s="1275"/>
      <c r="H1052" s="1275"/>
      <c r="I1052" s="1275"/>
      <c r="J1052" s="1275"/>
      <c r="K1052" s="1275"/>
      <c r="L1052" s="1275"/>
      <c r="M1052" s="1275"/>
      <c r="N1052" s="1275"/>
      <c r="O1052" s="1275"/>
      <c r="P1052" s="188" t="e">
        <f>IF(A1052="","",VLOOKUP($A1052,'[2]FDE-JUNHO-08'!$A$6:$D$3537,3,FALSE()))</f>
        <v>#REF!</v>
      </c>
      <c r="Q1052" s="189" t="s">
        <v>1205</v>
      </c>
      <c r="R1052" s="189" t="s">
        <v>1206</v>
      </c>
      <c r="T1052" s="190"/>
      <c r="U1052" s="191"/>
    </row>
    <row r="1053" spans="1:21">
      <c r="A1053" s="192"/>
      <c r="B1053" s="1281"/>
      <c r="C1053" s="1281"/>
      <c r="D1053" s="1281"/>
      <c r="E1053" s="1281"/>
      <c r="F1053" s="1281"/>
      <c r="G1053" s="1281"/>
      <c r="H1053" s="1281"/>
      <c r="I1053" s="1281"/>
      <c r="J1053" s="1281"/>
      <c r="K1053" s="1281"/>
      <c r="L1053" s="1281"/>
      <c r="M1053" s="1281"/>
      <c r="N1053" s="1281"/>
      <c r="O1053" s="1281"/>
      <c r="P1053" s="193"/>
      <c r="Q1053" s="194"/>
      <c r="R1053" s="194"/>
      <c r="T1053" s="190"/>
      <c r="U1053" s="191"/>
    </row>
    <row r="1054" spans="1:21">
      <c r="A1054" s="192"/>
      <c r="B1054" s="195" t="s">
        <v>1303</v>
      </c>
      <c r="C1054" s="196"/>
      <c r="D1054" s="197"/>
      <c r="E1054" s="198"/>
      <c r="F1054" s="197"/>
      <c r="G1054" s="198"/>
      <c r="H1054" s="197"/>
      <c r="I1054" s="198"/>
      <c r="J1054" s="197"/>
      <c r="K1054" s="198"/>
      <c r="L1054" s="199"/>
      <c r="M1054" s="199" t="s">
        <v>1208</v>
      </c>
      <c r="N1054" s="199">
        <v>689</v>
      </c>
      <c r="O1054" s="155"/>
      <c r="P1054" s="193"/>
      <c r="Q1054" s="200"/>
      <c r="R1054" s="194"/>
      <c r="T1054" s="190"/>
      <c r="U1054" s="191"/>
    </row>
    <row r="1055" spans="1:21">
      <c r="A1055" s="192"/>
      <c r="B1055" s="195"/>
      <c r="C1055" s="196"/>
      <c r="D1055" s="197"/>
      <c r="E1055" s="198"/>
      <c r="F1055" s="197"/>
      <c r="G1055" s="198"/>
      <c r="H1055" s="197"/>
      <c r="I1055" s="198"/>
      <c r="J1055" s="197"/>
      <c r="K1055" s="198"/>
      <c r="L1055" s="199"/>
      <c r="M1055" s="199"/>
      <c r="N1055" s="201"/>
      <c r="O1055" s="202"/>
      <c r="P1055" s="193"/>
      <c r="Q1055" s="200"/>
      <c r="R1055" s="194"/>
      <c r="T1055" s="190"/>
      <c r="U1055" s="191"/>
    </row>
    <row r="1056" spans="1:21">
      <c r="A1056" s="192"/>
      <c r="B1056" s="195"/>
      <c r="C1056" s="196"/>
      <c r="D1056" s="197"/>
      <c r="E1056" s="198"/>
      <c r="F1056" s="197"/>
      <c r="G1056" s="198"/>
      <c r="H1056" s="197"/>
      <c r="I1056" s="198"/>
      <c r="J1056" s="197"/>
      <c r="K1056" s="198"/>
      <c r="L1056" s="199" t="s">
        <v>1140</v>
      </c>
      <c r="M1056" s="199" t="s">
        <v>1208</v>
      </c>
      <c r="N1056" s="199">
        <f>SUM(N1054:N1055)</f>
        <v>689</v>
      </c>
      <c r="O1056" s="155" t="e">
        <f>P1052</f>
        <v>#REF!</v>
      </c>
      <c r="P1056" s="193"/>
      <c r="Q1056" s="200"/>
      <c r="R1056" s="194"/>
      <c r="T1056" s="190"/>
      <c r="U1056" s="191"/>
    </row>
    <row r="1057" spans="1:21">
      <c r="A1057" s="192"/>
      <c r="B1057" s="195"/>
      <c r="C1057" s="196"/>
      <c r="D1057" s="197"/>
      <c r="E1057" s="198"/>
      <c r="F1057" s="197"/>
      <c r="G1057" s="198"/>
      <c r="H1057" s="197"/>
      <c r="I1057" s="198"/>
      <c r="J1057" s="197"/>
      <c r="K1057" s="198"/>
      <c r="L1057" s="199"/>
      <c r="M1057" s="199"/>
      <c r="N1057" s="199"/>
      <c r="O1057" s="155"/>
      <c r="P1057" s="193"/>
      <c r="Q1057" s="200"/>
      <c r="R1057" s="194"/>
      <c r="T1057" s="190"/>
      <c r="U1057" s="191"/>
    </row>
    <row r="1058" spans="1:21">
      <c r="A1058" s="192"/>
      <c r="B1058" s="1277" t="s">
        <v>1209</v>
      </c>
      <c r="C1058" s="1277"/>
      <c r="D1058" s="1277"/>
      <c r="E1058" s="1277"/>
      <c r="F1058" s="1277"/>
      <c r="G1058" s="1277"/>
      <c r="H1058" s="1277"/>
      <c r="I1058" s="1277"/>
      <c r="J1058" s="1277"/>
      <c r="K1058" s="1277"/>
      <c r="L1058" s="1277"/>
      <c r="M1058" s="1277"/>
      <c r="N1058" s="1277"/>
      <c r="O1058" s="1277"/>
      <c r="P1058" s="1277"/>
      <c r="Q1058" s="203">
        <v>0</v>
      </c>
      <c r="R1058" s="204">
        <f>Q1058</f>
        <v>0</v>
      </c>
      <c r="T1058" s="1278"/>
      <c r="U1058" s="1279"/>
    </row>
    <row r="1059" spans="1:21">
      <c r="A1059" s="192"/>
      <c r="B1059" s="1277" t="e">
        <f>med</f>
        <v>#NAME?</v>
      </c>
      <c r="C1059" s="1277"/>
      <c r="D1059" s="1277"/>
      <c r="E1059" s="1277"/>
      <c r="F1059" s="1277"/>
      <c r="G1059" s="1277"/>
      <c r="H1059" s="1277"/>
      <c r="I1059" s="1277"/>
      <c r="J1059" s="1277"/>
      <c r="K1059" s="1277"/>
      <c r="L1059" s="1277"/>
      <c r="M1059" s="1277"/>
      <c r="N1059" s="1277"/>
      <c r="O1059" s="1277"/>
      <c r="P1059" s="205">
        <f>N1056</f>
        <v>689</v>
      </c>
      <c r="Q1059" s="203">
        <f>P1059</f>
        <v>689</v>
      </c>
      <c r="R1059" s="204">
        <f>Q1059+R1058</f>
        <v>689</v>
      </c>
      <c r="T1059" s="1278"/>
      <c r="U1059" s="1279"/>
    </row>
    <row r="1060" spans="1:21" ht="18" customHeight="1">
      <c r="A1060" s="187" t="e">
        <f>#REF!</f>
        <v>#REF!</v>
      </c>
      <c r="B1060" s="1275" t="e">
        <f>IF(A1060="","",VLOOKUP($A1060,'[2]FDE-JUNHO-08'!$A$6:$D$3537,2,FALSE()))</f>
        <v>#REF!</v>
      </c>
      <c r="C1060" s="1275"/>
      <c r="D1060" s="1275"/>
      <c r="E1060" s="1275"/>
      <c r="F1060" s="1275"/>
      <c r="G1060" s="1275"/>
      <c r="H1060" s="1275"/>
      <c r="I1060" s="1275"/>
      <c r="J1060" s="1275"/>
      <c r="K1060" s="1275"/>
      <c r="L1060" s="1275"/>
      <c r="M1060" s="1275"/>
      <c r="N1060" s="1275"/>
      <c r="O1060" s="1275"/>
      <c r="P1060" s="188" t="e">
        <f>IF(A1060="","",VLOOKUP($A1060,'[2]FDE-JUNHO-08'!$A$6:$D$3537,3,FALSE()))</f>
        <v>#REF!</v>
      </c>
      <c r="Q1060" s="189" t="s">
        <v>1205</v>
      </c>
      <c r="R1060" s="189" t="s">
        <v>1206</v>
      </c>
      <c r="T1060" s="190"/>
      <c r="U1060" s="191"/>
    </row>
    <row r="1061" spans="1:21">
      <c r="A1061" s="192"/>
      <c r="B1061" s="1281"/>
      <c r="C1061" s="1281"/>
      <c r="D1061" s="1281"/>
      <c r="E1061" s="1281"/>
      <c r="F1061" s="1281"/>
      <c r="G1061" s="1281"/>
      <c r="H1061" s="1281"/>
      <c r="I1061" s="1281"/>
      <c r="J1061" s="1281"/>
      <c r="K1061" s="1281"/>
      <c r="L1061" s="1281"/>
      <c r="M1061" s="1281"/>
      <c r="N1061" s="1281"/>
      <c r="O1061" s="1281"/>
      <c r="P1061" s="193"/>
      <c r="Q1061" s="194"/>
      <c r="R1061" s="194"/>
      <c r="T1061" s="190"/>
      <c r="U1061" s="191"/>
    </row>
    <row r="1062" spans="1:21">
      <c r="A1062" s="192"/>
      <c r="B1062" s="195" t="s">
        <v>1303</v>
      </c>
      <c r="C1062" s="196"/>
      <c r="D1062" s="197"/>
      <c r="E1062" s="198"/>
      <c r="F1062" s="197"/>
      <c r="G1062" s="198"/>
      <c r="H1062" s="197"/>
      <c r="I1062" s="198"/>
      <c r="J1062" s="197"/>
      <c r="K1062" s="198"/>
      <c r="L1062" s="199"/>
      <c r="M1062" s="199" t="s">
        <v>1208</v>
      </c>
      <c r="N1062" s="199">
        <f>PLANILHA!E139</f>
        <v>145.97999999999999</v>
      </c>
      <c r="O1062" s="155"/>
      <c r="P1062" s="193"/>
      <c r="Q1062" s="200"/>
      <c r="R1062" s="194"/>
      <c r="T1062" s="190"/>
      <c r="U1062" s="191"/>
    </row>
    <row r="1063" spans="1:21">
      <c r="A1063" s="192"/>
      <c r="B1063" s="195"/>
      <c r="C1063" s="196"/>
      <c r="D1063" s="197"/>
      <c r="E1063" s="198"/>
      <c r="F1063" s="197"/>
      <c r="G1063" s="198"/>
      <c r="H1063" s="197"/>
      <c r="I1063" s="198"/>
      <c r="J1063" s="197"/>
      <c r="K1063" s="198"/>
      <c r="L1063" s="199"/>
      <c r="M1063" s="199"/>
      <c r="N1063" s="201"/>
      <c r="O1063" s="202"/>
      <c r="P1063" s="193"/>
      <c r="Q1063" s="200"/>
      <c r="R1063" s="194"/>
      <c r="T1063" s="190"/>
      <c r="U1063" s="191"/>
    </row>
    <row r="1064" spans="1:21">
      <c r="A1064" s="192"/>
      <c r="B1064" s="195"/>
      <c r="C1064" s="196"/>
      <c r="D1064" s="197"/>
      <c r="E1064" s="198"/>
      <c r="F1064" s="197"/>
      <c r="G1064" s="198"/>
      <c r="H1064" s="197"/>
      <c r="I1064" s="198"/>
      <c r="J1064" s="197"/>
      <c r="K1064" s="198"/>
      <c r="L1064" s="199" t="s">
        <v>1140</v>
      </c>
      <c r="M1064" s="199" t="s">
        <v>1208</v>
      </c>
      <c r="N1064" s="199">
        <f>SUM(N1062:N1063)</f>
        <v>145.97999999999999</v>
      </c>
      <c r="O1064" s="155" t="e">
        <f>P1060</f>
        <v>#REF!</v>
      </c>
      <c r="P1064" s="193"/>
      <c r="Q1064" s="200"/>
      <c r="R1064" s="194"/>
      <c r="T1064" s="190"/>
      <c r="U1064" s="191"/>
    </row>
    <row r="1065" spans="1:21">
      <c r="A1065" s="192"/>
      <c r="B1065" s="1281"/>
      <c r="C1065" s="1281"/>
      <c r="D1065" s="1281"/>
      <c r="E1065" s="1281"/>
      <c r="F1065" s="1281"/>
      <c r="G1065" s="1281"/>
      <c r="H1065" s="1281"/>
      <c r="I1065" s="1281"/>
      <c r="J1065" s="1281"/>
      <c r="K1065" s="1281"/>
      <c r="L1065" s="1281"/>
      <c r="M1065" s="1281"/>
      <c r="N1065" s="1281"/>
      <c r="O1065" s="1281"/>
      <c r="P1065" s="193"/>
      <c r="Q1065" s="194"/>
      <c r="R1065" s="194"/>
      <c r="T1065" s="190"/>
      <c r="U1065" s="191"/>
    </row>
    <row r="1066" spans="1:21">
      <c r="A1066" s="192"/>
      <c r="B1066" s="1277" t="s">
        <v>1209</v>
      </c>
      <c r="C1066" s="1277"/>
      <c r="D1066" s="1277"/>
      <c r="E1066" s="1277"/>
      <c r="F1066" s="1277"/>
      <c r="G1066" s="1277"/>
      <c r="H1066" s="1277"/>
      <c r="I1066" s="1277"/>
      <c r="J1066" s="1277"/>
      <c r="K1066" s="1277"/>
      <c r="L1066" s="1277"/>
      <c r="M1066" s="1277"/>
      <c r="N1066" s="1277"/>
      <c r="O1066" s="1277"/>
      <c r="P1066" s="1277"/>
      <c r="Q1066" s="203">
        <v>0</v>
      </c>
      <c r="R1066" s="204">
        <f>Q1066</f>
        <v>0</v>
      </c>
      <c r="T1066" s="1278"/>
      <c r="U1066" s="1279"/>
    </row>
    <row r="1067" spans="1:21">
      <c r="A1067" s="206"/>
      <c r="B1067" s="1277" t="e">
        <f>med</f>
        <v>#NAME?</v>
      </c>
      <c r="C1067" s="1277"/>
      <c r="D1067" s="1277"/>
      <c r="E1067" s="1277"/>
      <c r="F1067" s="1277"/>
      <c r="G1067" s="1277"/>
      <c r="H1067" s="1277"/>
      <c r="I1067" s="1277"/>
      <c r="J1067" s="1277"/>
      <c r="K1067" s="1277"/>
      <c r="L1067" s="1277"/>
      <c r="M1067" s="1277"/>
      <c r="N1067" s="1277"/>
      <c r="O1067" s="1277"/>
      <c r="P1067" s="205">
        <f>N1064</f>
        <v>145.97999999999999</v>
      </c>
      <c r="Q1067" s="203">
        <f>P1067</f>
        <v>145.97999999999999</v>
      </c>
      <c r="R1067" s="204">
        <f>Q1067+R1066</f>
        <v>145.97999999999999</v>
      </c>
      <c r="T1067" s="1278"/>
      <c r="U1067" s="1279"/>
    </row>
    <row r="1068" spans="1:21" ht="18" customHeight="1">
      <c r="A1068" s="187" t="e">
        <f>#REF!</f>
        <v>#REF!</v>
      </c>
      <c r="B1068" s="1275" t="e">
        <f>IF(A1068="","",VLOOKUP($A1068,'[2]FDE-JUNHO-08'!$A$6:$D$3537,2,FALSE()))</f>
        <v>#REF!</v>
      </c>
      <c r="C1068" s="1275"/>
      <c r="D1068" s="1275"/>
      <c r="E1068" s="1275"/>
      <c r="F1068" s="1275"/>
      <c r="G1068" s="1275"/>
      <c r="H1068" s="1275"/>
      <c r="I1068" s="1275"/>
      <c r="J1068" s="1275"/>
      <c r="K1068" s="1275"/>
      <c r="L1068" s="1275"/>
      <c r="M1068" s="1275"/>
      <c r="N1068" s="1275"/>
      <c r="O1068" s="1275"/>
      <c r="P1068" s="188" t="e">
        <f>IF(A1068="","",VLOOKUP($A1068,'[2]FDE-JUNHO-08'!$A$6:$D$3537,3,FALSE()))</f>
        <v>#REF!</v>
      </c>
      <c r="Q1068" s="189" t="s">
        <v>1205</v>
      </c>
      <c r="R1068" s="189" t="s">
        <v>1206</v>
      </c>
      <c r="T1068" s="190"/>
      <c r="U1068" s="191"/>
    </row>
    <row r="1069" spans="1:21" ht="13.8">
      <c r="A1069" s="192"/>
      <c r="B1069" s="210"/>
      <c r="C1069" s="196"/>
      <c r="D1069" s="197"/>
      <c r="E1069" s="198"/>
      <c r="F1069" s="197"/>
      <c r="G1069" s="198"/>
      <c r="H1069" s="197"/>
      <c r="I1069" s="198"/>
      <c r="J1069" s="197"/>
      <c r="K1069" s="198"/>
      <c r="L1069" s="199"/>
      <c r="M1069" s="199"/>
      <c r="N1069" s="199"/>
      <c r="O1069" s="155"/>
      <c r="P1069" s="193"/>
      <c r="Q1069" s="200"/>
      <c r="R1069" s="194"/>
      <c r="T1069" s="190"/>
      <c r="U1069" s="191"/>
    </row>
    <row r="1070" spans="1:21">
      <c r="A1070" s="192"/>
      <c r="B1070" s="195" t="s">
        <v>1303</v>
      </c>
      <c r="C1070" s="196"/>
      <c r="D1070" s="197"/>
      <c r="E1070" s="198"/>
      <c r="F1070" s="197"/>
      <c r="G1070" s="198"/>
      <c r="H1070" s="197"/>
      <c r="I1070" s="198"/>
      <c r="J1070" s="197"/>
      <c r="K1070" s="198"/>
      <c r="L1070" s="199"/>
      <c r="M1070" s="199" t="s">
        <v>1208</v>
      </c>
      <c r="N1070" s="199">
        <f>PLANILHA!E140</f>
        <v>245.78</v>
      </c>
      <c r="O1070" s="155"/>
      <c r="P1070" s="193"/>
      <c r="Q1070" s="200"/>
      <c r="R1070" s="194"/>
      <c r="T1070" s="190"/>
      <c r="U1070" s="191"/>
    </row>
    <row r="1071" spans="1:21">
      <c r="A1071" s="192"/>
      <c r="B1071" s="195"/>
      <c r="C1071" s="196"/>
      <c r="D1071" s="197"/>
      <c r="E1071" s="198"/>
      <c r="F1071" s="197"/>
      <c r="G1071" s="198"/>
      <c r="H1071" s="197"/>
      <c r="I1071" s="198"/>
      <c r="J1071" s="197"/>
      <c r="K1071" s="198"/>
      <c r="L1071" s="199"/>
      <c r="M1071" s="199"/>
      <c r="N1071" s="201"/>
      <c r="O1071" s="202"/>
      <c r="P1071" s="193"/>
      <c r="Q1071" s="200"/>
      <c r="R1071" s="194"/>
      <c r="T1071" s="190"/>
      <c r="U1071" s="191"/>
    </row>
    <row r="1072" spans="1:21">
      <c r="A1072" s="192"/>
      <c r="B1072" s="195"/>
      <c r="C1072" s="196"/>
      <c r="D1072" s="197"/>
      <c r="E1072" s="198"/>
      <c r="F1072" s="197"/>
      <c r="G1072" s="198"/>
      <c r="H1072" s="197"/>
      <c r="I1072" s="198"/>
      <c r="J1072" s="197"/>
      <c r="K1072" s="198"/>
      <c r="L1072" s="199" t="s">
        <v>1140</v>
      </c>
      <c r="M1072" s="199" t="s">
        <v>1208</v>
      </c>
      <c r="N1072" s="199">
        <f>SUM(N1069:N1071)</f>
        <v>245.78</v>
      </c>
      <c r="O1072" s="155" t="e">
        <f>P1068</f>
        <v>#REF!</v>
      </c>
      <c r="P1072" s="193"/>
      <c r="Q1072" s="200"/>
      <c r="R1072" s="194"/>
      <c r="T1072" s="190"/>
      <c r="U1072" s="191"/>
    </row>
    <row r="1073" spans="1:21">
      <c r="A1073" s="192"/>
      <c r="B1073" s="195"/>
      <c r="C1073" s="196"/>
      <c r="D1073" s="197"/>
      <c r="E1073" s="198"/>
      <c r="F1073" s="197"/>
      <c r="G1073" s="198"/>
      <c r="H1073" s="197"/>
      <c r="I1073" s="198"/>
      <c r="J1073" s="197"/>
      <c r="K1073" s="198"/>
      <c r="L1073" s="199"/>
      <c r="M1073" s="199"/>
      <c r="N1073" s="199"/>
      <c r="O1073" s="155"/>
      <c r="P1073" s="193"/>
      <c r="Q1073" s="200"/>
      <c r="R1073" s="194"/>
      <c r="T1073" s="190"/>
      <c r="U1073" s="191"/>
    </row>
    <row r="1074" spans="1:21">
      <c r="A1074" s="192"/>
      <c r="B1074" s="1277" t="s">
        <v>1209</v>
      </c>
      <c r="C1074" s="1277"/>
      <c r="D1074" s="1277"/>
      <c r="E1074" s="1277"/>
      <c r="F1074" s="1277"/>
      <c r="G1074" s="1277"/>
      <c r="H1074" s="1277"/>
      <c r="I1074" s="1277"/>
      <c r="J1074" s="1277"/>
      <c r="K1074" s="1277"/>
      <c r="L1074" s="1277"/>
      <c r="M1074" s="1277"/>
      <c r="N1074" s="1277"/>
      <c r="O1074" s="1277"/>
      <c r="P1074" s="1277"/>
      <c r="Q1074" s="203">
        <v>0</v>
      </c>
      <c r="R1074" s="204">
        <f>Q1074</f>
        <v>0</v>
      </c>
      <c r="T1074" s="1278"/>
      <c r="U1074" s="1279"/>
    </row>
    <row r="1075" spans="1:21">
      <c r="A1075" s="192"/>
      <c r="B1075" s="1277" t="e">
        <f>med</f>
        <v>#NAME?</v>
      </c>
      <c r="C1075" s="1277"/>
      <c r="D1075" s="1277"/>
      <c r="E1075" s="1277"/>
      <c r="F1075" s="1277"/>
      <c r="G1075" s="1277"/>
      <c r="H1075" s="1277"/>
      <c r="I1075" s="1277"/>
      <c r="J1075" s="1277"/>
      <c r="K1075" s="1277"/>
      <c r="L1075" s="1277"/>
      <c r="M1075" s="1277"/>
      <c r="N1075" s="1277"/>
      <c r="O1075" s="1277"/>
      <c r="P1075" s="205">
        <f>N1072</f>
        <v>245.78</v>
      </c>
      <c r="Q1075" s="203">
        <f>P1075</f>
        <v>245.78</v>
      </c>
      <c r="R1075" s="204">
        <f>Q1075+R1074</f>
        <v>245.78</v>
      </c>
      <c r="T1075" s="1278"/>
      <c r="U1075" s="1279"/>
    </row>
    <row r="1076" spans="1:21" ht="18" customHeight="1">
      <c r="A1076" s="187" t="e">
        <f>#REF!</f>
        <v>#REF!</v>
      </c>
      <c r="B1076" s="1275" t="e">
        <f>IF(A1076="","",VLOOKUP($A1076,'[2]FDE-JUNHO-08'!$A$6:$D$3537,2,FALSE()))</f>
        <v>#REF!</v>
      </c>
      <c r="C1076" s="1275"/>
      <c r="D1076" s="1275"/>
      <c r="E1076" s="1275"/>
      <c r="F1076" s="1275"/>
      <c r="G1076" s="1275"/>
      <c r="H1076" s="1275"/>
      <c r="I1076" s="1275"/>
      <c r="J1076" s="1275"/>
      <c r="K1076" s="1275"/>
      <c r="L1076" s="1275"/>
      <c r="M1076" s="1275"/>
      <c r="N1076" s="1275"/>
      <c r="O1076" s="1275"/>
      <c r="P1076" s="188" t="e">
        <f>IF(A1076="","",VLOOKUP($A1076,'[2]FDE-JUNHO-08'!$A$6:$D$3537,3,FALSE()))</f>
        <v>#REF!</v>
      </c>
      <c r="Q1076" s="189" t="s">
        <v>1205</v>
      </c>
      <c r="R1076" s="189" t="s">
        <v>1206</v>
      </c>
      <c r="T1076" s="190"/>
      <c r="U1076" s="191"/>
    </row>
    <row r="1077" spans="1:21" ht="13.8">
      <c r="A1077" s="192"/>
      <c r="B1077" s="210"/>
      <c r="C1077" s="196"/>
      <c r="D1077" s="197"/>
      <c r="E1077" s="198"/>
      <c r="F1077" s="197"/>
      <c r="G1077" s="198"/>
      <c r="H1077" s="197"/>
      <c r="I1077" s="198"/>
      <c r="J1077" s="197" t="s">
        <v>1305</v>
      </c>
      <c r="K1077" s="198"/>
      <c r="L1077" s="199" t="s">
        <v>1306</v>
      </c>
      <c r="M1077" s="199"/>
      <c r="N1077" s="199"/>
      <c r="O1077" s="155"/>
      <c r="P1077" s="193"/>
      <c r="Q1077" s="200"/>
      <c r="R1077" s="194"/>
      <c r="T1077" s="190"/>
      <c r="U1077" s="191"/>
    </row>
    <row r="1078" spans="1:21">
      <c r="A1078" s="192"/>
      <c r="B1078" s="195" t="s">
        <v>1307</v>
      </c>
      <c r="C1078" s="196"/>
      <c r="D1078" s="197"/>
      <c r="E1078" s="198"/>
      <c r="F1078" s="197"/>
      <c r="G1078" s="198"/>
      <c r="H1078" s="197"/>
      <c r="I1078" s="198"/>
      <c r="J1078" s="197">
        <v>19.187000000000001</v>
      </c>
      <c r="K1078" s="198" t="s">
        <v>1227</v>
      </c>
      <c r="L1078" s="199">
        <v>1.5</v>
      </c>
      <c r="M1078" s="199" t="s">
        <v>1208</v>
      </c>
      <c r="N1078" s="199">
        <f>L1078*J1078</f>
        <v>28.780500000000004</v>
      </c>
      <c r="O1078" s="155"/>
      <c r="P1078" s="193"/>
      <c r="Q1078" s="200"/>
      <c r="R1078" s="194"/>
      <c r="T1078" s="190"/>
      <c r="U1078" s="191"/>
    </row>
    <row r="1079" spans="1:21">
      <c r="A1079" s="192"/>
      <c r="B1079" s="195"/>
      <c r="C1079" s="196"/>
      <c r="D1079" s="197"/>
      <c r="E1079" s="198"/>
      <c r="F1079" s="197"/>
      <c r="G1079" s="198"/>
      <c r="H1079" s="197"/>
      <c r="I1079" s="198"/>
      <c r="J1079" s="197"/>
      <c r="K1079" s="198"/>
      <c r="L1079" s="199"/>
      <c r="M1079" s="199"/>
      <c r="N1079" s="201"/>
      <c r="O1079" s="202"/>
      <c r="P1079" s="193"/>
      <c r="Q1079" s="200"/>
      <c r="R1079" s="194"/>
      <c r="T1079" s="190"/>
      <c r="U1079" s="191"/>
    </row>
    <row r="1080" spans="1:21">
      <c r="A1080" s="192"/>
      <c r="B1080" s="195"/>
      <c r="C1080" s="196"/>
      <c r="D1080" s="197"/>
      <c r="E1080" s="198"/>
      <c r="F1080" s="197"/>
      <c r="G1080" s="198"/>
      <c r="H1080" s="197"/>
      <c r="I1080" s="198"/>
      <c r="J1080" s="197"/>
      <c r="K1080" s="198"/>
      <c r="L1080" s="199" t="s">
        <v>1140</v>
      </c>
      <c r="M1080" s="199" t="s">
        <v>1208</v>
      </c>
      <c r="N1080" s="199">
        <f>SUM(N1077:N1079)</f>
        <v>28.780500000000004</v>
      </c>
      <c r="O1080" s="155" t="e">
        <f>P1076</f>
        <v>#REF!</v>
      </c>
      <c r="P1080" s="193"/>
      <c r="Q1080" s="200"/>
      <c r="R1080" s="194"/>
      <c r="T1080" s="190"/>
      <c r="U1080" s="191"/>
    </row>
    <row r="1081" spans="1:21">
      <c r="A1081" s="192"/>
      <c r="B1081" s="195"/>
      <c r="C1081" s="196"/>
      <c r="D1081" s="197"/>
      <c r="E1081" s="198"/>
      <c r="F1081" s="197"/>
      <c r="G1081" s="198"/>
      <c r="H1081" s="197"/>
      <c r="I1081" s="198"/>
      <c r="J1081" s="197"/>
      <c r="K1081" s="198"/>
      <c r="L1081" s="199"/>
      <c r="M1081" s="199"/>
      <c r="N1081" s="199"/>
      <c r="O1081" s="155"/>
      <c r="P1081" s="193"/>
      <c r="Q1081" s="200"/>
      <c r="R1081" s="194"/>
      <c r="T1081" s="190"/>
      <c r="U1081" s="191"/>
    </row>
    <row r="1082" spans="1:21">
      <c r="A1082" s="192"/>
      <c r="B1082" s="1277" t="s">
        <v>1209</v>
      </c>
      <c r="C1082" s="1277"/>
      <c r="D1082" s="1277"/>
      <c r="E1082" s="1277"/>
      <c r="F1082" s="1277"/>
      <c r="G1082" s="1277"/>
      <c r="H1082" s="1277"/>
      <c r="I1082" s="1277"/>
      <c r="J1082" s="1277"/>
      <c r="K1082" s="1277"/>
      <c r="L1082" s="1277"/>
      <c r="M1082" s="1277"/>
      <c r="N1082" s="1277"/>
      <c r="O1082" s="1277"/>
      <c r="P1082" s="1277"/>
      <c r="Q1082" s="203">
        <v>0</v>
      </c>
      <c r="R1082" s="204">
        <f>Q1082</f>
        <v>0</v>
      </c>
      <c r="T1082" s="1278"/>
      <c r="U1082" s="1279"/>
    </row>
    <row r="1083" spans="1:21">
      <c r="A1083" s="192"/>
      <c r="B1083" s="1277" t="e">
        <f>med</f>
        <v>#NAME?</v>
      </c>
      <c r="C1083" s="1277"/>
      <c r="D1083" s="1277"/>
      <c r="E1083" s="1277"/>
      <c r="F1083" s="1277"/>
      <c r="G1083" s="1277"/>
      <c r="H1083" s="1277"/>
      <c r="I1083" s="1277"/>
      <c r="J1083" s="1277"/>
      <c r="K1083" s="1277"/>
      <c r="L1083" s="1277"/>
      <c r="M1083" s="1277"/>
      <c r="N1083" s="1277"/>
      <c r="O1083" s="1277"/>
      <c r="P1083" s="205">
        <f>N1080</f>
        <v>28.780500000000004</v>
      </c>
      <c r="Q1083" s="203">
        <f>P1083</f>
        <v>28.780500000000004</v>
      </c>
      <c r="R1083" s="204">
        <f>Q1083+R1082</f>
        <v>28.780500000000004</v>
      </c>
      <c r="T1083" s="1278"/>
      <c r="U1083" s="1279"/>
    </row>
    <row r="1084" spans="1:21" ht="18" customHeight="1">
      <c r="A1084" s="187" t="e">
        <f>#REF!</f>
        <v>#REF!</v>
      </c>
      <c r="B1084" s="1275" t="e">
        <f>IF(A1084="","",VLOOKUP($A1084,'[2]FDE-JUNHO-08'!$A$6:$D$3537,2,FALSE()))</f>
        <v>#REF!</v>
      </c>
      <c r="C1084" s="1275"/>
      <c r="D1084" s="1275"/>
      <c r="E1084" s="1275"/>
      <c r="F1084" s="1275"/>
      <c r="G1084" s="1275"/>
      <c r="H1084" s="1275"/>
      <c r="I1084" s="1275"/>
      <c r="J1084" s="1275"/>
      <c r="K1084" s="1275"/>
      <c r="L1084" s="1275"/>
      <c r="M1084" s="1275"/>
      <c r="N1084" s="1275"/>
      <c r="O1084" s="1275"/>
      <c r="P1084" s="188" t="e">
        <f>IF(A1084="","",VLOOKUP($A1084,'[2]FDE-JUNHO-08'!$A$6:$D$3537,3,FALSE()))</f>
        <v>#REF!</v>
      </c>
      <c r="Q1084" s="189" t="s">
        <v>1205</v>
      </c>
      <c r="R1084" s="189" t="s">
        <v>1206</v>
      </c>
      <c r="T1084" s="190"/>
      <c r="U1084" s="191"/>
    </row>
    <row r="1085" spans="1:21">
      <c r="A1085" s="192"/>
      <c r="B1085" s="1281"/>
      <c r="C1085" s="1281"/>
      <c r="D1085" s="1281"/>
      <c r="E1085" s="1281"/>
      <c r="F1085" s="1281"/>
      <c r="G1085" s="1281"/>
      <c r="H1085" s="1281"/>
      <c r="I1085" s="1281"/>
      <c r="J1085" s="1281"/>
      <c r="K1085" s="1281"/>
      <c r="L1085" s="1281"/>
      <c r="M1085" s="1281"/>
      <c r="N1085" s="1281"/>
      <c r="O1085" s="1281"/>
      <c r="P1085" s="193"/>
      <c r="Q1085" s="194"/>
      <c r="R1085" s="194"/>
      <c r="T1085" s="190"/>
      <c r="U1085" s="191"/>
    </row>
    <row r="1086" spans="1:21">
      <c r="A1086" s="192"/>
      <c r="B1086" s="195" t="s">
        <v>1308</v>
      </c>
      <c r="C1086" s="196"/>
      <c r="D1086" s="197"/>
      <c r="E1086" s="198"/>
      <c r="F1086" s="197"/>
      <c r="G1086" s="198"/>
      <c r="H1086" s="197"/>
      <c r="I1086" s="198"/>
      <c r="J1086" s="197"/>
      <c r="K1086" s="198"/>
      <c r="L1086" s="199"/>
      <c r="M1086" s="199" t="s">
        <v>1208</v>
      </c>
      <c r="N1086" s="199" t="e">
        <f>#REF!</f>
        <v>#REF!</v>
      </c>
      <c r="O1086" s="155"/>
      <c r="P1086" s="193"/>
      <c r="Q1086" s="200"/>
      <c r="R1086" s="194"/>
      <c r="T1086" s="190"/>
      <c r="U1086" s="191"/>
    </row>
    <row r="1087" spans="1:21">
      <c r="A1087" s="192"/>
      <c r="B1087" s="195"/>
      <c r="C1087" s="196"/>
      <c r="D1087" s="197"/>
      <c r="E1087" s="198"/>
      <c r="F1087" s="197"/>
      <c r="G1087" s="198"/>
      <c r="H1087" s="197"/>
      <c r="I1087" s="198"/>
      <c r="J1087" s="197"/>
      <c r="K1087" s="198"/>
      <c r="L1087" s="199"/>
      <c r="M1087" s="199"/>
      <c r="N1087" s="201"/>
      <c r="O1087" s="202"/>
      <c r="P1087" s="193"/>
      <c r="Q1087" s="200"/>
      <c r="R1087" s="194"/>
      <c r="T1087" s="190"/>
      <c r="U1087" s="191"/>
    </row>
    <row r="1088" spans="1:21">
      <c r="A1088" s="192"/>
      <c r="B1088" s="195"/>
      <c r="C1088" s="196"/>
      <c r="D1088" s="197"/>
      <c r="E1088" s="198"/>
      <c r="F1088" s="197"/>
      <c r="G1088" s="198"/>
      <c r="H1088" s="197"/>
      <c r="I1088" s="198"/>
      <c r="J1088" s="197"/>
      <c r="K1088" s="198"/>
      <c r="L1088" s="199" t="s">
        <v>1140</v>
      </c>
      <c r="M1088" s="199" t="s">
        <v>1208</v>
      </c>
      <c r="N1088" s="199" t="e">
        <f>SUM(N1086:N1087)</f>
        <v>#REF!</v>
      </c>
      <c r="O1088" s="155" t="e">
        <f>P1084</f>
        <v>#REF!</v>
      </c>
      <c r="P1088" s="193"/>
      <c r="Q1088" s="200"/>
      <c r="R1088" s="194"/>
      <c r="T1088" s="190"/>
      <c r="U1088" s="191"/>
    </row>
    <row r="1089" spans="1:21">
      <c r="A1089" s="192"/>
      <c r="B1089" s="195"/>
      <c r="C1089" s="196"/>
      <c r="D1089" s="197"/>
      <c r="E1089" s="198"/>
      <c r="F1089" s="197"/>
      <c r="G1089" s="198"/>
      <c r="H1089" s="197"/>
      <c r="I1089" s="198"/>
      <c r="J1089" s="197"/>
      <c r="K1089" s="198"/>
      <c r="L1089" s="199"/>
      <c r="M1089" s="199"/>
      <c r="N1089" s="199"/>
      <c r="O1089" s="155"/>
      <c r="P1089" s="193"/>
      <c r="Q1089" s="200"/>
      <c r="R1089" s="194"/>
      <c r="T1089" s="190"/>
      <c r="U1089" s="191"/>
    </row>
    <row r="1090" spans="1:21">
      <c r="A1090" s="192"/>
      <c r="B1090" s="1277" t="s">
        <v>1209</v>
      </c>
      <c r="C1090" s="1277"/>
      <c r="D1090" s="1277"/>
      <c r="E1090" s="1277"/>
      <c r="F1090" s="1277"/>
      <c r="G1090" s="1277"/>
      <c r="H1090" s="1277"/>
      <c r="I1090" s="1277"/>
      <c r="J1090" s="1277"/>
      <c r="K1090" s="1277"/>
      <c r="L1090" s="1277"/>
      <c r="M1090" s="1277"/>
      <c r="N1090" s="1277"/>
      <c r="O1090" s="1277"/>
      <c r="P1090" s="1277"/>
      <c r="Q1090" s="203">
        <v>0</v>
      </c>
      <c r="R1090" s="204">
        <f>Q1090</f>
        <v>0</v>
      </c>
      <c r="T1090" s="1278"/>
      <c r="U1090" s="1279"/>
    </row>
    <row r="1091" spans="1:21">
      <c r="A1091" s="192"/>
      <c r="B1091" s="1277" t="e">
        <f>med</f>
        <v>#NAME?</v>
      </c>
      <c r="C1091" s="1277"/>
      <c r="D1091" s="1277"/>
      <c r="E1091" s="1277"/>
      <c r="F1091" s="1277"/>
      <c r="G1091" s="1277"/>
      <c r="H1091" s="1277"/>
      <c r="I1091" s="1277"/>
      <c r="J1091" s="1277"/>
      <c r="K1091" s="1277"/>
      <c r="L1091" s="1277"/>
      <c r="M1091" s="1277"/>
      <c r="N1091" s="1277"/>
      <c r="O1091" s="1277"/>
      <c r="P1091" s="205" t="e">
        <f>N1088</f>
        <v>#REF!</v>
      </c>
      <c r="Q1091" s="203" t="e">
        <f>P1091</f>
        <v>#REF!</v>
      </c>
      <c r="R1091" s="204" t="e">
        <f>Q1091+R1090</f>
        <v>#REF!</v>
      </c>
      <c r="T1091" s="1278"/>
      <c r="U1091" s="1279"/>
    </row>
    <row r="1092" spans="1:21" ht="18" hidden="1" customHeight="1">
      <c r="A1092" s="187">
        <f>'[2]PLANILHA DE MEDIÇÃO'!A50</f>
        <v>0</v>
      </c>
      <c r="B1092" s="1275" t="e">
        <f>IF(A1092="","",VLOOKUP($A1092,'[2]FDE-JUNHO-08'!$A$6:$D$3537,2,FALSE()))</f>
        <v>#N/A</v>
      </c>
      <c r="C1092" s="1275"/>
      <c r="D1092" s="1275"/>
      <c r="E1092" s="1275"/>
      <c r="F1092" s="1275"/>
      <c r="G1092" s="1275"/>
      <c r="H1092" s="1275"/>
      <c r="I1092" s="1275"/>
      <c r="J1092" s="1275"/>
      <c r="K1092" s="1275"/>
      <c r="L1092" s="1275"/>
      <c r="M1092" s="1275"/>
      <c r="N1092" s="1275"/>
      <c r="O1092" s="1275"/>
      <c r="P1092" s="188" t="e">
        <f>IF(A1092="","",VLOOKUP($A1092,'[2]FDE-JUNHO-08'!$A$6:$D$3537,3,FALSE()))</f>
        <v>#N/A</v>
      </c>
      <c r="Q1092" s="189" t="s">
        <v>1205</v>
      </c>
      <c r="R1092" s="189" t="s">
        <v>1206</v>
      </c>
      <c r="T1092" s="190"/>
      <c r="U1092" s="191"/>
    </row>
    <row r="1093" spans="1:21" ht="12.75" hidden="1" customHeight="1">
      <c r="A1093" s="192"/>
      <c r="B1093" s="1281"/>
      <c r="C1093" s="1281"/>
      <c r="D1093" s="1281"/>
      <c r="E1093" s="1281"/>
      <c r="F1093" s="1281"/>
      <c r="G1093" s="1281"/>
      <c r="H1093" s="1281"/>
      <c r="I1093" s="1281"/>
      <c r="J1093" s="1281"/>
      <c r="K1093" s="1281"/>
      <c r="L1093" s="1281"/>
      <c r="M1093" s="1281"/>
      <c r="N1093" s="1281"/>
      <c r="O1093" s="1281"/>
      <c r="P1093" s="193"/>
      <c r="Q1093" s="194"/>
      <c r="R1093" s="194"/>
      <c r="T1093" s="190"/>
      <c r="U1093" s="191"/>
    </row>
    <row r="1094" spans="1:21" hidden="1">
      <c r="A1094" s="192"/>
      <c r="B1094" s="195"/>
      <c r="C1094" s="196"/>
      <c r="D1094" s="197"/>
      <c r="E1094" s="198"/>
      <c r="F1094" s="197"/>
      <c r="G1094" s="198"/>
      <c r="H1094" s="197"/>
      <c r="I1094" s="207"/>
      <c r="J1094" s="207"/>
      <c r="K1094" s="208"/>
      <c r="L1094" s="209"/>
      <c r="M1094" s="209"/>
      <c r="N1094" s="209"/>
      <c r="O1094" s="155"/>
      <c r="P1094" s="193"/>
      <c r="Q1094" s="200"/>
      <c r="R1094" s="194"/>
      <c r="T1094" s="190"/>
      <c r="U1094" s="191"/>
    </row>
    <row r="1095" spans="1:21" hidden="1">
      <c r="A1095" s="192"/>
      <c r="B1095" s="195"/>
      <c r="C1095" s="196"/>
      <c r="D1095" s="197"/>
      <c r="E1095" s="198"/>
      <c r="F1095" s="197"/>
      <c r="G1095" s="198"/>
      <c r="H1095" s="197"/>
      <c r="I1095" s="198"/>
      <c r="J1095" s="197"/>
      <c r="K1095" s="198"/>
      <c r="L1095" s="199"/>
      <c r="M1095" s="199"/>
      <c r="N1095" s="201"/>
      <c r="O1095" s="202"/>
      <c r="P1095" s="193"/>
      <c r="Q1095" s="200"/>
      <c r="R1095" s="194"/>
      <c r="T1095" s="190"/>
      <c r="U1095" s="191"/>
    </row>
    <row r="1096" spans="1:21" hidden="1">
      <c r="A1096" s="192"/>
      <c r="B1096" s="195"/>
      <c r="C1096" s="196"/>
      <c r="D1096" s="197"/>
      <c r="E1096" s="198"/>
      <c r="F1096" s="197"/>
      <c r="G1096" s="198"/>
      <c r="H1096" s="197"/>
      <c r="I1096" s="198"/>
      <c r="J1096" s="197"/>
      <c r="K1096" s="198"/>
      <c r="L1096" s="199" t="s">
        <v>1140</v>
      </c>
      <c r="M1096" s="199" t="s">
        <v>1208</v>
      </c>
      <c r="N1096" s="199">
        <f>SUM(N1095:N1095)</f>
        <v>0</v>
      </c>
      <c r="O1096" s="155" t="e">
        <f>P1092</f>
        <v>#N/A</v>
      </c>
      <c r="P1096" s="193"/>
      <c r="Q1096" s="200"/>
      <c r="R1096" s="194"/>
      <c r="T1096" s="190"/>
      <c r="U1096" s="191"/>
    </row>
    <row r="1097" spans="1:21" hidden="1">
      <c r="A1097" s="192"/>
      <c r="B1097" s="195"/>
      <c r="C1097" s="196"/>
      <c r="D1097" s="197"/>
      <c r="E1097" s="198"/>
      <c r="F1097" s="197"/>
      <c r="G1097" s="198"/>
      <c r="H1097" s="197"/>
      <c r="I1097" s="198"/>
      <c r="J1097" s="197"/>
      <c r="K1097" s="198"/>
      <c r="L1097" s="199"/>
      <c r="M1097" s="199"/>
      <c r="N1097" s="199"/>
      <c r="O1097" s="155"/>
      <c r="P1097" s="193"/>
      <c r="Q1097" s="200"/>
      <c r="R1097" s="194"/>
      <c r="T1097" s="190"/>
      <c r="U1097" s="191"/>
    </row>
    <row r="1098" spans="1:21" ht="13.5" hidden="1" customHeight="1">
      <c r="A1098" s="192"/>
      <c r="B1098" s="1277" t="s">
        <v>1209</v>
      </c>
      <c r="C1098" s="1277"/>
      <c r="D1098" s="1277"/>
      <c r="E1098" s="1277"/>
      <c r="F1098" s="1277"/>
      <c r="G1098" s="1277"/>
      <c r="H1098" s="1277"/>
      <c r="I1098" s="1277"/>
      <c r="J1098" s="1277"/>
      <c r="K1098" s="1277"/>
      <c r="L1098" s="1277"/>
      <c r="M1098" s="1277"/>
      <c r="N1098" s="1277"/>
      <c r="O1098" s="1277"/>
      <c r="P1098" s="1277"/>
      <c r="Q1098" s="203">
        <v>0</v>
      </c>
      <c r="R1098" s="204">
        <f>Q1098</f>
        <v>0</v>
      </c>
      <c r="T1098" s="1278"/>
      <c r="U1098" s="1279"/>
    </row>
    <row r="1099" spans="1:21" ht="13.5" hidden="1" customHeight="1">
      <c r="A1099" s="192"/>
      <c r="B1099" s="1277" t="e">
        <f>med</f>
        <v>#NAME?</v>
      </c>
      <c r="C1099" s="1277"/>
      <c r="D1099" s="1277"/>
      <c r="E1099" s="1277"/>
      <c r="F1099" s="1277"/>
      <c r="G1099" s="1277"/>
      <c r="H1099" s="1277"/>
      <c r="I1099" s="1277"/>
      <c r="J1099" s="1277"/>
      <c r="K1099" s="1277"/>
      <c r="L1099" s="1277"/>
      <c r="M1099" s="1277"/>
      <c r="N1099" s="1277"/>
      <c r="O1099" s="1277"/>
      <c r="P1099" s="205">
        <f>N1096</f>
        <v>0</v>
      </c>
      <c r="Q1099" s="203">
        <f>P1099</f>
        <v>0</v>
      </c>
      <c r="R1099" s="204">
        <f>Q1099+R1098</f>
        <v>0</v>
      </c>
      <c r="T1099" s="1278"/>
      <c r="U1099" s="1279"/>
    </row>
    <row r="1100" spans="1:21" ht="18" customHeight="1">
      <c r="A1100" s="187" t="e">
        <f>#REF!</f>
        <v>#REF!</v>
      </c>
      <c r="B1100" s="1275" t="e">
        <f>IF(A1100="","",VLOOKUP($A1100,'[2]FDE-JUNHO-08'!$A$6:$D$3537,2,FALSE()))</f>
        <v>#REF!</v>
      </c>
      <c r="C1100" s="1275"/>
      <c r="D1100" s="1275"/>
      <c r="E1100" s="1275"/>
      <c r="F1100" s="1275"/>
      <c r="G1100" s="1275"/>
      <c r="H1100" s="1275"/>
      <c r="I1100" s="1275"/>
      <c r="J1100" s="1275"/>
      <c r="K1100" s="1275"/>
      <c r="L1100" s="1275"/>
      <c r="M1100" s="1275"/>
      <c r="N1100" s="1275"/>
      <c r="O1100" s="1275"/>
      <c r="P1100" s="188" t="e">
        <f>IF(A1100="","",VLOOKUP($A1100,'[2]FDE-JUNHO-08'!$A$6:$D$3537,3,FALSE()))</f>
        <v>#REF!</v>
      </c>
      <c r="Q1100" s="189" t="s">
        <v>1205</v>
      </c>
      <c r="R1100" s="189" t="s">
        <v>1206</v>
      </c>
      <c r="T1100" s="190"/>
      <c r="U1100" s="191"/>
    </row>
    <row r="1101" spans="1:21">
      <c r="A1101" s="192"/>
      <c r="B1101" s="1281"/>
      <c r="C1101" s="1281"/>
      <c r="D1101" s="1281"/>
      <c r="E1101" s="1281"/>
      <c r="F1101" s="1281"/>
      <c r="G1101" s="1281"/>
      <c r="H1101" s="1281"/>
      <c r="I1101" s="1281"/>
      <c r="J1101" s="1281"/>
      <c r="K1101" s="1281"/>
      <c r="L1101" s="1281"/>
      <c r="M1101" s="1281"/>
      <c r="N1101" s="1281"/>
      <c r="O1101" s="1281"/>
      <c r="P1101" s="193"/>
      <c r="Q1101" s="194"/>
      <c r="R1101" s="194"/>
      <c r="T1101" s="190"/>
      <c r="U1101" s="191"/>
    </row>
    <row r="1102" spans="1:21">
      <c r="A1102" s="192"/>
      <c r="B1102" s="195" t="s">
        <v>1308</v>
      </c>
      <c r="C1102" s="196"/>
      <c r="D1102" s="197"/>
      <c r="E1102" s="198"/>
      <c r="F1102" s="197"/>
      <c r="G1102" s="198"/>
      <c r="H1102" s="197"/>
      <c r="I1102" s="198"/>
      <c r="J1102" s="197"/>
      <c r="K1102" s="198"/>
      <c r="L1102" s="199"/>
      <c r="M1102" s="199" t="s">
        <v>1208</v>
      </c>
      <c r="N1102" s="199" t="e">
        <f>#REF!</f>
        <v>#REF!</v>
      </c>
      <c r="O1102" s="155"/>
      <c r="P1102" s="193"/>
      <c r="Q1102" s="200"/>
      <c r="R1102" s="194"/>
      <c r="T1102" s="190"/>
      <c r="U1102" s="191"/>
    </row>
    <row r="1103" spans="1:21" ht="6.75" customHeight="1">
      <c r="A1103" s="192"/>
      <c r="B1103" s="195"/>
      <c r="C1103" s="196"/>
      <c r="D1103" s="197"/>
      <c r="E1103" s="198"/>
      <c r="F1103" s="197"/>
      <c r="G1103" s="198"/>
      <c r="H1103" s="197"/>
      <c r="I1103" s="198"/>
      <c r="J1103" s="197"/>
      <c r="K1103" s="198"/>
      <c r="L1103" s="199"/>
      <c r="M1103" s="199"/>
      <c r="N1103" s="201"/>
      <c r="O1103" s="202"/>
      <c r="P1103" s="193"/>
      <c r="Q1103" s="200"/>
      <c r="R1103" s="194"/>
      <c r="T1103" s="190"/>
      <c r="U1103" s="191"/>
    </row>
    <row r="1104" spans="1:21">
      <c r="A1104" s="192"/>
      <c r="B1104" s="195"/>
      <c r="C1104" s="196"/>
      <c r="D1104" s="197"/>
      <c r="E1104" s="198"/>
      <c r="F1104" s="197"/>
      <c r="G1104" s="198"/>
      <c r="H1104" s="197"/>
      <c r="I1104" s="198"/>
      <c r="J1104" s="197"/>
      <c r="K1104" s="198"/>
      <c r="L1104" s="199" t="s">
        <v>1140</v>
      </c>
      <c r="M1104" s="199" t="s">
        <v>1208</v>
      </c>
      <c r="N1104" s="199" t="e">
        <f>SUM(N1102:N1103)</f>
        <v>#REF!</v>
      </c>
      <c r="O1104" s="155" t="e">
        <f>P1100</f>
        <v>#REF!</v>
      </c>
      <c r="P1104" s="193"/>
      <c r="Q1104" s="200"/>
      <c r="R1104" s="194"/>
      <c r="T1104" s="190"/>
      <c r="U1104" s="191"/>
    </row>
    <row r="1105" spans="1:21">
      <c r="A1105" s="192"/>
      <c r="B1105" s="195"/>
      <c r="C1105" s="196"/>
      <c r="D1105" s="197"/>
      <c r="E1105" s="198"/>
      <c r="F1105" s="197"/>
      <c r="G1105" s="198"/>
      <c r="H1105" s="197"/>
      <c r="I1105" s="198"/>
      <c r="J1105" s="197"/>
      <c r="K1105" s="198"/>
      <c r="L1105" s="199"/>
      <c r="M1105" s="199"/>
      <c r="N1105" s="199"/>
      <c r="O1105" s="155"/>
      <c r="P1105" s="193"/>
      <c r="Q1105" s="200"/>
      <c r="R1105" s="194"/>
      <c r="T1105" s="190"/>
      <c r="U1105" s="191"/>
    </row>
    <row r="1106" spans="1:21">
      <c r="A1106" s="192"/>
      <c r="B1106" s="1277" t="s">
        <v>1209</v>
      </c>
      <c r="C1106" s="1277"/>
      <c r="D1106" s="1277"/>
      <c r="E1106" s="1277"/>
      <c r="F1106" s="1277"/>
      <c r="G1106" s="1277"/>
      <c r="H1106" s="1277"/>
      <c r="I1106" s="1277"/>
      <c r="J1106" s="1277"/>
      <c r="K1106" s="1277"/>
      <c r="L1106" s="1277"/>
      <c r="M1106" s="1277"/>
      <c r="N1106" s="1277"/>
      <c r="O1106" s="1277"/>
      <c r="P1106" s="1277"/>
      <c r="Q1106" s="203">
        <v>0</v>
      </c>
      <c r="R1106" s="204">
        <f>Q1106</f>
        <v>0</v>
      </c>
      <c r="T1106" s="1278"/>
      <c r="U1106" s="1279"/>
    </row>
    <row r="1107" spans="1:21">
      <c r="A1107" s="192"/>
      <c r="B1107" s="1277" t="e">
        <f>med</f>
        <v>#NAME?</v>
      </c>
      <c r="C1107" s="1277"/>
      <c r="D1107" s="1277"/>
      <c r="E1107" s="1277"/>
      <c r="F1107" s="1277"/>
      <c r="G1107" s="1277"/>
      <c r="H1107" s="1277"/>
      <c r="I1107" s="1277"/>
      <c r="J1107" s="1277"/>
      <c r="K1107" s="1277"/>
      <c r="L1107" s="1277"/>
      <c r="M1107" s="1277"/>
      <c r="N1107" s="1277"/>
      <c r="O1107" s="1277"/>
      <c r="P1107" s="205" t="e">
        <f>N1104</f>
        <v>#REF!</v>
      </c>
      <c r="Q1107" s="203" t="e">
        <f>P1107</f>
        <v>#REF!</v>
      </c>
      <c r="R1107" s="204" t="e">
        <f>Q1107+R1106</f>
        <v>#REF!</v>
      </c>
      <c r="T1107" s="1278"/>
      <c r="U1107" s="1279"/>
    </row>
    <row r="1108" spans="1:21" ht="18" hidden="1" customHeight="1">
      <c r="A1108" s="187">
        <f>'[2]PLANILHA DE MEDIÇÃO'!A52</f>
        <v>0</v>
      </c>
      <c r="B1108" s="1275" t="e">
        <f>IF(A1108="","",VLOOKUP($A1108,'[2]FDE-JUNHO-08'!$A$6:$D$3537,2,FALSE()))</f>
        <v>#N/A</v>
      </c>
      <c r="C1108" s="1275"/>
      <c r="D1108" s="1275"/>
      <c r="E1108" s="1275"/>
      <c r="F1108" s="1275"/>
      <c r="G1108" s="1275"/>
      <c r="H1108" s="1275"/>
      <c r="I1108" s="1275"/>
      <c r="J1108" s="1275"/>
      <c r="K1108" s="1275"/>
      <c r="L1108" s="1275"/>
      <c r="M1108" s="1275"/>
      <c r="N1108" s="1275"/>
      <c r="O1108" s="1275"/>
      <c r="P1108" s="188" t="e">
        <f>IF(A1108="","",VLOOKUP($A1108,'[2]FDE-JUNHO-08'!$A$6:$D$3537,3,FALSE()))</f>
        <v>#N/A</v>
      </c>
      <c r="Q1108" s="189" t="s">
        <v>1205</v>
      </c>
      <c r="R1108" s="189" t="s">
        <v>1206</v>
      </c>
      <c r="T1108" s="190"/>
      <c r="U1108" s="191"/>
    </row>
    <row r="1109" spans="1:21" ht="12.75" hidden="1" customHeight="1">
      <c r="A1109" s="192"/>
      <c r="B1109" s="1281"/>
      <c r="C1109" s="1281"/>
      <c r="D1109" s="1281"/>
      <c r="E1109" s="1281"/>
      <c r="F1109" s="1281"/>
      <c r="G1109" s="1281"/>
      <c r="H1109" s="1281"/>
      <c r="I1109" s="1281"/>
      <c r="J1109" s="1281"/>
      <c r="K1109" s="1281"/>
      <c r="L1109" s="1281"/>
      <c r="M1109" s="1281"/>
      <c r="N1109" s="1281"/>
      <c r="O1109" s="1281"/>
      <c r="P1109" s="193"/>
      <c r="Q1109" s="194"/>
      <c r="R1109" s="194"/>
      <c r="T1109" s="190"/>
      <c r="U1109" s="191"/>
    </row>
    <row r="1110" spans="1:21" ht="17.25" hidden="1" customHeight="1">
      <c r="A1110" s="192"/>
      <c r="B1110" s="195"/>
      <c r="C1110" s="196"/>
      <c r="D1110" s="197"/>
      <c r="E1110" s="198"/>
      <c r="F1110" s="197"/>
      <c r="G1110" s="198"/>
      <c r="H1110" s="197"/>
      <c r="I1110" s="198"/>
      <c r="J1110" s="197"/>
      <c r="K1110" s="198"/>
      <c r="L1110" s="199"/>
      <c r="M1110" s="199"/>
      <c r="N1110" s="199"/>
      <c r="O1110" s="155"/>
      <c r="P1110" s="193"/>
      <c r="Q1110" s="200"/>
      <c r="R1110" s="194"/>
      <c r="T1110" s="190"/>
      <c r="U1110" s="191"/>
    </row>
    <row r="1111" spans="1:21" ht="17.25" hidden="1" customHeight="1">
      <c r="A1111" s="192"/>
      <c r="B1111" s="195"/>
      <c r="C1111" s="196"/>
      <c r="D1111" s="197"/>
      <c r="E1111" s="198"/>
      <c r="F1111" s="197"/>
      <c r="G1111" s="198"/>
      <c r="H1111" s="197"/>
      <c r="I1111" s="198"/>
      <c r="J1111" s="197"/>
      <c r="K1111" s="198"/>
      <c r="L1111" s="199"/>
      <c r="M1111" s="199"/>
      <c r="N1111" s="199"/>
      <c r="O1111" s="155"/>
      <c r="P1111" s="193"/>
      <c r="Q1111" s="200"/>
      <c r="R1111" s="194"/>
      <c r="T1111" s="190"/>
      <c r="U1111" s="191"/>
    </row>
    <row r="1112" spans="1:21" hidden="1">
      <c r="A1112" s="192"/>
      <c r="B1112" s="195"/>
      <c r="C1112" s="196"/>
      <c r="D1112" s="197"/>
      <c r="E1112" s="198"/>
      <c r="F1112" s="197"/>
      <c r="G1112" s="198"/>
      <c r="H1112" s="197"/>
      <c r="I1112" s="198"/>
      <c r="J1112" s="197"/>
      <c r="K1112" s="198"/>
      <c r="L1112" s="199"/>
      <c r="M1112" s="199"/>
      <c r="N1112" s="201"/>
      <c r="O1112" s="202"/>
      <c r="P1112" s="193"/>
      <c r="Q1112" s="200"/>
      <c r="R1112" s="194"/>
      <c r="T1112" s="190"/>
      <c r="U1112" s="191"/>
    </row>
    <row r="1113" spans="1:21" hidden="1">
      <c r="A1113" s="192"/>
      <c r="B1113" s="195"/>
      <c r="C1113" s="196"/>
      <c r="D1113" s="197"/>
      <c r="E1113" s="198"/>
      <c r="F1113" s="197"/>
      <c r="G1113" s="198"/>
      <c r="H1113" s="197"/>
      <c r="I1113" s="198"/>
      <c r="J1113" s="197"/>
      <c r="K1113" s="198"/>
      <c r="L1113" s="199" t="s">
        <v>1140</v>
      </c>
      <c r="M1113" s="199" t="s">
        <v>1208</v>
      </c>
      <c r="N1113" s="199">
        <f>SUM(N1110:N1112)</f>
        <v>0</v>
      </c>
      <c r="O1113" s="155" t="e">
        <f>P1108</f>
        <v>#N/A</v>
      </c>
      <c r="P1113" s="193"/>
      <c r="Q1113" s="200"/>
      <c r="R1113" s="194"/>
      <c r="T1113" s="190"/>
      <c r="U1113" s="191"/>
    </row>
    <row r="1114" spans="1:21" hidden="1">
      <c r="A1114" s="192"/>
      <c r="B1114" s="195"/>
      <c r="C1114" s="196"/>
      <c r="D1114" s="197"/>
      <c r="E1114" s="198"/>
      <c r="F1114" s="197"/>
      <c r="G1114" s="198"/>
      <c r="H1114" s="197"/>
      <c r="I1114" s="198"/>
      <c r="J1114" s="197"/>
      <c r="K1114" s="198"/>
      <c r="L1114" s="199"/>
      <c r="M1114" s="199"/>
      <c r="N1114" s="199"/>
      <c r="O1114" s="155"/>
      <c r="P1114" s="193"/>
      <c r="Q1114" s="200"/>
      <c r="R1114" s="194"/>
      <c r="T1114" s="190"/>
      <c r="U1114" s="191"/>
    </row>
    <row r="1115" spans="1:21" ht="13.5" hidden="1" customHeight="1">
      <c r="A1115" s="192"/>
      <c r="B1115" s="1277" t="s">
        <v>1209</v>
      </c>
      <c r="C1115" s="1277"/>
      <c r="D1115" s="1277"/>
      <c r="E1115" s="1277"/>
      <c r="F1115" s="1277"/>
      <c r="G1115" s="1277"/>
      <c r="H1115" s="1277"/>
      <c r="I1115" s="1277"/>
      <c r="J1115" s="1277"/>
      <c r="K1115" s="1277"/>
      <c r="L1115" s="1277"/>
      <c r="M1115" s="1277"/>
      <c r="N1115" s="1277"/>
      <c r="O1115" s="1277"/>
      <c r="P1115" s="1277"/>
      <c r="Q1115" s="203">
        <v>0</v>
      </c>
      <c r="R1115" s="204">
        <f>Q1115</f>
        <v>0</v>
      </c>
      <c r="T1115" s="1278"/>
      <c r="U1115" s="1279"/>
    </row>
    <row r="1116" spans="1:21" ht="13.5" hidden="1" customHeight="1">
      <c r="A1116" s="192"/>
      <c r="B1116" s="1277" t="e">
        <f>med</f>
        <v>#NAME?</v>
      </c>
      <c r="C1116" s="1277"/>
      <c r="D1116" s="1277"/>
      <c r="E1116" s="1277"/>
      <c r="F1116" s="1277"/>
      <c r="G1116" s="1277"/>
      <c r="H1116" s="1277"/>
      <c r="I1116" s="1277"/>
      <c r="J1116" s="1277"/>
      <c r="K1116" s="1277"/>
      <c r="L1116" s="1277"/>
      <c r="M1116" s="1277"/>
      <c r="N1116" s="1277"/>
      <c r="O1116" s="1277"/>
      <c r="P1116" s="205">
        <f>N1113</f>
        <v>0</v>
      </c>
      <c r="Q1116" s="203">
        <f>P1116</f>
        <v>0</v>
      </c>
      <c r="R1116" s="204">
        <f>Q1116+R1115</f>
        <v>0</v>
      </c>
      <c r="T1116" s="1278"/>
      <c r="U1116" s="1279"/>
    </row>
    <row r="1117" spans="1:21" ht="18" customHeight="1">
      <c r="A1117" s="187" t="e">
        <f>#REF!</f>
        <v>#REF!</v>
      </c>
      <c r="B1117" s="1275" t="e">
        <f>IF(A1117="","",VLOOKUP($A1117,'[2]FDE-JUNHO-08'!$A$6:$D$3537,2,FALSE()))</f>
        <v>#REF!</v>
      </c>
      <c r="C1117" s="1275"/>
      <c r="D1117" s="1275"/>
      <c r="E1117" s="1275"/>
      <c r="F1117" s="1275"/>
      <c r="G1117" s="1275"/>
      <c r="H1117" s="1275"/>
      <c r="I1117" s="1275"/>
      <c r="J1117" s="1275"/>
      <c r="K1117" s="1275"/>
      <c r="L1117" s="1275"/>
      <c r="M1117" s="1275"/>
      <c r="N1117" s="1275"/>
      <c r="O1117" s="1275"/>
      <c r="P1117" s="188" t="e">
        <f>IF(A1117="","",VLOOKUP($A1117,'[2]FDE-JUNHO-08'!$A$6:$D$3537,3,FALSE()))</f>
        <v>#REF!</v>
      </c>
      <c r="Q1117" s="189" t="s">
        <v>1205</v>
      </c>
      <c r="R1117" s="189" t="s">
        <v>1206</v>
      </c>
      <c r="T1117" s="190"/>
      <c r="U1117" s="191"/>
    </row>
    <row r="1118" spans="1:21">
      <c r="A1118" s="192"/>
      <c r="B1118" s="1281"/>
      <c r="C1118" s="1281"/>
      <c r="D1118" s="1281"/>
      <c r="E1118" s="1281"/>
      <c r="F1118" s="1281"/>
      <c r="G1118" s="1281"/>
      <c r="H1118" s="1281"/>
      <c r="I1118" s="1281"/>
      <c r="J1118" s="1281"/>
      <c r="K1118" s="1281"/>
      <c r="L1118" s="1281"/>
      <c r="M1118" s="1281"/>
      <c r="N1118" s="1281"/>
      <c r="O1118" s="1281"/>
      <c r="P1118" s="193"/>
      <c r="Q1118" s="194"/>
      <c r="R1118" s="194"/>
      <c r="T1118" s="190"/>
      <c r="U1118" s="191"/>
    </row>
    <row r="1119" spans="1:21">
      <c r="A1119" s="192"/>
      <c r="B1119" s="195" t="s">
        <v>1309</v>
      </c>
      <c r="C1119" s="196"/>
      <c r="D1119" s="197"/>
      <c r="E1119" s="198"/>
      <c r="F1119" s="197"/>
      <c r="G1119" s="198"/>
      <c r="H1119" s="197"/>
      <c r="I1119" s="198"/>
      <c r="J1119" s="197"/>
      <c r="K1119" s="198"/>
      <c r="L1119" s="199"/>
      <c r="M1119" s="199" t="s">
        <v>1208</v>
      </c>
      <c r="N1119" s="199">
        <f>10.8+4</f>
        <v>14.8</v>
      </c>
      <c r="O1119" s="155"/>
      <c r="P1119" s="193"/>
      <c r="Q1119" s="200"/>
      <c r="R1119" s="194"/>
      <c r="T1119" s="190"/>
      <c r="U1119" s="191"/>
    </row>
    <row r="1120" spans="1:21">
      <c r="A1120" s="192"/>
      <c r="B1120" s="195" t="s">
        <v>1310</v>
      </c>
      <c r="C1120" s="196"/>
      <c r="D1120" s="197"/>
      <c r="E1120" s="198"/>
      <c r="F1120" s="197"/>
      <c r="G1120" s="198"/>
      <c r="H1120" s="197"/>
      <c r="I1120" s="198"/>
      <c r="J1120" s="197"/>
      <c r="K1120" s="198"/>
      <c r="L1120" s="199"/>
      <c r="M1120" s="199" t="s">
        <v>1208</v>
      </c>
      <c r="N1120" s="199">
        <f>21.33+4</f>
        <v>25.33</v>
      </c>
      <c r="O1120" s="155"/>
      <c r="P1120" s="193"/>
      <c r="Q1120" s="200"/>
      <c r="R1120" s="194"/>
      <c r="T1120" s="190"/>
      <c r="U1120" s="191"/>
    </row>
    <row r="1121" spans="1:21">
      <c r="A1121" s="192"/>
      <c r="B1121" s="195" t="s">
        <v>1309</v>
      </c>
      <c r="C1121" s="196"/>
      <c r="D1121" s="197"/>
      <c r="E1121" s="198"/>
      <c r="F1121" s="197"/>
      <c r="G1121" s="198"/>
      <c r="H1121" s="197"/>
      <c r="I1121" s="198"/>
      <c r="J1121" s="197"/>
      <c r="K1121" s="198"/>
      <c r="L1121" s="199"/>
      <c r="M1121" s="199" t="s">
        <v>1208</v>
      </c>
      <c r="N1121" s="199">
        <f>15.85+3</f>
        <v>18.850000000000001</v>
      </c>
      <c r="O1121" s="155"/>
      <c r="P1121" s="193"/>
      <c r="Q1121" s="200"/>
      <c r="R1121" s="194"/>
      <c r="T1121" s="190"/>
      <c r="U1121" s="191"/>
    </row>
    <row r="1122" spans="1:21" ht="8.25" customHeight="1">
      <c r="A1122" s="192"/>
      <c r="B1122" s="195"/>
      <c r="C1122" s="196"/>
      <c r="D1122" s="197"/>
      <c r="E1122" s="198"/>
      <c r="F1122" s="197"/>
      <c r="G1122" s="198"/>
      <c r="H1122" s="197"/>
      <c r="I1122" s="198"/>
      <c r="J1122" s="197"/>
      <c r="K1122" s="198"/>
      <c r="L1122" s="199"/>
      <c r="M1122" s="199"/>
      <c r="N1122" s="201"/>
      <c r="O1122" s="202"/>
      <c r="P1122" s="193"/>
      <c r="Q1122" s="200"/>
      <c r="R1122" s="194"/>
      <c r="T1122" s="190"/>
      <c r="U1122" s="191"/>
    </row>
    <row r="1123" spans="1:21">
      <c r="A1123" s="192"/>
      <c r="B1123" s="195"/>
      <c r="C1123" s="196"/>
      <c r="D1123" s="197"/>
      <c r="E1123" s="198"/>
      <c r="F1123" s="197"/>
      <c r="G1123" s="198"/>
      <c r="H1123" s="197"/>
      <c r="I1123" s="198"/>
      <c r="J1123" s="197"/>
      <c r="K1123" s="198"/>
      <c r="L1123" s="199" t="s">
        <v>1140</v>
      </c>
      <c r="M1123" s="199" t="s">
        <v>1208</v>
      </c>
      <c r="N1123" s="199">
        <f>SUM(N1119:N1122)</f>
        <v>58.98</v>
      </c>
      <c r="O1123" s="155" t="e">
        <f>P1117</f>
        <v>#REF!</v>
      </c>
      <c r="P1123" s="193"/>
      <c r="Q1123" s="200"/>
      <c r="R1123" s="194"/>
      <c r="T1123" s="190"/>
      <c r="U1123" s="191"/>
    </row>
    <row r="1124" spans="1:21">
      <c r="A1124" s="192"/>
      <c r="B1124" s="195"/>
      <c r="C1124" s="196"/>
      <c r="D1124" s="197"/>
      <c r="E1124" s="198"/>
      <c r="F1124" s="197"/>
      <c r="G1124" s="198"/>
      <c r="H1124" s="197"/>
      <c r="I1124" s="198"/>
      <c r="J1124" s="197"/>
      <c r="K1124" s="198"/>
      <c r="L1124" s="199"/>
      <c r="M1124" s="199"/>
      <c r="N1124" s="199"/>
      <c r="O1124" s="155"/>
      <c r="P1124" s="193"/>
      <c r="Q1124" s="200"/>
      <c r="R1124" s="194"/>
      <c r="T1124" s="190"/>
      <c r="U1124" s="191"/>
    </row>
    <row r="1125" spans="1:21">
      <c r="A1125" s="192"/>
      <c r="B1125" s="1277" t="s">
        <v>1209</v>
      </c>
      <c r="C1125" s="1277"/>
      <c r="D1125" s="1277"/>
      <c r="E1125" s="1277"/>
      <c r="F1125" s="1277"/>
      <c r="G1125" s="1277"/>
      <c r="H1125" s="1277"/>
      <c r="I1125" s="1277"/>
      <c r="J1125" s="1277"/>
      <c r="K1125" s="1277"/>
      <c r="L1125" s="1277"/>
      <c r="M1125" s="1277"/>
      <c r="N1125" s="1277"/>
      <c r="O1125" s="1277"/>
      <c r="P1125" s="1277"/>
      <c r="Q1125" s="203">
        <v>0</v>
      </c>
      <c r="R1125" s="204">
        <f>Q1125</f>
        <v>0</v>
      </c>
      <c r="T1125" s="1278"/>
      <c r="U1125" s="1279"/>
    </row>
    <row r="1126" spans="1:21">
      <c r="A1126" s="192"/>
      <c r="B1126" s="1277" t="e">
        <f>med</f>
        <v>#NAME?</v>
      </c>
      <c r="C1126" s="1277"/>
      <c r="D1126" s="1277"/>
      <c r="E1126" s="1277"/>
      <c r="F1126" s="1277"/>
      <c r="G1126" s="1277"/>
      <c r="H1126" s="1277"/>
      <c r="I1126" s="1277"/>
      <c r="J1126" s="1277"/>
      <c r="K1126" s="1277"/>
      <c r="L1126" s="1277"/>
      <c r="M1126" s="1277"/>
      <c r="N1126" s="1277"/>
      <c r="O1126" s="1277"/>
      <c r="P1126" s="205">
        <f>N1123</f>
        <v>58.98</v>
      </c>
      <c r="Q1126" s="203">
        <f>P1126</f>
        <v>58.98</v>
      </c>
      <c r="R1126" s="204">
        <f>Q1126+R1125</f>
        <v>58.98</v>
      </c>
      <c r="T1126" s="1278"/>
      <c r="U1126" s="1279"/>
    </row>
    <row r="1127" spans="1:21" ht="18" customHeight="1">
      <c r="A1127" s="187" t="e">
        <f>#REF!</f>
        <v>#REF!</v>
      </c>
      <c r="B1127" s="1275" t="e">
        <f>IF(A1127="","",VLOOKUP($A1127,'[2]FDE-JUNHO-08'!$A$6:$D$3537,2,FALSE()))</f>
        <v>#REF!</v>
      </c>
      <c r="C1127" s="1275"/>
      <c r="D1127" s="1275"/>
      <c r="E1127" s="1275"/>
      <c r="F1127" s="1275"/>
      <c r="G1127" s="1275"/>
      <c r="H1127" s="1275"/>
      <c r="I1127" s="1275"/>
      <c r="J1127" s="1275"/>
      <c r="K1127" s="1275"/>
      <c r="L1127" s="1275"/>
      <c r="M1127" s="1275"/>
      <c r="N1127" s="1275"/>
      <c r="O1127" s="1275"/>
      <c r="P1127" s="188" t="e">
        <f>IF(A1127="","",VLOOKUP($A1127,'[2]FDE-JUNHO-08'!$A$6:$D$3537,3,FALSE()))</f>
        <v>#REF!</v>
      </c>
      <c r="Q1127" s="189" t="s">
        <v>1205</v>
      </c>
      <c r="R1127" s="189" t="s">
        <v>1206</v>
      </c>
      <c r="T1127" s="190"/>
      <c r="U1127" s="191"/>
    </row>
    <row r="1128" spans="1:21">
      <c r="A1128" s="192"/>
      <c r="B1128" s="1281"/>
      <c r="C1128" s="1281"/>
      <c r="D1128" s="1281"/>
      <c r="E1128" s="1281"/>
      <c r="F1128" s="1281"/>
      <c r="G1128" s="1281"/>
      <c r="H1128" s="1281"/>
      <c r="I1128" s="1281"/>
      <c r="J1128" s="1281"/>
      <c r="K1128" s="1281"/>
      <c r="L1128" s="1281"/>
      <c r="M1128" s="1281"/>
      <c r="N1128" s="1281"/>
      <c r="O1128" s="1281"/>
      <c r="P1128" s="193"/>
      <c r="Q1128" s="194"/>
      <c r="R1128" s="194"/>
      <c r="T1128" s="190"/>
      <c r="U1128" s="191"/>
    </row>
    <row r="1129" spans="1:21">
      <c r="A1129" s="192"/>
      <c r="B1129" s="195" t="s">
        <v>1309</v>
      </c>
      <c r="C1129" s="196"/>
      <c r="D1129" s="197"/>
      <c r="E1129" s="198"/>
      <c r="F1129" s="197"/>
      <c r="G1129" s="198"/>
      <c r="H1129" s="197"/>
      <c r="I1129" s="198"/>
      <c r="J1129" s="197"/>
      <c r="K1129" s="198"/>
      <c r="L1129" s="199"/>
      <c r="M1129" s="199" t="s">
        <v>1208</v>
      </c>
      <c r="N1129" s="199">
        <v>6</v>
      </c>
      <c r="O1129" s="155"/>
      <c r="P1129" s="193"/>
      <c r="Q1129" s="200"/>
      <c r="R1129" s="194"/>
      <c r="T1129" s="190"/>
      <c r="U1129" s="191"/>
    </row>
    <row r="1130" spans="1:21">
      <c r="A1130" s="192"/>
      <c r="B1130" s="195" t="s">
        <v>1310</v>
      </c>
      <c r="C1130" s="196"/>
      <c r="D1130" s="197"/>
      <c r="E1130" s="198"/>
      <c r="F1130" s="197"/>
      <c r="G1130" s="198"/>
      <c r="H1130" s="197"/>
      <c r="I1130" s="198"/>
      <c r="J1130" s="197"/>
      <c r="K1130" s="198"/>
      <c r="L1130" s="199"/>
      <c r="M1130" s="199" t="s">
        <v>1208</v>
      </c>
      <c r="N1130" s="199">
        <v>24</v>
      </c>
      <c r="O1130" s="155"/>
      <c r="P1130" s="193"/>
      <c r="Q1130" s="200"/>
      <c r="R1130" s="194"/>
      <c r="T1130" s="190"/>
      <c r="U1130" s="191"/>
    </row>
    <row r="1131" spans="1:21" ht="9.75" customHeight="1">
      <c r="A1131" s="192"/>
      <c r="B1131" s="195"/>
      <c r="C1131" s="196"/>
      <c r="D1131" s="197"/>
      <c r="E1131" s="198"/>
      <c r="F1131" s="197"/>
      <c r="G1131" s="198"/>
      <c r="H1131" s="197"/>
      <c r="I1131" s="198"/>
      <c r="J1131" s="197"/>
      <c r="K1131" s="198"/>
      <c r="L1131" s="199"/>
      <c r="M1131" s="199"/>
      <c r="N1131" s="201"/>
      <c r="O1131" s="202"/>
      <c r="P1131" s="193"/>
      <c r="Q1131" s="200"/>
      <c r="R1131" s="194"/>
      <c r="T1131" s="190"/>
      <c r="U1131" s="191"/>
    </row>
    <row r="1132" spans="1:21">
      <c r="A1132" s="192"/>
      <c r="B1132" s="195"/>
      <c r="C1132" s="196"/>
      <c r="D1132" s="197"/>
      <c r="E1132" s="198"/>
      <c r="F1132" s="197"/>
      <c r="G1132" s="198"/>
      <c r="H1132" s="197"/>
      <c r="I1132" s="198"/>
      <c r="J1132" s="197"/>
      <c r="K1132" s="198"/>
      <c r="L1132" s="199" t="s">
        <v>1140</v>
      </c>
      <c r="M1132" s="199" t="s">
        <v>1208</v>
      </c>
      <c r="N1132" s="199">
        <f>SUM(N1129:N1131)</f>
        <v>30</v>
      </c>
      <c r="O1132" s="155" t="e">
        <f>P1127</f>
        <v>#REF!</v>
      </c>
      <c r="P1132" s="193"/>
      <c r="Q1132" s="200"/>
      <c r="R1132" s="194"/>
      <c r="T1132" s="190"/>
      <c r="U1132" s="191"/>
    </row>
    <row r="1133" spans="1:21">
      <c r="A1133" s="192"/>
      <c r="B1133" s="212"/>
      <c r="P1133" s="193"/>
      <c r="Q1133" s="200"/>
      <c r="R1133" s="194"/>
      <c r="T1133" s="190"/>
      <c r="U1133" s="191"/>
    </row>
    <row r="1134" spans="1:21">
      <c r="A1134" s="192"/>
      <c r="B1134" s="1277" t="s">
        <v>1209</v>
      </c>
      <c r="C1134" s="1277"/>
      <c r="D1134" s="1277"/>
      <c r="E1134" s="1277"/>
      <c r="F1134" s="1277"/>
      <c r="G1134" s="1277"/>
      <c r="H1134" s="1277"/>
      <c r="I1134" s="1277"/>
      <c r="J1134" s="1277"/>
      <c r="K1134" s="1277"/>
      <c r="L1134" s="1277"/>
      <c r="M1134" s="1277"/>
      <c r="N1134" s="1277"/>
      <c r="O1134" s="1277"/>
      <c r="P1134" s="1277"/>
      <c r="Q1134" s="203">
        <v>0</v>
      </c>
      <c r="R1134" s="204">
        <f>Q1134</f>
        <v>0</v>
      </c>
      <c r="T1134" s="1278"/>
      <c r="U1134" s="1279"/>
    </row>
    <row r="1135" spans="1:21">
      <c r="A1135" s="192"/>
      <c r="B1135" s="1277" t="e">
        <f>med</f>
        <v>#NAME?</v>
      </c>
      <c r="C1135" s="1277"/>
      <c r="D1135" s="1277"/>
      <c r="E1135" s="1277"/>
      <c r="F1135" s="1277"/>
      <c r="G1135" s="1277"/>
      <c r="H1135" s="1277"/>
      <c r="I1135" s="1277"/>
      <c r="J1135" s="1277"/>
      <c r="K1135" s="1277"/>
      <c r="L1135" s="1277"/>
      <c r="M1135" s="1277"/>
      <c r="N1135" s="1277"/>
      <c r="O1135" s="1277"/>
      <c r="P1135" s="205">
        <f>N1132</f>
        <v>30</v>
      </c>
      <c r="Q1135" s="203">
        <f>P1135</f>
        <v>30</v>
      </c>
      <c r="R1135" s="204">
        <f>Q1135+R1134</f>
        <v>30</v>
      </c>
      <c r="T1135" s="1278"/>
      <c r="U1135" s="1279"/>
    </row>
    <row r="1136" spans="1:21" ht="18" customHeight="1">
      <c r="A1136" s="187" t="e">
        <f>#REF!</f>
        <v>#REF!</v>
      </c>
      <c r="B1136" s="1275" t="e">
        <f>IF(A1136="","",VLOOKUP($A1136,'[2]FDE-JUNHO-08'!$A$6:$D$3537,2,FALSE()))</f>
        <v>#REF!</v>
      </c>
      <c r="C1136" s="1275"/>
      <c r="D1136" s="1275"/>
      <c r="E1136" s="1275"/>
      <c r="F1136" s="1275"/>
      <c r="G1136" s="1275"/>
      <c r="H1136" s="1275"/>
      <c r="I1136" s="1275"/>
      <c r="J1136" s="1275"/>
      <c r="K1136" s="1275"/>
      <c r="L1136" s="1275"/>
      <c r="M1136" s="1275"/>
      <c r="N1136" s="1275"/>
      <c r="O1136" s="1275"/>
      <c r="P1136" s="188" t="e">
        <f>IF(A1136="","",VLOOKUP($A1136,'[2]FDE-JUNHO-08'!$A$6:$D$3537,3,FALSE()))</f>
        <v>#REF!</v>
      </c>
      <c r="Q1136" s="189" t="s">
        <v>1205</v>
      </c>
      <c r="R1136" s="189" t="s">
        <v>1206</v>
      </c>
      <c r="T1136" s="190"/>
      <c r="U1136" s="191"/>
    </row>
    <row r="1137" spans="1:21">
      <c r="A1137" s="192"/>
      <c r="B1137" s="1281"/>
      <c r="C1137" s="1281"/>
      <c r="D1137" s="1281"/>
      <c r="E1137" s="1281"/>
      <c r="F1137" s="1281"/>
      <c r="G1137" s="1281"/>
      <c r="H1137" s="1281"/>
      <c r="I1137" s="1281"/>
      <c r="J1137" s="1281"/>
      <c r="K1137" s="1281"/>
      <c r="L1137" s="1281"/>
      <c r="M1137" s="1281"/>
      <c r="N1137" s="1281"/>
      <c r="O1137" s="1281"/>
      <c r="P1137" s="193"/>
      <c r="Q1137" s="194"/>
      <c r="R1137" s="194"/>
      <c r="T1137" s="190"/>
      <c r="U1137" s="191"/>
    </row>
    <row r="1138" spans="1:21">
      <c r="A1138" s="192"/>
      <c r="B1138" s="195" t="s">
        <v>1311</v>
      </c>
      <c r="C1138" s="196"/>
      <c r="D1138" s="197"/>
      <c r="E1138" s="198"/>
      <c r="F1138" s="197"/>
      <c r="G1138" s="198"/>
      <c r="H1138" s="197"/>
      <c r="I1138" s="198"/>
      <c r="J1138" s="197"/>
      <c r="K1138" s="198"/>
      <c r="L1138" s="199"/>
      <c r="M1138" s="199" t="s">
        <v>1208</v>
      </c>
      <c r="N1138" s="199" t="e">
        <f>#REF!</f>
        <v>#REF!</v>
      </c>
      <c r="O1138" s="155"/>
      <c r="P1138" s="193"/>
      <c r="Q1138" s="200"/>
      <c r="R1138" s="194"/>
      <c r="T1138" s="190"/>
      <c r="U1138" s="191"/>
    </row>
    <row r="1139" spans="1:21" ht="9.75" customHeight="1">
      <c r="A1139" s="192"/>
      <c r="B1139" s="195"/>
      <c r="C1139" s="196"/>
      <c r="D1139" s="197"/>
      <c r="E1139" s="198"/>
      <c r="F1139" s="197"/>
      <c r="G1139" s="198"/>
      <c r="H1139" s="197"/>
      <c r="I1139" s="198"/>
      <c r="J1139" s="197"/>
      <c r="K1139" s="198"/>
      <c r="L1139" s="199"/>
      <c r="M1139" s="199"/>
      <c r="N1139" s="201"/>
      <c r="O1139" s="202"/>
      <c r="P1139" s="193"/>
      <c r="Q1139" s="200"/>
      <c r="R1139" s="194"/>
      <c r="T1139" s="190"/>
      <c r="U1139" s="191"/>
    </row>
    <row r="1140" spans="1:21">
      <c r="A1140" s="192"/>
      <c r="B1140" s="195"/>
      <c r="C1140" s="196"/>
      <c r="D1140" s="197"/>
      <c r="E1140" s="198"/>
      <c r="F1140" s="197"/>
      <c r="G1140" s="198"/>
      <c r="H1140" s="197"/>
      <c r="I1140" s="198"/>
      <c r="J1140" s="197"/>
      <c r="K1140" s="198"/>
      <c r="L1140" s="199" t="s">
        <v>1140</v>
      </c>
      <c r="M1140" s="199" t="s">
        <v>1208</v>
      </c>
      <c r="N1140" s="199" t="e">
        <f>SUM(N1138:N1139)</f>
        <v>#REF!</v>
      </c>
      <c r="O1140" s="155" t="e">
        <f>P1136</f>
        <v>#REF!</v>
      </c>
      <c r="P1140" s="193"/>
      <c r="Q1140" s="200"/>
      <c r="R1140" s="194"/>
      <c r="T1140" s="190"/>
      <c r="U1140" s="191"/>
    </row>
    <row r="1141" spans="1:21">
      <c r="A1141" s="192"/>
      <c r="B1141" s="195"/>
      <c r="C1141" s="196"/>
      <c r="D1141" s="197"/>
      <c r="E1141" s="198"/>
      <c r="F1141" s="197"/>
      <c r="G1141" s="198"/>
      <c r="H1141" s="197"/>
      <c r="I1141" s="198"/>
      <c r="J1141" s="197"/>
      <c r="K1141" s="198"/>
      <c r="L1141" s="199"/>
      <c r="M1141" s="199"/>
      <c r="N1141" s="199"/>
      <c r="O1141" s="155"/>
      <c r="P1141" s="193"/>
      <c r="Q1141" s="200"/>
      <c r="R1141" s="194"/>
      <c r="T1141" s="190"/>
      <c r="U1141" s="191"/>
    </row>
    <row r="1142" spans="1:21">
      <c r="A1142" s="192"/>
      <c r="B1142" s="1277" t="s">
        <v>1209</v>
      </c>
      <c r="C1142" s="1277"/>
      <c r="D1142" s="1277"/>
      <c r="E1142" s="1277"/>
      <c r="F1142" s="1277"/>
      <c r="G1142" s="1277"/>
      <c r="H1142" s="1277"/>
      <c r="I1142" s="1277"/>
      <c r="J1142" s="1277"/>
      <c r="K1142" s="1277"/>
      <c r="L1142" s="1277"/>
      <c r="M1142" s="1277"/>
      <c r="N1142" s="1277"/>
      <c r="O1142" s="1277"/>
      <c r="P1142" s="1277"/>
      <c r="Q1142" s="203">
        <v>0</v>
      </c>
      <c r="R1142" s="204">
        <f>Q1142</f>
        <v>0</v>
      </c>
      <c r="T1142" s="1278"/>
      <c r="U1142" s="1279"/>
    </row>
    <row r="1143" spans="1:21">
      <c r="A1143" s="192"/>
      <c r="B1143" s="1277" t="e">
        <f>med</f>
        <v>#NAME?</v>
      </c>
      <c r="C1143" s="1277"/>
      <c r="D1143" s="1277"/>
      <c r="E1143" s="1277"/>
      <c r="F1143" s="1277"/>
      <c r="G1143" s="1277"/>
      <c r="H1143" s="1277"/>
      <c r="I1143" s="1277"/>
      <c r="J1143" s="1277"/>
      <c r="K1143" s="1277"/>
      <c r="L1143" s="1277"/>
      <c r="M1143" s="1277"/>
      <c r="N1143" s="1277"/>
      <c r="O1143" s="1277"/>
      <c r="P1143" s="205" t="e">
        <f>N1140</f>
        <v>#REF!</v>
      </c>
      <c r="Q1143" s="203" t="e">
        <f>P1143</f>
        <v>#REF!</v>
      </c>
      <c r="R1143" s="204" t="e">
        <f>Q1143+R1142</f>
        <v>#REF!</v>
      </c>
      <c r="T1143" s="1278"/>
      <c r="U1143" s="1279"/>
    </row>
    <row r="1144" spans="1:21" ht="18" customHeight="1">
      <c r="A1144" s="187" t="e">
        <f>#REF!</f>
        <v>#REF!</v>
      </c>
      <c r="B1144" s="1275" t="e">
        <f>IF(A1144="","",VLOOKUP($A1144,'[2]FDE-JUNHO-08'!$A$6:$D$3537,2,FALSE()))</f>
        <v>#REF!</v>
      </c>
      <c r="C1144" s="1275"/>
      <c r="D1144" s="1275"/>
      <c r="E1144" s="1275"/>
      <c r="F1144" s="1275"/>
      <c r="G1144" s="1275"/>
      <c r="H1144" s="1275"/>
      <c r="I1144" s="1275"/>
      <c r="J1144" s="1275"/>
      <c r="K1144" s="1275"/>
      <c r="L1144" s="1275"/>
      <c r="M1144" s="1275"/>
      <c r="N1144" s="1275"/>
      <c r="O1144" s="1275"/>
      <c r="P1144" s="188" t="e">
        <f>IF(A1144="","",VLOOKUP($A1144,'[2]FDE-JUNHO-08'!$A$6:$D$3537,3,FALSE()))</f>
        <v>#REF!</v>
      </c>
      <c r="Q1144" s="189" t="s">
        <v>1205</v>
      </c>
      <c r="R1144" s="189" t="s">
        <v>1206</v>
      </c>
      <c r="T1144" s="190"/>
      <c r="U1144" s="191"/>
    </row>
    <row r="1145" spans="1:21">
      <c r="A1145" s="192"/>
      <c r="B1145" s="195"/>
      <c r="C1145" s="196"/>
      <c r="D1145" s="197"/>
      <c r="E1145" s="198"/>
      <c r="F1145" s="197"/>
      <c r="G1145" s="198"/>
      <c r="H1145" s="197"/>
      <c r="I1145" s="207"/>
      <c r="J1145" s="207"/>
      <c r="K1145" s="208"/>
      <c r="L1145" s="209"/>
      <c r="M1145" s="209"/>
      <c r="N1145" s="209"/>
      <c r="O1145" s="155"/>
      <c r="P1145" s="193"/>
      <c r="Q1145" s="200"/>
      <c r="R1145" s="194"/>
      <c r="T1145" s="190"/>
      <c r="U1145" s="191"/>
    </row>
    <row r="1146" spans="1:21">
      <c r="A1146" s="192"/>
      <c r="B1146" s="195" t="s">
        <v>1312</v>
      </c>
      <c r="C1146" s="196"/>
      <c r="D1146" s="197"/>
      <c r="E1146" s="198"/>
      <c r="F1146" s="197"/>
      <c r="G1146" s="198"/>
      <c r="H1146" s="197"/>
      <c r="I1146" s="198"/>
      <c r="J1146" s="197"/>
      <c r="K1146" s="198"/>
      <c r="L1146" s="199"/>
      <c r="M1146" s="199" t="s">
        <v>1208</v>
      </c>
      <c r="N1146" s="199" t="e">
        <f>#REF!</f>
        <v>#REF!</v>
      </c>
      <c r="O1146" s="155"/>
      <c r="P1146" s="193"/>
      <c r="Q1146" s="200"/>
      <c r="R1146" s="194"/>
      <c r="T1146" s="190"/>
      <c r="U1146" s="191"/>
    </row>
    <row r="1147" spans="1:21" ht="9.75" customHeight="1">
      <c r="A1147" s="192"/>
      <c r="B1147" s="195"/>
      <c r="C1147" s="196"/>
      <c r="D1147" s="197"/>
      <c r="E1147" s="198"/>
      <c r="F1147" s="197"/>
      <c r="G1147" s="198"/>
      <c r="H1147" s="197"/>
      <c r="I1147" s="198"/>
      <c r="J1147" s="197"/>
      <c r="K1147" s="198"/>
      <c r="L1147" s="199"/>
      <c r="M1147" s="199"/>
      <c r="N1147" s="201"/>
      <c r="O1147" s="202"/>
      <c r="P1147" s="193"/>
      <c r="Q1147" s="200"/>
      <c r="R1147" s="194"/>
      <c r="T1147" s="190"/>
      <c r="U1147" s="191"/>
    </row>
    <row r="1148" spans="1:21">
      <c r="A1148" s="192"/>
      <c r="B1148" s="195"/>
      <c r="C1148" s="196"/>
      <c r="D1148" s="197"/>
      <c r="E1148" s="198"/>
      <c r="F1148" s="197"/>
      <c r="G1148" s="198"/>
      <c r="H1148" s="197"/>
      <c r="I1148" s="198"/>
      <c r="J1148" s="197"/>
      <c r="K1148" s="198"/>
      <c r="L1148" s="199" t="s">
        <v>1140</v>
      </c>
      <c r="M1148" s="199" t="s">
        <v>1208</v>
      </c>
      <c r="N1148" s="199" t="e">
        <f>SUM(N1146:N1147)</f>
        <v>#REF!</v>
      </c>
      <c r="O1148" s="155" t="e">
        <f>P1144</f>
        <v>#REF!</v>
      </c>
      <c r="P1148" s="193"/>
      <c r="Q1148" s="200"/>
      <c r="R1148" s="194"/>
      <c r="T1148" s="190"/>
      <c r="U1148" s="191"/>
    </row>
    <row r="1149" spans="1:21">
      <c r="A1149" s="192"/>
      <c r="B1149" s="195"/>
      <c r="C1149" s="196"/>
      <c r="D1149" s="197"/>
      <c r="E1149" s="198"/>
      <c r="F1149" s="197"/>
      <c r="G1149" s="198"/>
      <c r="H1149" s="197"/>
      <c r="I1149" s="198"/>
      <c r="J1149" s="197"/>
      <c r="K1149" s="198"/>
      <c r="L1149" s="199"/>
      <c r="M1149" s="199"/>
      <c r="N1149" s="199"/>
      <c r="O1149" s="155"/>
      <c r="P1149" s="193"/>
      <c r="Q1149" s="200"/>
      <c r="R1149" s="194"/>
      <c r="T1149" s="190"/>
      <c r="U1149" s="191"/>
    </row>
    <row r="1150" spans="1:21">
      <c r="A1150" s="192"/>
      <c r="B1150" s="1277" t="s">
        <v>1209</v>
      </c>
      <c r="C1150" s="1277"/>
      <c r="D1150" s="1277"/>
      <c r="E1150" s="1277"/>
      <c r="F1150" s="1277"/>
      <c r="G1150" s="1277"/>
      <c r="H1150" s="1277"/>
      <c r="I1150" s="1277"/>
      <c r="J1150" s="1277"/>
      <c r="K1150" s="1277"/>
      <c r="L1150" s="1277"/>
      <c r="M1150" s="1277"/>
      <c r="N1150" s="1277"/>
      <c r="O1150" s="1277"/>
      <c r="P1150" s="1277"/>
      <c r="Q1150" s="203">
        <v>0</v>
      </c>
      <c r="R1150" s="204">
        <f>Q1150</f>
        <v>0</v>
      </c>
      <c r="T1150" s="1278"/>
      <c r="U1150" s="1279"/>
    </row>
    <row r="1151" spans="1:21">
      <c r="A1151" s="206"/>
      <c r="B1151" s="1277" t="e">
        <f>med</f>
        <v>#NAME?</v>
      </c>
      <c r="C1151" s="1277"/>
      <c r="D1151" s="1277"/>
      <c r="E1151" s="1277"/>
      <c r="F1151" s="1277"/>
      <c r="G1151" s="1277"/>
      <c r="H1151" s="1277"/>
      <c r="I1151" s="1277"/>
      <c r="J1151" s="1277"/>
      <c r="K1151" s="1277"/>
      <c r="L1151" s="1277"/>
      <c r="M1151" s="1277"/>
      <c r="N1151" s="1277"/>
      <c r="O1151" s="1277"/>
      <c r="P1151" s="205" t="e">
        <f>N1148</f>
        <v>#REF!</v>
      </c>
      <c r="Q1151" s="203" t="e">
        <f>P1151</f>
        <v>#REF!</v>
      </c>
      <c r="R1151" s="204" t="e">
        <f>Q1151+R1150</f>
        <v>#REF!</v>
      </c>
      <c r="T1151" s="1278"/>
      <c r="U1151" s="1279"/>
    </row>
    <row r="1152" spans="1:21" ht="18" customHeight="1">
      <c r="A1152" s="187" t="e">
        <f>#REF!</f>
        <v>#REF!</v>
      </c>
      <c r="B1152" s="1275" t="e">
        <f>IF(A1152="","",VLOOKUP($A1152,'[2]FDE-JUNHO-08'!$A$6:$D$3537,2,FALSE()))</f>
        <v>#REF!</v>
      </c>
      <c r="C1152" s="1275"/>
      <c r="D1152" s="1275"/>
      <c r="E1152" s="1275"/>
      <c r="F1152" s="1275"/>
      <c r="G1152" s="1275"/>
      <c r="H1152" s="1275"/>
      <c r="I1152" s="1275"/>
      <c r="J1152" s="1275"/>
      <c r="K1152" s="1275"/>
      <c r="L1152" s="1275"/>
      <c r="M1152" s="1275"/>
      <c r="N1152" s="1275"/>
      <c r="O1152" s="1275"/>
      <c r="P1152" s="188" t="e">
        <f>IF(A1152="","",VLOOKUP($A1152,'[2]FDE-JUNHO-08'!$A$6:$D$3537,3,FALSE()))</f>
        <v>#REF!</v>
      </c>
      <c r="Q1152" s="189" t="s">
        <v>1205</v>
      </c>
      <c r="R1152" s="189" t="s">
        <v>1206</v>
      </c>
      <c r="T1152" s="190"/>
      <c r="U1152" s="191"/>
    </row>
    <row r="1153" spans="1:21">
      <c r="A1153" s="192"/>
      <c r="B1153" s="195"/>
      <c r="C1153" s="196"/>
      <c r="D1153" s="197"/>
      <c r="E1153" s="198"/>
      <c r="F1153" s="197"/>
      <c r="G1153" s="198"/>
      <c r="H1153" s="197"/>
      <c r="I1153" s="207"/>
      <c r="J1153" s="207"/>
      <c r="K1153" s="208"/>
      <c r="L1153" s="209"/>
      <c r="M1153" s="209"/>
      <c r="N1153" s="209"/>
      <c r="O1153" s="155"/>
      <c r="P1153" s="193"/>
      <c r="Q1153" s="200"/>
      <c r="R1153" s="194"/>
      <c r="T1153" s="190"/>
      <c r="U1153" s="191"/>
    </row>
    <row r="1154" spans="1:21">
      <c r="A1154" s="192"/>
      <c r="B1154" s="195" t="s">
        <v>1313</v>
      </c>
      <c r="C1154" s="196"/>
      <c r="D1154" s="197"/>
      <c r="E1154" s="198"/>
      <c r="F1154" s="197"/>
      <c r="G1154" s="198"/>
      <c r="H1154" s="197"/>
      <c r="I1154" s="198"/>
      <c r="J1154" s="197"/>
      <c r="K1154" s="198"/>
      <c r="L1154" s="199"/>
      <c r="M1154" s="199" t="s">
        <v>1208</v>
      </c>
      <c r="N1154" s="199">
        <v>1</v>
      </c>
      <c r="O1154" s="155"/>
      <c r="P1154" s="193"/>
      <c r="Q1154" s="200"/>
      <c r="R1154" s="194"/>
      <c r="T1154" s="190"/>
      <c r="U1154" s="191"/>
    </row>
    <row r="1155" spans="1:21">
      <c r="A1155" s="192"/>
      <c r="B1155" s="195"/>
      <c r="C1155" s="196"/>
      <c r="D1155" s="197"/>
      <c r="E1155" s="198"/>
      <c r="F1155" s="197"/>
      <c r="G1155" s="198"/>
      <c r="H1155" s="197"/>
      <c r="I1155" s="198"/>
      <c r="J1155" s="197"/>
      <c r="K1155" s="198"/>
      <c r="L1155" s="199"/>
      <c r="M1155" s="199"/>
      <c r="N1155" s="201"/>
      <c r="O1155" s="202"/>
      <c r="P1155" s="193"/>
      <c r="Q1155" s="200"/>
      <c r="R1155" s="194"/>
      <c r="T1155" s="190"/>
      <c r="U1155" s="191"/>
    </row>
    <row r="1156" spans="1:21">
      <c r="A1156" s="192"/>
      <c r="B1156" s="195"/>
      <c r="C1156" s="196"/>
      <c r="D1156" s="197"/>
      <c r="E1156" s="198"/>
      <c r="F1156" s="197"/>
      <c r="G1156" s="198"/>
      <c r="H1156" s="197"/>
      <c r="I1156" s="198"/>
      <c r="J1156" s="197"/>
      <c r="K1156" s="198"/>
      <c r="L1156" s="199" t="s">
        <v>1140</v>
      </c>
      <c r="M1156" s="199" t="s">
        <v>1208</v>
      </c>
      <c r="N1156" s="199">
        <f>SUM(N1154:N1155)</f>
        <v>1</v>
      </c>
      <c r="O1156" s="155" t="e">
        <f>P1152</f>
        <v>#REF!</v>
      </c>
      <c r="P1156" s="193"/>
      <c r="Q1156" s="200"/>
      <c r="R1156" s="194"/>
      <c r="T1156" s="190"/>
      <c r="U1156" s="191"/>
    </row>
    <row r="1157" spans="1:21">
      <c r="A1157" s="192"/>
      <c r="B1157" s="195"/>
      <c r="C1157" s="196"/>
      <c r="D1157" s="197"/>
      <c r="E1157" s="198"/>
      <c r="F1157" s="197"/>
      <c r="G1157" s="198"/>
      <c r="H1157" s="197"/>
      <c r="I1157" s="198"/>
      <c r="J1157" s="197"/>
      <c r="K1157" s="198"/>
      <c r="L1157" s="199"/>
      <c r="M1157" s="199"/>
      <c r="N1157" s="199"/>
      <c r="O1157" s="155"/>
      <c r="P1157" s="193"/>
      <c r="Q1157" s="200"/>
      <c r="R1157" s="194"/>
      <c r="T1157" s="190"/>
      <c r="U1157" s="191"/>
    </row>
    <row r="1158" spans="1:21">
      <c r="A1158" s="192"/>
      <c r="B1158" s="1277" t="s">
        <v>1209</v>
      </c>
      <c r="C1158" s="1277"/>
      <c r="D1158" s="1277"/>
      <c r="E1158" s="1277"/>
      <c r="F1158" s="1277"/>
      <c r="G1158" s="1277"/>
      <c r="H1158" s="1277"/>
      <c r="I1158" s="1277"/>
      <c r="J1158" s="1277"/>
      <c r="K1158" s="1277"/>
      <c r="L1158" s="1277"/>
      <c r="M1158" s="1277"/>
      <c r="N1158" s="1277"/>
      <c r="O1158" s="1277"/>
      <c r="P1158" s="1277"/>
      <c r="Q1158" s="203">
        <v>0</v>
      </c>
      <c r="R1158" s="204">
        <f>Q1158</f>
        <v>0</v>
      </c>
      <c r="T1158" s="1278"/>
      <c r="U1158" s="1279"/>
    </row>
    <row r="1159" spans="1:21">
      <c r="A1159" s="192"/>
      <c r="B1159" s="1277" t="e">
        <f>med</f>
        <v>#NAME?</v>
      </c>
      <c r="C1159" s="1277"/>
      <c r="D1159" s="1277"/>
      <c r="E1159" s="1277"/>
      <c r="F1159" s="1277"/>
      <c r="G1159" s="1277"/>
      <c r="H1159" s="1277"/>
      <c r="I1159" s="1277"/>
      <c r="J1159" s="1277"/>
      <c r="K1159" s="1277"/>
      <c r="L1159" s="1277"/>
      <c r="M1159" s="1277"/>
      <c r="N1159" s="1277"/>
      <c r="O1159" s="1277"/>
      <c r="P1159" s="205">
        <f>N1156</f>
        <v>1</v>
      </c>
      <c r="Q1159" s="203">
        <f>P1159</f>
        <v>1</v>
      </c>
      <c r="R1159" s="204">
        <f>Q1159+R1158</f>
        <v>1</v>
      </c>
      <c r="T1159" s="1278"/>
      <c r="U1159" s="1279"/>
    </row>
    <row r="1160" spans="1:21" ht="18" customHeight="1">
      <c r="A1160" s="187" t="e">
        <f>#REF!</f>
        <v>#REF!</v>
      </c>
      <c r="B1160" s="1275" t="e">
        <f>IF(A1160="","",VLOOKUP($A1160,'[2]FDE-JUNHO-08'!$A$6:$D$3537,2,FALSE()))</f>
        <v>#REF!</v>
      </c>
      <c r="C1160" s="1275"/>
      <c r="D1160" s="1275"/>
      <c r="E1160" s="1275"/>
      <c r="F1160" s="1275"/>
      <c r="G1160" s="1275"/>
      <c r="H1160" s="1275"/>
      <c r="I1160" s="1275"/>
      <c r="J1160" s="1275"/>
      <c r="K1160" s="1275"/>
      <c r="L1160" s="1275"/>
      <c r="M1160" s="1275"/>
      <c r="N1160" s="1275"/>
      <c r="O1160" s="1275"/>
      <c r="P1160" s="188" t="e">
        <f>IF(A1160="","",VLOOKUP($A1160,'[2]FDE-JUNHO-08'!$A$6:$D$3537,3,FALSE()))</f>
        <v>#REF!</v>
      </c>
      <c r="Q1160" s="189" t="s">
        <v>1205</v>
      </c>
      <c r="R1160" s="189" t="s">
        <v>1206</v>
      </c>
      <c r="T1160" s="190"/>
      <c r="U1160" s="191"/>
    </row>
    <row r="1161" spans="1:21">
      <c r="A1161" s="192"/>
      <c r="B1161" s="195"/>
      <c r="C1161" s="196"/>
      <c r="D1161" s="197"/>
      <c r="E1161" s="198"/>
      <c r="F1161" s="197"/>
      <c r="G1161" s="198"/>
      <c r="H1161" s="197"/>
      <c r="I1161" s="207"/>
      <c r="J1161" s="207"/>
      <c r="K1161" s="208"/>
      <c r="L1161" s="209"/>
      <c r="M1161" s="209"/>
      <c r="N1161" s="209"/>
      <c r="O1161" s="155"/>
      <c r="P1161" s="193"/>
      <c r="Q1161" s="200"/>
      <c r="R1161" s="194"/>
      <c r="T1161" s="190"/>
      <c r="U1161" s="191"/>
    </row>
    <row r="1162" spans="1:21">
      <c r="A1162" s="192"/>
      <c r="B1162" s="195" t="s">
        <v>1313</v>
      </c>
      <c r="C1162" s="196"/>
      <c r="D1162" s="197"/>
      <c r="E1162" s="198"/>
      <c r="F1162" s="197"/>
      <c r="G1162" s="198"/>
      <c r="H1162" s="197"/>
      <c r="I1162" s="198"/>
      <c r="J1162" s="197"/>
      <c r="K1162" s="198"/>
      <c r="L1162" s="199"/>
      <c r="M1162" s="199" t="s">
        <v>1208</v>
      </c>
      <c r="N1162" s="199">
        <v>1</v>
      </c>
      <c r="O1162" s="155"/>
      <c r="P1162" s="193"/>
      <c r="Q1162" s="200"/>
      <c r="R1162" s="194"/>
      <c r="T1162" s="190"/>
      <c r="U1162" s="191"/>
    </row>
    <row r="1163" spans="1:21">
      <c r="A1163" s="192"/>
      <c r="B1163" s="195"/>
      <c r="C1163" s="196"/>
      <c r="D1163" s="197"/>
      <c r="E1163" s="198"/>
      <c r="F1163" s="197"/>
      <c r="G1163" s="198"/>
      <c r="H1163" s="197"/>
      <c r="I1163" s="198"/>
      <c r="J1163" s="197"/>
      <c r="K1163" s="198"/>
      <c r="L1163" s="199"/>
      <c r="M1163" s="199"/>
      <c r="N1163" s="201"/>
      <c r="O1163" s="202"/>
      <c r="P1163" s="193"/>
      <c r="Q1163" s="200"/>
      <c r="R1163" s="194"/>
      <c r="T1163" s="190"/>
      <c r="U1163" s="191"/>
    </row>
    <row r="1164" spans="1:21">
      <c r="A1164" s="192"/>
      <c r="B1164" s="195"/>
      <c r="C1164" s="196"/>
      <c r="D1164" s="197"/>
      <c r="E1164" s="198"/>
      <c r="F1164" s="197"/>
      <c r="G1164" s="198"/>
      <c r="H1164" s="197"/>
      <c r="I1164" s="198"/>
      <c r="J1164" s="197"/>
      <c r="K1164" s="198"/>
      <c r="L1164" s="199" t="s">
        <v>1140</v>
      </c>
      <c r="M1164" s="199" t="s">
        <v>1208</v>
      </c>
      <c r="N1164" s="199">
        <f>SUM(N1162:N1163)</f>
        <v>1</v>
      </c>
      <c r="O1164" s="155" t="e">
        <f>P1160</f>
        <v>#REF!</v>
      </c>
      <c r="P1164" s="193"/>
      <c r="Q1164" s="200"/>
      <c r="R1164" s="194"/>
      <c r="T1164" s="190"/>
      <c r="U1164" s="191"/>
    </row>
    <row r="1165" spans="1:21">
      <c r="A1165" s="192"/>
      <c r="B1165" s="195"/>
      <c r="C1165" s="196"/>
      <c r="D1165" s="197"/>
      <c r="E1165" s="198"/>
      <c r="F1165" s="197"/>
      <c r="G1165" s="198"/>
      <c r="H1165" s="197"/>
      <c r="I1165" s="198"/>
      <c r="J1165" s="197"/>
      <c r="K1165" s="198"/>
      <c r="L1165" s="199"/>
      <c r="M1165" s="199"/>
      <c r="N1165" s="199"/>
      <c r="O1165" s="155"/>
      <c r="P1165" s="193"/>
      <c r="Q1165" s="200"/>
      <c r="R1165" s="194"/>
      <c r="T1165" s="190"/>
      <c r="U1165" s="191"/>
    </row>
    <row r="1166" spans="1:21">
      <c r="A1166" s="192"/>
      <c r="B1166" s="1277" t="s">
        <v>1209</v>
      </c>
      <c r="C1166" s="1277"/>
      <c r="D1166" s="1277"/>
      <c r="E1166" s="1277"/>
      <c r="F1166" s="1277"/>
      <c r="G1166" s="1277"/>
      <c r="H1166" s="1277"/>
      <c r="I1166" s="1277"/>
      <c r="J1166" s="1277"/>
      <c r="K1166" s="1277"/>
      <c r="L1166" s="1277"/>
      <c r="M1166" s="1277"/>
      <c r="N1166" s="1277"/>
      <c r="O1166" s="1277"/>
      <c r="P1166" s="1277"/>
      <c r="Q1166" s="203">
        <v>0</v>
      </c>
      <c r="R1166" s="204">
        <f>Q1166</f>
        <v>0</v>
      </c>
      <c r="T1166" s="1278"/>
      <c r="U1166" s="1279"/>
    </row>
    <row r="1167" spans="1:21">
      <c r="A1167" s="192"/>
      <c r="B1167" s="1277" t="e">
        <f>med</f>
        <v>#NAME?</v>
      </c>
      <c r="C1167" s="1277"/>
      <c r="D1167" s="1277"/>
      <c r="E1167" s="1277"/>
      <c r="F1167" s="1277"/>
      <c r="G1167" s="1277"/>
      <c r="H1167" s="1277"/>
      <c r="I1167" s="1277"/>
      <c r="J1167" s="1277"/>
      <c r="K1167" s="1277"/>
      <c r="L1167" s="1277"/>
      <c r="M1167" s="1277"/>
      <c r="N1167" s="1277"/>
      <c r="O1167" s="1277"/>
      <c r="P1167" s="205">
        <f>N1164</f>
        <v>1</v>
      </c>
      <c r="Q1167" s="203">
        <f>P1167</f>
        <v>1</v>
      </c>
      <c r="R1167" s="204">
        <f>Q1167+R1166</f>
        <v>1</v>
      </c>
      <c r="T1167" s="1278"/>
      <c r="U1167" s="1279"/>
    </row>
    <row r="1168" spans="1:21" ht="18" customHeight="1">
      <c r="A1168" s="187" t="e">
        <f>#REF!</f>
        <v>#REF!</v>
      </c>
      <c r="B1168" s="1275" t="e">
        <f>IF(A1168="","",VLOOKUP($A1168,'[2]FDE-JUNHO-08'!$A$6:$D$3537,2,FALSE()))</f>
        <v>#REF!</v>
      </c>
      <c r="C1168" s="1275"/>
      <c r="D1168" s="1275"/>
      <c r="E1168" s="1275"/>
      <c r="F1168" s="1275"/>
      <c r="G1168" s="1275"/>
      <c r="H1168" s="1275"/>
      <c r="I1168" s="1275"/>
      <c r="J1168" s="1275"/>
      <c r="K1168" s="1275"/>
      <c r="L1168" s="1275"/>
      <c r="M1168" s="1275"/>
      <c r="N1168" s="1275"/>
      <c r="O1168" s="1275"/>
      <c r="P1168" s="188" t="e">
        <f>IF(A1168="","",VLOOKUP($A1168,'[2]FDE-JUNHO-08'!$A$6:$D$3537,3,FALSE()))</f>
        <v>#REF!</v>
      </c>
      <c r="Q1168" s="189" t="s">
        <v>1205</v>
      </c>
      <c r="R1168" s="189" t="s">
        <v>1206</v>
      </c>
      <c r="T1168" s="190"/>
      <c r="U1168" s="191"/>
    </row>
    <row r="1169" spans="1:21">
      <c r="A1169" s="192"/>
      <c r="B1169" s="1281"/>
      <c r="C1169" s="1281"/>
      <c r="D1169" s="1281"/>
      <c r="E1169" s="1281"/>
      <c r="F1169" s="1281"/>
      <c r="G1169" s="1281"/>
      <c r="H1169" s="1281"/>
      <c r="I1169" s="1281"/>
      <c r="J1169" s="1281"/>
      <c r="K1169" s="1281"/>
      <c r="L1169" s="1281"/>
      <c r="M1169" s="1281"/>
      <c r="N1169" s="1281"/>
      <c r="O1169" s="1281"/>
      <c r="P1169" s="193"/>
      <c r="Q1169" s="194"/>
      <c r="R1169" s="194"/>
      <c r="T1169" s="190"/>
      <c r="U1169" s="191"/>
    </row>
    <row r="1170" spans="1:21">
      <c r="A1170" s="192"/>
      <c r="B1170" s="195" t="s">
        <v>1314</v>
      </c>
      <c r="C1170" s="196"/>
      <c r="D1170" s="197"/>
      <c r="E1170" s="198"/>
      <c r="F1170" s="199"/>
      <c r="G1170" s="198"/>
      <c r="H1170" s="198"/>
      <c r="I1170" s="198"/>
      <c r="J1170" s="198"/>
      <c r="K1170" s="198"/>
      <c r="L1170" s="198"/>
      <c r="M1170" s="199" t="s">
        <v>1208</v>
      </c>
      <c r="N1170" s="199">
        <v>11</v>
      </c>
      <c r="O1170" s="155"/>
      <c r="P1170" s="193"/>
      <c r="Q1170" s="200"/>
      <c r="R1170" s="194"/>
      <c r="T1170" s="190"/>
      <c r="U1170" s="191"/>
    </row>
    <row r="1171" spans="1:21">
      <c r="A1171" s="192"/>
      <c r="B1171" s="195" t="s">
        <v>1315</v>
      </c>
      <c r="C1171" s="196"/>
      <c r="D1171" s="197"/>
      <c r="E1171" s="198"/>
      <c r="F1171" s="199"/>
      <c r="G1171" s="198"/>
      <c r="H1171" s="198"/>
      <c r="I1171" s="198"/>
      <c r="J1171" s="198"/>
      <c r="K1171" s="198"/>
      <c r="L1171" s="198"/>
      <c r="M1171" s="199" t="s">
        <v>1208</v>
      </c>
      <c r="N1171" s="199">
        <v>0.6</v>
      </c>
      <c r="O1171" s="155"/>
      <c r="P1171" s="193"/>
      <c r="Q1171" s="200"/>
      <c r="R1171" s="194"/>
      <c r="T1171" s="190"/>
      <c r="U1171" s="191"/>
    </row>
    <row r="1172" spans="1:21">
      <c r="A1172" s="192"/>
      <c r="B1172" s="195" t="s">
        <v>1316</v>
      </c>
      <c r="C1172" s="196"/>
      <c r="D1172" s="197"/>
      <c r="E1172" s="198"/>
      <c r="F1172" s="199"/>
      <c r="G1172" s="198"/>
      <c r="H1172" s="198"/>
      <c r="I1172" s="198"/>
      <c r="J1172" s="198"/>
      <c r="K1172" s="198"/>
      <c r="L1172" s="198"/>
      <c r="M1172" s="199" t="s">
        <v>1208</v>
      </c>
      <c r="N1172" s="199">
        <v>9.6999999999999993</v>
      </c>
      <c r="O1172" s="155"/>
      <c r="P1172" s="193"/>
      <c r="Q1172" s="194"/>
      <c r="R1172" s="194"/>
      <c r="T1172" s="190"/>
      <c r="U1172" s="191"/>
    </row>
    <row r="1173" spans="1:21">
      <c r="A1173" s="192"/>
      <c r="B1173" s="195"/>
      <c r="C1173" s="196"/>
      <c r="D1173" s="197"/>
      <c r="E1173" s="198"/>
      <c r="F1173" s="197"/>
      <c r="G1173" s="198"/>
      <c r="H1173" s="197"/>
      <c r="I1173" s="198"/>
      <c r="J1173" s="197"/>
      <c r="K1173" s="198"/>
      <c r="L1173" s="199"/>
      <c r="M1173" s="199"/>
      <c r="N1173" s="201"/>
      <c r="O1173" s="202"/>
      <c r="P1173" s="193"/>
      <c r="Q1173" s="200"/>
      <c r="R1173" s="194"/>
      <c r="T1173" s="190"/>
      <c r="U1173" s="191"/>
    </row>
    <row r="1174" spans="1:21">
      <c r="A1174" s="192"/>
      <c r="B1174" s="195"/>
      <c r="C1174" s="196"/>
      <c r="D1174" s="197"/>
      <c r="E1174" s="198"/>
      <c r="F1174" s="197"/>
      <c r="G1174" s="198"/>
      <c r="H1174" s="197"/>
      <c r="I1174" s="198"/>
      <c r="J1174" s="197"/>
      <c r="K1174" s="198"/>
      <c r="L1174" s="199" t="s">
        <v>1140</v>
      </c>
      <c r="M1174" s="199" t="s">
        <v>1208</v>
      </c>
      <c r="N1174" s="199">
        <f>SUM(N1170:N1173)</f>
        <v>21.299999999999997</v>
      </c>
      <c r="O1174" s="155" t="e">
        <f>P1168</f>
        <v>#REF!</v>
      </c>
      <c r="P1174" s="193"/>
      <c r="Q1174" s="200"/>
      <c r="R1174" s="194"/>
      <c r="T1174" s="190"/>
      <c r="U1174" s="191"/>
    </row>
    <row r="1175" spans="1:21">
      <c r="A1175" s="192"/>
      <c r="B1175" s="195"/>
      <c r="C1175" s="196"/>
      <c r="D1175" s="197"/>
      <c r="E1175" s="198"/>
      <c r="F1175" s="197"/>
      <c r="G1175" s="198"/>
      <c r="H1175" s="197"/>
      <c r="I1175" s="198"/>
      <c r="J1175" s="197"/>
      <c r="K1175" s="198"/>
      <c r="L1175" s="199"/>
      <c r="M1175" s="199"/>
      <c r="N1175" s="199"/>
      <c r="O1175" s="155"/>
      <c r="P1175" s="193"/>
      <c r="Q1175" s="200"/>
      <c r="R1175" s="194"/>
      <c r="T1175" s="190"/>
      <c r="U1175" s="191"/>
    </row>
    <row r="1176" spans="1:21">
      <c r="A1176" s="192"/>
      <c r="B1176" s="1277" t="s">
        <v>1209</v>
      </c>
      <c r="C1176" s="1277"/>
      <c r="D1176" s="1277"/>
      <c r="E1176" s="1277"/>
      <c r="F1176" s="1277"/>
      <c r="G1176" s="1277"/>
      <c r="H1176" s="1277"/>
      <c r="I1176" s="1277"/>
      <c r="J1176" s="1277"/>
      <c r="K1176" s="1277"/>
      <c r="L1176" s="1277"/>
      <c r="M1176" s="1277"/>
      <c r="N1176" s="1277"/>
      <c r="O1176" s="1277"/>
      <c r="P1176" s="1277"/>
      <c r="Q1176" s="203">
        <v>0</v>
      </c>
      <c r="R1176" s="204">
        <f>Q1176</f>
        <v>0</v>
      </c>
      <c r="T1176" s="1278"/>
      <c r="U1176" s="1279"/>
    </row>
    <row r="1177" spans="1:21">
      <c r="A1177" s="192"/>
      <c r="B1177" s="1277" t="e">
        <f>med</f>
        <v>#NAME?</v>
      </c>
      <c r="C1177" s="1277"/>
      <c r="D1177" s="1277"/>
      <c r="E1177" s="1277"/>
      <c r="F1177" s="1277"/>
      <c r="G1177" s="1277"/>
      <c r="H1177" s="1277"/>
      <c r="I1177" s="1277"/>
      <c r="J1177" s="1277"/>
      <c r="K1177" s="1277"/>
      <c r="L1177" s="1277"/>
      <c r="M1177" s="1277"/>
      <c r="N1177" s="1277"/>
      <c r="O1177" s="1277"/>
      <c r="P1177" s="205">
        <f>N1174</f>
        <v>21.299999999999997</v>
      </c>
      <c r="Q1177" s="203">
        <f>P1177</f>
        <v>21.299999999999997</v>
      </c>
      <c r="R1177" s="204">
        <f>Q1177+R1176</f>
        <v>21.299999999999997</v>
      </c>
      <c r="T1177" s="1278"/>
      <c r="U1177" s="1279"/>
    </row>
    <row r="1178" spans="1:21" ht="18" customHeight="1">
      <c r="A1178" s="187" t="e">
        <f>#REF!</f>
        <v>#REF!</v>
      </c>
      <c r="B1178" s="1275" t="e">
        <f>IF(A1178="","",VLOOKUP($A1178,'[2]FDE-JUNHO-08'!$A$6:$D$3537,2,FALSE()))</f>
        <v>#REF!</v>
      </c>
      <c r="C1178" s="1275"/>
      <c r="D1178" s="1275"/>
      <c r="E1178" s="1275"/>
      <c r="F1178" s="1275"/>
      <c r="G1178" s="1275"/>
      <c r="H1178" s="1275"/>
      <c r="I1178" s="1275"/>
      <c r="J1178" s="1275"/>
      <c r="K1178" s="1275"/>
      <c r="L1178" s="1275"/>
      <c r="M1178" s="1275"/>
      <c r="N1178" s="1275"/>
      <c r="O1178" s="1275"/>
      <c r="P1178" s="188" t="e">
        <f>IF(A1178="","",VLOOKUP($A1178,'[2]FDE-JUNHO-08'!$A$6:$D$3537,3,FALSE()))</f>
        <v>#REF!</v>
      </c>
      <c r="Q1178" s="189" t="s">
        <v>1205</v>
      </c>
      <c r="R1178" s="189" t="s">
        <v>1206</v>
      </c>
      <c r="T1178" s="190"/>
      <c r="U1178" s="191"/>
    </row>
    <row r="1179" spans="1:21" ht="13.8">
      <c r="A1179" s="192"/>
      <c r="B1179" s="210"/>
      <c r="C1179" s="196"/>
      <c r="D1179" s="197"/>
      <c r="E1179" s="198"/>
      <c r="F1179" s="197"/>
      <c r="G1179" s="198"/>
      <c r="H1179" s="197"/>
      <c r="I1179" s="198"/>
      <c r="J1179" s="197"/>
      <c r="K1179" s="198"/>
      <c r="L1179" s="199"/>
      <c r="M1179" s="199"/>
      <c r="N1179" s="199"/>
      <c r="O1179" s="155"/>
      <c r="P1179" s="193"/>
      <c r="Q1179" s="200"/>
      <c r="R1179" s="194"/>
      <c r="T1179" s="190"/>
      <c r="U1179" s="191"/>
    </row>
    <row r="1180" spans="1:21" ht="13.8">
      <c r="A1180" s="192"/>
      <c r="B1180" s="210" t="s">
        <v>1317</v>
      </c>
      <c r="C1180" s="196"/>
      <c r="D1180" s="197"/>
      <c r="E1180" s="198"/>
      <c r="F1180" s="197"/>
      <c r="G1180" s="198"/>
      <c r="H1180" s="197"/>
      <c r="I1180" s="198"/>
      <c r="J1180" s="197"/>
      <c r="K1180" s="198"/>
      <c r="L1180" s="199"/>
      <c r="M1180" s="199" t="s">
        <v>1208</v>
      </c>
      <c r="N1180" s="199">
        <v>56.88</v>
      </c>
      <c r="O1180" s="155"/>
      <c r="P1180" s="193"/>
      <c r="Q1180" s="200"/>
      <c r="R1180" s="194"/>
      <c r="T1180" s="190"/>
      <c r="U1180" s="191"/>
    </row>
    <row r="1181" spans="1:21">
      <c r="A1181" s="192"/>
      <c r="B1181" s="195"/>
      <c r="C1181" s="196"/>
      <c r="D1181" s="197"/>
      <c r="E1181" s="198"/>
      <c r="F1181" s="197"/>
      <c r="G1181" s="198"/>
      <c r="H1181" s="197"/>
      <c r="I1181" s="198"/>
      <c r="J1181" s="197"/>
      <c r="K1181" s="198"/>
      <c r="L1181" s="199"/>
      <c r="M1181" s="199"/>
      <c r="N1181" s="201"/>
      <c r="O1181" s="202"/>
      <c r="P1181" s="193"/>
      <c r="Q1181" s="200"/>
      <c r="R1181" s="194"/>
      <c r="T1181" s="190"/>
      <c r="U1181" s="191"/>
    </row>
    <row r="1182" spans="1:21">
      <c r="A1182" s="192"/>
      <c r="B1182" s="195"/>
      <c r="C1182" s="196"/>
      <c r="D1182" s="197"/>
      <c r="E1182" s="198"/>
      <c r="F1182" s="197"/>
      <c r="G1182" s="198"/>
      <c r="H1182" s="197"/>
      <c r="I1182" s="198"/>
      <c r="J1182" s="197"/>
      <c r="K1182" s="198"/>
      <c r="L1182" s="199" t="s">
        <v>1140</v>
      </c>
      <c r="M1182" s="199" t="s">
        <v>1208</v>
      </c>
      <c r="N1182" s="199">
        <f>SUM(N1179:N1181)</f>
        <v>56.88</v>
      </c>
      <c r="O1182" s="155" t="e">
        <f>P1178</f>
        <v>#REF!</v>
      </c>
      <c r="P1182" s="193"/>
      <c r="Q1182" s="200"/>
      <c r="R1182" s="194"/>
      <c r="T1182" s="190"/>
      <c r="U1182" s="191"/>
    </row>
    <row r="1183" spans="1:21">
      <c r="A1183" s="192"/>
      <c r="B1183" s="195"/>
      <c r="C1183" s="196"/>
      <c r="D1183" s="197"/>
      <c r="E1183" s="198"/>
      <c r="F1183" s="197"/>
      <c r="G1183" s="198"/>
      <c r="H1183" s="197"/>
      <c r="I1183" s="198"/>
      <c r="J1183" s="197"/>
      <c r="K1183" s="198"/>
      <c r="L1183" s="199"/>
      <c r="M1183" s="199"/>
      <c r="N1183" s="199"/>
      <c r="O1183" s="155"/>
      <c r="P1183" s="193"/>
      <c r="Q1183" s="200"/>
      <c r="R1183" s="194"/>
      <c r="T1183" s="190"/>
      <c r="U1183" s="191"/>
    </row>
    <row r="1184" spans="1:21">
      <c r="A1184" s="192"/>
      <c r="B1184" s="1277" t="s">
        <v>1209</v>
      </c>
      <c r="C1184" s="1277"/>
      <c r="D1184" s="1277"/>
      <c r="E1184" s="1277"/>
      <c r="F1184" s="1277"/>
      <c r="G1184" s="1277"/>
      <c r="H1184" s="1277"/>
      <c r="I1184" s="1277"/>
      <c r="J1184" s="1277"/>
      <c r="K1184" s="1277"/>
      <c r="L1184" s="1277"/>
      <c r="M1184" s="1277"/>
      <c r="N1184" s="1277"/>
      <c r="O1184" s="1277"/>
      <c r="P1184" s="1277"/>
      <c r="Q1184" s="203">
        <v>0</v>
      </c>
      <c r="R1184" s="204">
        <f>Q1184</f>
        <v>0</v>
      </c>
      <c r="T1184" s="1278"/>
      <c r="U1184" s="1279"/>
    </row>
    <row r="1185" spans="1:21">
      <c r="A1185" s="192"/>
      <c r="B1185" s="1277" t="e">
        <f>med</f>
        <v>#NAME?</v>
      </c>
      <c r="C1185" s="1277"/>
      <c r="D1185" s="1277"/>
      <c r="E1185" s="1277"/>
      <c r="F1185" s="1277"/>
      <c r="G1185" s="1277"/>
      <c r="H1185" s="1277"/>
      <c r="I1185" s="1277"/>
      <c r="J1185" s="1277"/>
      <c r="K1185" s="1277"/>
      <c r="L1185" s="1277"/>
      <c r="M1185" s="1277"/>
      <c r="N1185" s="1277"/>
      <c r="O1185" s="1277"/>
      <c r="P1185" s="205">
        <f>N1182</f>
        <v>56.88</v>
      </c>
      <c r="Q1185" s="203">
        <f>P1185</f>
        <v>56.88</v>
      </c>
      <c r="R1185" s="204">
        <f>Q1185+R1184</f>
        <v>56.88</v>
      </c>
      <c r="T1185" s="1278"/>
      <c r="U1185" s="1279"/>
    </row>
    <row r="1186" spans="1:21" ht="18" customHeight="1">
      <c r="A1186" s="187" t="e">
        <f>#REF!</f>
        <v>#REF!</v>
      </c>
      <c r="B1186" s="1275" t="e">
        <f>IF(A1186="","",VLOOKUP($A1186,'[2]FDE-JUNHO-08'!$A$6:$D$3537,2,FALSE()))</f>
        <v>#REF!</v>
      </c>
      <c r="C1186" s="1275"/>
      <c r="D1186" s="1275"/>
      <c r="E1186" s="1275"/>
      <c r="F1186" s="1275"/>
      <c r="G1186" s="1275"/>
      <c r="H1186" s="1275"/>
      <c r="I1186" s="1275"/>
      <c r="J1186" s="1275"/>
      <c r="K1186" s="1275"/>
      <c r="L1186" s="1275"/>
      <c r="M1186" s="1275"/>
      <c r="N1186" s="1275"/>
      <c r="O1186" s="1275"/>
      <c r="P1186" s="188" t="e">
        <f>IF(A1186="","",VLOOKUP($A1186,'[2]FDE-JUNHO-08'!$A$6:$D$3537,3,FALSE()))</f>
        <v>#REF!</v>
      </c>
      <c r="Q1186" s="189" t="s">
        <v>1205</v>
      </c>
      <c r="R1186" s="189" t="s">
        <v>1206</v>
      </c>
      <c r="T1186" s="190"/>
      <c r="U1186" s="191"/>
    </row>
    <row r="1187" spans="1:21">
      <c r="A1187" s="192"/>
      <c r="B1187" s="1281"/>
      <c r="C1187" s="1281"/>
      <c r="D1187" s="1281"/>
      <c r="E1187" s="1281"/>
      <c r="F1187" s="1281"/>
      <c r="G1187" s="1281"/>
      <c r="H1187" s="1281"/>
      <c r="I1187" s="1281"/>
      <c r="J1187" s="1281"/>
      <c r="K1187" s="1281"/>
      <c r="L1187" s="1281"/>
      <c r="M1187" s="1281"/>
      <c r="N1187" s="1281"/>
      <c r="O1187" s="1281"/>
      <c r="P1187" s="193"/>
      <c r="Q1187" s="194"/>
      <c r="R1187" s="194"/>
      <c r="T1187" s="190"/>
      <c r="U1187" s="191"/>
    </row>
    <row r="1188" spans="1:21">
      <c r="A1188" s="192"/>
      <c r="B1188" s="195" t="s">
        <v>1318</v>
      </c>
      <c r="C1188" s="196"/>
      <c r="D1188" s="197"/>
      <c r="E1188" s="198"/>
      <c r="F1188" s="197"/>
      <c r="G1188" s="198"/>
      <c r="H1188" s="197"/>
      <c r="I1188" s="198"/>
      <c r="J1188" s="197"/>
      <c r="K1188" s="198"/>
      <c r="L1188" s="199"/>
      <c r="M1188" s="199" t="s">
        <v>1208</v>
      </c>
      <c r="N1188" s="199" t="e">
        <f>#REF!</f>
        <v>#REF!</v>
      </c>
      <c r="O1188" s="155"/>
      <c r="P1188" s="193"/>
      <c r="Q1188" s="200"/>
      <c r="R1188" s="194"/>
      <c r="T1188" s="190"/>
      <c r="U1188" s="191"/>
    </row>
    <row r="1189" spans="1:21">
      <c r="A1189" s="192"/>
      <c r="B1189" s="195"/>
      <c r="C1189" s="196"/>
      <c r="D1189" s="197"/>
      <c r="E1189" s="198"/>
      <c r="F1189" s="197"/>
      <c r="G1189" s="198"/>
      <c r="H1189" s="197"/>
      <c r="I1189" s="198"/>
      <c r="J1189" s="197"/>
      <c r="K1189" s="198"/>
      <c r="L1189" s="199"/>
      <c r="M1189" s="199"/>
      <c r="N1189" s="201"/>
      <c r="O1189" s="202"/>
      <c r="P1189" s="193"/>
      <c r="Q1189" s="200"/>
      <c r="R1189" s="194"/>
      <c r="T1189" s="190"/>
      <c r="U1189" s="191"/>
    </row>
    <row r="1190" spans="1:21">
      <c r="A1190" s="192"/>
      <c r="B1190" s="195"/>
      <c r="C1190" s="196"/>
      <c r="D1190" s="197"/>
      <c r="E1190" s="198"/>
      <c r="F1190" s="197"/>
      <c r="G1190" s="198"/>
      <c r="H1190" s="197"/>
      <c r="I1190" s="198"/>
      <c r="J1190" s="197"/>
      <c r="K1190" s="198"/>
      <c r="L1190" s="199" t="s">
        <v>1140</v>
      </c>
      <c r="M1190" s="199" t="s">
        <v>1208</v>
      </c>
      <c r="N1190" s="199" t="e">
        <f>SUM(N1188:N1189)</f>
        <v>#REF!</v>
      </c>
      <c r="O1190" s="155" t="e">
        <f>P1186</f>
        <v>#REF!</v>
      </c>
      <c r="P1190" s="193"/>
      <c r="Q1190" s="200"/>
      <c r="R1190" s="194"/>
      <c r="T1190" s="190"/>
      <c r="U1190" s="191"/>
    </row>
    <row r="1191" spans="1:21">
      <c r="A1191" s="192"/>
      <c r="B1191" s="195"/>
      <c r="C1191" s="196"/>
      <c r="D1191" s="197"/>
      <c r="E1191" s="198"/>
      <c r="F1191" s="197"/>
      <c r="G1191" s="198"/>
      <c r="H1191" s="197"/>
      <c r="I1191" s="198"/>
      <c r="J1191" s="197"/>
      <c r="K1191" s="198"/>
      <c r="L1191" s="199"/>
      <c r="M1191" s="199"/>
      <c r="N1191" s="199"/>
      <c r="O1191" s="155"/>
      <c r="P1191" s="193"/>
      <c r="Q1191" s="200"/>
      <c r="R1191" s="194"/>
      <c r="T1191" s="190"/>
      <c r="U1191" s="191"/>
    </row>
    <row r="1192" spans="1:21">
      <c r="A1192" s="192"/>
      <c r="B1192" s="1277" t="s">
        <v>1209</v>
      </c>
      <c r="C1192" s="1277"/>
      <c r="D1192" s="1277"/>
      <c r="E1192" s="1277"/>
      <c r="F1192" s="1277"/>
      <c r="G1192" s="1277"/>
      <c r="H1192" s="1277"/>
      <c r="I1192" s="1277"/>
      <c r="J1192" s="1277"/>
      <c r="K1192" s="1277"/>
      <c r="L1192" s="1277"/>
      <c r="M1192" s="1277"/>
      <c r="N1192" s="1277"/>
      <c r="O1192" s="1277"/>
      <c r="P1192" s="1277"/>
      <c r="Q1192" s="203">
        <v>0</v>
      </c>
      <c r="R1192" s="204">
        <f>Q1192</f>
        <v>0</v>
      </c>
      <c r="T1192" s="1278"/>
      <c r="U1192" s="1279"/>
    </row>
    <row r="1193" spans="1:21">
      <c r="A1193" s="192"/>
      <c r="B1193" s="1277" t="e">
        <f>med</f>
        <v>#NAME?</v>
      </c>
      <c r="C1193" s="1277"/>
      <c r="D1193" s="1277"/>
      <c r="E1193" s="1277"/>
      <c r="F1193" s="1277"/>
      <c r="G1193" s="1277"/>
      <c r="H1193" s="1277"/>
      <c r="I1193" s="1277"/>
      <c r="J1193" s="1277"/>
      <c r="K1193" s="1277"/>
      <c r="L1193" s="1277"/>
      <c r="M1193" s="1277"/>
      <c r="N1193" s="1277"/>
      <c r="O1193" s="1277"/>
      <c r="P1193" s="205" t="e">
        <f>N1190</f>
        <v>#REF!</v>
      </c>
      <c r="Q1193" s="203" t="e">
        <f>P1193</f>
        <v>#REF!</v>
      </c>
      <c r="R1193" s="204" t="e">
        <f>Q1193+R1192</f>
        <v>#REF!</v>
      </c>
      <c r="T1193" s="1278"/>
      <c r="U1193" s="1279"/>
    </row>
    <row r="1194" spans="1:21" ht="18" hidden="1" customHeight="1">
      <c r="A1194" s="187">
        <f>'[2]PLANILHA DE MEDIÇÃO'!A178</f>
        <v>0</v>
      </c>
      <c r="B1194" s="1275" t="e">
        <f>IF(A1194="","",VLOOKUP($A1194,'[2]FDE-JUNHO-08'!$A$6:$D$3537,2,FALSE()))</f>
        <v>#N/A</v>
      </c>
      <c r="C1194" s="1275"/>
      <c r="D1194" s="1275"/>
      <c r="E1194" s="1275"/>
      <c r="F1194" s="1275"/>
      <c r="G1194" s="1275"/>
      <c r="H1194" s="1275"/>
      <c r="I1194" s="1275"/>
      <c r="J1194" s="1275"/>
      <c r="K1194" s="1275"/>
      <c r="L1194" s="1275"/>
      <c r="M1194" s="1275"/>
      <c r="N1194" s="1275"/>
      <c r="O1194" s="1275"/>
      <c r="P1194" s="188" t="e">
        <f>IF(A1194="","",VLOOKUP($A1194,'[2]FDE-JUNHO-08'!$A$6:$D$3537,3,FALSE()))</f>
        <v>#N/A</v>
      </c>
      <c r="Q1194" s="189" t="s">
        <v>1205</v>
      </c>
      <c r="R1194" s="189" t="s">
        <v>1206</v>
      </c>
      <c r="T1194" s="190"/>
      <c r="U1194" s="191"/>
    </row>
    <row r="1195" spans="1:21" ht="12.75" hidden="1" customHeight="1">
      <c r="A1195" s="192"/>
      <c r="B1195" s="1281"/>
      <c r="C1195" s="1281"/>
      <c r="D1195" s="1281"/>
      <c r="E1195" s="1281"/>
      <c r="F1195" s="1281"/>
      <c r="G1195" s="1281"/>
      <c r="H1195" s="1281"/>
      <c r="I1195" s="1281"/>
      <c r="J1195" s="1281"/>
      <c r="K1195" s="1281"/>
      <c r="L1195" s="1281"/>
      <c r="M1195" s="1281"/>
      <c r="N1195" s="1281"/>
      <c r="O1195" s="1281"/>
      <c r="P1195" s="193"/>
      <c r="Q1195" s="194"/>
      <c r="R1195" s="194"/>
      <c r="T1195" s="190"/>
      <c r="U1195" s="191"/>
    </row>
    <row r="1196" spans="1:21" hidden="1">
      <c r="A1196" s="192"/>
      <c r="B1196" s="195"/>
      <c r="C1196" s="196"/>
      <c r="D1196" s="197"/>
      <c r="E1196" s="198"/>
      <c r="F1196" s="197"/>
      <c r="G1196" s="198"/>
      <c r="H1196" s="197"/>
      <c r="I1196" s="207"/>
      <c r="J1196" s="207"/>
      <c r="K1196" s="208"/>
      <c r="L1196" s="209"/>
      <c r="M1196" s="209"/>
      <c r="N1196" s="209"/>
      <c r="O1196" s="155"/>
      <c r="P1196" s="193"/>
      <c r="Q1196" s="200"/>
      <c r="R1196" s="194"/>
      <c r="T1196" s="190"/>
      <c r="U1196" s="191"/>
    </row>
    <row r="1197" spans="1:21" hidden="1">
      <c r="A1197" s="192"/>
      <c r="B1197" s="195"/>
      <c r="C1197" s="196"/>
      <c r="D1197" s="197"/>
      <c r="E1197" s="198"/>
      <c r="F1197" s="197"/>
      <c r="G1197" s="198"/>
      <c r="H1197" s="197"/>
      <c r="I1197" s="198"/>
      <c r="J1197" s="197"/>
      <c r="K1197" s="198"/>
      <c r="L1197" s="199"/>
      <c r="M1197" s="199"/>
      <c r="N1197" s="201"/>
      <c r="O1197" s="202"/>
      <c r="P1197" s="193"/>
      <c r="Q1197" s="200"/>
      <c r="R1197" s="194"/>
      <c r="T1197" s="190"/>
      <c r="U1197" s="191"/>
    </row>
    <row r="1198" spans="1:21" hidden="1">
      <c r="A1198" s="192"/>
      <c r="B1198" s="195"/>
      <c r="C1198" s="196"/>
      <c r="D1198" s="197"/>
      <c r="E1198" s="198"/>
      <c r="F1198" s="197"/>
      <c r="G1198" s="198"/>
      <c r="H1198" s="197"/>
      <c r="I1198" s="198"/>
      <c r="J1198" s="197"/>
      <c r="K1198" s="198"/>
      <c r="L1198" s="199" t="s">
        <v>1140</v>
      </c>
      <c r="M1198" s="199" t="s">
        <v>1208</v>
      </c>
      <c r="N1198" s="199">
        <f>SUM(N1197:N1197)</f>
        <v>0</v>
      </c>
      <c r="O1198" s="155" t="e">
        <f>P1194</f>
        <v>#N/A</v>
      </c>
      <c r="P1198" s="193"/>
      <c r="Q1198" s="200"/>
      <c r="R1198" s="194"/>
      <c r="T1198" s="190"/>
      <c r="U1198" s="191"/>
    </row>
    <row r="1199" spans="1:21" hidden="1">
      <c r="A1199" s="192"/>
      <c r="B1199" s="195"/>
      <c r="C1199" s="196"/>
      <c r="D1199" s="197"/>
      <c r="E1199" s="198"/>
      <c r="F1199" s="197"/>
      <c r="G1199" s="198"/>
      <c r="H1199" s="197"/>
      <c r="I1199" s="198"/>
      <c r="J1199" s="197"/>
      <c r="K1199" s="198"/>
      <c r="L1199" s="199"/>
      <c r="M1199" s="199"/>
      <c r="N1199" s="199"/>
      <c r="O1199" s="155"/>
      <c r="P1199" s="193"/>
      <c r="Q1199" s="200"/>
      <c r="R1199" s="194"/>
      <c r="T1199" s="190"/>
      <c r="U1199" s="191"/>
    </row>
    <row r="1200" spans="1:21" ht="13.5" hidden="1" customHeight="1">
      <c r="A1200" s="192"/>
      <c r="B1200" s="1277" t="s">
        <v>1209</v>
      </c>
      <c r="C1200" s="1277"/>
      <c r="D1200" s="1277"/>
      <c r="E1200" s="1277"/>
      <c r="F1200" s="1277"/>
      <c r="G1200" s="1277"/>
      <c r="H1200" s="1277"/>
      <c r="I1200" s="1277"/>
      <c r="J1200" s="1277"/>
      <c r="K1200" s="1277"/>
      <c r="L1200" s="1277"/>
      <c r="M1200" s="1277"/>
      <c r="N1200" s="1277"/>
      <c r="O1200" s="1277"/>
      <c r="P1200" s="1277"/>
      <c r="Q1200" s="203">
        <v>0</v>
      </c>
      <c r="R1200" s="204">
        <f>Q1200</f>
        <v>0</v>
      </c>
      <c r="T1200" s="1278"/>
      <c r="U1200" s="1279"/>
    </row>
    <row r="1201" spans="1:21" ht="13.5" hidden="1" customHeight="1">
      <c r="A1201" s="192"/>
      <c r="B1201" s="1277" t="e">
        <f>med</f>
        <v>#NAME?</v>
      </c>
      <c r="C1201" s="1277"/>
      <c r="D1201" s="1277"/>
      <c r="E1201" s="1277"/>
      <c r="F1201" s="1277"/>
      <c r="G1201" s="1277"/>
      <c r="H1201" s="1277"/>
      <c r="I1201" s="1277"/>
      <c r="J1201" s="1277"/>
      <c r="K1201" s="1277"/>
      <c r="L1201" s="1277"/>
      <c r="M1201" s="1277"/>
      <c r="N1201" s="1277"/>
      <c r="O1201" s="1277"/>
      <c r="P1201" s="205">
        <f>N1198</f>
        <v>0</v>
      </c>
      <c r="Q1201" s="203">
        <f>P1201</f>
        <v>0</v>
      </c>
      <c r="R1201" s="204">
        <f>Q1201+R1200</f>
        <v>0</v>
      </c>
      <c r="T1201" s="1278"/>
      <c r="U1201" s="1279"/>
    </row>
    <row r="1202" spans="1:21" ht="18" customHeight="1">
      <c r="A1202" s="187" t="e">
        <f>#REF!</f>
        <v>#REF!</v>
      </c>
      <c r="B1202" s="1275" t="e">
        <f>IF(A1202="","",VLOOKUP($A1202,'[2]FDE-JUNHO-08'!$A$6:$D$3537,2,FALSE()))</f>
        <v>#REF!</v>
      </c>
      <c r="C1202" s="1275"/>
      <c r="D1202" s="1275"/>
      <c r="E1202" s="1275"/>
      <c r="F1202" s="1275"/>
      <c r="G1202" s="1275"/>
      <c r="H1202" s="1275"/>
      <c r="I1202" s="1275"/>
      <c r="J1202" s="1275"/>
      <c r="K1202" s="1275"/>
      <c r="L1202" s="1275"/>
      <c r="M1202" s="1275"/>
      <c r="N1202" s="1275"/>
      <c r="O1202" s="1275"/>
      <c r="P1202" s="188" t="e">
        <f>IF(A1202="","",VLOOKUP($A1202,'[2]FDE-JUNHO-08'!$A$6:$D$3537,3,FALSE()))</f>
        <v>#REF!</v>
      </c>
      <c r="Q1202" s="189" t="s">
        <v>1205</v>
      </c>
      <c r="R1202" s="189" t="s">
        <v>1206</v>
      </c>
      <c r="T1202" s="190"/>
      <c r="U1202" s="191"/>
    </row>
    <row r="1203" spans="1:21">
      <c r="A1203" s="192"/>
      <c r="B1203" s="212"/>
      <c r="C1203" s="212"/>
      <c r="D1203" s="212"/>
      <c r="E1203" s="212"/>
      <c r="F1203" s="199" t="s">
        <v>1242</v>
      </c>
      <c r="G1203" s="198"/>
      <c r="H1203" s="198" t="s">
        <v>1230</v>
      </c>
      <c r="I1203" s="198"/>
      <c r="J1203" s="198" t="s">
        <v>1231</v>
      </c>
      <c r="K1203" s="198"/>
      <c r="L1203" s="198"/>
      <c r="M1203" s="212"/>
      <c r="N1203" s="212"/>
      <c r="O1203" s="212"/>
      <c r="P1203" s="193"/>
      <c r="Q1203" s="200"/>
      <c r="R1203" s="194"/>
      <c r="T1203" s="190"/>
      <c r="U1203" s="191"/>
    </row>
    <row r="1204" spans="1:21">
      <c r="A1204" s="192"/>
      <c r="B1204" s="215" t="s">
        <v>1319</v>
      </c>
      <c r="C1204" s="196"/>
      <c r="D1204" s="197"/>
      <c r="E1204" s="198"/>
      <c r="F1204" s="197">
        <v>2</v>
      </c>
      <c r="G1204" s="198" t="s">
        <v>1227</v>
      </c>
      <c r="H1204" s="198">
        <v>0.95</v>
      </c>
      <c r="I1204" s="198" t="s">
        <v>1227</v>
      </c>
      <c r="J1204" s="198">
        <v>0.95</v>
      </c>
      <c r="K1204" s="198"/>
      <c r="L1204" s="198"/>
      <c r="M1204" s="199" t="s">
        <v>1208</v>
      </c>
      <c r="N1204" s="199">
        <f>F1204*H1204*J1204</f>
        <v>1.8049999999999999</v>
      </c>
      <c r="O1204" s="155"/>
      <c r="P1204" s="193"/>
      <c r="Q1204" s="200"/>
      <c r="R1204" s="194"/>
      <c r="T1204" s="190"/>
      <c r="U1204" s="191"/>
    </row>
    <row r="1205" spans="1:21">
      <c r="A1205" s="192"/>
      <c r="B1205" s="195"/>
      <c r="C1205" s="196"/>
      <c r="D1205" s="197"/>
      <c r="E1205" s="198"/>
      <c r="F1205" s="197"/>
      <c r="G1205" s="198"/>
      <c r="H1205" s="197"/>
      <c r="I1205" s="198"/>
      <c r="J1205" s="197"/>
      <c r="K1205" s="198"/>
      <c r="L1205" s="199"/>
      <c r="M1205" s="199"/>
      <c r="N1205" s="201"/>
      <c r="O1205" s="202"/>
      <c r="P1205" s="193"/>
      <c r="Q1205" s="194"/>
      <c r="R1205" s="194"/>
      <c r="T1205" s="190"/>
      <c r="U1205" s="191"/>
    </row>
    <row r="1206" spans="1:21">
      <c r="A1206" s="192"/>
      <c r="B1206" s="195"/>
      <c r="C1206" s="196"/>
      <c r="D1206" s="197"/>
      <c r="E1206" s="198"/>
      <c r="F1206" s="197"/>
      <c r="G1206" s="198"/>
      <c r="H1206" s="197"/>
      <c r="I1206" s="198"/>
      <c r="J1206" s="197"/>
      <c r="K1206" s="198"/>
      <c r="L1206" s="199" t="s">
        <v>1140</v>
      </c>
      <c r="M1206" s="199" t="s">
        <v>1208</v>
      </c>
      <c r="N1206" s="199">
        <f>SUM(N1204:N1205)</f>
        <v>1.8049999999999999</v>
      </c>
      <c r="O1206" s="155" t="e">
        <f>P1202</f>
        <v>#REF!</v>
      </c>
      <c r="P1206" s="193"/>
      <c r="Q1206" s="200"/>
      <c r="R1206" s="194"/>
      <c r="T1206" s="190"/>
      <c r="U1206" s="191"/>
    </row>
    <row r="1207" spans="1:21">
      <c r="A1207" s="192"/>
      <c r="B1207" s="195"/>
      <c r="C1207" s="196"/>
      <c r="D1207" s="197"/>
      <c r="E1207" s="198"/>
      <c r="F1207" s="197"/>
      <c r="G1207" s="198"/>
      <c r="H1207" s="197"/>
      <c r="I1207" s="198"/>
      <c r="J1207" s="197"/>
      <c r="K1207" s="198"/>
      <c r="L1207" s="199"/>
      <c r="M1207" s="199"/>
      <c r="N1207" s="199"/>
      <c r="O1207" s="155"/>
      <c r="P1207" s="193"/>
      <c r="Q1207" s="200"/>
      <c r="R1207" s="194"/>
      <c r="T1207" s="190"/>
      <c r="U1207" s="191"/>
    </row>
    <row r="1208" spans="1:21">
      <c r="A1208" s="192"/>
      <c r="B1208" s="1277" t="s">
        <v>1209</v>
      </c>
      <c r="C1208" s="1277"/>
      <c r="D1208" s="1277"/>
      <c r="E1208" s="1277"/>
      <c r="F1208" s="1277"/>
      <c r="G1208" s="1277"/>
      <c r="H1208" s="1277"/>
      <c r="I1208" s="1277"/>
      <c r="J1208" s="1277"/>
      <c r="K1208" s="1277"/>
      <c r="L1208" s="1277"/>
      <c r="M1208" s="1277"/>
      <c r="N1208" s="1277"/>
      <c r="O1208" s="1277"/>
      <c r="P1208" s="1277"/>
      <c r="Q1208" s="203">
        <v>0</v>
      </c>
      <c r="R1208" s="204">
        <f>Q1208</f>
        <v>0</v>
      </c>
      <c r="T1208" s="1278"/>
      <c r="U1208" s="1279"/>
    </row>
    <row r="1209" spans="1:21">
      <c r="A1209" s="192"/>
      <c r="B1209" s="1277" t="e">
        <f>med</f>
        <v>#NAME?</v>
      </c>
      <c r="C1209" s="1277"/>
      <c r="D1209" s="1277"/>
      <c r="E1209" s="1277"/>
      <c r="F1209" s="1277"/>
      <c r="G1209" s="1277"/>
      <c r="H1209" s="1277"/>
      <c r="I1209" s="1277"/>
      <c r="J1209" s="1277"/>
      <c r="K1209" s="1277"/>
      <c r="L1209" s="1277"/>
      <c r="M1209" s="1277"/>
      <c r="N1209" s="1277"/>
      <c r="O1209" s="1277"/>
      <c r="P1209" s="205">
        <f>N1206</f>
        <v>1.8049999999999999</v>
      </c>
      <c r="Q1209" s="203">
        <f>P1209</f>
        <v>1.8049999999999999</v>
      </c>
      <c r="R1209" s="204">
        <f>Q1209+R1208</f>
        <v>1.8049999999999999</v>
      </c>
      <c r="T1209" s="1278"/>
      <c r="U1209" s="1279"/>
    </row>
    <row r="1210" spans="1:21" ht="18" hidden="1" customHeight="1">
      <c r="A1210" s="187">
        <f>'[2]PLANILHA DE MEDIÇÃO'!A180</f>
        <v>0</v>
      </c>
      <c r="B1210" s="1275" t="e">
        <f>IF(A1210="","",VLOOKUP($A1210,'[2]FDE-JUNHO-08'!$A$6:$D$3537,2,FALSE()))</f>
        <v>#N/A</v>
      </c>
      <c r="C1210" s="1275"/>
      <c r="D1210" s="1275"/>
      <c r="E1210" s="1275"/>
      <c r="F1210" s="1275"/>
      <c r="G1210" s="1275"/>
      <c r="H1210" s="1275"/>
      <c r="I1210" s="1275"/>
      <c r="J1210" s="1275"/>
      <c r="K1210" s="1275"/>
      <c r="L1210" s="1275"/>
      <c r="M1210" s="1275"/>
      <c r="N1210" s="1275"/>
      <c r="O1210" s="1275"/>
      <c r="P1210" s="188" t="e">
        <f>IF(A1210="","",VLOOKUP($A1210,'[2]FDE-JUNHO-08'!$A$6:$D$3537,3,FALSE()))</f>
        <v>#N/A</v>
      </c>
      <c r="Q1210" s="189" t="s">
        <v>1205</v>
      </c>
      <c r="R1210" s="189" t="s">
        <v>1206</v>
      </c>
      <c r="T1210" s="190"/>
      <c r="U1210" s="191"/>
    </row>
    <row r="1211" spans="1:21" ht="12.75" hidden="1" customHeight="1">
      <c r="A1211" s="192"/>
      <c r="B1211" s="1281"/>
      <c r="C1211" s="1281"/>
      <c r="D1211" s="1281"/>
      <c r="E1211" s="1281"/>
      <c r="F1211" s="1281"/>
      <c r="G1211" s="1281"/>
      <c r="H1211" s="1281"/>
      <c r="I1211" s="1281"/>
      <c r="J1211" s="1281"/>
      <c r="K1211" s="1281"/>
      <c r="L1211" s="1281"/>
      <c r="M1211" s="1281"/>
      <c r="N1211" s="1281"/>
      <c r="O1211" s="1281"/>
      <c r="P1211" s="193"/>
      <c r="Q1211" s="194"/>
      <c r="R1211" s="194"/>
      <c r="T1211" s="190"/>
      <c r="U1211" s="191"/>
    </row>
    <row r="1212" spans="1:21" ht="17.25" hidden="1" customHeight="1">
      <c r="A1212" s="192"/>
      <c r="B1212" s="195"/>
      <c r="C1212" s="196"/>
      <c r="D1212" s="197"/>
      <c r="E1212" s="198"/>
      <c r="F1212" s="197"/>
      <c r="G1212" s="198"/>
      <c r="H1212" s="197"/>
      <c r="I1212" s="198"/>
      <c r="J1212" s="197"/>
      <c r="K1212" s="198"/>
      <c r="L1212" s="199"/>
      <c r="M1212" s="199"/>
      <c r="N1212" s="199"/>
      <c r="O1212" s="155"/>
      <c r="P1212" s="193"/>
      <c r="Q1212" s="200"/>
      <c r="R1212" s="194"/>
      <c r="T1212" s="190"/>
      <c r="U1212" s="191"/>
    </row>
    <row r="1213" spans="1:21" ht="17.25" hidden="1" customHeight="1">
      <c r="A1213" s="192"/>
      <c r="B1213" s="195"/>
      <c r="C1213" s="196"/>
      <c r="D1213" s="197"/>
      <c r="E1213" s="198"/>
      <c r="F1213" s="197"/>
      <c r="G1213" s="198"/>
      <c r="H1213" s="197"/>
      <c r="I1213" s="198"/>
      <c r="J1213" s="197"/>
      <c r="K1213" s="198"/>
      <c r="L1213" s="199"/>
      <c r="M1213" s="199"/>
      <c r="N1213" s="199"/>
      <c r="O1213" s="155"/>
      <c r="P1213" s="193"/>
      <c r="Q1213" s="200"/>
      <c r="R1213" s="194"/>
      <c r="T1213" s="190"/>
      <c r="U1213" s="191"/>
    </row>
    <row r="1214" spans="1:21" hidden="1">
      <c r="A1214" s="192"/>
      <c r="B1214" s="195"/>
      <c r="C1214" s="196"/>
      <c r="D1214" s="197"/>
      <c r="E1214" s="198"/>
      <c r="F1214" s="197"/>
      <c r="G1214" s="198"/>
      <c r="H1214" s="197"/>
      <c r="I1214" s="198"/>
      <c r="J1214" s="197"/>
      <c r="K1214" s="198"/>
      <c r="L1214" s="199"/>
      <c r="M1214" s="199"/>
      <c r="N1214" s="201"/>
      <c r="O1214" s="202"/>
      <c r="P1214" s="193"/>
      <c r="Q1214" s="200"/>
      <c r="R1214" s="194"/>
      <c r="T1214" s="190"/>
      <c r="U1214" s="191"/>
    </row>
    <row r="1215" spans="1:21" hidden="1">
      <c r="A1215" s="192"/>
      <c r="B1215" s="195"/>
      <c r="C1215" s="196"/>
      <c r="D1215" s="197"/>
      <c r="E1215" s="198"/>
      <c r="F1215" s="197"/>
      <c r="G1215" s="198"/>
      <c r="H1215" s="197"/>
      <c r="I1215" s="198"/>
      <c r="J1215" s="197"/>
      <c r="K1215" s="198"/>
      <c r="L1215" s="199" t="s">
        <v>1140</v>
      </c>
      <c r="M1215" s="199" t="s">
        <v>1208</v>
      </c>
      <c r="N1215" s="199">
        <f>SUM(N1212:N1214)</f>
        <v>0</v>
      </c>
      <c r="O1215" s="155" t="e">
        <f>P1210</f>
        <v>#N/A</v>
      </c>
      <c r="P1215" s="193"/>
      <c r="Q1215" s="200"/>
      <c r="R1215" s="194"/>
      <c r="T1215" s="190"/>
      <c r="U1215" s="191"/>
    </row>
    <row r="1216" spans="1:21" hidden="1">
      <c r="A1216" s="192"/>
      <c r="B1216" s="195"/>
      <c r="C1216" s="196"/>
      <c r="D1216" s="197"/>
      <c r="E1216" s="198"/>
      <c r="F1216" s="197"/>
      <c r="G1216" s="198"/>
      <c r="H1216" s="197"/>
      <c r="I1216" s="198"/>
      <c r="J1216" s="197"/>
      <c r="K1216" s="198"/>
      <c r="L1216" s="199"/>
      <c r="M1216" s="199"/>
      <c r="N1216" s="199"/>
      <c r="O1216" s="155"/>
      <c r="P1216" s="193"/>
      <c r="Q1216" s="200"/>
      <c r="R1216" s="194"/>
      <c r="T1216" s="190"/>
      <c r="U1216" s="191"/>
    </row>
    <row r="1217" spans="1:21" ht="13.5" hidden="1" customHeight="1">
      <c r="A1217" s="192"/>
      <c r="B1217" s="1277" t="s">
        <v>1209</v>
      </c>
      <c r="C1217" s="1277"/>
      <c r="D1217" s="1277"/>
      <c r="E1217" s="1277"/>
      <c r="F1217" s="1277"/>
      <c r="G1217" s="1277"/>
      <c r="H1217" s="1277"/>
      <c r="I1217" s="1277"/>
      <c r="J1217" s="1277"/>
      <c r="K1217" s="1277"/>
      <c r="L1217" s="1277"/>
      <c r="M1217" s="1277"/>
      <c r="N1217" s="1277"/>
      <c r="O1217" s="1277"/>
      <c r="P1217" s="1277"/>
      <c r="Q1217" s="203">
        <v>0</v>
      </c>
      <c r="R1217" s="204">
        <f>Q1217</f>
        <v>0</v>
      </c>
      <c r="T1217" s="1278"/>
      <c r="U1217" s="1279"/>
    </row>
    <row r="1218" spans="1:21" ht="13.5" hidden="1" customHeight="1">
      <c r="A1218" s="192"/>
      <c r="B1218" s="1277" t="e">
        <f>med</f>
        <v>#NAME?</v>
      </c>
      <c r="C1218" s="1277"/>
      <c r="D1218" s="1277"/>
      <c r="E1218" s="1277"/>
      <c r="F1218" s="1277"/>
      <c r="G1218" s="1277"/>
      <c r="H1218" s="1277"/>
      <c r="I1218" s="1277"/>
      <c r="J1218" s="1277"/>
      <c r="K1218" s="1277"/>
      <c r="L1218" s="1277"/>
      <c r="M1218" s="1277"/>
      <c r="N1218" s="1277"/>
      <c r="O1218" s="1277"/>
      <c r="P1218" s="205">
        <f>N1215</f>
        <v>0</v>
      </c>
      <c r="Q1218" s="203">
        <f>P1218</f>
        <v>0</v>
      </c>
      <c r="R1218" s="204">
        <f>Q1218+R1217</f>
        <v>0</v>
      </c>
      <c r="T1218" s="1278"/>
      <c r="U1218" s="1279"/>
    </row>
    <row r="1219" spans="1:21" ht="18" customHeight="1">
      <c r="A1219" s="187" t="e">
        <f>#REF!</f>
        <v>#REF!</v>
      </c>
      <c r="B1219" s="1275" t="e">
        <f>IF(A1219="","",VLOOKUP($A1219,'[2]FDE-JUNHO-08'!$A$6:$D$3537,2,FALSE()))</f>
        <v>#REF!</v>
      </c>
      <c r="C1219" s="1275"/>
      <c r="D1219" s="1275"/>
      <c r="E1219" s="1275"/>
      <c r="F1219" s="1275"/>
      <c r="G1219" s="1275"/>
      <c r="H1219" s="1275"/>
      <c r="I1219" s="1275"/>
      <c r="J1219" s="1275"/>
      <c r="K1219" s="1275"/>
      <c r="L1219" s="1275"/>
      <c r="M1219" s="1275"/>
      <c r="N1219" s="1275"/>
      <c r="O1219" s="1275"/>
      <c r="P1219" s="188" t="e">
        <f>IF(A1219="","",VLOOKUP($A1219,'[2]FDE-JUNHO-08'!$A$6:$D$3537,3,FALSE()))</f>
        <v>#REF!</v>
      </c>
      <c r="Q1219" s="189" t="s">
        <v>1205</v>
      </c>
      <c r="R1219" s="189" t="s">
        <v>1206</v>
      </c>
      <c r="T1219" s="190"/>
      <c r="U1219" s="191"/>
    </row>
    <row r="1220" spans="1:21">
      <c r="A1220" s="192"/>
      <c r="B1220" s="212"/>
      <c r="C1220" s="212"/>
      <c r="D1220" s="212"/>
      <c r="E1220" s="212"/>
      <c r="F1220" s="199" t="s">
        <v>1242</v>
      </c>
      <c r="G1220" s="198"/>
      <c r="H1220" s="198" t="s">
        <v>1230</v>
      </c>
      <c r="I1220" s="198"/>
      <c r="J1220" s="198" t="s">
        <v>1231</v>
      </c>
      <c r="K1220" s="198"/>
      <c r="L1220" s="198"/>
      <c r="M1220" s="212"/>
      <c r="N1220" s="212"/>
      <c r="O1220" s="212"/>
      <c r="P1220" s="193"/>
      <c r="Q1220" s="200"/>
      <c r="R1220" s="194"/>
      <c r="T1220" s="190"/>
      <c r="U1220" s="191"/>
    </row>
    <row r="1221" spans="1:21">
      <c r="A1221" s="192"/>
      <c r="B1221" s="215" t="s">
        <v>1319</v>
      </c>
      <c r="C1221" s="196"/>
      <c r="D1221" s="197"/>
      <c r="E1221" s="198"/>
      <c r="F1221" s="197">
        <v>2</v>
      </c>
      <c r="G1221" s="198" t="s">
        <v>1227</v>
      </c>
      <c r="H1221" s="198">
        <v>0.95</v>
      </c>
      <c r="I1221" s="198" t="s">
        <v>1227</v>
      </c>
      <c r="J1221" s="198">
        <v>0.15</v>
      </c>
      <c r="K1221" s="198"/>
      <c r="L1221" s="198"/>
      <c r="M1221" s="199" t="s">
        <v>1208</v>
      </c>
      <c r="N1221" s="199">
        <f>F1221*H1221*J1221</f>
        <v>0.28499999999999998</v>
      </c>
      <c r="O1221" s="155"/>
      <c r="P1221" s="193"/>
      <c r="Q1221" s="200"/>
      <c r="R1221" s="194"/>
      <c r="T1221" s="190"/>
      <c r="U1221" s="191"/>
    </row>
    <row r="1222" spans="1:21">
      <c r="A1222" s="192"/>
      <c r="B1222" s="195"/>
      <c r="C1222" s="196"/>
      <c r="D1222" s="197"/>
      <c r="E1222" s="198"/>
      <c r="F1222" s="197"/>
      <c r="G1222" s="198"/>
      <c r="H1222" s="197"/>
      <c r="I1222" s="198"/>
      <c r="J1222" s="197"/>
      <c r="K1222" s="198"/>
      <c r="L1222" s="199"/>
      <c r="M1222" s="199"/>
      <c r="N1222" s="201"/>
      <c r="O1222" s="202"/>
      <c r="P1222" s="193"/>
      <c r="Q1222" s="194"/>
      <c r="R1222" s="194"/>
      <c r="T1222" s="190"/>
      <c r="U1222" s="191"/>
    </row>
    <row r="1223" spans="1:21">
      <c r="A1223" s="192"/>
      <c r="B1223" s="195"/>
      <c r="C1223" s="196"/>
      <c r="D1223" s="197"/>
      <c r="E1223" s="198"/>
      <c r="F1223" s="197"/>
      <c r="G1223" s="198"/>
      <c r="H1223" s="197"/>
      <c r="I1223" s="198"/>
      <c r="J1223" s="197"/>
      <c r="K1223" s="198"/>
      <c r="L1223" s="199" t="s">
        <v>1140</v>
      </c>
      <c r="M1223" s="199" t="s">
        <v>1208</v>
      </c>
      <c r="N1223" s="199">
        <f>SUM(N1221:N1222)</f>
        <v>0.28499999999999998</v>
      </c>
      <c r="O1223" s="155" t="e">
        <f>P1219</f>
        <v>#REF!</v>
      </c>
      <c r="P1223" s="193"/>
      <c r="Q1223" s="200"/>
      <c r="R1223" s="194"/>
      <c r="T1223" s="190"/>
      <c r="U1223" s="191"/>
    </row>
    <row r="1224" spans="1:21">
      <c r="A1224" s="192"/>
      <c r="B1224" s="195"/>
      <c r="C1224" s="196"/>
      <c r="D1224" s="197"/>
      <c r="E1224" s="198"/>
      <c r="F1224" s="197"/>
      <c r="G1224" s="198"/>
      <c r="H1224" s="197"/>
      <c r="I1224" s="198"/>
      <c r="J1224" s="197"/>
      <c r="K1224" s="198"/>
      <c r="L1224" s="199"/>
      <c r="M1224" s="199"/>
      <c r="N1224" s="199"/>
      <c r="O1224" s="155"/>
      <c r="P1224" s="193"/>
      <c r="Q1224" s="200"/>
      <c r="R1224" s="194"/>
      <c r="T1224" s="190"/>
      <c r="U1224" s="191"/>
    </row>
    <row r="1225" spans="1:21">
      <c r="A1225" s="192"/>
      <c r="B1225" s="1277" t="s">
        <v>1209</v>
      </c>
      <c r="C1225" s="1277"/>
      <c r="D1225" s="1277"/>
      <c r="E1225" s="1277"/>
      <c r="F1225" s="1277"/>
      <c r="G1225" s="1277"/>
      <c r="H1225" s="1277"/>
      <c r="I1225" s="1277"/>
      <c r="J1225" s="1277"/>
      <c r="K1225" s="1277"/>
      <c r="L1225" s="1277"/>
      <c r="M1225" s="1277"/>
      <c r="N1225" s="1277"/>
      <c r="O1225" s="1277"/>
      <c r="P1225" s="1277"/>
      <c r="Q1225" s="203">
        <v>0</v>
      </c>
      <c r="R1225" s="204">
        <f>Q1225</f>
        <v>0</v>
      </c>
      <c r="T1225" s="1278"/>
      <c r="U1225" s="1279"/>
    </row>
    <row r="1226" spans="1:21">
      <c r="A1226" s="192"/>
      <c r="B1226" s="1277" t="e">
        <f>med</f>
        <v>#NAME?</v>
      </c>
      <c r="C1226" s="1277"/>
      <c r="D1226" s="1277"/>
      <c r="E1226" s="1277"/>
      <c r="F1226" s="1277"/>
      <c r="G1226" s="1277"/>
      <c r="H1226" s="1277"/>
      <c r="I1226" s="1277"/>
      <c r="J1226" s="1277"/>
      <c r="K1226" s="1277"/>
      <c r="L1226" s="1277"/>
      <c r="M1226" s="1277"/>
      <c r="N1226" s="1277"/>
      <c r="O1226" s="1277"/>
      <c r="P1226" s="205">
        <f>N1223</f>
        <v>0.28499999999999998</v>
      </c>
      <c r="Q1226" s="203">
        <f>P1226</f>
        <v>0.28499999999999998</v>
      </c>
      <c r="R1226" s="204">
        <f>Q1226+R1225</f>
        <v>0.28499999999999998</v>
      </c>
      <c r="T1226" s="1278"/>
      <c r="U1226" s="1279"/>
    </row>
    <row r="1227" spans="1:21" ht="18" customHeight="1">
      <c r="A1227" s="187" t="e">
        <f>#REF!</f>
        <v>#REF!</v>
      </c>
      <c r="B1227" s="1275" t="e">
        <f>IF(A1227="","",VLOOKUP($A1227,'[2]FDE-JUNHO-08'!$A$6:$D$3537,2,FALSE()))</f>
        <v>#REF!</v>
      </c>
      <c r="C1227" s="1275"/>
      <c r="D1227" s="1275"/>
      <c r="E1227" s="1275"/>
      <c r="F1227" s="1275"/>
      <c r="G1227" s="1275"/>
      <c r="H1227" s="1275"/>
      <c r="I1227" s="1275"/>
      <c r="J1227" s="1275"/>
      <c r="K1227" s="1275"/>
      <c r="L1227" s="1275"/>
      <c r="M1227" s="1275"/>
      <c r="N1227" s="1275"/>
      <c r="O1227" s="1275"/>
      <c r="P1227" s="188" t="e">
        <f>IF(A1227="","",VLOOKUP($A1227,'[2]FDE-JUNHO-08'!$A$6:$D$3537,3,FALSE()))</f>
        <v>#REF!</v>
      </c>
      <c r="Q1227" s="189" t="s">
        <v>1205</v>
      </c>
      <c r="R1227" s="189" t="s">
        <v>1206</v>
      </c>
      <c r="T1227" s="190"/>
      <c r="U1227" s="191"/>
    </row>
    <row r="1228" spans="1:21">
      <c r="A1228" s="192"/>
      <c r="B1228" s="212"/>
      <c r="C1228" s="212"/>
      <c r="D1228" s="212"/>
      <c r="E1228" s="212"/>
      <c r="F1228" s="199" t="s">
        <v>1242</v>
      </c>
      <c r="G1228" s="198"/>
      <c r="H1228" s="198" t="s">
        <v>1320</v>
      </c>
      <c r="I1228" s="198"/>
      <c r="J1228" s="198" t="s">
        <v>1230</v>
      </c>
      <c r="K1228" s="198"/>
      <c r="L1228" s="198" t="s">
        <v>1231</v>
      </c>
      <c r="M1228" s="212"/>
      <c r="N1228" s="212"/>
      <c r="O1228" s="212"/>
      <c r="P1228" s="193"/>
      <c r="Q1228" s="200"/>
      <c r="R1228" s="194"/>
      <c r="T1228" s="190"/>
      <c r="U1228" s="191"/>
    </row>
    <row r="1229" spans="1:21">
      <c r="A1229" s="192"/>
      <c r="B1229" s="215" t="s">
        <v>1319</v>
      </c>
      <c r="C1229" s="196"/>
      <c r="D1229" s="197"/>
      <c r="E1229" s="198"/>
      <c r="F1229" s="197">
        <v>2</v>
      </c>
      <c r="G1229" s="198" t="s">
        <v>1227</v>
      </c>
      <c r="H1229" s="198">
        <v>4</v>
      </c>
      <c r="I1229" s="198" t="s">
        <v>1227</v>
      </c>
      <c r="J1229" s="198">
        <v>0.8</v>
      </c>
      <c r="K1229" s="198" t="s">
        <v>1227</v>
      </c>
      <c r="L1229" s="198">
        <v>0.8</v>
      </c>
      <c r="M1229" s="199" t="s">
        <v>1208</v>
      </c>
      <c r="N1229" s="199">
        <f>F1229*H1229*J1229</f>
        <v>6.4</v>
      </c>
      <c r="O1229" s="155"/>
      <c r="P1229" s="193"/>
      <c r="Q1229" s="200"/>
      <c r="R1229" s="194"/>
      <c r="T1229" s="190"/>
      <c r="U1229" s="191"/>
    </row>
    <row r="1230" spans="1:21">
      <c r="A1230" s="192"/>
      <c r="B1230" s="195"/>
      <c r="C1230" s="196"/>
      <c r="D1230" s="197"/>
      <c r="E1230" s="198"/>
      <c r="F1230" s="197"/>
      <c r="G1230" s="198"/>
      <c r="H1230" s="197"/>
      <c r="I1230" s="198"/>
      <c r="J1230" s="197"/>
      <c r="K1230" s="198"/>
      <c r="L1230" s="199"/>
      <c r="M1230" s="199"/>
      <c r="N1230" s="201"/>
      <c r="O1230" s="202"/>
      <c r="P1230" s="193"/>
      <c r="Q1230" s="194"/>
      <c r="R1230" s="194"/>
      <c r="T1230" s="190"/>
      <c r="U1230" s="191"/>
    </row>
    <row r="1231" spans="1:21">
      <c r="A1231" s="192"/>
      <c r="B1231" s="195"/>
      <c r="C1231" s="196"/>
      <c r="D1231" s="197"/>
      <c r="E1231" s="198"/>
      <c r="F1231" s="197"/>
      <c r="G1231" s="198"/>
      <c r="H1231" s="197"/>
      <c r="I1231" s="198"/>
      <c r="J1231" s="197"/>
      <c r="K1231" s="198"/>
      <c r="L1231" s="199" t="s">
        <v>1140</v>
      </c>
      <c r="M1231" s="199" t="s">
        <v>1208</v>
      </c>
      <c r="N1231" s="199">
        <f>SUM(N1229:N1230)</f>
        <v>6.4</v>
      </c>
      <c r="O1231" s="155" t="e">
        <f>P1227</f>
        <v>#REF!</v>
      </c>
      <c r="P1231" s="193"/>
      <c r="Q1231" s="200"/>
      <c r="R1231" s="194"/>
      <c r="T1231" s="190"/>
      <c r="U1231" s="191"/>
    </row>
    <row r="1232" spans="1:21">
      <c r="A1232" s="192"/>
      <c r="B1232" s="195"/>
      <c r="C1232" s="196"/>
      <c r="D1232" s="197"/>
      <c r="E1232" s="198"/>
      <c r="F1232" s="197"/>
      <c r="G1232" s="198"/>
      <c r="H1232" s="197"/>
      <c r="I1232" s="198"/>
      <c r="J1232" s="197"/>
      <c r="K1232" s="198"/>
      <c r="L1232" s="199"/>
      <c r="M1232" s="199"/>
      <c r="N1232" s="199"/>
      <c r="O1232" s="155"/>
      <c r="P1232" s="193"/>
      <c r="Q1232" s="200"/>
      <c r="R1232" s="194"/>
      <c r="T1232" s="190"/>
      <c r="U1232" s="191"/>
    </row>
    <row r="1233" spans="1:21">
      <c r="A1233" s="192"/>
      <c r="B1233" s="1277" t="s">
        <v>1209</v>
      </c>
      <c r="C1233" s="1277"/>
      <c r="D1233" s="1277"/>
      <c r="E1233" s="1277"/>
      <c r="F1233" s="1277"/>
      <c r="G1233" s="1277"/>
      <c r="H1233" s="1277"/>
      <c r="I1233" s="1277"/>
      <c r="J1233" s="1277"/>
      <c r="K1233" s="1277"/>
      <c r="L1233" s="1277"/>
      <c r="M1233" s="1277"/>
      <c r="N1233" s="1277"/>
      <c r="O1233" s="1277"/>
      <c r="P1233" s="1277"/>
      <c r="Q1233" s="203">
        <v>0</v>
      </c>
      <c r="R1233" s="204">
        <f>Q1233</f>
        <v>0</v>
      </c>
      <c r="T1233" s="1278"/>
      <c r="U1233" s="1279"/>
    </row>
    <row r="1234" spans="1:21">
      <c r="A1234" s="206"/>
      <c r="B1234" s="1277" t="e">
        <f>med</f>
        <v>#NAME?</v>
      </c>
      <c r="C1234" s="1277"/>
      <c r="D1234" s="1277"/>
      <c r="E1234" s="1277"/>
      <c r="F1234" s="1277"/>
      <c r="G1234" s="1277"/>
      <c r="H1234" s="1277"/>
      <c r="I1234" s="1277"/>
      <c r="J1234" s="1277"/>
      <c r="K1234" s="1277"/>
      <c r="L1234" s="1277"/>
      <c r="M1234" s="1277"/>
      <c r="N1234" s="1277"/>
      <c r="O1234" s="1277"/>
      <c r="P1234" s="205">
        <f>N1231</f>
        <v>6.4</v>
      </c>
      <c r="Q1234" s="203">
        <f>P1234</f>
        <v>6.4</v>
      </c>
      <c r="R1234" s="204">
        <f>Q1234+R1233</f>
        <v>6.4</v>
      </c>
      <c r="T1234" s="1278"/>
      <c r="U1234" s="1279"/>
    </row>
    <row r="1235" spans="1:21" ht="18" customHeight="1">
      <c r="A1235" s="187" t="e">
        <f>#REF!</f>
        <v>#REF!</v>
      </c>
      <c r="B1235" s="1275" t="e">
        <f>IF(A1235="","",VLOOKUP($A1235,'[2]FDE-JUNHO-08'!$A$6:$D$3537,2,FALSE()))</f>
        <v>#REF!</v>
      </c>
      <c r="C1235" s="1275"/>
      <c r="D1235" s="1275"/>
      <c r="E1235" s="1275"/>
      <c r="F1235" s="1275"/>
      <c r="G1235" s="1275"/>
      <c r="H1235" s="1275"/>
      <c r="I1235" s="1275"/>
      <c r="J1235" s="1275"/>
      <c r="K1235" s="1275"/>
      <c r="L1235" s="1275"/>
      <c r="M1235" s="1275"/>
      <c r="N1235" s="1275"/>
      <c r="O1235" s="1275"/>
      <c r="P1235" s="188" t="e">
        <f>IF(A1235="","",VLOOKUP($A1235,'[2]FDE-JUNHO-08'!$A$6:$D$3537,3,FALSE()))</f>
        <v>#REF!</v>
      </c>
      <c r="Q1235" s="189" t="s">
        <v>1205</v>
      </c>
      <c r="R1235" s="189" t="s">
        <v>1206</v>
      </c>
      <c r="T1235" s="190"/>
      <c r="U1235" s="191"/>
    </row>
    <row r="1236" spans="1:21">
      <c r="A1236" s="192"/>
      <c r="B1236" s="212"/>
      <c r="C1236" s="212"/>
      <c r="D1236" s="212"/>
      <c r="E1236" s="212"/>
      <c r="F1236" s="199"/>
      <c r="G1236" s="198"/>
      <c r="H1236" s="199" t="s">
        <v>1242</v>
      </c>
      <c r="I1236" s="198"/>
      <c r="J1236" s="198" t="s">
        <v>1230</v>
      </c>
      <c r="K1236" s="198"/>
      <c r="L1236" s="198" t="s">
        <v>1231</v>
      </c>
      <c r="M1236" s="212"/>
      <c r="N1236" s="212"/>
      <c r="O1236" s="212"/>
      <c r="P1236" s="193"/>
      <c r="Q1236" s="194"/>
      <c r="R1236" s="194"/>
      <c r="T1236" s="190"/>
      <c r="U1236" s="191"/>
    </row>
    <row r="1237" spans="1:21">
      <c r="A1237" s="192"/>
      <c r="B1237" s="215" t="s">
        <v>1319</v>
      </c>
      <c r="C1237" s="196"/>
      <c r="D1237" s="197"/>
      <c r="E1237" s="198"/>
      <c r="F1237" s="197"/>
      <c r="G1237" s="198"/>
      <c r="H1237" s="197">
        <v>4</v>
      </c>
      <c r="I1237" s="198" t="s">
        <v>1227</v>
      </c>
      <c r="J1237" s="198">
        <v>0.8</v>
      </c>
      <c r="K1237" s="198" t="s">
        <v>1227</v>
      </c>
      <c r="L1237" s="198">
        <v>0.8</v>
      </c>
      <c r="M1237" s="199" t="s">
        <v>1208</v>
      </c>
      <c r="N1237" s="199">
        <f>H1237*J1237*L1237</f>
        <v>2.5600000000000005</v>
      </c>
      <c r="O1237" s="155"/>
      <c r="P1237" s="193"/>
      <c r="Q1237" s="200"/>
      <c r="R1237" s="194"/>
      <c r="T1237" s="190"/>
      <c r="U1237" s="191"/>
    </row>
    <row r="1238" spans="1:21">
      <c r="A1238" s="192"/>
      <c r="B1238" s="195"/>
      <c r="C1238" s="196"/>
      <c r="D1238" s="197"/>
      <c r="E1238" s="198"/>
      <c r="F1238" s="197"/>
      <c r="G1238" s="198"/>
      <c r="H1238" s="197"/>
      <c r="I1238" s="198"/>
      <c r="J1238" s="197"/>
      <c r="K1238" s="198"/>
      <c r="L1238" s="199"/>
      <c r="M1238" s="199"/>
      <c r="N1238" s="201"/>
      <c r="O1238" s="202"/>
      <c r="P1238" s="193"/>
      <c r="Q1238" s="200"/>
      <c r="R1238" s="194"/>
      <c r="T1238" s="190"/>
      <c r="U1238" s="191"/>
    </row>
    <row r="1239" spans="1:21">
      <c r="A1239" s="192"/>
      <c r="B1239" s="195"/>
      <c r="C1239" s="196"/>
      <c r="D1239" s="197"/>
      <c r="E1239" s="198"/>
      <c r="F1239" s="197"/>
      <c r="G1239" s="198"/>
      <c r="H1239" s="197"/>
      <c r="I1239" s="198"/>
      <c r="J1239" s="197"/>
      <c r="K1239" s="198"/>
      <c r="L1239" s="199" t="s">
        <v>1140</v>
      </c>
      <c r="M1239" s="199" t="s">
        <v>1208</v>
      </c>
      <c r="N1239" s="199">
        <f>SUM(N1237:N1238)</f>
        <v>2.5600000000000005</v>
      </c>
      <c r="O1239" s="155" t="e">
        <f>P1235</f>
        <v>#REF!</v>
      </c>
      <c r="P1239" s="193"/>
      <c r="Q1239" s="200"/>
      <c r="R1239" s="194"/>
      <c r="T1239" s="190"/>
      <c r="U1239" s="191"/>
    </row>
    <row r="1240" spans="1:21">
      <c r="A1240" s="192"/>
      <c r="B1240" s="195"/>
      <c r="C1240" s="196"/>
      <c r="D1240" s="197"/>
      <c r="E1240" s="198"/>
      <c r="F1240" s="197"/>
      <c r="G1240" s="198"/>
      <c r="H1240" s="197"/>
      <c r="I1240" s="198"/>
      <c r="J1240" s="197"/>
      <c r="K1240" s="198"/>
      <c r="L1240" s="199"/>
      <c r="M1240" s="199"/>
      <c r="N1240" s="199"/>
      <c r="O1240" s="155"/>
      <c r="P1240" s="193"/>
      <c r="Q1240" s="200"/>
      <c r="R1240" s="194"/>
      <c r="T1240" s="190"/>
      <c r="U1240" s="191"/>
    </row>
    <row r="1241" spans="1:21">
      <c r="A1241" s="192"/>
      <c r="B1241" s="1277" t="s">
        <v>1209</v>
      </c>
      <c r="C1241" s="1277"/>
      <c r="D1241" s="1277"/>
      <c r="E1241" s="1277"/>
      <c r="F1241" s="1277"/>
      <c r="G1241" s="1277"/>
      <c r="H1241" s="1277"/>
      <c r="I1241" s="1277"/>
      <c r="J1241" s="1277"/>
      <c r="K1241" s="1277"/>
      <c r="L1241" s="1277"/>
      <c r="M1241" s="1277"/>
      <c r="N1241" s="1277"/>
      <c r="O1241" s="1277"/>
      <c r="P1241" s="1277"/>
      <c r="Q1241" s="203">
        <v>0</v>
      </c>
      <c r="R1241" s="204">
        <f>Q1241</f>
        <v>0</v>
      </c>
      <c r="T1241" s="1278"/>
      <c r="U1241" s="1279"/>
    </row>
    <row r="1242" spans="1:21">
      <c r="A1242" s="192"/>
      <c r="B1242" s="1277" t="e">
        <f>med</f>
        <v>#NAME?</v>
      </c>
      <c r="C1242" s="1277"/>
      <c r="D1242" s="1277"/>
      <c r="E1242" s="1277"/>
      <c r="F1242" s="1277"/>
      <c r="G1242" s="1277"/>
      <c r="H1242" s="1277"/>
      <c r="I1242" s="1277"/>
      <c r="J1242" s="1277"/>
      <c r="K1242" s="1277"/>
      <c r="L1242" s="1277"/>
      <c r="M1242" s="1277"/>
      <c r="N1242" s="1277"/>
      <c r="O1242" s="1277"/>
      <c r="P1242" s="205">
        <f>N1239</f>
        <v>2.5600000000000005</v>
      </c>
      <c r="Q1242" s="203">
        <f>P1242</f>
        <v>2.5600000000000005</v>
      </c>
      <c r="R1242" s="204">
        <f>Q1242+R1241</f>
        <v>2.5600000000000005</v>
      </c>
      <c r="T1242" s="1278"/>
      <c r="U1242" s="1279"/>
    </row>
    <row r="1243" spans="1:21" ht="18" customHeight="1">
      <c r="A1243" s="187" t="e">
        <f>#REF!</f>
        <v>#REF!</v>
      </c>
      <c r="B1243" s="1275" t="e">
        <f>IF(A1243="","",VLOOKUP($A1243,'[2]FDE-JUNHO-08'!$A$6:$D$3537,2,FALSE()))</f>
        <v>#REF!</v>
      </c>
      <c r="C1243" s="1275"/>
      <c r="D1243" s="1275"/>
      <c r="E1243" s="1275"/>
      <c r="F1243" s="1275"/>
      <c r="G1243" s="1275"/>
      <c r="H1243" s="1275"/>
      <c r="I1243" s="1275"/>
      <c r="J1243" s="1275"/>
      <c r="K1243" s="1275"/>
      <c r="L1243" s="1275"/>
      <c r="M1243" s="1275"/>
      <c r="N1243" s="1275"/>
      <c r="O1243" s="1275"/>
      <c r="P1243" s="188" t="e">
        <f>IF(A1243="","",VLOOKUP($A1243,'[2]FDE-JUNHO-08'!$A$6:$D$3537,3,FALSE()))</f>
        <v>#REF!</v>
      </c>
      <c r="Q1243" s="189" t="s">
        <v>1205</v>
      </c>
      <c r="R1243" s="189" t="s">
        <v>1206</v>
      </c>
      <c r="T1243" s="190"/>
      <c r="U1243" s="191"/>
    </row>
    <row r="1244" spans="1:21">
      <c r="A1244" s="192"/>
      <c r="B1244" s="1281"/>
      <c r="C1244" s="1281"/>
      <c r="D1244" s="1281"/>
      <c r="E1244" s="1281"/>
      <c r="F1244" s="1281"/>
      <c r="G1244" s="1281"/>
      <c r="H1244" s="1281"/>
      <c r="I1244" s="1281"/>
      <c r="J1244" s="1281"/>
      <c r="K1244" s="1281"/>
      <c r="L1244" s="1281"/>
      <c r="M1244" s="1281"/>
      <c r="N1244" s="1281"/>
      <c r="O1244" s="1281"/>
      <c r="P1244" s="193"/>
      <c r="Q1244" s="194"/>
      <c r="R1244" s="194"/>
      <c r="T1244" s="190"/>
      <c r="U1244" s="191"/>
    </row>
    <row r="1245" spans="1:21">
      <c r="A1245" s="192"/>
      <c r="B1245" s="195" t="s">
        <v>1321</v>
      </c>
      <c r="C1245" s="196"/>
      <c r="D1245" s="197"/>
      <c r="E1245" s="198"/>
      <c r="F1245" s="197"/>
      <c r="G1245" s="198"/>
      <c r="H1245" s="197"/>
      <c r="I1245" s="198"/>
      <c r="J1245" s="197"/>
      <c r="K1245" s="198"/>
      <c r="L1245" s="199"/>
      <c r="M1245" s="199" t="s">
        <v>1208</v>
      </c>
      <c r="N1245" s="199">
        <v>1</v>
      </c>
      <c r="O1245" s="155"/>
      <c r="P1245" s="193"/>
      <c r="Q1245" s="200"/>
      <c r="R1245" s="194"/>
      <c r="T1245" s="190"/>
      <c r="U1245" s="191"/>
    </row>
    <row r="1246" spans="1:21">
      <c r="A1246" s="192"/>
      <c r="B1246" s="195"/>
      <c r="C1246" s="196"/>
      <c r="D1246" s="197"/>
      <c r="E1246" s="198"/>
      <c r="F1246" s="197"/>
      <c r="G1246" s="198"/>
      <c r="H1246" s="197"/>
      <c r="I1246" s="198"/>
      <c r="J1246" s="197"/>
      <c r="K1246" s="198"/>
      <c r="L1246" s="199"/>
      <c r="M1246" s="199"/>
      <c r="N1246" s="201"/>
      <c r="O1246" s="202"/>
      <c r="P1246" s="193"/>
      <c r="Q1246" s="200"/>
      <c r="R1246" s="194"/>
      <c r="T1246" s="190"/>
      <c r="U1246" s="191"/>
    </row>
    <row r="1247" spans="1:21">
      <c r="A1247" s="192"/>
      <c r="B1247" s="195"/>
      <c r="C1247" s="196"/>
      <c r="D1247" s="197"/>
      <c r="E1247" s="198"/>
      <c r="F1247" s="197"/>
      <c r="G1247" s="198"/>
      <c r="H1247" s="197"/>
      <c r="I1247" s="198"/>
      <c r="J1247" s="197"/>
      <c r="K1247" s="198"/>
      <c r="L1247" s="199" t="s">
        <v>1140</v>
      </c>
      <c r="M1247" s="199" t="s">
        <v>1208</v>
      </c>
      <c r="N1247" s="199">
        <f>SUM(N1245:N1246)</f>
        <v>1</v>
      </c>
      <c r="O1247" s="155" t="e">
        <f>P1243</f>
        <v>#REF!</v>
      </c>
      <c r="P1247" s="193"/>
      <c r="Q1247" s="200"/>
      <c r="R1247" s="194"/>
      <c r="T1247" s="190"/>
      <c r="U1247" s="191"/>
    </row>
    <row r="1248" spans="1:21">
      <c r="A1248" s="192"/>
      <c r="B1248" s="195"/>
      <c r="C1248" s="196"/>
      <c r="D1248" s="197"/>
      <c r="E1248" s="198"/>
      <c r="F1248" s="197"/>
      <c r="G1248" s="198"/>
      <c r="H1248" s="197"/>
      <c r="I1248" s="198"/>
      <c r="J1248" s="197"/>
      <c r="K1248" s="198"/>
      <c r="L1248" s="199"/>
      <c r="M1248" s="199"/>
      <c r="N1248" s="199"/>
      <c r="O1248" s="155"/>
      <c r="P1248" s="193"/>
      <c r="Q1248" s="200"/>
      <c r="R1248" s="194"/>
      <c r="T1248" s="190"/>
      <c r="U1248" s="191"/>
    </row>
    <row r="1249" spans="1:21">
      <c r="A1249" s="192"/>
      <c r="B1249" s="1277" t="s">
        <v>1209</v>
      </c>
      <c r="C1249" s="1277"/>
      <c r="D1249" s="1277"/>
      <c r="E1249" s="1277"/>
      <c r="F1249" s="1277"/>
      <c r="G1249" s="1277"/>
      <c r="H1249" s="1277"/>
      <c r="I1249" s="1277"/>
      <c r="J1249" s="1277"/>
      <c r="K1249" s="1277"/>
      <c r="L1249" s="1277"/>
      <c r="M1249" s="1277"/>
      <c r="N1249" s="1277"/>
      <c r="O1249" s="1277"/>
      <c r="P1249" s="1277"/>
      <c r="Q1249" s="203">
        <v>0</v>
      </c>
      <c r="R1249" s="204">
        <f>Q1249</f>
        <v>0</v>
      </c>
      <c r="T1249" s="1278"/>
      <c r="U1249" s="1279"/>
    </row>
    <row r="1250" spans="1:21">
      <c r="A1250" s="192"/>
      <c r="B1250" s="1277" t="e">
        <f>med</f>
        <v>#NAME?</v>
      </c>
      <c r="C1250" s="1277"/>
      <c r="D1250" s="1277"/>
      <c r="E1250" s="1277"/>
      <c r="F1250" s="1277"/>
      <c r="G1250" s="1277"/>
      <c r="H1250" s="1277"/>
      <c r="I1250" s="1277"/>
      <c r="J1250" s="1277"/>
      <c r="K1250" s="1277"/>
      <c r="L1250" s="1277"/>
      <c r="M1250" s="1277"/>
      <c r="N1250" s="1277"/>
      <c r="O1250" s="1277"/>
      <c r="P1250" s="205">
        <f>N1247</f>
        <v>1</v>
      </c>
      <c r="Q1250" s="203">
        <f>P1250</f>
        <v>1</v>
      </c>
      <c r="R1250" s="204">
        <f>Q1250+R1249</f>
        <v>1</v>
      </c>
      <c r="T1250" s="1278"/>
      <c r="U1250" s="1279"/>
    </row>
    <row r="1251" spans="1:21" ht="18" customHeight="1">
      <c r="A1251" s="187" t="e">
        <f>#REF!</f>
        <v>#REF!</v>
      </c>
      <c r="B1251" s="1275" t="e">
        <f>IF(A1251="","",VLOOKUP($A1251,'[2]FDE-JUNHO-08'!$A$6:$D$3537,2,FALSE()))</f>
        <v>#REF!</v>
      </c>
      <c r="C1251" s="1275"/>
      <c r="D1251" s="1275"/>
      <c r="E1251" s="1275"/>
      <c r="F1251" s="1275"/>
      <c r="G1251" s="1275"/>
      <c r="H1251" s="1275"/>
      <c r="I1251" s="1275"/>
      <c r="J1251" s="1275"/>
      <c r="K1251" s="1275"/>
      <c r="L1251" s="1275"/>
      <c r="M1251" s="1275"/>
      <c r="N1251" s="1275"/>
      <c r="O1251" s="1275"/>
      <c r="P1251" s="188" t="e">
        <f>IF(A1251="","",VLOOKUP($A1251,'[2]FDE-JUNHO-08'!$A$6:$D$3537,3,FALSE()))</f>
        <v>#REF!</v>
      </c>
      <c r="Q1251" s="189" t="s">
        <v>1205</v>
      </c>
      <c r="R1251" s="189" t="s">
        <v>1206</v>
      </c>
      <c r="T1251" s="190"/>
      <c r="U1251" s="191"/>
    </row>
    <row r="1252" spans="1:21">
      <c r="A1252" s="192"/>
      <c r="B1252" s="1281"/>
      <c r="C1252" s="1281"/>
      <c r="D1252" s="1281"/>
      <c r="E1252" s="1281"/>
      <c r="F1252" s="1281"/>
      <c r="G1252" s="1281"/>
      <c r="H1252" s="1281"/>
      <c r="I1252" s="1281"/>
      <c r="J1252" s="1281"/>
      <c r="K1252" s="1281"/>
      <c r="L1252" s="1281"/>
      <c r="M1252" s="1281"/>
      <c r="N1252" s="1281"/>
      <c r="O1252" s="1281"/>
      <c r="P1252" s="193"/>
      <c r="Q1252" s="194"/>
      <c r="R1252" s="194"/>
      <c r="T1252" s="190"/>
      <c r="U1252" s="191"/>
    </row>
    <row r="1253" spans="1:21">
      <c r="A1253" s="192"/>
      <c r="B1253" s="195" t="s">
        <v>1322</v>
      </c>
      <c r="C1253" s="196"/>
      <c r="D1253" s="197"/>
      <c r="E1253" s="198"/>
      <c r="F1253" s="197"/>
      <c r="G1253" s="198"/>
      <c r="H1253" s="197"/>
      <c r="I1253" s="198"/>
      <c r="J1253" s="197"/>
      <c r="K1253" s="198"/>
      <c r="L1253" s="199"/>
      <c r="M1253" s="199" t="s">
        <v>1208</v>
      </c>
      <c r="N1253" s="199">
        <v>6</v>
      </c>
      <c r="O1253" s="155"/>
      <c r="P1253" s="193"/>
      <c r="Q1253" s="200"/>
      <c r="R1253" s="194"/>
      <c r="T1253" s="190"/>
      <c r="U1253" s="191"/>
    </row>
    <row r="1254" spans="1:21">
      <c r="A1254" s="192"/>
      <c r="B1254" s="195"/>
      <c r="C1254" s="196"/>
      <c r="D1254" s="197"/>
      <c r="E1254" s="198"/>
      <c r="F1254" s="197"/>
      <c r="G1254" s="198"/>
      <c r="H1254" s="197"/>
      <c r="I1254" s="198"/>
      <c r="J1254" s="197"/>
      <c r="K1254" s="198"/>
      <c r="L1254" s="199"/>
      <c r="M1254" s="199"/>
      <c r="N1254" s="201"/>
      <c r="O1254" s="202"/>
      <c r="P1254" s="193"/>
      <c r="Q1254" s="200"/>
      <c r="R1254" s="194"/>
      <c r="T1254" s="190"/>
      <c r="U1254" s="191"/>
    </row>
    <row r="1255" spans="1:21">
      <c r="A1255" s="192"/>
      <c r="B1255" s="195"/>
      <c r="C1255" s="196"/>
      <c r="D1255" s="197"/>
      <c r="E1255" s="198"/>
      <c r="F1255" s="197"/>
      <c r="G1255" s="198"/>
      <c r="H1255" s="197"/>
      <c r="I1255" s="198"/>
      <c r="J1255" s="197"/>
      <c r="K1255" s="198"/>
      <c r="L1255" s="199" t="s">
        <v>1140</v>
      </c>
      <c r="M1255" s="199" t="s">
        <v>1208</v>
      </c>
      <c r="N1255" s="199">
        <f>SUM(N1253:N1254)</f>
        <v>6</v>
      </c>
      <c r="O1255" s="155" t="e">
        <f>P1251</f>
        <v>#REF!</v>
      </c>
      <c r="P1255" s="193"/>
      <c r="Q1255" s="200"/>
      <c r="R1255" s="194"/>
      <c r="T1255" s="190"/>
      <c r="U1255" s="191"/>
    </row>
    <row r="1256" spans="1:21">
      <c r="A1256" s="192"/>
      <c r="B1256" s="195"/>
      <c r="C1256" s="196"/>
      <c r="D1256" s="197"/>
      <c r="E1256" s="198"/>
      <c r="F1256" s="197"/>
      <c r="G1256" s="198"/>
      <c r="H1256" s="197"/>
      <c r="I1256" s="198"/>
      <c r="J1256" s="197"/>
      <c r="K1256" s="198"/>
      <c r="L1256" s="199"/>
      <c r="M1256" s="199"/>
      <c r="N1256" s="199"/>
      <c r="O1256" s="155"/>
      <c r="P1256" s="193"/>
      <c r="Q1256" s="200"/>
      <c r="R1256" s="194"/>
      <c r="T1256" s="190"/>
      <c r="U1256" s="191"/>
    </row>
    <row r="1257" spans="1:21">
      <c r="A1257" s="192"/>
      <c r="B1257" s="1277" t="s">
        <v>1209</v>
      </c>
      <c r="C1257" s="1277"/>
      <c r="D1257" s="1277"/>
      <c r="E1257" s="1277"/>
      <c r="F1257" s="1277"/>
      <c r="G1257" s="1277"/>
      <c r="H1257" s="1277"/>
      <c r="I1257" s="1277"/>
      <c r="J1257" s="1277"/>
      <c r="K1257" s="1277"/>
      <c r="L1257" s="1277"/>
      <c r="M1257" s="1277"/>
      <c r="N1257" s="1277"/>
      <c r="O1257" s="1277"/>
      <c r="P1257" s="1277"/>
      <c r="Q1257" s="203">
        <v>0</v>
      </c>
      <c r="R1257" s="204">
        <f>Q1257</f>
        <v>0</v>
      </c>
      <c r="T1257" s="1278"/>
      <c r="U1257" s="1279"/>
    </row>
    <row r="1258" spans="1:21">
      <c r="A1258" s="192"/>
      <c r="B1258" s="1277" t="e">
        <f>med</f>
        <v>#NAME?</v>
      </c>
      <c r="C1258" s="1277"/>
      <c r="D1258" s="1277"/>
      <c r="E1258" s="1277"/>
      <c r="F1258" s="1277"/>
      <c r="G1258" s="1277"/>
      <c r="H1258" s="1277"/>
      <c r="I1258" s="1277"/>
      <c r="J1258" s="1277"/>
      <c r="K1258" s="1277"/>
      <c r="L1258" s="1277"/>
      <c r="M1258" s="1277"/>
      <c r="N1258" s="1277"/>
      <c r="O1258" s="1277"/>
      <c r="P1258" s="205">
        <f>N1255</f>
        <v>6</v>
      </c>
      <c r="Q1258" s="203">
        <f>P1258</f>
        <v>6</v>
      </c>
      <c r="R1258" s="204">
        <f>Q1258+R1257</f>
        <v>6</v>
      </c>
      <c r="T1258" s="1278"/>
      <c r="U1258" s="1279"/>
    </row>
    <row r="1259" spans="1:21" ht="18" customHeight="1">
      <c r="A1259" s="187" t="e">
        <f>#REF!</f>
        <v>#REF!</v>
      </c>
      <c r="B1259" s="1275" t="e">
        <f>IF(A1259="","",VLOOKUP($A1259,'[2]FDE-JUNHO-08'!$A$6:$D$3537,2,FALSE()))</f>
        <v>#REF!</v>
      </c>
      <c r="C1259" s="1275"/>
      <c r="D1259" s="1275"/>
      <c r="E1259" s="1275"/>
      <c r="F1259" s="1275"/>
      <c r="G1259" s="1275"/>
      <c r="H1259" s="1275"/>
      <c r="I1259" s="1275"/>
      <c r="J1259" s="1275"/>
      <c r="K1259" s="1275"/>
      <c r="L1259" s="1275"/>
      <c r="M1259" s="1275"/>
      <c r="N1259" s="1275"/>
      <c r="O1259" s="1275"/>
      <c r="P1259" s="188" t="e">
        <f>IF(A1259="","",VLOOKUP($A1259,'[2]FDE-JUNHO-08'!$A$6:$D$3537,3,FALSE()))</f>
        <v>#REF!</v>
      </c>
      <c r="Q1259" s="189" t="s">
        <v>1205</v>
      </c>
      <c r="R1259" s="189" t="s">
        <v>1206</v>
      </c>
      <c r="T1259" s="190"/>
      <c r="U1259" s="191"/>
    </row>
    <row r="1260" spans="1:21">
      <c r="A1260" s="192"/>
      <c r="B1260" s="1281"/>
      <c r="C1260" s="1281"/>
      <c r="D1260" s="1281"/>
      <c r="E1260" s="1281"/>
      <c r="F1260" s="1281"/>
      <c r="G1260" s="1281"/>
      <c r="H1260" s="1281"/>
      <c r="I1260" s="1281"/>
      <c r="J1260" s="1281"/>
      <c r="K1260" s="1281"/>
      <c r="L1260" s="1281"/>
      <c r="M1260" s="1281"/>
      <c r="N1260" s="1281"/>
      <c r="O1260" s="1281"/>
      <c r="P1260" s="193"/>
      <c r="Q1260" s="194"/>
      <c r="R1260" s="194"/>
      <c r="T1260" s="190"/>
      <c r="U1260" s="191"/>
    </row>
    <row r="1261" spans="1:21">
      <c r="A1261" s="192"/>
      <c r="B1261" s="195" t="s">
        <v>1323</v>
      </c>
      <c r="C1261" s="196"/>
      <c r="D1261" s="197"/>
      <c r="E1261" s="198"/>
      <c r="F1261" s="197"/>
      <c r="G1261" s="198"/>
      <c r="H1261" s="197"/>
      <c r="I1261" s="198"/>
      <c r="J1261" s="197"/>
      <c r="K1261" s="198"/>
      <c r="L1261" s="199"/>
      <c r="M1261" s="199" t="s">
        <v>1208</v>
      </c>
      <c r="N1261" s="199">
        <v>1</v>
      </c>
      <c r="O1261" s="155"/>
      <c r="P1261" s="193"/>
      <c r="Q1261" s="200"/>
      <c r="R1261" s="194"/>
      <c r="T1261" s="190"/>
      <c r="U1261" s="191"/>
    </row>
    <row r="1262" spans="1:21">
      <c r="A1262" s="192"/>
      <c r="B1262" s="195"/>
      <c r="C1262" s="196"/>
      <c r="D1262" s="197"/>
      <c r="E1262" s="198"/>
      <c r="F1262" s="197"/>
      <c r="G1262" s="198"/>
      <c r="H1262" s="197"/>
      <c r="I1262" s="198"/>
      <c r="J1262" s="197"/>
      <c r="K1262" s="198"/>
      <c r="L1262" s="199"/>
      <c r="M1262" s="199"/>
      <c r="N1262" s="201"/>
      <c r="O1262" s="202"/>
      <c r="P1262" s="193"/>
      <c r="Q1262" s="200"/>
      <c r="R1262" s="194"/>
      <c r="T1262" s="190"/>
      <c r="U1262" s="191"/>
    </row>
    <row r="1263" spans="1:21">
      <c r="A1263" s="192"/>
      <c r="B1263" s="195"/>
      <c r="C1263" s="196"/>
      <c r="D1263" s="197"/>
      <c r="E1263" s="198"/>
      <c r="F1263" s="197"/>
      <c r="G1263" s="198"/>
      <c r="H1263" s="197"/>
      <c r="I1263" s="198"/>
      <c r="J1263" s="197"/>
      <c r="K1263" s="198"/>
      <c r="L1263" s="199" t="s">
        <v>1140</v>
      </c>
      <c r="M1263" s="199" t="s">
        <v>1208</v>
      </c>
      <c r="N1263" s="199">
        <f>SUM(N1261:N1262)</f>
        <v>1</v>
      </c>
      <c r="O1263" s="155" t="e">
        <f>P1259</f>
        <v>#REF!</v>
      </c>
      <c r="P1263" s="193"/>
      <c r="Q1263" s="200"/>
      <c r="R1263" s="194"/>
      <c r="T1263" s="190"/>
      <c r="U1263" s="191"/>
    </row>
    <row r="1264" spans="1:21">
      <c r="A1264" s="192"/>
      <c r="B1264" s="195"/>
      <c r="C1264" s="196"/>
      <c r="D1264" s="197"/>
      <c r="E1264" s="198"/>
      <c r="F1264" s="197"/>
      <c r="G1264" s="198"/>
      <c r="H1264" s="197"/>
      <c r="I1264" s="198"/>
      <c r="J1264" s="197"/>
      <c r="K1264" s="198"/>
      <c r="L1264" s="199"/>
      <c r="M1264" s="199"/>
      <c r="N1264" s="199"/>
      <c r="O1264" s="155"/>
      <c r="P1264" s="193"/>
      <c r="Q1264" s="200"/>
      <c r="R1264" s="194"/>
      <c r="T1264" s="190"/>
      <c r="U1264" s="191"/>
    </row>
    <row r="1265" spans="1:21">
      <c r="A1265" s="192"/>
      <c r="B1265" s="1277" t="s">
        <v>1209</v>
      </c>
      <c r="C1265" s="1277"/>
      <c r="D1265" s="1277"/>
      <c r="E1265" s="1277"/>
      <c r="F1265" s="1277"/>
      <c r="G1265" s="1277"/>
      <c r="H1265" s="1277"/>
      <c r="I1265" s="1277"/>
      <c r="J1265" s="1277"/>
      <c r="K1265" s="1277"/>
      <c r="L1265" s="1277"/>
      <c r="M1265" s="1277"/>
      <c r="N1265" s="1277"/>
      <c r="O1265" s="1277"/>
      <c r="P1265" s="1277"/>
      <c r="Q1265" s="203">
        <v>0</v>
      </c>
      <c r="R1265" s="204">
        <f>Q1265</f>
        <v>0</v>
      </c>
      <c r="T1265" s="1278"/>
      <c r="U1265" s="1279"/>
    </row>
    <row r="1266" spans="1:21">
      <c r="A1266" s="192"/>
      <c r="B1266" s="1277" t="e">
        <f>med</f>
        <v>#NAME?</v>
      </c>
      <c r="C1266" s="1277"/>
      <c r="D1266" s="1277"/>
      <c r="E1266" s="1277"/>
      <c r="F1266" s="1277"/>
      <c r="G1266" s="1277"/>
      <c r="H1266" s="1277"/>
      <c r="I1266" s="1277"/>
      <c r="J1266" s="1277"/>
      <c r="K1266" s="1277"/>
      <c r="L1266" s="1277"/>
      <c r="M1266" s="1277"/>
      <c r="N1266" s="1277"/>
      <c r="O1266" s="1277"/>
      <c r="P1266" s="205">
        <f>N1263</f>
        <v>1</v>
      </c>
      <c r="Q1266" s="203">
        <f>P1266</f>
        <v>1</v>
      </c>
      <c r="R1266" s="204">
        <f>Q1266+R1265</f>
        <v>1</v>
      </c>
      <c r="T1266" s="1278"/>
      <c r="U1266" s="1279"/>
    </row>
    <row r="1267" spans="1:21" ht="18" customHeight="1">
      <c r="A1267" s="187" t="e">
        <f>#REF!</f>
        <v>#REF!</v>
      </c>
      <c r="B1267" s="1275" t="e">
        <f>IF(A1267="","",VLOOKUP($A1267,'[2]FDE-JUNHO-08'!$A$6:$D$3537,2,FALSE()))</f>
        <v>#REF!</v>
      </c>
      <c r="C1267" s="1275"/>
      <c r="D1267" s="1275"/>
      <c r="E1267" s="1275"/>
      <c r="F1267" s="1275"/>
      <c r="G1267" s="1275"/>
      <c r="H1267" s="1275"/>
      <c r="I1267" s="1275"/>
      <c r="J1267" s="1275"/>
      <c r="K1267" s="1275"/>
      <c r="L1267" s="1275"/>
      <c r="M1267" s="1275"/>
      <c r="N1267" s="1275"/>
      <c r="O1267" s="1275"/>
      <c r="P1267" s="188" t="e">
        <f>IF(A1267="","",VLOOKUP($A1267,'[2]FDE-JUNHO-08'!$A$6:$D$3537,3,FALSE()))</f>
        <v>#REF!</v>
      </c>
      <c r="Q1267" s="189" t="s">
        <v>1205</v>
      </c>
      <c r="R1267" s="189" t="s">
        <v>1206</v>
      </c>
      <c r="T1267" s="190"/>
      <c r="U1267" s="191"/>
    </row>
    <row r="1268" spans="1:21">
      <c r="A1268" s="192"/>
      <c r="B1268" s="1281"/>
      <c r="C1268" s="1281"/>
      <c r="D1268" s="1281"/>
      <c r="E1268" s="1281"/>
      <c r="F1268" s="1281"/>
      <c r="G1268" s="1281"/>
      <c r="H1268" s="1281"/>
      <c r="I1268" s="1281"/>
      <c r="J1268" s="1281"/>
      <c r="K1268" s="1281"/>
      <c r="L1268" s="1281"/>
      <c r="M1268" s="1281"/>
      <c r="N1268" s="1281"/>
      <c r="O1268" s="1281"/>
      <c r="P1268" s="193"/>
      <c r="Q1268" s="194"/>
      <c r="R1268" s="194"/>
      <c r="T1268" s="190"/>
      <c r="U1268" s="191"/>
    </row>
    <row r="1269" spans="1:21">
      <c r="A1269" s="192"/>
      <c r="B1269" s="195" t="s">
        <v>1324</v>
      </c>
      <c r="C1269" s="196"/>
      <c r="D1269" s="197"/>
      <c r="E1269" s="198"/>
      <c r="F1269" s="197"/>
      <c r="G1269" s="198"/>
      <c r="H1269" s="197"/>
      <c r="I1269" s="198"/>
      <c r="J1269" s="197"/>
      <c r="K1269" s="198"/>
      <c r="L1269" s="199"/>
      <c r="M1269" s="199" t="s">
        <v>1208</v>
      </c>
      <c r="N1269" s="199">
        <v>3</v>
      </c>
      <c r="O1269" s="155"/>
      <c r="P1269" s="193"/>
      <c r="Q1269" s="200"/>
      <c r="R1269" s="194"/>
      <c r="T1269" s="190"/>
      <c r="U1269" s="191"/>
    </row>
    <row r="1270" spans="1:21">
      <c r="A1270" s="192"/>
      <c r="B1270" s="195"/>
      <c r="C1270" s="196"/>
      <c r="D1270" s="197"/>
      <c r="E1270" s="198"/>
      <c r="F1270" s="197"/>
      <c r="G1270" s="198"/>
      <c r="H1270" s="197"/>
      <c r="I1270" s="198"/>
      <c r="J1270" s="197"/>
      <c r="K1270" s="198"/>
      <c r="L1270" s="199"/>
      <c r="M1270" s="199"/>
      <c r="N1270" s="201"/>
      <c r="O1270" s="202"/>
      <c r="P1270" s="193"/>
      <c r="Q1270" s="200"/>
      <c r="R1270" s="194"/>
      <c r="T1270" s="190"/>
      <c r="U1270" s="191"/>
    </row>
    <row r="1271" spans="1:21">
      <c r="A1271" s="192"/>
      <c r="B1271" s="195"/>
      <c r="C1271" s="196"/>
      <c r="D1271" s="197"/>
      <c r="E1271" s="198"/>
      <c r="F1271" s="197"/>
      <c r="G1271" s="198"/>
      <c r="H1271" s="197"/>
      <c r="I1271" s="198"/>
      <c r="J1271" s="197"/>
      <c r="K1271" s="198"/>
      <c r="L1271" s="199" t="s">
        <v>1140</v>
      </c>
      <c r="M1271" s="199" t="s">
        <v>1208</v>
      </c>
      <c r="N1271" s="199">
        <f>SUM(N1269:N1270)</f>
        <v>3</v>
      </c>
      <c r="O1271" s="155" t="e">
        <f>P1267</f>
        <v>#REF!</v>
      </c>
      <c r="P1271" s="193"/>
      <c r="Q1271" s="200"/>
      <c r="R1271" s="194"/>
      <c r="T1271" s="190"/>
      <c r="U1271" s="191"/>
    </row>
    <row r="1272" spans="1:21">
      <c r="A1272" s="192"/>
      <c r="B1272" s="195"/>
      <c r="C1272" s="196"/>
      <c r="D1272" s="197"/>
      <c r="E1272" s="198"/>
      <c r="F1272" s="197"/>
      <c r="G1272" s="198"/>
      <c r="H1272" s="197"/>
      <c r="I1272" s="198"/>
      <c r="J1272" s="197"/>
      <c r="K1272" s="198"/>
      <c r="L1272" s="199"/>
      <c r="M1272" s="199"/>
      <c r="N1272" s="199"/>
      <c r="O1272" s="155"/>
      <c r="P1272" s="193"/>
      <c r="Q1272" s="200"/>
      <c r="R1272" s="194"/>
      <c r="T1272" s="190"/>
      <c r="U1272" s="191"/>
    </row>
    <row r="1273" spans="1:21">
      <c r="A1273" s="192"/>
      <c r="B1273" s="1277" t="s">
        <v>1209</v>
      </c>
      <c r="C1273" s="1277"/>
      <c r="D1273" s="1277"/>
      <c r="E1273" s="1277"/>
      <c r="F1273" s="1277"/>
      <c r="G1273" s="1277"/>
      <c r="H1273" s="1277"/>
      <c r="I1273" s="1277"/>
      <c r="J1273" s="1277"/>
      <c r="K1273" s="1277"/>
      <c r="L1273" s="1277"/>
      <c r="M1273" s="1277"/>
      <c r="N1273" s="1277"/>
      <c r="O1273" s="1277"/>
      <c r="P1273" s="1277"/>
      <c r="Q1273" s="203">
        <v>0</v>
      </c>
      <c r="R1273" s="204">
        <f>Q1273</f>
        <v>0</v>
      </c>
      <c r="T1273" s="1278"/>
      <c r="U1273" s="1279"/>
    </row>
    <row r="1274" spans="1:21">
      <c r="A1274" s="192"/>
      <c r="B1274" s="1277" t="e">
        <f>med</f>
        <v>#NAME?</v>
      </c>
      <c r="C1274" s="1277"/>
      <c r="D1274" s="1277"/>
      <c r="E1274" s="1277"/>
      <c r="F1274" s="1277"/>
      <c r="G1274" s="1277"/>
      <c r="H1274" s="1277"/>
      <c r="I1274" s="1277"/>
      <c r="J1274" s="1277"/>
      <c r="K1274" s="1277"/>
      <c r="L1274" s="1277"/>
      <c r="M1274" s="1277"/>
      <c r="N1274" s="1277"/>
      <c r="O1274" s="1277"/>
      <c r="P1274" s="205">
        <f>N1271</f>
        <v>3</v>
      </c>
      <c r="Q1274" s="203">
        <f>P1274</f>
        <v>3</v>
      </c>
      <c r="R1274" s="204">
        <f>Q1274+R1273</f>
        <v>3</v>
      </c>
      <c r="T1274" s="1278"/>
      <c r="U1274" s="1279"/>
    </row>
    <row r="1275" spans="1:21" ht="18" customHeight="1">
      <c r="A1275" s="187" t="e">
        <f>#REF!</f>
        <v>#REF!</v>
      </c>
      <c r="B1275" s="1275" t="e">
        <f>IF(A1275="","",VLOOKUP($A1275,'[2]FDE-JUNHO-08'!$A$6:$D$3537,2,FALSE()))</f>
        <v>#REF!</v>
      </c>
      <c r="C1275" s="1275"/>
      <c r="D1275" s="1275"/>
      <c r="E1275" s="1275"/>
      <c r="F1275" s="1275"/>
      <c r="G1275" s="1275"/>
      <c r="H1275" s="1275"/>
      <c r="I1275" s="1275"/>
      <c r="J1275" s="1275"/>
      <c r="K1275" s="1275"/>
      <c r="L1275" s="1275"/>
      <c r="M1275" s="1275"/>
      <c r="N1275" s="1275"/>
      <c r="O1275" s="1275"/>
      <c r="P1275" s="188" t="e">
        <f>IF(A1275="","",VLOOKUP($A1275,'[2]FDE-JUNHO-08'!$A$6:$D$3537,3,FALSE()))</f>
        <v>#REF!</v>
      </c>
      <c r="Q1275" s="189" t="s">
        <v>1205</v>
      </c>
      <c r="R1275" s="189" t="s">
        <v>1206</v>
      </c>
      <c r="T1275" s="190"/>
      <c r="U1275" s="191"/>
    </row>
    <row r="1276" spans="1:21">
      <c r="A1276" s="192"/>
      <c r="B1276" s="1281"/>
      <c r="C1276" s="1281"/>
      <c r="D1276" s="1281"/>
      <c r="E1276" s="1281"/>
      <c r="F1276" s="1281"/>
      <c r="G1276" s="1281"/>
      <c r="H1276" s="1281"/>
      <c r="I1276" s="1281"/>
      <c r="J1276" s="1281"/>
      <c r="K1276" s="1281"/>
      <c r="L1276" s="1281"/>
      <c r="M1276" s="1281"/>
      <c r="N1276" s="1281"/>
      <c r="O1276" s="1281"/>
      <c r="P1276" s="193"/>
      <c r="Q1276" s="194"/>
      <c r="R1276" s="194"/>
      <c r="T1276" s="190"/>
      <c r="U1276" s="191"/>
    </row>
    <row r="1277" spans="1:21">
      <c r="A1277" s="192"/>
      <c r="B1277" s="195" t="s">
        <v>1322</v>
      </c>
      <c r="C1277" s="196"/>
      <c r="D1277" s="197"/>
      <c r="E1277" s="198"/>
      <c r="F1277" s="197"/>
      <c r="G1277" s="198"/>
      <c r="H1277" s="197"/>
      <c r="I1277" s="198"/>
      <c r="J1277" s="197"/>
      <c r="K1277" s="198"/>
      <c r="L1277" s="199"/>
      <c r="M1277" s="199" t="s">
        <v>1208</v>
      </c>
      <c r="N1277" s="199">
        <v>1</v>
      </c>
      <c r="O1277" s="155"/>
      <c r="P1277" s="193"/>
      <c r="Q1277" s="200"/>
      <c r="R1277" s="194"/>
      <c r="T1277" s="190"/>
      <c r="U1277" s="191"/>
    </row>
    <row r="1278" spans="1:21">
      <c r="A1278" s="192"/>
      <c r="B1278" s="195"/>
      <c r="C1278" s="196"/>
      <c r="D1278" s="197"/>
      <c r="E1278" s="198"/>
      <c r="F1278" s="197"/>
      <c r="G1278" s="198"/>
      <c r="H1278" s="197"/>
      <c r="I1278" s="198"/>
      <c r="J1278" s="197"/>
      <c r="K1278" s="198"/>
      <c r="L1278" s="199"/>
      <c r="M1278" s="199"/>
      <c r="N1278" s="201"/>
      <c r="O1278" s="202"/>
      <c r="P1278" s="193"/>
      <c r="Q1278" s="200"/>
      <c r="R1278" s="194"/>
      <c r="T1278" s="190"/>
      <c r="U1278" s="191"/>
    </row>
    <row r="1279" spans="1:21">
      <c r="A1279" s="192"/>
      <c r="B1279" s="195"/>
      <c r="C1279" s="196"/>
      <c r="D1279" s="197"/>
      <c r="E1279" s="198"/>
      <c r="F1279" s="197"/>
      <c r="G1279" s="198"/>
      <c r="H1279" s="197"/>
      <c r="I1279" s="198"/>
      <c r="J1279" s="197"/>
      <c r="K1279" s="198"/>
      <c r="L1279" s="199" t="s">
        <v>1140</v>
      </c>
      <c r="M1279" s="199" t="s">
        <v>1208</v>
      </c>
      <c r="N1279" s="199">
        <f>SUM(N1277:N1278)</f>
        <v>1</v>
      </c>
      <c r="O1279" s="155" t="e">
        <f>P1275</f>
        <v>#REF!</v>
      </c>
      <c r="P1279" s="193"/>
      <c r="Q1279" s="200"/>
      <c r="R1279" s="194"/>
      <c r="T1279" s="190"/>
      <c r="U1279" s="191"/>
    </row>
    <row r="1280" spans="1:21">
      <c r="A1280" s="192"/>
      <c r="B1280" s="195"/>
      <c r="C1280" s="196"/>
      <c r="D1280" s="197"/>
      <c r="E1280" s="198"/>
      <c r="F1280" s="197"/>
      <c r="G1280" s="198"/>
      <c r="H1280" s="197"/>
      <c r="I1280" s="198"/>
      <c r="J1280" s="197"/>
      <c r="K1280" s="198"/>
      <c r="L1280" s="199"/>
      <c r="M1280" s="199"/>
      <c r="N1280" s="199"/>
      <c r="O1280" s="155"/>
      <c r="P1280" s="193"/>
      <c r="Q1280" s="200"/>
      <c r="R1280" s="194"/>
      <c r="T1280" s="190"/>
      <c r="U1280" s="191"/>
    </row>
    <row r="1281" spans="1:21">
      <c r="A1281" s="192"/>
      <c r="B1281" s="1277" t="s">
        <v>1209</v>
      </c>
      <c r="C1281" s="1277"/>
      <c r="D1281" s="1277"/>
      <c r="E1281" s="1277"/>
      <c r="F1281" s="1277"/>
      <c r="G1281" s="1277"/>
      <c r="H1281" s="1277"/>
      <c r="I1281" s="1277"/>
      <c r="J1281" s="1277"/>
      <c r="K1281" s="1277"/>
      <c r="L1281" s="1277"/>
      <c r="M1281" s="1277"/>
      <c r="N1281" s="1277"/>
      <c r="O1281" s="1277"/>
      <c r="P1281" s="1277"/>
      <c r="Q1281" s="203">
        <v>0</v>
      </c>
      <c r="R1281" s="204">
        <f>Q1281</f>
        <v>0</v>
      </c>
      <c r="T1281" s="1278"/>
      <c r="U1281" s="1279"/>
    </row>
    <row r="1282" spans="1:21">
      <c r="A1282" s="192"/>
      <c r="B1282" s="1277" t="e">
        <f>med</f>
        <v>#NAME?</v>
      </c>
      <c r="C1282" s="1277"/>
      <c r="D1282" s="1277"/>
      <c r="E1282" s="1277"/>
      <c r="F1282" s="1277"/>
      <c r="G1282" s="1277"/>
      <c r="H1282" s="1277"/>
      <c r="I1282" s="1277"/>
      <c r="J1282" s="1277"/>
      <c r="K1282" s="1277"/>
      <c r="L1282" s="1277"/>
      <c r="M1282" s="1277"/>
      <c r="N1282" s="1277"/>
      <c r="O1282" s="1277"/>
      <c r="P1282" s="205">
        <f>N1279</f>
        <v>1</v>
      </c>
      <c r="Q1282" s="203">
        <f>P1282</f>
        <v>1</v>
      </c>
      <c r="R1282" s="204">
        <f>Q1282+R1281</f>
        <v>1</v>
      </c>
      <c r="T1282" s="1278"/>
      <c r="U1282" s="1279"/>
    </row>
    <row r="1283" spans="1:21" ht="18" customHeight="1">
      <c r="A1283" s="187" t="e">
        <f>#REF!</f>
        <v>#REF!</v>
      </c>
      <c r="B1283" s="1275" t="e">
        <f>IF(A1283="","",VLOOKUP($A1283,'[2]FDE-JUNHO-08'!$A$6:$D$3537,2,FALSE()))</f>
        <v>#REF!</v>
      </c>
      <c r="C1283" s="1275"/>
      <c r="D1283" s="1275"/>
      <c r="E1283" s="1275"/>
      <c r="F1283" s="1275"/>
      <c r="G1283" s="1275"/>
      <c r="H1283" s="1275"/>
      <c r="I1283" s="1275"/>
      <c r="J1283" s="1275"/>
      <c r="K1283" s="1275"/>
      <c r="L1283" s="1275"/>
      <c r="M1283" s="1275"/>
      <c r="N1283" s="1275"/>
      <c r="O1283" s="1275"/>
      <c r="P1283" s="188" t="e">
        <f>IF(A1283="","",VLOOKUP($A1283,'[2]FDE-JUNHO-08'!$A$6:$D$3537,3,FALSE()))</f>
        <v>#REF!</v>
      </c>
      <c r="Q1283" s="189" t="s">
        <v>1205</v>
      </c>
      <c r="R1283" s="189" t="s">
        <v>1206</v>
      </c>
      <c r="T1283" s="190"/>
      <c r="U1283" s="191"/>
    </row>
    <row r="1284" spans="1:21">
      <c r="A1284" s="192"/>
      <c r="B1284" s="1281"/>
      <c r="C1284" s="1281"/>
      <c r="D1284" s="1281"/>
      <c r="E1284" s="1281"/>
      <c r="F1284" s="1281"/>
      <c r="G1284" s="1281"/>
      <c r="H1284" s="1281"/>
      <c r="I1284" s="1281"/>
      <c r="J1284" s="1281"/>
      <c r="K1284" s="1281"/>
      <c r="L1284" s="1281"/>
      <c r="M1284" s="1281"/>
      <c r="N1284" s="1281"/>
      <c r="O1284" s="1281"/>
      <c r="P1284" s="193"/>
      <c r="Q1284" s="194"/>
      <c r="R1284" s="194"/>
      <c r="T1284" s="190"/>
      <c r="U1284" s="191"/>
    </row>
    <row r="1285" spans="1:21">
      <c r="A1285" s="192"/>
      <c r="B1285" s="195" t="s">
        <v>1325</v>
      </c>
      <c r="C1285" s="196"/>
      <c r="D1285" s="197"/>
      <c r="E1285" s="198"/>
      <c r="F1285" s="197"/>
      <c r="G1285" s="198"/>
      <c r="H1285" s="197"/>
      <c r="I1285" s="198"/>
      <c r="J1285" s="197"/>
      <c r="K1285" s="198"/>
      <c r="L1285" s="199"/>
      <c r="M1285" s="199" t="s">
        <v>1208</v>
      </c>
      <c r="N1285" s="199">
        <v>2</v>
      </c>
      <c r="O1285" s="155"/>
      <c r="P1285" s="193"/>
      <c r="Q1285" s="200"/>
      <c r="R1285" s="194"/>
      <c r="T1285" s="190"/>
      <c r="U1285" s="191"/>
    </row>
    <row r="1286" spans="1:21">
      <c r="A1286" s="192"/>
      <c r="B1286" s="195"/>
      <c r="C1286" s="196"/>
      <c r="D1286" s="197"/>
      <c r="E1286" s="198"/>
      <c r="F1286" s="197"/>
      <c r="G1286" s="198"/>
      <c r="H1286" s="197"/>
      <c r="I1286" s="198"/>
      <c r="J1286" s="197"/>
      <c r="K1286" s="198"/>
      <c r="L1286" s="199"/>
      <c r="M1286" s="199"/>
      <c r="N1286" s="201"/>
      <c r="O1286" s="202"/>
      <c r="P1286" s="193"/>
      <c r="Q1286" s="200"/>
      <c r="R1286" s="194"/>
      <c r="T1286" s="190"/>
      <c r="U1286" s="191"/>
    </row>
    <row r="1287" spans="1:21">
      <c r="A1287" s="192"/>
      <c r="B1287" s="195"/>
      <c r="C1287" s="196"/>
      <c r="D1287" s="197"/>
      <c r="E1287" s="198"/>
      <c r="F1287" s="197"/>
      <c r="G1287" s="198"/>
      <c r="H1287" s="197"/>
      <c r="I1287" s="198"/>
      <c r="J1287" s="197"/>
      <c r="K1287" s="198"/>
      <c r="L1287" s="199" t="s">
        <v>1140</v>
      </c>
      <c r="M1287" s="199" t="s">
        <v>1208</v>
      </c>
      <c r="N1287" s="199">
        <f>SUM(N1285:N1286)</f>
        <v>2</v>
      </c>
      <c r="O1287" s="155" t="e">
        <f>P1283</f>
        <v>#REF!</v>
      </c>
      <c r="P1287" s="193"/>
      <c r="Q1287" s="200"/>
      <c r="R1287" s="194"/>
      <c r="T1287" s="190"/>
      <c r="U1287" s="191"/>
    </row>
    <row r="1288" spans="1:21">
      <c r="A1288" s="192"/>
      <c r="B1288" s="195"/>
      <c r="C1288" s="196"/>
      <c r="D1288" s="197"/>
      <c r="E1288" s="198"/>
      <c r="F1288" s="197"/>
      <c r="G1288" s="198"/>
      <c r="H1288" s="197"/>
      <c r="I1288" s="198"/>
      <c r="J1288" s="197"/>
      <c r="K1288" s="198"/>
      <c r="L1288" s="199"/>
      <c r="M1288" s="199"/>
      <c r="N1288" s="199"/>
      <c r="O1288" s="155"/>
      <c r="P1288" s="193"/>
      <c r="Q1288" s="200"/>
      <c r="R1288" s="194"/>
      <c r="T1288" s="190"/>
      <c r="U1288" s="191"/>
    </row>
    <row r="1289" spans="1:21">
      <c r="A1289" s="192"/>
      <c r="B1289" s="1277" t="s">
        <v>1209</v>
      </c>
      <c r="C1289" s="1277"/>
      <c r="D1289" s="1277"/>
      <c r="E1289" s="1277"/>
      <c r="F1289" s="1277"/>
      <c r="G1289" s="1277"/>
      <c r="H1289" s="1277"/>
      <c r="I1289" s="1277"/>
      <c r="J1289" s="1277"/>
      <c r="K1289" s="1277"/>
      <c r="L1289" s="1277"/>
      <c r="M1289" s="1277"/>
      <c r="N1289" s="1277"/>
      <c r="O1289" s="1277"/>
      <c r="P1289" s="1277"/>
      <c r="Q1289" s="203">
        <v>0</v>
      </c>
      <c r="R1289" s="204">
        <f>Q1289</f>
        <v>0</v>
      </c>
      <c r="T1289" s="1278"/>
      <c r="U1289" s="1279"/>
    </row>
    <row r="1290" spans="1:21">
      <c r="A1290" s="192"/>
      <c r="B1290" s="1277" t="e">
        <f>med</f>
        <v>#NAME?</v>
      </c>
      <c r="C1290" s="1277"/>
      <c r="D1290" s="1277"/>
      <c r="E1290" s="1277"/>
      <c r="F1290" s="1277"/>
      <c r="G1290" s="1277"/>
      <c r="H1290" s="1277"/>
      <c r="I1290" s="1277"/>
      <c r="J1290" s="1277"/>
      <c r="K1290" s="1277"/>
      <c r="L1290" s="1277"/>
      <c r="M1290" s="1277"/>
      <c r="N1290" s="1277"/>
      <c r="O1290" s="1277"/>
      <c r="P1290" s="205">
        <f>N1287</f>
        <v>2</v>
      </c>
      <c r="Q1290" s="203">
        <f>P1290</f>
        <v>2</v>
      </c>
      <c r="R1290" s="204">
        <f>Q1290+R1289</f>
        <v>2</v>
      </c>
      <c r="T1290" s="1278"/>
      <c r="U1290" s="1279"/>
    </row>
    <row r="1291" spans="1:21" ht="18" customHeight="1">
      <c r="A1291" s="187" t="e">
        <f>#REF!</f>
        <v>#REF!</v>
      </c>
      <c r="B1291" s="1275" t="e">
        <f>IF(A1291="","",VLOOKUP($A1291,'[2]FDE-JUNHO-08'!$A$6:$D$3537,2,FALSE()))</f>
        <v>#REF!</v>
      </c>
      <c r="C1291" s="1275"/>
      <c r="D1291" s="1275"/>
      <c r="E1291" s="1275"/>
      <c r="F1291" s="1275"/>
      <c r="G1291" s="1275"/>
      <c r="H1291" s="1275"/>
      <c r="I1291" s="1275"/>
      <c r="J1291" s="1275"/>
      <c r="K1291" s="1275"/>
      <c r="L1291" s="1275"/>
      <c r="M1291" s="1275"/>
      <c r="N1291" s="1275"/>
      <c r="O1291" s="1275"/>
      <c r="P1291" s="188" t="e">
        <f>IF(A1291="","",VLOOKUP($A1291,'[2]FDE-JUNHO-08'!$A$6:$D$3537,3,FALSE()))</f>
        <v>#REF!</v>
      </c>
      <c r="Q1291" s="189" t="s">
        <v>1205</v>
      </c>
      <c r="R1291" s="189" t="s">
        <v>1206</v>
      </c>
      <c r="T1291" s="190"/>
      <c r="U1291" s="191"/>
    </row>
    <row r="1292" spans="1:21">
      <c r="A1292" s="192"/>
      <c r="B1292" s="1281"/>
      <c r="C1292" s="1281"/>
      <c r="D1292" s="1281"/>
      <c r="E1292" s="1281"/>
      <c r="F1292" s="1281"/>
      <c r="G1292" s="1281"/>
      <c r="H1292" s="1281"/>
      <c r="I1292" s="1281"/>
      <c r="J1292" s="1281"/>
      <c r="K1292" s="1281"/>
      <c r="L1292" s="1281"/>
      <c r="M1292" s="1281"/>
      <c r="N1292" s="1281"/>
      <c r="O1292" s="1281"/>
      <c r="P1292" s="193"/>
      <c r="Q1292" s="194"/>
      <c r="R1292" s="194"/>
      <c r="T1292" s="190"/>
      <c r="U1292" s="191"/>
    </row>
    <row r="1293" spans="1:21">
      <c r="A1293" s="192"/>
      <c r="B1293" s="195" t="s">
        <v>1325</v>
      </c>
      <c r="C1293" s="196"/>
      <c r="D1293" s="197"/>
      <c r="E1293" s="198"/>
      <c r="F1293" s="197"/>
      <c r="G1293" s="198"/>
      <c r="H1293" s="197"/>
      <c r="I1293" s="198"/>
      <c r="J1293" s="197"/>
      <c r="K1293" s="198"/>
      <c r="L1293" s="199"/>
      <c r="M1293" s="199" t="s">
        <v>1208</v>
      </c>
      <c r="N1293" s="199">
        <v>2</v>
      </c>
      <c r="O1293" s="155"/>
      <c r="P1293" s="193"/>
      <c r="Q1293" s="200"/>
      <c r="R1293" s="194"/>
      <c r="T1293" s="190"/>
      <c r="U1293" s="191"/>
    </row>
    <row r="1294" spans="1:21">
      <c r="A1294" s="192"/>
      <c r="B1294" s="195"/>
      <c r="C1294" s="196"/>
      <c r="D1294" s="197"/>
      <c r="E1294" s="198"/>
      <c r="F1294" s="197"/>
      <c r="G1294" s="198"/>
      <c r="H1294" s="197"/>
      <c r="I1294" s="198"/>
      <c r="J1294" s="197"/>
      <c r="K1294" s="198"/>
      <c r="L1294" s="199"/>
      <c r="M1294" s="199"/>
      <c r="N1294" s="201"/>
      <c r="O1294" s="202"/>
      <c r="P1294" s="193"/>
      <c r="Q1294" s="200"/>
      <c r="R1294" s="194"/>
      <c r="T1294" s="190"/>
      <c r="U1294" s="191"/>
    </row>
    <row r="1295" spans="1:21">
      <c r="A1295" s="192"/>
      <c r="B1295" s="195"/>
      <c r="C1295" s="196"/>
      <c r="D1295" s="197"/>
      <c r="E1295" s="198"/>
      <c r="F1295" s="197"/>
      <c r="G1295" s="198"/>
      <c r="H1295" s="197"/>
      <c r="I1295" s="198"/>
      <c r="J1295" s="197"/>
      <c r="K1295" s="198"/>
      <c r="L1295" s="199" t="s">
        <v>1140</v>
      </c>
      <c r="M1295" s="199" t="s">
        <v>1208</v>
      </c>
      <c r="N1295" s="199">
        <f>SUM(N1293:N1294)</f>
        <v>2</v>
      </c>
      <c r="O1295" s="155" t="e">
        <f>P1291</f>
        <v>#REF!</v>
      </c>
      <c r="P1295" s="193"/>
      <c r="Q1295" s="200"/>
      <c r="R1295" s="194"/>
      <c r="T1295" s="190"/>
      <c r="U1295" s="191"/>
    </row>
    <row r="1296" spans="1:21">
      <c r="A1296" s="192"/>
      <c r="B1296" s="195"/>
      <c r="C1296" s="196"/>
      <c r="D1296" s="197"/>
      <c r="E1296" s="198"/>
      <c r="F1296" s="197"/>
      <c r="G1296" s="198"/>
      <c r="H1296" s="197"/>
      <c r="I1296" s="198"/>
      <c r="J1296" s="197"/>
      <c r="K1296" s="198"/>
      <c r="L1296" s="199"/>
      <c r="M1296" s="199"/>
      <c r="N1296" s="199"/>
      <c r="O1296" s="155"/>
      <c r="P1296" s="193"/>
      <c r="Q1296" s="200"/>
      <c r="R1296" s="194"/>
      <c r="T1296" s="190"/>
      <c r="U1296" s="191"/>
    </row>
    <row r="1297" spans="1:21">
      <c r="A1297" s="192"/>
      <c r="B1297" s="1277" t="s">
        <v>1209</v>
      </c>
      <c r="C1297" s="1277"/>
      <c r="D1297" s="1277"/>
      <c r="E1297" s="1277"/>
      <c r="F1297" s="1277"/>
      <c r="G1297" s="1277"/>
      <c r="H1297" s="1277"/>
      <c r="I1297" s="1277"/>
      <c r="J1297" s="1277"/>
      <c r="K1297" s="1277"/>
      <c r="L1297" s="1277"/>
      <c r="M1297" s="1277"/>
      <c r="N1297" s="1277"/>
      <c r="O1297" s="1277"/>
      <c r="P1297" s="1277"/>
      <c r="Q1297" s="203">
        <v>0</v>
      </c>
      <c r="R1297" s="204">
        <f>Q1297</f>
        <v>0</v>
      </c>
      <c r="T1297" s="1278"/>
      <c r="U1297" s="1279"/>
    </row>
    <row r="1298" spans="1:21">
      <c r="A1298" s="206"/>
      <c r="B1298" s="1277" t="e">
        <f>med</f>
        <v>#NAME?</v>
      </c>
      <c r="C1298" s="1277"/>
      <c r="D1298" s="1277"/>
      <c r="E1298" s="1277"/>
      <c r="F1298" s="1277"/>
      <c r="G1298" s="1277"/>
      <c r="H1298" s="1277"/>
      <c r="I1298" s="1277"/>
      <c r="J1298" s="1277"/>
      <c r="K1298" s="1277"/>
      <c r="L1298" s="1277"/>
      <c r="M1298" s="1277"/>
      <c r="N1298" s="1277"/>
      <c r="O1298" s="1277"/>
      <c r="P1298" s="205">
        <f>N1295</f>
        <v>2</v>
      </c>
      <c r="Q1298" s="203">
        <f>P1298</f>
        <v>2</v>
      </c>
      <c r="R1298" s="204">
        <f>Q1298+R1297</f>
        <v>2</v>
      </c>
      <c r="T1298" s="1278"/>
      <c r="U1298" s="1279"/>
    </row>
    <row r="1299" spans="1:21" ht="18" customHeight="1">
      <c r="A1299" s="187" t="e">
        <f>#REF!</f>
        <v>#REF!</v>
      </c>
      <c r="B1299" s="1275" t="e">
        <f>IF(A1299="","",VLOOKUP($A1299,'[2]FDE-JUNHO-08'!$A$6:$D$3537,2,FALSE()))</f>
        <v>#REF!</v>
      </c>
      <c r="C1299" s="1275"/>
      <c r="D1299" s="1275"/>
      <c r="E1299" s="1275"/>
      <c r="F1299" s="1275"/>
      <c r="G1299" s="1275"/>
      <c r="H1299" s="1275"/>
      <c r="I1299" s="1275"/>
      <c r="J1299" s="1275"/>
      <c r="K1299" s="1275"/>
      <c r="L1299" s="1275"/>
      <c r="M1299" s="1275"/>
      <c r="N1299" s="1275"/>
      <c r="O1299" s="1275"/>
      <c r="P1299" s="188" t="e">
        <f>IF(A1299="","",VLOOKUP($A1299,'[2]FDE-JUNHO-08'!$A$6:$D$3537,3,FALSE()))</f>
        <v>#REF!</v>
      </c>
      <c r="Q1299" s="189" t="s">
        <v>1205</v>
      </c>
      <c r="R1299" s="189" t="s">
        <v>1206</v>
      </c>
      <c r="T1299" s="190"/>
      <c r="U1299" s="191"/>
    </row>
    <row r="1300" spans="1:21">
      <c r="A1300" s="192"/>
      <c r="B1300" s="1281"/>
      <c r="C1300" s="1281"/>
      <c r="D1300" s="1281"/>
      <c r="E1300" s="1281"/>
      <c r="F1300" s="1281"/>
      <c r="G1300" s="1281"/>
      <c r="H1300" s="1281"/>
      <c r="I1300" s="1281"/>
      <c r="J1300" s="1281"/>
      <c r="K1300" s="1281"/>
      <c r="L1300" s="1281"/>
      <c r="M1300" s="1281"/>
      <c r="N1300" s="1281"/>
      <c r="O1300" s="1281"/>
      <c r="P1300" s="193"/>
      <c r="Q1300" s="194"/>
      <c r="R1300" s="194"/>
      <c r="T1300" s="190"/>
      <c r="U1300" s="191"/>
    </row>
    <row r="1301" spans="1:21">
      <c r="A1301" s="192"/>
      <c r="B1301" s="195" t="s">
        <v>1239</v>
      </c>
      <c r="C1301" s="196"/>
      <c r="D1301" s="197"/>
      <c r="E1301" s="198"/>
      <c r="F1301" s="197"/>
      <c r="G1301" s="198"/>
      <c r="H1301" s="197"/>
      <c r="I1301" s="198"/>
      <c r="J1301" s="197"/>
      <c r="K1301" s="198"/>
      <c r="L1301" s="199"/>
      <c r="M1301" s="199" t="s">
        <v>1208</v>
      </c>
      <c r="N1301" s="199">
        <v>2</v>
      </c>
      <c r="O1301" s="155"/>
      <c r="P1301" s="193"/>
      <c r="Q1301" s="200"/>
      <c r="R1301" s="194"/>
      <c r="T1301" s="190"/>
      <c r="U1301" s="191"/>
    </row>
    <row r="1302" spans="1:21">
      <c r="A1302" s="192"/>
      <c r="B1302" s="195"/>
      <c r="C1302" s="196"/>
      <c r="D1302" s="197"/>
      <c r="E1302" s="198"/>
      <c r="F1302" s="197"/>
      <c r="G1302" s="198"/>
      <c r="H1302" s="197"/>
      <c r="I1302" s="198"/>
      <c r="J1302" s="197"/>
      <c r="K1302" s="198"/>
      <c r="L1302" s="199"/>
      <c r="M1302" s="199"/>
      <c r="N1302" s="201"/>
      <c r="O1302" s="202"/>
      <c r="P1302" s="193"/>
      <c r="Q1302" s="200"/>
      <c r="R1302" s="194"/>
      <c r="T1302" s="190"/>
      <c r="U1302" s="191"/>
    </row>
    <row r="1303" spans="1:21">
      <c r="A1303" s="192"/>
      <c r="B1303" s="195"/>
      <c r="C1303" s="196"/>
      <c r="D1303" s="197"/>
      <c r="E1303" s="198"/>
      <c r="F1303" s="197"/>
      <c r="G1303" s="198"/>
      <c r="H1303" s="197"/>
      <c r="I1303" s="198"/>
      <c r="J1303" s="197"/>
      <c r="K1303" s="198"/>
      <c r="L1303" s="199" t="s">
        <v>1140</v>
      </c>
      <c r="M1303" s="199" t="s">
        <v>1208</v>
      </c>
      <c r="N1303" s="199">
        <f>SUM(N1301:N1302)</f>
        <v>2</v>
      </c>
      <c r="O1303" s="155" t="e">
        <f>P1299</f>
        <v>#REF!</v>
      </c>
      <c r="P1303" s="193"/>
      <c r="Q1303" s="200"/>
      <c r="R1303" s="194"/>
      <c r="T1303" s="190"/>
      <c r="U1303" s="191"/>
    </row>
    <row r="1304" spans="1:21">
      <c r="A1304" s="192"/>
      <c r="B1304" s="195"/>
      <c r="C1304" s="196"/>
      <c r="D1304" s="197"/>
      <c r="E1304" s="198"/>
      <c r="F1304" s="197"/>
      <c r="G1304" s="198"/>
      <c r="H1304" s="197"/>
      <c r="I1304" s="198"/>
      <c r="J1304" s="197"/>
      <c r="K1304" s="198"/>
      <c r="L1304" s="199"/>
      <c r="M1304" s="199"/>
      <c r="N1304" s="199"/>
      <c r="O1304" s="155"/>
      <c r="P1304" s="193"/>
      <c r="Q1304" s="200"/>
      <c r="R1304" s="194"/>
      <c r="T1304" s="190"/>
      <c r="U1304" s="191"/>
    </row>
    <row r="1305" spans="1:21">
      <c r="A1305" s="192"/>
      <c r="B1305" s="1277" t="s">
        <v>1209</v>
      </c>
      <c r="C1305" s="1277"/>
      <c r="D1305" s="1277"/>
      <c r="E1305" s="1277"/>
      <c r="F1305" s="1277"/>
      <c r="G1305" s="1277"/>
      <c r="H1305" s="1277"/>
      <c r="I1305" s="1277"/>
      <c r="J1305" s="1277"/>
      <c r="K1305" s="1277"/>
      <c r="L1305" s="1277"/>
      <c r="M1305" s="1277"/>
      <c r="N1305" s="1277"/>
      <c r="O1305" s="1277"/>
      <c r="P1305" s="1277"/>
      <c r="Q1305" s="203">
        <v>0</v>
      </c>
      <c r="R1305" s="204">
        <f>Q1305</f>
        <v>0</v>
      </c>
      <c r="T1305" s="1278"/>
      <c r="U1305" s="1279"/>
    </row>
    <row r="1306" spans="1:21">
      <c r="A1306" s="192"/>
      <c r="B1306" s="1277" t="e">
        <f>med</f>
        <v>#NAME?</v>
      </c>
      <c r="C1306" s="1277"/>
      <c r="D1306" s="1277"/>
      <c r="E1306" s="1277"/>
      <c r="F1306" s="1277"/>
      <c r="G1306" s="1277"/>
      <c r="H1306" s="1277"/>
      <c r="I1306" s="1277"/>
      <c r="J1306" s="1277"/>
      <c r="K1306" s="1277"/>
      <c r="L1306" s="1277"/>
      <c r="M1306" s="1277"/>
      <c r="N1306" s="1277"/>
      <c r="O1306" s="1277"/>
      <c r="P1306" s="205">
        <f>N1303</f>
        <v>2</v>
      </c>
      <c r="Q1306" s="203">
        <f>P1306</f>
        <v>2</v>
      </c>
      <c r="R1306" s="204">
        <f>Q1306+R1305</f>
        <v>2</v>
      </c>
      <c r="T1306" s="1278"/>
      <c r="U1306" s="1279"/>
    </row>
    <row r="1307" spans="1:21" ht="18" customHeight="1">
      <c r="A1307" s="187" t="e">
        <f>#REF!</f>
        <v>#REF!</v>
      </c>
      <c r="B1307" s="1275" t="e">
        <f>IF(A1307="","",VLOOKUP($A1307,'[2]FDE-JUNHO-08'!$A$6:$D$3537,2,FALSE()))</f>
        <v>#REF!</v>
      </c>
      <c r="C1307" s="1275"/>
      <c r="D1307" s="1275"/>
      <c r="E1307" s="1275"/>
      <c r="F1307" s="1275"/>
      <c r="G1307" s="1275"/>
      <c r="H1307" s="1275"/>
      <c r="I1307" s="1275"/>
      <c r="J1307" s="1275"/>
      <c r="K1307" s="1275"/>
      <c r="L1307" s="1275"/>
      <c r="M1307" s="1275"/>
      <c r="N1307" s="1275"/>
      <c r="O1307" s="1275"/>
      <c r="P1307" s="188" t="e">
        <f>IF(A1307="","",VLOOKUP($A1307,'[2]FDE-JUNHO-08'!$A$6:$D$3537,3,FALSE()))</f>
        <v>#REF!</v>
      </c>
      <c r="Q1307" s="189" t="s">
        <v>1205</v>
      </c>
      <c r="R1307" s="189" t="s">
        <v>1206</v>
      </c>
      <c r="T1307" s="190"/>
      <c r="U1307" s="191"/>
    </row>
    <row r="1308" spans="1:21">
      <c r="A1308" s="192"/>
      <c r="B1308" s="195"/>
      <c r="C1308" s="196"/>
      <c r="D1308" s="197"/>
      <c r="E1308" s="198"/>
      <c r="F1308" s="197"/>
      <c r="G1308" s="198"/>
      <c r="H1308" s="197"/>
      <c r="I1308" s="207"/>
      <c r="J1308" s="207"/>
      <c r="K1308" s="208"/>
      <c r="L1308" s="209"/>
      <c r="M1308" s="209"/>
      <c r="N1308" s="209"/>
      <c r="O1308" s="155"/>
      <c r="P1308" s="193"/>
      <c r="Q1308" s="200"/>
      <c r="R1308" s="194"/>
      <c r="T1308" s="190"/>
      <c r="U1308" s="191"/>
    </row>
    <row r="1309" spans="1:21">
      <c r="A1309" s="192"/>
      <c r="B1309" s="195" t="s">
        <v>1326</v>
      </c>
      <c r="C1309" s="196"/>
      <c r="D1309" s="197"/>
      <c r="E1309" s="198"/>
      <c r="F1309" s="197"/>
      <c r="G1309" s="198"/>
      <c r="H1309" s="197"/>
      <c r="I1309" s="198"/>
      <c r="J1309" s="197"/>
      <c r="K1309" s="198"/>
      <c r="L1309" s="199"/>
      <c r="M1309" s="199" t="s">
        <v>1208</v>
      </c>
      <c r="N1309" s="199">
        <v>17.78</v>
      </c>
      <c r="O1309" s="155"/>
      <c r="P1309" s="193"/>
      <c r="Q1309" s="200"/>
      <c r="R1309" s="194"/>
      <c r="T1309" s="190"/>
      <c r="U1309" s="191"/>
    </row>
    <row r="1310" spans="1:21">
      <c r="A1310" s="192"/>
      <c r="B1310" s="195" t="s">
        <v>1327</v>
      </c>
      <c r="C1310" s="196"/>
      <c r="D1310" s="197"/>
      <c r="E1310" s="198"/>
      <c r="F1310" s="197"/>
      <c r="G1310" s="198"/>
      <c r="H1310" s="197"/>
      <c r="I1310" s="198"/>
      <c r="J1310" s="197"/>
      <c r="K1310" s="198"/>
      <c r="L1310" s="199"/>
      <c r="M1310" s="199" t="s">
        <v>1208</v>
      </c>
      <c r="N1310" s="199">
        <f>N1130+N1120</f>
        <v>49.33</v>
      </c>
      <c r="O1310" s="155"/>
      <c r="P1310" s="193"/>
      <c r="Q1310" s="200"/>
      <c r="R1310" s="194"/>
      <c r="T1310" s="190"/>
      <c r="U1310" s="191"/>
    </row>
    <row r="1311" spans="1:21">
      <c r="A1311" s="192"/>
      <c r="B1311" s="195" t="s">
        <v>1328</v>
      </c>
      <c r="C1311" s="196"/>
      <c r="D1311" s="197"/>
      <c r="E1311" s="198"/>
      <c r="F1311" s="197"/>
      <c r="G1311" s="198"/>
      <c r="H1311" s="197"/>
      <c r="I1311" s="198"/>
      <c r="J1311" s="197"/>
      <c r="K1311" s="198"/>
      <c r="L1311" s="199"/>
      <c r="M1311" s="199" t="s">
        <v>1208</v>
      </c>
      <c r="N1311" s="199">
        <v>15.87</v>
      </c>
      <c r="O1311" s="155"/>
      <c r="P1311" s="193"/>
      <c r="Q1311" s="200"/>
      <c r="R1311" s="194"/>
      <c r="T1311" s="190"/>
      <c r="U1311" s="191"/>
    </row>
    <row r="1312" spans="1:21">
      <c r="A1312" s="192"/>
      <c r="B1312" s="195"/>
      <c r="C1312" s="196"/>
      <c r="D1312" s="197"/>
      <c r="E1312" s="198"/>
      <c r="F1312" s="197"/>
      <c r="G1312" s="198"/>
      <c r="H1312" s="197"/>
      <c r="I1312" s="198"/>
      <c r="J1312" s="197"/>
      <c r="K1312" s="198"/>
      <c r="L1312" s="199"/>
      <c r="M1312" s="199"/>
      <c r="N1312" s="201"/>
      <c r="O1312" s="202"/>
      <c r="P1312" s="193"/>
      <c r="Q1312" s="200"/>
      <c r="R1312" s="194"/>
      <c r="T1312" s="190"/>
      <c r="U1312" s="191"/>
    </row>
    <row r="1313" spans="1:21">
      <c r="A1313" s="192"/>
      <c r="B1313" s="195"/>
      <c r="C1313" s="196"/>
      <c r="D1313" s="197"/>
      <c r="E1313" s="198"/>
      <c r="F1313" s="197"/>
      <c r="G1313" s="198"/>
      <c r="H1313" s="197"/>
      <c r="I1313" s="198"/>
      <c r="J1313" s="197"/>
      <c r="K1313" s="198"/>
      <c r="L1313" s="199" t="s">
        <v>1140</v>
      </c>
      <c r="M1313" s="199" t="s">
        <v>1208</v>
      </c>
      <c r="N1313" s="199">
        <f>SUM(N1309:N1312)</f>
        <v>82.98</v>
      </c>
      <c r="O1313" s="155" t="e">
        <f>P1307</f>
        <v>#REF!</v>
      </c>
      <c r="P1313" s="193"/>
      <c r="Q1313" s="200"/>
      <c r="R1313" s="194"/>
      <c r="T1313" s="190"/>
      <c r="U1313" s="191"/>
    </row>
    <row r="1314" spans="1:21">
      <c r="A1314" s="192"/>
      <c r="B1314" s="195"/>
      <c r="C1314" s="196"/>
      <c r="D1314" s="197"/>
      <c r="E1314" s="198"/>
      <c r="F1314" s="197"/>
      <c r="G1314" s="198"/>
      <c r="H1314" s="197"/>
      <c r="I1314" s="198"/>
      <c r="J1314" s="197"/>
      <c r="K1314" s="198"/>
      <c r="L1314" s="199"/>
      <c r="M1314" s="199"/>
      <c r="N1314" s="199"/>
      <c r="O1314" s="155"/>
      <c r="P1314" s="193"/>
      <c r="Q1314" s="200"/>
      <c r="R1314" s="194"/>
      <c r="T1314" s="190"/>
      <c r="U1314" s="191"/>
    </row>
    <row r="1315" spans="1:21">
      <c r="A1315" s="192"/>
      <c r="B1315" s="1277" t="s">
        <v>1209</v>
      </c>
      <c r="C1315" s="1277"/>
      <c r="D1315" s="1277"/>
      <c r="E1315" s="1277"/>
      <c r="F1315" s="1277"/>
      <c r="G1315" s="1277"/>
      <c r="H1315" s="1277"/>
      <c r="I1315" s="1277"/>
      <c r="J1315" s="1277"/>
      <c r="K1315" s="1277"/>
      <c r="L1315" s="1277"/>
      <c r="M1315" s="1277"/>
      <c r="N1315" s="1277"/>
      <c r="O1315" s="1277"/>
      <c r="P1315" s="1277"/>
      <c r="Q1315" s="203">
        <v>0</v>
      </c>
      <c r="R1315" s="204">
        <f>Q1315</f>
        <v>0</v>
      </c>
      <c r="T1315" s="1278"/>
      <c r="U1315" s="1279"/>
    </row>
    <row r="1316" spans="1:21">
      <c r="A1316" s="192"/>
      <c r="B1316" s="1277" t="e">
        <f>med</f>
        <v>#NAME?</v>
      </c>
      <c r="C1316" s="1277"/>
      <c r="D1316" s="1277"/>
      <c r="E1316" s="1277"/>
      <c r="F1316" s="1277"/>
      <c r="G1316" s="1277"/>
      <c r="H1316" s="1277"/>
      <c r="I1316" s="1277"/>
      <c r="J1316" s="1277"/>
      <c r="K1316" s="1277"/>
      <c r="L1316" s="1277"/>
      <c r="M1316" s="1277"/>
      <c r="N1316" s="1277"/>
      <c r="O1316" s="1277"/>
      <c r="P1316" s="205">
        <f>N1313</f>
        <v>82.98</v>
      </c>
      <c r="Q1316" s="203">
        <f>P1316</f>
        <v>82.98</v>
      </c>
      <c r="R1316" s="204">
        <f>Q1316+R1315</f>
        <v>82.98</v>
      </c>
      <c r="T1316" s="1278"/>
      <c r="U1316" s="1279"/>
    </row>
    <row r="1317" spans="1:21" ht="18" customHeight="1">
      <c r="A1317" s="187" t="e">
        <f>#REF!</f>
        <v>#REF!</v>
      </c>
      <c r="B1317" s="1275" t="e">
        <f>IF(A1317="","",VLOOKUP($A1317,'[2]FDE-JUNHO-08'!$A$6:$D$3537,2,FALSE()))</f>
        <v>#REF!</v>
      </c>
      <c r="C1317" s="1275"/>
      <c r="D1317" s="1275"/>
      <c r="E1317" s="1275"/>
      <c r="F1317" s="1275"/>
      <c r="G1317" s="1275"/>
      <c r="H1317" s="1275"/>
      <c r="I1317" s="1275"/>
      <c r="J1317" s="1275"/>
      <c r="K1317" s="1275"/>
      <c r="L1317" s="1275"/>
      <c r="M1317" s="1275"/>
      <c r="N1317" s="1275"/>
      <c r="O1317" s="1275"/>
      <c r="P1317" s="188" t="e">
        <f>IF(A1317="","",VLOOKUP($A1317,'[2]FDE-JUNHO-08'!$A$6:$D$3537,3,FALSE()))</f>
        <v>#REF!</v>
      </c>
      <c r="Q1317" s="189" t="s">
        <v>1205</v>
      </c>
      <c r="R1317" s="189" t="s">
        <v>1206</v>
      </c>
      <c r="T1317" s="190"/>
      <c r="U1317" s="191"/>
    </row>
    <row r="1318" spans="1:21">
      <c r="A1318" s="192"/>
      <c r="B1318" s="1281"/>
      <c r="C1318" s="1281"/>
      <c r="D1318" s="1281"/>
      <c r="E1318" s="1281"/>
      <c r="F1318" s="1281"/>
      <c r="G1318" s="1281"/>
      <c r="H1318" s="1281"/>
      <c r="I1318" s="1281"/>
      <c r="J1318" s="1281"/>
      <c r="K1318" s="1281"/>
      <c r="L1318" s="1281"/>
      <c r="M1318" s="1281"/>
      <c r="N1318" s="1281"/>
      <c r="O1318" s="1281"/>
      <c r="P1318" s="193"/>
      <c r="Q1318" s="194"/>
      <c r="R1318" s="194"/>
      <c r="T1318" s="190"/>
      <c r="U1318" s="191"/>
    </row>
    <row r="1319" spans="1:21">
      <c r="A1319" s="192"/>
      <c r="B1319" s="195" t="s">
        <v>1329</v>
      </c>
      <c r="C1319" s="196"/>
      <c r="D1319" s="197"/>
      <c r="E1319" s="198"/>
      <c r="F1319" s="197"/>
      <c r="G1319" s="198"/>
      <c r="H1319" s="197"/>
      <c r="I1319" s="198"/>
      <c r="J1319" s="197"/>
      <c r="K1319" s="198"/>
      <c r="L1319" s="199"/>
      <c r="M1319" s="199" t="s">
        <v>1208</v>
      </c>
      <c r="N1319" s="199">
        <v>6</v>
      </c>
      <c r="O1319" s="155"/>
      <c r="P1319" s="193"/>
      <c r="Q1319" s="200"/>
      <c r="R1319" s="194"/>
      <c r="T1319" s="190"/>
      <c r="U1319" s="191"/>
    </row>
    <row r="1320" spans="1:21">
      <c r="A1320" s="192"/>
      <c r="B1320" s="195" t="s">
        <v>1330</v>
      </c>
      <c r="C1320" s="196"/>
      <c r="D1320" s="197"/>
      <c r="E1320" s="198"/>
      <c r="F1320" s="197"/>
      <c r="G1320" s="198"/>
      <c r="H1320" s="197"/>
      <c r="I1320" s="198"/>
      <c r="J1320" s="197"/>
      <c r="K1320" s="198"/>
      <c r="L1320" s="199"/>
      <c r="M1320" s="199" t="s">
        <v>1208</v>
      </c>
      <c r="N1320" s="199">
        <v>6</v>
      </c>
      <c r="O1320" s="155"/>
      <c r="P1320" s="193"/>
      <c r="Q1320" s="200"/>
      <c r="R1320" s="194"/>
      <c r="T1320" s="190"/>
      <c r="U1320" s="191"/>
    </row>
    <row r="1321" spans="1:21">
      <c r="A1321" s="192"/>
      <c r="B1321" s="195"/>
      <c r="C1321" s="196"/>
      <c r="D1321" s="197"/>
      <c r="E1321" s="198"/>
      <c r="F1321" s="197"/>
      <c r="G1321" s="198"/>
      <c r="H1321" s="197"/>
      <c r="I1321" s="198"/>
      <c r="J1321" s="197"/>
      <c r="K1321" s="198"/>
      <c r="L1321" s="199"/>
      <c r="M1321" s="199"/>
      <c r="N1321" s="201"/>
      <c r="O1321" s="202"/>
      <c r="P1321" s="193"/>
      <c r="Q1321" s="200"/>
      <c r="R1321" s="194"/>
      <c r="T1321" s="190"/>
      <c r="U1321" s="191"/>
    </row>
    <row r="1322" spans="1:21">
      <c r="A1322" s="192"/>
      <c r="B1322" s="195"/>
      <c r="C1322" s="196"/>
      <c r="D1322" s="197"/>
      <c r="E1322" s="198"/>
      <c r="F1322" s="197"/>
      <c r="G1322" s="198"/>
      <c r="H1322" s="197"/>
      <c r="I1322" s="198"/>
      <c r="J1322" s="197"/>
      <c r="K1322" s="198"/>
      <c r="L1322" s="199" t="s">
        <v>1140</v>
      </c>
      <c r="M1322" s="199" t="s">
        <v>1208</v>
      </c>
      <c r="N1322" s="199">
        <f>SUM(N1319:N1321)</f>
        <v>12</v>
      </c>
      <c r="O1322" s="155" t="e">
        <f>P1317</f>
        <v>#REF!</v>
      </c>
      <c r="P1322" s="193"/>
      <c r="Q1322" s="200"/>
      <c r="R1322" s="194"/>
      <c r="T1322" s="190"/>
      <c r="U1322" s="191"/>
    </row>
    <row r="1323" spans="1:21">
      <c r="A1323" s="192"/>
      <c r="B1323" s="195"/>
      <c r="C1323" s="196"/>
      <c r="D1323" s="197"/>
      <c r="E1323" s="198"/>
      <c r="F1323" s="197"/>
      <c r="G1323" s="198"/>
      <c r="H1323" s="197"/>
      <c r="I1323" s="198"/>
      <c r="J1323" s="197"/>
      <c r="K1323" s="198"/>
      <c r="L1323" s="199"/>
      <c r="M1323" s="199"/>
      <c r="N1323" s="199"/>
      <c r="O1323" s="155"/>
      <c r="P1323" s="193"/>
      <c r="Q1323" s="200"/>
      <c r="R1323" s="194"/>
      <c r="T1323" s="190"/>
      <c r="U1323" s="191"/>
    </row>
    <row r="1324" spans="1:21">
      <c r="A1324" s="192"/>
      <c r="B1324" s="1277" t="s">
        <v>1209</v>
      </c>
      <c r="C1324" s="1277"/>
      <c r="D1324" s="1277"/>
      <c r="E1324" s="1277"/>
      <c r="F1324" s="1277"/>
      <c r="G1324" s="1277"/>
      <c r="H1324" s="1277"/>
      <c r="I1324" s="1277"/>
      <c r="J1324" s="1277"/>
      <c r="K1324" s="1277"/>
      <c r="L1324" s="1277"/>
      <c r="M1324" s="1277"/>
      <c r="N1324" s="1277"/>
      <c r="O1324" s="1277"/>
      <c r="P1324" s="1277"/>
      <c r="Q1324" s="203">
        <v>0</v>
      </c>
      <c r="R1324" s="204">
        <f>Q1324</f>
        <v>0</v>
      </c>
      <c r="T1324" s="1278"/>
      <c r="U1324" s="1279"/>
    </row>
    <row r="1325" spans="1:21">
      <c r="A1325" s="192"/>
      <c r="B1325" s="1277" t="e">
        <f>med</f>
        <v>#NAME?</v>
      </c>
      <c r="C1325" s="1277"/>
      <c r="D1325" s="1277"/>
      <c r="E1325" s="1277"/>
      <c r="F1325" s="1277"/>
      <c r="G1325" s="1277"/>
      <c r="H1325" s="1277"/>
      <c r="I1325" s="1277"/>
      <c r="J1325" s="1277"/>
      <c r="K1325" s="1277"/>
      <c r="L1325" s="1277"/>
      <c r="M1325" s="1277"/>
      <c r="N1325" s="1277"/>
      <c r="O1325" s="1277"/>
      <c r="P1325" s="205">
        <f>N1322</f>
        <v>12</v>
      </c>
      <c r="Q1325" s="203">
        <f>P1325</f>
        <v>12</v>
      </c>
      <c r="R1325" s="204">
        <f>Q1325+R1324</f>
        <v>12</v>
      </c>
      <c r="T1325" s="1278"/>
      <c r="U1325" s="1279"/>
    </row>
    <row r="1326" spans="1:21" ht="18" customHeight="1">
      <c r="A1326" s="187" t="e">
        <f>#REF!</f>
        <v>#REF!</v>
      </c>
      <c r="B1326" s="1275" t="e">
        <f>IF(A1326="","",VLOOKUP($A1326,'[2]FDE-JUNHO-08'!$A$6:$D$3537,2,FALSE()))</f>
        <v>#REF!</v>
      </c>
      <c r="C1326" s="1275"/>
      <c r="D1326" s="1275"/>
      <c r="E1326" s="1275"/>
      <c r="F1326" s="1275"/>
      <c r="G1326" s="1275"/>
      <c r="H1326" s="1275"/>
      <c r="I1326" s="1275"/>
      <c r="J1326" s="1275"/>
      <c r="K1326" s="1275"/>
      <c r="L1326" s="1275"/>
      <c r="M1326" s="1275"/>
      <c r="N1326" s="1275"/>
      <c r="O1326" s="1275"/>
      <c r="P1326" s="188" t="e">
        <f>IF(A1326="","",VLOOKUP($A1326,'[2]FDE-JUNHO-08'!$A$6:$D$3537,3,FALSE()))</f>
        <v>#REF!</v>
      </c>
      <c r="Q1326" s="189" t="s">
        <v>1205</v>
      </c>
      <c r="R1326" s="189" t="s">
        <v>1206</v>
      </c>
      <c r="T1326" s="190"/>
      <c r="U1326" s="191"/>
    </row>
    <row r="1327" spans="1:21">
      <c r="A1327" s="192"/>
      <c r="B1327" s="195"/>
      <c r="C1327" s="196"/>
      <c r="D1327" s="197"/>
      <c r="E1327" s="198"/>
      <c r="F1327" s="197"/>
      <c r="G1327" s="198"/>
      <c r="H1327" s="197"/>
      <c r="I1327" s="207"/>
      <c r="J1327" s="207"/>
      <c r="K1327" s="208"/>
      <c r="L1327" s="209"/>
      <c r="M1327" s="209"/>
      <c r="N1327" s="209"/>
      <c r="O1327" s="155"/>
      <c r="P1327" s="193"/>
      <c r="Q1327" s="200"/>
      <c r="R1327" s="194"/>
      <c r="T1327" s="190"/>
      <c r="U1327" s="191"/>
    </row>
    <row r="1328" spans="1:21">
      <c r="A1328" s="192"/>
      <c r="B1328" s="195" t="s">
        <v>1331</v>
      </c>
      <c r="C1328" s="196"/>
      <c r="D1328" s="197"/>
      <c r="E1328" s="198"/>
      <c r="F1328" s="197"/>
      <c r="G1328" s="198"/>
      <c r="H1328" s="197"/>
      <c r="I1328" s="198"/>
      <c r="J1328" s="197"/>
      <c r="K1328" s="198"/>
      <c r="L1328" s="199"/>
      <c r="M1328" s="199" t="s">
        <v>1208</v>
      </c>
      <c r="N1328" s="199">
        <v>1</v>
      </c>
      <c r="O1328" s="155"/>
      <c r="P1328" s="193"/>
      <c r="Q1328" s="200"/>
      <c r="R1328" s="194"/>
      <c r="T1328" s="190"/>
      <c r="U1328" s="191"/>
    </row>
    <row r="1329" spans="1:21">
      <c r="A1329" s="192"/>
      <c r="B1329" s="195" t="s">
        <v>1332</v>
      </c>
      <c r="C1329" s="196"/>
      <c r="D1329" s="197"/>
      <c r="E1329" s="198"/>
      <c r="F1329" s="197"/>
      <c r="G1329" s="198"/>
      <c r="H1329" s="197"/>
      <c r="I1329" s="198"/>
      <c r="J1329" s="197"/>
      <c r="K1329" s="198"/>
      <c r="L1329" s="199"/>
      <c r="M1329" s="199" t="s">
        <v>1208</v>
      </c>
      <c r="N1329" s="199">
        <v>6</v>
      </c>
      <c r="O1329" s="155"/>
      <c r="P1329" s="193"/>
      <c r="Q1329" s="200"/>
      <c r="R1329" s="194"/>
      <c r="T1329" s="190"/>
      <c r="U1329" s="191"/>
    </row>
    <row r="1330" spans="1:21">
      <c r="A1330" s="192"/>
      <c r="B1330" s="195" t="s">
        <v>1333</v>
      </c>
      <c r="C1330" s="196"/>
      <c r="D1330" s="197"/>
      <c r="E1330" s="198"/>
      <c r="F1330" s="197"/>
      <c r="G1330" s="198"/>
      <c r="H1330" s="197"/>
      <c r="I1330" s="198"/>
      <c r="J1330" s="197"/>
      <c r="K1330" s="198"/>
      <c r="L1330" s="199"/>
      <c r="M1330" s="199" t="s">
        <v>1208</v>
      </c>
      <c r="N1330" s="199">
        <v>2</v>
      </c>
      <c r="O1330" s="217"/>
      <c r="P1330" s="193"/>
      <c r="Q1330" s="200"/>
      <c r="R1330" s="194"/>
      <c r="T1330" s="190"/>
      <c r="U1330" s="191"/>
    </row>
    <row r="1331" spans="1:21">
      <c r="A1331" s="192"/>
      <c r="B1331" s="195"/>
      <c r="C1331" s="196"/>
      <c r="D1331" s="197"/>
      <c r="E1331" s="198"/>
      <c r="F1331" s="197"/>
      <c r="G1331" s="198"/>
      <c r="H1331" s="197"/>
      <c r="I1331" s="198"/>
      <c r="J1331" s="197"/>
      <c r="K1331" s="198"/>
      <c r="L1331" s="199"/>
      <c r="M1331" s="199"/>
      <c r="N1331" s="201"/>
      <c r="O1331" s="202"/>
      <c r="P1331" s="193"/>
      <c r="Q1331" s="200"/>
      <c r="R1331" s="194"/>
      <c r="T1331" s="190"/>
      <c r="U1331" s="191"/>
    </row>
    <row r="1332" spans="1:21">
      <c r="A1332" s="192"/>
      <c r="B1332" s="195"/>
      <c r="C1332" s="196"/>
      <c r="D1332" s="197"/>
      <c r="E1332" s="198"/>
      <c r="F1332" s="197"/>
      <c r="G1332" s="198"/>
      <c r="H1332" s="197"/>
      <c r="I1332" s="198"/>
      <c r="J1332" s="197"/>
      <c r="K1332" s="198"/>
      <c r="L1332" s="199" t="s">
        <v>1140</v>
      </c>
      <c r="M1332" s="199" t="s">
        <v>1208</v>
      </c>
      <c r="N1332" s="199">
        <f>SUM(N1328:N1330)</f>
        <v>9</v>
      </c>
      <c r="O1332" s="155" t="e">
        <f>P1326</f>
        <v>#REF!</v>
      </c>
      <c r="P1332" s="193"/>
      <c r="Q1332" s="200"/>
      <c r="R1332" s="194"/>
      <c r="T1332" s="190"/>
      <c r="U1332" s="191"/>
    </row>
    <row r="1333" spans="1:21">
      <c r="A1333" s="192"/>
      <c r="B1333" s="195"/>
      <c r="C1333" s="196"/>
      <c r="D1333" s="197"/>
      <c r="E1333" s="198"/>
      <c r="F1333" s="197"/>
      <c r="G1333" s="198"/>
      <c r="H1333" s="197"/>
      <c r="I1333" s="198"/>
      <c r="J1333" s="197"/>
      <c r="K1333" s="198"/>
      <c r="L1333" s="199"/>
      <c r="M1333" s="199"/>
      <c r="N1333" s="199"/>
      <c r="O1333" s="155"/>
      <c r="P1333" s="193"/>
      <c r="Q1333" s="200"/>
      <c r="R1333" s="194"/>
      <c r="T1333" s="190"/>
      <c r="U1333" s="191"/>
    </row>
    <row r="1334" spans="1:21">
      <c r="A1334" s="192"/>
      <c r="B1334" s="1277" t="s">
        <v>1209</v>
      </c>
      <c r="C1334" s="1277"/>
      <c r="D1334" s="1277"/>
      <c r="E1334" s="1277"/>
      <c r="F1334" s="1277"/>
      <c r="G1334" s="1277"/>
      <c r="H1334" s="1277"/>
      <c r="I1334" s="1277"/>
      <c r="J1334" s="1277"/>
      <c r="K1334" s="1277"/>
      <c r="L1334" s="1277"/>
      <c r="M1334" s="1277"/>
      <c r="N1334" s="1277"/>
      <c r="O1334" s="1277"/>
      <c r="P1334" s="1277"/>
      <c r="Q1334" s="203">
        <v>0</v>
      </c>
      <c r="R1334" s="204">
        <f>Q1334</f>
        <v>0</v>
      </c>
      <c r="T1334" s="1278"/>
      <c r="U1334" s="1279"/>
    </row>
    <row r="1335" spans="1:21">
      <c r="A1335" s="192"/>
      <c r="B1335" s="1277" t="e">
        <f>med</f>
        <v>#NAME?</v>
      </c>
      <c r="C1335" s="1277"/>
      <c r="D1335" s="1277"/>
      <c r="E1335" s="1277"/>
      <c r="F1335" s="1277"/>
      <c r="G1335" s="1277"/>
      <c r="H1335" s="1277"/>
      <c r="I1335" s="1277"/>
      <c r="J1335" s="1277"/>
      <c r="K1335" s="1277"/>
      <c r="L1335" s="1277"/>
      <c r="M1335" s="1277"/>
      <c r="N1335" s="1277"/>
      <c r="O1335" s="1277"/>
      <c r="P1335" s="205">
        <f>N1332</f>
        <v>9</v>
      </c>
      <c r="Q1335" s="203">
        <f>P1335</f>
        <v>9</v>
      </c>
      <c r="R1335" s="204">
        <f>Q1335+R1334</f>
        <v>9</v>
      </c>
      <c r="T1335" s="1278"/>
      <c r="U1335" s="1279"/>
    </row>
    <row r="1336" spans="1:21" ht="18" customHeight="1">
      <c r="A1336" s="187" t="e">
        <f>#REF!</f>
        <v>#REF!</v>
      </c>
      <c r="B1336" s="1275" t="e">
        <f>IF(A1336="","",VLOOKUP($A1336,'[2]FDE-JUNHO-08'!$A$6:$D$3537,2,FALSE()))</f>
        <v>#REF!</v>
      </c>
      <c r="C1336" s="1275"/>
      <c r="D1336" s="1275"/>
      <c r="E1336" s="1275"/>
      <c r="F1336" s="1275"/>
      <c r="G1336" s="1275"/>
      <c r="H1336" s="1275"/>
      <c r="I1336" s="1275"/>
      <c r="J1336" s="1275"/>
      <c r="K1336" s="1275"/>
      <c r="L1336" s="1275"/>
      <c r="M1336" s="1275"/>
      <c r="N1336" s="1275"/>
      <c r="O1336" s="1275"/>
      <c r="P1336" s="188" t="e">
        <f>IF(A1336="","",VLOOKUP($A1336,'[2]FDE-JUNHO-08'!$A$6:$D$3537,3,FALSE()))</f>
        <v>#REF!</v>
      </c>
      <c r="Q1336" s="189" t="s">
        <v>1205</v>
      </c>
      <c r="R1336" s="189" t="s">
        <v>1206</v>
      </c>
      <c r="T1336" s="190"/>
      <c r="U1336" s="191"/>
    </row>
    <row r="1337" spans="1:21">
      <c r="A1337" s="192"/>
      <c r="B1337" s="1281"/>
      <c r="C1337" s="1281"/>
      <c r="D1337" s="1281"/>
      <c r="E1337" s="1281"/>
      <c r="F1337" s="1281"/>
      <c r="G1337" s="1281"/>
      <c r="H1337" s="1281"/>
      <c r="I1337" s="1281"/>
      <c r="J1337" s="1281"/>
      <c r="K1337" s="1281"/>
      <c r="L1337" s="1281"/>
      <c r="M1337" s="1281"/>
      <c r="N1337" s="1281"/>
      <c r="O1337" s="1281"/>
      <c r="P1337" s="193"/>
      <c r="Q1337" s="194"/>
      <c r="R1337" s="194"/>
      <c r="T1337" s="190"/>
      <c r="U1337" s="191"/>
    </row>
    <row r="1338" spans="1:21">
      <c r="A1338" s="192"/>
      <c r="B1338" s="195" t="s">
        <v>1334</v>
      </c>
      <c r="C1338" s="196"/>
      <c r="D1338" s="197"/>
      <c r="E1338" s="198"/>
      <c r="F1338" s="197"/>
      <c r="G1338" s="198"/>
      <c r="H1338" s="197"/>
      <c r="I1338" s="198"/>
      <c r="J1338" s="197"/>
      <c r="K1338" s="198"/>
      <c r="L1338" s="199"/>
      <c r="M1338" s="199" t="s">
        <v>1208</v>
      </c>
      <c r="N1338" s="199">
        <v>1</v>
      </c>
      <c r="O1338" s="155"/>
      <c r="P1338" s="193"/>
      <c r="Q1338" s="200"/>
      <c r="R1338" s="194"/>
      <c r="T1338" s="190"/>
      <c r="U1338" s="191"/>
    </row>
    <row r="1339" spans="1:21">
      <c r="A1339" s="192"/>
      <c r="B1339" s="195" t="s">
        <v>1329</v>
      </c>
      <c r="C1339" s="196"/>
      <c r="D1339" s="197"/>
      <c r="E1339" s="198"/>
      <c r="F1339" s="197"/>
      <c r="G1339" s="198"/>
      <c r="H1339" s="197"/>
      <c r="I1339" s="198"/>
      <c r="J1339" s="197"/>
      <c r="K1339" s="198"/>
      <c r="L1339" s="199"/>
      <c r="M1339" s="199" t="s">
        <v>1208</v>
      </c>
      <c r="N1339" s="199">
        <v>6</v>
      </c>
      <c r="O1339" s="155"/>
      <c r="P1339" s="193"/>
      <c r="Q1339" s="200"/>
      <c r="R1339" s="194"/>
      <c r="T1339" s="190"/>
      <c r="U1339" s="191"/>
    </row>
    <row r="1340" spans="1:21">
      <c r="A1340" s="192"/>
      <c r="B1340" s="195" t="s">
        <v>1330</v>
      </c>
      <c r="C1340" s="196"/>
      <c r="D1340" s="197"/>
      <c r="E1340" s="198"/>
      <c r="F1340" s="197"/>
      <c r="G1340" s="198"/>
      <c r="H1340" s="197"/>
      <c r="I1340" s="198"/>
      <c r="J1340" s="197"/>
      <c r="K1340" s="198"/>
      <c r="L1340" s="199"/>
      <c r="M1340" s="199" t="s">
        <v>1208</v>
      </c>
      <c r="N1340" s="199">
        <v>6</v>
      </c>
      <c r="O1340" s="155"/>
      <c r="P1340" s="193"/>
      <c r="Q1340" s="200"/>
      <c r="R1340" s="194"/>
      <c r="T1340" s="190"/>
      <c r="U1340" s="191"/>
    </row>
    <row r="1341" spans="1:21">
      <c r="A1341" s="192"/>
      <c r="B1341" s="195"/>
      <c r="C1341" s="196"/>
      <c r="D1341" s="197"/>
      <c r="E1341" s="198"/>
      <c r="F1341" s="197"/>
      <c r="G1341" s="198"/>
      <c r="H1341" s="197"/>
      <c r="I1341" s="198"/>
      <c r="J1341" s="197"/>
      <c r="K1341" s="198"/>
      <c r="L1341" s="199"/>
      <c r="M1341" s="199"/>
      <c r="N1341" s="201"/>
      <c r="O1341" s="202"/>
      <c r="P1341" s="193"/>
      <c r="Q1341" s="200"/>
      <c r="R1341" s="194"/>
      <c r="T1341" s="190"/>
      <c r="U1341" s="191"/>
    </row>
    <row r="1342" spans="1:21">
      <c r="A1342" s="192"/>
      <c r="B1342" s="195"/>
      <c r="C1342" s="196"/>
      <c r="D1342" s="197"/>
      <c r="E1342" s="198"/>
      <c r="F1342" s="197"/>
      <c r="G1342" s="198"/>
      <c r="H1342" s="197"/>
      <c r="I1342" s="198"/>
      <c r="J1342" s="197"/>
      <c r="K1342" s="198"/>
      <c r="L1342" s="199" t="s">
        <v>1140</v>
      </c>
      <c r="M1342" s="199" t="s">
        <v>1208</v>
      </c>
      <c r="N1342" s="199">
        <f>SUM(N1338:N1341)</f>
        <v>13</v>
      </c>
      <c r="O1342" s="155" t="e">
        <f>P1336</f>
        <v>#REF!</v>
      </c>
      <c r="P1342" s="193"/>
      <c r="Q1342" s="200"/>
      <c r="R1342" s="194"/>
      <c r="T1342" s="190"/>
      <c r="U1342" s="191"/>
    </row>
    <row r="1343" spans="1:21">
      <c r="A1343" s="192"/>
      <c r="B1343" s="195"/>
      <c r="C1343" s="196"/>
      <c r="D1343" s="197"/>
      <c r="E1343" s="198"/>
      <c r="F1343" s="197"/>
      <c r="G1343" s="198"/>
      <c r="H1343" s="197"/>
      <c r="I1343" s="198"/>
      <c r="J1343" s="197"/>
      <c r="K1343" s="198"/>
      <c r="L1343" s="199"/>
      <c r="M1343" s="199"/>
      <c r="N1343" s="199"/>
      <c r="O1343" s="155"/>
      <c r="P1343" s="193"/>
      <c r="Q1343" s="200"/>
      <c r="R1343" s="194"/>
      <c r="T1343" s="190"/>
      <c r="U1343" s="191"/>
    </row>
    <row r="1344" spans="1:21">
      <c r="A1344" s="192"/>
      <c r="B1344" s="1277" t="s">
        <v>1209</v>
      </c>
      <c r="C1344" s="1277"/>
      <c r="D1344" s="1277"/>
      <c r="E1344" s="1277"/>
      <c r="F1344" s="1277"/>
      <c r="G1344" s="1277"/>
      <c r="H1344" s="1277"/>
      <c r="I1344" s="1277"/>
      <c r="J1344" s="1277"/>
      <c r="K1344" s="1277"/>
      <c r="L1344" s="1277"/>
      <c r="M1344" s="1277"/>
      <c r="N1344" s="1277"/>
      <c r="O1344" s="1277"/>
      <c r="P1344" s="1277"/>
      <c r="Q1344" s="203">
        <v>0</v>
      </c>
      <c r="R1344" s="204">
        <f>Q1344</f>
        <v>0</v>
      </c>
      <c r="T1344" s="1278"/>
      <c r="U1344" s="1279"/>
    </row>
    <row r="1345" spans="1:21">
      <c r="A1345" s="192"/>
      <c r="B1345" s="1277" t="e">
        <f>med</f>
        <v>#NAME?</v>
      </c>
      <c r="C1345" s="1277"/>
      <c r="D1345" s="1277"/>
      <c r="E1345" s="1277"/>
      <c r="F1345" s="1277"/>
      <c r="G1345" s="1277"/>
      <c r="H1345" s="1277"/>
      <c r="I1345" s="1277"/>
      <c r="J1345" s="1277"/>
      <c r="K1345" s="1277"/>
      <c r="L1345" s="1277"/>
      <c r="M1345" s="1277"/>
      <c r="N1345" s="1277"/>
      <c r="O1345" s="1277"/>
      <c r="P1345" s="205">
        <f>N1342</f>
        <v>13</v>
      </c>
      <c r="Q1345" s="203">
        <f>P1345</f>
        <v>13</v>
      </c>
      <c r="R1345" s="204">
        <f>Q1345+R1344</f>
        <v>13</v>
      </c>
      <c r="T1345" s="1278"/>
      <c r="U1345" s="1279"/>
    </row>
    <row r="1346" spans="1:21" ht="18" customHeight="1">
      <c r="A1346" s="187" t="e">
        <f>#REF!</f>
        <v>#REF!</v>
      </c>
      <c r="B1346" s="1275" t="e">
        <f>IF(A1346="","",VLOOKUP($A1346,'[2]FDE-JUNHO-08'!$A$6:$D$3537,2,FALSE()))</f>
        <v>#REF!</v>
      </c>
      <c r="C1346" s="1275"/>
      <c r="D1346" s="1275"/>
      <c r="E1346" s="1275"/>
      <c r="F1346" s="1275"/>
      <c r="G1346" s="1275"/>
      <c r="H1346" s="1275"/>
      <c r="I1346" s="1275"/>
      <c r="J1346" s="1275"/>
      <c r="K1346" s="1275"/>
      <c r="L1346" s="1275"/>
      <c r="M1346" s="1275"/>
      <c r="N1346" s="1275"/>
      <c r="O1346" s="1275"/>
      <c r="P1346" s="188" t="e">
        <f>IF(A1346="","",VLOOKUP($A1346,'[2]FDE-JUNHO-08'!$A$6:$D$3537,3,FALSE()))</f>
        <v>#REF!</v>
      </c>
      <c r="Q1346" s="189" t="s">
        <v>1205</v>
      </c>
      <c r="R1346" s="189" t="s">
        <v>1206</v>
      </c>
      <c r="T1346" s="190"/>
      <c r="U1346" s="191"/>
    </row>
    <row r="1347" spans="1:21">
      <c r="A1347" s="192"/>
      <c r="B1347" s="1281"/>
      <c r="C1347" s="1281"/>
      <c r="D1347" s="1281"/>
      <c r="E1347" s="1281"/>
      <c r="F1347" s="1281"/>
      <c r="G1347" s="1281"/>
      <c r="H1347" s="1281"/>
      <c r="I1347" s="1281"/>
      <c r="J1347" s="1281"/>
      <c r="K1347" s="1281"/>
      <c r="L1347" s="1281"/>
      <c r="M1347" s="1281"/>
      <c r="N1347" s="1281"/>
      <c r="O1347" s="1281"/>
      <c r="P1347" s="193"/>
      <c r="Q1347" s="194"/>
      <c r="R1347" s="194"/>
      <c r="T1347" s="190"/>
      <c r="U1347" s="191"/>
    </row>
    <row r="1348" spans="1:21">
      <c r="A1348" s="192"/>
      <c r="B1348" s="195" t="s">
        <v>1334</v>
      </c>
      <c r="C1348" s="196"/>
      <c r="D1348" s="197"/>
      <c r="E1348" s="198"/>
      <c r="F1348" s="197"/>
      <c r="G1348" s="198"/>
      <c r="H1348" s="197"/>
      <c r="I1348" s="198"/>
      <c r="J1348" s="197"/>
      <c r="K1348" s="198"/>
      <c r="L1348" s="199"/>
      <c r="M1348" s="199" t="s">
        <v>1208</v>
      </c>
      <c r="N1348" s="199">
        <v>1</v>
      </c>
      <c r="O1348" s="155"/>
      <c r="P1348" s="193"/>
      <c r="Q1348" s="200"/>
      <c r="R1348" s="194"/>
      <c r="T1348" s="190"/>
      <c r="U1348" s="191"/>
    </row>
    <row r="1349" spans="1:21">
      <c r="A1349" s="192"/>
      <c r="B1349" s="195" t="s">
        <v>1330</v>
      </c>
      <c r="C1349" s="196"/>
      <c r="D1349" s="197"/>
      <c r="E1349" s="198"/>
      <c r="F1349" s="197"/>
      <c r="G1349" s="198"/>
      <c r="H1349" s="197"/>
      <c r="I1349" s="198"/>
      <c r="J1349" s="197"/>
      <c r="K1349" s="198"/>
      <c r="L1349" s="199"/>
      <c r="M1349" s="199" t="s">
        <v>1208</v>
      </c>
      <c r="N1349" s="199">
        <v>6</v>
      </c>
      <c r="O1349" s="155"/>
      <c r="P1349" s="193"/>
      <c r="Q1349" s="200"/>
      <c r="R1349" s="194"/>
      <c r="T1349" s="190"/>
      <c r="U1349" s="191"/>
    </row>
    <row r="1350" spans="1:21">
      <c r="A1350" s="192"/>
      <c r="B1350" s="195" t="s">
        <v>1335</v>
      </c>
      <c r="C1350" s="196"/>
      <c r="D1350" s="197"/>
      <c r="E1350" s="198"/>
      <c r="F1350" s="197"/>
      <c r="G1350" s="198"/>
      <c r="H1350" s="197"/>
      <c r="I1350" s="198"/>
      <c r="J1350" s="197"/>
      <c r="K1350" s="198"/>
      <c r="L1350" s="199"/>
      <c r="M1350" s="199" t="s">
        <v>1208</v>
      </c>
      <c r="N1350" s="199">
        <v>2</v>
      </c>
      <c r="O1350" s="217"/>
      <c r="P1350" s="193"/>
      <c r="Q1350" s="200"/>
      <c r="R1350" s="194"/>
      <c r="T1350" s="190"/>
      <c r="U1350" s="191"/>
    </row>
    <row r="1351" spans="1:21">
      <c r="A1351" s="192"/>
      <c r="B1351" s="195"/>
      <c r="C1351" s="196"/>
      <c r="D1351" s="197"/>
      <c r="E1351" s="198"/>
      <c r="F1351" s="197"/>
      <c r="G1351" s="198"/>
      <c r="H1351" s="197"/>
      <c r="I1351" s="198"/>
      <c r="J1351" s="197"/>
      <c r="K1351" s="198"/>
      <c r="L1351" s="199"/>
      <c r="M1351" s="199"/>
      <c r="N1351" s="201"/>
      <c r="O1351" s="202"/>
      <c r="P1351" s="193"/>
      <c r="Q1351" s="200"/>
      <c r="R1351" s="194"/>
      <c r="T1351" s="190"/>
      <c r="U1351" s="191"/>
    </row>
    <row r="1352" spans="1:21">
      <c r="A1352" s="192"/>
      <c r="B1352" s="195"/>
      <c r="C1352" s="196"/>
      <c r="D1352" s="197"/>
      <c r="E1352" s="198"/>
      <c r="F1352" s="197"/>
      <c r="G1352" s="198"/>
      <c r="H1352" s="197"/>
      <c r="I1352" s="198"/>
      <c r="J1352" s="197"/>
      <c r="K1352" s="198"/>
      <c r="L1352" s="199" t="s">
        <v>1140</v>
      </c>
      <c r="M1352" s="199" t="s">
        <v>1208</v>
      </c>
      <c r="N1352" s="199">
        <f>SUM(N1348:N1350)</f>
        <v>9</v>
      </c>
      <c r="O1352" s="155" t="e">
        <f>P1346</f>
        <v>#REF!</v>
      </c>
      <c r="P1352" s="193"/>
      <c r="Q1352" s="200"/>
      <c r="R1352" s="194"/>
      <c r="T1352" s="190"/>
      <c r="U1352" s="191"/>
    </row>
    <row r="1353" spans="1:21">
      <c r="A1353" s="192"/>
      <c r="B1353" s="195"/>
      <c r="C1353" s="196"/>
      <c r="D1353" s="197"/>
      <c r="E1353" s="198"/>
      <c r="F1353" s="197"/>
      <c r="G1353" s="198"/>
      <c r="H1353" s="197"/>
      <c r="I1353" s="198"/>
      <c r="J1353" s="197"/>
      <c r="K1353" s="198"/>
      <c r="L1353" s="199"/>
      <c r="M1353" s="199"/>
      <c r="N1353" s="199"/>
      <c r="O1353" s="155"/>
      <c r="P1353" s="193"/>
      <c r="Q1353" s="200"/>
      <c r="R1353" s="194"/>
      <c r="T1353" s="190"/>
      <c r="U1353" s="191"/>
    </row>
    <row r="1354" spans="1:21">
      <c r="A1354" s="192"/>
      <c r="B1354" s="1277" t="s">
        <v>1209</v>
      </c>
      <c r="C1354" s="1277"/>
      <c r="D1354" s="1277"/>
      <c r="E1354" s="1277"/>
      <c r="F1354" s="1277"/>
      <c r="G1354" s="1277"/>
      <c r="H1354" s="1277"/>
      <c r="I1354" s="1277"/>
      <c r="J1354" s="1277"/>
      <c r="K1354" s="1277"/>
      <c r="L1354" s="1277"/>
      <c r="M1354" s="1277"/>
      <c r="N1354" s="1277"/>
      <c r="O1354" s="1277"/>
      <c r="P1354" s="1277"/>
      <c r="Q1354" s="203">
        <v>0</v>
      </c>
      <c r="R1354" s="204">
        <f>Q1354</f>
        <v>0</v>
      </c>
      <c r="T1354" s="1278"/>
      <c r="U1354" s="1279"/>
    </row>
    <row r="1355" spans="1:21">
      <c r="A1355" s="192"/>
      <c r="B1355" s="1277" t="e">
        <f>med</f>
        <v>#NAME?</v>
      </c>
      <c r="C1355" s="1277"/>
      <c r="D1355" s="1277"/>
      <c r="E1355" s="1277"/>
      <c r="F1355" s="1277"/>
      <c r="G1355" s="1277"/>
      <c r="H1355" s="1277"/>
      <c r="I1355" s="1277"/>
      <c r="J1355" s="1277"/>
      <c r="K1355" s="1277"/>
      <c r="L1355" s="1277"/>
      <c r="M1355" s="1277"/>
      <c r="N1355" s="1277"/>
      <c r="O1355" s="1277"/>
      <c r="P1355" s="205">
        <f>N1352</f>
        <v>9</v>
      </c>
      <c r="Q1355" s="203">
        <f>P1355</f>
        <v>9</v>
      </c>
      <c r="R1355" s="204">
        <f>Q1355+R1354</f>
        <v>9</v>
      </c>
      <c r="T1355" s="1278"/>
      <c r="U1355" s="1279"/>
    </row>
    <row r="1356" spans="1:21" ht="18" customHeight="1">
      <c r="A1356" s="187" t="e">
        <f>#REF!</f>
        <v>#REF!</v>
      </c>
      <c r="B1356" s="1275" t="e">
        <f>IF(A1356="","",VLOOKUP($A1356,'[2]FDE-JUNHO-08'!$A$6:$D$3537,2,FALSE()))</f>
        <v>#REF!</v>
      </c>
      <c r="C1356" s="1275"/>
      <c r="D1356" s="1275"/>
      <c r="E1356" s="1275"/>
      <c r="F1356" s="1275"/>
      <c r="G1356" s="1275"/>
      <c r="H1356" s="1275"/>
      <c r="I1356" s="1275"/>
      <c r="J1356" s="1275"/>
      <c r="K1356" s="1275"/>
      <c r="L1356" s="1275"/>
      <c r="M1356" s="1275"/>
      <c r="N1356" s="1275"/>
      <c r="O1356" s="1275"/>
      <c r="P1356" s="188" t="e">
        <f>IF(A1356="","",VLOOKUP($A1356,'[2]FDE-JUNHO-08'!$A$6:$D$3537,3,FALSE()))</f>
        <v>#REF!</v>
      </c>
      <c r="Q1356" s="189" t="s">
        <v>1205</v>
      </c>
      <c r="R1356" s="189" t="s">
        <v>1206</v>
      </c>
      <c r="T1356" s="190"/>
      <c r="U1356" s="191"/>
    </row>
    <row r="1357" spans="1:21">
      <c r="A1357" s="192"/>
      <c r="B1357" s="1281"/>
      <c r="C1357" s="1281"/>
      <c r="D1357" s="1281"/>
      <c r="E1357" s="1281"/>
      <c r="F1357" s="1281"/>
      <c r="G1357" s="1281"/>
      <c r="H1357" s="1281"/>
      <c r="I1357" s="1281"/>
      <c r="J1357" s="1281"/>
      <c r="K1357" s="1281"/>
      <c r="L1357" s="1281"/>
      <c r="M1357" s="1281"/>
      <c r="N1357" s="1281"/>
      <c r="O1357" s="1281"/>
      <c r="P1357" s="193"/>
      <c r="Q1357" s="194"/>
      <c r="R1357" s="194"/>
      <c r="T1357" s="190"/>
      <c r="U1357" s="191"/>
    </row>
    <row r="1358" spans="1:21">
      <c r="A1358" s="192"/>
      <c r="B1358" s="195" t="s">
        <v>1329</v>
      </c>
      <c r="C1358" s="196"/>
      <c r="D1358" s="197"/>
      <c r="E1358" s="198"/>
      <c r="F1358" s="197"/>
      <c r="G1358" s="198"/>
      <c r="H1358" s="197"/>
      <c r="I1358" s="198"/>
      <c r="J1358" s="197"/>
      <c r="K1358" s="198"/>
      <c r="L1358" s="199"/>
      <c r="M1358" s="199" t="s">
        <v>1208</v>
      </c>
      <c r="N1358" s="199">
        <v>6</v>
      </c>
      <c r="O1358" s="155"/>
      <c r="P1358" s="193"/>
      <c r="Q1358" s="200"/>
      <c r="R1358" s="194"/>
      <c r="T1358" s="190"/>
      <c r="U1358" s="191"/>
    </row>
    <row r="1359" spans="1:21">
      <c r="A1359" s="192"/>
      <c r="B1359" s="195"/>
      <c r="C1359" s="196"/>
      <c r="D1359" s="197"/>
      <c r="E1359" s="198"/>
      <c r="F1359" s="197"/>
      <c r="G1359" s="198"/>
      <c r="H1359" s="197"/>
      <c r="I1359" s="198"/>
      <c r="J1359" s="197"/>
      <c r="K1359" s="198"/>
      <c r="L1359" s="199"/>
      <c r="M1359" s="199"/>
      <c r="N1359" s="201"/>
      <c r="O1359" s="202"/>
      <c r="P1359" s="193"/>
      <c r="Q1359" s="200"/>
      <c r="R1359" s="194"/>
      <c r="T1359" s="190"/>
      <c r="U1359" s="191"/>
    </row>
    <row r="1360" spans="1:21">
      <c r="A1360" s="192"/>
      <c r="B1360" s="195"/>
      <c r="C1360" s="196"/>
      <c r="D1360" s="197"/>
      <c r="E1360" s="198"/>
      <c r="F1360" s="197"/>
      <c r="G1360" s="198"/>
      <c r="H1360" s="197"/>
      <c r="I1360" s="198"/>
      <c r="J1360" s="197"/>
      <c r="K1360" s="198"/>
      <c r="L1360" s="199" t="s">
        <v>1140</v>
      </c>
      <c r="M1360" s="199" t="s">
        <v>1208</v>
      </c>
      <c r="N1360" s="199">
        <f>SUM(N1358:N1359)</f>
        <v>6</v>
      </c>
      <c r="O1360" s="155" t="e">
        <f>P1356</f>
        <v>#REF!</v>
      </c>
      <c r="P1360" s="193"/>
      <c r="Q1360" s="200"/>
      <c r="R1360" s="194"/>
      <c r="T1360" s="190"/>
      <c r="U1360" s="191"/>
    </row>
    <row r="1361" spans="1:21">
      <c r="A1361" s="192"/>
      <c r="B1361" s="195"/>
      <c r="C1361" s="196"/>
      <c r="D1361" s="197"/>
      <c r="E1361" s="198"/>
      <c r="F1361" s="197"/>
      <c r="G1361" s="198"/>
      <c r="H1361" s="197"/>
      <c r="I1361" s="198"/>
      <c r="J1361" s="197"/>
      <c r="K1361" s="198"/>
      <c r="L1361" s="199"/>
      <c r="M1361" s="199"/>
      <c r="N1361" s="199"/>
      <c r="O1361" s="155"/>
      <c r="P1361" s="193"/>
      <c r="Q1361" s="200"/>
      <c r="R1361" s="194"/>
      <c r="T1361" s="190"/>
      <c r="U1361" s="191"/>
    </row>
    <row r="1362" spans="1:21">
      <c r="A1362" s="192"/>
      <c r="B1362" s="1277" t="s">
        <v>1209</v>
      </c>
      <c r="C1362" s="1277"/>
      <c r="D1362" s="1277"/>
      <c r="E1362" s="1277"/>
      <c r="F1362" s="1277"/>
      <c r="G1362" s="1277"/>
      <c r="H1362" s="1277"/>
      <c r="I1362" s="1277"/>
      <c r="J1362" s="1277"/>
      <c r="K1362" s="1277"/>
      <c r="L1362" s="1277"/>
      <c r="M1362" s="1277"/>
      <c r="N1362" s="1277"/>
      <c r="O1362" s="1277"/>
      <c r="P1362" s="1277"/>
      <c r="Q1362" s="203">
        <v>0</v>
      </c>
      <c r="R1362" s="204">
        <f>Q1362</f>
        <v>0</v>
      </c>
      <c r="T1362" s="1278"/>
      <c r="U1362" s="1279"/>
    </row>
    <row r="1363" spans="1:21">
      <c r="A1363" s="206"/>
      <c r="B1363" s="1277" t="e">
        <f>med</f>
        <v>#NAME?</v>
      </c>
      <c r="C1363" s="1277"/>
      <c r="D1363" s="1277"/>
      <c r="E1363" s="1277"/>
      <c r="F1363" s="1277"/>
      <c r="G1363" s="1277"/>
      <c r="H1363" s="1277"/>
      <c r="I1363" s="1277"/>
      <c r="J1363" s="1277"/>
      <c r="K1363" s="1277"/>
      <c r="L1363" s="1277"/>
      <c r="M1363" s="1277"/>
      <c r="N1363" s="1277"/>
      <c r="O1363" s="1277"/>
      <c r="P1363" s="205">
        <f>N1360</f>
        <v>6</v>
      </c>
      <c r="Q1363" s="203">
        <f>P1363</f>
        <v>6</v>
      </c>
      <c r="R1363" s="204">
        <f>Q1363+R1362</f>
        <v>6</v>
      </c>
      <c r="T1363" s="1278"/>
      <c r="U1363" s="1279"/>
    </row>
    <row r="1364" spans="1:21" ht="18" customHeight="1">
      <c r="A1364" s="187">
        <v>87007</v>
      </c>
      <c r="B1364" s="1275" t="e">
        <f>IF(A1364="","",VLOOKUP($A1364,'[2]FDE-JUNHO-08'!$A$6:$D$3537,2,FALSE()))</f>
        <v>#N/A</v>
      </c>
      <c r="C1364" s="1275"/>
      <c r="D1364" s="1275"/>
      <c r="E1364" s="1275"/>
      <c r="F1364" s="1275"/>
      <c r="G1364" s="1275"/>
      <c r="H1364" s="1275"/>
      <c r="I1364" s="1275"/>
      <c r="J1364" s="1275"/>
      <c r="K1364" s="1275"/>
      <c r="L1364" s="1275"/>
      <c r="M1364" s="1275"/>
      <c r="N1364" s="1275"/>
      <c r="O1364" s="1275"/>
      <c r="P1364" s="188" t="e">
        <f>IF(A1364="","",VLOOKUP($A1364,'[2]FDE-JUNHO-08'!$A$6:$D$3537,3,FALSE()))</f>
        <v>#N/A</v>
      </c>
      <c r="Q1364" s="189" t="s">
        <v>1205</v>
      </c>
      <c r="R1364" s="189" t="s">
        <v>1206</v>
      </c>
      <c r="T1364" s="190"/>
      <c r="U1364" s="191"/>
    </row>
    <row r="1365" spans="1:21">
      <c r="A1365" s="192"/>
      <c r="B1365" s="195"/>
      <c r="C1365" s="196"/>
      <c r="D1365" s="197"/>
      <c r="E1365" s="198"/>
      <c r="F1365" s="197"/>
      <c r="G1365" s="198"/>
      <c r="H1365" s="197"/>
      <c r="I1365" s="207"/>
      <c r="J1365" s="207"/>
      <c r="K1365" s="208"/>
      <c r="L1365" s="209"/>
      <c r="M1365" s="209"/>
      <c r="N1365" s="209"/>
      <c r="O1365" s="155"/>
      <c r="P1365" s="193"/>
      <c r="Q1365" s="200"/>
      <c r="R1365" s="194"/>
      <c r="T1365" s="190"/>
      <c r="U1365" s="191"/>
    </row>
    <row r="1366" spans="1:21">
      <c r="A1366" s="192"/>
      <c r="B1366" s="195" t="s">
        <v>1331</v>
      </c>
      <c r="C1366" s="196"/>
      <c r="D1366" s="197"/>
      <c r="E1366" s="198"/>
      <c r="F1366" s="197"/>
      <c r="G1366" s="198"/>
      <c r="H1366" s="197"/>
      <c r="I1366" s="198"/>
      <c r="J1366" s="197"/>
      <c r="K1366" s="198"/>
      <c r="L1366" s="199"/>
      <c r="M1366" s="199" t="s">
        <v>1208</v>
      </c>
      <c r="N1366" s="199">
        <v>1</v>
      </c>
      <c r="O1366" s="155"/>
      <c r="P1366" s="193"/>
      <c r="Q1366" s="200"/>
      <c r="R1366" s="194"/>
      <c r="T1366" s="190"/>
      <c r="U1366" s="191"/>
    </row>
    <row r="1367" spans="1:21">
      <c r="A1367" s="192"/>
      <c r="B1367" s="195" t="s">
        <v>1332</v>
      </c>
      <c r="C1367" s="196"/>
      <c r="D1367" s="197"/>
      <c r="E1367" s="198"/>
      <c r="F1367" s="197"/>
      <c r="G1367" s="198"/>
      <c r="H1367" s="197"/>
      <c r="I1367" s="198"/>
      <c r="J1367" s="197"/>
      <c r="K1367" s="198"/>
      <c r="L1367" s="199"/>
      <c r="M1367" s="199" t="s">
        <v>1208</v>
      </c>
      <c r="N1367" s="199">
        <v>6</v>
      </c>
      <c r="O1367" s="155"/>
      <c r="P1367" s="193"/>
      <c r="Q1367" s="200"/>
      <c r="R1367" s="194"/>
      <c r="T1367" s="190"/>
      <c r="U1367" s="191"/>
    </row>
    <row r="1368" spans="1:21">
      <c r="A1368" s="192"/>
      <c r="B1368" s="195" t="s">
        <v>1333</v>
      </c>
      <c r="C1368" s="196"/>
      <c r="D1368" s="197"/>
      <c r="E1368" s="198"/>
      <c r="F1368" s="197"/>
      <c r="G1368" s="198"/>
      <c r="H1368" s="197"/>
      <c r="I1368" s="198"/>
      <c r="J1368" s="197"/>
      <c r="K1368" s="198"/>
      <c r="L1368" s="199"/>
      <c r="M1368" s="199" t="s">
        <v>1208</v>
      </c>
      <c r="N1368" s="199">
        <v>2</v>
      </c>
      <c r="O1368" s="217"/>
      <c r="P1368" s="193"/>
      <c r="Q1368" s="200"/>
      <c r="R1368" s="194"/>
      <c r="T1368" s="190"/>
      <c r="U1368" s="191"/>
    </row>
    <row r="1369" spans="1:21">
      <c r="A1369" s="192"/>
      <c r="B1369" s="195"/>
      <c r="C1369" s="196"/>
      <c r="D1369" s="197"/>
      <c r="E1369" s="198"/>
      <c r="F1369" s="197"/>
      <c r="G1369" s="198"/>
      <c r="H1369" s="197"/>
      <c r="I1369" s="198"/>
      <c r="J1369" s="197"/>
      <c r="K1369" s="198"/>
      <c r="L1369" s="199"/>
      <c r="M1369" s="199"/>
      <c r="N1369" s="201"/>
      <c r="O1369" s="202"/>
      <c r="P1369" s="193"/>
      <c r="Q1369" s="194"/>
      <c r="R1369" s="194"/>
      <c r="T1369" s="190"/>
      <c r="U1369" s="191"/>
    </row>
    <row r="1370" spans="1:21">
      <c r="A1370" s="192"/>
      <c r="B1370" s="195"/>
      <c r="C1370" s="196"/>
      <c r="D1370" s="197"/>
      <c r="E1370" s="198"/>
      <c r="F1370" s="197"/>
      <c r="G1370" s="198"/>
      <c r="H1370" s="197"/>
      <c r="I1370" s="198"/>
      <c r="J1370" s="197"/>
      <c r="K1370" s="198"/>
      <c r="L1370" s="199" t="s">
        <v>1140</v>
      </c>
      <c r="M1370" s="199" t="s">
        <v>1208</v>
      </c>
      <c r="N1370" s="199">
        <f>SUM(N1366:N1368)</f>
        <v>9</v>
      </c>
      <c r="O1370" s="155" t="e">
        <f>P1364</f>
        <v>#N/A</v>
      </c>
      <c r="P1370" s="193"/>
      <c r="Q1370" s="200"/>
      <c r="R1370" s="194"/>
      <c r="T1370" s="190"/>
      <c r="U1370" s="191"/>
    </row>
    <row r="1371" spans="1:21">
      <c r="A1371" s="192"/>
      <c r="B1371" s="195"/>
      <c r="C1371" s="196"/>
      <c r="D1371" s="197"/>
      <c r="E1371" s="198"/>
      <c r="F1371" s="197"/>
      <c r="G1371" s="198"/>
      <c r="H1371" s="197"/>
      <c r="I1371" s="198"/>
      <c r="J1371" s="197"/>
      <c r="K1371" s="198"/>
      <c r="L1371" s="199"/>
      <c r="M1371" s="199"/>
      <c r="N1371" s="199"/>
      <c r="O1371" s="155"/>
      <c r="P1371" s="193"/>
      <c r="Q1371" s="200"/>
      <c r="R1371" s="194"/>
      <c r="T1371" s="190"/>
      <c r="U1371" s="191"/>
    </row>
    <row r="1372" spans="1:21">
      <c r="A1372" s="192"/>
      <c r="B1372" s="1277" t="s">
        <v>1209</v>
      </c>
      <c r="C1372" s="1277"/>
      <c r="D1372" s="1277"/>
      <c r="E1372" s="1277"/>
      <c r="F1372" s="1277"/>
      <c r="G1372" s="1277"/>
      <c r="H1372" s="1277"/>
      <c r="I1372" s="1277"/>
      <c r="J1372" s="1277"/>
      <c r="K1372" s="1277"/>
      <c r="L1372" s="1277"/>
      <c r="M1372" s="1277"/>
      <c r="N1372" s="1277"/>
      <c r="O1372" s="1277"/>
      <c r="P1372" s="1277"/>
      <c r="Q1372" s="203">
        <v>0</v>
      </c>
      <c r="R1372" s="204">
        <f>Q1372</f>
        <v>0</v>
      </c>
      <c r="T1372" s="1278"/>
      <c r="U1372" s="1279"/>
    </row>
    <row r="1373" spans="1:21">
      <c r="A1373" s="192"/>
      <c r="B1373" s="1277" t="e">
        <f>med</f>
        <v>#NAME?</v>
      </c>
      <c r="C1373" s="1277"/>
      <c r="D1373" s="1277"/>
      <c r="E1373" s="1277"/>
      <c r="F1373" s="1277"/>
      <c r="G1373" s="1277"/>
      <c r="H1373" s="1277"/>
      <c r="I1373" s="1277"/>
      <c r="J1373" s="1277"/>
      <c r="K1373" s="1277"/>
      <c r="L1373" s="1277"/>
      <c r="M1373" s="1277"/>
      <c r="N1373" s="1277"/>
      <c r="O1373" s="1277"/>
      <c r="P1373" s="205">
        <f>N1370</f>
        <v>9</v>
      </c>
      <c r="Q1373" s="203">
        <f>P1373</f>
        <v>9</v>
      </c>
      <c r="R1373" s="204">
        <f>Q1373+R1372</f>
        <v>9</v>
      </c>
      <c r="T1373" s="1278"/>
      <c r="U1373" s="1279"/>
    </row>
    <row r="1374" spans="1:21" ht="18" customHeight="1">
      <c r="A1374" s="187" t="e">
        <f>#REF!</f>
        <v>#REF!</v>
      </c>
      <c r="B1374" s="1275" t="e">
        <f>IF(A1374="","",VLOOKUP($A1374,'[2]FDE-JUNHO-08'!$A$6:$D$3537,2,FALSE()))</f>
        <v>#REF!</v>
      </c>
      <c r="C1374" s="1275"/>
      <c r="D1374" s="1275"/>
      <c r="E1374" s="1275"/>
      <c r="F1374" s="1275"/>
      <c r="G1374" s="1275"/>
      <c r="H1374" s="1275"/>
      <c r="I1374" s="1275"/>
      <c r="J1374" s="1275"/>
      <c r="K1374" s="1275"/>
      <c r="L1374" s="1275"/>
      <c r="M1374" s="1275"/>
      <c r="N1374" s="1275"/>
      <c r="O1374" s="1275"/>
      <c r="P1374" s="188" t="e">
        <f>IF(A1374="","",VLOOKUP($A1374,'[2]FDE-JUNHO-08'!$A$6:$D$3537,3,FALSE()))</f>
        <v>#REF!</v>
      </c>
      <c r="Q1374" s="189" t="s">
        <v>1205</v>
      </c>
      <c r="R1374" s="189" t="s">
        <v>1206</v>
      </c>
      <c r="T1374" s="190"/>
      <c r="U1374" s="191"/>
    </row>
    <row r="1375" spans="1:21">
      <c r="A1375" s="192"/>
      <c r="B1375" s="1281"/>
      <c r="C1375" s="1281"/>
      <c r="D1375" s="1281"/>
      <c r="E1375" s="1281"/>
      <c r="F1375" s="1281"/>
      <c r="G1375" s="1281"/>
      <c r="H1375" s="1281"/>
      <c r="I1375" s="1281"/>
      <c r="J1375" s="1281"/>
      <c r="K1375" s="1281"/>
      <c r="L1375" s="1281"/>
      <c r="M1375" s="1281"/>
      <c r="N1375" s="1281"/>
      <c r="O1375" s="1281"/>
      <c r="P1375" s="193"/>
      <c r="Q1375" s="194"/>
      <c r="R1375" s="194"/>
      <c r="T1375" s="190"/>
      <c r="U1375" s="191"/>
    </row>
    <row r="1376" spans="1:21">
      <c r="A1376" s="192"/>
      <c r="B1376" s="195" t="s">
        <v>1334</v>
      </c>
      <c r="C1376" s="196"/>
      <c r="D1376" s="197"/>
      <c r="E1376" s="198"/>
      <c r="F1376" s="197"/>
      <c r="G1376" s="198"/>
      <c r="H1376" s="197"/>
      <c r="I1376" s="198"/>
      <c r="J1376" s="197"/>
      <c r="K1376" s="198"/>
      <c r="L1376" s="199"/>
      <c r="M1376" s="199" t="s">
        <v>1208</v>
      </c>
      <c r="N1376" s="199">
        <v>1</v>
      </c>
      <c r="O1376" s="155"/>
      <c r="P1376" s="193"/>
      <c r="Q1376" s="200"/>
      <c r="R1376" s="194"/>
      <c r="T1376" s="190"/>
      <c r="U1376" s="191"/>
    </row>
    <row r="1377" spans="1:21">
      <c r="A1377" s="192"/>
      <c r="B1377" s="195" t="s">
        <v>1330</v>
      </c>
      <c r="C1377" s="196"/>
      <c r="D1377" s="197"/>
      <c r="E1377" s="198"/>
      <c r="F1377" s="197"/>
      <c r="G1377" s="198"/>
      <c r="H1377" s="197"/>
      <c r="I1377" s="198"/>
      <c r="J1377" s="197"/>
      <c r="K1377" s="198"/>
      <c r="L1377" s="199"/>
      <c r="M1377" s="199" t="s">
        <v>1208</v>
      </c>
      <c r="N1377" s="199">
        <v>6</v>
      </c>
      <c r="O1377" s="155"/>
      <c r="P1377" s="193"/>
      <c r="Q1377" s="200"/>
      <c r="R1377" s="194"/>
      <c r="T1377" s="190"/>
      <c r="U1377" s="191"/>
    </row>
    <row r="1378" spans="1:21">
      <c r="A1378" s="192"/>
      <c r="B1378" s="195" t="s">
        <v>1335</v>
      </c>
      <c r="C1378" s="196"/>
      <c r="D1378" s="197"/>
      <c r="E1378" s="198"/>
      <c r="F1378" s="197"/>
      <c r="G1378" s="198"/>
      <c r="H1378" s="197"/>
      <c r="I1378" s="198"/>
      <c r="J1378" s="197"/>
      <c r="K1378" s="198"/>
      <c r="L1378" s="199"/>
      <c r="M1378" s="199" t="s">
        <v>1208</v>
      </c>
      <c r="N1378" s="199">
        <v>2</v>
      </c>
      <c r="O1378" s="217"/>
      <c r="P1378" s="193"/>
      <c r="Q1378" s="200"/>
      <c r="R1378" s="194"/>
      <c r="T1378" s="190"/>
      <c r="U1378" s="191"/>
    </row>
    <row r="1379" spans="1:21">
      <c r="A1379" s="192"/>
      <c r="B1379" s="195"/>
      <c r="C1379" s="196"/>
      <c r="D1379" s="197"/>
      <c r="E1379" s="198"/>
      <c r="F1379" s="197"/>
      <c r="G1379" s="198"/>
      <c r="H1379" s="197"/>
      <c r="I1379" s="198"/>
      <c r="J1379" s="197"/>
      <c r="K1379" s="198"/>
      <c r="L1379" s="199"/>
      <c r="M1379" s="199"/>
      <c r="N1379" s="201"/>
      <c r="O1379" s="202"/>
      <c r="P1379" s="193"/>
      <c r="Q1379" s="200"/>
      <c r="R1379" s="194"/>
      <c r="T1379" s="190"/>
      <c r="U1379" s="191"/>
    </row>
    <row r="1380" spans="1:21">
      <c r="A1380" s="192"/>
      <c r="B1380" s="195"/>
      <c r="C1380" s="196"/>
      <c r="D1380" s="197"/>
      <c r="E1380" s="198"/>
      <c r="F1380" s="197"/>
      <c r="G1380" s="198"/>
      <c r="H1380" s="197"/>
      <c r="I1380" s="198"/>
      <c r="J1380" s="197"/>
      <c r="K1380" s="198"/>
      <c r="L1380" s="199" t="s">
        <v>1140</v>
      </c>
      <c r="M1380" s="199" t="s">
        <v>1208</v>
      </c>
      <c r="N1380" s="199">
        <f>SUM(N1376:N1378)</f>
        <v>9</v>
      </c>
      <c r="O1380" s="155" t="e">
        <f>P1374</f>
        <v>#REF!</v>
      </c>
      <c r="P1380" s="193"/>
      <c r="Q1380" s="200"/>
      <c r="R1380" s="194"/>
      <c r="T1380" s="190"/>
      <c r="U1380" s="191"/>
    </row>
    <row r="1381" spans="1:21">
      <c r="A1381" s="192"/>
      <c r="B1381" s="195"/>
      <c r="C1381" s="196"/>
      <c r="D1381" s="197"/>
      <c r="E1381" s="198"/>
      <c r="F1381" s="197"/>
      <c r="G1381" s="198"/>
      <c r="H1381" s="197"/>
      <c r="I1381" s="198"/>
      <c r="J1381" s="197"/>
      <c r="K1381" s="198"/>
      <c r="L1381" s="199"/>
      <c r="M1381" s="199"/>
      <c r="N1381" s="199"/>
      <c r="O1381" s="155"/>
      <c r="P1381" s="193"/>
      <c r="Q1381" s="200"/>
      <c r="R1381" s="194"/>
      <c r="T1381" s="190"/>
      <c r="U1381" s="191"/>
    </row>
    <row r="1382" spans="1:21">
      <c r="A1382" s="192"/>
      <c r="B1382" s="1277" t="s">
        <v>1209</v>
      </c>
      <c r="C1382" s="1277"/>
      <c r="D1382" s="1277"/>
      <c r="E1382" s="1277"/>
      <c r="F1382" s="1277"/>
      <c r="G1382" s="1277"/>
      <c r="H1382" s="1277"/>
      <c r="I1382" s="1277"/>
      <c r="J1382" s="1277"/>
      <c r="K1382" s="1277"/>
      <c r="L1382" s="1277"/>
      <c r="M1382" s="1277"/>
      <c r="N1382" s="1277"/>
      <c r="O1382" s="1277"/>
      <c r="P1382" s="1277"/>
      <c r="Q1382" s="203">
        <v>0</v>
      </c>
      <c r="R1382" s="204">
        <f>Q1382</f>
        <v>0</v>
      </c>
      <c r="T1382" s="1278"/>
      <c r="U1382" s="1279"/>
    </row>
    <row r="1383" spans="1:21">
      <c r="A1383" s="192"/>
      <c r="B1383" s="1277" t="e">
        <f>med</f>
        <v>#NAME?</v>
      </c>
      <c r="C1383" s="1277"/>
      <c r="D1383" s="1277"/>
      <c r="E1383" s="1277"/>
      <c r="F1383" s="1277"/>
      <c r="G1383" s="1277"/>
      <c r="H1383" s="1277"/>
      <c r="I1383" s="1277"/>
      <c r="J1383" s="1277"/>
      <c r="K1383" s="1277"/>
      <c r="L1383" s="1277"/>
      <c r="M1383" s="1277"/>
      <c r="N1383" s="1277"/>
      <c r="O1383" s="1277"/>
      <c r="P1383" s="205">
        <f>N1380</f>
        <v>9</v>
      </c>
      <c r="Q1383" s="203">
        <f>P1383</f>
        <v>9</v>
      </c>
      <c r="R1383" s="204">
        <f>Q1383+R1382</f>
        <v>9</v>
      </c>
      <c r="T1383" s="1278"/>
      <c r="U1383" s="1279"/>
    </row>
    <row r="1384" spans="1:21" ht="18" customHeight="1">
      <c r="A1384" s="187" t="e">
        <f>#REF!</f>
        <v>#REF!</v>
      </c>
      <c r="B1384" s="1275" t="e">
        <f>IF(A1384="","",VLOOKUP($A1384,'[2]FDE-JUNHO-08'!$A$6:$D$3537,2,FALSE()))</f>
        <v>#REF!</v>
      </c>
      <c r="C1384" s="1275"/>
      <c r="D1384" s="1275"/>
      <c r="E1384" s="1275"/>
      <c r="F1384" s="1275"/>
      <c r="G1384" s="1275"/>
      <c r="H1384" s="1275"/>
      <c r="I1384" s="1275"/>
      <c r="J1384" s="1275"/>
      <c r="K1384" s="1275"/>
      <c r="L1384" s="1275"/>
      <c r="M1384" s="1275"/>
      <c r="N1384" s="1275"/>
      <c r="O1384" s="1275"/>
      <c r="P1384" s="188" t="e">
        <f>IF(A1384="","",VLOOKUP($A1384,'[2]FDE-JUNHO-08'!$A$6:$D$3537,3,FALSE()))</f>
        <v>#REF!</v>
      </c>
      <c r="Q1384" s="189" t="s">
        <v>1205</v>
      </c>
      <c r="R1384" s="189" t="s">
        <v>1206</v>
      </c>
      <c r="T1384" s="190"/>
      <c r="U1384" s="191"/>
    </row>
    <row r="1385" spans="1:21">
      <c r="A1385" s="192"/>
      <c r="B1385" s="1281"/>
      <c r="C1385" s="1281"/>
      <c r="D1385" s="1281"/>
      <c r="E1385" s="1281"/>
      <c r="F1385" s="1281"/>
      <c r="G1385" s="1281"/>
      <c r="H1385" s="1281"/>
      <c r="I1385" s="1281"/>
      <c r="J1385" s="1281"/>
      <c r="K1385" s="1281"/>
      <c r="L1385" s="1281"/>
      <c r="M1385" s="1281"/>
      <c r="N1385" s="1281"/>
      <c r="O1385" s="1281"/>
      <c r="P1385" s="193"/>
      <c r="Q1385" s="200"/>
      <c r="R1385" s="194"/>
      <c r="T1385" s="190"/>
      <c r="U1385" s="191"/>
    </row>
    <row r="1386" spans="1:21">
      <c r="A1386" s="192"/>
      <c r="B1386" s="195" t="s">
        <v>1336</v>
      </c>
      <c r="C1386" s="196"/>
      <c r="D1386" s="197"/>
      <c r="E1386" s="198"/>
      <c r="F1386" s="197"/>
      <c r="G1386" s="198"/>
      <c r="H1386" s="197"/>
      <c r="I1386" s="198"/>
      <c r="J1386" s="197"/>
      <c r="K1386" s="198"/>
      <c r="L1386" s="199"/>
      <c r="M1386" s="199" t="s">
        <v>1208</v>
      </c>
      <c r="N1386" s="199">
        <v>2</v>
      </c>
      <c r="O1386" s="155"/>
      <c r="P1386" s="193"/>
      <c r="Q1386" s="200"/>
      <c r="R1386" s="194"/>
      <c r="T1386" s="190"/>
      <c r="U1386" s="191"/>
    </row>
    <row r="1387" spans="1:21">
      <c r="A1387" s="192"/>
      <c r="B1387" s="195" t="s">
        <v>1324</v>
      </c>
      <c r="C1387" s="196"/>
      <c r="D1387" s="197"/>
      <c r="E1387" s="198"/>
      <c r="F1387" s="197"/>
      <c r="G1387" s="198"/>
      <c r="H1387" s="197"/>
      <c r="I1387" s="198"/>
      <c r="J1387" s="197"/>
      <c r="K1387" s="198"/>
      <c r="L1387" s="199"/>
      <c r="M1387" s="199" t="s">
        <v>1208</v>
      </c>
      <c r="N1387" s="199">
        <v>1</v>
      </c>
      <c r="O1387" s="155"/>
      <c r="P1387" s="193"/>
      <c r="Q1387" s="200"/>
      <c r="R1387" s="194"/>
      <c r="T1387" s="190"/>
      <c r="U1387" s="191"/>
    </row>
    <row r="1388" spans="1:21">
      <c r="A1388" s="192"/>
      <c r="B1388" s="195"/>
      <c r="C1388" s="196"/>
      <c r="D1388" s="197"/>
      <c r="E1388" s="198"/>
      <c r="F1388" s="197"/>
      <c r="G1388" s="198"/>
      <c r="H1388" s="197"/>
      <c r="I1388" s="198"/>
      <c r="J1388" s="197"/>
      <c r="K1388" s="198"/>
      <c r="L1388" s="199"/>
      <c r="M1388" s="199"/>
      <c r="N1388" s="201"/>
      <c r="O1388" s="202"/>
      <c r="P1388" s="193"/>
      <c r="Q1388" s="200"/>
      <c r="R1388" s="194"/>
      <c r="T1388" s="190"/>
      <c r="U1388" s="191"/>
    </row>
    <row r="1389" spans="1:21">
      <c r="A1389" s="192"/>
      <c r="B1389" s="195"/>
      <c r="C1389" s="196"/>
      <c r="D1389" s="197"/>
      <c r="E1389" s="198"/>
      <c r="F1389" s="197"/>
      <c r="G1389" s="198"/>
      <c r="H1389" s="197"/>
      <c r="I1389" s="198"/>
      <c r="J1389" s="197"/>
      <c r="K1389" s="198"/>
      <c r="L1389" s="199" t="s">
        <v>1140</v>
      </c>
      <c r="M1389" s="199" t="s">
        <v>1208</v>
      </c>
      <c r="N1389" s="199">
        <f>SUM(N1386:N1388)</f>
        <v>3</v>
      </c>
      <c r="O1389" s="155" t="e">
        <f>P1384</f>
        <v>#REF!</v>
      </c>
      <c r="P1389" s="193"/>
      <c r="Q1389" s="200"/>
      <c r="R1389" s="194"/>
      <c r="T1389" s="190"/>
      <c r="U1389" s="191"/>
    </row>
    <row r="1390" spans="1:21">
      <c r="A1390" s="192"/>
      <c r="B1390" s="1277" t="s">
        <v>1209</v>
      </c>
      <c r="C1390" s="1277"/>
      <c r="D1390" s="1277"/>
      <c r="E1390" s="1277"/>
      <c r="F1390" s="1277"/>
      <c r="G1390" s="1277"/>
      <c r="H1390" s="1277"/>
      <c r="I1390" s="1277"/>
      <c r="J1390" s="1277"/>
      <c r="K1390" s="1277"/>
      <c r="L1390" s="1277"/>
      <c r="M1390" s="1277"/>
      <c r="N1390" s="1277"/>
      <c r="O1390" s="1277"/>
      <c r="P1390" s="1277"/>
      <c r="Q1390" s="203">
        <v>0</v>
      </c>
      <c r="R1390" s="204">
        <f>Q1390</f>
        <v>0</v>
      </c>
      <c r="T1390" s="1278"/>
      <c r="U1390" s="1279"/>
    </row>
    <row r="1391" spans="1:21">
      <c r="A1391" s="192"/>
      <c r="B1391" s="1277" t="e">
        <f>med</f>
        <v>#NAME?</v>
      </c>
      <c r="C1391" s="1277"/>
      <c r="D1391" s="1277"/>
      <c r="E1391" s="1277"/>
      <c r="F1391" s="1277"/>
      <c r="G1391" s="1277"/>
      <c r="H1391" s="1277"/>
      <c r="I1391" s="1277"/>
      <c r="J1391" s="1277"/>
      <c r="K1391" s="1277"/>
      <c r="L1391" s="1277"/>
      <c r="M1391" s="1277"/>
      <c r="N1391" s="1277"/>
      <c r="O1391" s="1277"/>
      <c r="P1391" s="205">
        <f>N1389</f>
        <v>3</v>
      </c>
      <c r="Q1391" s="203">
        <f>P1391</f>
        <v>3</v>
      </c>
      <c r="R1391" s="204">
        <f>Q1391+R1390</f>
        <v>3</v>
      </c>
      <c r="T1391" s="1278"/>
      <c r="U1391" s="1279"/>
    </row>
    <row r="1392" spans="1:21" ht="18" customHeight="1">
      <c r="A1392" s="187" t="e">
        <f>#REF!</f>
        <v>#REF!</v>
      </c>
      <c r="B1392" s="1275" t="e">
        <f>IF(A1392="","",VLOOKUP($A1392,'[2]FDE-JUNHO-08'!$A$6:$D$3537,2,FALSE()))</f>
        <v>#REF!</v>
      </c>
      <c r="C1392" s="1275"/>
      <c r="D1392" s="1275"/>
      <c r="E1392" s="1275"/>
      <c r="F1392" s="1275"/>
      <c r="G1392" s="1275"/>
      <c r="H1392" s="1275"/>
      <c r="I1392" s="1275"/>
      <c r="J1392" s="1275"/>
      <c r="K1392" s="1275"/>
      <c r="L1392" s="1275"/>
      <c r="M1392" s="1275"/>
      <c r="N1392" s="1275"/>
      <c r="O1392" s="1275"/>
      <c r="P1392" s="188" t="e">
        <f>IF(A1392="","",VLOOKUP($A1392,'[2]FDE-JUNHO-08'!$A$6:$D$3537,3,FALSE()))</f>
        <v>#REF!</v>
      </c>
      <c r="Q1392" s="189" t="s">
        <v>1205</v>
      </c>
      <c r="R1392" s="189" t="s">
        <v>1206</v>
      </c>
      <c r="T1392" s="190"/>
      <c r="U1392" s="191"/>
    </row>
    <row r="1393" spans="1:21">
      <c r="A1393" s="192"/>
      <c r="B1393" s="1281"/>
      <c r="C1393" s="1281"/>
      <c r="D1393" s="1281"/>
      <c r="E1393" s="1281"/>
      <c r="F1393" s="1281"/>
      <c r="G1393" s="1281"/>
      <c r="H1393" s="1281"/>
      <c r="I1393" s="1281"/>
      <c r="J1393" s="1281"/>
      <c r="K1393" s="1281"/>
      <c r="L1393" s="1281"/>
      <c r="M1393" s="1281"/>
      <c r="N1393" s="1281"/>
      <c r="O1393" s="1281"/>
      <c r="P1393" s="193"/>
      <c r="Q1393" s="194"/>
      <c r="R1393" s="194"/>
      <c r="T1393" s="190"/>
      <c r="U1393" s="191"/>
    </row>
    <row r="1394" spans="1:21">
      <c r="A1394" s="192"/>
      <c r="B1394" s="195" t="s">
        <v>1329</v>
      </c>
      <c r="C1394" s="196"/>
      <c r="D1394" s="197"/>
      <c r="E1394" s="198"/>
      <c r="F1394" s="197"/>
      <c r="G1394" s="198"/>
      <c r="H1394" s="197"/>
      <c r="I1394" s="198"/>
      <c r="J1394" s="197"/>
      <c r="K1394" s="198"/>
      <c r="L1394" s="199"/>
      <c r="M1394" s="199" t="s">
        <v>1208</v>
      </c>
      <c r="N1394" s="199">
        <v>6</v>
      </c>
      <c r="O1394" s="155"/>
      <c r="P1394" s="193"/>
      <c r="Q1394" s="200"/>
      <c r="R1394" s="194"/>
      <c r="T1394" s="190"/>
      <c r="U1394" s="191"/>
    </row>
    <row r="1395" spans="1:21">
      <c r="A1395" s="192"/>
      <c r="B1395" s="195" t="s">
        <v>1330</v>
      </c>
      <c r="C1395" s="196"/>
      <c r="D1395" s="197"/>
      <c r="E1395" s="198"/>
      <c r="F1395" s="197"/>
      <c r="G1395" s="198"/>
      <c r="H1395" s="197"/>
      <c r="I1395" s="198"/>
      <c r="J1395" s="197"/>
      <c r="K1395" s="198"/>
      <c r="L1395" s="199"/>
      <c r="M1395" s="199" t="s">
        <v>1208</v>
      </c>
      <c r="N1395" s="199">
        <v>4</v>
      </c>
      <c r="O1395" s="155"/>
      <c r="P1395" s="193"/>
      <c r="Q1395" s="200"/>
      <c r="R1395" s="194"/>
      <c r="T1395" s="190"/>
      <c r="U1395" s="191"/>
    </row>
    <row r="1396" spans="1:21">
      <c r="A1396" s="192"/>
      <c r="B1396" s="195"/>
      <c r="C1396" s="196"/>
      <c r="D1396" s="197"/>
      <c r="E1396" s="198"/>
      <c r="F1396" s="197"/>
      <c r="G1396" s="198"/>
      <c r="H1396" s="197"/>
      <c r="I1396" s="198"/>
      <c r="J1396" s="197"/>
      <c r="K1396" s="198"/>
      <c r="L1396" s="199"/>
      <c r="M1396" s="199"/>
      <c r="N1396" s="201"/>
      <c r="O1396" s="202"/>
      <c r="P1396" s="193"/>
      <c r="Q1396" s="200"/>
      <c r="R1396" s="194"/>
      <c r="T1396" s="190"/>
      <c r="U1396" s="191"/>
    </row>
    <row r="1397" spans="1:21">
      <c r="A1397" s="192"/>
      <c r="B1397" s="195"/>
      <c r="C1397" s="196"/>
      <c r="D1397" s="197"/>
      <c r="E1397" s="198"/>
      <c r="F1397" s="197"/>
      <c r="G1397" s="198"/>
      <c r="H1397" s="197"/>
      <c r="I1397" s="198"/>
      <c r="J1397" s="197"/>
      <c r="K1397" s="198"/>
      <c r="L1397" s="199" t="s">
        <v>1140</v>
      </c>
      <c r="M1397" s="199" t="s">
        <v>1208</v>
      </c>
      <c r="N1397" s="199">
        <f>SUM(N1394:N1396)</f>
        <v>10</v>
      </c>
      <c r="O1397" s="155" t="e">
        <f>P1392</f>
        <v>#REF!</v>
      </c>
      <c r="P1397" s="193"/>
      <c r="Q1397" s="200"/>
      <c r="R1397" s="194"/>
      <c r="T1397" s="190"/>
      <c r="U1397" s="191"/>
    </row>
    <row r="1398" spans="1:21">
      <c r="A1398" s="192"/>
      <c r="B1398" s="195"/>
      <c r="C1398" s="196"/>
      <c r="D1398" s="197"/>
      <c r="E1398" s="198"/>
      <c r="F1398" s="197"/>
      <c r="G1398" s="198"/>
      <c r="H1398" s="197"/>
      <c r="I1398" s="198"/>
      <c r="J1398" s="197"/>
      <c r="K1398" s="198"/>
      <c r="L1398" s="199"/>
      <c r="M1398" s="199"/>
      <c r="N1398" s="199"/>
      <c r="O1398" s="155"/>
      <c r="P1398" s="193"/>
      <c r="Q1398" s="200"/>
      <c r="R1398" s="194"/>
      <c r="T1398" s="190"/>
      <c r="U1398" s="191"/>
    </row>
    <row r="1399" spans="1:21">
      <c r="A1399" s="192"/>
      <c r="B1399" s="1277" t="s">
        <v>1209</v>
      </c>
      <c r="C1399" s="1277"/>
      <c r="D1399" s="1277"/>
      <c r="E1399" s="1277"/>
      <c r="F1399" s="1277"/>
      <c r="G1399" s="1277"/>
      <c r="H1399" s="1277"/>
      <c r="I1399" s="1277"/>
      <c r="J1399" s="1277"/>
      <c r="K1399" s="1277"/>
      <c r="L1399" s="1277"/>
      <c r="M1399" s="1277"/>
      <c r="N1399" s="1277"/>
      <c r="O1399" s="1277"/>
      <c r="P1399" s="1277"/>
      <c r="Q1399" s="203">
        <v>0</v>
      </c>
      <c r="R1399" s="204">
        <f>Q1399</f>
        <v>0</v>
      </c>
      <c r="T1399" s="1278"/>
      <c r="U1399" s="1279"/>
    </row>
    <row r="1400" spans="1:21">
      <c r="A1400" s="192"/>
      <c r="B1400" s="1277" t="e">
        <f>med</f>
        <v>#NAME?</v>
      </c>
      <c r="C1400" s="1277"/>
      <c r="D1400" s="1277"/>
      <c r="E1400" s="1277"/>
      <c r="F1400" s="1277"/>
      <c r="G1400" s="1277"/>
      <c r="H1400" s="1277"/>
      <c r="I1400" s="1277"/>
      <c r="J1400" s="1277"/>
      <c r="K1400" s="1277"/>
      <c r="L1400" s="1277"/>
      <c r="M1400" s="1277"/>
      <c r="N1400" s="1277"/>
      <c r="O1400" s="1277"/>
      <c r="P1400" s="205">
        <f>N1397</f>
        <v>10</v>
      </c>
      <c r="Q1400" s="203">
        <f>P1400</f>
        <v>10</v>
      </c>
      <c r="R1400" s="204">
        <f>Q1400+R1399</f>
        <v>10</v>
      </c>
      <c r="T1400" s="1278"/>
      <c r="U1400" s="1279"/>
    </row>
    <row r="1401" spans="1:21" ht="18" customHeight="1">
      <c r="A1401" s="187" t="e">
        <f>#REF!</f>
        <v>#REF!</v>
      </c>
      <c r="B1401" s="1275" t="e">
        <f>IF(A1401="","",VLOOKUP($A1401,'[2]FDE-JUNHO-08'!$A$6:$D$3537,2,FALSE()))</f>
        <v>#REF!</v>
      </c>
      <c r="C1401" s="1275"/>
      <c r="D1401" s="1275"/>
      <c r="E1401" s="1275"/>
      <c r="F1401" s="1275"/>
      <c r="G1401" s="1275"/>
      <c r="H1401" s="1275"/>
      <c r="I1401" s="1275"/>
      <c r="J1401" s="1275"/>
      <c r="K1401" s="1275"/>
      <c r="L1401" s="1275"/>
      <c r="M1401" s="1275"/>
      <c r="N1401" s="1275"/>
      <c r="O1401" s="1275"/>
      <c r="P1401" s="188" t="e">
        <f>IF(A1401="","",VLOOKUP($A1401,'[2]FDE-JUNHO-08'!$A$6:$D$3537,3,FALSE()))</f>
        <v>#REF!</v>
      </c>
      <c r="Q1401" s="189" t="s">
        <v>1205</v>
      </c>
      <c r="R1401" s="189" t="s">
        <v>1206</v>
      </c>
      <c r="T1401" s="190"/>
      <c r="U1401" s="191"/>
    </row>
    <row r="1402" spans="1:21">
      <c r="A1402" s="192"/>
      <c r="B1402" s="1281"/>
      <c r="C1402" s="1281"/>
      <c r="D1402" s="1281"/>
      <c r="E1402" s="1281"/>
      <c r="F1402" s="1281"/>
      <c r="G1402" s="1281"/>
      <c r="H1402" s="1281"/>
      <c r="I1402" s="1281"/>
      <c r="J1402" s="1281"/>
      <c r="K1402" s="1281"/>
      <c r="L1402" s="1281"/>
      <c r="M1402" s="1281"/>
      <c r="N1402" s="1281"/>
      <c r="O1402" s="1281"/>
      <c r="P1402" s="193"/>
      <c r="Q1402" s="194"/>
      <c r="R1402" s="194"/>
      <c r="T1402" s="190"/>
      <c r="U1402" s="191"/>
    </row>
    <row r="1403" spans="1:21">
      <c r="A1403" s="192"/>
      <c r="B1403" s="195" t="s">
        <v>1337</v>
      </c>
      <c r="C1403" s="196"/>
      <c r="D1403" s="197"/>
      <c r="E1403" s="198"/>
      <c r="F1403" s="197"/>
      <c r="G1403" s="198"/>
      <c r="H1403" s="197"/>
      <c r="I1403" s="198"/>
      <c r="J1403" s="197">
        <f>0.6+0.35</f>
        <v>0.95</v>
      </c>
      <c r="K1403" s="198" t="s">
        <v>1227</v>
      </c>
      <c r="L1403" s="197">
        <v>4.4000000000000004</v>
      </c>
      <c r="M1403" s="199" t="s">
        <v>1208</v>
      </c>
      <c r="N1403" s="199">
        <f>L1403*J1403</f>
        <v>4.18</v>
      </c>
      <c r="O1403" s="155"/>
      <c r="P1403" s="193"/>
      <c r="Q1403" s="200"/>
      <c r="R1403" s="194"/>
      <c r="T1403" s="190"/>
      <c r="U1403" s="191"/>
    </row>
    <row r="1404" spans="1:21">
      <c r="A1404" s="192"/>
      <c r="B1404" s="195"/>
      <c r="C1404" s="196"/>
      <c r="D1404" s="197"/>
      <c r="E1404" s="198"/>
      <c r="F1404" s="197"/>
      <c r="G1404" s="198"/>
      <c r="H1404" s="197"/>
      <c r="I1404" s="198"/>
      <c r="J1404" s="197"/>
      <c r="K1404" s="198"/>
      <c r="L1404" s="199"/>
      <c r="M1404" s="199"/>
      <c r="N1404" s="201"/>
      <c r="O1404" s="202"/>
      <c r="P1404" s="193"/>
      <c r="Q1404" s="200"/>
      <c r="R1404" s="194"/>
      <c r="T1404" s="190"/>
      <c r="U1404" s="191"/>
    </row>
    <row r="1405" spans="1:21">
      <c r="A1405" s="192"/>
      <c r="B1405" s="195"/>
      <c r="C1405" s="196"/>
      <c r="D1405" s="197"/>
      <c r="E1405" s="198"/>
      <c r="F1405" s="197"/>
      <c r="G1405" s="198"/>
      <c r="H1405" s="197"/>
      <c r="I1405" s="198"/>
      <c r="J1405" s="197"/>
      <c r="K1405" s="198"/>
      <c r="L1405" s="199" t="s">
        <v>1140</v>
      </c>
      <c r="M1405" s="199" t="s">
        <v>1208</v>
      </c>
      <c r="N1405" s="199">
        <f>SUM(N1403:N1404)</f>
        <v>4.18</v>
      </c>
      <c r="O1405" s="155" t="e">
        <f>P1401</f>
        <v>#REF!</v>
      </c>
      <c r="P1405" s="193"/>
      <c r="Q1405" s="200"/>
      <c r="R1405" s="194"/>
      <c r="T1405" s="190"/>
      <c r="U1405" s="191"/>
    </row>
    <row r="1406" spans="1:21">
      <c r="A1406" s="192"/>
      <c r="B1406" s="195"/>
      <c r="C1406" s="196"/>
      <c r="D1406" s="197"/>
      <c r="E1406" s="198"/>
      <c r="F1406" s="197"/>
      <c r="G1406" s="198"/>
      <c r="H1406" s="197"/>
      <c r="I1406" s="198"/>
      <c r="J1406" s="197"/>
      <c r="K1406" s="198"/>
      <c r="L1406" s="199"/>
      <c r="M1406" s="199"/>
      <c r="N1406" s="199"/>
      <c r="O1406" s="155"/>
      <c r="P1406" s="193"/>
      <c r="Q1406" s="200"/>
      <c r="R1406" s="194"/>
      <c r="T1406" s="190"/>
      <c r="U1406" s="191"/>
    </row>
    <row r="1407" spans="1:21">
      <c r="A1407" s="192"/>
      <c r="B1407" s="1277" t="s">
        <v>1209</v>
      </c>
      <c r="C1407" s="1277"/>
      <c r="D1407" s="1277"/>
      <c r="E1407" s="1277"/>
      <c r="F1407" s="1277"/>
      <c r="G1407" s="1277"/>
      <c r="H1407" s="1277"/>
      <c r="I1407" s="1277"/>
      <c r="J1407" s="1277"/>
      <c r="K1407" s="1277"/>
      <c r="L1407" s="1277"/>
      <c r="M1407" s="1277"/>
      <c r="N1407" s="1277"/>
      <c r="O1407" s="1277"/>
      <c r="P1407" s="1277"/>
      <c r="Q1407" s="203">
        <v>0</v>
      </c>
      <c r="R1407" s="204">
        <f>Q1407</f>
        <v>0</v>
      </c>
      <c r="T1407" s="1278"/>
      <c r="U1407" s="1279"/>
    </row>
    <row r="1408" spans="1:21">
      <c r="A1408" s="192"/>
      <c r="B1408" s="1277" t="e">
        <f>med</f>
        <v>#NAME?</v>
      </c>
      <c r="C1408" s="1277"/>
      <c r="D1408" s="1277"/>
      <c r="E1408" s="1277"/>
      <c r="F1408" s="1277"/>
      <c r="G1408" s="1277"/>
      <c r="H1408" s="1277"/>
      <c r="I1408" s="1277"/>
      <c r="J1408" s="1277"/>
      <c r="K1408" s="1277"/>
      <c r="L1408" s="1277"/>
      <c r="M1408" s="1277"/>
      <c r="N1408" s="1277"/>
      <c r="O1408" s="1277"/>
      <c r="P1408" s="205">
        <f>N1405</f>
        <v>4.18</v>
      </c>
      <c r="Q1408" s="203">
        <f>P1408</f>
        <v>4.18</v>
      </c>
      <c r="R1408" s="204">
        <f>Q1408+R1407</f>
        <v>4.18</v>
      </c>
      <c r="T1408" s="1278"/>
      <c r="U1408" s="1279"/>
    </row>
    <row r="1409" spans="1:21" ht="18" customHeight="1">
      <c r="A1409" s="187">
        <v>88455</v>
      </c>
      <c r="B1409" s="1275" t="e">
        <f>IF(A1409="","",VLOOKUP($A1409,'[2]FDE-JUNHO-08'!$A$6:$D$3537,2,FALSE()))</f>
        <v>#N/A</v>
      </c>
      <c r="C1409" s="1275"/>
      <c r="D1409" s="1275"/>
      <c r="E1409" s="1275"/>
      <c r="F1409" s="1275"/>
      <c r="G1409" s="1275"/>
      <c r="H1409" s="1275"/>
      <c r="I1409" s="1275"/>
      <c r="J1409" s="1275"/>
      <c r="K1409" s="1275"/>
      <c r="L1409" s="1275"/>
      <c r="M1409" s="1275"/>
      <c r="N1409" s="1275"/>
      <c r="O1409" s="1275"/>
      <c r="P1409" s="188" t="e">
        <f>IF(A1409="","",VLOOKUP($A1409,'[2]FDE-JUNHO-08'!$A$6:$D$3537,3,FALSE()))</f>
        <v>#N/A</v>
      </c>
      <c r="Q1409" s="189" t="s">
        <v>1205</v>
      </c>
      <c r="R1409" s="189" t="s">
        <v>1206</v>
      </c>
      <c r="T1409" s="190"/>
      <c r="U1409" s="191"/>
    </row>
    <row r="1410" spans="1:21">
      <c r="A1410" s="192"/>
      <c r="B1410" s="1281"/>
      <c r="C1410" s="1281"/>
      <c r="D1410" s="1281"/>
      <c r="E1410" s="1281"/>
      <c r="F1410" s="1281"/>
      <c r="G1410" s="1281"/>
      <c r="H1410" s="1281"/>
      <c r="I1410" s="1281"/>
      <c r="J1410" s="1281"/>
      <c r="K1410" s="1281"/>
      <c r="L1410" s="1281"/>
      <c r="M1410" s="1281"/>
      <c r="N1410" s="1281"/>
      <c r="O1410" s="1281"/>
      <c r="P1410" s="193"/>
      <c r="Q1410" s="194"/>
      <c r="R1410" s="194"/>
      <c r="T1410" s="190"/>
      <c r="U1410" s="191"/>
    </row>
    <row r="1411" spans="1:21">
      <c r="A1411" s="192"/>
      <c r="B1411" s="195" t="s">
        <v>1338</v>
      </c>
      <c r="C1411" s="196"/>
      <c r="D1411" s="197"/>
      <c r="E1411" s="198"/>
      <c r="F1411" s="197"/>
      <c r="G1411" s="198"/>
      <c r="H1411" s="197"/>
      <c r="I1411" s="198"/>
      <c r="J1411" s="197"/>
      <c r="K1411" s="198"/>
      <c r="L1411" s="197"/>
      <c r="M1411" s="199" t="s">
        <v>1208</v>
      </c>
      <c r="N1411" s="199">
        <v>2</v>
      </c>
      <c r="O1411" s="155"/>
      <c r="P1411" s="193"/>
      <c r="Q1411" s="200"/>
      <c r="R1411" s="194"/>
      <c r="T1411" s="190"/>
      <c r="U1411" s="191"/>
    </row>
    <row r="1412" spans="1:21">
      <c r="A1412" s="192"/>
      <c r="B1412" s="195"/>
      <c r="C1412" s="196"/>
      <c r="D1412" s="197"/>
      <c r="E1412" s="198"/>
      <c r="F1412" s="197"/>
      <c r="G1412" s="198"/>
      <c r="H1412" s="197"/>
      <c r="I1412" s="198"/>
      <c r="J1412" s="197"/>
      <c r="K1412" s="198"/>
      <c r="L1412" s="199"/>
      <c r="M1412" s="199"/>
      <c r="N1412" s="201"/>
      <c r="O1412" s="202"/>
      <c r="P1412" s="193"/>
      <c r="Q1412" s="200"/>
      <c r="R1412" s="194"/>
      <c r="T1412" s="190"/>
      <c r="U1412" s="191"/>
    </row>
    <row r="1413" spans="1:21">
      <c r="A1413" s="192"/>
      <c r="B1413" s="195"/>
      <c r="C1413" s="196"/>
      <c r="D1413" s="197"/>
      <c r="E1413" s="198"/>
      <c r="F1413" s="197"/>
      <c r="G1413" s="198"/>
      <c r="H1413" s="197"/>
      <c r="I1413" s="198"/>
      <c r="J1413" s="197"/>
      <c r="K1413" s="198"/>
      <c r="L1413" s="199" t="s">
        <v>1140</v>
      </c>
      <c r="M1413" s="199" t="s">
        <v>1208</v>
      </c>
      <c r="N1413" s="199">
        <f>SUM(N1411:N1412)</f>
        <v>2</v>
      </c>
      <c r="O1413" s="155" t="e">
        <f>P1409</f>
        <v>#N/A</v>
      </c>
      <c r="P1413" s="193"/>
      <c r="Q1413" s="200"/>
      <c r="R1413" s="194"/>
      <c r="T1413" s="190"/>
      <c r="U1413" s="191"/>
    </row>
    <row r="1414" spans="1:21">
      <c r="A1414" s="192"/>
      <c r="B1414" s="195"/>
      <c r="C1414" s="196"/>
      <c r="D1414" s="197"/>
      <c r="E1414" s="198"/>
      <c r="F1414" s="197"/>
      <c r="G1414" s="198"/>
      <c r="H1414" s="197"/>
      <c r="I1414" s="198"/>
      <c r="J1414" s="197"/>
      <c r="K1414" s="198"/>
      <c r="L1414" s="199"/>
      <c r="M1414" s="199"/>
      <c r="N1414" s="199"/>
      <c r="O1414" s="155"/>
      <c r="P1414" s="193"/>
      <c r="Q1414" s="200"/>
      <c r="R1414" s="194"/>
      <c r="T1414" s="190"/>
      <c r="U1414" s="191"/>
    </row>
    <row r="1415" spans="1:21">
      <c r="A1415" s="192"/>
      <c r="B1415" s="1277" t="s">
        <v>1209</v>
      </c>
      <c r="C1415" s="1277"/>
      <c r="D1415" s="1277"/>
      <c r="E1415" s="1277"/>
      <c r="F1415" s="1277"/>
      <c r="G1415" s="1277"/>
      <c r="H1415" s="1277"/>
      <c r="I1415" s="1277"/>
      <c r="J1415" s="1277"/>
      <c r="K1415" s="1277"/>
      <c r="L1415" s="1277"/>
      <c r="M1415" s="1277"/>
      <c r="N1415" s="1277"/>
      <c r="O1415" s="1277"/>
      <c r="P1415" s="1277"/>
      <c r="Q1415" s="203">
        <v>0</v>
      </c>
      <c r="R1415" s="204">
        <f>Q1415</f>
        <v>0</v>
      </c>
      <c r="T1415" s="1278"/>
      <c r="U1415" s="1279"/>
    </row>
    <row r="1416" spans="1:21">
      <c r="A1416" s="192"/>
      <c r="B1416" s="1277" t="e">
        <f>med</f>
        <v>#NAME?</v>
      </c>
      <c r="C1416" s="1277"/>
      <c r="D1416" s="1277"/>
      <c r="E1416" s="1277"/>
      <c r="F1416" s="1277"/>
      <c r="G1416" s="1277"/>
      <c r="H1416" s="1277"/>
      <c r="I1416" s="1277"/>
      <c r="J1416" s="1277"/>
      <c r="K1416" s="1277"/>
      <c r="L1416" s="1277"/>
      <c r="M1416" s="1277"/>
      <c r="N1416" s="1277"/>
      <c r="O1416" s="1277"/>
      <c r="P1416" s="205">
        <f>N1413</f>
        <v>2</v>
      </c>
      <c r="Q1416" s="203">
        <f>P1416</f>
        <v>2</v>
      </c>
      <c r="R1416" s="204">
        <f>Q1416+R1415</f>
        <v>2</v>
      </c>
      <c r="T1416" s="1278"/>
      <c r="U1416" s="1279"/>
    </row>
    <row r="1417" spans="1:21" ht="18" customHeight="1">
      <c r="A1417" s="187" t="e">
        <f>#REF!</f>
        <v>#REF!</v>
      </c>
      <c r="B1417" s="1275" t="e">
        <f>IF(A1417="","",VLOOKUP($A1417,'[2]FDE-JUNHO-08'!$A$6:$D$3537,2,FALSE()))</f>
        <v>#REF!</v>
      </c>
      <c r="C1417" s="1275"/>
      <c r="D1417" s="1275"/>
      <c r="E1417" s="1275"/>
      <c r="F1417" s="1275"/>
      <c r="G1417" s="1275"/>
      <c r="H1417" s="1275"/>
      <c r="I1417" s="1275"/>
      <c r="J1417" s="1275"/>
      <c r="K1417" s="1275"/>
      <c r="L1417" s="1275"/>
      <c r="M1417" s="1275"/>
      <c r="N1417" s="1275"/>
      <c r="O1417" s="1275"/>
      <c r="P1417" s="188" t="e">
        <f>IF(A1417="","",VLOOKUP($A1417,'[2]FDE-JUNHO-08'!$A$6:$D$3537,3,FALSE()))</f>
        <v>#REF!</v>
      </c>
      <c r="Q1417" s="189" t="s">
        <v>1205</v>
      </c>
      <c r="R1417" s="189" t="s">
        <v>1206</v>
      </c>
      <c r="T1417" s="190"/>
      <c r="U1417" s="191"/>
    </row>
    <row r="1418" spans="1:21">
      <c r="A1418" s="192"/>
      <c r="B1418" s="1281"/>
      <c r="C1418" s="1281"/>
      <c r="D1418" s="1281"/>
      <c r="E1418" s="1281"/>
      <c r="F1418" s="1281"/>
      <c r="G1418" s="1281"/>
      <c r="H1418" s="1281"/>
      <c r="I1418" s="1281"/>
      <c r="J1418" s="1281"/>
      <c r="K1418" s="1281"/>
      <c r="L1418" s="1281"/>
      <c r="M1418" s="1281"/>
      <c r="N1418" s="1281"/>
      <c r="O1418" s="1281"/>
      <c r="P1418" s="193"/>
      <c r="Q1418" s="194"/>
      <c r="R1418" s="194"/>
      <c r="T1418" s="190"/>
      <c r="U1418" s="191"/>
    </row>
    <row r="1419" spans="1:21">
      <c r="A1419" s="192"/>
      <c r="B1419" s="195" t="s">
        <v>1329</v>
      </c>
      <c r="C1419" s="196"/>
      <c r="D1419" s="197"/>
      <c r="E1419" s="198"/>
      <c r="F1419" s="197"/>
      <c r="G1419" s="198"/>
      <c r="H1419" s="197"/>
      <c r="I1419" s="198"/>
      <c r="J1419" s="197"/>
      <c r="K1419" s="198"/>
      <c r="L1419" s="199"/>
      <c r="M1419" s="199" t="s">
        <v>1208</v>
      </c>
      <c r="N1419" s="199">
        <v>6</v>
      </c>
      <c r="O1419" s="155"/>
      <c r="P1419" s="193"/>
      <c r="Q1419" s="200"/>
      <c r="R1419" s="194"/>
      <c r="T1419" s="190"/>
      <c r="U1419" s="191"/>
    </row>
    <row r="1420" spans="1:21">
      <c r="A1420" s="192"/>
      <c r="B1420" s="195"/>
      <c r="C1420" s="196"/>
      <c r="D1420" s="197"/>
      <c r="E1420" s="198"/>
      <c r="F1420" s="197"/>
      <c r="G1420" s="198"/>
      <c r="H1420" s="197"/>
      <c r="I1420" s="198"/>
      <c r="J1420" s="197"/>
      <c r="K1420" s="198"/>
      <c r="L1420" s="199"/>
      <c r="M1420" s="199"/>
      <c r="N1420" s="201"/>
      <c r="O1420" s="202"/>
      <c r="P1420" s="193"/>
      <c r="Q1420" s="200"/>
      <c r="R1420" s="194"/>
      <c r="T1420" s="190"/>
      <c r="U1420" s="191"/>
    </row>
    <row r="1421" spans="1:21">
      <c r="A1421" s="192"/>
      <c r="B1421" s="195"/>
      <c r="C1421" s="196"/>
      <c r="D1421" s="197"/>
      <c r="E1421" s="198"/>
      <c r="F1421" s="197"/>
      <c r="G1421" s="198"/>
      <c r="H1421" s="197"/>
      <c r="I1421" s="198"/>
      <c r="J1421" s="197"/>
      <c r="K1421" s="198"/>
      <c r="L1421" s="199" t="s">
        <v>1140</v>
      </c>
      <c r="M1421" s="199" t="s">
        <v>1208</v>
      </c>
      <c r="N1421" s="199">
        <f>SUM(N1419:N1420)</f>
        <v>6</v>
      </c>
      <c r="O1421" s="155" t="e">
        <f>P1417</f>
        <v>#REF!</v>
      </c>
      <c r="P1421" s="193"/>
      <c r="Q1421" s="200"/>
      <c r="R1421" s="194"/>
      <c r="T1421" s="190"/>
      <c r="U1421" s="191"/>
    </row>
    <row r="1422" spans="1:21">
      <c r="A1422" s="192"/>
      <c r="B1422" s="195"/>
      <c r="C1422" s="196"/>
      <c r="D1422" s="197"/>
      <c r="E1422" s="198"/>
      <c r="F1422" s="197"/>
      <c r="G1422" s="198"/>
      <c r="H1422" s="197"/>
      <c r="I1422" s="198"/>
      <c r="J1422" s="197"/>
      <c r="K1422" s="198"/>
      <c r="L1422" s="199"/>
      <c r="M1422" s="199"/>
      <c r="N1422" s="199"/>
      <c r="O1422" s="155"/>
      <c r="P1422" s="193"/>
      <c r="Q1422" s="200"/>
      <c r="R1422" s="194"/>
      <c r="T1422" s="190"/>
      <c r="U1422" s="191"/>
    </row>
    <row r="1423" spans="1:21">
      <c r="A1423" s="192"/>
      <c r="B1423" s="1277" t="s">
        <v>1209</v>
      </c>
      <c r="C1423" s="1277"/>
      <c r="D1423" s="1277"/>
      <c r="E1423" s="1277"/>
      <c r="F1423" s="1277"/>
      <c r="G1423" s="1277"/>
      <c r="H1423" s="1277"/>
      <c r="I1423" s="1277"/>
      <c r="J1423" s="1277"/>
      <c r="K1423" s="1277"/>
      <c r="L1423" s="1277"/>
      <c r="M1423" s="1277"/>
      <c r="N1423" s="1277"/>
      <c r="O1423" s="1277"/>
      <c r="P1423" s="1277"/>
      <c r="Q1423" s="203">
        <v>0</v>
      </c>
      <c r="R1423" s="204">
        <f>Q1423</f>
        <v>0</v>
      </c>
      <c r="T1423" s="1278"/>
      <c r="U1423" s="1279"/>
    </row>
    <row r="1424" spans="1:21">
      <c r="A1424" s="206"/>
      <c r="B1424" s="1277" t="e">
        <f>med</f>
        <v>#NAME?</v>
      </c>
      <c r="C1424" s="1277"/>
      <c r="D1424" s="1277"/>
      <c r="E1424" s="1277"/>
      <c r="F1424" s="1277"/>
      <c r="G1424" s="1277"/>
      <c r="H1424" s="1277"/>
      <c r="I1424" s="1277"/>
      <c r="J1424" s="1277"/>
      <c r="K1424" s="1277"/>
      <c r="L1424" s="1277"/>
      <c r="M1424" s="1277"/>
      <c r="N1424" s="1277"/>
      <c r="O1424" s="1277"/>
      <c r="P1424" s="205">
        <f>N1421</f>
        <v>6</v>
      </c>
      <c r="Q1424" s="203">
        <f>P1424</f>
        <v>6</v>
      </c>
      <c r="R1424" s="204">
        <f>Q1424+R1423</f>
        <v>6</v>
      </c>
      <c r="T1424" s="1278"/>
      <c r="U1424" s="1279"/>
    </row>
    <row r="1425" spans="1:21" ht="18" customHeight="1">
      <c r="A1425" s="187" t="e">
        <f>#REF!</f>
        <v>#REF!</v>
      </c>
      <c r="B1425" s="1275" t="e">
        <f>IF(A1425="","",VLOOKUP($A1425,'[2]FDE-JUNHO-08'!$A$6:$D$3537,2,FALSE()))</f>
        <v>#REF!</v>
      </c>
      <c r="C1425" s="1275"/>
      <c r="D1425" s="1275"/>
      <c r="E1425" s="1275"/>
      <c r="F1425" s="1275"/>
      <c r="G1425" s="1275"/>
      <c r="H1425" s="1275"/>
      <c r="I1425" s="1275"/>
      <c r="J1425" s="1275"/>
      <c r="K1425" s="1275"/>
      <c r="L1425" s="1275"/>
      <c r="M1425" s="1275"/>
      <c r="N1425" s="1275"/>
      <c r="O1425" s="1275"/>
      <c r="P1425" s="188" t="e">
        <f>IF(A1425="","",VLOOKUP($A1425,'[2]FDE-JUNHO-08'!$A$6:$D$3537,3,FALSE()))</f>
        <v>#REF!</v>
      </c>
      <c r="Q1425" s="189" t="s">
        <v>1205</v>
      </c>
      <c r="R1425" s="189" t="s">
        <v>1206</v>
      </c>
      <c r="T1425" s="190"/>
      <c r="U1425" s="191"/>
    </row>
    <row r="1426" spans="1:21">
      <c r="A1426" s="192"/>
      <c r="B1426" s="1281"/>
      <c r="C1426" s="1281"/>
      <c r="D1426" s="1281"/>
      <c r="E1426" s="1281"/>
      <c r="F1426" s="1281"/>
      <c r="G1426" s="1281"/>
      <c r="H1426" s="1281"/>
      <c r="I1426" s="1281"/>
      <c r="J1426" s="1281"/>
      <c r="K1426" s="1281"/>
      <c r="L1426" s="1281"/>
      <c r="M1426" s="1281"/>
      <c r="N1426" s="1281"/>
      <c r="O1426" s="1281"/>
      <c r="P1426" s="193"/>
      <c r="Q1426" s="194"/>
      <c r="R1426" s="194"/>
      <c r="T1426" s="190"/>
      <c r="U1426" s="191"/>
    </row>
    <row r="1427" spans="1:21">
      <c r="A1427" s="192"/>
      <c r="B1427" s="195" t="s">
        <v>1337</v>
      </c>
      <c r="C1427" s="196"/>
      <c r="D1427" s="197"/>
      <c r="E1427" s="198"/>
      <c r="F1427" s="197"/>
      <c r="G1427" s="198"/>
      <c r="H1427" s="197"/>
      <c r="I1427" s="198"/>
      <c r="J1427" s="197">
        <f>0.6</f>
        <v>0.6</v>
      </c>
      <c r="K1427" s="198" t="s">
        <v>1227</v>
      </c>
      <c r="L1427" s="197">
        <v>4.3</v>
      </c>
      <c r="M1427" s="199" t="s">
        <v>1208</v>
      </c>
      <c r="N1427" s="199">
        <f>L1427*J1427</f>
        <v>2.5799999999999996</v>
      </c>
      <c r="O1427" s="155"/>
      <c r="P1427" s="193"/>
      <c r="Q1427" s="200"/>
      <c r="R1427" s="194"/>
      <c r="T1427" s="190"/>
      <c r="U1427" s="191"/>
    </row>
    <row r="1428" spans="1:21">
      <c r="A1428" s="192"/>
      <c r="B1428" s="195"/>
      <c r="C1428" s="196"/>
      <c r="D1428" s="197"/>
      <c r="E1428" s="198"/>
      <c r="F1428" s="197"/>
      <c r="G1428" s="198"/>
      <c r="H1428" s="197"/>
      <c r="I1428" s="198"/>
      <c r="J1428" s="197"/>
      <c r="K1428" s="198"/>
      <c r="L1428" s="199"/>
      <c r="M1428" s="199"/>
      <c r="N1428" s="201"/>
      <c r="O1428" s="202"/>
      <c r="P1428" s="193"/>
      <c r="Q1428" s="200"/>
      <c r="R1428" s="194"/>
      <c r="T1428" s="190"/>
      <c r="U1428" s="191"/>
    </row>
    <row r="1429" spans="1:21">
      <c r="A1429" s="192"/>
      <c r="B1429" s="195"/>
      <c r="C1429" s="196"/>
      <c r="D1429" s="197"/>
      <c r="E1429" s="198"/>
      <c r="F1429" s="197"/>
      <c r="G1429" s="198"/>
      <c r="H1429" s="197"/>
      <c r="I1429" s="198"/>
      <c r="J1429" s="197"/>
      <c r="K1429" s="198"/>
      <c r="L1429" s="199" t="s">
        <v>1140</v>
      </c>
      <c r="M1429" s="199" t="s">
        <v>1208</v>
      </c>
      <c r="N1429" s="199">
        <f>SUM(N1427:N1428)</f>
        <v>2.5799999999999996</v>
      </c>
      <c r="O1429" s="155" t="e">
        <f>P1425</f>
        <v>#REF!</v>
      </c>
      <c r="P1429" s="193"/>
      <c r="Q1429" s="200"/>
      <c r="R1429" s="194"/>
      <c r="T1429" s="190"/>
      <c r="U1429" s="191"/>
    </row>
    <row r="1430" spans="1:21">
      <c r="A1430" s="192"/>
      <c r="B1430" s="195"/>
      <c r="C1430" s="196"/>
      <c r="D1430" s="197"/>
      <c r="E1430" s="198"/>
      <c r="F1430" s="197"/>
      <c r="G1430" s="198"/>
      <c r="H1430" s="197"/>
      <c r="I1430" s="198"/>
      <c r="J1430" s="197"/>
      <c r="K1430" s="198"/>
      <c r="L1430" s="199"/>
      <c r="M1430" s="199"/>
      <c r="N1430" s="199"/>
      <c r="O1430" s="155"/>
      <c r="P1430" s="193"/>
      <c r="Q1430" s="200"/>
      <c r="R1430" s="194"/>
      <c r="T1430" s="190"/>
      <c r="U1430" s="191"/>
    </row>
    <row r="1431" spans="1:21">
      <c r="A1431" s="192"/>
      <c r="B1431" s="1277" t="s">
        <v>1209</v>
      </c>
      <c r="C1431" s="1277"/>
      <c r="D1431" s="1277"/>
      <c r="E1431" s="1277"/>
      <c r="F1431" s="1277"/>
      <c r="G1431" s="1277"/>
      <c r="H1431" s="1277"/>
      <c r="I1431" s="1277"/>
      <c r="J1431" s="1277"/>
      <c r="K1431" s="1277"/>
      <c r="L1431" s="1277"/>
      <c r="M1431" s="1277"/>
      <c r="N1431" s="1277"/>
      <c r="O1431" s="1277"/>
      <c r="P1431" s="1277"/>
      <c r="Q1431" s="203">
        <v>0</v>
      </c>
      <c r="R1431" s="204">
        <f>Q1431</f>
        <v>0</v>
      </c>
      <c r="T1431" s="1278"/>
      <c r="U1431" s="1279"/>
    </row>
    <row r="1432" spans="1:21">
      <c r="A1432" s="192"/>
      <c r="B1432" s="1277" t="e">
        <f>med</f>
        <v>#NAME?</v>
      </c>
      <c r="C1432" s="1277"/>
      <c r="D1432" s="1277"/>
      <c r="E1432" s="1277"/>
      <c r="F1432" s="1277"/>
      <c r="G1432" s="1277"/>
      <c r="H1432" s="1277"/>
      <c r="I1432" s="1277"/>
      <c r="J1432" s="1277"/>
      <c r="K1432" s="1277"/>
      <c r="L1432" s="1277"/>
      <c r="M1432" s="1277"/>
      <c r="N1432" s="1277"/>
      <c r="O1432" s="1277"/>
      <c r="P1432" s="205">
        <f>N1429</f>
        <v>2.5799999999999996</v>
      </c>
      <c r="Q1432" s="203">
        <f>P1432</f>
        <v>2.5799999999999996</v>
      </c>
      <c r="R1432" s="204">
        <f>Q1432+R1431</f>
        <v>2.5799999999999996</v>
      </c>
      <c r="T1432" s="1278"/>
      <c r="U1432" s="1279"/>
    </row>
    <row r="1433" spans="1:21" ht="18" customHeight="1">
      <c r="A1433" s="187" t="e">
        <f>#REF!</f>
        <v>#REF!</v>
      </c>
      <c r="B1433" s="1275" t="e">
        <f>IF(A1433="","",VLOOKUP($A1433,'[2]FDE-JUNHO-08'!$A$6:$D$3537,2,FALSE()))</f>
        <v>#REF!</v>
      </c>
      <c r="C1433" s="1275"/>
      <c r="D1433" s="1275"/>
      <c r="E1433" s="1275"/>
      <c r="F1433" s="1275"/>
      <c r="G1433" s="1275"/>
      <c r="H1433" s="1275"/>
      <c r="I1433" s="1275"/>
      <c r="J1433" s="1275"/>
      <c r="K1433" s="1275"/>
      <c r="L1433" s="1275"/>
      <c r="M1433" s="1275"/>
      <c r="N1433" s="1275"/>
      <c r="O1433" s="1275"/>
      <c r="P1433" s="188" t="e">
        <f>IF(A1433="","",VLOOKUP($A1433,'[2]FDE-JUNHO-08'!$A$6:$D$3537,3,FALSE()))</f>
        <v>#REF!</v>
      </c>
      <c r="Q1433" s="189" t="s">
        <v>1205</v>
      </c>
      <c r="R1433" s="189" t="s">
        <v>1206</v>
      </c>
      <c r="T1433" s="190"/>
      <c r="U1433" s="191"/>
    </row>
    <row r="1434" spans="1:21">
      <c r="A1434" s="192"/>
      <c r="B1434" s="1281"/>
      <c r="C1434" s="1281"/>
      <c r="D1434" s="1281"/>
      <c r="E1434" s="1281"/>
      <c r="F1434" s="1281"/>
      <c r="G1434" s="1281"/>
      <c r="H1434" s="1281"/>
      <c r="I1434" s="1281"/>
      <c r="J1434" s="1281"/>
      <c r="K1434" s="1281"/>
      <c r="L1434" s="1281"/>
      <c r="M1434" s="1281"/>
      <c r="N1434" s="1281"/>
      <c r="O1434" s="1281"/>
      <c r="P1434" s="193"/>
      <c r="Q1434" s="194"/>
      <c r="R1434" s="194"/>
      <c r="T1434" s="190"/>
      <c r="U1434" s="191"/>
    </row>
    <row r="1435" spans="1:21">
      <c r="A1435" s="192"/>
      <c r="B1435" s="195"/>
      <c r="C1435" s="196"/>
      <c r="D1435" s="197"/>
      <c r="E1435" s="198"/>
      <c r="F1435" s="197"/>
      <c r="G1435" s="198"/>
      <c r="H1435" s="197"/>
      <c r="I1435" s="207"/>
      <c r="J1435" s="198" t="s">
        <v>1231</v>
      </c>
      <c r="K1435" s="198"/>
      <c r="L1435" s="198" t="s">
        <v>1281</v>
      </c>
      <c r="M1435" s="212"/>
      <c r="N1435" s="212"/>
      <c r="O1435" s="155"/>
      <c r="P1435" s="193"/>
      <c r="Q1435" s="200"/>
      <c r="R1435" s="194"/>
      <c r="T1435" s="190"/>
      <c r="U1435" s="191"/>
    </row>
    <row r="1436" spans="1:21">
      <c r="A1436" s="192"/>
      <c r="B1436" s="195" t="s">
        <v>1339</v>
      </c>
      <c r="C1436" s="196"/>
      <c r="D1436" s="197"/>
      <c r="E1436" s="198"/>
      <c r="F1436" s="197"/>
      <c r="G1436" s="198"/>
      <c r="H1436" s="197"/>
      <c r="I1436" s="198"/>
      <c r="J1436" s="198">
        <v>1.8</v>
      </c>
      <c r="K1436" s="198" t="s">
        <v>1227</v>
      </c>
      <c r="L1436" s="198">
        <v>1.65</v>
      </c>
      <c r="M1436" s="198" t="s">
        <v>1208</v>
      </c>
      <c r="N1436" s="198">
        <f>L1436*J1436</f>
        <v>2.9699999999999998</v>
      </c>
      <c r="O1436" s="155"/>
      <c r="P1436" s="193"/>
      <c r="Q1436" s="200"/>
      <c r="R1436" s="194"/>
      <c r="T1436" s="190"/>
      <c r="U1436" s="191"/>
    </row>
    <row r="1437" spans="1:21">
      <c r="A1437" s="192"/>
      <c r="B1437" s="195" t="s">
        <v>1340</v>
      </c>
      <c r="C1437" s="196"/>
      <c r="D1437" s="197"/>
      <c r="E1437" s="198"/>
      <c r="F1437" s="197"/>
      <c r="G1437" s="198"/>
      <c r="H1437" s="197"/>
      <c r="I1437" s="198"/>
      <c r="J1437" s="198">
        <v>5</v>
      </c>
      <c r="K1437" s="198" t="s">
        <v>1227</v>
      </c>
      <c r="L1437" s="198">
        <v>0.4</v>
      </c>
      <c r="M1437" s="198" t="s">
        <v>1208</v>
      </c>
      <c r="N1437" s="198">
        <f>L1437*J1437</f>
        <v>2</v>
      </c>
      <c r="O1437" s="155"/>
      <c r="P1437" s="193"/>
      <c r="Q1437" s="200"/>
      <c r="R1437" s="194"/>
      <c r="T1437" s="190"/>
      <c r="U1437" s="191"/>
    </row>
    <row r="1438" spans="1:21">
      <c r="A1438" s="192"/>
      <c r="B1438" s="195"/>
      <c r="C1438" s="196"/>
      <c r="D1438" s="197"/>
      <c r="E1438" s="198"/>
      <c r="F1438" s="197"/>
      <c r="G1438" s="198"/>
      <c r="H1438" s="197"/>
      <c r="I1438" s="198"/>
      <c r="J1438" s="197"/>
      <c r="K1438" s="198"/>
      <c r="L1438" s="199"/>
      <c r="M1438" s="199"/>
      <c r="N1438" s="201"/>
      <c r="O1438" s="202"/>
      <c r="P1438" s="193"/>
      <c r="Q1438" s="200"/>
      <c r="R1438" s="194"/>
      <c r="T1438" s="190"/>
      <c r="U1438" s="191"/>
    </row>
    <row r="1439" spans="1:21">
      <c r="A1439" s="192"/>
      <c r="B1439" s="195"/>
      <c r="C1439" s="196"/>
      <c r="D1439" s="197"/>
      <c r="E1439" s="198"/>
      <c r="F1439" s="197"/>
      <c r="G1439" s="198"/>
      <c r="H1439" s="197"/>
      <c r="I1439" s="198"/>
      <c r="J1439" s="197"/>
      <c r="K1439" s="198"/>
      <c r="L1439" s="199" t="s">
        <v>1140</v>
      </c>
      <c r="M1439" s="199" t="s">
        <v>1208</v>
      </c>
      <c r="N1439" s="199">
        <f>SUM(N1436:N1438)</f>
        <v>4.97</v>
      </c>
      <c r="O1439" s="155" t="e">
        <f>P1433</f>
        <v>#REF!</v>
      </c>
      <c r="P1439" s="193"/>
      <c r="Q1439" s="200"/>
      <c r="R1439" s="194"/>
      <c r="T1439" s="190"/>
      <c r="U1439" s="191"/>
    </row>
    <row r="1440" spans="1:21">
      <c r="A1440" s="192"/>
      <c r="B1440" s="195"/>
      <c r="C1440" s="196"/>
      <c r="D1440" s="197"/>
      <c r="E1440" s="198"/>
      <c r="F1440" s="197"/>
      <c r="G1440" s="198"/>
      <c r="H1440" s="197"/>
      <c r="I1440" s="198"/>
      <c r="J1440" s="197"/>
      <c r="K1440" s="198"/>
      <c r="L1440" s="199"/>
      <c r="M1440" s="199"/>
      <c r="N1440" s="199"/>
      <c r="O1440" s="155"/>
      <c r="P1440" s="193"/>
      <c r="Q1440" s="200"/>
      <c r="R1440" s="194"/>
      <c r="T1440" s="190"/>
      <c r="U1440" s="191"/>
    </row>
    <row r="1441" spans="1:21">
      <c r="A1441" s="192"/>
      <c r="B1441" s="1277" t="s">
        <v>1209</v>
      </c>
      <c r="C1441" s="1277"/>
      <c r="D1441" s="1277"/>
      <c r="E1441" s="1277"/>
      <c r="F1441" s="1277"/>
      <c r="G1441" s="1277"/>
      <c r="H1441" s="1277"/>
      <c r="I1441" s="1277"/>
      <c r="J1441" s="1277"/>
      <c r="K1441" s="1277"/>
      <c r="L1441" s="1277"/>
      <c r="M1441" s="1277"/>
      <c r="N1441" s="1277"/>
      <c r="O1441" s="1277"/>
      <c r="P1441" s="1277"/>
      <c r="Q1441" s="203">
        <v>0</v>
      </c>
      <c r="R1441" s="204">
        <f>Q1441</f>
        <v>0</v>
      </c>
      <c r="T1441" s="1278"/>
      <c r="U1441" s="1279"/>
    </row>
    <row r="1442" spans="1:21">
      <c r="A1442" s="192"/>
      <c r="B1442" s="1277" t="e">
        <f>med</f>
        <v>#NAME?</v>
      </c>
      <c r="C1442" s="1277"/>
      <c r="D1442" s="1277"/>
      <c r="E1442" s="1277"/>
      <c r="F1442" s="1277"/>
      <c r="G1442" s="1277"/>
      <c r="H1442" s="1277"/>
      <c r="I1442" s="1277"/>
      <c r="J1442" s="1277"/>
      <c r="K1442" s="1277"/>
      <c r="L1442" s="1277"/>
      <c r="M1442" s="1277"/>
      <c r="N1442" s="1277"/>
      <c r="O1442" s="1277"/>
      <c r="P1442" s="205">
        <f>N1439</f>
        <v>4.97</v>
      </c>
      <c r="Q1442" s="203">
        <f>P1442</f>
        <v>4.97</v>
      </c>
      <c r="R1442" s="204">
        <f>Q1442+R1441</f>
        <v>4.97</v>
      </c>
      <c r="T1442" s="1278"/>
      <c r="U1442" s="1279"/>
    </row>
    <row r="1443" spans="1:21" ht="18" customHeight="1">
      <c r="A1443" s="187" t="e">
        <f>#REF!</f>
        <v>#REF!</v>
      </c>
      <c r="B1443" s="1275" t="e">
        <f>IF(A1443="","",VLOOKUP($A1443,'[2]FDE-JUNHO-08'!$A$6:$D$3537,2,FALSE()))</f>
        <v>#REF!</v>
      </c>
      <c r="C1443" s="1275"/>
      <c r="D1443" s="1275"/>
      <c r="E1443" s="1275"/>
      <c r="F1443" s="1275"/>
      <c r="G1443" s="1275"/>
      <c r="H1443" s="1275"/>
      <c r="I1443" s="1275"/>
      <c r="J1443" s="1275"/>
      <c r="K1443" s="1275"/>
      <c r="L1443" s="1275"/>
      <c r="M1443" s="1275"/>
      <c r="N1443" s="1275"/>
      <c r="O1443" s="1275"/>
      <c r="P1443" s="188" t="e">
        <f>IF(A1443="","",VLOOKUP($A1443,'[2]FDE-JUNHO-08'!$A$6:$D$3537,3,FALSE()))</f>
        <v>#REF!</v>
      </c>
      <c r="Q1443" s="189" t="s">
        <v>1205</v>
      </c>
      <c r="R1443" s="189" t="s">
        <v>1206</v>
      </c>
      <c r="T1443" s="190"/>
      <c r="U1443" s="191"/>
    </row>
    <row r="1444" spans="1:21">
      <c r="A1444" s="192"/>
      <c r="B1444" s="1281"/>
      <c r="C1444" s="1281"/>
      <c r="D1444" s="1281"/>
      <c r="E1444" s="1281"/>
      <c r="F1444" s="1281"/>
      <c r="G1444" s="1281"/>
      <c r="H1444" s="1281"/>
      <c r="I1444" s="1281"/>
      <c r="J1444" s="1281"/>
      <c r="K1444" s="1281"/>
      <c r="L1444" s="1281"/>
      <c r="M1444" s="1281"/>
      <c r="N1444" s="1281"/>
      <c r="O1444" s="1281"/>
      <c r="P1444" s="193"/>
      <c r="Q1444" s="194"/>
      <c r="R1444" s="194"/>
      <c r="T1444" s="190"/>
      <c r="U1444" s="191"/>
    </row>
    <row r="1445" spans="1:21">
      <c r="A1445" s="192"/>
      <c r="B1445" s="195"/>
      <c r="C1445" s="196"/>
      <c r="D1445" s="197"/>
      <c r="E1445" s="198"/>
      <c r="F1445" s="197"/>
      <c r="G1445" s="198"/>
      <c r="H1445" s="198" t="s">
        <v>1275</v>
      </c>
      <c r="I1445" s="198"/>
      <c r="J1445" s="198" t="s">
        <v>1231</v>
      </c>
      <c r="K1445" s="198"/>
      <c r="L1445" s="198" t="s">
        <v>1281</v>
      </c>
      <c r="M1445" s="212"/>
      <c r="N1445" s="212"/>
      <c r="O1445" s="155"/>
      <c r="P1445" s="193"/>
      <c r="Q1445" s="200"/>
      <c r="R1445" s="194"/>
      <c r="T1445" s="190"/>
      <c r="U1445" s="191"/>
    </row>
    <row r="1446" spans="1:21">
      <c r="A1446" s="192"/>
      <c r="B1446" s="195" t="s">
        <v>1341</v>
      </c>
      <c r="C1446" s="196"/>
      <c r="D1446" s="197"/>
      <c r="E1446" s="198"/>
      <c r="F1446" s="197"/>
      <c r="G1446" s="198"/>
      <c r="H1446" s="198">
        <v>6</v>
      </c>
      <c r="I1446" s="198" t="s">
        <v>1227</v>
      </c>
      <c r="J1446" s="198">
        <v>1.35</v>
      </c>
      <c r="K1446" s="198" t="s">
        <v>1227</v>
      </c>
      <c r="L1446" s="198">
        <v>0.454320987654321</v>
      </c>
      <c r="M1446" s="198" t="s">
        <v>1208</v>
      </c>
      <c r="N1446" s="198">
        <f>L1446*J1446*H1446</f>
        <v>3.6800000000000006</v>
      </c>
      <c r="O1446" s="155"/>
      <c r="P1446" s="193"/>
      <c r="Q1446" s="200"/>
      <c r="R1446" s="194"/>
      <c r="T1446" s="190"/>
      <c r="U1446" s="191"/>
    </row>
    <row r="1447" spans="1:21">
      <c r="A1447" s="192"/>
      <c r="B1447" s="195" t="s">
        <v>1342</v>
      </c>
      <c r="C1447" s="196"/>
      <c r="D1447" s="197"/>
      <c r="E1447" s="198"/>
      <c r="F1447" s="197"/>
      <c r="G1447" s="198"/>
      <c r="H1447" s="198">
        <v>1</v>
      </c>
      <c r="I1447" s="198" t="s">
        <v>1227</v>
      </c>
      <c r="J1447" s="198">
        <v>3.8</v>
      </c>
      <c r="K1447" s="198" t="s">
        <v>1227</v>
      </c>
      <c r="L1447" s="198">
        <v>1.4</v>
      </c>
      <c r="M1447" s="198" t="s">
        <v>1208</v>
      </c>
      <c r="N1447" s="198">
        <f>L1447*J1447</f>
        <v>5.3199999999999994</v>
      </c>
      <c r="O1447" s="155"/>
      <c r="P1447" s="193"/>
      <c r="Q1447" s="200"/>
      <c r="R1447" s="194"/>
      <c r="T1447" s="190"/>
      <c r="U1447" s="191"/>
    </row>
    <row r="1448" spans="1:21">
      <c r="A1448" s="192"/>
      <c r="B1448" s="195"/>
      <c r="C1448" s="196"/>
      <c r="D1448" s="197"/>
      <c r="E1448" s="198"/>
      <c r="F1448" s="197"/>
      <c r="G1448" s="198"/>
      <c r="H1448" s="197"/>
      <c r="I1448" s="198"/>
      <c r="J1448" s="197"/>
      <c r="K1448" s="198"/>
      <c r="L1448" s="199"/>
      <c r="M1448" s="199"/>
      <c r="N1448" s="201"/>
      <c r="O1448" s="202"/>
      <c r="P1448" s="193"/>
      <c r="Q1448" s="200"/>
      <c r="R1448" s="194"/>
      <c r="T1448" s="190"/>
      <c r="U1448" s="191"/>
    </row>
    <row r="1449" spans="1:21">
      <c r="A1449" s="192"/>
      <c r="B1449" s="195"/>
      <c r="C1449" s="196"/>
      <c r="D1449" s="197"/>
      <c r="E1449" s="198"/>
      <c r="F1449" s="197"/>
      <c r="G1449" s="198"/>
      <c r="H1449" s="197"/>
      <c r="I1449" s="198"/>
      <c r="J1449" s="197"/>
      <c r="K1449" s="198"/>
      <c r="L1449" s="199" t="s">
        <v>1140</v>
      </c>
      <c r="M1449" s="199" t="s">
        <v>1208</v>
      </c>
      <c r="N1449" s="199">
        <f>SUM(N1446:N1448)</f>
        <v>9</v>
      </c>
      <c r="O1449" s="155" t="e">
        <f>P1443</f>
        <v>#REF!</v>
      </c>
      <c r="P1449" s="193"/>
      <c r="Q1449" s="200"/>
      <c r="R1449" s="194"/>
      <c r="T1449" s="190"/>
      <c r="U1449" s="191"/>
    </row>
    <row r="1450" spans="1:21">
      <c r="A1450" s="192"/>
      <c r="B1450" s="195"/>
      <c r="C1450" s="196"/>
      <c r="D1450" s="197"/>
      <c r="E1450" s="198"/>
      <c r="F1450" s="197"/>
      <c r="G1450" s="198"/>
      <c r="H1450" s="197"/>
      <c r="I1450" s="198"/>
      <c r="J1450" s="197"/>
      <c r="K1450" s="198"/>
      <c r="L1450" s="199"/>
      <c r="M1450" s="199"/>
      <c r="N1450" s="199"/>
      <c r="O1450" s="155"/>
      <c r="P1450" s="193"/>
      <c r="Q1450" s="200"/>
      <c r="R1450" s="194"/>
      <c r="T1450" s="190"/>
      <c r="U1450" s="191"/>
    </row>
    <row r="1451" spans="1:21">
      <c r="A1451" s="192"/>
      <c r="B1451" s="1277" t="s">
        <v>1209</v>
      </c>
      <c r="C1451" s="1277"/>
      <c r="D1451" s="1277"/>
      <c r="E1451" s="1277"/>
      <c r="F1451" s="1277"/>
      <c r="G1451" s="1277"/>
      <c r="H1451" s="1277"/>
      <c r="I1451" s="1277"/>
      <c r="J1451" s="1277"/>
      <c r="K1451" s="1277"/>
      <c r="L1451" s="1277"/>
      <c r="M1451" s="1277"/>
      <c r="N1451" s="1277"/>
      <c r="O1451" s="1277"/>
      <c r="P1451" s="1277"/>
      <c r="Q1451" s="203">
        <v>0</v>
      </c>
      <c r="R1451" s="204">
        <f>Q1451</f>
        <v>0</v>
      </c>
      <c r="T1451" s="1278"/>
      <c r="U1451" s="1279"/>
    </row>
    <row r="1452" spans="1:21">
      <c r="A1452" s="192"/>
      <c r="B1452" s="1277" t="e">
        <f>med</f>
        <v>#NAME?</v>
      </c>
      <c r="C1452" s="1277"/>
      <c r="D1452" s="1277"/>
      <c r="E1452" s="1277"/>
      <c r="F1452" s="1277"/>
      <c r="G1452" s="1277"/>
      <c r="H1452" s="1277"/>
      <c r="I1452" s="1277"/>
      <c r="J1452" s="1277"/>
      <c r="K1452" s="1277"/>
      <c r="L1452" s="1277"/>
      <c r="M1452" s="1277"/>
      <c r="N1452" s="1277"/>
      <c r="O1452" s="1277"/>
      <c r="P1452" s="205">
        <f>N1449</f>
        <v>9</v>
      </c>
      <c r="Q1452" s="203">
        <f>P1452</f>
        <v>9</v>
      </c>
      <c r="R1452" s="204">
        <f>Q1452+R1451</f>
        <v>9</v>
      </c>
      <c r="T1452" s="1278"/>
      <c r="U1452" s="1279"/>
    </row>
    <row r="1453" spans="1:21" ht="18" customHeight="1">
      <c r="A1453" s="187" t="e">
        <f>#REF!</f>
        <v>#REF!</v>
      </c>
      <c r="B1453" s="1275" t="e">
        <f>IF(A1453="","",VLOOKUP($A1453,'[2]FDE-JUNHO-08'!$A$6:$D$3537,2,FALSE()))</f>
        <v>#REF!</v>
      </c>
      <c r="C1453" s="1275"/>
      <c r="D1453" s="1275"/>
      <c r="E1453" s="1275"/>
      <c r="F1453" s="1275"/>
      <c r="G1453" s="1275"/>
      <c r="H1453" s="1275"/>
      <c r="I1453" s="1275"/>
      <c r="J1453" s="1275"/>
      <c r="K1453" s="1275"/>
      <c r="L1453" s="1275"/>
      <c r="M1453" s="1275"/>
      <c r="N1453" s="1275"/>
      <c r="O1453" s="1275"/>
      <c r="P1453" s="188" t="e">
        <f>IF(A1453="","",VLOOKUP($A1453,'[2]FDE-JUNHO-08'!$A$6:$D$3537,3,FALSE()))</f>
        <v>#REF!</v>
      </c>
      <c r="Q1453" s="189" t="s">
        <v>1205</v>
      </c>
      <c r="R1453" s="189" t="s">
        <v>1206</v>
      </c>
      <c r="T1453" s="190"/>
      <c r="U1453" s="191"/>
    </row>
    <row r="1454" spans="1:21">
      <c r="A1454" s="192"/>
      <c r="B1454" s="1281"/>
      <c r="C1454" s="1281"/>
      <c r="D1454" s="1281"/>
      <c r="E1454" s="1281"/>
      <c r="F1454" s="1281"/>
      <c r="G1454" s="1281"/>
      <c r="H1454" s="1281"/>
      <c r="I1454" s="1281"/>
      <c r="J1454" s="1281"/>
      <c r="K1454" s="1281"/>
      <c r="L1454" s="1281"/>
      <c r="M1454" s="1281"/>
      <c r="N1454" s="1281"/>
      <c r="O1454" s="1281"/>
      <c r="P1454" s="193"/>
      <c r="Q1454" s="194"/>
      <c r="R1454" s="194"/>
      <c r="T1454" s="190"/>
      <c r="U1454" s="191"/>
    </row>
    <row r="1455" spans="1:21">
      <c r="A1455" s="192"/>
      <c r="B1455" s="195" t="s">
        <v>1343</v>
      </c>
      <c r="C1455" s="196"/>
      <c r="D1455" s="197"/>
      <c r="E1455" s="198"/>
      <c r="F1455" s="198" t="s">
        <v>1251</v>
      </c>
      <c r="G1455" s="198"/>
      <c r="H1455" s="198" t="s">
        <v>1344</v>
      </c>
      <c r="I1455" s="198"/>
      <c r="J1455" s="198" t="s">
        <v>1252</v>
      </c>
      <c r="K1455" s="198"/>
      <c r="L1455" s="198" t="s">
        <v>1253</v>
      </c>
      <c r="M1455" s="199"/>
      <c r="N1455" s="199"/>
      <c r="O1455" s="155"/>
      <c r="P1455" s="193"/>
      <c r="Q1455" s="200"/>
      <c r="R1455" s="194"/>
      <c r="T1455" s="190"/>
      <c r="U1455" s="191"/>
    </row>
    <row r="1456" spans="1:21">
      <c r="A1456" s="192"/>
      <c r="B1456" s="195" t="s">
        <v>1345</v>
      </c>
      <c r="C1456" s="196"/>
      <c r="D1456" s="197"/>
      <c r="E1456" s="198"/>
      <c r="F1456" s="198">
        <v>1</v>
      </c>
      <c r="G1456" s="198" t="s">
        <v>1255</v>
      </c>
      <c r="H1456" s="198">
        <v>1</v>
      </c>
      <c r="I1456" s="198" t="s">
        <v>1255</v>
      </c>
      <c r="J1456" s="198">
        <v>1.8</v>
      </c>
      <c r="K1456" s="198" t="s">
        <v>1255</v>
      </c>
      <c r="L1456" s="198">
        <v>1.65</v>
      </c>
      <c r="M1456" s="199" t="s">
        <v>1208</v>
      </c>
      <c r="N1456" s="199">
        <f>L1456*J1456*H1456*F1456</f>
        <v>2.9699999999999998</v>
      </c>
      <c r="O1456" s="155"/>
      <c r="P1456" s="193"/>
      <c r="Q1456" s="200"/>
      <c r="R1456" s="194"/>
      <c r="T1456" s="190"/>
      <c r="U1456" s="191"/>
    </row>
    <row r="1457" spans="1:21">
      <c r="A1457" s="192"/>
      <c r="B1457" s="195" t="s">
        <v>1346</v>
      </c>
      <c r="C1457" s="196"/>
      <c r="D1457" s="197"/>
      <c r="E1457" s="198"/>
      <c r="F1457" s="198">
        <v>6</v>
      </c>
      <c r="G1457" s="198" t="s">
        <v>1255</v>
      </c>
      <c r="H1457" s="198">
        <v>1</v>
      </c>
      <c r="I1457" s="198" t="s">
        <v>1227</v>
      </c>
      <c r="J1457" s="198">
        <v>1.35</v>
      </c>
      <c r="K1457" s="198" t="s">
        <v>1227</v>
      </c>
      <c r="L1457" s="198">
        <v>0.454320987654321</v>
      </c>
      <c r="M1457" s="198" t="s">
        <v>1208</v>
      </c>
      <c r="N1457" s="197">
        <f>L1457*J1457*H1457*F1457</f>
        <v>3.6800000000000006</v>
      </c>
      <c r="O1457" s="155"/>
      <c r="P1457" s="193"/>
      <c r="Q1457" s="200"/>
      <c r="R1457" s="194"/>
      <c r="T1457" s="190"/>
      <c r="U1457" s="191"/>
    </row>
    <row r="1458" spans="1:21">
      <c r="A1458" s="192"/>
      <c r="B1458" s="195" t="s">
        <v>1347</v>
      </c>
      <c r="C1458" s="196"/>
      <c r="D1458" s="197"/>
      <c r="E1458" s="198"/>
      <c r="F1458" s="198">
        <v>1</v>
      </c>
      <c r="G1458" s="198" t="s">
        <v>1255</v>
      </c>
      <c r="H1458" s="198">
        <v>2</v>
      </c>
      <c r="I1458" s="198" t="s">
        <v>1255</v>
      </c>
      <c r="J1458" s="198">
        <v>2</v>
      </c>
      <c r="K1458" s="198" t="s">
        <v>1255</v>
      </c>
      <c r="L1458" s="198">
        <v>2</v>
      </c>
      <c r="M1458" s="199" t="s">
        <v>1208</v>
      </c>
      <c r="N1458" s="199">
        <f>L1458*J1458*H1458*F1458</f>
        <v>8</v>
      </c>
      <c r="O1458" s="155"/>
      <c r="P1458" s="193"/>
      <c r="Q1458" s="200"/>
      <c r="R1458" s="194"/>
      <c r="T1458" s="190"/>
      <c r="U1458" s="191"/>
    </row>
    <row r="1459" spans="1:21">
      <c r="A1459" s="192"/>
      <c r="B1459" s="195" t="s">
        <v>1348</v>
      </c>
      <c r="C1459" s="196"/>
      <c r="D1459" s="197"/>
      <c r="E1459" s="198"/>
      <c r="F1459" s="198">
        <v>170</v>
      </c>
      <c r="G1459" s="198" t="s">
        <v>1255</v>
      </c>
      <c r="H1459" s="198">
        <v>1</v>
      </c>
      <c r="I1459" s="198" t="s">
        <v>1255</v>
      </c>
      <c r="J1459" s="198">
        <v>0.12</v>
      </c>
      <c r="K1459" s="198" t="s">
        <v>1255</v>
      </c>
      <c r="L1459" s="198">
        <v>1.5</v>
      </c>
      <c r="M1459" s="199" t="s">
        <v>1208</v>
      </c>
      <c r="N1459" s="199">
        <f>L1459*J1459*H1459*F1459</f>
        <v>30.599999999999998</v>
      </c>
      <c r="O1459" s="155"/>
      <c r="P1459" s="193"/>
      <c r="Q1459" s="200"/>
      <c r="R1459" s="194"/>
      <c r="T1459" s="190"/>
      <c r="U1459" s="191"/>
    </row>
    <row r="1460" spans="1:21">
      <c r="A1460" s="192"/>
      <c r="B1460" s="195"/>
      <c r="C1460" s="196"/>
      <c r="D1460" s="197"/>
      <c r="E1460" s="198"/>
      <c r="F1460" s="198"/>
      <c r="G1460" s="198"/>
      <c r="H1460" s="198"/>
      <c r="I1460" s="198"/>
      <c r="J1460" s="198"/>
      <c r="K1460" s="198"/>
      <c r="L1460" s="198"/>
      <c r="M1460" s="199"/>
      <c r="N1460" s="201"/>
      <c r="O1460" s="202"/>
      <c r="P1460" s="193"/>
      <c r="Q1460" s="200"/>
      <c r="R1460" s="194"/>
      <c r="T1460" s="190"/>
      <c r="U1460" s="191"/>
    </row>
    <row r="1461" spans="1:21">
      <c r="A1461" s="192"/>
      <c r="B1461" s="195"/>
      <c r="C1461" s="196"/>
      <c r="D1461" s="197"/>
      <c r="E1461" s="198"/>
      <c r="F1461" s="198"/>
      <c r="G1461" s="198"/>
      <c r="H1461" s="198"/>
      <c r="I1461" s="198"/>
      <c r="J1461" s="198"/>
      <c r="K1461" s="198"/>
      <c r="L1461" s="199" t="s">
        <v>1140</v>
      </c>
      <c r="M1461" s="199" t="s">
        <v>1208</v>
      </c>
      <c r="N1461" s="199">
        <f>SUM(N1456:N1460)</f>
        <v>45.25</v>
      </c>
      <c r="O1461" s="155" t="e">
        <f>P1453</f>
        <v>#REF!</v>
      </c>
      <c r="P1461" s="193"/>
      <c r="Q1461" s="200"/>
      <c r="R1461" s="194"/>
      <c r="T1461" s="190"/>
      <c r="U1461" s="191"/>
    </row>
    <row r="1462" spans="1:21">
      <c r="A1462" s="192"/>
      <c r="B1462" s="195"/>
      <c r="C1462" s="196"/>
      <c r="D1462" s="197"/>
      <c r="E1462" s="198"/>
      <c r="F1462" s="197"/>
      <c r="G1462" s="198"/>
      <c r="H1462" s="197"/>
      <c r="I1462" s="198"/>
      <c r="J1462" s="197"/>
      <c r="K1462" s="198"/>
      <c r="L1462" s="199"/>
      <c r="M1462" s="199"/>
      <c r="N1462" s="199"/>
      <c r="O1462" s="155"/>
      <c r="P1462" s="193"/>
      <c r="Q1462" s="200"/>
      <c r="R1462" s="194"/>
      <c r="T1462" s="190"/>
      <c r="U1462" s="191"/>
    </row>
    <row r="1463" spans="1:21">
      <c r="A1463" s="192"/>
      <c r="B1463" s="1277" t="s">
        <v>1209</v>
      </c>
      <c r="C1463" s="1277"/>
      <c r="D1463" s="1277"/>
      <c r="E1463" s="1277"/>
      <c r="F1463" s="1277"/>
      <c r="G1463" s="1277"/>
      <c r="H1463" s="1277"/>
      <c r="I1463" s="1277"/>
      <c r="J1463" s="1277"/>
      <c r="K1463" s="1277"/>
      <c r="L1463" s="1277"/>
      <c r="M1463" s="1277"/>
      <c r="N1463" s="1277"/>
      <c r="O1463" s="1277"/>
      <c r="P1463" s="1277"/>
      <c r="Q1463" s="203">
        <v>0</v>
      </c>
      <c r="R1463" s="204">
        <f>Q1463</f>
        <v>0</v>
      </c>
      <c r="T1463" s="1278"/>
      <c r="U1463" s="1279"/>
    </row>
    <row r="1464" spans="1:21">
      <c r="A1464" s="192"/>
      <c r="B1464" s="1277" t="e">
        <f>med</f>
        <v>#NAME?</v>
      </c>
      <c r="C1464" s="1277"/>
      <c r="D1464" s="1277"/>
      <c r="E1464" s="1277"/>
      <c r="F1464" s="1277"/>
      <c r="G1464" s="1277"/>
      <c r="H1464" s="1277"/>
      <c r="I1464" s="1277"/>
      <c r="J1464" s="1277"/>
      <c r="K1464" s="1277"/>
      <c r="L1464" s="1277"/>
      <c r="M1464" s="1277"/>
      <c r="N1464" s="1277"/>
      <c r="O1464" s="1277"/>
      <c r="P1464" s="205">
        <f>N1461</f>
        <v>45.25</v>
      </c>
      <c r="Q1464" s="203">
        <f>P1464</f>
        <v>45.25</v>
      </c>
      <c r="R1464" s="204">
        <f>Q1464+R1463</f>
        <v>45.25</v>
      </c>
      <c r="T1464" s="1278"/>
      <c r="U1464" s="1279"/>
    </row>
    <row r="1465" spans="1:21" ht="18" customHeight="1">
      <c r="A1465" s="187" t="e">
        <f>#REF!</f>
        <v>#REF!</v>
      </c>
      <c r="B1465" s="1275" t="e">
        <f>IF(A1465="","",VLOOKUP($A1465,'[2]FDE-JUNHO-08'!$A$6:$D$3537,2,FALSE()))</f>
        <v>#REF!</v>
      </c>
      <c r="C1465" s="1275"/>
      <c r="D1465" s="1275"/>
      <c r="E1465" s="1275"/>
      <c r="F1465" s="1275"/>
      <c r="G1465" s="1275"/>
      <c r="H1465" s="1275"/>
      <c r="I1465" s="1275"/>
      <c r="J1465" s="1275"/>
      <c r="K1465" s="1275"/>
      <c r="L1465" s="1275"/>
      <c r="M1465" s="1275"/>
      <c r="N1465" s="1275"/>
      <c r="O1465" s="1275"/>
      <c r="P1465" s="188" t="e">
        <f>IF(A1465="","",VLOOKUP($A1465,'[2]FDE-JUNHO-08'!$A$6:$D$3537,3,FALSE()))</f>
        <v>#REF!</v>
      </c>
      <c r="Q1465" s="189" t="s">
        <v>1205</v>
      </c>
      <c r="R1465" s="189" t="s">
        <v>1206</v>
      </c>
      <c r="T1465" s="190"/>
      <c r="U1465" s="191"/>
    </row>
    <row r="1466" spans="1:21">
      <c r="A1466" s="192"/>
      <c r="B1466" s="1281"/>
      <c r="C1466" s="1281"/>
      <c r="D1466" s="1281"/>
      <c r="E1466" s="1281"/>
      <c r="F1466" s="1281"/>
      <c r="G1466" s="1281"/>
      <c r="H1466" s="1281"/>
      <c r="I1466" s="1281"/>
      <c r="J1466" s="1281"/>
      <c r="K1466" s="1281"/>
      <c r="L1466" s="1281"/>
      <c r="M1466" s="1281"/>
      <c r="N1466" s="1281"/>
      <c r="O1466" s="1281"/>
      <c r="P1466" s="193"/>
      <c r="Q1466" s="194"/>
      <c r="R1466" s="194"/>
      <c r="T1466" s="190"/>
      <c r="U1466" s="191"/>
    </row>
    <row r="1467" spans="1:21">
      <c r="A1467" s="192"/>
      <c r="B1467" s="195"/>
      <c r="C1467" s="196"/>
      <c r="D1467" s="197"/>
      <c r="E1467" s="198"/>
      <c r="F1467" s="198" t="s">
        <v>1251</v>
      </c>
      <c r="G1467" s="198"/>
      <c r="H1467" s="198" t="s">
        <v>1344</v>
      </c>
      <c r="I1467" s="198"/>
      <c r="J1467" s="198" t="s">
        <v>1252</v>
      </c>
      <c r="K1467" s="198"/>
      <c r="L1467" s="198" t="s">
        <v>1253</v>
      </c>
      <c r="M1467" s="199"/>
      <c r="N1467" s="199"/>
      <c r="O1467" s="155"/>
      <c r="P1467" s="193"/>
      <c r="Q1467" s="200"/>
      <c r="R1467" s="194"/>
      <c r="T1467" s="190"/>
      <c r="U1467" s="191"/>
    </row>
    <row r="1468" spans="1:21">
      <c r="A1468" s="192"/>
      <c r="B1468" s="215" t="s">
        <v>1349</v>
      </c>
      <c r="C1468" s="240"/>
      <c r="D1468" s="241"/>
      <c r="E1468" s="242"/>
      <c r="F1468" s="198">
        <v>1</v>
      </c>
      <c r="G1468" s="198" t="s">
        <v>1255</v>
      </c>
      <c r="H1468" s="198">
        <v>2</v>
      </c>
      <c r="I1468" s="198" t="s">
        <v>1255</v>
      </c>
      <c r="J1468" s="198">
        <v>2.8</v>
      </c>
      <c r="K1468" s="198" t="s">
        <v>1255</v>
      </c>
      <c r="L1468" s="198">
        <v>2.2000000000000002</v>
      </c>
      <c r="M1468" s="199" t="s">
        <v>1208</v>
      </c>
      <c r="N1468" s="199">
        <f t="shared" ref="N1468:N1474" si="3">L1468*J1468*H1468*F1468</f>
        <v>12.32</v>
      </c>
      <c r="O1468" s="155"/>
      <c r="P1468" s="193"/>
      <c r="Q1468" s="200"/>
      <c r="R1468" s="194"/>
      <c r="T1468" s="190"/>
      <c r="U1468" s="191"/>
    </row>
    <row r="1469" spans="1:21">
      <c r="A1469" s="192"/>
      <c r="B1469" s="215" t="s">
        <v>1350</v>
      </c>
      <c r="C1469" s="240"/>
      <c r="D1469" s="241"/>
      <c r="E1469" s="242"/>
      <c r="F1469" s="198">
        <v>3</v>
      </c>
      <c r="G1469" s="198" t="s">
        <v>1255</v>
      </c>
      <c r="H1469" s="198">
        <v>2</v>
      </c>
      <c r="I1469" s="198" t="s">
        <v>1255</v>
      </c>
      <c r="J1469" s="198">
        <v>1</v>
      </c>
      <c r="K1469" s="198" t="s">
        <v>1255</v>
      </c>
      <c r="L1469" s="198">
        <v>2.2000000000000002</v>
      </c>
      <c r="M1469" s="199" t="s">
        <v>1208</v>
      </c>
      <c r="N1469" s="199">
        <f t="shared" si="3"/>
        <v>13.200000000000001</v>
      </c>
      <c r="O1469" s="155"/>
      <c r="P1469" s="193"/>
      <c r="Q1469" s="200"/>
      <c r="R1469" s="194"/>
      <c r="T1469" s="190"/>
      <c r="U1469" s="191"/>
    </row>
    <row r="1470" spans="1:21">
      <c r="A1470" s="192"/>
      <c r="B1470" s="215" t="s">
        <v>1351</v>
      </c>
      <c r="C1470" s="240"/>
      <c r="D1470" s="241"/>
      <c r="E1470" s="242"/>
      <c r="F1470" s="198">
        <v>1</v>
      </c>
      <c r="G1470" s="198" t="s">
        <v>1255</v>
      </c>
      <c r="H1470" s="198">
        <v>1</v>
      </c>
      <c r="I1470" s="198" t="s">
        <v>1255</v>
      </c>
      <c r="J1470" s="198">
        <v>1</v>
      </c>
      <c r="K1470" s="198" t="s">
        <v>1255</v>
      </c>
      <c r="L1470" s="198">
        <v>0.7</v>
      </c>
      <c r="M1470" s="199" t="s">
        <v>1208</v>
      </c>
      <c r="N1470" s="199">
        <f t="shared" si="3"/>
        <v>0.7</v>
      </c>
      <c r="O1470" s="155"/>
      <c r="P1470" s="193"/>
      <c r="Q1470" s="200"/>
      <c r="R1470" s="194"/>
      <c r="T1470" s="190"/>
      <c r="U1470" s="191"/>
    </row>
    <row r="1471" spans="1:21">
      <c r="A1471" s="192"/>
      <c r="B1471" s="215" t="s">
        <v>1352</v>
      </c>
      <c r="C1471" s="240"/>
      <c r="D1471" s="241"/>
      <c r="E1471" s="242"/>
      <c r="F1471" s="198">
        <v>1</v>
      </c>
      <c r="G1471" s="198" t="s">
        <v>1255</v>
      </c>
      <c r="H1471" s="198">
        <v>4</v>
      </c>
      <c r="I1471" s="198" t="s">
        <v>1255</v>
      </c>
      <c r="J1471" s="198">
        <v>0.3</v>
      </c>
      <c r="K1471" s="198" t="s">
        <v>1255</v>
      </c>
      <c r="L1471" s="198">
        <v>6</v>
      </c>
      <c r="M1471" s="199" t="s">
        <v>1208</v>
      </c>
      <c r="N1471" s="199">
        <f t="shared" si="3"/>
        <v>7.1999999999999993</v>
      </c>
      <c r="O1471" s="155"/>
      <c r="P1471" s="193"/>
      <c r="Q1471" s="200"/>
      <c r="R1471" s="194"/>
      <c r="T1471" s="190"/>
      <c r="U1471" s="191"/>
    </row>
    <row r="1472" spans="1:21">
      <c r="A1472" s="192"/>
      <c r="B1472" s="215" t="s">
        <v>1353</v>
      </c>
      <c r="C1472" s="240"/>
      <c r="D1472" s="241"/>
      <c r="E1472" s="242"/>
      <c r="F1472" s="198">
        <v>1</v>
      </c>
      <c r="G1472" s="198" t="s">
        <v>1255</v>
      </c>
      <c r="H1472" s="198">
        <v>1</v>
      </c>
      <c r="I1472" s="198" t="s">
        <v>1255</v>
      </c>
      <c r="J1472" s="198">
        <v>1</v>
      </c>
      <c r="K1472" s="198" t="s">
        <v>1255</v>
      </c>
      <c r="L1472" s="198">
        <v>7</v>
      </c>
      <c r="M1472" s="199" t="s">
        <v>1208</v>
      </c>
      <c r="N1472" s="199">
        <f t="shared" si="3"/>
        <v>7</v>
      </c>
      <c r="O1472" s="155"/>
      <c r="P1472" s="193"/>
      <c r="Q1472" s="200"/>
      <c r="R1472" s="194"/>
      <c r="T1472" s="190"/>
      <c r="U1472" s="191"/>
    </row>
    <row r="1473" spans="1:21">
      <c r="A1473" s="192"/>
      <c r="B1473" s="215" t="s">
        <v>1273</v>
      </c>
      <c r="C1473" s="240"/>
      <c r="D1473" s="241"/>
      <c r="E1473" s="242"/>
      <c r="F1473" s="198">
        <v>1</v>
      </c>
      <c r="G1473" s="198" t="s">
        <v>1255</v>
      </c>
      <c r="H1473" s="198">
        <v>2</v>
      </c>
      <c r="I1473" s="198" t="s">
        <v>1255</v>
      </c>
      <c r="J1473" s="198">
        <v>2.1</v>
      </c>
      <c r="K1473" s="198" t="s">
        <v>1255</v>
      </c>
      <c r="L1473" s="198">
        <v>2.2000000000000002</v>
      </c>
      <c r="M1473" s="199" t="s">
        <v>1208</v>
      </c>
      <c r="N1473" s="199">
        <f t="shared" si="3"/>
        <v>9.240000000000002</v>
      </c>
      <c r="O1473" s="217"/>
      <c r="P1473" s="193"/>
      <c r="Q1473" s="200"/>
      <c r="R1473" s="194"/>
      <c r="T1473" s="190"/>
      <c r="U1473" s="191"/>
    </row>
    <row r="1474" spans="1:21">
      <c r="A1474" s="192"/>
      <c r="B1474" s="215" t="s">
        <v>1277</v>
      </c>
      <c r="C1474" s="240"/>
      <c r="D1474" s="241"/>
      <c r="E1474" s="242"/>
      <c r="F1474" s="198">
        <v>3</v>
      </c>
      <c r="G1474" s="198" t="s">
        <v>1255</v>
      </c>
      <c r="H1474" s="198">
        <v>2</v>
      </c>
      <c r="I1474" s="198" t="s">
        <v>1227</v>
      </c>
      <c r="J1474" s="198">
        <v>0.83</v>
      </c>
      <c r="K1474" s="198" t="s">
        <v>1227</v>
      </c>
      <c r="L1474" s="198">
        <v>0.90800000000000003</v>
      </c>
      <c r="M1474" s="198" t="s">
        <v>1208</v>
      </c>
      <c r="N1474" s="199">
        <f t="shared" si="3"/>
        <v>4.5218400000000001</v>
      </c>
      <c r="O1474" s="155"/>
      <c r="P1474" s="193"/>
      <c r="Q1474" s="200"/>
      <c r="R1474" s="194"/>
      <c r="T1474" s="190"/>
      <c r="U1474" s="191"/>
    </row>
    <row r="1475" spans="1:21">
      <c r="A1475" s="192"/>
      <c r="B1475" s="195"/>
      <c r="C1475" s="196"/>
      <c r="D1475" s="197"/>
      <c r="E1475" s="198"/>
      <c r="F1475" s="198"/>
      <c r="G1475" s="198"/>
      <c r="H1475" s="198"/>
      <c r="I1475" s="198"/>
      <c r="J1475" s="198"/>
      <c r="K1475" s="198"/>
      <c r="L1475" s="198"/>
      <c r="M1475" s="199"/>
      <c r="N1475" s="243"/>
      <c r="O1475" s="202"/>
      <c r="P1475" s="193"/>
      <c r="Q1475" s="200"/>
      <c r="R1475" s="194"/>
      <c r="T1475" s="190"/>
      <c r="U1475" s="191"/>
    </row>
    <row r="1476" spans="1:21">
      <c r="A1476" s="192"/>
      <c r="B1476" s="195"/>
      <c r="C1476" s="196"/>
      <c r="D1476" s="197"/>
      <c r="E1476" s="198"/>
      <c r="F1476" s="197"/>
      <c r="G1476" s="198"/>
      <c r="H1476" s="197"/>
      <c r="I1476" s="198"/>
      <c r="J1476" s="197"/>
      <c r="K1476" s="198"/>
      <c r="L1476" s="199" t="s">
        <v>1140</v>
      </c>
      <c r="M1476" s="199" t="s">
        <v>1208</v>
      </c>
      <c r="N1476" s="199">
        <f>SUM(N1467:N1474)</f>
        <v>54.181840000000001</v>
      </c>
      <c r="O1476" s="155" t="e">
        <f>P1465</f>
        <v>#REF!</v>
      </c>
      <c r="P1476" s="193"/>
      <c r="Q1476" s="200"/>
      <c r="R1476" s="194"/>
      <c r="T1476" s="190"/>
      <c r="U1476" s="191"/>
    </row>
    <row r="1477" spans="1:21">
      <c r="A1477" s="192"/>
      <c r="B1477" s="195"/>
      <c r="C1477" s="196"/>
      <c r="D1477" s="197"/>
      <c r="E1477" s="198"/>
      <c r="F1477" s="197"/>
      <c r="G1477" s="198"/>
      <c r="H1477" s="197"/>
      <c r="I1477" s="198"/>
      <c r="J1477" s="197"/>
      <c r="K1477" s="198"/>
      <c r="L1477" s="199"/>
      <c r="M1477" s="199"/>
      <c r="N1477" s="199"/>
      <c r="O1477" s="155"/>
      <c r="P1477" s="193"/>
      <c r="Q1477" s="200"/>
      <c r="R1477" s="194"/>
      <c r="T1477" s="190"/>
      <c r="U1477" s="191"/>
    </row>
    <row r="1478" spans="1:21">
      <c r="A1478" s="192"/>
      <c r="B1478" s="1277" t="s">
        <v>1209</v>
      </c>
      <c r="C1478" s="1277"/>
      <c r="D1478" s="1277"/>
      <c r="E1478" s="1277"/>
      <c r="F1478" s="1277"/>
      <c r="G1478" s="1277"/>
      <c r="H1478" s="1277"/>
      <c r="I1478" s="1277"/>
      <c r="J1478" s="1277"/>
      <c r="K1478" s="1277"/>
      <c r="L1478" s="1277"/>
      <c r="M1478" s="1277"/>
      <c r="N1478" s="1277"/>
      <c r="O1478" s="1277"/>
      <c r="P1478" s="1277"/>
      <c r="Q1478" s="203">
        <v>0</v>
      </c>
      <c r="R1478" s="204">
        <f>Q1478</f>
        <v>0</v>
      </c>
      <c r="T1478" s="1278"/>
      <c r="U1478" s="1279"/>
    </row>
    <row r="1479" spans="1:21">
      <c r="A1479" s="206"/>
      <c r="B1479" s="1277" t="e">
        <f>med</f>
        <v>#NAME?</v>
      </c>
      <c r="C1479" s="1277"/>
      <c r="D1479" s="1277"/>
      <c r="E1479" s="1277"/>
      <c r="F1479" s="1277"/>
      <c r="G1479" s="1277"/>
      <c r="H1479" s="1277"/>
      <c r="I1479" s="1277"/>
      <c r="J1479" s="1277"/>
      <c r="K1479" s="1277"/>
      <c r="L1479" s="1277"/>
      <c r="M1479" s="1277"/>
      <c r="N1479" s="1277"/>
      <c r="O1479" s="1277"/>
      <c r="P1479" s="205">
        <f>N1476</f>
        <v>54.181840000000001</v>
      </c>
      <c r="Q1479" s="203">
        <f>P1479</f>
        <v>54.181840000000001</v>
      </c>
      <c r="R1479" s="204">
        <f>Q1479+R1478</f>
        <v>54.181840000000001</v>
      </c>
      <c r="T1479" s="1278"/>
      <c r="U1479" s="1279"/>
    </row>
    <row r="1480" spans="1:21" ht="18" customHeight="1">
      <c r="A1480" s="187" t="e">
        <f>#REF!</f>
        <v>#REF!</v>
      </c>
      <c r="B1480" s="1275" t="e">
        <f>IF(A1480="","",VLOOKUP($A1480,'[2]FDE-JUNHO-08'!$A$6:$D$3537,2,FALSE()))</f>
        <v>#REF!</v>
      </c>
      <c r="C1480" s="1275"/>
      <c r="D1480" s="1275"/>
      <c r="E1480" s="1275"/>
      <c r="F1480" s="1275"/>
      <c r="G1480" s="1275"/>
      <c r="H1480" s="1275"/>
      <c r="I1480" s="1275"/>
      <c r="J1480" s="1275"/>
      <c r="K1480" s="1275"/>
      <c r="L1480" s="1275"/>
      <c r="M1480" s="1275"/>
      <c r="N1480" s="1275"/>
      <c r="O1480" s="1275"/>
      <c r="P1480" s="188" t="e">
        <f>IF(A1480="","",VLOOKUP($A1480,'[2]FDE-JUNHO-08'!$A$6:$D$3537,3,FALSE()))</f>
        <v>#REF!</v>
      </c>
      <c r="Q1480" s="189" t="s">
        <v>1205</v>
      </c>
      <c r="R1480" s="189" t="s">
        <v>1206</v>
      </c>
      <c r="T1480" s="190"/>
      <c r="U1480" s="191"/>
    </row>
    <row r="1481" spans="1:21">
      <c r="A1481" s="192"/>
      <c r="B1481" s="1281"/>
      <c r="C1481" s="1281"/>
      <c r="D1481" s="1281"/>
      <c r="E1481" s="1281"/>
      <c r="F1481" s="1281"/>
      <c r="G1481" s="1281"/>
      <c r="H1481" s="1281"/>
      <c r="I1481" s="1281"/>
      <c r="J1481" s="1281"/>
      <c r="K1481" s="1281"/>
      <c r="L1481" s="1281"/>
      <c r="M1481" s="1281"/>
      <c r="N1481" s="1281"/>
      <c r="O1481" s="1281"/>
      <c r="P1481" s="193"/>
      <c r="Q1481" s="194"/>
      <c r="R1481" s="194"/>
      <c r="T1481" s="190"/>
      <c r="U1481" s="191"/>
    </row>
    <row r="1482" spans="1:21">
      <c r="A1482" s="192"/>
      <c r="B1482" s="195"/>
      <c r="C1482" s="196"/>
      <c r="D1482" s="197"/>
      <c r="E1482" s="198"/>
      <c r="F1482" s="198" t="s">
        <v>1251</v>
      </c>
      <c r="G1482" s="198"/>
      <c r="H1482" s="198" t="s">
        <v>1344</v>
      </c>
      <c r="I1482" s="198"/>
      <c r="J1482" s="198" t="s">
        <v>1252</v>
      </c>
      <c r="K1482" s="198"/>
      <c r="L1482" s="198" t="s">
        <v>1253</v>
      </c>
      <c r="M1482" s="199"/>
      <c r="N1482" s="199"/>
      <c r="O1482" s="155"/>
      <c r="P1482" s="193"/>
      <c r="Q1482" s="200"/>
      <c r="R1482" s="194"/>
      <c r="T1482" s="190"/>
      <c r="U1482" s="191"/>
    </row>
    <row r="1483" spans="1:21">
      <c r="A1483" s="192"/>
      <c r="B1483" s="215" t="s">
        <v>1349</v>
      </c>
      <c r="C1483" s="240"/>
      <c r="D1483" s="241"/>
      <c r="E1483" s="242"/>
      <c r="F1483" s="198">
        <v>1</v>
      </c>
      <c r="G1483" s="198" t="s">
        <v>1255</v>
      </c>
      <c r="H1483" s="198">
        <v>2</v>
      </c>
      <c r="I1483" s="198" t="s">
        <v>1255</v>
      </c>
      <c r="J1483" s="198">
        <v>2.8</v>
      </c>
      <c r="K1483" s="198" t="s">
        <v>1255</v>
      </c>
      <c r="L1483" s="198">
        <v>2.2000000000000002</v>
      </c>
      <c r="M1483" s="199" t="s">
        <v>1208</v>
      </c>
      <c r="N1483" s="199">
        <f t="shared" ref="N1483:N1489" si="4">L1483*J1483*H1483*F1483</f>
        <v>12.32</v>
      </c>
      <c r="O1483" s="155"/>
      <c r="P1483" s="193"/>
      <c r="Q1483" s="200"/>
      <c r="R1483" s="194"/>
      <c r="T1483" s="190"/>
      <c r="U1483" s="191"/>
    </row>
    <row r="1484" spans="1:21">
      <c r="A1484" s="192"/>
      <c r="B1484" s="215" t="s">
        <v>1350</v>
      </c>
      <c r="C1484" s="240"/>
      <c r="D1484" s="241"/>
      <c r="E1484" s="242"/>
      <c r="F1484" s="198">
        <v>3</v>
      </c>
      <c r="G1484" s="198" t="s">
        <v>1255</v>
      </c>
      <c r="H1484" s="198">
        <v>2</v>
      </c>
      <c r="I1484" s="198" t="s">
        <v>1255</v>
      </c>
      <c r="J1484" s="198">
        <v>1</v>
      </c>
      <c r="K1484" s="198" t="s">
        <v>1255</v>
      </c>
      <c r="L1484" s="198">
        <v>2.2000000000000002</v>
      </c>
      <c r="M1484" s="199" t="s">
        <v>1208</v>
      </c>
      <c r="N1484" s="199">
        <f t="shared" si="4"/>
        <v>13.200000000000001</v>
      </c>
      <c r="O1484" s="155"/>
      <c r="P1484" s="193"/>
      <c r="Q1484" s="194"/>
      <c r="R1484" s="194"/>
      <c r="T1484" s="190"/>
      <c r="U1484" s="191"/>
    </row>
    <row r="1485" spans="1:21">
      <c r="A1485" s="192"/>
      <c r="B1485" s="215" t="s">
        <v>1351</v>
      </c>
      <c r="C1485" s="240"/>
      <c r="D1485" s="241"/>
      <c r="E1485" s="242"/>
      <c r="F1485" s="198">
        <v>1</v>
      </c>
      <c r="G1485" s="198" t="s">
        <v>1255</v>
      </c>
      <c r="H1485" s="198">
        <v>1</v>
      </c>
      <c r="I1485" s="198" t="s">
        <v>1255</v>
      </c>
      <c r="J1485" s="198">
        <v>1</v>
      </c>
      <c r="K1485" s="198" t="s">
        <v>1255</v>
      </c>
      <c r="L1485" s="198">
        <v>0.7</v>
      </c>
      <c r="M1485" s="199" t="s">
        <v>1208</v>
      </c>
      <c r="N1485" s="199">
        <f t="shared" si="4"/>
        <v>0.7</v>
      </c>
      <c r="O1485" s="155"/>
      <c r="P1485" s="193"/>
      <c r="Q1485" s="200"/>
      <c r="R1485" s="194"/>
      <c r="T1485" s="190"/>
      <c r="U1485" s="191"/>
    </row>
    <row r="1486" spans="1:21">
      <c r="A1486" s="192"/>
      <c r="B1486" s="215" t="s">
        <v>1352</v>
      </c>
      <c r="C1486" s="240"/>
      <c r="D1486" s="241"/>
      <c r="E1486" s="242"/>
      <c r="F1486" s="198">
        <v>1</v>
      </c>
      <c r="G1486" s="198" t="s">
        <v>1255</v>
      </c>
      <c r="H1486" s="198">
        <v>4</v>
      </c>
      <c r="I1486" s="198" t="s">
        <v>1255</v>
      </c>
      <c r="J1486" s="198">
        <v>0.3</v>
      </c>
      <c r="K1486" s="198" t="s">
        <v>1255</v>
      </c>
      <c r="L1486" s="198">
        <v>6</v>
      </c>
      <c r="M1486" s="199" t="s">
        <v>1208</v>
      </c>
      <c r="N1486" s="199">
        <f t="shared" si="4"/>
        <v>7.1999999999999993</v>
      </c>
      <c r="O1486" s="155"/>
      <c r="P1486" s="193"/>
      <c r="Q1486" s="200"/>
      <c r="R1486" s="194"/>
      <c r="T1486" s="190"/>
      <c r="U1486" s="191"/>
    </row>
    <row r="1487" spans="1:21">
      <c r="A1487" s="192"/>
      <c r="B1487" s="215" t="s">
        <v>1353</v>
      </c>
      <c r="C1487" s="240"/>
      <c r="D1487" s="241"/>
      <c r="E1487" s="242"/>
      <c r="F1487" s="198">
        <v>1</v>
      </c>
      <c r="G1487" s="198" t="s">
        <v>1255</v>
      </c>
      <c r="H1487" s="198">
        <v>1</v>
      </c>
      <c r="I1487" s="198" t="s">
        <v>1255</v>
      </c>
      <c r="J1487" s="198">
        <v>1</v>
      </c>
      <c r="K1487" s="198" t="s">
        <v>1255</v>
      </c>
      <c r="L1487" s="198">
        <v>7</v>
      </c>
      <c r="M1487" s="199" t="s">
        <v>1208</v>
      </c>
      <c r="N1487" s="199">
        <f t="shared" si="4"/>
        <v>7</v>
      </c>
      <c r="O1487" s="155"/>
      <c r="P1487" s="193"/>
      <c r="Q1487" s="200"/>
      <c r="R1487" s="194"/>
      <c r="T1487" s="190"/>
      <c r="U1487" s="191"/>
    </row>
    <row r="1488" spans="1:21">
      <c r="A1488" s="192"/>
      <c r="B1488" s="215" t="s">
        <v>1273</v>
      </c>
      <c r="C1488" s="240"/>
      <c r="D1488" s="241"/>
      <c r="E1488" s="242"/>
      <c r="F1488" s="198">
        <v>1</v>
      </c>
      <c r="G1488" s="198" t="s">
        <v>1255</v>
      </c>
      <c r="H1488" s="198">
        <v>2</v>
      </c>
      <c r="I1488" s="198" t="s">
        <v>1255</v>
      </c>
      <c r="J1488" s="198">
        <v>2.1</v>
      </c>
      <c r="K1488" s="198" t="s">
        <v>1255</v>
      </c>
      <c r="L1488" s="198">
        <v>2.2000000000000002</v>
      </c>
      <c r="M1488" s="199" t="s">
        <v>1208</v>
      </c>
      <c r="N1488" s="199">
        <f t="shared" si="4"/>
        <v>9.240000000000002</v>
      </c>
      <c r="O1488" s="217"/>
      <c r="P1488" s="193"/>
      <c r="Q1488" s="200"/>
      <c r="R1488" s="194"/>
      <c r="T1488" s="190"/>
      <c r="U1488" s="191"/>
    </row>
    <row r="1489" spans="1:21">
      <c r="A1489" s="192"/>
      <c r="B1489" s="215" t="s">
        <v>1277</v>
      </c>
      <c r="C1489" s="240"/>
      <c r="D1489" s="241"/>
      <c r="E1489" s="242"/>
      <c r="F1489" s="198">
        <v>3</v>
      </c>
      <c r="G1489" s="198" t="s">
        <v>1255</v>
      </c>
      <c r="H1489" s="198">
        <v>2</v>
      </c>
      <c r="I1489" s="198" t="s">
        <v>1227</v>
      </c>
      <c r="J1489" s="198">
        <v>0.83</v>
      </c>
      <c r="K1489" s="198" t="s">
        <v>1227</v>
      </c>
      <c r="L1489" s="198">
        <v>0.90800000000000003</v>
      </c>
      <c r="M1489" s="198" t="s">
        <v>1208</v>
      </c>
      <c r="N1489" s="199">
        <f t="shared" si="4"/>
        <v>4.5218400000000001</v>
      </c>
      <c r="O1489" s="155"/>
      <c r="P1489" s="193"/>
      <c r="Q1489" s="194"/>
      <c r="R1489" s="194"/>
      <c r="T1489" s="190"/>
      <c r="U1489" s="191"/>
    </row>
    <row r="1490" spans="1:21">
      <c r="A1490" s="192"/>
      <c r="B1490" s="195"/>
      <c r="C1490" s="196"/>
      <c r="D1490" s="197"/>
      <c r="E1490" s="198"/>
      <c r="F1490" s="198"/>
      <c r="G1490" s="198"/>
      <c r="H1490" s="198"/>
      <c r="I1490" s="198"/>
      <c r="J1490" s="198"/>
      <c r="K1490" s="198"/>
      <c r="L1490" s="198"/>
      <c r="M1490" s="199"/>
      <c r="N1490" s="243"/>
      <c r="O1490" s="202"/>
      <c r="P1490" s="193"/>
      <c r="Q1490" s="200"/>
      <c r="R1490" s="194"/>
      <c r="T1490" s="190"/>
      <c r="U1490" s="191"/>
    </row>
    <row r="1491" spans="1:21">
      <c r="A1491" s="192"/>
      <c r="B1491" s="195"/>
      <c r="C1491" s="196"/>
      <c r="D1491" s="197"/>
      <c r="E1491" s="198"/>
      <c r="F1491" s="197"/>
      <c r="G1491" s="198"/>
      <c r="H1491" s="197"/>
      <c r="I1491" s="198"/>
      <c r="J1491" s="197"/>
      <c r="K1491" s="198"/>
      <c r="L1491" s="199" t="s">
        <v>1140</v>
      </c>
      <c r="M1491" s="199" t="s">
        <v>1208</v>
      </c>
      <c r="N1491" s="199">
        <f>SUM(N1482:N1489)</f>
        <v>54.181840000000001</v>
      </c>
      <c r="O1491" s="155" t="e">
        <f>P1480</f>
        <v>#REF!</v>
      </c>
      <c r="P1491" s="193"/>
      <c r="Q1491" s="200"/>
      <c r="R1491" s="194"/>
      <c r="T1491" s="190"/>
      <c r="U1491" s="191"/>
    </row>
    <row r="1492" spans="1:21">
      <c r="A1492" s="192"/>
      <c r="B1492" s="216"/>
      <c r="C1492" s="196"/>
      <c r="D1492" s="197"/>
      <c r="E1492" s="198"/>
      <c r="F1492" s="197"/>
      <c r="G1492" s="198"/>
      <c r="H1492" s="197"/>
      <c r="I1492" s="198"/>
      <c r="J1492" s="197"/>
      <c r="K1492" s="198"/>
      <c r="L1492" s="199"/>
      <c r="M1492" s="199"/>
      <c r="N1492" s="199"/>
      <c r="O1492" s="217"/>
      <c r="P1492" s="193"/>
      <c r="Q1492" s="200"/>
      <c r="R1492" s="194"/>
      <c r="T1492" s="190"/>
      <c r="U1492" s="191"/>
    </row>
    <row r="1493" spans="1:21">
      <c r="A1493" s="192"/>
      <c r="B1493" s="1277" t="s">
        <v>1209</v>
      </c>
      <c r="C1493" s="1277"/>
      <c r="D1493" s="1277"/>
      <c r="E1493" s="1277"/>
      <c r="F1493" s="1277"/>
      <c r="G1493" s="1277"/>
      <c r="H1493" s="1277"/>
      <c r="I1493" s="1277"/>
      <c r="J1493" s="1277"/>
      <c r="K1493" s="1277"/>
      <c r="L1493" s="1277"/>
      <c r="M1493" s="1277"/>
      <c r="N1493" s="1277"/>
      <c r="O1493" s="1277"/>
      <c r="P1493" s="1277"/>
      <c r="Q1493" s="203">
        <v>0</v>
      </c>
      <c r="R1493" s="204">
        <f>Q1493</f>
        <v>0</v>
      </c>
      <c r="T1493" s="1278"/>
      <c r="U1493" s="1279"/>
    </row>
    <row r="1494" spans="1:21">
      <c r="A1494" s="192"/>
      <c r="B1494" s="1277" t="e">
        <f>med</f>
        <v>#NAME?</v>
      </c>
      <c r="C1494" s="1277"/>
      <c r="D1494" s="1277"/>
      <c r="E1494" s="1277"/>
      <c r="F1494" s="1277"/>
      <c r="G1494" s="1277"/>
      <c r="H1494" s="1277"/>
      <c r="I1494" s="1277"/>
      <c r="J1494" s="1277"/>
      <c r="K1494" s="1277"/>
      <c r="L1494" s="1277"/>
      <c r="M1494" s="1277"/>
      <c r="N1494" s="1277"/>
      <c r="O1494" s="1277"/>
      <c r="P1494" s="205">
        <f>N1491</f>
        <v>54.181840000000001</v>
      </c>
      <c r="Q1494" s="203">
        <f>P1494</f>
        <v>54.181840000000001</v>
      </c>
      <c r="R1494" s="204">
        <f>Q1494+R1493</f>
        <v>54.181840000000001</v>
      </c>
      <c r="T1494" s="1278"/>
      <c r="U1494" s="1279"/>
    </row>
    <row r="1495" spans="1:21" ht="18" customHeight="1">
      <c r="A1495" s="187" t="e">
        <f>#REF!</f>
        <v>#REF!</v>
      </c>
      <c r="B1495" s="1275" t="e">
        <f>IF(A1495="","",VLOOKUP($A1495,'[2]FDE-JUNHO-08'!$A$6:$D$3537,2,FALSE()))</f>
        <v>#REF!</v>
      </c>
      <c r="C1495" s="1275"/>
      <c r="D1495" s="1275"/>
      <c r="E1495" s="1275"/>
      <c r="F1495" s="1275"/>
      <c r="G1495" s="1275"/>
      <c r="H1495" s="1275"/>
      <c r="I1495" s="1275"/>
      <c r="J1495" s="1275"/>
      <c r="K1495" s="1275"/>
      <c r="L1495" s="1275"/>
      <c r="M1495" s="1275"/>
      <c r="N1495" s="1275"/>
      <c r="O1495" s="1275"/>
      <c r="P1495" s="188" t="e">
        <f>IF(A1495="","",VLOOKUP($A1495,'[2]FDE-JUNHO-08'!$A$6:$D$3537,3,FALSE()))</f>
        <v>#REF!</v>
      </c>
      <c r="Q1495" s="189" t="s">
        <v>1205</v>
      </c>
      <c r="R1495" s="189" t="s">
        <v>1206</v>
      </c>
      <c r="T1495" s="190"/>
      <c r="U1495" s="191"/>
    </row>
    <row r="1496" spans="1:21">
      <c r="A1496" s="192"/>
      <c r="B1496" s="1281"/>
      <c r="C1496" s="1281"/>
      <c r="D1496" s="1281"/>
      <c r="E1496" s="1281"/>
      <c r="F1496" s="1281"/>
      <c r="G1496" s="1281"/>
      <c r="H1496" s="1281"/>
      <c r="I1496" s="1281"/>
      <c r="J1496" s="1281"/>
      <c r="K1496" s="1281"/>
      <c r="L1496" s="1281"/>
      <c r="M1496" s="1281"/>
      <c r="N1496" s="1281"/>
      <c r="O1496" s="1281"/>
      <c r="P1496" s="193"/>
      <c r="Q1496" s="194"/>
      <c r="R1496" s="194"/>
      <c r="T1496" s="190"/>
      <c r="U1496" s="191"/>
    </row>
    <row r="1497" spans="1:21">
      <c r="A1497" s="192"/>
      <c r="B1497" s="195"/>
      <c r="C1497" s="196"/>
      <c r="D1497" s="197"/>
      <c r="E1497" s="198"/>
      <c r="F1497" s="198" t="s">
        <v>1251</v>
      </c>
      <c r="G1497" s="198"/>
      <c r="H1497" s="198" t="s">
        <v>1354</v>
      </c>
      <c r="I1497" s="198"/>
      <c r="J1497" s="198" t="s">
        <v>1252</v>
      </c>
      <c r="K1497" s="198"/>
      <c r="L1497" s="198" t="s">
        <v>1253</v>
      </c>
      <c r="M1497" s="199"/>
      <c r="N1497" s="199"/>
      <c r="O1497" s="155"/>
      <c r="P1497" s="193"/>
      <c r="Q1497" s="200"/>
      <c r="R1497" s="194"/>
      <c r="T1497" s="190"/>
      <c r="U1497" s="191"/>
    </row>
    <row r="1498" spans="1:21">
      <c r="A1498" s="192"/>
      <c r="B1498" s="215" t="s">
        <v>1355</v>
      </c>
      <c r="C1498" s="240"/>
      <c r="D1498" s="241"/>
      <c r="E1498" s="242"/>
      <c r="F1498" s="198">
        <v>1</v>
      </c>
      <c r="G1498" s="198" t="s">
        <v>1255</v>
      </c>
      <c r="H1498" s="198">
        <v>0.2</v>
      </c>
      <c r="I1498" s="198" t="s">
        <v>1255</v>
      </c>
      <c r="J1498" s="198">
        <v>2.8</v>
      </c>
      <c r="K1498" s="198" t="s">
        <v>1255</v>
      </c>
      <c r="L1498" s="198">
        <v>2.2000000000000002</v>
      </c>
      <c r="M1498" s="199" t="s">
        <v>1208</v>
      </c>
      <c r="N1498" s="199">
        <f t="shared" ref="N1498:N1504" si="5">L1498*J1498*H1498*F1498</f>
        <v>1.2320000000000002</v>
      </c>
      <c r="O1498" s="155"/>
      <c r="P1498" s="193"/>
      <c r="Q1498" s="200"/>
      <c r="R1498" s="194"/>
      <c r="T1498" s="190"/>
      <c r="U1498" s="191"/>
    </row>
    <row r="1499" spans="1:21">
      <c r="A1499" s="192"/>
      <c r="B1499" s="215" t="s">
        <v>1350</v>
      </c>
      <c r="C1499" s="240"/>
      <c r="D1499" s="241"/>
      <c r="E1499" s="242"/>
      <c r="F1499" s="198">
        <v>3</v>
      </c>
      <c r="G1499" s="198" t="s">
        <v>1255</v>
      </c>
      <c r="H1499" s="198">
        <v>0.2</v>
      </c>
      <c r="I1499" s="198" t="s">
        <v>1255</v>
      </c>
      <c r="J1499" s="198">
        <v>1.5</v>
      </c>
      <c r="K1499" s="198" t="s">
        <v>1255</v>
      </c>
      <c r="L1499" s="198">
        <v>2.2000000000000002</v>
      </c>
      <c r="M1499" s="199" t="s">
        <v>1208</v>
      </c>
      <c r="N1499" s="199">
        <f t="shared" si="5"/>
        <v>1.9800000000000004</v>
      </c>
      <c r="O1499" s="155"/>
      <c r="P1499" s="193"/>
      <c r="Q1499" s="200"/>
      <c r="R1499" s="194"/>
      <c r="T1499" s="190"/>
      <c r="U1499" s="191"/>
    </row>
    <row r="1500" spans="1:21">
      <c r="A1500" s="192"/>
      <c r="B1500" s="215" t="s">
        <v>1351</v>
      </c>
      <c r="C1500" s="240"/>
      <c r="D1500" s="241"/>
      <c r="E1500" s="242"/>
      <c r="F1500" s="198">
        <v>1</v>
      </c>
      <c r="G1500" s="198" t="s">
        <v>1255</v>
      </c>
      <c r="H1500" s="198">
        <v>0.15</v>
      </c>
      <c r="I1500" s="198" t="s">
        <v>1255</v>
      </c>
      <c r="J1500" s="198">
        <v>1</v>
      </c>
      <c r="K1500" s="198" t="s">
        <v>1255</v>
      </c>
      <c r="L1500" s="198">
        <v>0.7</v>
      </c>
      <c r="M1500" s="199" t="s">
        <v>1208</v>
      </c>
      <c r="N1500" s="199">
        <f t="shared" si="5"/>
        <v>0.105</v>
      </c>
      <c r="O1500" s="155"/>
      <c r="P1500" s="193"/>
      <c r="Q1500" s="200"/>
      <c r="R1500" s="194"/>
      <c r="T1500" s="190"/>
      <c r="U1500" s="191"/>
    </row>
    <row r="1501" spans="1:21">
      <c r="A1501" s="192"/>
      <c r="B1501" s="215" t="s">
        <v>1352</v>
      </c>
      <c r="C1501" s="240"/>
      <c r="D1501" s="241"/>
      <c r="E1501" s="242"/>
      <c r="F1501" s="198">
        <v>1</v>
      </c>
      <c r="G1501" s="198" t="s">
        <v>1255</v>
      </c>
      <c r="H1501" s="198">
        <v>0.3</v>
      </c>
      <c r="I1501" s="198" t="s">
        <v>1255</v>
      </c>
      <c r="J1501" s="198">
        <v>0.6</v>
      </c>
      <c r="K1501" s="198" t="s">
        <v>1255</v>
      </c>
      <c r="L1501" s="198">
        <v>6</v>
      </c>
      <c r="M1501" s="199" t="s">
        <v>1208</v>
      </c>
      <c r="N1501" s="199">
        <f t="shared" si="5"/>
        <v>1.0799999999999998</v>
      </c>
      <c r="O1501" s="155"/>
      <c r="P1501" s="193"/>
      <c r="Q1501" s="194"/>
      <c r="R1501" s="194"/>
      <c r="T1501" s="190"/>
      <c r="U1501" s="191"/>
    </row>
    <row r="1502" spans="1:21">
      <c r="A1502" s="192"/>
      <c r="B1502" s="215" t="s">
        <v>1353</v>
      </c>
      <c r="C1502" s="240"/>
      <c r="D1502" s="241"/>
      <c r="E1502" s="242"/>
      <c r="F1502" s="198">
        <v>1</v>
      </c>
      <c r="G1502" s="198" t="s">
        <v>1255</v>
      </c>
      <c r="H1502" s="198">
        <v>0.15</v>
      </c>
      <c r="I1502" s="198" t="s">
        <v>1255</v>
      </c>
      <c r="J1502" s="198">
        <v>1</v>
      </c>
      <c r="K1502" s="198" t="s">
        <v>1255</v>
      </c>
      <c r="L1502" s="198">
        <v>7</v>
      </c>
      <c r="M1502" s="199" t="s">
        <v>1208</v>
      </c>
      <c r="N1502" s="199">
        <f t="shared" si="5"/>
        <v>1.05</v>
      </c>
      <c r="O1502" s="155"/>
      <c r="P1502" s="193"/>
      <c r="Q1502" s="200"/>
      <c r="R1502" s="194"/>
      <c r="T1502" s="190"/>
      <c r="U1502" s="191"/>
    </row>
    <row r="1503" spans="1:21">
      <c r="A1503" s="192"/>
      <c r="B1503" s="215" t="s">
        <v>1273</v>
      </c>
      <c r="C1503" s="240"/>
      <c r="D1503" s="241"/>
      <c r="E1503" s="242"/>
      <c r="F1503" s="198">
        <v>1</v>
      </c>
      <c r="G1503" s="198" t="s">
        <v>1255</v>
      </c>
      <c r="H1503" s="198">
        <v>0.15</v>
      </c>
      <c r="I1503" s="198" t="s">
        <v>1255</v>
      </c>
      <c r="J1503" s="198">
        <v>2.1</v>
      </c>
      <c r="K1503" s="198" t="s">
        <v>1255</v>
      </c>
      <c r="L1503" s="198">
        <v>2.2000000000000002</v>
      </c>
      <c r="M1503" s="199" t="s">
        <v>1208</v>
      </c>
      <c r="N1503" s="199">
        <f t="shared" si="5"/>
        <v>0.69300000000000017</v>
      </c>
      <c r="O1503" s="217"/>
      <c r="P1503" s="193"/>
      <c r="Q1503" s="200"/>
      <c r="R1503" s="194"/>
      <c r="T1503" s="190"/>
      <c r="U1503" s="191"/>
    </row>
    <row r="1504" spans="1:21">
      <c r="A1504" s="192"/>
      <c r="B1504" s="215" t="s">
        <v>1277</v>
      </c>
      <c r="C1504" s="240"/>
      <c r="D1504" s="241"/>
      <c r="E1504" s="242"/>
      <c r="F1504" s="198">
        <v>3</v>
      </c>
      <c r="G1504" s="198" t="s">
        <v>1255</v>
      </c>
      <c r="H1504" s="198">
        <v>0.3</v>
      </c>
      <c r="I1504" s="198" t="s">
        <v>1227</v>
      </c>
      <c r="J1504" s="198">
        <v>0.83</v>
      </c>
      <c r="K1504" s="198" t="s">
        <v>1227</v>
      </c>
      <c r="L1504" s="198">
        <v>0.90800000000000003</v>
      </c>
      <c r="M1504" s="198" t="s">
        <v>1208</v>
      </c>
      <c r="N1504" s="199">
        <f t="shared" si="5"/>
        <v>0.67827599999999999</v>
      </c>
      <c r="O1504" s="155"/>
      <c r="P1504" s="193"/>
      <c r="Q1504" s="200"/>
      <c r="R1504" s="194"/>
      <c r="T1504" s="190"/>
      <c r="U1504" s="191"/>
    </row>
    <row r="1505" spans="1:21">
      <c r="A1505" s="192"/>
      <c r="B1505" s="195"/>
      <c r="C1505" s="196"/>
      <c r="D1505" s="197"/>
      <c r="E1505" s="198"/>
      <c r="F1505" s="198"/>
      <c r="G1505" s="198"/>
      <c r="H1505" s="198"/>
      <c r="I1505" s="198"/>
      <c r="J1505" s="198"/>
      <c r="K1505" s="198"/>
      <c r="L1505" s="198"/>
      <c r="M1505" s="199"/>
      <c r="N1505" s="243"/>
      <c r="O1505" s="202"/>
      <c r="P1505" s="193"/>
      <c r="Q1505" s="200"/>
      <c r="R1505" s="194"/>
      <c r="T1505" s="190"/>
      <c r="U1505" s="191"/>
    </row>
    <row r="1506" spans="1:21">
      <c r="A1506" s="192"/>
      <c r="B1506" s="195"/>
      <c r="C1506" s="196"/>
      <c r="D1506" s="197"/>
      <c r="E1506" s="198"/>
      <c r="F1506" s="197"/>
      <c r="G1506" s="198"/>
      <c r="H1506" s="197"/>
      <c r="I1506" s="198"/>
      <c r="J1506" s="197"/>
      <c r="K1506" s="198"/>
      <c r="L1506" s="199" t="s">
        <v>1140</v>
      </c>
      <c r="M1506" s="199" t="s">
        <v>1208</v>
      </c>
      <c r="N1506" s="199">
        <f>SUM(N1497:N1504)</f>
        <v>6.8182760000000009</v>
      </c>
      <c r="O1506" s="155" t="e">
        <f>P1495</f>
        <v>#REF!</v>
      </c>
      <c r="P1506" s="193"/>
      <c r="Q1506" s="200"/>
      <c r="R1506" s="194"/>
      <c r="T1506" s="190"/>
      <c r="U1506" s="191"/>
    </row>
    <row r="1507" spans="1:21">
      <c r="A1507" s="192"/>
      <c r="B1507" s="195"/>
      <c r="C1507" s="196"/>
      <c r="D1507" s="197"/>
      <c r="E1507" s="198"/>
      <c r="F1507" s="197"/>
      <c r="G1507" s="198"/>
      <c r="H1507" s="197"/>
      <c r="I1507" s="198"/>
      <c r="J1507" s="197"/>
      <c r="K1507" s="198"/>
      <c r="L1507" s="199"/>
      <c r="M1507" s="199"/>
      <c r="N1507" s="199"/>
      <c r="O1507" s="155"/>
      <c r="P1507" s="193"/>
      <c r="Q1507" s="200"/>
      <c r="R1507" s="194"/>
      <c r="T1507" s="190"/>
      <c r="U1507" s="191"/>
    </row>
    <row r="1508" spans="1:21">
      <c r="A1508" s="192"/>
      <c r="B1508" s="1277" t="s">
        <v>1209</v>
      </c>
      <c r="C1508" s="1277"/>
      <c r="D1508" s="1277"/>
      <c r="E1508" s="1277"/>
      <c r="F1508" s="1277"/>
      <c r="G1508" s="1277"/>
      <c r="H1508" s="1277"/>
      <c r="I1508" s="1277"/>
      <c r="J1508" s="1277"/>
      <c r="K1508" s="1277"/>
      <c r="L1508" s="1277"/>
      <c r="M1508" s="1277"/>
      <c r="N1508" s="1277"/>
      <c r="O1508" s="1277"/>
      <c r="P1508" s="1277"/>
      <c r="Q1508" s="203">
        <v>0</v>
      </c>
      <c r="R1508" s="204">
        <f>Q1508</f>
        <v>0</v>
      </c>
      <c r="T1508" s="1278"/>
      <c r="U1508" s="1279"/>
    </row>
    <row r="1509" spans="1:21">
      <c r="A1509" s="192"/>
      <c r="B1509" s="1277" t="e">
        <f>med</f>
        <v>#NAME?</v>
      </c>
      <c r="C1509" s="1277"/>
      <c r="D1509" s="1277"/>
      <c r="E1509" s="1277"/>
      <c r="F1509" s="1277"/>
      <c r="G1509" s="1277"/>
      <c r="H1509" s="1277"/>
      <c r="I1509" s="1277"/>
      <c r="J1509" s="1277"/>
      <c r="K1509" s="1277"/>
      <c r="L1509" s="1277"/>
      <c r="M1509" s="1277"/>
      <c r="N1509" s="1277"/>
      <c r="O1509" s="1277"/>
      <c r="P1509" s="205">
        <f>N1506</f>
        <v>6.8182760000000009</v>
      </c>
      <c r="Q1509" s="203">
        <f>P1509</f>
        <v>6.8182760000000009</v>
      </c>
      <c r="R1509" s="204">
        <f>Q1509+R1508</f>
        <v>6.8182760000000009</v>
      </c>
      <c r="T1509" s="1278"/>
      <c r="U1509" s="1279"/>
    </row>
    <row r="1510" spans="1:21" ht="18" customHeight="1">
      <c r="A1510" s="187" t="e">
        <f>#REF!</f>
        <v>#REF!</v>
      </c>
      <c r="B1510" s="1275" t="e">
        <f>IF(A1510="","",VLOOKUP($A1510,'[2]FDE-JUNHO-08'!$A$6:$D$3537,2,FALSE()))</f>
        <v>#REF!</v>
      </c>
      <c r="C1510" s="1275"/>
      <c r="D1510" s="1275"/>
      <c r="E1510" s="1275"/>
      <c r="F1510" s="1275"/>
      <c r="G1510" s="1275"/>
      <c r="H1510" s="1275"/>
      <c r="I1510" s="1275"/>
      <c r="J1510" s="1275"/>
      <c r="K1510" s="1275"/>
      <c r="L1510" s="1275"/>
      <c r="M1510" s="1275"/>
      <c r="N1510" s="1275"/>
      <c r="O1510" s="1275"/>
      <c r="P1510" s="188" t="e">
        <f>IF(A1510="","",VLOOKUP($A1510,'[2]FDE-JUNHO-08'!$A$6:$D$3537,3,FALSE()))</f>
        <v>#REF!</v>
      </c>
      <c r="Q1510" s="189" t="s">
        <v>1205</v>
      </c>
      <c r="R1510" s="189" t="s">
        <v>1206</v>
      </c>
      <c r="T1510" s="190"/>
      <c r="U1510" s="191"/>
    </row>
    <row r="1511" spans="1:21">
      <c r="A1511" s="192"/>
      <c r="B1511" s="1281"/>
      <c r="C1511" s="1281"/>
      <c r="D1511" s="1281"/>
      <c r="E1511" s="1281"/>
      <c r="F1511" s="1281"/>
      <c r="G1511" s="1281"/>
      <c r="H1511" s="1281"/>
      <c r="I1511" s="1281"/>
      <c r="J1511" s="1281"/>
      <c r="K1511" s="1281"/>
      <c r="L1511" s="1281"/>
      <c r="M1511" s="1281"/>
      <c r="N1511" s="1281"/>
      <c r="O1511" s="1281"/>
      <c r="P1511" s="193"/>
      <c r="Q1511" s="194"/>
      <c r="R1511" s="194"/>
      <c r="T1511" s="190"/>
      <c r="U1511" s="191"/>
    </row>
    <row r="1512" spans="1:21">
      <c r="A1512" s="192"/>
      <c r="B1512" s="215" t="s">
        <v>1356</v>
      </c>
      <c r="C1512" s="240"/>
      <c r="D1512" s="241"/>
      <c r="E1512" s="242"/>
      <c r="F1512" s="241"/>
      <c r="G1512" s="242"/>
      <c r="H1512" s="241"/>
      <c r="I1512" s="242"/>
      <c r="J1512" s="241"/>
      <c r="K1512" s="242"/>
      <c r="L1512" s="244"/>
      <c r="M1512" s="244" t="s">
        <v>1208</v>
      </c>
      <c r="N1512" s="244">
        <f>11.54+5</f>
        <v>16.54</v>
      </c>
      <c r="O1512" s="245"/>
      <c r="P1512" s="193"/>
      <c r="Q1512" s="200"/>
      <c r="R1512" s="194"/>
      <c r="T1512" s="190"/>
      <c r="U1512" s="191"/>
    </row>
    <row r="1513" spans="1:21">
      <c r="A1513" s="192"/>
      <c r="B1513" s="215"/>
      <c r="C1513" s="240"/>
      <c r="D1513" s="241"/>
      <c r="E1513" s="242"/>
      <c r="F1513" s="241"/>
      <c r="G1513" s="242"/>
      <c r="H1513" s="241"/>
      <c r="I1513" s="242"/>
      <c r="J1513" s="241"/>
      <c r="K1513" s="242"/>
      <c r="L1513" s="244"/>
      <c r="M1513" s="244"/>
      <c r="N1513" s="246"/>
      <c r="O1513" s="247"/>
      <c r="P1513" s="193"/>
      <c r="Q1513" s="200"/>
      <c r="R1513" s="194"/>
      <c r="T1513" s="190"/>
      <c r="U1513" s="191"/>
    </row>
    <row r="1514" spans="1:21">
      <c r="A1514" s="192"/>
      <c r="B1514" s="215"/>
      <c r="C1514" s="240"/>
      <c r="D1514" s="241"/>
      <c r="E1514" s="242"/>
      <c r="F1514" s="241"/>
      <c r="G1514" s="242"/>
      <c r="H1514" s="241"/>
      <c r="I1514" s="242"/>
      <c r="J1514" s="241"/>
      <c r="K1514" s="242"/>
      <c r="L1514" s="244" t="s">
        <v>1140</v>
      </c>
      <c r="M1514" s="244" t="s">
        <v>1208</v>
      </c>
      <c r="N1514" s="244">
        <f>SUM(N1512:N1513)</f>
        <v>16.54</v>
      </c>
      <c r="O1514" s="245" t="e">
        <f>P1510</f>
        <v>#REF!</v>
      </c>
      <c r="P1514" s="193"/>
      <c r="Q1514" s="200"/>
      <c r="R1514" s="194"/>
      <c r="T1514" s="190"/>
      <c r="U1514" s="191"/>
    </row>
    <row r="1515" spans="1:21">
      <c r="A1515" s="192"/>
      <c r="B1515" s="215"/>
      <c r="C1515" s="240"/>
      <c r="D1515" s="241"/>
      <c r="E1515" s="242"/>
      <c r="F1515" s="241"/>
      <c r="G1515" s="242"/>
      <c r="H1515" s="241"/>
      <c r="I1515" s="242"/>
      <c r="J1515" s="241"/>
      <c r="K1515" s="242"/>
      <c r="L1515" s="244"/>
      <c r="M1515" s="244"/>
      <c r="N1515" s="244"/>
      <c r="O1515" s="245"/>
      <c r="P1515" s="193"/>
      <c r="Q1515" s="200"/>
      <c r="R1515" s="194"/>
      <c r="T1515" s="190"/>
      <c r="U1515" s="191"/>
    </row>
    <row r="1516" spans="1:21">
      <c r="A1516" s="192"/>
      <c r="B1516" s="1277" t="s">
        <v>1209</v>
      </c>
      <c r="C1516" s="1277"/>
      <c r="D1516" s="1277"/>
      <c r="E1516" s="1277"/>
      <c r="F1516" s="1277"/>
      <c r="G1516" s="1277"/>
      <c r="H1516" s="1277"/>
      <c r="I1516" s="1277"/>
      <c r="J1516" s="1277"/>
      <c r="K1516" s="1277"/>
      <c r="L1516" s="1277"/>
      <c r="M1516" s="1277"/>
      <c r="N1516" s="1277"/>
      <c r="O1516" s="1277"/>
      <c r="P1516" s="1277"/>
      <c r="Q1516" s="203">
        <v>0</v>
      </c>
      <c r="R1516" s="204">
        <f>Q1516</f>
        <v>0</v>
      </c>
      <c r="T1516" s="1278"/>
      <c r="U1516" s="1279"/>
    </row>
    <row r="1517" spans="1:21">
      <c r="A1517" s="192"/>
      <c r="B1517" s="1277" t="e">
        <f>med</f>
        <v>#NAME?</v>
      </c>
      <c r="C1517" s="1277"/>
      <c r="D1517" s="1277"/>
      <c r="E1517" s="1277"/>
      <c r="F1517" s="1277"/>
      <c r="G1517" s="1277"/>
      <c r="H1517" s="1277"/>
      <c r="I1517" s="1277"/>
      <c r="J1517" s="1277"/>
      <c r="K1517" s="1277"/>
      <c r="L1517" s="1277"/>
      <c r="M1517" s="1277"/>
      <c r="N1517" s="1277"/>
      <c r="O1517" s="1277"/>
      <c r="P1517" s="205">
        <f>N1514</f>
        <v>16.54</v>
      </c>
      <c r="Q1517" s="203">
        <f>P1517</f>
        <v>16.54</v>
      </c>
      <c r="R1517" s="204">
        <f>Q1517+R1516</f>
        <v>16.54</v>
      </c>
      <c r="T1517" s="1278"/>
      <c r="U1517" s="1279"/>
    </row>
    <row r="1518" spans="1:21" ht="18" customHeight="1">
      <c r="A1518" s="187" t="e">
        <f>#REF!</f>
        <v>#REF!</v>
      </c>
      <c r="B1518" s="1275" t="e">
        <f>IF(A1518="","",VLOOKUP($A1518,'[2]FDE-JUNHO-08'!$A$6:$D$3537,2,FALSE()))</f>
        <v>#REF!</v>
      </c>
      <c r="C1518" s="1275"/>
      <c r="D1518" s="1275"/>
      <c r="E1518" s="1275"/>
      <c r="F1518" s="1275"/>
      <c r="G1518" s="1275"/>
      <c r="H1518" s="1275"/>
      <c r="I1518" s="1275"/>
      <c r="J1518" s="1275"/>
      <c r="K1518" s="1275"/>
      <c r="L1518" s="1275"/>
      <c r="M1518" s="1275"/>
      <c r="N1518" s="1275"/>
      <c r="O1518" s="1275"/>
      <c r="P1518" s="188" t="e">
        <f>IF(A1518="","",VLOOKUP($A1518,'[2]FDE-JUNHO-08'!$A$6:$D$3537,3,FALSE()))</f>
        <v>#REF!</v>
      </c>
      <c r="Q1518" s="189" t="s">
        <v>1205</v>
      </c>
      <c r="R1518" s="189" t="s">
        <v>1206</v>
      </c>
      <c r="T1518" s="190"/>
      <c r="U1518" s="191"/>
    </row>
    <row r="1519" spans="1:21">
      <c r="A1519" s="192"/>
      <c r="B1519" s="215"/>
      <c r="C1519" s="196"/>
      <c r="D1519" s="197"/>
      <c r="E1519" s="198"/>
      <c r="F1519" s="197"/>
      <c r="G1519" s="198"/>
      <c r="H1519" s="197"/>
      <c r="I1519" s="198"/>
      <c r="J1519" s="197"/>
      <c r="K1519" s="198"/>
      <c r="L1519" s="248"/>
      <c r="M1519" s="249"/>
      <c r="N1519" s="249"/>
      <c r="O1519" s="250"/>
      <c r="P1519" s="193"/>
      <c r="Q1519" s="200"/>
      <c r="R1519" s="194"/>
      <c r="T1519" s="190"/>
      <c r="U1519" s="191"/>
    </row>
    <row r="1520" spans="1:21">
      <c r="A1520" s="192"/>
      <c r="B1520" s="195" t="s">
        <v>1357</v>
      </c>
      <c r="C1520" s="196"/>
      <c r="D1520" s="197"/>
      <c r="E1520" s="198"/>
      <c r="F1520" s="197"/>
      <c r="G1520" s="198"/>
      <c r="H1520" s="197"/>
      <c r="I1520" s="198"/>
      <c r="J1520" s="198"/>
      <c r="K1520" s="198"/>
      <c r="L1520" s="198"/>
      <c r="M1520" s="198"/>
      <c r="N1520" s="198"/>
      <c r="O1520" s="155"/>
      <c r="P1520" s="193"/>
      <c r="Q1520" s="194"/>
      <c r="R1520" s="194"/>
      <c r="T1520" s="190"/>
      <c r="U1520" s="191"/>
    </row>
    <row r="1521" spans="1:21">
      <c r="A1521" s="192"/>
      <c r="B1521" s="195"/>
      <c r="C1521" s="196"/>
      <c r="D1521" s="197"/>
      <c r="E1521" s="198"/>
      <c r="F1521" s="199"/>
      <c r="G1521" s="198"/>
      <c r="H1521" s="198"/>
      <c r="I1521" s="198"/>
      <c r="J1521" s="198"/>
      <c r="K1521" s="198"/>
      <c r="L1521" s="198" t="s">
        <v>1231</v>
      </c>
      <c r="M1521" s="199"/>
      <c r="N1521" s="209"/>
      <c r="O1521" s="155"/>
      <c r="P1521" s="193"/>
      <c r="Q1521" s="200"/>
      <c r="R1521" s="194"/>
      <c r="T1521" s="190"/>
      <c r="U1521" s="191"/>
    </row>
    <row r="1522" spans="1:21">
      <c r="A1522" s="192"/>
      <c r="B1522" s="215" t="s">
        <v>1232</v>
      </c>
      <c r="C1522" s="196"/>
      <c r="D1522" s="197"/>
      <c r="E1522" s="198"/>
      <c r="F1522" s="197"/>
      <c r="G1522" s="198"/>
      <c r="H1522" s="198"/>
      <c r="I1522" s="198"/>
      <c r="J1522" s="198"/>
      <c r="K1522" s="198"/>
      <c r="L1522" s="197">
        <v>23.8</v>
      </c>
      <c r="M1522" s="199" t="s">
        <v>1208</v>
      </c>
      <c r="N1522" s="199">
        <f t="shared" ref="N1522:N1531" si="6">L1522</f>
        <v>23.8</v>
      </c>
      <c r="O1522" s="155"/>
      <c r="P1522" s="193"/>
      <c r="Q1522" s="200"/>
      <c r="R1522" s="194"/>
      <c r="T1522" s="190"/>
      <c r="U1522" s="191"/>
    </row>
    <row r="1523" spans="1:21">
      <c r="A1523" s="192"/>
      <c r="B1523" s="215" t="s">
        <v>1233</v>
      </c>
      <c r="C1523" s="196"/>
      <c r="D1523" s="197"/>
      <c r="E1523" s="198"/>
      <c r="F1523" s="197"/>
      <c r="G1523" s="198"/>
      <c r="H1523" s="198"/>
      <c r="I1523" s="198"/>
      <c r="J1523" s="198"/>
      <c r="K1523" s="198"/>
      <c r="L1523" s="197">
        <f>(21.35+21.35-2+2.5)*1.1</f>
        <v>47.52000000000001</v>
      </c>
      <c r="M1523" s="199" t="s">
        <v>1208</v>
      </c>
      <c r="N1523" s="199">
        <f t="shared" si="6"/>
        <v>47.52000000000001</v>
      </c>
      <c r="O1523" s="155"/>
      <c r="P1523" s="193"/>
      <c r="Q1523" s="200"/>
      <c r="R1523" s="194"/>
      <c r="T1523" s="190"/>
      <c r="U1523" s="191"/>
    </row>
    <row r="1524" spans="1:21">
      <c r="A1524" s="192"/>
      <c r="B1524" s="215" t="s">
        <v>1234</v>
      </c>
      <c r="C1524" s="196"/>
      <c r="D1524" s="197"/>
      <c r="E1524" s="198"/>
      <c r="F1524" s="199"/>
      <c r="G1524" s="198"/>
      <c r="H1524" s="198"/>
      <c r="I1524" s="198"/>
      <c r="J1524" s="198"/>
      <c r="K1524" s="198"/>
      <c r="L1524" s="197">
        <v>75.5</v>
      </c>
      <c r="M1524" s="199" t="s">
        <v>1208</v>
      </c>
      <c r="N1524" s="199">
        <f t="shared" si="6"/>
        <v>75.5</v>
      </c>
      <c r="O1524" s="155"/>
      <c r="P1524" s="193"/>
      <c r="Q1524" s="200"/>
      <c r="R1524" s="194"/>
      <c r="T1524" s="190"/>
      <c r="U1524" s="191"/>
    </row>
    <row r="1525" spans="1:21">
      <c r="A1525" s="192"/>
      <c r="B1525" s="215" t="s">
        <v>1235</v>
      </c>
      <c r="C1525" s="196"/>
      <c r="D1525" s="197"/>
      <c r="E1525" s="198"/>
      <c r="F1525" s="199"/>
      <c r="G1525" s="198"/>
      <c r="H1525" s="198"/>
      <c r="I1525" s="198"/>
      <c r="J1525" s="198"/>
      <c r="K1525" s="198"/>
      <c r="L1525" s="197">
        <v>23.5</v>
      </c>
      <c r="M1525" s="199" t="s">
        <v>1208</v>
      </c>
      <c r="N1525" s="199">
        <f t="shared" si="6"/>
        <v>23.5</v>
      </c>
      <c r="O1525" s="155"/>
      <c r="P1525" s="193"/>
      <c r="Q1525" s="194"/>
      <c r="R1525" s="194"/>
      <c r="T1525" s="190"/>
      <c r="U1525" s="191"/>
    </row>
    <row r="1526" spans="1:21">
      <c r="A1526" s="192"/>
      <c r="B1526" s="215" t="s">
        <v>1236</v>
      </c>
      <c r="C1526" s="196"/>
      <c r="D1526" s="197"/>
      <c r="E1526" s="198"/>
      <c r="F1526" s="199"/>
      <c r="G1526" s="198"/>
      <c r="H1526" s="198"/>
      <c r="I1526" s="198"/>
      <c r="J1526" s="198"/>
      <c r="K1526" s="198"/>
      <c r="L1526" s="197">
        <v>16.2</v>
      </c>
      <c r="M1526" s="199" t="s">
        <v>1208</v>
      </c>
      <c r="N1526" s="199">
        <f t="shared" si="6"/>
        <v>16.2</v>
      </c>
      <c r="O1526" s="155"/>
      <c r="P1526" s="193"/>
      <c r="Q1526" s="200"/>
      <c r="R1526" s="194"/>
      <c r="T1526" s="190"/>
      <c r="U1526" s="191"/>
    </row>
    <row r="1527" spans="1:21">
      <c r="A1527" s="192"/>
      <c r="B1527" s="215" t="s">
        <v>1237</v>
      </c>
      <c r="C1527" s="196"/>
      <c r="D1527" s="197"/>
      <c r="E1527" s="198"/>
      <c r="F1527" s="199"/>
      <c r="G1527" s="198"/>
      <c r="H1527" s="198"/>
      <c r="I1527" s="198"/>
      <c r="J1527" s="198"/>
      <c r="K1527" s="198"/>
      <c r="L1527" s="197">
        <v>17.8</v>
      </c>
      <c r="M1527" s="199" t="s">
        <v>1208</v>
      </c>
      <c r="N1527" s="199">
        <f t="shared" si="6"/>
        <v>17.8</v>
      </c>
      <c r="O1527" s="155"/>
      <c r="P1527" s="193"/>
      <c r="Q1527" s="200"/>
      <c r="R1527" s="194"/>
      <c r="T1527" s="190"/>
      <c r="U1527" s="191"/>
    </row>
    <row r="1528" spans="1:21">
      <c r="A1528" s="192"/>
      <c r="B1528" s="215" t="s">
        <v>1191</v>
      </c>
      <c r="C1528" s="196"/>
      <c r="D1528" s="197"/>
      <c r="E1528" s="198"/>
      <c r="F1528" s="199"/>
      <c r="G1528" s="198"/>
      <c r="H1528" s="198"/>
      <c r="I1528" s="198"/>
      <c r="J1528" s="198"/>
      <c r="K1528" s="198"/>
      <c r="L1528" s="197">
        <v>17.8</v>
      </c>
      <c r="M1528" s="199" t="s">
        <v>1208</v>
      </c>
      <c r="N1528" s="199">
        <f t="shared" si="6"/>
        <v>17.8</v>
      </c>
      <c r="O1528" s="155"/>
      <c r="P1528" s="193"/>
      <c r="Q1528" s="200"/>
      <c r="R1528" s="194"/>
      <c r="T1528" s="190"/>
      <c r="U1528" s="191"/>
    </row>
    <row r="1529" spans="1:21">
      <c r="A1529" s="192"/>
      <c r="B1529" s="215" t="s">
        <v>1238</v>
      </c>
      <c r="C1529" s="196"/>
      <c r="D1529" s="197"/>
      <c r="E1529" s="198"/>
      <c r="F1529" s="199"/>
      <c r="G1529" s="198"/>
      <c r="H1529" s="198"/>
      <c r="I1529" s="198"/>
      <c r="J1529" s="198"/>
      <c r="K1529" s="198"/>
      <c r="L1529" s="197">
        <v>10</v>
      </c>
      <c r="M1529" s="199" t="s">
        <v>1208</v>
      </c>
      <c r="N1529" s="199">
        <f t="shared" si="6"/>
        <v>10</v>
      </c>
      <c r="O1529" s="155"/>
      <c r="P1529" s="193"/>
      <c r="Q1529" s="200"/>
      <c r="R1529" s="194"/>
      <c r="T1529" s="190"/>
      <c r="U1529" s="191"/>
    </row>
    <row r="1530" spans="1:21">
      <c r="A1530" s="192"/>
      <c r="B1530" s="215" t="s">
        <v>1239</v>
      </c>
      <c r="C1530" s="196"/>
      <c r="D1530" s="197"/>
      <c r="E1530" s="198"/>
      <c r="F1530" s="199"/>
      <c r="G1530" s="198"/>
      <c r="H1530" s="198"/>
      <c r="I1530" s="198"/>
      <c r="J1530" s="198"/>
      <c r="K1530" s="198"/>
      <c r="L1530" s="197">
        <f>7.4+7.4+32.55</f>
        <v>47.349999999999994</v>
      </c>
      <c r="M1530" s="199" t="s">
        <v>1208</v>
      </c>
      <c r="N1530" s="199">
        <f t="shared" si="6"/>
        <v>47.349999999999994</v>
      </c>
      <c r="O1530" s="155"/>
      <c r="P1530" s="193"/>
      <c r="Q1530" s="200"/>
      <c r="R1530" s="194"/>
      <c r="T1530" s="190"/>
      <c r="U1530" s="191"/>
    </row>
    <row r="1531" spans="1:21">
      <c r="A1531" s="192"/>
      <c r="B1531" s="215" t="s">
        <v>1241</v>
      </c>
      <c r="C1531" s="196"/>
      <c r="D1531" s="197"/>
      <c r="E1531" s="198"/>
      <c r="F1531" s="199"/>
      <c r="G1531" s="198"/>
      <c r="H1531" s="198"/>
      <c r="I1531" s="198"/>
      <c r="J1531" s="198"/>
      <c r="K1531" s="198"/>
      <c r="L1531" s="197">
        <v>38</v>
      </c>
      <c r="M1531" s="199" t="s">
        <v>1208</v>
      </c>
      <c r="N1531" s="199">
        <f t="shared" si="6"/>
        <v>38</v>
      </c>
      <c r="O1531" s="155"/>
      <c r="P1531" s="193"/>
      <c r="Q1531" s="200"/>
      <c r="R1531" s="194"/>
      <c r="T1531" s="190"/>
      <c r="U1531" s="191"/>
    </row>
    <row r="1532" spans="1:21">
      <c r="A1532" s="192"/>
      <c r="B1532" s="215"/>
      <c r="C1532" s="196"/>
      <c r="D1532" s="197"/>
      <c r="E1532" s="198"/>
      <c r="F1532" s="199"/>
      <c r="G1532" s="198"/>
      <c r="H1532" s="198"/>
      <c r="I1532" s="198"/>
      <c r="J1532" s="198"/>
      <c r="K1532" s="198"/>
      <c r="L1532" s="197"/>
      <c r="M1532" s="199"/>
      <c r="N1532" s="199"/>
      <c r="O1532" s="155"/>
      <c r="P1532" s="193"/>
      <c r="Q1532" s="200"/>
      <c r="R1532" s="194"/>
      <c r="T1532" s="190"/>
      <c r="U1532" s="191"/>
    </row>
    <row r="1533" spans="1:21">
      <c r="A1533" s="192"/>
      <c r="B1533" s="195" t="s">
        <v>1358</v>
      </c>
      <c r="C1533" s="196"/>
      <c r="D1533" s="197"/>
      <c r="E1533" s="198"/>
      <c r="F1533" s="197"/>
      <c r="G1533" s="198"/>
      <c r="H1533" s="197"/>
      <c r="I1533" s="198"/>
      <c r="J1533" s="198"/>
      <c r="K1533" s="198"/>
      <c r="L1533" s="198"/>
      <c r="M1533" s="198"/>
      <c r="N1533" s="198"/>
      <c r="O1533" s="251"/>
      <c r="P1533" s="193"/>
      <c r="Q1533" s="200"/>
      <c r="R1533" s="194"/>
      <c r="T1533" s="190"/>
      <c r="U1533" s="191"/>
    </row>
    <row r="1534" spans="1:21">
      <c r="A1534" s="192"/>
      <c r="B1534" s="195"/>
      <c r="C1534" s="196"/>
      <c r="D1534" s="197"/>
      <c r="E1534" s="198"/>
      <c r="F1534" s="199"/>
      <c r="G1534" s="198"/>
      <c r="H1534" s="198"/>
      <c r="I1534" s="198"/>
      <c r="J1534" s="198"/>
      <c r="K1534" s="198"/>
      <c r="L1534" s="198" t="s">
        <v>1231</v>
      </c>
      <c r="M1534" s="199"/>
      <c r="N1534" s="209"/>
      <c r="O1534" s="251"/>
      <c r="P1534" s="193"/>
      <c r="Q1534" s="200"/>
      <c r="R1534" s="194"/>
      <c r="T1534" s="190"/>
      <c r="U1534" s="191"/>
    </row>
    <row r="1535" spans="1:21">
      <c r="A1535" s="192"/>
      <c r="B1535" s="215" t="s">
        <v>1359</v>
      </c>
      <c r="C1535" s="196"/>
      <c r="D1535" s="197"/>
      <c r="E1535" s="198"/>
      <c r="F1535" s="197"/>
      <c r="G1535" s="198"/>
      <c r="H1535" s="198"/>
      <c r="I1535" s="198"/>
      <c r="J1535" s="198"/>
      <c r="K1535" s="198"/>
      <c r="L1535" s="197">
        <v>30.6</v>
      </c>
      <c r="M1535" s="199" t="s">
        <v>1208</v>
      </c>
      <c r="N1535" s="199">
        <f>L1535</f>
        <v>30.6</v>
      </c>
      <c r="O1535" s="251"/>
      <c r="P1535" s="193"/>
      <c r="Q1535" s="200"/>
      <c r="R1535" s="194"/>
      <c r="T1535" s="190"/>
      <c r="U1535" s="191"/>
    </row>
    <row r="1536" spans="1:21">
      <c r="A1536" s="192"/>
      <c r="B1536" s="215" t="s">
        <v>1360</v>
      </c>
      <c r="C1536" s="196"/>
      <c r="D1536" s="197"/>
      <c r="E1536" s="198"/>
      <c r="F1536" s="197"/>
      <c r="G1536" s="198"/>
      <c r="H1536" s="198"/>
      <c r="I1536" s="198"/>
      <c r="J1536" s="198"/>
      <c r="K1536" s="198"/>
      <c r="L1536" s="197">
        <v>21.2</v>
      </c>
      <c r="M1536" s="199" t="s">
        <v>1208</v>
      </c>
      <c r="N1536" s="199">
        <f>L1536</f>
        <v>21.2</v>
      </c>
      <c r="O1536" s="217"/>
      <c r="P1536" s="193"/>
      <c r="Q1536" s="200"/>
      <c r="R1536" s="194"/>
      <c r="T1536" s="190"/>
      <c r="U1536" s="191"/>
    </row>
    <row r="1537" spans="1:21">
      <c r="A1537" s="192"/>
      <c r="B1537" s="215" t="s">
        <v>1361</v>
      </c>
      <c r="C1537" s="196"/>
      <c r="D1537" s="197"/>
      <c r="E1537" s="198"/>
      <c r="F1537" s="199"/>
      <c r="G1537" s="198"/>
      <c r="H1537" s="198"/>
      <c r="I1537" s="198"/>
      <c r="J1537" s="198"/>
      <c r="K1537" s="198"/>
      <c r="L1537" s="197">
        <v>69.25</v>
      </c>
      <c r="M1537" s="199" t="s">
        <v>1208</v>
      </c>
      <c r="N1537" s="199">
        <f>L1537</f>
        <v>69.25</v>
      </c>
      <c r="O1537" s="217"/>
      <c r="P1537" s="193"/>
      <c r="Q1537" s="200"/>
      <c r="R1537" s="194"/>
      <c r="T1537" s="190"/>
      <c r="U1537" s="191"/>
    </row>
    <row r="1538" spans="1:21">
      <c r="A1538" s="192"/>
      <c r="B1538" s="195"/>
      <c r="C1538" s="196"/>
      <c r="D1538" s="197"/>
      <c r="E1538" s="198"/>
      <c r="F1538" s="197"/>
      <c r="G1538" s="198"/>
      <c r="H1538" s="197"/>
      <c r="I1538" s="198"/>
      <c r="J1538" s="197"/>
      <c r="K1538" s="198"/>
      <c r="L1538" s="199"/>
      <c r="M1538" s="199"/>
      <c r="N1538" s="201"/>
      <c r="O1538" s="202"/>
      <c r="P1538" s="193"/>
      <c r="Q1538" s="200"/>
      <c r="R1538" s="194"/>
      <c r="T1538" s="190"/>
      <c r="U1538" s="191"/>
    </row>
    <row r="1539" spans="1:21">
      <c r="A1539" s="192"/>
      <c r="B1539" s="195"/>
      <c r="C1539" s="196"/>
      <c r="D1539" s="197"/>
      <c r="E1539" s="198"/>
      <c r="F1539" s="197"/>
      <c r="G1539" s="198"/>
      <c r="H1539" s="197"/>
      <c r="I1539" s="198"/>
      <c r="J1539" s="197"/>
      <c r="K1539" s="198"/>
      <c r="L1539" s="199" t="s">
        <v>1140</v>
      </c>
      <c r="M1539" s="199" t="s">
        <v>1208</v>
      </c>
      <c r="N1539" s="199">
        <f>SUM(N1522:N1538)</f>
        <v>438.52000000000004</v>
      </c>
      <c r="O1539" s="155" t="e">
        <f>P1518</f>
        <v>#REF!</v>
      </c>
      <c r="P1539" s="193"/>
      <c r="Q1539" s="200"/>
      <c r="R1539" s="194"/>
      <c r="T1539" s="190"/>
      <c r="U1539" s="191"/>
    </row>
    <row r="1540" spans="1:21">
      <c r="A1540" s="192"/>
      <c r="B1540" s="195"/>
      <c r="C1540" s="196"/>
      <c r="D1540" s="197"/>
      <c r="E1540" s="198"/>
      <c r="F1540" s="197"/>
      <c r="G1540" s="198"/>
      <c r="H1540" s="197"/>
      <c r="I1540" s="198"/>
      <c r="J1540" s="197"/>
      <c r="K1540" s="198"/>
      <c r="L1540" s="199"/>
      <c r="M1540" s="199"/>
      <c r="N1540" s="199"/>
      <c r="O1540" s="155"/>
      <c r="P1540" s="193"/>
      <c r="Q1540" s="200"/>
      <c r="R1540" s="194"/>
      <c r="T1540" s="190"/>
      <c r="U1540" s="191"/>
    </row>
    <row r="1541" spans="1:21">
      <c r="A1541" s="192"/>
      <c r="B1541" s="195"/>
      <c r="C1541" s="196"/>
      <c r="D1541" s="197"/>
      <c r="E1541" s="198"/>
      <c r="F1541" s="199" t="s">
        <v>1362</v>
      </c>
      <c r="G1541" s="199"/>
      <c r="H1541" s="199" t="s">
        <v>1363</v>
      </c>
      <c r="J1541" s="197">
        <f>N1539</f>
        <v>438.52000000000004</v>
      </c>
      <c r="K1541" s="198" t="s">
        <v>1227</v>
      </c>
      <c r="L1541" s="199">
        <v>1.66</v>
      </c>
      <c r="M1541" s="199" t="s">
        <v>1208</v>
      </c>
      <c r="N1541" s="199">
        <f>J1541*L1541</f>
        <v>727.94320000000005</v>
      </c>
      <c r="O1541" s="155" t="e">
        <f>O1539</f>
        <v>#REF!</v>
      </c>
      <c r="P1541" s="193"/>
      <c r="Q1541" s="200"/>
      <c r="R1541" s="194"/>
      <c r="T1541" s="190"/>
      <c r="U1541" s="191"/>
    </row>
    <row r="1542" spans="1:21">
      <c r="A1542" s="192"/>
      <c r="B1542" s="195"/>
      <c r="C1542" s="196"/>
      <c r="D1542" s="197"/>
      <c r="E1542" s="198"/>
      <c r="F1542" s="197"/>
      <c r="G1542" s="198"/>
      <c r="H1542" s="197"/>
      <c r="I1542" s="198"/>
      <c r="J1542" s="197"/>
      <c r="K1542" s="198"/>
      <c r="L1542" s="199"/>
      <c r="M1542" s="199"/>
      <c r="N1542" s="199"/>
      <c r="O1542" s="155"/>
      <c r="P1542" s="193"/>
      <c r="Q1542" s="200"/>
      <c r="R1542" s="194"/>
      <c r="T1542" s="190"/>
      <c r="U1542" s="191"/>
    </row>
    <row r="1543" spans="1:21">
      <c r="A1543" s="192"/>
      <c r="B1543" s="1277" t="s">
        <v>1209</v>
      </c>
      <c r="C1543" s="1277"/>
      <c r="D1543" s="1277"/>
      <c r="E1543" s="1277"/>
      <c r="F1543" s="1277"/>
      <c r="G1543" s="1277"/>
      <c r="H1543" s="1277"/>
      <c r="I1543" s="1277"/>
      <c r="J1543" s="1277"/>
      <c r="K1543" s="1277"/>
      <c r="L1543" s="1277"/>
      <c r="M1543" s="1277"/>
      <c r="N1543" s="1277"/>
      <c r="O1543" s="1277"/>
      <c r="P1543" s="1277"/>
      <c r="Q1543" s="203">
        <v>0</v>
      </c>
      <c r="R1543" s="204">
        <f>Q1543</f>
        <v>0</v>
      </c>
      <c r="T1543" s="1278"/>
      <c r="U1543" s="1279"/>
    </row>
    <row r="1544" spans="1:21">
      <c r="A1544" s="206"/>
      <c r="B1544" s="1277" t="e">
        <f>med</f>
        <v>#NAME?</v>
      </c>
      <c r="C1544" s="1277"/>
      <c r="D1544" s="1277"/>
      <c r="E1544" s="1277"/>
      <c r="F1544" s="1277"/>
      <c r="G1544" s="1277"/>
      <c r="H1544" s="1277"/>
      <c r="I1544" s="1277"/>
      <c r="J1544" s="1277"/>
      <c r="K1544" s="1277"/>
      <c r="L1544" s="1277"/>
      <c r="M1544" s="1277"/>
      <c r="N1544" s="1277"/>
      <c r="O1544" s="1277"/>
      <c r="P1544" s="205">
        <f>N1541</f>
        <v>727.94320000000005</v>
      </c>
      <c r="Q1544" s="203">
        <f>P1544</f>
        <v>727.94320000000005</v>
      </c>
      <c r="R1544" s="204">
        <f>Q1544+R1543</f>
        <v>727.94320000000005</v>
      </c>
      <c r="T1544" s="1278"/>
      <c r="U1544" s="1279"/>
    </row>
    <row r="1545" spans="1:21" ht="18" customHeight="1">
      <c r="A1545" s="187" t="e">
        <f>#REF!</f>
        <v>#REF!</v>
      </c>
      <c r="B1545" s="1275" t="e">
        <f>IF(A1545="","",VLOOKUP($A1545,'[2]FDE-JUNHO-08'!$A$6:$D$3537,2,FALSE()))</f>
        <v>#REF!</v>
      </c>
      <c r="C1545" s="1275"/>
      <c r="D1545" s="1275"/>
      <c r="E1545" s="1275"/>
      <c r="F1545" s="1275"/>
      <c r="G1545" s="1275"/>
      <c r="H1545" s="1275"/>
      <c r="I1545" s="1275"/>
      <c r="J1545" s="1275"/>
      <c r="K1545" s="1275"/>
      <c r="L1545" s="1275"/>
      <c r="M1545" s="1275"/>
      <c r="N1545" s="1275"/>
      <c r="O1545" s="1275"/>
      <c r="P1545" s="188" t="e">
        <f>IF(A1545="","",VLOOKUP($A1545,'[2]FDE-JUNHO-08'!$A$6:$D$3537,3,FALSE()))</f>
        <v>#REF!</v>
      </c>
      <c r="Q1545" s="189" t="s">
        <v>1205</v>
      </c>
      <c r="R1545" s="189" t="s">
        <v>1206</v>
      </c>
      <c r="T1545" s="190"/>
      <c r="U1545" s="191"/>
    </row>
    <row r="1546" spans="1:21">
      <c r="A1546" s="192"/>
      <c r="B1546" s="212"/>
      <c r="C1546" s="212"/>
      <c r="D1546" s="212"/>
      <c r="E1546" s="212"/>
      <c r="F1546" s="199" t="s">
        <v>1242</v>
      </c>
      <c r="G1546" s="198"/>
      <c r="H1546" s="198" t="s">
        <v>1230</v>
      </c>
      <c r="I1546" s="198"/>
      <c r="J1546" s="198" t="s">
        <v>1231</v>
      </c>
      <c r="K1546" s="198"/>
      <c r="L1546" s="198"/>
      <c r="M1546" s="212"/>
      <c r="N1546" s="212"/>
      <c r="O1546" s="212"/>
      <c r="P1546" s="193"/>
      <c r="Q1546" s="194"/>
      <c r="R1546" s="194"/>
      <c r="T1546" s="190"/>
      <c r="U1546" s="191"/>
    </row>
    <row r="1547" spans="1:21">
      <c r="A1547" s="192"/>
      <c r="B1547" s="215" t="s">
        <v>1314</v>
      </c>
      <c r="C1547" s="196"/>
      <c r="D1547" s="197"/>
      <c r="E1547" s="198"/>
      <c r="F1547" s="199">
        <v>1</v>
      </c>
      <c r="G1547" s="198" t="s">
        <v>1227</v>
      </c>
      <c r="H1547" s="198">
        <v>0.5</v>
      </c>
      <c r="I1547" s="198" t="s">
        <v>1227</v>
      </c>
      <c r="J1547" s="198">
        <v>6</v>
      </c>
      <c r="K1547" s="198"/>
      <c r="L1547" s="198"/>
      <c r="M1547" s="199" t="s">
        <v>1208</v>
      </c>
      <c r="N1547" s="199">
        <f>F1547*H1547*J1547</f>
        <v>3</v>
      </c>
      <c r="O1547" s="155"/>
      <c r="P1547" s="193"/>
      <c r="Q1547" s="194"/>
      <c r="R1547" s="194"/>
      <c r="T1547" s="190"/>
      <c r="U1547" s="191"/>
    </row>
    <row r="1548" spans="1:21">
      <c r="A1548" s="192"/>
      <c r="B1548" s="215" t="s">
        <v>1315</v>
      </c>
      <c r="C1548" s="196"/>
      <c r="D1548" s="197"/>
      <c r="E1548" s="198"/>
      <c r="F1548" s="199">
        <v>1</v>
      </c>
      <c r="G1548" s="198" t="s">
        <v>1227</v>
      </c>
      <c r="H1548" s="198">
        <v>0.7</v>
      </c>
      <c r="I1548" s="198" t="s">
        <v>1227</v>
      </c>
      <c r="J1548" s="198">
        <v>0.7</v>
      </c>
      <c r="K1548" s="198"/>
      <c r="L1548" s="198"/>
      <c r="M1548" s="199" t="s">
        <v>1208</v>
      </c>
      <c r="N1548" s="199">
        <f>F1548*H1548*J1548</f>
        <v>0.48999999999999994</v>
      </c>
      <c r="O1548" s="155"/>
      <c r="P1548" s="193"/>
      <c r="Q1548" s="200"/>
      <c r="R1548" s="194"/>
      <c r="T1548" s="190"/>
      <c r="U1548" s="191"/>
    </row>
    <row r="1549" spans="1:21">
      <c r="A1549" s="192"/>
      <c r="B1549" s="195"/>
      <c r="C1549" s="196"/>
      <c r="D1549" s="197"/>
      <c r="E1549" s="198"/>
      <c r="F1549" s="197"/>
      <c r="G1549" s="198"/>
      <c r="H1549" s="197"/>
      <c r="I1549" s="198"/>
      <c r="J1549" s="197"/>
      <c r="K1549" s="198"/>
      <c r="L1549" s="199"/>
      <c r="M1549" s="199"/>
      <c r="N1549" s="201"/>
      <c r="O1549" s="202"/>
      <c r="P1549" s="193"/>
      <c r="Q1549" s="200"/>
      <c r="R1549" s="194"/>
      <c r="T1549" s="190"/>
      <c r="U1549" s="191"/>
    </row>
    <row r="1550" spans="1:21">
      <c r="A1550" s="192"/>
      <c r="B1550" s="195"/>
      <c r="C1550" s="196"/>
      <c r="D1550" s="197"/>
      <c r="E1550" s="198"/>
      <c r="F1550" s="197"/>
      <c r="G1550" s="198"/>
      <c r="H1550" s="197"/>
      <c r="I1550" s="198"/>
      <c r="J1550" s="197"/>
      <c r="K1550" s="198"/>
      <c r="L1550" s="199" t="s">
        <v>1140</v>
      </c>
      <c r="M1550" s="199" t="s">
        <v>1208</v>
      </c>
      <c r="N1550" s="199">
        <f>SUM(N1547:N1549)</f>
        <v>3.4899999999999998</v>
      </c>
      <c r="O1550" s="155" t="e">
        <f>P1545</f>
        <v>#REF!</v>
      </c>
      <c r="P1550" s="193"/>
      <c r="Q1550" s="200"/>
      <c r="R1550" s="194"/>
      <c r="T1550" s="190"/>
      <c r="U1550" s="191"/>
    </row>
    <row r="1551" spans="1:21">
      <c r="A1551" s="192"/>
      <c r="B1551" s="195"/>
      <c r="C1551" s="196"/>
      <c r="D1551" s="197"/>
      <c r="E1551" s="198"/>
      <c r="F1551" s="197"/>
      <c r="G1551" s="198"/>
      <c r="H1551" s="197"/>
      <c r="I1551" s="198"/>
      <c r="J1551" s="197"/>
      <c r="K1551" s="198"/>
      <c r="L1551" s="199"/>
      <c r="M1551" s="199"/>
      <c r="N1551" s="199"/>
      <c r="O1551" s="155"/>
      <c r="P1551" s="193"/>
      <c r="Q1551" s="200"/>
      <c r="R1551" s="194"/>
      <c r="T1551" s="190"/>
      <c r="U1551" s="191"/>
    </row>
    <row r="1552" spans="1:21">
      <c r="A1552" s="192"/>
      <c r="B1552" s="1277" t="s">
        <v>1209</v>
      </c>
      <c r="C1552" s="1277"/>
      <c r="D1552" s="1277"/>
      <c r="E1552" s="1277"/>
      <c r="F1552" s="1277"/>
      <c r="G1552" s="1277"/>
      <c r="H1552" s="1277"/>
      <c r="I1552" s="1277"/>
      <c r="J1552" s="1277"/>
      <c r="K1552" s="1277"/>
      <c r="L1552" s="1277"/>
      <c r="M1552" s="1277"/>
      <c r="N1552" s="1277"/>
      <c r="O1552" s="1277"/>
      <c r="P1552" s="1277"/>
      <c r="Q1552" s="203">
        <v>0</v>
      </c>
      <c r="R1552" s="204">
        <f>Q1552</f>
        <v>0</v>
      </c>
      <c r="T1552" s="1278"/>
      <c r="U1552" s="1279"/>
    </row>
    <row r="1553" spans="1:21">
      <c r="A1553" s="192"/>
      <c r="B1553" s="1277" t="e">
        <f>med</f>
        <v>#NAME?</v>
      </c>
      <c r="C1553" s="1277"/>
      <c r="D1553" s="1277"/>
      <c r="E1553" s="1277"/>
      <c r="F1553" s="1277"/>
      <c r="G1553" s="1277"/>
      <c r="H1553" s="1277"/>
      <c r="I1553" s="1277"/>
      <c r="J1553" s="1277"/>
      <c r="K1553" s="1277"/>
      <c r="L1553" s="1277"/>
      <c r="M1553" s="1277"/>
      <c r="N1553" s="1277"/>
      <c r="O1553" s="1277"/>
      <c r="P1553" s="205">
        <f>N1550</f>
        <v>3.4899999999999998</v>
      </c>
      <c r="Q1553" s="203">
        <f>P1553</f>
        <v>3.4899999999999998</v>
      </c>
      <c r="R1553" s="204">
        <f>Q1553+R1552</f>
        <v>3.4899999999999998</v>
      </c>
      <c r="T1553" s="1278"/>
      <c r="U1553" s="1279"/>
    </row>
    <row r="1554" spans="1:21" ht="18" customHeight="1">
      <c r="A1554" s="187" t="e">
        <f>#REF!</f>
        <v>#REF!</v>
      </c>
      <c r="B1554" s="1275" t="e">
        <f>IF(A1554="","",VLOOKUP($A1554,'[2]FDE-JUNHO-08'!$A$6:$D$3537,2,FALSE()))</f>
        <v>#REF!</v>
      </c>
      <c r="C1554" s="1275"/>
      <c r="D1554" s="1275"/>
      <c r="E1554" s="1275"/>
      <c r="F1554" s="1275"/>
      <c r="G1554" s="1275"/>
      <c r="H1554" s="1275"/>
      <c r="I1554" s="1275"/>
      <c r="J1554" s="1275"/>
      <c r="K1554" s="1275"/>
      <c r="L1554" s="1275"/>
      <c r="M1554" s="1275"/>
      <c r="N1554" s="1275"/>
      <c r="O1554" s="1275"/>
      <c r="P1554" s="188" t="e">
        <f>IF(A1554="","",VLOOKUP($A1554,'[2]FDE-JUNHO-08'!$A$6:$D$3537,3,FALSE()))</f>
        <v>#REF!</v>
      </c>
      <c r="Q1554" s="189" t="s">
        <v>1205</v>
      </c>
      <c r="R1554" s="189" t="s">
        <v>1206</v>
      </c>
      <c r="T1554" s="190"/>
      <c r="U1554" s="191"/>
    </row>
    <row r="1555" spans="1:21">
      <c r="A1555" s="192"/>
      <c r="B1555" s="237"/>
      <c r="C1555" s="238"/>
      <c r="D1555" s="238"/>
      <c r="E1555" s="238"/>
      <c r="F1555" s="238"/>
      <c r="G1555" s="238"/>
      <c r="H1555" s="238"/>
      <c r="I1555" s="238"/>
      <c r="J1555" s="238"/>
      <c r="K1555" s="238"/>
      <c r="L1555" s="238"/>
      <c r="M1555" s="238"/>
      <c r="N1555" s="238"/>
      <c r="O1555" s="239"/>
      <c r="P1555" s="193"/>
      <c r="Q1555" s="194"/>
      <c r="R1555" s="194"/>
      <c r="T1555" s="190"/>
      <c r="U1555" s="191"/>
    </row>
    <row r="1556" spans="1:21">
      <c r="A1556" s="192"/>
      <c r="B1556" s="212"/>
      <c r="C1556" s="212"/>
      <c r="D1556" s="212"/>
      <c r="E1556" s="212"/>
      <c r="F1556" s="199" t="s">
        <v>1242</v>
      </c>
      <c r="G1556" s="198"/>
      <c r="H1556" s="198" t="s">
        <v>1230</v>
      </c>
      <c r="I1556" s="198"/>
      <c r="J1556" s="198" t="s">
        <v>1231</v>
      </c>
      <c r="K1556" s="198"/>
      <c r="L1556" s="198"/>
      <c r="M1556" s="212"/>
      <c r="N1556" s="212"/>
      <c r="O1556" s="212"/>
      <c r="P1556" s="193"/>
      <c r="Q1556" s="194"/>
      <c r="R1556" s="194"/>
      <c r="T1556" s="190"/>
      <c r="U1556" s="191"/>
    </row>
    <row r="1557" spans="1:21">
      <c r="A1557" s="192"/>
      <c r="B1557" s="215" t="s">
        <v>1364</v>
      </c>
      <c r="C1557" s="196"/>
      <c r="D1557" s="197"/>
      <c r="E1557" s="198"/>
      <c r="F1557" s="197">
        <v>4</v>
      </c>
      <c r="G1557" s="198" t="s">
        <v>1227</v>
      </c>
      <c r="H1557" s="198">
        <v>0.95</v>
      </c>
      <c r="I1557" s="198" t="s">
        <v>1227</v>
      </c>
      <c r="J1557" s="198">
        <v>0.95</v>
      </c>
      <c r="K1557" s="198"/>
      <c r="L1557" s="198"/>
      <c r="M1557" s="199" t="s">
        <v>1208</v>
      </c>
      <c r="N1557" s="199">
        <f t="shared" ref="N1557:N1562" si="7">F1557*H1557*J1557</f>
        <v>3.61</v>
      </c>
      <c r="O1557" s="155"/>
      <c r="P1557" s="193"/>
      <c r="Q1557" s="200"/>
      <c r="R1557" s="194"/>
      <c r="T1557" s="190"/>
      <c r="U1557" s="191"/>
    </row>
    <row r="1558" spans="1:21">
      <c r="A1558" s="192"/>
      <c r="B1558" s="215" t="s">
        <v>1365</v>
      </c>
      <c r="C1558" s="196"/>
      <c r="D1558" s="197"/>
      <c r="E1558" s="198"/>
      <c r="F1558" s="197">
        <v>1</v>
      </c>
      <c r="G1558" s="198" t="s">
        <v>1227</v>
      </c>
      <c r="H1558" s="198">
        <v>1.4</v>
      </c>
      <c r="I1558" s="198" t="s">
        <v>1227</v>
      </c>
      <c r="J1558" s="198">
        <v>1.4</v>
      </c>
      <c r="K1558" s="198"/>
      <c r="L1558" s="198"/>
      <c r="M1558" s="199" t="s">
        <v>1208</v>
      </c>
      <c r="N1558" s="199">
        <f t="shared" si="7"/>
        <v>1.9599999999999997</v>
      </c>
      <c r="O1558" s="155"/>
      <c r="P1558" s="193"/>
      <c r="Q1558" s="200"/>
      <c r="R1558" s="194"/>
      <c r="T1558" s="190"/>
      <c r="U1558" s="191"/>
    </row>
    <row r="1559" spans="1:21">
      <c r="A1559" s="192"/>
      <c r="B1559" s="215" t="s">
        <v>1366</v>
      </c>
      <c r="C1559" s="196"/>
      <c r="D1559" s="197"/>
      <c r="E1559" s="198"/>
      <c r="F1559" s="197">
        <v>1</v>
      </c>
      <c r="G1559" s="198" t="s">
        <v>1227</v>
      </c>
      <c r="H1559" s="198">
        <v>1.2</v>
      </c>
      <c r="I1559" s="198" t="s">
        <v>1227</v>
      </c>
      <c r="J1559" s="198">
        <v>4</v>
      </c>
      <c r="K1559" s="198"/>
      <c r="L1559" s="198"/>
      <c r="M1559" s="199" t="s">
        <v>1208</v>
      </c>
      <c r="N1559" s="199">
        <f t="shared" si="7"/>
        <v>4.8</v>
      </c>
      <c r="O1559" s="155"/>
      <c r="P1559" s="193"/>
      <c r="Q1559" s="200"/>
      <c r="R1559" s="194"/>
      <c r="T1559" s="190"/>
      <c r="U1559" s="191"/>
    </row>
    <row r="1560" spans="1:21">
      <c r="A1560" s="192"/>
      <c r="B1560" s="215" t="s">
        <v>1314</v>
      </c>
      <c r="C1560" s="196"/>
      <c r="D1560" s="197"/>
      <c r="E1560" s="198"/>
      <c r="F1560" s="199">
        <v>1</v>
      </c>
      <c r="G1560" s="198" t="s">
        <v>1227</v>
      </c>
      <c r="H1560" s="198">
        <v>0.5</v>
      </c>
      <c r="I1560" s="198" t="s">
        <v>1227</v>
      </c>
      <c r="J1560" s="198">
        <v>5</v>
      </c>
      <c r="K1560" s="198"/>
      <c r="L1560" s="198"/>
      <c r="M1560" s="199" t="s">
        <v>1208</v>
      </c>
      <c r="N1560" s="199">
        <f t="shared" si="7"/>
        <v>2.5</v>
      </c>
      <c r="O1560" s="155"/>
      <c r="P1560" s="193"/>
      <c r="Q1560" s="200"/>
      <c r="R1560" s="194"/>
      <c r="T1560" s="190"/>
      <c r="U1560" s="191"/>
    </row>
    <row r="1561" spans="1:21">
      <c r="A1561" s="192"/>
      <c r="B1561" s="215" t="s">
        <v>1316</v>
      </c>
      <c r="C1561" s="196"/>
      <c r="D1561" s="197"/>
      <c r="E1561" s="198"/>
      <c r="F1561" s="199">
        <v>1</v>
      </c>
      <c r="G1561" s="198" t="s">
        <v>1227</v>
      </c>
      <c r="H1561" s="198">
        <v>0.6</v>
      </c>
      <c r="I1561" s="198" t="s">
        <v>1227</v>
      </c>
      <c r="J1561" s="198">
        <v>9.6999999999999993</v>
      </c>
      <c r="K1561" s="198"/>
      <c r="L1561" s="198"/>
      <c r="M1561" s="199" t="s">
        <v>1208</v>
      </c>
      <c r="N1561" s="199">
        <f t="shared" si="7"/>
        <v>5.8199999999999994</v>
      </c>
      <c r="O1561" s="155"/>
      <c r="P1561" s="193"/>
      <c r="Q1561" s="194"/>
      <c r="R1561" s="194"/>
      <c r="T1561" s="190"/>
      <c r="U1561" s="191"/>
    </row>
    <row r="1562" spans="1:21">
      <c r="A1562" s="192"/>
      <c r="B1562" s="215" t="s">
        <v>1218</v>
      </c>
      <c r="C1562" s="196"/>
      <c r="D1562" s="197"/>
      <c r="E1562" s="198"/>
      <c r="F1562" s="199">
        <v>1</v>
      </c>
      <c r="G1562" s="198" t="s">
        <v>1227</v>
      </c>
      <c r="H1562" s="198">
        <v>0.3</v>
      </c>
      <c r="I1562" s="198" t="s">
        <v>1255</v>
      </c>
      <c r="J1562" s="198">
        <v>60</v>
      </c>
      <c r="K1562" s="198"/>
      <c r="L1562" s="198"/>
      <c r="M1562" s="199" t="s">
        <v>1208</v>
      </c>
      <c r="N1562" s="199">
        <f t="shared" si="7"/>
        <v>18</v>
      </c>
      <c r="O1562" s="155"/>
      <c r="P1562" s="193"/>
      <c r="Q1562" s="200"/>
      <c r="R1562" s="194"/>
      <c r="T1562" s="190"/>
      <c r="U1562" s="191"/>
    </row>
    <row r="1563" spans="1:21">
      <c r="A1563" s="192"/>
      <c r="B1563" s="195"/>
      <c r="C1563" s="196"/>
      <c r="D1563" s="197"/>
      <c r="E1563" s="198"/>
      <c r="F1563" s="197"/>
      <c r="G1563" s="198"/>
      <c r="H1563" s="197"/>
      <c r="I1563" s="198"/>
      <c r="J1563" s="197"/>
      <c r="K1563" s="198"/>
      <c r="L1563" s="199"/>
      <c r="M1563" s="199"/>
      <c r="N1563" s="201"/>
      <c r="O1563" s="202"/>
      <c r="P1563" s="193"/>
      <c r="Q1563" s="200"/>
      <c r="R1563" s="194"/>
      <c r="T1563" s="190"/>
      <c r="U1563" s="191"/>
    </row>
    <row r="1564" spans="1:21">
      <c r="A1564" s="192"/>
      <c r="B1564" s="195"/>
      <c r="C1564" s="196"/>
      <c r="D1564" s="197"/>
      <c r="E1564" s="198"/>
      <c r="F1564" s="197"/>
      <c r="G1564" s="198"/>
      <c r="H1564" s="197"/>
      <c r="I1564" s="198"/>
      <c r="J1564" s="197"/>
      <c r="K1564" s="198"/>
      <c r="L1564" s="199" t="s">
        <v>1140</v>
      </c>
      <c r="M1564" s="199" t="s">
        <v>1208</v>
      </c>
      <c r="N1564" s="199">
        <f>SUM(N1557:N1563)</f>
        <v>36.69</v>
      </c>
      <c r="O1564" s="155" t="e">
        <f>P1554</f>
        <v>#REF!</v>
      </c>
      <c r="P1564" s="193"/>
      <c r="Q1564" s="200"/>
      <c r="R1564" s="194"/>
      <c r="T1564" s="190"/>
      <c r="U1564" s="191"/>
    </row>
    <row r="1565" spans="1:21">
      <c r="A1565" s="192"/>
      <c r="B1565" s="195"/>
      <c r="C1565" s="196"/>
      <c r="D1565" s="197"/>
      <c r="E1565" s="198"/>
      <c r="F1565" s="197"/>
      <c r="G1565" s="198"/>
      <c r="H1565" s="197"/>
      <c r="I1565" s="198"/>
      <c r="J1565" s="197"/>
      <c r="K1565" s="198"/>
      <c r="L1565" s="199"/>
      <c r="M1565" s="199"/>
      <c r="N1565" s="199"/>
      <c r="O1565" s="155"/>
      <c r="P1565" s="193"/>
      <c r="Q1565" s="200"/>
      <c r="R1565" s="194"/>
      <c r="T1565" s="190"/>
      <c r="U1565" s="191"/>
    </row>
    <row r="1566" spans="1:21">
      <c r="A1566" s="192"/>
      <c r="B1566" s="1277" t="s">
        <v>1209</v>
      </c>
      <c r="C1566" s="1277"/>
      <c r="D1566" s="1277"/>
      <c r="E1566" s="1277"/>
      <c r="F1566" s="1277"/>
      <c r="G1566" s="1277"/>
      <c r="H1566" s="1277"/>
      <c r="I1566" s="1277"/>
      <c r="J1566" s="1277"/>
      <c r="K1566" s="1277"/>
      <c r="L1566" s="1277"/>
      <c r="M1566" s="1277"/>
      <c r="N1566" s="1277"/>
      <c r="O1566" s="1277"/>
      <c r="P1566" s="1277"/>
      <c r="Q1566" s="203">
        <v>0</v>
      </c>
      <c r="R1566" s="204">
        <f>Q1566</f>
        <v>0</v>
      </c>
      <c r="T1566" s="1278"/>
      <c r="U1566" s="1279"/>
    </row>
    <row r="1567" spans="1:21">
      <c r="A1567" s="192"/>
      <c r="B1567" s="1277" t="e">
        <f>med</f>
        <v>#NAME?</v>
      </c>
      <c r="C1567" s="1277"/>
      <c r="D1567" s="1277"/>
      <c r="E1567" s="1277"/>
      <c r="F1567" s="1277"/>
      <c r="G1567" s="1277"/>
      <c r="H1567" s="1277"/>
      <c r="I1567" s="1277"/>
      <c r="J1567" s="1277"/>
      <c r="K1567" s="1277"/>
      <c r="L1567" s="1277"/>
      <c r="M1567" s="1277"/>
      <c r="N1567" s="1277"/>
      <c r="O1567" s="1277"/>
      <c r="P1567" s="205">
        <f>N1564</f>
        <v>36.69</v>
      </c>
      <c r="Q1567" s="203">
        <f>P1567</f>
        <v>36.69</v>
      </c>
      <c r="R1567" s="204">
        <f>Q1567+R1566</f>
        <v>36.69</v>
      </c>
      <c r="T1567" s="1278"/>
      <c r="U1567" s="1279"/>
    </row>
    <row r="1568" spans="1:21" ht="18" customHeight="1">
      <c r="A1568" s="187" t="e">
        <f>#REF!</f>
        <v>#REF!</v>
      </c>
      <c r="B1568" s="1275" t="e">
        <f>IF(A1568="","",VLOOKUP($A1568,'[2]FDE-JUNHO-08'!$A$6:$D$3537,2,FALSE()))</f>
        <v>#REF!</v>
      </c>
      <c r="C1568" s="1275"/>
      <c r="D1568" s="1275"/>
      <c r="E1568" s="1275"/>
      <c r="F1568" s="1275"/>
      <c r="G1568" s="1275"/>
      <c r="H1568" s="1275"/>
      <c r="I1568" s="1275"/>
      <c r="J1568" s="1275"/>
      <c r="K1568" s="1275"/>
      <c r="L1568" s="1275"/>
      <c r="M1568" s="1275"/>
      <c r="N1568" s="1275"/>
      <c r="O1568" s="1275"/>
      <c r="P1568" s="188" t="e">
        <f>IF(A1568="","",VLOOKUP($A1568,'[2]FDE-JUNHO-08'!$A$6:$D$3537,3,FALSE()))</f>
        <v>#REF!</v>
      </c>
      <c r="Q1568" s="189" t="s">
        <v>1205</v>
      </c>
      <c r="R1568" s="189" t="s">
        <v>1206</v>
      </c>
      <c r="T1568" s="190"/>
      <c r="U1568" s="191"/>
    </row>
    <row r="1569" spans="1:21">
      <c r="A1569" s="192"/>
      <c r="B1569" s="225"/>
      <c r="C1569" s="225"/>
      <c r="D1569" s="225"/>
      <c r="E1569" s="225"/>
      <c r="F1569" s="225"/>
      <c r="G1569" s="225"/>
      <c r="H1569" s="225"/>
      <c r="I1569" s="225"/>
      <c r="J1569" s="225"/>
      <c r="K1569" s="225"/>
      <c r="L1569" s="225"/>
      <c r="M1569" s="225"/>
      <c r="N1569" s="225"/>
      <c r="O1569" s="225"/>
      <c r="P1569" s="193"/>
      <c r="Q1569" s="194"/>
      <c r="R1569" s="194"/>
      <c r="T1569" s="190"/>
      <c r="U1569" s="191"/>
    </row>
    <row r="1570" spans="1:21">
      <c r="A1570" s="192"/>
      <c r="B1570" s="212"/>
      <c r="C1570" s="212"/>
      <c r="D1570" s="212"/>
      <c r="E1570" s="212"/>
      <c r="F1570" s="199" t="s">
        <v>1242</v>
      </c>
      <c r="G1570" s="198"/>
      <c r="H1570" s="198" t="s">
        <v>1230</v>
      </c>
      <c r="I1570" s="198"/>
      <c r="J1570" s="198" t="s">
        <v>1231</v>
      </c>
      <c r="K1570" s="198"/>
      <c r="L1570" s="198" t="s">
        <v>1367</v>
      </c>
      <c r="M1570" s="212"/>
      <c r="N1570" s="212"/>
      <c r="O1570" s="212"/>
      <c r="P1570" s="193"/>
      <c r="Q1570" s="200"/>
      <c r="R1570" s="194"/>
      <c r="T1570" s="190"/>
      <c r="U1570" s="191"/>
    </row>
    <row r="1571" spans="1:21">
      <c r="A1571" s="192"/>
      <c r="B1571" s="215" t="s">
        <v>1364</v>
      </c>
      <c r="C1571" s="196"/>
      <c r="D1571" s="197"/>
      <c r="E1571" s="198"/>
      <c r="F1571" s="197">
        <v>4</v>
      </c>
      <c r="G1571" s="198" t="s">
        <v>1227</v>
      </c>
      <c r="H1571" s="198">
        <v>0.95</v>
      </c>
      <c r="I1571" s="198" t="s">
        <v>1227</v>
      </c>
      <c r="J1571" s="198">
        <v>0.95</v>
      </c>
      <c r="K1571" s="198" t="s">
        <v>1227</v>
      </c>
      <c r="L1571" s="198">
        <v>0.6</v>
      </c>
      <c r="M1571" s="199" t="s">
        <v>1208</v>
      </c>
      <c r="N1571" s="199">
        <f t="shared" ref="N1571:N1577" si="8">F1571*H1571*J1571*L1571</f>
        <v>2.1659999999999999</v>
      </c>
      <c r="O1571" s="155"/>
      <c r="P1571" s="193"/>
      <c r="Q1571" s="200"/>
      <c r="R1571" s="194"/>
      <c r="T1571" s="190"/>
      <c r="U1571" s="191"/>
    </row>
    <row r="1572" spans="1:21">
      <c r="A1572" s="192"/>
      <c r="B1572" s="215" t="s">
        <v>1365</v>
      </c>
      <c r="C1572" s="196"/>
      <c r="D1572" s="197"/>
      <c r="E1572" s="198"/>
      <c r="F1572" s="197">
        <v>1</v>
      </c>
      <c r="G1572" s="198" t="s">
        <v>1227</v>
      </c>
      <c r="H1572" s="198">
        <v>1.4</v>
      </c>
      <c r="I1572" s="198" t="s">
        <v>1227</v>
      </c>
      <c r="J1572" s="198">
        <v>1.4</v>
      </c>
      <c r="K1572" s="198" t="s">
        <v>1227</v>
      </c>
      <c r="L1572" s="198">
        <v>1.23</v>
      </c>
      <c r="M1572" s="199" t="s">
        <v>1208</v>
      </c>
      <c r="N1572" s="199">
        <f t="shared" si="8"/>
        <v>2.4107999999999996</v>
      </c>
      <c r="O1572" s="155"/>
      <c r="P1572" s="193"/>
      <c r="Q1572" s="200"/>
      <c r="R1572" s="194"/>
      <c r="T1572" s="190"/>
      <c r="U1572" s="191"/>
    </row>
    <row r="1573" spans="1:21">
      <c r="A1573" s="192"/>
      <c r="B1573" s="215" t="s">
        <v>1366</v>
      </c>
      <c r="C1573" s="196"/>
      <c r="D1573" s="197"/>
      <c r="E1573" s="198"/>
      <c r="F1573" s="197">
        <v>1</v>
      </c>
      <c r="G1573" s="198" t="s">
        <v>1227</v>
      </c>
      <c r="H1573" s="198">
        <v>1</v>
      </c>
      <c r="I1573" s="198" t="s">
        <v>1227</v>
      </c>
      <c r="J1573" s="198">
        <v>4</v>
      </c>
      <c r="K1573" s="198" t="s">
        <v>1227</v>
      </c>
      <c r="L1573" s="198">
        <v>0.3</v>
      </c>
      <c r="M1573" s="199" t="s">
        <v>1208</v>
      </c>
      <c r="N1573" s="199">
        <f t="shared" si="8"/>
        <v>1.2</v>
      </c>
      <c r="O1573" s="155"/>
      <c r="P1573" s="193"/>
      <c r="Q1573" s="200"/>
      <c r="R1573" s="194"/>
      <c r="T1573" s="190"/>
      <c r="U1573" s="191"/>
    </row>
    <row r="1574" spans="1:21">
      <c r="A1574" s="192"/>
      <c r="B1574" s="215" t="s">
        <v>1314</v>
      </c>
      <c r="C1574" s="196"/>
      <c r="D1574" s="197"/>
      <c r="E1574" s="198"/>
      <c r="F1574" s="199">
        <v>1</v>
      </c>
      <c r="G1574" s="198" t="s">
        <v>1227</v>
      </c>
      <c r="H1574" s="198">
        <v>0.5</v>
      </c>
      <c r="I1574" s="198" t="s">
        <v>1227</v>
      </c>
      <c r="J1574" s="198">
        <v>11</v>
      </c>
      <c r="K1574" s="198" t="s">
        <v>1227</v>
      </c>
      <c r="L1574" s="198">
        <v>0.9</v>
      </c>
      <c r="M1574" s="199" t="s">
        <v>1208</v>
      </c>
      <c r="N1574" s="199">
        <f t="shared" si="8"/>
        <v>4.95</v>
      </c>
      <c r="O1574" s="155"/>
      <c r="P1574" s="193"/>
      <c r="Q1574" s="200"/>
      <c r="R1574" s="194"/>
      <c r="T1574" s="190"/>
      <c r="U1574" s="191"/>
    </row>
    <row r="1575" spans="1:21">
      <c r="A1575" s="192"/>
      <c r="B1575" s="215" t="s">
        <v>1315</v>
      </c>
      <c r="C1575" s="196"/>
      <c r="D1575" s="197"/>
      <c r="E1575" s="198"/>
      <c r="F1575" s="199">
        <v>1</v>
      </c>
      <c r="G1575" s="198" t="s">
        <v>1227</v>
      </c>
      <c r="H1575" s="198">
        <v>0.6</v>
      </c>
      <c r="I1575" s="198" t="s">
        <v>1227</v>
      </c>
      <c r="J1575" s="198">
        <v>0.6</v>
      </c>
      <c r="K1575" s="198" t="s">
        <v>1227</v>
      </c>
      <c r="L1575" s="198">
        <v>0.3</v>
      </c>
      <c r="M1575" s="199" t="s">
        <v>1208</v>
      </c>
      <c r="N1575" s="199">
        <f t="shared" si="8"/>
        <v>0.108</v>
      </c>
      <c r="O1575" s="155"/>
      <c r="P1575" s="193"/>
      <c r="Q1575" s="200"/>
      <c r="R1575" s="194"/>
      <c r="T1575" s="190"/>
      <c r="U1575" s="191"/>
    </row>
    <row r="1576" spans="1:21">
      <c r="A1576" s="192"/>
      <c r="B1576" s="215" t="s">
        <v>1316</v>
      </c>
      <c r="C1576" s="196"/>
      <c r="D1576" s="197"/>
      <c r="E1576" s="198"/>
      <c r="F1576" s="199">
        <v>1</v>
      </c>
      <c r="G1576" s="198" t="s">
        <v>1227</v>
      </c>
      <c r="H1576" s="198">
        <v>0.6</v>
      </c>
      <c r="I1576" s="198" t="s">
        <v>1227</v>
      </c>
      <c r="J1576" s="198">
        <v>9.6999999999999993</v>
      </c>
      <c r="K1576" s="198" t="s">
        <v>1227</v>
      </c>
      <c r="L1576" s="198">
        <v>0.7</v>
      </c>
      <c r="M1576" s="199" t="s">
        <v>1208</v>
      </c>
      <c r="N1576" s="199">
        <f t="shared" si="8"/>
        <v>4.073999999999999</v>
      </c>
      <c r="O1576" s="155"/>
      <c r="P1576" s="193"/>
      <c r="Q1576" s="194"/>
      <c r="R1576" s="194"/>
      <c r="T1576" s="190"/>
      <c r="U1576" s="191"/>
    </row>
    <row r="1577" spans="1:21">
      <c r="A1577" s="192"/>
      <c r="B1577" s="215" t="s">
        <v>1218</v>
      </c>
      <c r="C1577" s="196"/>
      <c r="D1577" s="197"/>
      <c r="E1577" s="198"/>
      <c r="F1577" s="199">
        <v>1</v>
      </c>
      <c r="G1577" s="198" t="s">
        <v>1227</v>
      </c>
      <c r="H1577" s="198">
        <v>0.3</v>
      </c>
      <c r="I1577" s="198" t="s">
        <v>1255</v>
      </c>
      <c r="J1577" s="198">
        <v>60</v>
      </c>
      <c r="K1577" s="198" t="s">
        <v>1227</v>
      </c>
      <c r="L1577" s="198">
        <v>0.4</v>
      </c>
      <c r="M1577" s="199" t="s">
        <v>1208</v>
      </c>
      <c r="N1577" s="199">
        <f t="shared" si="8"/>
        <v>7.2</v>
      </c>
      <c r="O1577" s="155"/>
      <c r="P1577" s="193"/>
      <c r="Q1577" s="200"/>
      <c r="R1577" s="194"/>
      <c r="T1577" s="190"/>
      <c r="U1577" s="191"/>
    </row>
    <row r="1578" spans="1:21">
      <c r="A1578" s="192"/>
      <c r="B1578" s="195"/>
      <c r="C1578" s="196"/>
      <c r="D1578" s="197"/>
      <c r="E1578" s="198"/>
      <c r="F1578" s="197"/>
      <c r="G1578" s="198"/>
      <c r="H1578" s="197"/>
      <c r="I1578" s="198"/>
      <c r="J1578" s="197"/>
      <c r="K1578" s="198"/>
      <c r="L1578" s="199"/>
      <c r="M1578" s="199"/>
      <c r="N1578" s="201"/>
      <c r="O1578" s="202"/>
      <c r="P1578" s="193"/>
      <c r="Q1578" s="200"/>
      <c r="R1578" s="194"/>
      <c r="T1578" s="190"/>
      <c r="U1578" s="191"/>
    </row>
    <row r="1579" spans="1:21">
      <c r="A1579" s="192"/>
      <c r="B1579" s="195"/>
      <c r="C1579" s="196"/>
      <c r="D1579" s="197"/>
      <c r="E1579" s="198"/>
      <c r="F1579" s="197"/>
      <c r="G1579" s="198"/>
      <c r="H1579" s="197"/>
      <c r="I1579" s="198"/>
      <c r="J1579" s="197"/>
      <c r="K1579" s="198"/>
      <c r="L1579" s="199" t="s">
        <v>1140</v>
      </c>
      <c r="M1579" s="199" t="s">
        <v>1208</v>
      </c>
      <c r="N1579" s="199">
        <f>SUM(N1571:N1578)</f>
        <v>22.108799999999999</v>
      </c>
      <c r="O1579" s="155" t="e">
        <f>P1568</f>
        <v>#REF!</v>
      </c>
      <c r="P1579" s="193"/>
      <c r="Q1579" s="200"/>
      <c r="R1579" s="194"/>
      <c r="T1579" s="190"/>
      <c r="U1579" s="191"/>
    </row>
    <row r="1580" spans="1:21">
      <c r="A1580" s="192"/>
      <c r="B1580" s="237"/>
      <c r="C1580" s="238"/>
      <c r="D1580" s="238"/>
      <c r="E1580" s="238"/>
      <c r="F1580" s="238"/>
      <c r="G1580" s="238"/>
      <c r="H1580" s="238"/>
      <c r="I1580" s="238"/>
      <c r="J1580" s="238"/>
      <c r="K1580" s="238"/>
      <c r="L1580" s="238"/>
      <c r="M1580" s="238"/>
      <c r="N1580" s="238"/>
      <c r="O1580" s="239"/>
      <c r="P1580" s="193"/>
      <c r="Q1580" s="194"/>
      <c r="R1580" s="194"/>
      <c r="T1580" s="190"/>
      <c r="U1580" s="191"/>
    </row>
    <row r="1581" spans="1:21">
      <c r="A1581" s="192"/>
      <c r="B1581" s="1277" t="s">
        <v>1209</v>
      </c>
      <c r="C1581" s="1277"/>
      <c r="D1581" s="1277"/>
      <c r="E1581" s="1277"/>
      <c r="F1581" s="1277"/>
      <c r="G1581" s="1277"/>
      <c r="H1581" s="1277"/>
      <c r="I1581" s="1277"/>
      <c r="J1581" s="1277"/>
      <c r="K1581" s="1277"/>
      <c r="L1581" s="1277"/>
      <c r="M1581" s="1277"/>
      <c r="N1581" s="1277"/>
      <c r="O1581" s="1277"/>
      <c r="P1581" s="1277"/>
      <c r="Q1581" s="203">
        <v>0</v>
      </c>
      <c r="R1581" s="204">
        <f>Q1581</f>
        <v>0</v>
      </c>
      <c r="T1581" s="1278"/>
      <c r="U1581" s="1279"/>
    </row>
    <row r="1582" spans="1:21">
      <c r="A1582" s="192"/>
      <c r="B1582" s="1277" t="e">
        <f>med</f>
        <v>#NAME?</v>
      </c>
      <c r="C1582" s="1277"/>
      <c r="D1582" s="1277"/>
      <c r="E1582" s="1277"/>
      <c r="F1582" s="1277"/>
      <c r="G1582" s="1277"/>
      <c r="H1582" s="1277"/>
      <c r="I1582" s="1277"/>
      <c r="J1582" s="1277"/>
      <c r="K1582" s="1277"/>
      <c r="L1582" s="1277"/>
      <c r="M1582" s="1277"/>
      <c r="N1582" s="1277"/>
      <c r="O1582" s="1277"/>
      <c r="P1582" s="205">
        <f>N1579</f>
        <v>22.108799999999999</v>
      </c>
      <c r="Q1582" s="203">
        <f>P1582</f>
        <v>22.108799999999999</v>
      </c>
      <c r="R1582" s="204">
        <f>Q1582+R1581</f>
        <v>22.108799999999999</v>
      </c>
      <c r="T1582" s="1278"/>
      <c r="U1582" s="1279"/>
    </row>
    <row r="1583" spans="1:21" ht="18" customHeight="1">
      <c r="A1583" s="187" t="e">
        <f>#REF!</f>
        <v>#REF!</v>
      </c>
      <c r="B1583" s="1275" t="e">
        <f>IF(A1583="","",VLOOKUP($A1583,'[2]FDE-JUNHO-08'!$A$6:$D$3537,2,FALSE()))</f>
        <v>#REF!</v>
      </c>
      <c r="C1583" s="1275"/>
      <c r="D1583" s="1275"/>
      <c r="E1583" s="1275"/>
      <c r="F1583" s="1275"/>
      <c r="G1583" s="1275"/>
      <c r="H1583" s="1275"/>
      <c r="I1583" s="1275"/>
      <c r="J1583" s="1275"/>
      <c r="K1583" s="1275"/>
      <c r="L1583" s="1275"/>
      <c r="M1583" s="1275"/>
      <c r="N1583" s="1275"/>
      <c r="O1583" s="1275"/>
      <c r="P1583" s="188" t="e">
        <f>IF(A1583="","",VLOOKUP($A1583,'[2]FDE-JUNHO-08'!$A$6:$D$3537,3,FALSE()))</f>
        <v>#REF!</v>
      </c>
      <c r="Q1583" s="189" t="s">
        <v>1205</v>
      </c>
      <c r="R1583" s="189" t="s">
        <v>1206</v>
      </c>
      <c r="T1583" s="190"/>
      <c r="U1583" s="191"/>
    </row>
    <row r="1584" spans="1:21">
      <c r="A1584" s="192"/>
      <c r="B1584" s="225"/>
      <c r="C1584" s="225"/>
      <c r="D1584" s="225"/>
      <c r="E1584" s="225"/>
      <c r="F1584" s="225"/>
      <c r="G1584" s="225"/>
      <c r="H1584" s="225"/>
      <c r="I1584" s="225"/>
      <c r="J1584" s="225"/>
      <c r="K1584" s="225"/>
      <c r="L1584" s="225"/>
      <c r="M1584" s="225"/>
      <c r="N1584" s="225"/>
      <c r="O1584" s="225"/>
      <c r="P1584" s="193"/>
      <c r="Q1584" s="194"/>
      <c r="R1584" s="194"/>
      <c r="T1584" s="190"/>
      <c r="U1584" s="191"/>
    </row>
    <row r="1585" spans="1:21">
      <c r="A1585" s="192"/>
      <c r="B1585" s="212"/>
      <c r="C1585" s="212"/>
      <c r="D1585" s="212"/>
      <c r="E1585" s="212"/>
      <c r="F1585" s="199" t="s">
        <v>1242</v>
      </c>
      <c r="G1585" s="198"/>
      <c r="H1585" s="198" t="s">
        <v>1230</v>
      </c>
      <c r="I1585" s="198"/>
      <c r="J1585" s="198" t="s">
        <v>1231</v>
      </c>
      <c r="K1585" s="198"/>
      <c r="L1585" s="198" t="s">
        <v>1284</v>
      </c>
      <c r="M1585" s="212"/>
      <c r="N1585" s="212"/>
      <c r="O1585" s="212"/>
      <c r="P1585" s="193"/>
      <c r="Q1585" s="200"/>
      <c r="R1585" s="194"/>
      <c r="T1585" s="190"/>
      <c r="U1585" s="191"/>
    </row>
    <row r="1586" spans="1:21">
      <c r="A1586" s="192"/>
      <c r="B1586" s="215" t="s">
        <v>1364</v>
      </c>
      <c r="C1586" s="196"/>
      <c r="D1586" s="197"/>
      <c r="E1586" s="198"/>
      <c r="F1586" s="197">
        <v>4</v>
      </c>
      <c r="G1586" s="198" t="s">
        <v>1227</v>
      </c>
      <c r="H1586" s="198">
        <v>0.95</v>
      </c>
      <c r="I1586" s="198" t="s">
        <v>1227</v>
      </c>
      <c r="J1586" s="198">
        <v>0.95</v>
      </c>
      <c r="K1586" s="198" t="s">
        <v>1227</v>
      </c>
      <c r="L1586" s="198">
        <v>0.1</v>
      </c>
      <c r="M1586" s="199" t="s">
        <v>1208</v>
      </c>
      <c r="N1586" s="199">
        <f t="shared" ref="N1586:N1592" si="9">F1586*H1586*J1586*L1586</f>
        <v>0.36099999999999999</v>
      </c>
      <c r="O1586" s="155"/>
      <c r="P1586" s="193"/>
      <c r="Q1586" s="200"/>
      <c r="R1586" s="194"/>
      <c r="T1586" s="190"/>
      <c r="U1586" s="191"/>
    </row>
    <row r="1587" spans="1:21">
      <c r="A1587" s="192"/>
      <c r="B1587" s="215" t="s">
        <v>1365</v>
      </c>
      <c r="C1587" s="196"/>
      <c r="D1587" s="197"/>
      <c r="E1587" s="198"/>
      <c r="F1587" s="197">
        <v>1</v>
      </c>
      <c r="G1587" s="198" t="s">
        <v>1227</v>
      </c>
      <c r="H1587" s="198">
        <v>1.4</v>
      </c>
      <c r="I1587" s="198" t="s">
        <v>1227</v>
      </c>
      <c r="J1587" s="198">
        <v>1.4</v>
      </c>
      <c r="K1587" s="198" t="s">
        <v>1227</v>
      </c>
      <c r="L1587" s="198">
        <v>0.1</v>
      </c>
      <c r="M1587" s="199" t="s">
        <v>1208</v>
      </c>
      <c r="N1587" s="199">
        <f t="shared" si="9"/>
        <v>0.19599999999999998</v>
      </c>
      <c r="O1587" s="155"/>
      <c r="P1587" s="193"/>
      <c r="Q1587" s="200"/>
      <c r="R1587" s="194"/>
      <c r="T1587" s="190"/>
      <c r="U1587" s="191"/>
    </row>
    <row r="1588" spans="1:21">
      <c r="A1588" s="192"/>
      <c r="B1588" s="215" t="s">
        <v>1366</v>
      </c>
      <c r="C1588" s="196"/>
      <c r="D1588" s="197"/>
      <c r="E1588" s="198"/>
      <c r="F1588" s="197">
        <v>1</v>
      </c>
      <c r="G1588" s="198" t="s">
        <v>1227</v>
      </c>
      <c r="H1588" s="198">
        <v>1</v>
      </c>
      <c r="I1588" s="198" t="s">
        <v>1227</v>
      </c>
      <c r="J1588" s="198">
        <v>4</v>
      </c>
      <c r="K1588" s="198" t="s">
        <v>1227</v>
      </c>
      <c r="L1588" s="198">
        <v>0.1</v>
      </c>
      <c r="M1588" s="199" t="s">
        <v>1208</v>
      </c>
      <c r="N1588" s="199">
        <f t="shared" si="9"/>
        <v>0.4</v>
      </c>
      <c r="O1588" s="155"/>
      <c r="P1588" s="193"/>
      <c r="Q1588" s="200"/>
      <c r="R1588" s="194"/>
      <c r="T1588" s="190"/>
      <c r="U1588" s="191"/>
    </row>
    <row r="1589" spans="1:21">
      <c r="A1589" s="192"/>
      <c r="B1589" s="215" t="s">
        <v>1314</v>
      </c>
      <c r="C1589" s="196"/>
      <c r="D1589" s="197"/>
      <c r="E1589" s="198"/>
      <c r="F1589" s="199">
        <v>1</v>
      </c>
      <c r="G1589" s="198" t="s">
        <v>1227</v>
      </c>
      <c r="H1589" s="198">
        <v>0.5</v>
      </c>
      <c r="I1589" s="198" t="s">
        <v>1227</v>
      </c>
      <c r="J1589" s="198">
        <v>11</v>
      </c>
      <c r="K1589" s="198" t="s">
        <v>1227</v>
      </c>
      <c r="L1589" s="198">
        <v>0.1</v>
      </c>
      <c r="M1589" s="199" t="s">
        <v>1208</v>
      </c>
      <c r="N1589" s="199">
        <f t="shared" si="9"/>
        <v>0.55000000000000004</v>
      </c>
      <c r="O1589" s="155"/>
      <c r="P1589" s="193"/>
      <c r="Q1589" s="200"/>
      <c r="R1589" s="194"/>
      <c r="T1589" s="190"/>
      <c r="U1589" s="191"/>
    </row>
    <row r="1590" spans="1:21">
      <c r="A1590" s="192"/>
      <c r="B1590" s="215" t="s">
        <v>1315</v>
      </c>
      <c r="C1590" s="196"/>
      <c r="D1590" s="197"/>
      <c r="E1590" s="198"/>
      <c r="F1590" s="199">
        <v>1</v>
      </c>
      <c r="G1590" s="198" t="s">
        <v>1227</v>
      </c>
      <c r="H1590" s="198">
        <v>0.6</v>
      </c>
      <c r="I1590" s="198" t="s">
        <v>1227</v>
      </c>
      <c r="J1590" s="198">
        <v>0.6</v>
      </c>
      <c r="K1590" s="198" t="s">
        <v>1227</v>
      </c>
      <c r="L1590" s="198">
        <v>0.1</v>
      </c>
      <c r="M1590" s="199" t="s">
        <v>1208</v>
      </c>
      <c r="N1590" s="199">
        <f t="shared" si="9"/>
        <v>3.5999999999999997E-2</v>
      </c>
      <c r="O1590" s="155"/>
      <c r="P1590" s="193"/>
      <c r="Q1590" s="200"/>
      <c r="R1590" s="194"/>
      <c r="T1590" s="190"/>
      <c r="U1590" s="191"/>
    </row>
    <row r="1591" spans="1:21">
      <c r="A1591" s="192"/>
      <c r="B1591" s="215" t="s">
        <v>1316</v>
      </c>
      <c r="C1591" s="196"/>
      <c r="D1591" s="197"/>
      <c r="E1591" s="198"/>
      <c r="F1591" s="199">
        <v>1</v>
      </c>
      <c r="G1591" s="198" t="s">
        <v>1227</v>
      </c>
      <c r="H1591" s="198">
        <v>0.6</v>
      </c>
      <c r="I1591" s="198" t="s">
        <v>1227</v>
      </c>
      <c r="J1591" s="198">
        <v>9.6999999999999993</v>
      </c>
      <c r="K1591" s="198" t="s">
        <v>1227</v>
      </c>
      <c r="L1591" s="198">
        <v>0.1</v>
      </c>
      <c r="M1591" s="199" t="s">
        <v>1208</v>
      </c>
      <c r="N1591" s="199">
        <f t="shared" si="9"/>
        <v>0.58199999999999996</v>
      </c>
      <c r="O1591" s="155"/>
      <c r="P1591" s="193"/>
      <c r="Q1591" s="194"/>
      <c r="R1591" s="194"/>
      <c r="T1591" s="190"/>
      <c r="U1591" s="191"/>
    </row>
    <row r="1592" spans="1:21">
      <c r="A1592" s="192"/>
      <c r="B1592" s="215" t="s">
        <v>1218</v>
      </c>
      <c r="C1592" s="196"/>
      <c r="D1592" s="197"/>
      <c r="E1592" s="198"/>
      <c r="F1592" s="199">
        <v>1</v>
      </c>
      <c r="G1592" s="198" t="s">
        <v>1227</v>
      </c>
      <c r="H1592" s="198">
        <v>0.3</v>
      </c>
      <c r="I1592" s="198" t="s">
        <v>1255</v>
      </c>
      <c r="J1592" s="198">
        <v>60</v>
      </c>
      <c r="K1592" s="198" t="s">
        <v>1227</v>
      </c>
      <c r="L1592" s="198">
        <v>0.1</v>
      </c>
      <c r="M1592" s="199" t="s">
        <v>1208</v>
      </c>
      <c r="N1592" s="199">
        <f t="shared" si="9"/>
        <v>1.8</v>
      </c>
      <c r="O1592" s="155"/>
      <c r="P1592" s="193"/>
      <c r="Q1592" s="200"/>
      <c r="R1592" s="194"/>
      <c r="T1592" s="190"/>
      <c r="U1592" s="191"/>
    </row>
    <row r="1593" spans="1:21">
      <c r="A1593" s="192"/>
      <c r="B1593" s="195"/>
      <c r="C1593" s="196"/>
      <c r="D1593" s="197"/>
      <c r="E1593" s="198"/>
      <c r="F1593" s="197"/>
      <c r="G1593" s="198"/>
      <c r="H1593" s="197"/>
      <c r="I1593" s="198"/>
      <c r="J1593" s="197"/>
      <c r="K1593" s="198"/>
      <c r="L1593" s="199"/>
      <c r="M1593" s="199"/>
      <c r="N1593" s="201"/>
      <c r="O1593" s="202"/>
      <c r="P1593" s="193"/>
      <c r="Q1593" s="200"/>
      <c r="R1593" s="194"/>
      <c r="T1593" s="190"/>
      <c r="U1593" s="191"/>
    </row>
    <row r="1594" spans="1:21">
      <c r="A1594" s="192"/>
      <c r="B1594" s="195"/>
      <c r="C1594" s="196"/>
      <c r="D1594" s="197"/>
      <c r="E1594" s="198"/>
      <c r="F1594" s="197"/>
      <c r="G1594" s="198"/>
      <c r="H1594" s="197"/>
      <c r="I1594" s="198"/>
      <c r="J1594" s="197"/>
      <c r="K1594" s="198"/>
      <c r="L1594" s="199" t="s">
        <v>1140</v>
      </c>
      <c r="M1594" s="199" t="s">
        <v>1208</v>
      </c>
      <c r="N1594" s="199">
        <f>SUM(N1586:N1593)</f>
        <v>3.9249999999999998</v>
      </c>
      <c r="O1594" s="155" t="e">
        <f>P1583</f>
        <v>#REF!</v>
      </c>
      <c r="P1594" s="193"/>
      <c r="Q1594" s="200"/>
      <c r="R1594" s="194"/>
      <c r="T1594" s="190"/>
      <c r="U1594" s="191"/>
    </row>
    <row r="1595" spans="1:21">
      <c r="A1595" s="192"/>
      <c r="B1595" s="195"/>
      <c r="C1595" s="196"/>
      <c r="D1595" s="197"/>
      <c r="E1595" s="198"/>
      <c r="F1595" s="197"/>
      <c r="G1595" s="198"/>
      <c r="H1595" s="197"/>
      <c r="I1595" s="198"/>
      <c r="J1595" s="197"/>
      <c r="K1595" s="198"/>
      <c r="L1595" s="199"/>
      <c r="M1595" s="199"/>
      <c r="N1595" s="199"/>
      <c r="O1595" s="155"/>
      <c r="P1595" s="193"/>
      <c r="Q1595" s="200"/>
      <c r="R1595" s="194"/>
      <c r="T1595" s="190"/>
      <c r="U1595" s="191"/>
    </row>
    <row r="1596" spans="1:21">
      <c r="A1596" s="192"/>
      <c r="B1596" s="1277" t="s">
        <v>1209</v>
      </c>
      <c r="C1596" s="1277"/>
      <c r="D1596" s="1277"/>
      <c r="E1596" s="1277"/>
      <c r="F1596" s="1277"/>
      <c r="G1596" s="1277"/>
      <c r="H1596" s="1277"/>
      <c r="I1596" s="1277"/>
      <c r="J1596" s="1277"/>
      <c r="K1596" s="1277"/>
      <c r="L1596" s="1277"/>
      <c r="M1596" s="1277"/>
      <c r="N1596" s="1277"/>
      <c r="O1596" s="1277"/>
      <c r="P1596" s="1277"/>
      <c r="Q1596" s="203">
        <v>0</v>
      </c>
      <c r="R1596" s="204">
        <f>Q1596</f>
        <v>0</v>
      </c>
      <c r="T1596" s="1278"/>
      <c r="U1596" s="1279"/>
    </row>
    <row r="1597" spans="1:21">
      <c r="A1597" s="192"/>
      <c r="B1597" s="1277" t="e">
        <f>med</f>
        <v>#NAME?</v>
      </c>
      <c r="C1597" s="1277"/>
      <c r="D1597" s="1277"/>
      <c r="E1597" s="1277"/>
      <c r="F1597" s="1277"/>
      <c r="G1597" s="1277"/>
      <c r="H1597" s="1277"/>
      <c r="I1597" s="1277"/>
      <c r="J1597" s="1277"/>
      <c r="K1597" s="1277"/>
      <c r="L1597" s="1277"/>
      <c r="M1597" s="1277"/>
      <c r="N1597" s="1277"/>
      <c r="O1597" s="1277"/>
      <c r="P1597" s="205">
        <f>N1594</f>
        <v>3.9249999999999998</v>
      </c>
      <c r="Q1597" s="203">
        <f>P1597</f>
        <v>3.9249999999999998</v>
      </c>
      <c r="R1597" s="204">
        <f>Q1597+R1596</f>
        <v>3.9249999999999998</v>
      </c>
      <c r="T1597" s="1278"/>
      <c r="U1597" s="1279"/>
    </row>
    <row r="1598" spans="1:21" ht="18" customHeight="1">
      <c r="A1598" s="187" t="e">
        <f>#REF!</f>
        <v>#REF!</v>
      </c>
      <c r="B1598" s="1275" t="e">
        <f>IF(A1598="","",VLOOKUP($A1598,'[2]FDE-JUNHO-08'!$A$6:$D$3537,2,FALSE()))</f>
        <v>#REF!</v>
      </c>
      <c r="C1598" s="1275"/>
      <c r="D1598" s="1275"/>
      <c r="E1598" s="1275"/>
      <c r="F1598" s="1275"/>
      <c r="G1598" s="1275"/>
      <c r="H1598" s="1275"/>
      <c r="I1598" s="1275"/>
      <c r="J1598" s="1275"/>
      <c r="K1598" s="1275"/>
      <c r="L1598" s="1275"/>
      <c r="M1598" s="1275"/>
      <c r="N1598" s="1275"/>
      <c r="O1598" s="1275"/>
      <c r="P1598" s="188" t="e">
        <f>IF(A1598="","",VLOOKUP($A1598,'[2]FDE-JUNHO-08'!$A$6:$D$3537,3,FALSE()))</f>
        <v>#REF!</v>
      </c>
      <c r="Q1598" s="189" t="s">
        <v>1205</v>
      </c>
      <c r="R1598" s="189" t="s">
        <v>1206</v>
      </c>
      <c r="T1598" s="190"/>
      <c r="U1598" s="191"/>
    </row>
    <row r="1599" spans="1:21" ht="18" customHeight="1">
      <c r="A1599" s="224"/>
      <c r="B1599" s="225"/>
      <c r="C1599" s="225"/>
      <c r="D1599" s="225"/>
      <c r="E1599" s="225"/>
      <c r="F1599" s="225"/>
      <c r="G1599" s="225"/>
      <c r="H1599" s="225"/>
      <c r="I1599" s="225"/>
      <c r="J1599" s="225"/>
      <c r="K1599" s="225"/>
      <c r="L1599" s="225"/>
      <c r="M1599" s="225"/>
      <c r="N1599" s="225"/>
      <c r="O1599" s="225"/>
      <c r="P1599" s="226"/>
      <c r="Q1599" s="232"/>
      <c r="R1599" s="232"/>
      <c r="T1599" s="190"/>
      <c r="U1599" s="191"/>
    </row>
    <row r="1600" spans="1:21">
      <c r="A1600" s="192"/>
      <c r="B1600" s="212"/>
      <c r="C1600" s="212"/>
      <c r="D1600" s="212"/>
      <c r="E1600" s="212"/>
      <c r="F1600" s="199" t="s">
        <v>1242</v>
      </c>
      <c r="G1600" s="198"/>
      <c r="H1600" s="198" t="s">
        <v>1230</v>
      </c>
      <c r="I1600" s="198"/>
      <c r="J1600" s="198" t="s">
        <v>1231</v>
      </c>
      <c r="K1600" s="198"/>
      <c r="L1600" s="198" t="s">
        <v>1367</v>
      </c>
      <c r="M1600" s="212"/>
      <c r="N1600" s="212"/>
      <c r="O1600" s="212"/>
      <c r="P1600" s="193"/>
      <c r="Q1600" s="194"/>
      <c r="R1600" s="194"/>
      <c r="T1600" s="190"/>
      <c r="U1600" s="191"/>
    </row>
    <row r="1601" spans="1:21">
      <c r="A1601" s="192"/>
      <c r="B1601" s="215" t="s">
        <v>1364</v>
      </c>
      <c r="C1601" s="196"/>
      <c r="D1601" s="197"/>
      <c r="E1601" s="198"/>
      <c r="F1601" s="197">
        <v>4</v>
      </c>
      <c r="G1601" s="198" t="s">
        <v>1227</v>
      </c>
      <c r="H1601" s="198">
        <v>0.95</v>
      </c>
      <c r="I1601" s="198" t="s">
        <v>1227</v>
      </c>
      <c r="J1601" s="198">
        <v>0.95</v>
      </c>
      <c r="K1601" s="198" t="s">
        <v>1227</v>
      </c>
      <c r="L1601" s="198">
        <v>0.6</v>
      </c>
      <c r="M1601" s="199" t="s">
        <v>1208</v>
      </c>
      <c r="N1601" s="199">
        <f>L1601*J1601*H1601*F1601</f>
        <v>2.1659999999999999</v>
      </c>
      <c r="O1601" s="155"/>
      <c r="P1601" s="193"/>
      <c r="Q1601" s="200"/>
      <c r="R1601" s="194"/>
      <c r="T1601" s="190"/>
      <c r="U1601" s="191"/>
    </row>
    <row r="1602" spans="1:21">
      <c r="A1602" s="192"/>
      <c r="B1602" s="215" t="s">
        <v>1368</v>
      </c>
      <c r="C1602" s="196"/>
      <c r="D1602" s="197"/>
      <c r="E1602" s="198"/>
      <c r="F1602" s="197">
        <v>1</v>
      </c>
      <c r="G1602" s="198" t="s">
        <v>1227</v>
      </c>
      <c r="H1602" s="198">
        <v>0.7</v>
      </c>
      <c r="I1602" s="198" t="s">
        <v>1227</v>
      </c>
      <c r="J1602" s="198">
        <v>1.4</v>
      </c>
      <c r="K1602" s="198" t="s">
        <v>1227</v>
      </c>
      <c r="L1602" s="198">
        <v>0.7</v>
      </c>
      <c r="M1602" s="199" t="s">
        <v>1208</v>
      </c>
      <c r="N1602" s="199">
        <f>L1602*J1602*H1602*F1602</f>
        <v>0.68599999999999983</v>
      </c>
      <c r="O1602" s="155"/>
      <c r="P1602" s="193"/>
      <c r="Q1602" s="200"/>
      <c r="R1602" s="194"/>
      <c r="T1602" s="190"/>
      <c r="U1602" s="191"/>
    </row>
    <row r="1603" spans="1:21">
      <c r="A1603" s="192"/>
      <c r="B1603" s="215" t="s">
        <v>1369</v>
      </c>
      <c r="C1603" s="196"/>
      <c r="D1603" s="197"/>
      <c r="E1603" s="198"/>
      <c r="F1603" s="197">
        <v>1</v>
      </c>
      <c r="G1603" s="198" t="s">
        <v>1227</v>
      </c>
      <c r="H1603" s="198">
        <v>1.4</v>
      </c>
      <c r="I1603" s="198" t="s">
        <v>1227</v>
      </c>
      <c r="J1603" s="198">
        <v>1.4</v>
      </c>
      <c r="K1603" s="198" t="s">
        <v>1227</v>
      </c>
      <c r="L1603" s="198">
        <v>1.4</v>
      </c>
      <c r="M1603" s="199" t="s">
        <v>1208</v>
      </c>
      <c r="N1603" s="199">
        <f>L1603*J1603*H1603*F1603</f>
        <v>2.7439999999999993</v>
      </c>
      <c r="O1603" s="155"/>
      <c r="P1603" s="193"/>
      <c r="Q1603" s="200"/>
      <c r="R1603" s="194"/>
      <c r="T1603" s="190"/>
      <c r="U1603" s="191"/>
    </row>
    <row r="1604" spans="1:21">
      <c r="A1604" s="192"/>
      <c r="B1604" s="215" t="s">
        <v>1366</v>
      </c>
      <c r="C1604" s="196"/>
      <c r="D1604" s="197"/>
      <c r="E1604" s="198"/>
      <c r="F1604" s="197">
        <v>1</v>
      </c>
      <c r="G1604" s="198" t="s">
        <v>1227</v>
      </c>
      <c r="H1604" s="198">
        <v>1</v>
      </c>
      <c r="I1604" s="198" t="s">
        <v>1227</v>
      </c>
      <c r="J1604" s="198">
        <v>4</v>
      </c>
      <c r="K1604" s="198" t="s">
        <v>1227</v>
      </c>
      <c r="L1604" s="198">
        <v>0.3</v>
      </c>
      <c r="M1604" s="199" t="s">
        <v>1208</v>
      </c>
      <c r="N1604" s="199">
        <f>F1604*H1604*J1604*L1604</f>
        <v>1.2</v>
      </c>
      <c r="O1604" s="155"/>
      <c r="P1604" s="193"/>
      <c r="Q1604" s="200"/>
      <c r="R1604" s="194"/>
      <c r="T1604" s="190"/>
      <c r="U1604" s="191"/>
    </row>
    <row r="1605" spans="1:21">
      <c r="A1605" s="192"/>
      <c r="B1605" s="215" t="s">
        <v>1314</v>
      </c>
      <c r="C1605" s="196"/>
      <c r="D1605" s="197"/>
      <c r="E1605" s="198"/>
      <c r="F1605" s="199">
        <v>1</v>
      </c>
      <c r="G1605" s="198" t="s">
        <v>1227</v>
      </c>
      <c r="H1605" s="198">
        <v>0.5</v>
      </c>
      <c r="I1605" s="198" t="s">
        <v>1227</v>
      </c>
      <c r="J1605" s="198">
        <v>11</v>
      </c>
      <c r="K1605" s="198" t="s">
        <v>1227</v>
      </c>
      <c r="L1605" s="198">
        <v>0.9</v>
      </c>
      <c r="M1605" s="199" t="s">
        <v>1208</v>
      </c>
      <c r="N1605" s="199">
        <f>L1605*J1605*H1605*F1605</f>
        <v>4.95</v>
      </c>
      <c r="O1605" s="155"/>
      <c r="P1605" s="193"/>
      <c r="Q1605" s="200"/>
      <c r="R1605" s="194"/>
      <c r="T1605" s="190"/>
      <c r="U1605" s="191"/>
    </row>
    <row r="1606" spans="1:21">
      <c r="A1606" s="192"/>
      <c r="B1606" s="215" t="s">
        <v>1315</v>
      </c>
      <c r="C1606" s="196"/>
      <c r="D1606" s="197"/>
      <c r="E1606" s="198"/>
      <c r="F1606" s="199">
        <v>1</v>
      </c>
      <c r="G1606" s="198" t="s">
        <v>1227</v>
      </c>
      <c r="H1606" s="198">
        <v>0.6</v>
      </c>
      <c r="I1606" s="198" t="s">
        <v>1227</v>
      </c>
      <c r="J1606" s="198">
        <v>0.6</v>
      </c>
      <c r="K1606" s="198" t="s">
        <v>1227</v>
      </c>
      <c r="L1606" s="198">
        <v>0.3</v>
      </c>
      <c r="M1606" s="199" t="s">
        <v>1208</v>
      </c>
      <c r="N1606" s="199">
        <f>F1606*H1606*J1606*L1606</f>
        <v>0.108</v>
      </c>
      <c r="O1606" s="155"/>
      <c r="P1606" s="193"/>
      <c r="Q1606" s="200"/>
      <c r="R1606" s="194"/>
      <c r="T1606" s="190"/>
      <c r="U1606" s="191"/>
    </row>
    <row r="1607" spans="1:21">
      <c r="A1607" s="192"/>
      <c r="B1607" s="215" t="s">
        <v>1316</v>
      </c>
      <c r="C1607" s="196"/>
      <c r="D1607" s="197"/>
      <c r="E1607" s="198"/>
      <c r="F1607" s="199">
        <v>1</v>
      </c>
      <c r="G1607" s="198" t="s">
        <v>1227</v>
      </c>
      <c r="H1607" s="198">
        <v>0.6</v>
      </c>
      <c r="I1607" s="198" t="s">
        <v>1227</v>
      </c>
      <c r="J1607" s="198">
        <v>9.6999999999999993</v>
      </c>
      <c r="K1607" s="198" t="s">
        <v>1227</v>
      </c>
      <c r="L1607" s="198">
        <v>0.7</v>
      </c>
      <c r="M1607" s="199" t="s">
        <v>1208</v>
      </c>
      <c r="N1607" s="199">
        <f>L1607*J1607*H1607*F1607</f>
        <v>4.073999999999999</v>
      </c>
      <c r="O1607" s="155"/>
      <c r="P1607" s="193"/>
      <c r="Q1607" s="200"/>
      <c r="R1607" s="194"/>
      <c r="T1607" s="190"/>
      <c r="U1607" s="191"/>
    </row>
    <row r="1608" spans="1:21">
      <c r="A1608" s="192"/>
      <c r="B1608" s="215" t="s">
        <v>1218</v>
      </c>
      <c r="C1608" s="196"/>
      <c r="D1608" s="197"/>
      <c r="E1608" s="198"/>
      <c r="F1608" s="199">
        <v>1</v>
      </c>
      <c r="G1608" s="198" t="s">
        <v>1227</v>
      </c>
      <c r="H1608" s="198">
        <v>0.3</v>
      </c>
      <c r="I1608" s="198" t="s">
        <v>1255</v>
      </c>
      <c r="J1608" s="198">
        <v>60</v>
      </c>
      <c r="K1608" s="198" t="s">
        <v>1227</v>
      </c>
      <c r="L1608" s="198">
        <v>0.4</v>
      </c>
      <c r="M1608" s="199" t="s">
        <v>1208</v>
      </c>
      <c r="N1608" s="199">
        <f>L1608*J1608*H1608*F1608</f>
        <v>7.1999999999999993</v>
      </c>
      <c r="O1608" s="155"/>
      <c r="P1608" s="193"/>
      <c r="Q1608" s="200"/>
      <c r="R1608" s="194"/>
      <c r="T1608" s="190"/>
      <c r="U1608" s="191"/>
    </row>
    <row r="1609" spans="1:21">
      <c r="A1609" s="192"/>
      <c r="B1609" s="195"/>
      <c r="C1609" s="196"/>
      <c r="D1609" s="197"/>
      <c r="E1609" s="198"/>
      <c r="F1609" s="197"/>
      <c r="G1609" s="198"/>
      <c r="H1609" s="197"/>
      <c r="I1609" s="198"/>
      <c r="J1609" s="197"/>
      <c r="K1609" s="198"/>
      <c r="L1609" s="199"/>
      <c r="M1609" s="199"/>
      <c r="N1609" s="201"/>
      <c r="O1609" s="202"/>
      <c r="P1609" s="193"/>
      <c r="Q1609" s="194"/>
      <c r="R1609" s="194"/>
      <c r="T1609" s="190"/>
      <c r="U1609" s="191"/>
    </row>
    <row r="1610" spans="1:21">
      <c r="A1610" s="192"/>
      <c r="B1610" s="195"/>
      <c r="C1610" s="196"/>
      <c r="D1610" s="197"/>
      <c r="E1610" s="198"/>
      <c r="F1610" s="197"/>
      <c r="G1610" s="198"/>
      <c r="H1610" s="197"/>
      <c r="I1610" s="198"/>
      <c r="J1610" s="197"/>
      <c r="K1610" s="198"/>
      <c r="L1610" s="199" t="s">
        <v>1140</v>
      </c>
      <c r="M1610" s="199" t="s">
        <v>1208</v>
      </c>
      <c r="N1610" s="199">
        <f>SUM(N1601:N1609)</f>
        <v>23.127999999999997</v>
      </c>
      <c r="O1610" s="155" t="e">
        <f>P1598</f>
        <v>#REF!</v>
      </c>
      <c r="P1610" s="193"/>
      <c r="Q1610" s="200"/>
      <c r="R1610" s="194"/>
      <c r="T1610" s="190"/>
      <c r="U1610" s="191"/>
    </row>
    <row r="1611" spans="1:21">
      <c r="A1611" s="192"/>
      <c r="B1611" s="195"/>
      <c r="C1611" s="196"/>
      <c r="D1611" s="197"/>
      <c r="E1611" s="198"/>
      <c r="F1611" s="197"/>
      <c r="G1611" s="198"/>
      <c r="H1611" s="197"/>
      <c r="I1611" s="198"/>
      <c r="J1611" s="197"/>
      <c r="K1611" s="198"/>
      <c r="L1611" s="199"/>
      <c r="M1611" s="199"/>
      <c r="N1611" s="199"/>
      <c r="O1611" s="155"/>
      <c r="P1611" s="252"/>
      <c r="Q1611" s="200"/>
      <c r="R1611" s="194"/>
      <c r="T1611" s="190"/>
      <c r="U1611" s="191"/>
    </row>
    <row r="1612" spans="1:21">
      <c r="A1612" s="192"/>
      <c r="B1612" s="1277" t="s">
        <v>1209</v>
      </c>
      <c r="C1612" s="1277"/>
      <c r="D1612" s="1277"/>
      <c r="E1612" s="1277"/>
      <c r="F1612" s="1277"/>
      <c r="G1612" s="1277"/>
      <c r="H1612" s="1277"/>
      <c r="I1612" s="1277"/>
      <c r="J1612" s="1277"/>
      <c r="K1612" s="1277"/>
      <c r="L1612" s="1277"/>
      <c r="M1612" s="1277"/>
      <c r="N1612" s="1277"/>
      <c r="O1612" s="1277"/>
      <c r="P1612" s="1277"/>
      <c r="Q1612" s="203">
        <v>0</v>
      </c>
      <c r="R1612" s="204">
        <f>Q1612</f>
        <v>0</v>
      </c>
      <c r="T1612" s="1278"/>
      <c r="U1612" s="1279"/>
    </row>
    <row r="1613" spans="1:21">
      <c r="A1613" s="206"/>
      <c r="B1613" s="1277" t="e">
        <f>med</f>
        <v>#NAME?</v>
      </c>
      <c r="C1613" s="1277"/>
      <c r="D1613" s="1277"/>
      <c r="E1613" s="1277"/>
      <c r="F1613" s="1277"/>
      <c r="G1613" s="1277"/>
      <c r="H1613" s="1277"/>
      <c r="I1613" s="1277"/>
      <c r="J1613" s="1277"/>
      <c r="K1613" s="1277"/>
      <c r="L1613" s="1277"/>
      <c r="M1613" s="1277"/>
      <c r="N1613" s="1277"/>
      <c r="O1613" s="1277"/>
      <c r="P1613" s="205">
        <f>N1610</f>
        <v>23.127999999999997</v>
      </c>
      <c r="Q1613" s="203">
        <f>P1613</f>
        <v>23.127999999999997</v>
      </c>
      <c r="R1613" s="204">
        <f>Q1613+R1612</f>
        <v>23.127999999999997</v>
      </c>
      <c r="T1613" s="1278"/>
      <c r="U1613" s="1279"/>
    </row>
    <row r="1614" spans="1:21" ht="18" customHeight="1">
      <c r="A1614" s="187" t="e">
        <f>#REF!</f>
        <v>#REF!</v>
      </c>
      <c r="B1614" s="1275" t="e">
        <f>IF(A1614="","",VLOOKUP($A1614,'[2]FDE-JUNHO-08'!$A$6:$D$3537,2,FALSE()))</f>
        <v>#REF!</v>
      </c>
      <c r="C1614" s="1275"/>
      <c r="D1614" s="1275"/>
      <c r="E1614" s="1275"/>
      <c r="F1614" s="1275"/>
      <c r="G1614" s="1275"/>
      <c r="H1614" s="1275"/>
      <c r="I1614" s="1275"/>
      <c r="J1614" s="1275"/>
      <c r="K1614" s="1275"/>
      <c r="L1614" s="1275"/>
      <c r="M1614" s="1275"/>
      <c r="N1614" s="1275"/>
      <c r="O1614" s="1275"/>
      <c r="P1614" s="188" t="e">
        <f>IF(A1614="","",VLOOKUP($A1614,'[2]FDE-JUNHO-08'!$A$6:$D$3537,3,FALSE()))</f>
        <v>#REF!</v>
      </c>
      <c r="Q1614" s="189" t="s">
        <v>1205</v>
      </c>
      <c r="R1614" s="189" t="s">
        <v>1206</v>
      </c>
      <c r="T1614" s="190"/>
      <c r="U1614" s="191"/>
    </row>
    <row r="1615" spans="1:21">
      <c r="A1615" s="192"/>
      <c r="B1615" s="212"/>
      <c r="C1615" s="212"/>
      <c r="D1615" s="212"/>
      <c r="E1615" s="212"/>
      <c r="F1615" s="199"/>
      <c r="G1615" s="198"/>
      <c r="H1615" s="198"/>
      <c r="I1615" s="198"/>
      <c r="J1615" s="198"/>
      <c r="K1615" s="198"/>
      <c r="L1615" s="198"/>
      <c r="M1615" s="212"/>
      <c r="N1615" s="212"/>
      <c r="O1615" s="212"/>
      <c r="P1615" s="193"/>
      <c r="Q1615" s="194"/>
      <c r="R1615" s="194"/>
      <c r="T1615" s="190"/>
      <c r="U1615" s="191"/>
    </row>
    <row r="1616" spans="1:21">
      <c r="A1616" s="192"/>
      <c r="B1616" s="195" t="s">
        <v>1370</v>
      </c>
      <c r="C1616" s="196"/>
      <c r="D1616" s="197"/>
      <c r="E1616" s="198"/>
      <c r="F1616" s="197"/>
      <c r="G1616" s="198"/>
      <c r="H1616" s="197"/>
      <c r="I1616" s="198"/>
      <c r="J1616" s="197"/>
      <c r="K1616" s="198"/>
      <c r="L1616" s="199"/>
      <c r="M1616" s="199" t="s">
        <v>1208</v>
      </c>
      <c r="N1616" s="199">
        <v>2647</v>
      </c>
      <c r="O1616" s="155"/>
      <c r="P1616" s="193"/>
      <c r="Q1616" s="200"/>
      <c r="R1616" s="194"/>
      <c r="T1616" s="190"/>
      <c r="U1616" s="191"/>
    </row>
    <row r="1617" spans="1:21">
      <c r="A1617" s="192"/>
      <c r="B1617" s="195"/>
      <c r="C1617" s="196"/>
      <c r="D1617" s="197"/>
      <c r="E1617" s="198"/>
      <c r="F1617" s="197"/>
      <c r="G1617" s="198"/>
      <c r="H1617" s="197"/>
      <c r="I1617" s="198"/>
      <c r="J1617" s="197"/>
      <c r="K1617" s="198"/>
      <c r="L1617" s="199"/>
      <c r="M1617" s="199"/>
      <c r="N1617" s="199"/>
      <c r="O1617" s="155"/>
      <c r="P1617" s="193"/>
      <c r="Q1617" s="200"/>
      <c r="R1617" s="194"/>
      <c r="T1617" s="190"/>
      <c r="U1617" s="191"/>
    </row>
    <row r="1618" spans="1:21">
      <c r="A1618" s="192"/>
      <c r="B1618" s="195"/>
      <c r="C1618" s="196"/>
      <c r="D1618" s="197"/>
      <c r="E1618" s="198"/>
      <c r="F1618" s="197"/>
      <c r="G1618" s="198"/>
      <c r="H1618" s="197"/>
      <c r="I1618" s="198"/>
      <c r="J1618" s="197"/>
      <c r="K1618" s="198"/>
      <c r="L1618" s="199"/>
      <c r="M1618" s="199"/>
      <c r="N1618" s="201"/>
      <c r="O1618" s="202"/>
      <c r="P1618" s="193"/>
      <c r="Q1618" s="194"/>
      <c r="R1618" s="194"/>
      <c r="T1618" s="190"/>
      <c r="U1618" s="191"/>
    </row>
    <row r="1619" spans="1:21">
      <c r="A1619" s="192"/>
      <c r="B1619" s="195"/>
      <c r="C1619" s="196"/>
      <c r="D1619" s="197"/>
      <c r="E1619" s="198"/>
      <c r="F1619" s="197"/>
      <c r="G1619" s="198"/>
      <c r="H1619" s="197"/>
      <c r="I1619" s="198"/>
      <c r="J1619" s="197"/>
      <c r="K1619" s="198"/>
      <c r="L1619" s="199" t="s">
        <v>1140</v>
      </c>
      <c r="M1619" s="199" t="s">
        <v>1208</v>
      </c>
      <c r="N1619" s="199">
        <f>SUM(N1616:N1618)</f>
        <v>2647</v>
      </c>
      <c r="O1619" s="155" t="e">
        <f>P1614</f>
        <v>#REF!</v>
      </c>
      <c r="P1619" s="193"/>
      <c r="Q1619" s="200"/>
      <c r="R1619" s="194"/>
      <c r="T1619" s="190"/>
      <c r="U1619" s="191"/>
    </row>
    <row r="1620" spans="1:21">
      <c r="A1620" s="192"/>
      <c r="B1620" s="195"/>
      <c r="C1620" s="196"/>
      <c r="D1620" s="197"/>
      <c r="E1620" s="198"/>
      <c r="F1620" s="197"/>
      <c r="G1620" s="198"/>
      <c r="H1620" s="197"/>
      <c r="I1620" s="198"/>
      <c r="J1620" s="197"/>
      <c r="K1620" s="198"/>
      <c r="L1620" s="199"/>
      <c r="M1620" s="199"/>
      <c r="N1620" s="199"/>
      <c r="O1620" s="155"/>
      <c r="P1620" s="252"/>
      <c r="Q1620" s="200"/>
      <c r="R1620" s="194"/>
      <c r="T1620" s="190"/>
      <c r="U1620" s="191"/>
    </row>
    <row r="1621" spans="1:21">
      <c r="A1621" s="192"/>
      <c r="B1621" s="1277" t="s">
        <v>1209</v>
      </c>
      <c r="C1621" s="1277"/>
      <c r="D1621" s="1277"/>
      <c r="E1621" s="1277"/>
      <c r="F1621" s="1277"/>
      <c r="G1621" s="1277"/>
      <c r="H1621" s="1277"/>
      <c r="I1621" s="1277"/>
      <c r="J1621" s="1277"/>
      <c r="K1621" s="1277"/>
      <c r="L1621" s="1277"/>
      <c r="M1621" s="1277"/>
      <c r="N1621" s="1277"/>
      <c r="O1621" s="1277"/>
      <c r="P1621" s="1277"/>
      <c r="Q1621" s="203">
        <v>0</v>
      </c>
      <c r="R1621" s="204">
        <f>Q1621</f>
        <v>0</v>
      </c>
      <c r="T1621" s="1278"/>
      <c r="U1621" s="1279"/>
    </row>
    <row r="1622" spans="1:21">
      <c r="A1622" s="192"/>
      <c r="B1622" s="1277" t="e">
        <f>med</f>
        <v>#NAME?</v>
      </c>
      <c r="C1622" s="1277"/>
      <c r="D1622" s="1277"/>
      <c r="E1622" s="1277"/>
      <c r="F1622" s="1277"/>
      <c r="G1622" s="1277"/>
      <c r="H1622" s="1277"/>
      <c r="I1622" s="1277"/>
      <c r="J1622" s="1277"/>
      <c r="K1622" s="1277"/>
      <c r="L1622" s="1277"/>
      <c r="M1622" s="1277"/>
      <c r="N1622" s="1277"/>
      <c r="O1622" s="1277"/>
      <c r="P1622" s="205">
        <f>N1619</f>
        <v>2647</v>
      </c>
      <c r="Q1622" s="203">
        <f>P1622</f>
        <v>2647</v>
      </c>
      <c r="R1622" s="204">
        <f>Q1622+R1621</f>
        <v>2647</v>
      </c>
      <c r="T1622" s="1278"/>
      <c r="U1622" s="1279"/>
    </row>
    <row r="1623" spans="1:21" ht="18" customHeight="1">
      <c r="A1623" s="187" t="e">
        <f>#REF!</f>
        <v>#REF!</v>
      </c>
      <c r="B1623" s="1275" t="e">
        <f>IF(A1623="","",VLOOKUP($A1623,'[2]FDE-JUNHO-08'!$A$6:$D$3537,2,FALSE()))</f>
        <v>#REF!</v>
      </c>
      <c r="C1623" s="1275"/>
      <c r="D1623" s="1275"/>
      <c r="E1623" s="1275"/>
      <c r="F1623" s="1275"/>
      <c r="G1623" s="1275"/>
      <c r="H1623" s="1275"/>
      <c r="I1623" s="1275"/>
      <c r="J1623" s="1275"/>
      <c r="K1623" s="1275"/>
      <c r="L1623" s="1275"/>
      <c r="M1623" s="1275"/>
      <c r="N1623" s="1275"/>
      <c r="O1623" s="1275"/>
      <c r="P1623" s="188" t="e">
        <f>IF(A1623="","",VLOOKUP($A1623,'[2]FDE-JUNHO-08'!$A$6:$D$3537,3,FALSE()))</f>
        <v>#REF!</v>
      </c>
      <c r="Q1623" s="189" t="s">
        <v>1205</v>
      </c>
      <c r="R1623" s="189" t="s">
        <v>1206</v>
      </c>
      <c r="T1623" s="190"/>
      <c r="U1623" s="191"/>
    </row>
    <row r="1624" spans="1:21" ht="13.5" customHeight="1">
      <c r="A1624" s="192"/>
      <c r="B1624" s="1281"/>
      <c r="C1624" s="1281"/>
      <c r="D1624" s="1281"/>
      <c r="E1624" s="1281"/>
      <c r="F1624" s="1281"/>
      <c r="G1624" s="1281"/>
      <c r="H1624" s="1281"/>
      <c r="I1624" s="1281"/>
      <c r="J1624" s="1281"/>
      <c r="K1624" s="1281"/>
      <c r="L1624" s="1281"/>
      <c r="M1624" s="1281"/>
      <c r="N1624" s="1281"/>
      <c r="O1624" s="1281"/>
      <c r="P1624" s="193"/>
      <c r="Q1624" s="194"/>
      <c r="R1624" s="194"/>
      <c r="T1624" s="190"/>
      <c r="U1624" s="191"/>
    </row>
    <row r="1625" spans="1:21" ht="13.5" customHeight="1">
      <c r="A1625" s="192"/>
      <c r="B1625" s="212"/>
      <c r="C1625" s="212"/>
      <c r="D1625" s="212"/>
      <c r="E1625" s="212"/>
      <c r="F1625" s="212"/>
      <c r="G1625" s="212"/>
      <c r="H1625" s="212"/>
      <c r="I1625" s="212"/>
      <c r="J1625" s="212"/>
      <c r="K1625" s="212"/>
      <c r="L1625" s="212"/>
      <c r="M1625" s="212"/>
      <c r="N1625" s="212"/>
      <c r="O1625" s="212"/>
      <c r="P1625" s="193"/>
      <c r="Q1625" s="200"/>
      <c r="R1625" s="194"/>
      <c r="T1625" s="190"/>
      <c r="U1625" s="191"/>
    </row>
    <row r="1626" spans="1:21">
      <c r="A1626" s="192"/>
      <c r="B1626" s="195" t="s">
        <v>1250</v>
      </c>
      <c r="C1626" s="196"/>
      <c r="D1626" s="197"/>
      <c r="E1626" s="198"/>
      <c r="F1626" s="198" t="s">
        <v>1251</v>
      </c>
      <c r="G1626" s="198"/>
      <c r="H1626" s="198" t="s">
        <v>1344</v>
      </c>
      <c r="I1626" s="198"/>
      <c r="J1626" s="198" t="s">
        <v>1252</v>
      </c>
      <c r="K1626" s="198"/>
      <c r="L1626" s="198" t="s">
        <v>1253</v>
      </c>
      <c r="M1626" s="199"/>
      <c r="N1626" s="199"/>
      <c r="O1626" s="155"/>
      <c r="P1626" s="193"/>
      <c r="Q1626" s="200"/>
      <c r="R1626" s="194"/>
      <c r="T1626" s="190"/>
      <c r="U1626" s="191"/>
    </row>
    <row r="1627" spans="1:21">
      <c r="A1627" s="192"/>
      <c r="B1627" s="195" t="s">
        <v>1254</v>
      </c>
      <c r="C1627" s="196"/>
      <c r="D1627" s="197"/>
      <c r="E1627" s="198"/>
      <c r="F1627" s="198">
        <v>1</v>
      </c>
      <c r="G1627" s="198" t="s">
        <v>1255</v>
      </c>
      <c r="H1627" s="198">
        <v>2</v>
      </c>
      <c r="I1627" s="198" t="s">
        <v>1255</v>
      </c>
      <c r="J1627" s="198">
        <v>1.35</v>
      </c>
      <c r="K1627" s="198" t="s">
        <v>1255</v>
      </c>
      <c r="L1627" s="198">
        <v>1.3</v>
      </c>
      <c r="M1627" s="199" t="s">
        <v>1208</v>
      </c>
      <c r="N1627" s="199">
        <f t="shared" ref="N1627:N1635" si="10">L1627*J1627*H1627*F1627</f>
        <v>3.5100000000000002</v>
      </c>
      <c r="O1627" s="155"/>
      <c r="P1627" s="193"/>
      <c r="Q1627" s="200"/>
      <c r="R1627" s="194"/>
      <c r="T1627" s="190"/>
      <c r="U1627" s="191"/>
    </row>
    <row r="1628" spans="1:21">
      <c r="A1628" s="192"/>
      <c r="B1628" s="195" t="s">
        <v>1256</v>
      </c>
      <c r="C1628" s="196"/>
      <c r="D1628" s="197"/>
      <c r="E1628" s="198"/>
      <c r="F1628" s="198">
        <v>1</v>
      </c>
      <c r="G1628" s="198" t="s">
        <v>1255</v>
      </c>
      <c r="H1628" s="198">
        <v>2</v>
      </c>
      <c r="I1628" s="198" t="s">
        <v>1255</v>
      </c>
      <c r="J1628" s="198">
        <v>0.65</v>
      </c>
      <c r="K1628" s="198" t="s">
        <v>1255</v>
      </c>
      <c r="L1628" s="198">
        <v>1.3</v>
      </c>
      <c r="M1628" s="199" t="s">
        <v>1208</v>
      </c>
      <c r="N1628" s="199">
        <f t="shared" si="10"/>
        <v>1.6900000000000002</v>
      </c>
      <c r="O1628" s="155"/>
      <c r="P1628" s="193"/>
      <c r="Q1628" s="200"/>
      <c r="R1628" s="194"/>
      <c r="T1628" s="190"/>
      <c r="U1628" s="191"/>
    </row>
    <row r="1629" spans="1:21">
      <c r="A1629" s="192"/>
      <c r="B1629" s="195" t="s">
        <v>1257</v>
      </c>
      <c r="C1629" s="196"/>
      <c r="D1629" s="197"/>
      <c r="E1629" s="198"/>
      <c r="F1629" s="198">
        <v>1</v>
      </c>
      <c r="G1629" s="198" t="s">
        <v>1255</v>
      </c>
      <c r="H1629" s="198">
        <v>2</v>
      </c>
      <c r="I1629" s="198" t="s">
        <v>1255</v>
      </c>
      <c r="J1629" s="198">
        <v>0.65</v>
      </c>
      <c r="K1629" s="198" t="s">
        <v>1255</v>
      </c>
      <c r="L1629" s="198">
        <v>1.1499999999999999</v>
      </c>
      <c r="M1629" s="199" t="s">
        <v>1208</v>
      </c>
      <c r="N1629" s="199">
        <f t="shared" si="10"/>
        <v>1.4949999999999999</v>
      </c>
      <c r="O1629" s="155"/>
      <c r="P1629" s="193"/>
      <c r="Q1629" s="200"/>
      <c r="R1629" s="194"/>
      <c r="T1629" s="190"/>
      <c r="U1629" s="191"/>
    </row>
    <row r="1630" spans="1:21">
      <c r="A1630" s="192"/>
      <c r="B1630" s="195" t="s">
        <v>1258</v>
      </c>
      <c r="C1630" s="196"/>
      <c r="D1630" s="197"/>
      <c r="E1630" s="198"/>
      <c r="F1630" s="198">
        <v>6</v>
      </c>
      <c r="G1630" s="198" t="s">
        <v>1255</v>
      </c>
      <c r="H1630" s="198">
        <v>2</v>
      </c>
      <c r="I1630" s="198" t="s">
        <v>1255</v>
      </c>
      <c r="J1630" s="198">
        <v>1.85</v>
      </c>
      <c r="K1630" s="198" t="s">
        <v>1255</v>
      </c>
      <c r="L1630" s="198">
        <v>1.3</v>
      </c>
      <c r="M1630" s="199" t="s">
        <v>1208</v>
      </c>
      <c r="N1630" s="199">
        <f t="shared" si="10"/>
        <v>28.860000000000003</v>
      </c>
      <c r="O1630" s="155"/>
      <c r="P1630" s="193"/>
      <c r="Q1630" s="200"/>
      <c r="R1630" s="194"/>
      <c r="T1630" s="190"/>
      <c r="U1630" s="191"/>
    </row>
    <row r="1631" spans="1:21">
      <c r="A1631" s="192"/>
      <c r="B1631" s="195" t="s">
        <v>1259</v>
      </c>
      <c r="C1631" s="196"/>
      <c r="D1631" s="197"/>
      <c r="E1631" s="198"/>
      <c r="F1631" s="198">
        <v>2</v>
      </c>
      <c r="G1631" s="198" t="s">
        <v>1255</v>
      </c>
      <c r="H1631" s="198">
        <v>2</v>
      </c>
      <c r="I1631" s="198" t="s">
        <v>1255</v>
      </c>
      <c r="J1631" s="198">
        <v>1.3</v>
      </c>
      <c r="K1631" s="198" t="s">
        <v>1255</v>
      </c>
      <c r="L1631" s="198">
        <v>1.3</v>
      </c>
      <c r="M1631" s="199" t="s">
        <v>1208</v>
      </c>
      <c r="N1631" s="199">
        <f t="shared" si="10"/>
        <v>6.7600000000000007</v>
      </c>
      <c r="O1631" s="155"/>
      <c r="P1631" s="193"/>
      <c r="Q1631" s="200"/>
      <c r="R1631" s="194"/>
      <c r="T1631" s="190"/>
      <c r="U1631" s="191"/>
    </row>
    <row r="1632" spans="1:21">
      <c r="A1632" s="192"/>
      <c r="B1632" s="195" t="s">
        <v>1260</v>
      </c>
      <c r="C1632" s="196"/>
      <c r="D1632" s="197"/>
      <c r="E1632" s="198"/>
      <c r="F1632" s="198">
        <v>1</v>
      </c>
      <c r="G1632" s="198" t="s">
        <v>1255</v>
      </c>
      <c r="H1632" s="198">
        <v>2</v>
      </c>
      <c r="I1632" s="198" t="s">
        <v>1255</v>
      </c>
      <c r="J1632" s="198">
        <v>1.3</v>
      </c>
      <c r="K1632" s="198" t="s">
        <v>1255</v>
      </c>
      <c r="L1632" s="198">
        <v>1.3</v>
      </c>
      <c r="M1632" s="199" t="s">
        <v>1208</v>
      </c>
      <c r="N1632" s="199">
        <f t="shared" si="10"/>
        <v>3.3800000000000003</v>
      </c>
      <c r="O1632" s="155"/>
      <c r="P1632" s="193"/>
      <c r="Q1632" s="200"/>
      <c r="R1632" s="194"/>
      <c r="T1632" s="190"/>
      <c r="U1632" s="191"/>
    </row>
    <row r="1633" spans="1:21">
      <c r="A1633" s="192"/>
      <c r="B1633" s="195" t="s">
        <v>1261</v>
      </c>
      <c r="C1633" s="196"/>
      <c r="D1633" s="197"/>
      <c r="E1633" s="198"/>
      <c r="F1633" s="198">
        <v>1</v>
      </c>
      <c r="G1633" s="198" t="s">
        <v>1255</v>
      </c>
      <c r="H1633" s="198">
        <v>2</v>
      </c>
      <c r="I1633" s="198" t="s">
        <v>1255</v>
      </c>
      <c r="J1633" s="198">
        <v>1.85</v>
      </c>
      <c r="K1633" s="198" t="s">
        <v>1255</v>
      </c>
      <c r="L1633" s="198">
        <v>1.3</v>
      </c>
      <c r="M1633" s="199" t="s">
        <v>1208</v>
      </c>
      <c r="N1633" s="199">
        <f t="shared" si="10"/>
        <v>4.8100000000000005</v>
      </c>
      <c r="O1633" s="155"/>
      <c r="P1633" s="193"/>
      <c r="Q1633" s="194"/>
      <c r="R1633" s="194"/>
      <c r="T1633" s="190"/>
      <c r="U1633" s="191"/>
    </row>
    <row r="1634" spans="1:21">
      <c r="A1634" s="192"/>
      <c r="B1634" s="195" t="s">
        <v>1261</v>
      </c>
      <c r="C1634" s="196"/>
      <c r="D1634" s="197"/>
      <c r="E1634" s="198"/>
      <c r="F1634" s="198">
        <v>1</v>
      </c>
      <c r="G1634" s="198" t="s">
        <v>1255</v>
      </c>
      <c r="H1634" s="198">
        <v>2</v>
      </c>
      <c r="I1634" s="198" t="s">
        <v>1255</v>
      </c>
      <c r="J1634" s="198">
        <v>0.75</v>
      </c>
      <c r="K1634" s="198" t="s">
        <v>1255</v>
      </c>
      <c r="L1634" s="198">
        <v>1.3</v>
      </c>
      <c r="M1634" s="199" t="s">
        <v>1208</v>
      </c>
      <c r="N1634" s="199">
        <f t="shared" si="10"/>
        <v>1.9500000000000002</v>
      </c>
      <c r="O1634" s="155"/>
      <c r="P1634" s="193"/>
      <c r="Q1634" s="200"/>
      <c r="R1634" s="194"/>
      <c r="T1634" s="190"/>
      <c r="U1634" s="191"/>
    </row>
    <row r="1635" spans="1:21">
      <c r="A1635" s="192"/>
      <c r="B1635" s="195" t="s">
        <v>1262</v>
      </c>
      <c r="C1635" s="196"/>
      <c r="D1635" s="197"/>
      <c r="E1635" s="198"/>
      <c r="F1635" s="198">
        <v>6</v>
      </c>
      <c r="G1635" s="198" t="s">
        <v>1255</v>
      </c>
      <c r="H1635" s="198">
        <v>2</v>
      </c>
      <c r="I1635" s="198" t="s">
        <v>1255</v>
      </c>
      <c r="J1635" s="198">
        <v>0.7</v>
      </c>
      <c r="K1635" s="198" t="s">
        <v>1255</v>
      </c>
      <c r="L1635" s="198">
        <v>0.7</v>
      </c>
      <c r="M1635" s="199" t="s">
        <v>1208</v>
      </c>
      <c r="N1635" s="199">
        <f t="shared" si="10"/>
        <v>5.879999999999999</v>
      </c>
      <c r="O1635" s="155"/>
      <c r="P1635" s="193"/>
      <c r="Q1635" s="200"/>
      <c r="R1635" s="194"/>
      <c r="T1635" s="190"/>
      <c r="U1635" s="191"/>
    </row>
    <row r="1636" spans="1:21">
      <c r="A1636" s="192"/>
      <c r="B1636" s="195"/>
      <c r="C1636" s="196"/>
      <c r="D1636" s="197"/>
      <c r="E1636" s="198"/>
      <c r="F1636" s="198"/>
      <c r="G1636" s="198"/>
      <c r="H1636" s="198"/>
      <c r="I1636" s="198"/>
      <c r="J1636" s="198"/>
      <c r="K1636" s="198"/>
      <c r="L1636" s="198"/>
      <c r="M1636" s="199"/>
      <c r="N1636" s="199"/>
      <c r="O1636" s="155"/>
      <c r="P1636" s="193"/>
      <c r="Q1636" s="200"/>
      <c r="R1636" s="194"/>
      <c r="T1636" s="190"/>
      <c r="U1636" s="191"/>
    </row>
    <row r="1637" spans="1:21">
      <c r="A1637" s="192"/>
      <c r="B1637" s="195" t="s">
        <v>1263</v>
      </c>
      <c r="C1637" s="196"/>
      <c r="D1637" s="197"/>
      <c r="E1637" s="198"/>
      <c r="F1637" s="198"/>
      <c r="G1637" s="198"/>
      <c r="H1637" s="198"/>
      <c r="I1637" s="198"/>
      <c r="J1637" s="198"/>
      <c r="K1637" s="198"/>
      <c r="L1637" s="198"/>
      <c r="M1637" s="199"/>
      <c r="N1637" s="199"/>
      <c r="O1637" s="155"/>
      <c r="P1637" s="193"/>
      <c r="Q1637" s="200"/>
      <c r="R1637" s="194"/>
      <c r="T1637" s="190"/>
      <c r="U1637" s="191"/>
    </row>
    <row r="1638" spans="1:21">
      <c r="A1638" s="192"/>
      <c r="B1638" s="195" t="s">
        <v>1264</v>
      </c>
      <c r="C1638" s="196"/>
      <c r="D1638" s="197"/>
      <c r="E1638" s="198"/>
      <c r="F1638" s="198">
        <v>1</v>
      </c>
      <c r="G1638" s="198" t="s">
        <v>1255</v>
      </c>
      <c r="H1638" s="198">
        <v>2</v>
      </c>
      <c r="I1638" s="198" t="s">
        <v>1255</v>
      </c>
      <c r="J1638" s="198">
        <v>4.8</v>
      </c>
      <c r="K1638" s="198" t="s">
        <v>1255</v>
      </c>
      <c r="L1638" s="198">
        <v>2.35</v>
      </c>
      <c r="M1638" s="199" t="s">
        <v>1208</v>
      </c>
      <c r="N1638" s="199">
        <f t="shared" ref="N1638:N1643" si="11">L1638*J1638*H1638*F1638</f>
        <v>22.56</v>
      </c>
      <c r="O1638" s="155"/>
      <c r="P1638" s="193"/>
      <c r="Q1638" s="200"/>
      <c r="R1638" s="194"/>
      <c r="T1638" s="190"/>
      <c r="U1638" s="191"/>
    </row>
    <row r="1639" spans="1:21">
      <c r="A1639" s="192"/>
      <c r="B1639" s="195" t="s">
        <v>1265</v>
      </c>
      <c r="C1639" s="196"/>
      <c r="D1639" s="197"/>
      <c r="E1639" s="198"/>
      <c r="F1639" s="198">
        <v>1</v>
      </c>
      <c r="G1639" s="198" t="s">
        <v>1255</v>
      </c>
      <c r="H1639" s="198">
        <v>2</v>
      </c>
      <c r="I1639" s="198" t="s">
        <v>1255</v>
      </c>
      <c r="J1639" s="198">
        <v>1</v>
      </c>
      <c r="K1639" s="198" t="s">
        <v>1255</v>
      </c>
      <c r="L1639" s="198">
        <v>1.8</v>
      </c>
      <c r="M1639" s="199" t="s">
        <v>1208</v>
      </c>
      <c r="N1639" s="199">
        <f t="shared" si="11"/>
        <v>3.6</v>
      </c>
      <c r="O1639" s="155"/>
      <c r="P1639" s="193"/>
      <c r="Q1639" s="200"/>
      <c r="R1639" s="194"/>
      <c r="T1639" s="190"/>
      <c r="U1639" s="191"/>
    </row>
    <row r="1640" spans="1:21">
      <c r="A1640" s="192"/>
      <c r="B1640" s="195" t="s">
        <v>1266</v>
      </c>
      <c r="C1640" s="196"/>
      <c r="D1640" s="197"/>
      <c r="E1640" s="198"/>
      <c r="F1640" s="198">
        <v>1</v>
      </c>
      <c r="G1640" s="198" t="s">
        <v>1255</v>
      </c>
      <c r="H1640" s="198">
        <v>2</v>
      </c>
      <c r="I1640" s="198" t="s">
        <v>1255</v>
      </c>
      <c r="J1640" s="198">
        <v>3</v>
      </c>
      <c r="K1640" s="198" t="s">
        <v>1255</v>
      </c>
      <c r="L1640" s="198">
        <v>1.5</v>
      </c>
      <c r="M1640" s="199" t="s">
        <v>1208</v>
      </c>
      <c r="N1640" s="199">
        <f t="shared" si="11"/>
        <v>9</v>
      </c>
      <c r="O1640" s="155"/>
      <c r="P1640" s="193"/>
      <c r="Q1640" s="200"/>
      <c r="R1640" s="194"/>
      <c r="T1640" s="190"/>
      <c r="U1640" s="191"/>
    </row>
    <row r="1641" spans="1:21">
      <c r="A1641" s="192"/>
      <c r="B1641" s="195" t="s">
        <v>1267</v>
      </c>
      <c r="C1641" s="196"/>
      <c r="D1641" s="197"/>
      <c r="E1641" s="198"/>
      <c r="F1641" s="198">
        <v>1</v>
      </c>
      <c r="G1641" s="198" t="s">
        <v>1255</v>
      </c>
      <c r="H1641" s="198">
        <v>2</v>
      </c>
      <c r="I1641" s="198" t="s">
        <v>1255</v>
      </c>
      <c r="J1641" s="198">
        <v>3</v>
      </c>
      <c r="K1641" s="198" t="s">
        <v>1255</v>
      </c>
      <c r="L1641" s="198">
        <v>1.8</v>
      </c>
      <c r="M1641" s="199" t="s">
        <v>1208</v>
      </c>
      <c r="N1641" s="199">
        <f t="shared" si="11"/>
        <v>10.8</v>
      </c>
      <c r="O1641" s="155"/>
      <c r="P1641" s="193"/>
      <c r="Q1641" s="200"/>
      <c r="R1641" s="194"/>
      <c r="T1641" s="190"/>
      <c r="U1641" s="191"/>
    </row>
    <row r="1642" spans="1:21">
      <c r="A1642" s="192"/>
      <c r="B1642" s="195" t="s">
        <v>1268</v>
      </c>
      <c r="C1642" s="196"/>
      <c r="D1642" s="197"/>
      <c r="E1642" s="198"/>
      <c r="F1642" s="198">
        <v>1</v>
      </c>
      <c r="G1642" s="198" t="s">
        <v>1255</v>
      </c>
      <c r="H1642" s="198">
        <v>1</v>
      </c>
      <c r="I1642" s="198" t="s">
        <v>1255</v>
      </c>
      <c r="J1642" s="198">
        <v>7.68</v>
      </c>
      <c r="K1642" s="198" t="s">
        <v>1255</v>
      </c>
      <c r="L1642" s="198">
        <v>7.68</v>
      </c>
      <c r="M1642" s="199" t="s">
        <v>1208</v>
      </c>
      <c r="N1642" s="199">
        <f t="shared" si="11"/>
        <v>58.982399999999998</v>
      </c>
      <c r="O1642" s="155"/>
      <c r="P1642" s="193"/>
      <c r="Q1642" s="200"/>
      <c r="R1642" s="194"/>
      <c r="T1642" s="190"/>
      <c r="U1642" s="191"/>
    </row>
    <row r="1643" spans="1:21">
      <c r="A1643" s="192"/>
      <c r="B1643" s="195" t="s">
        <v>1371</v>
      </c>
      <c r="C1643" s="196"/>
      <c r="D1643" s="197"/>
      <c r="E1643" s="198"/>
      <c r="F1643" s="198">
        <v>180</v>
      </c>
      <c r="G1643" s="198" t="s">
        <v>1255</v>
      </c>
      <c r="H1643" s="198">
        <v>1</v>
      </c>
      <c r="I1643" s="198" t="s">
        <v>1255</v>
      </c>
      <c r="J1643" s="198">
        <v>0.15</v>
      </c>
      <c r="K1643" s="198" t="s">
        <v>1255</v>
      </c>
      <c r="L1643" s="198">
        <v>1.65</v>
      </c>
      <c r="M1643" s="199" t="s">
        <v>1208</v>
      </c>
      <c r="N1643" s="199">
        <f t="shared" si="11"/>
        <v>44.55</v>
      </c>
      <c r="O1643" s="155"/>
      <c r="P1643" s="193"/>
      <c r="Q1643" s="200"/>
      <c r="R1643" s="194"/>
      <c r="T1643" s="190"/>
      <c r="U1643" s="191"/>
    </row>
    <row r="1644" spans="1:21">
      <c r="A1644" s="192"/>
      <c r="B1644" s="195"/>
      <c r="C1644" s="196"/>
      <c r="D1644" s="197"/>
      <c r="E1644" s="198"/>
      <c r="F1644" s="198"/>
      <c r="G1644" s="198"/>
      <c r="H1644" s="198"/>
      <c r="I1644" s="198"/>
      <c r="J1644" s="198"/>
      <c r="K1644" s="198"/>
      <c r="L1644" s="253"/>
      <c r="M1644" s="201"/>
      <c r="N1644" s="201"/>
      <c r="O1644" s="202"/>
      <c r="P1644" s="193"/>
      <c r="Q1644" s="200"/>
      <c r="R1644" s="194"/>
      <c r="T1644" s="190"/>
      <c r="U1644" s="191"/>
    </row>
    <row r="1645" spans="1:21">
      <c r="A1645" s="192"/>
      <c r="B1645" s="195"/>
      <c r="C1645" s="196"/>
      <c r="D1645" s="197"/>
      <c r="E1645" s="198"/>
      <c r="F1645" s="197"/>
      <c r="G1645" s="198"/>
      <c r="H1645" s="197"/>
      <c r="I1645" s="198"/>
      <c r="J1645" s="197"/>
      <c r="K1645" s="198"/>
      <c r="L1645" s="199" t="s">
        <v>1140</v>
      </c>
      <c r="M1645" s="199" t="s">
        <v>1208</v>
      </c>
      <c r="N1645" s="199">
        <f>SUM(N1626:N1643)</f>
        <v>207.82740000000001</v>
      </c>
      <c r="O1645" s="155" t="e">
        <f>P1623</f>
        <v>#REF!</v>
      </c>
      <c r="P1645" s="193"/>
      <c r="Q1645" s="200"/>
      <c r="R1645" s="194"/>
      <c r="T1645" s="190"/>
      <c r="U1645" s="191"/>
    </row>
    <row r="1646" spans="1:21">
      <c r="A1646" s="192"/>
      <c r="B1646" s="195"/>
      <c r="C1646" s="196"/>
      <c r="D1646" s="197"/>
      <c r="E1646" s="198"/>
      <c r="F1646" s="198"/>
      <c r="G1646" s="198"/>
      <c r="H1646" s="198"/>
      <c r="I1646" s="198"/>
      <c r="J1646" s="198"/>
      <c r="K1646" s="198"/>
      <c r="L1646" s="198"/>
      <c r="M1646" s="199"/>
      <c r="N1646" s="199"/>
      <c r="O1646" s="217"/>
      <c r="P1646" s="193"/>
      <c r="Q1646" s="200"/>
      <c r="R1646" s="194"/>
      <c r="T1646" s="190"/>
      <c r="U1646" s="191"/>
    </row>
    <row r="1647" spans="1:21">
      <c r="A1647" s="192"/>
      <c r="B1647" s="1277" t="s">
        <v>1209</v>
      </c>
      <c r="C1647" s="1277"/>
      <c r="D1647" s="1277"/>
      <c r="E1647" s="1277"/>
      <c r="F1647" s="1277"/>
      <c r="G1647" s="1277"/>
      <c r="H1647" s="1277"/>
      <c r="I1647" s="1277"/>
      <c r="J1647" s="1277"/>
      <c r="K1647" s="1277"/>
      <c r="L1647" s="1277"/>
      <c r="M1647" s="1277"/>
      <c r="N1647" s="1277"/>
      <c r="O1647" s="1277"/>
      <c r="P1647" s="1277"/>
      <c r="Q1647" s="203">
        <v>0</v>
      </c>
      <c r="R1647" s="204">
        <f>Q1647</f>
        <v>0</v>
      </c>
      <c r="T1647" s="1278"/>
      <c r="U1647" s="1279"/>
    </row>
    <row r="1648" spans="1:21">
      <c r="A1648" s="192"/>
      <c r="B1648" s="1277" t="e">
        <f>med</f>
        <v>#NAME?</v>
      </c>
      <c r="C1648" s="1277"/>
      <c r="D1648" s="1277"/>
      <c r="E1648" s="1277"/>
      <c r="F1648" s="1277"/>
      <c r="G1648" s="1277"/>
      <c r="H1648" s="1277"/>
      <c r="I1648" s="1277"/>
      <c r="J1648" s="1277"/>
      <c r="K1648" s="1277"/>
      <c r="L1648" s="1277"/>
      <c r="M1648" s="1277"/>
      <c r="N1648" s="1277"/>
      <c r="O1648" s="1277"/>
      <c r="P1648" s="205">
        <f>N1645</f>
        <v>207.82740000000001</v>
      </c>
      <c r="Q1648" s="203">
        <f>P1648</f>
        <v>207.82740000000001</v>
      </c>
      <c r="R1648" s="204">
        <f>Q1648+R1647</f>
        <v>207.82740000000001</v>
      </c>
      <c r="T1648" s="1278"/>
      <c r="U1648" s="1279"/>
    </row>
    <row r="1649" spans="1:21" ht="18" customHeight="1">
      <c r="A1649" s="187" t="e">
        <f>#REF!</f>
        <v>#REF!</v>
      </c>
      <c r="B1649" s="1275" t="e">
        <f>IF(A1649="","",VLOOKUP($A1649,'[2]FDE-JUNHO-08'!$A$6:$D$3537,2,FALSE()))</f>
        <v>#REF!</v>
      </c>
      <c r="C1649" s="1275"/>
      <c r="D1649" s="1275"/>
      <c r="E1649" s="1275"/>
      <c r="F1649" s="1275"/>
      <c r="G1649" s="1275"/>
      <c r="H1649" s="1275"/>
      <c r="I1649" s="1275"/>
      <c r="J1649" s="1275"/>
      <c r="K1649" s="1275"/>
      <c r="L1649" s="1275"/>
      <c r="M1649" s="1275"/>
      <c r="N1649" s="1275"/>
      <c r="O1649" s="1275"/>
      <c r="P1649" s="188" t="e">
        <f>IF(A1649="","",VLOOKUP($A1649,'[2]FDE-JUNHO-08'!$A$6:$D$3537,3,FALSE()))</f>
        <v>#REF!</v>
      </c>
      <c r="Q1649" s="189" t="s">
        <v>1205</v>
      </c>
      <c r="R1649" s="189" t="s">
        <v>1206</v>
      </c>
      <c r="T1649" s="190"/>
      <c r="U1649" s="191"/>
    </row>
    <row r="1650" spans="1:21">
      <c r="A1650" s="192"/>
      <c r="B1650" s="1281"/>
      <c r="C1650" s="1281"/>
      <c r="D1650" s="1281"/>
      <c r="E1650" s="1281"/>
      <c r="F1650" s="1281"/>
      <c r="G1650" s="1281"/>
      <c r="H1650" s="1281"/>
      <c r="I1650" s="1281"/>
      <c r="J1650" s="1281"/>
      <c r="K1650" s="1281"/>
      <c r="L1650" s="1281"/>
      <c r="M1650" s="1281"/>
      <c r="N1650" s="1281"/>
      <c r="O1650" s="1281"/>
      <c r="P1650" s="193"/>
      <c r="Q1650" s="200"/>
      <c r="R1650" s="194"/>
      <c r="T1650" s="190"/>
      <c r="U1650" s="191"/>
    </row>
    <row r="1651" spans="1:21">
      <c r="A1651" s="192"/>
      <c r="B1651" s="212"/>
      <c r="C1651" s="212"/>
      <c r="D1651" s="212"/>
      <c r="E1651" s="212"/>
      <c r="F1651" s="212"/>
      <c r="G1651" s="212"/>
      <c r="H1651" s="212"/>
      <c r="I1651" s="212"/>
      <c r="J1651" s="212"/>
      <c r="K1651" s="212"/>
      <c r="L1651" s="212"/>
      <c r="M1651" s="212"/>
      <c r="N1651" s="212"/>
      <c r="O1651" s="212"/>
      <c r="P1651" s="193"/>
      <c r="Q1651" s="200"/>
      <c r="R1651" s="194"/>
      <c r="T1651" s="190"/>
      <c r="U1651" s="191"/>
    </row>
    <row r="1652" spans="1:21">
      <c r="A1652" s="192"/>
      <c r="B1652" s="212"/>
      <c r="C1652" s="212"/>
      <c r="D1652" s="212"/>
      <c r="E1652" s="212"/>
      <c r="F1652" s="212"/>
      <c r="G1652" s="212"/>
      <c r="H1652" s="212"/>
      <c r="I1652" s="212"/>
      <c r="J1652" s="212"/>
      <c r="K1652" s="212"/>
      <c r="L1652" s="212"/>
      <c r="M1652" s="212"/>
      <c r="N1652" s="212"/>
      <c r="O1652" s="212"/>
      <c r="P1652" s="193"/>
      <c r="Q1652" s="200"/>
      <c r="R1652" s="194"/>
      <c r="T1652" s="190"/>
      <c r="U1652" s="191"/>
    </row>
    <row r="1653" spans="1:21">
      <c r="A1653" s="192"/>
      <c r="B1653" s="195" t="s">
        <v>1343</v>
      </c>
      <c r="C1653" s="196"/>
      <c r="D1653" s="197"/>
      <c r="E1653" s="198"/>
      <c r="F1653" s="198" t="s">
        <v>1251</v>
      </c>
      <c r="G1653" s="198"/>
      <c r="H1653" s="198" t="s">
        <v>1344</v>
      </c>
      <c r="I1653" s="198"/>
      <c r="J1653" s="198" t="s">
        <v>1252</v>
      </c>
      <c r="K1653" s="198"/>
      <c r="L1653" s="198" t="s">
        <v>1253</v>
      </c>
      <c r="M1653" s="199"/>
      <c r="N1653" s="199"/>
      <c r="O1653" s="155"/>
      <c r="P1653" s="193"/>
      <c r="Q1653" s="200"/>
      <c r="R1653" s="194"/>
      <c r="T1653" s="190"/>
      <c r="U1653" s="191"/>
    </row>
    <row r="1654" spans="1:21">
      <c r="A1654" s="192"/>
      <c r="B1654" s="195" t="s">
        <v>1345</v>
      </c>
      <c r="C1654" s="196"/>
      <c r="D1654" s="197"/>
      <c r="E1654" s="198"/>
      <c r="F1654" s="198">
        <v>1</v>
      </c>
      <c r="G1654" s="198" t="s">
        <v>1255</v>
      </c>
      <c r="H1654" s="198">
        <v>1</v>
      </c>
      <c r="I1654" s="198" t="s">
        <v>1255</v>
      </c>
      <c r="J1654" s="198">
        <v>1.8</v>
      </c>
      <c r="K1654" s="198" t="s">
        <v>1255</v>
      </c>
      <c r="L1654" s="198">
        <v>1.65</v>
      </c>
      <c r="M1654" s="199" t="s">
        <v>1208</v>
      </c>
      <c r="N1654" s="199">
        <f t="shared" ref="N1654:N1663" si="12">L1654*J1654*H1654*F1654</f>
        <v>2.9699999999999998</v>
      </c>
      <c r="O1654" s="155"/>
      <c r="P1654" s="193"/>
      <c r="Q1654" s="200"/>
      <c r="R1654" s="194"/>
      <c r="T1654" s="190"/>
      <c r="U1654" s="191"/>
    </row>
    <row r="1655" spans="1:21">
      <c r="A1655" s="192"/>
      <c r="B1655" s="195" t="s">
        <v>1372</v>
      </c>
      <c r="C1655" s="196"/>
      <c r="D1655" s="197"/>
      <c r="E1655" s="198"/>
      <c r="F1655" s="198">
        <v>6</v>
      </c>
      <c r="G1655" s="198" t="s">
        <v>1255</v>
      </c>
      <c r="H1655" s="198">
        <v>1</v>
      </c>
      <c r="I1655" s="198" t="s">
        <v>1227</v>
      </c>
      <c r="J1655" s="198">
        <v>1.86</v>
      </c>
      <c r="K1655" s="198" t="s">
        <v>1227</v>
      </c>
      <c r="L1655" s="198">
        <v>0.88</v>
      </c>
      <c r="M1655" s="198" t="s">
        <v>1208</v>
      </c>
      <c r="N1655" s="197">
        <f t="shared" si="12"/>
        <v>9.8208000000000002</v>
      </c>
      <c r="O1655" s="155"/>
      <c r="P1655" s="193"/>
      <c r="Q1655" s="200"/>
      <c r="R1655" s="194"/>
      <c r="T1655" s="190"/>
      <c r="U1655" s="191"/>
    </row>
    <row r="1656" spans="1:21">
      <c r="A1656" s="192"/>
      <c r="B1656" s="195" t="s">
        <v>1347</v>
      </c>
      <c r="C1656" s="196"/>
      <c r="D1656" s="197"/>
      <c r="E1656" s="198"/>
      <c r="F1656" s="198">
        <v>1</v>
      </c>
      <c r="G1656" s="198" t="s">
        <v>1255</v>
      </c>
      <c r="H1656" s="198">
        <v>2</v>
      </c>
      <c r="I1656" s="198" t="s">
        <v>1255</v>
      </c>
      <c r="J1656" s="198">
        <v>2</v>
      </c>
      <c r="K1656" s="198" t="s">
        <v>1255</v>
      </c>
      <c r="L1656" s="198">
        <v>2</v>
      </c>
      <c r="M1656" s="199" t="s">
        <v>1208</v>
      </c>
      <c r="N1656" s="199">
        <f t="shared" si="12"/>
        <v>8</v>
      </c>
      <c r="O1656" s="155"/>
      <c r="P1656" s="193"/>
      <c r="Q1656" s="200"/>
      <c r="R1656" s="194"/>
      <c r="T1656" s="190"/>
      <c r="U1656" s="191"/>
    </row>
    <row r="1657" spans="1:21">
      <c r="A1657" s="192"/>
      <c r="B1657" s="195" t="s">
        <v>1373</v>
      </c>
      <c r="C1657" s="196"/>
      <c r="D1657" s="197"/>
      <c r="E1657" s="198"/>
      <c r="F1657" s="198">
        <v>2</v>
      </c>
      <c r="G1657" s="198" t="s">
        <v>1255</v>
      </c>
      <c r="H1657" s="198">
        <v>2</v>
      </c>
      <c r="I1657" s="198" t="s">
        <v>1255</v>
      </c>
      <c r="J1657" s="198">
        <v>3.67</v>
      </c>
      <c r="K1657" s="198" t="s">
        <v>1255</v>
      </c>
      <c r="L1657" s="198">
        <v>1.56</v>
      </c>
      <c r="M1657" s="199" t="s">
        <v>1208</v>
      </c>
      <c r="N1657" s="199">
        <f t="shared" si="12"/>
        <v>22.9008</v>
      </c>
      <c r="O1657" s="155"/>
      <c r="P1657" s="193"/>
      <c r="Q1657" s="200"/>
      <c r="R1657" s="194"/>
      <c r="T1657" s="190"/>
      <c r="U1657" s="191"/>
    </row>
    <row r="1658" spans="1:21">
      <c r="A1658" s="192"/>
      <c r="B1658" s="195" t="s">
        <v>1348</v>
      </c>
      <c r="C1658" s="196"/>
      <c r="D1658" s="197"/>
      <c r="E1658" s="198"/>
      <c r="F1658" s="198">
        <v>180</v>
      </c>
      <c r="G1658" s="198" t="s">
        <v>1255</v>
      </c>
      <c r="H1658" s="198">
        <v>1</v>
      </c>
      <c r="I1658" s="198" t="s">
        <v>1255</v>
      </c>
      <c r="J1658" s="198">
        <v>0.15</v>
      </c>
      <c r="K1658" s="198" t="s">
        <v>1255</v>
      </c>
      <c r="L1658" s="198">
        <v>1.65</v>
      </c>
      <c r="M1658" s="199" t="s">
        <v>1208</v>
      </c>
      <c r="N1658" s="199">
        <f t="shared" si="12"/>
        <v>44.55</v>
      </c>
      <c r="O1658" s="155"/>
      <c r="P1658" s="193"/>
      <c r="Q1658" s="200"/>
      <c r="R1658" s="194"/>
      <c r="T1658" s="190"/>
      <c r="U1658" s="191"/>
    </row>
    <row r="1659" spans="1:21">
      <c r="A1659" s="192"/>
      <c r="B1659" s="195" t="s">
        <v>1374</v>
      </c>
      <c r="C1659" s="196"/>
      <c r="D1659" s="197"/>
      <c r="E1659" s="198"/>
      <c r="F1659" s="198">
        <v>1</v>
      </c>
      <c r="G1659" s="198" t="s">
        <v>1255</v>
      </c>
      <c r="H1659" s="198">
        <v>1</v>
      </c>
      <c r="I1659" s="198" t="s">
        <v>1255</v>
      </c>
      <c r="J1659" s="198">
        <v>9.9</v>
      </c>
      <c r="K1659" s="198" t="s">
        <v>1255</v>
      </c>
      <c r="L1659" s="198">
        <v>1.65</v>
      </c>
      <c r="M1659" s="199" t="s">
        <v>1208</v>
      </c>
      <c r="N1659" s="199">
        <f t="shared" si="12"/>
        <v>16.335000000000001</v>
      </c>
      <c r="O1659" s="155"/>
      <c r="P1659" s="193"/>
      <c r="Q1659" s="200"/>
      <c r="R1659" s="194"/>
      <c r="T1659" s="190"/>
      <c r="U1659" s="191"/>
    </row>
    <row r="1660" spans="1:21">
      <c r="A1660" s="192"/>
      <c r="B1660" s="195" t="s">
        <v>1375</v>
      </c>
      <c r="C1660" s="196"/>
      <c r="D1660" s="197"/>
      <c r="E1660" s="198"/>
      <c r="F1660" s="198">
        <v>6</v>
      </c>
      <c r="G1660" s="198" t="s">
        <v>1255</v>
      </c>
      <c r="H1660" s="198">
        <v>1</v>
      </c>
      <c r="I1660" s="198" t="s">
        <v>1255</v>
      </c>
      <c r="J1660" s="198">
        <v>2</v>
      </c>
      <c r="K1660" s="198" t="s">
        <v>1255</v>
      </c>
      <c r="L1660" s="198">
        <v>1.8</v>
      </c>
      <c r="M1660" s="199" t="s">
        <v>1208</v>
      </c>
      <c r="N1660" s="199">
        <f t="shared" si="12"/>
        <v>21.6</v>
      </c>
      <c r="O1660" s="155"/>
      <c r="P1660" s="193"/>
      <c r="Q1660" s="200"/>
      <c r="R1660" s="194"/>
      <c r="T1660" s="190"/>
      <c r="U1660" s="191"/>
    </row>
    <row r="1661" spans="1:21">
      <c r="A1661" s="192"/>
      <c r="B1661" s="195" t="s">
        <v>1233</v>
      </c>
      <c r="C1661" s="196"/>
      <c r="D1661" s="197"/>
      <c r="E1661" s="198"/>
      <c r="F1661" s="198">
        <v>1</v>
      </c>
      <c r="G1661" s="198" t="s">
        <v>1255</v>
      </c>
      <c r="H1661" s="198">
        <v>2</v>
      </c>
      <c r="I1661" s="198" t="s">
        <v>1255</v>
      </c>
      <c r="J1661" s="198">
        <v>8</v>
      </c>
      <c r="K1661" s="198" t="s">
        <v>1255</v>
      </c>
      <c r="L1661" s="198">
        <v>1.7</v>
      </c>
      <c r="M1661" s="199" t="s">
        <v>1208</v>
      </c>
      <c r="N1661" s="199">
        <f t="shared" si="12"/>
        <v>27.2</v>
      </c>
      <c r="O1661" s="155"/>
      <c r="P1661" s="193"/>
      <c r="Q1661" s="200"/>
      <c r="R1661" s="194"/>
      <c r="T1661" s="190"/>
      <c r="U1661" s="191"/>
    </row>
    <row r="1662" spans="1:21">
      <c r="A1662" s="192"/>
      <c r="B1662" s="195" t="s">
        <v>1237</v>
      </c>
      <c r="C1662" s="196"/>
      <c r="D1662" s="197"/>
      <c r="E1662" s="198"/>
      <c r="F1662" s="198">
        <v>1</v>
      </c>
      <c r="G1662" s="198" t="s">
        <v>1255</v>
      </c>
      <c r="H1662" s="198">
        <v>2</v>
      </c>
      <c r="I1662" s="198" t="s">
        <v>1255</v>
      </c>
      <c r="J1662" s="198">
        <v>1.56</v>
      </c>
      <c r="K1662" s="198" t="s">
        <v>1255</v>
      </c>
      <c r="L1662" s="198">
        <v>2.8</v>
      </c>
      <c r="M1662" s="199" t="s">
        <v>1208</v>
      </c>
      <c r="N1662" s="199">
        <f t="shared" si="12"/>
        <v>8.7359999999999989</v>
      </c>
      <c r="O1662" s="155"/>
      <c r="P1662" s="193"/>
      <c r="Q1662" s="200"/>
      <c r="R1662" s="194"/>
      <c r="T1662" s="190"/>
      <c r="U1662" s="191"/>
    </row>
    <row r="1663" spans="1:21">
      <c r="A1663" s="192"/>
      <c r="B1663" s="195" t="s">
        <v>1191</v>
      </c>
      <c r="C1663" s="196"/>
      <c r="D1663" s="197"/>
      <c r="E1663" s="198"/>
      <c r="F1663" s="198">
        <v>1</v>
      </c>
      <c r="G1663" s="198" t="s">
        <v>1255</v>
      </c>
      <c r="H1663" s="198">
        <v>2</v>
      </c>
      <c r="I1663" s="198" t="s">
        <v>1255</v>
      </c>
      <c r="J1663" s="198">
        <v>1.45</v>
      </c>
      <c r="K1663" s="198" t="s">
        <v>1255</v>
      </c>
      <c r="L1663" s="198">
        <v>2.8</v>
      </c>
      <c r="M1663" s="199" t="s">
        <v>1208</v>
      </c>
      <c r="N1663" s="199">
        <f t="shared" si="12"/>
        <v>8.1199999999999992</v>
      </c>
      <c r="O1663" s="155"/>
      <c r="P1663" s="193"/>
      <c r="Q1663" s="200"/>
      <c r="R1663" s="194"/>
      <c r="T1663" s="190"/>
      <c r="U1663" s="191"/>
    </row>
    <row r="1664" spans="1:21">
      <c r="A1664" s="192"/>
      <c r="B1664" s="195"/>
      <c r="C1664" s="196"/>
      <c r="D1664" s="197"/>
      <c r="E1664" s="198"/>
      <c r="F1664" s="198"/>
      <c r="G1664" s="198"/>
      <c r="H1664" s="198"/>
      <c r="I1664" s="198"/>
      <c r="J1664" s="198"/>
      <c r="K1664" s="198"/>
      <c r="L1664" s="198"/>
      <c r="M1664" s="199"/>
      <c r="N1664" s="201"/>
      <c r="O1664" s="202"/>
      <c r="P1664" s="193"/>
      <c r="Q1664" s="200"/>
      <c r="R1664" s="194"/>
      <c r="T1664" s="190"/>
      <c r="U1664" s="191"/>
    </row>
    <row r="1665" spans="1:21">
      <c r="A1665" s="192"/>
      <c r="B1665" s="195"/>
      <c r="C1665" s="196"/>
      <c r="D1665" s="197"/>
      <c r="E1665" s="198"/>
      <c r="F1665" s="198"/>
      <c r="G1665" s="198"/>
      <c r="H1665" s="198"/>
      <c r="I1665" s="198"/>
      <c r="J1665" s="198"/>
      <c r="K1665" s="198"/>
      <c r="L1665" s="199" t="s">
        <v>1140</v>
      </c>
      <c r="M1665" s="199" t="s">
        <v>1208</v>
      </c>
      <c r="N1665" s="199">
        <f>SUM(N1654:N1664)</f>
        <v>170.23259999999999</v>
      </c>
      <c r="O1665" s="155" t="e">
        <f>P1649</f>
        <v>#REF!</v>
      </c>
      <c r="P1665" s="193"/>
      <c r="Q1665" s="200"/>
      <c r="R1665" s="194"/>
      <c r="T1665" s="190"/>
      <c r="U1665" s="191"/>
    </row>
    <row r="1666" spans="1:21">
      <c r="A1666" s="192"/>
      <c r="B1666" s="195"/>
      <c r="C1666" s="196"/>
      <c r="D1666" s="197"/>
      <c r="E1666" s="198"/>
      <c r="F1666" s="197"/>
      <c r="G1666" s="198"/>
      <c r="H1666" s="197"/>
      <c r="I1666" s="198"/>
      <c r="J1666" s="197"/>
      <c r="K1666" s="198"/>
      <c r="L1666" s="199"/>
      <c r="M1666" s="199"/>
      <c r="N1666" s="199"/>
      <c r="O1666" s="217"/>
      <c r="P1666" s="193"/>
      <c r="Q1666" s="200"/>
      <c r="R1666" s="194"/>
      <c r="T1666" s="190"/>
      <c r="U1666" s="191"/>
    </row>
    <row r="1667" spans="1:21">
      <c r="A1667" s="192"/>
      <c r="B1667" s="1277" t="s">
        <v>1209</v>
      </c>
      <c r="C1667" s="1277"/>
      <c r="D1667" s="1277"/>
      <c r="E1667" s="1277"/>
      <c r="F1667" s="1277"/>
      <c r="G1667" s="1277"/>
      <c r="H1667" s="1277"/>
      <c r="I1667" s="1277"/>
      <c r="J1667" s="1277"/>
      <c r="K1667" s="1277"/>
      <c r="L1667" s="1277"/>
      <c r="M1667" s="1277"/>
      <c r="N1667" s="1277"/>
      <c r="O1667" s="1277"/>
      <c r="P1667" s="1277"/>
      <c r="Q1667" s="203">
        <v>0</v>
      </c>
      <c r="R1667" s="204">
        <f>Q1667</f>
        <v>0</v>
      </c>
      <c r="T1667" s="1278"/>
      <c r="U1667" s="1279"/>
    </row>
    <row r="1668" spans="1:21">
      <c r="A1668" s="206"/>
      <c r="B1668" s="1277" t="e">
        <f>med</f>
        <v>#NAME?</v>
      </c>
      <c r="C1668" s="1277"/>
      <c r="D1668" s="1277"/>
      <c r="E1668" s="1277"/>
      <c r="F1668" s="1277"/>
      <c r="G1668" s="1277"/>
      <c r="H1668" s="1277"/>
      <c r="I1668" s="1277"/>
      <c r="J1668" s="1277"/>
      <c r="K1668" s="1277"/>
      <c r="L1668" s="1277"/>
      <c r="M1668" s="1277"/>
      <c r="N1668" s="1277"/>
      <c r="O1668" s="1277"/>
      <c r="P1668" s="205">
        <f>N1665</f>
        <v>170.23259999999999</v>
      </c>
      <c r="Q1668" s="203">
        <f>P1668</f>
        <v>170.23259999999999</v>
      </c>
      <c r="R1668" s="204">
        <f>Q1668+R1667</f>
        <v>170.23259999999999</v>
      </c>
      <c r="T1668" s="1278"/>
      <c r="U1668" s="1279"/>
    </row>
    <row r="1669" spans="1:21" ht="18" customHeight="1">
      <c r="A1669" s="187" t="e">
        <f>#REF!</f>
        <v>#REF!</v>
      </c>
      <c r="B1669" s="1275" t="e">
        <f>IF(A1669="","",VLOOKUP($A1669,'[2]FDE-JUNHO-08'!$A$6:$D$3537,2,FALSE()))</f>
        <v>#REF!</v>
      </c>
      <c r="C1669" s="1275"/>
      <c r="D1669" s="1275"/>
      <c r="E1669" s="1275"/>
      <c r="F1669" s="1275"/>
      <c r="G1669" s="1275"/>
      <c r="H1669" s="1275"/>
      <c r="I1669" s="1275"/>
      <c r="J1669" s="1275"/>
      <c r="K1669" s="1275"/>
      <c r="L1669" s="1275"/>
      <c r="M1669" s="1275"/>
      <c r="N1669" s="1275"/>
      <c r="O1669" s="1275"/>
      <c r="P1669" s="188" t="e">
        <f>IF(A1669="","",VLOOKUP($A1669,'[2]FDE-JUNHO-08'!$A$6:$D$3537,3,FALSE()))</f>
        <v>#REF!</v>
      </c>
      <c r="Q1669" s="189" t="s">
        <v>1205</v>
      </c>
      <c r="R1669" s="189" t="s">
        <v>1206</v>
      </c>
      <c r="T1669" s="190"/>
      <c r="U1669" s="191"/>
    </row>
    <row r="1670" spans="1:21">
      <c r="A1670" s="192"/>
      <c r="B1670" s="1281"/>
      <c r="C1670" s="1281"/>
      <c r="D1670" s="1281"/>
      <c r="E1670" s="1281"/>
      <c r="F1670" s="1281"/>
      <c r="G1670" s="1281"/>
      <c r="H1670" s="1281"/>
      <c r="I1670" s="1281"/>
      <c r="J1670" s="1281"/>
      <c r="K1670" s="1281"/>
      <c r="L1670" s="1281"/>
      <c r="M1670" s="1281"/>
      <c r="N1670" s="1281"/>
      <c r="O1670" s="1281"/>
      <c r="P1670" s="193"/>
      <c r="Q1670" s="194"/>
      <c r="R1670" s="194"/>
      <c r="T1670" s="190"/>
      <c r="U1670" s="191"/>
    </row>
    <row r="1671" spans="1:21">
      <c r="A1671" s="192"/>
      <c r="B1671" s="195" t="s">
        <v>1357</v>
      </c>
      <c r="C1671" s="196"/>
      <c r="D1671" s="197"/>
      <c r="E1671" s="198"/>
      <c r="F1671" s="199"/>
      <c r="G1671" s="198"/>
      <c r="H1671" s="198"/>
      <c r="I1671" s="198"/>
      <c r="J1671" s="198" t="s">
        <v>1376</v>
      </c>
      <c r="K1671" s="198"/>
      <c r="L1671" s="198" t="s">
        <v>1281</v>
      </c>
      <c r="M1671" s="199"/>
      <c r="N1671" s="209"/>
      <c r="O1671" s="155"/>
      <c r="P1671" s="193"/>
      <c r="Q1671" s="200"/>
      <c r="R1671" s="194"/>
      <c r="T1671" s="190"/>
      <c r="U1671" s="191"/>
    </row>
    <row r="1672" spans="1:21">
      <c r="A1672" s="192"/>
      <c r="B1672" s="215" t="s">
        <v>1233</v>
      </c>
      <c r="C1672" s="196"/>
      <c r="D1672" s="197"/>
      <c r="E1672" s="198"/>
      <c r="F1672" s="197"/>
      <c r="G1672" s="198"/>
      <c r="H1672" s="198"/>
      <c r="I1672" s="198"/>
      <c r="J1672" s="197">
        <f>(21.35+21.35-2+2.5)*1.1</f>
        <v>47.52000000000001</v>
      </c>
      <c r="K1672" s="198" t="s">
        <v>1227</v>
      </c>
      <c r="L1672" s="197">
        <v>2.8</v>
      </c>
      <c r="M1672" s="199" t="s">
        <v>1208</v>
      </c>
      <c r="N1672" s="199">
        <f t="shared" ref="N1672:N1677" si="13">J1672*L1672</f>
        <v>133.05600000000001</v>
      </c>
      <c r="O1672" s="155"/>
      <c r="P1672" s="193"/>
      <c r="Q1672" s="200"/>
      <c r="R1672" s="194"/>
      <c r="T1672" s="190"/>
      <c r="U1672" s="191"/>
    </row>
    <row r="1673" spans="1:21">
      <c r="A1673" s="192"/>
      <c r="B1673" s="215" t="s">
        <v>1234</v>
      </c>
      <c r="C1673" s="196"/>
      <c r="D1673" s="197"/>
      <c r="E1673" s="198"/>
      <c r="F1673" s="199"/>
      <c r="G1673" s="198"/>
      <c r="H1673" s="198"/>
      <c r="I1673" s="198"/>
      <c r="J1673" s="197">
        <v>75.5</v>
      </c>
      <c r="K1673" s="198" t="s">
        <v>1227</v>
      </c>
      <c r="L1673" s="197">
        <v>2.8</v>
      </c>
      <c r="M1673" s="199" t="s">
        <v>1208</v>
      </c>
      <c r="N1673" s="199">
        <f t="shared" si="13"/>
        <v>211.39999999999998</v>
      </c>
      <c r="O1673" s="155"/>
      <c r="P1673" s="193"/>
      <c r="Q1673" s="200"/>
      <c r="R1673" s="194"/>
      <c r="T1673" s="190"/>
      <c r="U1673" s="191"/>
    </row>
    <row r="1674" spans="1:21">
      <c r="A1674" s="192"/>
      <c r="B1674" s="215" t="s">
        <v>1235</v>
      </c>
      <c r="C1674" s="196"/>
      <c r="D1674" s="197"/>
      <c r="E1674" s="198"/>
      <c r="F1674" s="199"/>
      <c r="G1674" s="198"/>
      <c r="H1674" s="198"/>
      <c r="I1674" s="198"/>
      <c r="J1674" s="197">
        <v>23.5</v>
      </c>
      <c r="K1674" s="198" t="s">
        <v>1227</v>
      </c>
      <c r="L1674" s="197">
        <v>2.8</v>
      </c>
      <c r="M1674" s="199" t="s">
        <v>1208</v>
      </c>
      <c r="N1674" s="199">
        <f t="shared" si="13"/>
        <v>65.8</v>
      </c>
      <c r="O1674" s="155"/>
      <c r="P1674" s="193"/>
      <c r="Q1674" s="200"/>
      <c r="R1674" s="194"/>
      <c r="T1674" s="190"/>
      <c r="U1674" s="191"/>
    </row>
    <row r="1675" spans="1:21">
      <c r="A1675" s="192"/>
      <c r="B1675" s="215" t="s">
        <v>1237</v>
      </c>
      <c r="C1675" s="196"/>
      <c r="D1675" s="197"/>
      <c r="E1675" s="198"/>
      <c r="F1675" s="199"/>
      <c r="G1675" s="198"/>
      <c r="H1675" s="198"/>
      <c r="I1675" s="198"/>
      <c r="J1675" s="197">
        <v>17.8</v>
      </c>
      <c r="K1675" s="198" t="s">
        <v>1227</v>
      </c>
      <c r="L1675" s="197">
        <v>2.8</v>
      </c>
      <c r="M1675" s="199" t="s">
        <v>1208</v>
      </c>
      <c r="N1675" s="199">
        <f t="shared" si="13"/>
        <v>49.839999999999996</v>
      </c>
      <c r="O1675" s="155"/>
      <c r="P1675" s="193"/>
      <c r="Q1675" s="200"/>
      <c r="R1675" s="194"/>
      <c r="T1675" s="190"/>
      <c r="U1675" s="191"/>
    </row>
    <row r="1676" spans="1:21">
      <c r="A1676" s="192"/>
      <c r="B1676" s="215" t="s">
        <v>1191</v>
      </c>
      <c r="C1676" s="196"/>
      <c r="D1676" s="197"/>
      <c r="E1676" s="198"/>
      <c r="F1676" s="199"/>
      <c r="G1676" s="198"/>
      <c r="H1676" s="198"/>
      <c r="I1676" s="198"/>
      <c r="J1676" s="197">
        <v>17.8</v>
      </c>
      <c r="K1676" s="198" t="s">
        <v>1227</v>
      </c>
      <c r="L1676" s="197">
        <v>2.8</v>
      </c>
      <c r="M1676" s="199" t="s">
        <v>1208</v>
      </c>
      <c r="N1676" s="199">
        <f t="shared" si="13"/>
        <v>49.839999999999996</v>
      </c>
      <c r="O1676" s="155"/>
      <c r="P1676" s="193"/>
      <c r="Q1676" s="200"/>
      <c r="R1676" s="194"/>
      <c r="T1676" s="190"/>
      <c r="U1676" s="191"/>
    </row>
    <row r="1677" spans="1:21">
      <c r="A1677" s="192"/>
      <c r="B1677" s="215" t="s">
        <v>1241</v>
      </c>
      <c r="C1677" s="196"/>
      <c r="D1677" s="197"/>
      <c r="E1677" s="198"/>
      <c r="F1677" s="199"/>
      <c r="G1677" s="198"/>
      <c r="H1677" s="198"/>
      <c r="I1677" s="198"/>
      <c r="J1677" s="197">
        <v>38</v>
      </c>
      <c r="K1677" s="198" t="s">
        <v>1227</v>
      </c>
      <c r="L1677" s="197">
        <v>4.8499999999999996</v>
      </c>
      <c r="M1677" s="199" t="s">
        <v>1208</v>
      </c>
      <c r="N1677" s="199">
        <f t="shared" si="13"/>
        <v>184.29999999999998</v>
      </c>
      <c r="O1677" s="155"/>
      <c r="P1677" s="193"/>
      <c r="Q1677" s="200"/>
      <c r="R1677" s="194"/>
      <c r="T1677" s="190"/>
      <c r="U1677" s="191"/>
    </row>
    <row r="1678" spans="1:21">
      <c r="A1678" s="192"/>
      <c r="B1678" s="215"/>
      <c r="C1678" s="196"/>
      <c r="D1678" s="197"/>
      <c r="E1678" s="198"/>
      <c r="F1678" s="199"/>
      <c r="G1678" s="198"/>
      <c r="H1678" s="198"/>
      <c r="I1678" s="198"/>
      <c r="J1678" s="198"/>
      <c r="K1678" s="198"/>
      <c r="L1678" s="197"/>
      <c r="M1678" s="199"/>
      <c r="N1678" s="199"/>
      <c r="O1678" s="155"/>
      <c r="P1678" s="193"/>
      <c r="Q1678" s="200"/>
      <c r="R1678" s="194"/>
      <c r="T1678" s="190"/>
      <c r="U1678" s="191"/>
    </row>
    <row r="1679" spans="1:21">
      <c r="A1679" s="192"/>
      <c r="B1679" s="195" t="s">
        <v>1358</v>
      </c>
      <c r="C1679" s="196"/>
      <c r="D1679" s="197"/>
      <c r="E1679" s="198"/>
      <c r="F1679" s="199"/>
      <c r="G1679" s="198"/>
      <c r="H1679" s="198"/>
      <c r="I1679" s="198"/>
      <c r="J1679" s="198" t="s">
        <v>1376</v>
      </c>
      <c r="K1679" s="198"/>
      <c r="L1679" s="198" t="s">
        <v>1281</v>
      </c>
      <c r="M1679" s="199"/>
      <c r="N1679" s="209"/>
      <c r="O1679" s="251"/>
      <c r="P1679" s="193"/>
      <c r="Q1679" s="200"/>
      <c r="R1679" s="194"/>
      <c r="T1679" s="190"/>
      <c r="U1679" s="191"/>
    </row>
    <row r="1680" spans="1:21">
      <c r="A1680" s="192"/>
      <c r="B1680" s="215" t="s">
        <v>1359</v>
      </c>
      <c r="C1680" s="196"/>
      <c r="D1680" s="197"/>
      <c r="E1680" s="198"/>
      <c r="F1680" s="197"/>
      <c r="G1680" s="198"/>
      <c r="H1680" s="198"/>
      <c r="I1680" s="198"/>
      <c r="J1680" s="197">
        <v>30.6</v>
      </c>
      <c r="K1680" s="198" t="s">
        <v>1227</v>
      </c>
      <c r="L1680" s="197">
        <v>3.7</v>
      </c>
      <c r="M1680" s="199" t="s">
        <v>1208</v>
      </c>
      <c r="N1680" s="199">
        <f t="shared" ref="N1680:N1688" si="14">J1680*L1680</f>
        <v>113.22000000000001</v>
      </c>
      <c r="O1680" s="251"/>
      <c r="P1680" s="193"/>
      <c r="Q1680" s="200"/>
      <c r="R1680" s="194"/>
      <c r="T1680" s="190"/>
      <c r="U1680" s="191"/>
    </row>
    <row r="1681" spans="1:21">
      <c r="A1681" s="192"/>
      <c r="B1681" s="215" t="s">
        <v>1360</v>
      </c>
      <c r="C1681" s="196"/>
      <c r="D1681" s="197"/>
      <c r="E1681" s="198"/>
      <c r="F1681" s="197"/>
      <c r="G1681" s="198"/>
      <c r="H1681" s="198"/>
      <c r="I1681" s="198"/>
      <c r="J1681" s="197">
        <v>21.2</v>
      </c>
      <c r="K1681" s="198" t="s">
        <v>1227</v>
      </c>
      <c r="L1681" s="197">
        <v>3.7</v>
      </c>
      <c r="M1681" s="199" t="s">
        <v>1208</v>
      </c>
      <c r="N1681" s="199">
        <f t="shared" si="14"/>
        <v>78.44</v>
      </c>
      <c r="O1681" s="217"/>
      <c r="P1681" s="193"/>
      <c r="Q1681" s="200"/>
      <c r="R1681" s="194"/>
      <c r="T1681" s="190"/>
      <c r="U1681" s="191"/>
    </row>
    <row r="1682" spans="1:21">
      <c r="A1682" s="192"/>
      <c r="B1682" s="215" t="s">
        <v>1361</v>
      </c>
      <c r="C1682" s="196"/>
      <c r="D1682" s="197"/>
      <c r="E1682" s="198"/>
      <c r="F1682" s="199"/>
      <c r="G1682" s="198"/>
      <c r="H1682" s="198"/>
      <c r="I1682" s="198"/>
      <c r="J1682" s="197">
        <v>16</v>
      </c>
      <c r="K1682" s="198" t="s">
        <v>1227</v>
      </c>
      <c r="L1682" s="197">
        <v>4.2</v>
      </c>
      <c r="M1682" s="199" t="s">
        <v>1208</v>
      </c>
      <c r="N1682" s="199">
        <f t="shared" si="14"/>
        <v>67.2</v>
      </c>
      <c r="O1682" s="217"/>
      <c r="P1682" s="193"/>
      <c r="Q1682" s="200"/>
      <c r="R1682" s="194"/>
      <c r="T1682" s="190"/>
      <c r="U1682" s="191"/>
    </row>
    <row r="1683" spans="1:21">
      <c r="A1683" s="192"/>
      <c r="B1683" s="215" t="s">
        <v>1377</v>
      </c>
      <c r="C1683" s="196"/>
      <c r="D1683" s="197"/>
      <c r="E1683" s="198"/>
      <c r="F1683" s="197"/>
      <c r="G1683" s="198"/>
      <c r="H1683" s="197"/>
      <c r="I1683" s="198"/>
      <c r="J1683" s="197">
        <f>5+11</f>
        <v>16</v>
      </c>
      <c r="K1683" s="198" t="s">
        <v>1227</v>
      </c>
      <c r="L1683" s="197">
        <v>7</v>
      </c>
      <c r="M1683" s="199" t="s">
        <v>1208</v>
      </c>
      <c r="N1683" s="199">
        <f t="shared" si="14"/>
        <v>112</v>
      </c>
      <c r="O1683" s="217"/>
      <c r="P1683" s="193"/>
      <c r="Q1683" s="200"/>
      <c r="R1683" s="194"/>
      <c r="T1683" s="190"/>
      <c r="U1683" s="191"/>
    </row>
    <row r="1684" spans="1:21">
      <c r="A1684" s="192"/>
      <c r="B1684" s="215" t="s">
        <v>1273</v>
      </c>
      <c r="C1684" s="196"/>
      <c r="D1684" s="197"/>
      <c r="E1684" s="198"/>
      <c r="F1684" s="197"/>
      <c r="G1684" s="198"/>
      <c r="H1684" s="197"/>
      <c r="I1684" s="198"/>
      <c r="J1684" s="197">
        <f>2+2+6+7.2+6</f>
        <v>23.2</v>
      </c>
      <c r="K1684" s="198" t="s">
        <v>1227</v>
      </c>
      <c r="L1684" s="197">
        <v>2.5</v>
      </c>
      <c r="M1684" s="199" t="s">
        <v>1208</v>
      </c>
      <c r="N1684" s="199">
        <f t="shared" si="14"/>
        <v>58</v>
      </c>
      <c r="O1684" s="217"/>
      <c r="P1684" s="193"/>
      <c r="Q1684" s="200"/>
      <c r="R1684" s="194"/>
      <c r="T1684" s="190"/>
      <c r="U1684" s="191"/>
    </row>
    <row r="1685" spans="1:21">
      <c r="A1685" s="192"/>
      <c r="B1685" s="215" t="s">
        <v>1378</v>
      </c>
      <c r="C1685" s="196"/>
      <c r="D1685" s="197"/>
      <c r="E1685" s="198"/>
      <c r="F1685" s="197"/>
      <c r="G1685" s="198"/>
      <c r="H1685" s="197"/>
      <c r="I1685" s="198"/>
      <c r="J1685" s="197">
        <v>15</v>
      </c>
      <c r="K1685" s="198" t="s">
        <v>1227</v>
      </c>
      <c r="L1685" s="197">
        <v>2.5</v>
      </c>
      <c r="M1685" s="199" t="s">
        <v>1208</v>
      </c>
      <c r="N1685" s="199">
        <f t="shared" si="14"/>
        <v>37.5</v>
      </c>
      <c r="O1685" s="217"/>
      <c r="P1685" s="193"/>
      <c r="Q1685" s="200"/>
      <c r="R1685" s="194"/>
      <c r="T1685" s="190"/>
      <c r="U1685" s="191"/>
    </row>
    <row r="1686" spans="1:21">
      <c r="A1686" s="192"/>
      <c r="B1686" s="215" t="s">
        <v>1379</v>
      </c>
      <c r="C1686" s="196"/>
      <c r="D1686" s="197"/>
      <c r="E1686" s="198"/>
      <c r="F1686" s="197"/>
      <c r="G1686" s="198"/>
      <c r="H1686" s="197"/>
      <c r="I1686" s="198"/>
      <c r="J1686" s="197">
        <f>16+16-4-4</f>
        <v>24</v>
      </c>
      <c r="K1686" s="198" t="s">
        <v>1227</v>
      </c>
      <c r="L1686" s="197">
        <v>1.8</v>
      </c>
      <c r="M1686" s="199" t="s">
        <v>1208</v>
      </c>
      <c r="N1686" s="199">
        <f t="shared" si="14"/>
        <v>43.2</v>
      </c>
      <c r="O1686" s="217"/>
      <c r="P1686" s="193"/>
      <c r="Q1686" s="200"/>
      <c r="R1686" s="194"/>
      <c r="T1686" s="190"/>
      <c r="U1686" s="191"/>
    </row>
    <row r="1687" spans="1:21">
      <c r="A1687" s="192"/>
      <c r="B1687" s="215" t="s">
        <v>1380</v>
      </c>
      <c r="C1687" s="196"/>
      <c r="D1687" s="197"/>
      <c r="E1687" s="198"/>
      <c r="F1687" s="197"/>
      <c r="G1687" s="198"/>
      <c r="H1687" s="197"/>
      <c r="I1687" s="198"/>
      <c r="J1687" s="197">
        <f>(3+1+1+1)*2</f>
        <v>12</v>
      </c>
      <c r="K1687" s="198" t="s">
        <v>1227</v>
      </c>
      <c r="L1687" s="197">
        <v>2</v>
      </c>
      <c r="M1687" s="199" t="s">
        <v>1208</v>
      </c>
      <c r="N1687" s="199">
        <f t="shared" si="14"/>
        <v>24</v>
      </c>
      <c r="O1687" s="217"/>
      <c r="P1687" s="193"/>
      <c r="Q1687" s="200"/>
      <c r="R1687" s="194"/>
      <c r="T1687" s="190"/>
      <c r="U1687" s="191"/>
    </row>
    <row r="1688" spans="1:21">
      <c r="A1688" s="192"/>
      <c r="B1688" s="215" t="s">
        <v>1381</v>
      </c>
      <c r="C1688" s="196"/>
      <c r="D1688" s="197"/>
      <c r="E1688" s="198"/>
      <c r="F1688" s="197"/>
      <c r="G1688" s="198"/>
      <c r="H1688" s="197"/>
      <c r="I1688" s="198"/>
      <c r="J1688" s="197">
        <v>3.3</v>
      </c>
      <c r="K1688" s="198" t="s">
        <v>1227</v>
      </c>
      <c r="L1688" s="197">
        <v>1.65</v>
      </c>
      <c r="M1688" s="199" t="s">
        <v>1208</v>
      </c>
      <c r="N1688" s="199">
        <f t="shared" si="14"/>
        <v>5.4449999999999994</v>
      </c>
      <c r="O1688" s="217"/>
      <c r="P1688" s="193"/>
      <c r="Q1688" s="200"/>
      <c r="R1688" s="194"/>
      <c r="T1688" s="190"/>
      <c r="U1688" s="191"/>
    </row>
    <row r="1689" spans="1:21">
      <c r="A1689" s="192"/>
      <c r="B1689" s="215"/>
      <c r="C1689" s="196"/>
      <c r="D1689" s="197"/>
      <c r="E1689" s="198"/>
      <c r="F1689" s="197"/>
      <c r="G1689" s="198"/>
      <c r="H1689" s="197"/>
      <c r="I1689" s="198"/>
      <c r="J1689" s="197"/>
      <c r="K1689" s="198"/>
      <c r="L1689" s="254"/>
      <c r="M1689" s="201"/>
      <c r="N1689" s="201"/>
      <c r="O1689" s="202"/>
      <c r="P1689" s="193"/>
      <c r="Q1689" s="200"/>
      <c r="R1689" s="194"/>
      <c r="T1689" s="190"/>
      <c r="U1689" s="191"/>
    </row>
    <row r="1690" spans="1:21">
      <c r="A1690" s="192"/>
      <c r="B1690" s="195"/>
      <c r="C1690" s="196"/>
      <c r="D1690" s="197"/>
      <c r="E1690" s="198"/>
      <c r="F1690" s="197"/>
      <c r="G1690" s="198"/>
      <c r="H1690" s="197"/>
      <c r="I1690" s="198"/>
      <c r="J1690" s="197"/>
      <c r="K1690" s="198"/>
      <c r="L1690" s="199" t="s">
        <v>1140</v>
      </c>
      <c r="M1690" s="199" t="s">
        <v>1208</v>
      </c>
      <c r="N1690" s="199">
        <f>SUM(N1672:N1688)</f>
        <v>1233.241</v>
      </c>
      <c r="O1690" s="155" t="e">
        <f>P1669</f>
        <v>#REF!</v>
      </c>
      <c r="P1690" s="193"/>
      <c r="Q1690" s="200"/>
      <c r="R1690" s="194"/>
      <c r="T1690" s="190"/>
      <c r="U1690" s="191"/>
    </row>
    <row r="1691" spans="1:21">
      <c r="A1691" s="192"/>
      <c r="B1691" s="212"/>
      <c r="C1691" s="212"/>
      <c r="D1691" s="212"/>
      <c r="E1691" s="212"/>
      <c r="F1691" s="212"/>
      <c r="G1691" s="212"/>
      <c r="H1691" s="212"/>
      <c r="I1691" s="212"/>
      <c r="J1691" s="212"/>
      <c r="K1691" s="212"/>
      <c r="L1691" s="212"/>
      <c r="M1691" s="212"/>
      <c r="N1691" s="212"/>
      <c r="O1691" s="212"/>
      <c r="P1691" s="193"/>
      <c r="Q1691" s="200"/>
      <c r="R1691" s="194"/>
      <c r="T1691" s="190"/>
      <c r="U1691" s="191"/>
    </row>
    <row r="1692" spans="1:21">
      <c r="A1692" s="192"/>
      <c r="B1692" s="1277" t="s">
        <v>1209</v>
      </c>
      <c r="C1692" s="1277"/>
      <c r="D1692" s="1277"/>
      <c r="E1692" s="1277"/>
      <c r="F1692" s="1277"/>
      <c r="G1692" s="1277"/>
      <c r="H1692" s="1277"/>
      <c r="I1692" s="1277"/>
      <c r="J1692" s="1277"/>
      <c r="K1692" s="1277"/>
      <c r="L1692" s="1277"/>
      <c r="M1692" s="1277"/>
      <c r="N1692" s="1277"/>
      <c r="O1692" s="1277"/>
      <c r="P1692" s="1277"/>
      <c r="Q1692" s="203">
        <v>0</v>
      </c>
      <c r="R1692" s="204">
        <f>Q1692</f>
        <v>0</v>
      </c>
      <c r="T1692" s="1278"/>
      <c r="U1692" s="1279"/>
    </row>
    <row r="1693" spans="1:21">
      <c r="A1693" s="192"/>
      <c r="B1693" s="1277" t="e">
        <f>med</f>
        <v>#NAME?</v>
      </c>
      <c r="C1693" s="1277"/>
      <c r="D1693" s="1277"/>
      <c r="E1693" s="1277"/>
      <c r="F1693" s="1277"/>
      <c r="G1693" s="1277"/>
      <c r="H1693" s="1277"/>
      <c r="I1693" s="1277"/>
      <c r="J1693" s="1277"/>
      <c r="K1693" s="1277"/>
      <c r="L1693" s="1277"/>
      <c r="M1693" s="1277"/>
      <c r="N1693" s="1277"/>
      <c r="O1693" s="1277"/>
      <c r="P1693" s="205">
        <f>N1690</f>
        <v>1233.241</v>
      </c>
      <c r="Q1693" s="203">
        <f>P1693</f>
        <v>1233.241</v>
      </c>
      <c r="R1693" s="204">
        <f>Q1693+R1692</f>
        <v>1233.241</v>
      </c>
      <c r="T1693" s="1278"/>
      <c r="U1693" s="1279"/>
    </row>
    <row r="1694" spans="1:21" ht="18" customHeight="1">
      <c r="A1694" s="187" t="e">
        <f>#REF!</f>
        <v>#REF!</v>
      </c>
      <c r="B1694" s="1275" t="e">
        <f>IF(A1694="","",VLOOKUP($A1694,'[2]FDE-JUNHO-08'!$A$6:$D$3537,2,FALSE()))</f>
        <v>#REF!</v>
      </c>
      <c r="C1694" s="1275"/>
      <c r="D1694" s="1275"/>
      <c r="E1694" s="1275"/>
      <c r="F1694" s="1275"/>
      <c r="G1694" s="1275"/>
      <c r="H1694" s="1275"/>
      <c r="I1694" s="1275"/>
      <c r="J1694" s="1275"/>
      <c r="K1694" s="1275"/>
      <c r="L1694" s="1275"/>
      <c r="M1694" s="1275"/>
      <c r="N1694" s="1275"/>
      <c r="O1694" s="1275"/>
      <c r="P1694" s="188" t="e">
        <f>IF(A1694="","",VLOOKUP($A1694,'[2]FDE-JUNHO-08'!$A$6:$D$3537,3,FALSE()))</f>
        <v>#REF!</v>
      </c>
      <c r="Q1694" s="189" t="s">
        <v>1205</v>
      </c>
      <c r="R1694" s="189" t="s">
        <v>1206</v>
      </c>
      <c r="T1694" s="190"/>
      <c r="U1694" s="191"/>
    </row>
    <row r="1695" spans="1:21">
      <c r="A1695" s="192"/>
      <c r="B1695" s="1281"/>
      <c r="C1695" s="1281"/>
      <c r="D1695" s="1281"/>
      <c r="E1695" s="1281"/>
      <c r="F1695" s="1281"/>
      <c r="G1695" s="1281"/>
      <c r="H1695" s="1281"/>
      <c r="I1695" s="1281"/>
      <c r="J1695" s="1281"/>
      <c r="K1695" s="1281"/>
      <c r="L1695" s="1281"/>
      <c r="M1695" s="1281"/>
      <c r="N1695" s="1281"/>
      <c r="O1695" s="1281"/>
      <c r="P1695" s="193"/>
      <c r="Q1695" s="194"/>
      <c r="R1695" s="194"/>
      <c r="T1695" s="190"/>
      <c r="U1695" s="191"/>
    </row>
    <row r="1696" spans="1:21">
      <c r="A1696" s="192"/>
      <c r="B1696" s="195" t="s">
        <v>1357</v>
      </c>
      <c r="C1696" s="196"/>
      <c r="D1696" s="197"/>
      <c r="E1696" s="198"/>
      <c r="F1696" s="199"/>
      <c r="G1696" s="198"/>
      <c r="H1696" s="198"/>
      <c r="I1696" s="198"/>
      <c r="J1696" s="198" t="s">
        <v>1376</v>
      </c>
      <c r="K1696" s="198"/>
      <c r="L1696" s="198" t="s">
        <v>1281</v>
      </c>
      <c r="M1696" s="199"/>
      <c r="N1696" s="209"/>
      <c r="O1696" s="155"/>
      <c r="P1696" s="193"/>
      <c r="Q1696" s="200"/>
      <c r="R1696" s="194"/>
      <c r="T1696" s="190"/>
      <c r="U1696" s="191"/>
    </row>
    <row r="1697" spans="1:21">
      <c r="A1697" s="192"/>
      <c r="B1697" s="215" t="s">
        <v>1232</v>
      </c>
      <c r="C1697" s="196"/>
      <c r="D1697" s="197"/>
      <c r="E1697" s="198"/>
      <c r="F1697" s="197"/>
      <c r="G1697" s="198"/>
      <c r="H1697" s="198"/>
      <c r="I1697" s="198"/>
      <c r="J1697" s="197">
        <v>24.8</v>
      </c>
      <c r="K1697" s="198" t="s">
        <v>1227</v>
      </c>
      <c r="L1697" s="197">
        <v>2.75</v>
      </c>
      <c r="M1697" s="199" t="s">
        <v>1208</v>
      </c>
      <c r="N1697" s="199">
        <f t="shared" ref="N1697:N1706" si="15">J1697*L1697</f>
        <v>68.2</v>
      </c>
      <c r="O1697" s="155"/>
      <c r="P1697" s="193"/>
      <c r="Q1697" s="200"/>
      <c r="R1697" s="194"/>
      <c r="T1697" s="190"/>
      <c r="U1697" s="191"/>
    </row>
    <row r="1698" spans="1:21">
      <c r="A1698" s="192"/>
      <c r="B1698" s="215" t="s">
        <v>1233</v>
      </c>
      <c r="C1698" s="196"/>
      <c r="D1698" s="197"/>
      <c r="E1698" s="198"/>
      <c r="F1698" s="197"/>
      <c r="G1698" s="198"/>
      <c r="H1698" s="198"/>
      <c r="I1698" s="198"/>
      <c r="J1698" s="197">
        <f>(21.35+21.35-2+2.5)*1.1</f>
        <v>47.52000000000001</v>
      </c>
      <c r="K1698" s="198" t="s">
        <v>1227</v>
      </c>
      <c r="L1698" s="197">
        <v>1.2</v>
      </c>
      <c r="M1698" s="199" t="s">
        <v>1208</v>
      </c>
      <c r="N1698" s="199">
        <f t="shared" si="15"/>
        <v>57.024000000000008</v>
      </c>
      <c r="O1698" s="155"/>
      <c r="P1698" s="193"/>
      <c r="Q1698" s="200"/>
      <c r="R1698" s="194"/>
      <c r="T1698" s="190"/>
      <c r="U1698" s="191"/>
    </row>
    <row r="1699" spans="1:21">
      <c r="A1699" s="192"/>
      <c r="B1699" s="215" t="s">
        <v>1234</v>
      </c>
      <c r="C1699" s="196"/>
      <c r="D1699" s="197"/>
      <c r="E1699" s="198"/>
      <c r="F1699" s="199"/>
      <c r="G1699" s="198"/>
      <c r="H1699" s="198"/>
      <c r="I1699" s="198"/>
      <c r="J1699" s="197">
        <v>75.5</v>
      </c>
      <c r="K1699" s="198" t="s">
        <v>1227</v>
      </c>
      <c r="L1699" s="197">
        <v>1.2</v>
      </c>
      <c r="M1699" s="199" t="s">
        <v>1208</v>
      </c>
      <c r="N1699" s="199">
        <f t="shared" si="15"/>
        <v>90.6</v>
      </c>
      <c r="O1699" s="155"/>
      <c r="P1699" s="193"/>
      <c r="Q1699" s="200"/>
      <c r="R1699" s="194"/>
      <c r="T1699" s="190"/>
      <c r="U1699" s="191"/>
    </row>
    <row r="1700" spans="1:21">
      <c r="A1700" s="192"/>
      <c r="B1700" s="215" t="s">
        <v>1235</v>
      </c>
      <c r="C1700" s="196"/>
      <c r="D1700" s="197"/>
      <c r="E1700" s="198"/>
      <c r="F1700" s="199"/>
      <c r="G1700" s="198"/>
      <c r="H1700" s="198"/>
      <c r="I1700" s="198"/>
      <c r="J1700" s="197">
        <v>23.5</v>
      </c>
      <c r="K1700" s="198" t="s">
        <v>1227</v>
      </c>
      <c r="L1700" s="197">
        <v>1.2</v>
      </c>
      <c r="M1700" s="199" t="s">
        <v>1208</v>
      </c>
      <c r="N1700" s="199">
        <f t="shared" si="15"/>
        <v>28.2</v>
      </c>
      <c r="O1700" s="155"/>
      <c r="P1700" s="193"/>
      <c r="Q1700" s="200"/>
      <c r="R1700" s="194"/>
      <c r="T1700" s="190"/>
      <c r="U1700" s="191"/>
    </row>
    <row r="1701" spans="1:21">
      <c r="A1701" s="192"/>
      <c r="B1701" s="215" t="s">
        <v>1236</v>
      </c>
      <c r="C1701" s="196"/>
      <c r="D1701" s="197"/>
      <c r="E1701" s="198"/>
      <c r="F1701" s="199"/>
      <c r="G1701" s="198"/>
      <c r="H1701" s="198"/>
      <c r="I1701" s="198"/>
      <c r="J1701" s="197">
        <v>16.5</v>
      </c>
      <c r="K1701" s="198" t="s">
        <v>1227</v>
      </c>
      <c r="L1701" s="197">
        <v>2.65</v>
      </c>
      <c r="M1701" s="199" t="s">
        <v>1208</v>
      </c>
      <c r="N1701" s="199">
        <f t="shared" si="15"/>
        <v>43.725000000000001</v>
      </c>
      <c r="O1701" s="155"/>
      <c r="P1701" s="193"/>
      <c r="Q1701" s="200"/>
      <c r="R1701" s="194"/>
      <c r="T1701" s="190"/>
      <c r="U1701" s="191"/>
    </row>
    <row r="1702" spans="1:21">
      <c r="A1702" s="192"/>
      <c r="B1702" s="215" t="s">
        <v>1237</v>
      </c>
      <c r="C1702" s="196"/>
      <c r="D1702" s="197"/>
      <c r="E1702" s="198"/>
      <c r="F1702" s="199"/>
      <c r="G1702" s="198"/>
      <c r="H1702" s="198"/>
      <c r="I1702" s="198"/>
      <c r="J1702" s="197">
        <v>17.8</v>
      </c>
      <c r="K1702" s="198" t="s">
        <v>1227</v>
      </c>
      <c r="L1702" s="197">
        <v>1.2</v>
      </c>
      <c r="M1702" s="199" t="s">
        <v>1208</v>
      </c>
      <c r="N1702" s="199">
        <f t="shared" si="15"/>
        <v>21.36</v>
      </c>
      <c r="O1702" s="155"/>
      <c r="P1702" s="193"/>
      <c r="Q1702" s="200"/>
      <c r="R1702" s="194"/>
      <c r="T1702" s="190"/>
      <c r="U1702" s="191"/>
    </row>
    <row r="1703" spans="1:21">
      <c r="A1703" s="192"/>
      <c r="B1703" s="215" t="s">
        <v>1191</v>
      </c>
      <c r="C1703" s="196"/>
      <c r="D1703" s="197"/>
      <c r="E1703" s="198"/>
      <c r="F1703" s="199"/>
      <c r="G1703" s="198"/>
      <c r="H1703" s="198"/>
      <c r="I1703" s="198"/>
      <c r="J1703" s="197">
        <v>17.8</v>
      </c>
      <c r="K1703" s="198" t="s">
        <v>1227</v>
      </c>
      <c r="L1703" s="197">
        <v>1.2</v>
      </c>
      <c r="M1703" s="199" t="s">
        <v>1208</v>
      </c>
      <c r="N1703" s="199">
        <f t="shared" si="15"/>
        <v>21.36</v>
      </c>
      <c r="O1703" s="155"/>
      <c r="P1703" s="193"/>
      <c r="Q1703" s="200"/>
      <c r="R1703" s="194"/>
      <c r="T1703" s="190"/>
      <c r="U1703" s="191"/>
    </row>
    <row r="1704" spans="1:21">
      <c r="A1704" s="192"/>
      <c r="B1704" s="215" t="s">
        <v>1238</v>
      </c>
      <c r="C1704" s="196"/>
      <c r="D1704" s="197"/>
      <c r="E1704" s="198"/>
      <c r="F1704" s="199"/>
      <c r="G1704" s="198"/>
      <c r="H1704" s="198"/>
      <c r="I1704" s="198"/>
      <c r="J1704" s="197">
        <v>11</v>
      </c>
      <c r="K1704" s="198" t="s">
        <v>1227</v>
      </c>
      <c r="L1704" s="197">
        <v>2.65</v>
      </c>
      <c r="M1704" s="199" t="s">
        <v>1208</v>
      </c>
      <c r="N1704" s="199">
        <f t="shared" si="15"/>
        <v>29.15</v>
      </c>
      <c r="O1704" s="155"/>
      <c r="P1704" s="193"/>
      <c r="Q1704" s="200"/>
      <c r="R1704" s="194"/>
      <c r="T1704" s="190"/>
      <c r="U1704" s="191"/>
    </row>
    <row r="1705" spans="1:21">
      <c r="A1705" s="192"/>
      <c r="B1705" s="215" t="s">
        <v>1239</v>
      </c>
      <c r="C1705" s="196"/>
      <c r="D1705" s="197"/>
      <c r="E1705" s="198"/>
      <c r="F1705" s="199"/>
      <c r="G1705" s="198"/>
      <c r="H1705" s="198"/>
      <c r="I1705" s="198"/>
      <c r="J1705" s="197">
        <f>7.4+7.4+32.55</f>
        <v>47.349999999999994</v>
      </c>
      <c r="K1705" s="198" t="s">
        <v>1227</v>
      </c>
      <c r="L1705" s="197">
        <v>2.4</v>
      </c>
      <c r="M1705" s="199" t="s">
        <v>1208</v>
      </c>
      <c r="N1705" s="199">
        <f t="shared" si="15"/>
        <v>113.63999999999999</v>
      </c>
      <c r="O1705" s="155"/>
      <c r="P1705" s="193"/>
      <c r="Q1705" s="200"/>
      <c r="R1705" s="194"/>
      <c r="T1705" s="190"/>
      <c r="U1705" s="191"/>
    </row>
    <row r="1706" spans="1:21">
      <c r="A1706" s="192"/>
      <c r="B1706" s="215" t="s">
        <v>1241</v>
      </c>
      <c r="C1706" s="196"/>
      <c r="D1706" s="197"/>
      <c r="E1706" s="198"/>
      <c r="F1706" s="199"/>
      <c r="G1706" s="198"/>
      <c r="H1706" s="198"/>
      <c r="I1706" s="198"/>
      <c r="J1706" s="197">
        <v>38.4</v>
      </c>
      <c r="K1706" s="198" t="s">
        <v>1227</v>
      </c>
      <c r="L1706" s="197">
        <v>1.2</v>
      </c>
      <c r="M1706" s="199" t="s">
        <v>1208</v>
      </c>
      <c r="N1706" s="199">
        <f t="shared" si="15"/>
        <v>46.08</v>
      </c>
      <c r="O1706" s="155"/>
      <c r="P1706" s="193"/>
      <c r="Q1706" s="200"/>
      <c r="R1706" s="194"/>
      <c r="T1706" s="190"/>
      <c r="U1706" s="191"/>
    </row>
    <row r="1707" spans="1:21">
      <c r="A1707" s="192"/>
      <c r="B1707" s="195" t="s">
        <v>1358</v>
      </c>
      <c r="C1707" s="196"/>
      <c r="D1707" s="197"/>
      <c r="E1707" s="198"/>
      <c r="F1707" s="199"/>
      <c r="G1707" s="198"/>
      <c r="H1707" s="198"/>
      <c r="I1707" s="198"/>
      <c r="J1707" s="198" t="s">
        <v>1376</v>
      </c>
      <c r="K1707" s="198"/>
      <c r="L1707" s="198" t="s">
        <v>1281</v>
      </c>
      <c r="M1707" s="199"/>
      <c r="N1707" s="209"/>
      <c r="O1707" s="251"/>
      <c r="P1707" s="193"/>
      <c r="Q1707" s="200"/>
      <c r="R1707" s="194"/>
      <c r="T1707" s="190"/>
      <c r="U1707" s="191"/>
    </row>
    <row r="1708" spans="1:21">
      <c r="A1708" s="192"/>
      <c r="B1708" s="215" t="s">
        <v>1359</v>
      </c>
      <c r="C1708" s="196"/>
      <c r="D1708" s="197"/>
      <c r="E1708" s="198"/>
      <c r="F1708" s="197"/>
      <c r="G1708" s="198"/>
      <c r="H1708" s="198"/>
      <c r="I1708" s="198"/>
      <c r="J1708" s="197">
        <v>30.6</v>
      </c>
      <c r="K1708" s="198" t="s">
        <v>1227</v>
      </c>
      <c r="L1708" s="197">
        <v>1.5</v>
      </c>
      <c r="M1708" s="199" t="s">
        <v>1208</v>
      </c>
      <c r="N1708" s="199">
        <f>J1708*L1708</f>
        <v>45.900000000000006</v>
      </c>
      <c r="O1708" s="251"/>
      <c r="P1708" s="193"/>
      <c r="Q1708" s="200"/>
      <c r="R1708" s="194"/>
      <c r="T1708" s="190"/>
      <c r="U1708" s="191"/>
    </row>
    <row r="1709" spans="1:21">
      <c r="A1709" s="192"/>
      <c r="B1709" s="215" t="s">
        <v>1360</v>
      </c>
      <c r="C1709" s="196"/>
      <c r="D1709" s="197"/>
      <c r="E1709" s="198"/>
      <c r="F1709" s="197"/>
      <c r="G1709" s="198"/>
      <c r="H1709" s="198"/>
      <c r="I1709" s="198"/>
      <c r="J1709" s="197">
        <v>21.2</v>
      </c>
      <c r="K1709" s="198" t="s">
        <v>1227</v>
      </c>
      <c r="L1709" s="197">
        <v>1.5</v>
      </c>
      <c r="M1709" s="199" t="s">
        <v>1208</v>
      </c>
      <c r="N1709" s="199">
        <f>J1709*L1709</f>
        <v>31.799999999999997</v>
      </c>
      <c r="O1709" s="217"/>
      <c r="P1709" s="193"/>
      <c r="Q1709" s="200"/>
      <c r="R1709" s="194"/>
      <c r="T1709" s="190"/>
      <c r="U1709" s="191"/>
    </row>
    <row r="1710" spans="1:21">
      <c r="A1710" s="192"/>
      <c r="B1710" s="215" t="s">
        <v>1361</v>
      </c>
      <c r="C1710" s="196"/>
      <c r="D1710" s="197"/>
      <c r="E1710" s="198"/>
      <c r="F1710" s="199"/>
      <c r="G1710" s="198"/>
      <c r="H1710" s="198"/>
      <c r="I1710" s="198"/>
      <c r="J1710" s="197">
        <v>16</v>
      </c>
      <c r="K1710" s="198" t="s">
        <v>1227</v>
      </c>
      <c r="L1710" s="197">
        <v>2</v>
      </c>
      <c r="M1710" s="199" t="s">
        <v>1208</v>
      </c>
      <c r="N1710" s="199">
        <f>J1710*L1710</f>
        <v>32</v>
      </c>
      <c r="O1710" s="217"/>
      <c r="P1710" s="193"/>
      <c r="Q1710" s="200"/>
      <c r="R1710" s="194"/>
      <c r="T1710" s="190"/>
      <c r="U1710" s="191"/>
    </row>
    <row r="1711" spans="1:21">
      <c r="A1711" s="192"/>
      <c r="B1711" s="215"/>
      <c r="C1711" s="196"/>
      <c r="D1711" s="197"/>
      <c r="E1711" s="198"/>
      <c r="F1711" s="197"/>
      <c r="G1711" s="198"/>
      <c r="H1711" s="197"/>
      <c r="I1711" s="198"/>
      <c r="J1711" s="197"/>
      <c r="K1711" s="198"/>
      <c r="L1711" s="254"/>
      <c r="M1711" s="201"/>
      <c r="N1711" s="201"/>
      <c r="O1711" s="202"/>
      <c r="P1711" s="193"/>
      <c r="Q1711" s="200"/>
      <c r="R1711" s="194"/>
      <c r="T1711" s="190"/>
      <c r="U1711" s="191"/>
    </row>
    <row r="1712" spans="1:21">
      <c r="A1712" s="192"/>
      <c r="B1712" s="195"/>
      <c r="C1712" s="196"/>
      <c r="D1712" s="197"/>
      <c r="E1712" s="198"/>
      <c r="F1712" s="197"/>
      <c r="G1712" s="198"/>
      <c r="H1712" s="197"/>
      <c r="I1712" s="198"/>
      <c r="J1712" s="197"/>
      <c r="K1712" s="198"/>
      <c r="L1712" s="199" t="s">
        <v>1140</v>
      </c>
      <c r="M1712" s="199" t="s">
        <v>1208</v>
      </c>
      <c r="N1712" s="199">
        <f>SUM(N1697:N1710)</f>
        <v>629.03899999999999</v>
      </c>
      <c r="O1712" s="155" t="e">
        <f>P1694</f>
        <v>#REF!</v>
      </c>
      <c r="P1712" s="193"/>
      <c r="Q1712" s="200"/>
      <c r="R1712" s="194"/>
      <c r="T1712" s="190"/>
      <c r="U1712" s="191"/>
    </row>
    <row r="1713" spans="1:21">
      <c r="A1713" s="192"/>
      <c r="B1713" s="1277" t="s">
        <v>1209</v>
      </c>
      <c r="C1713" s="1277"/>
      <c r="D1713" s="1277"/>
      <c r="E1713" s="1277"/>
      <c r="F1713" s="1277"/>
      <c r="G1713" s="1277"/>
      <c r="H1713" s="1277"/>
      <c r="I1713" s="1277"/>
      <c r="J1713" s="1277"/>
      <c r="K1713" s="1277"/>
      <c r="L1713" s="1277"/>
      <c r="M1713" s="1277"/>
      <c r="N1713" s="1277"/>
      <c r="O1713" s="1277"/>
      <c r="P1713" s="1277"/>
      <c r="Q1713" s="203">
        <v>0</v>
      </c>
      <c r="R1713" s="204">
        <f>Q1713</f>
        <v>0</v>
      </c>
      <c r="T1713" s="1278"/>
      <c r="U1713" s="1279"/>
    </row>
    <row r="1714" spans="1:21">
      <c r="A1714" s="192"/>
      <c r="B1714" s="1277" t="e">
        <f>med</f>
        <v>#NAME?</v>
      </c>
      <c r="C1714" s="1277"/>
      <c r="D1714" s="1277"/>
      <c r="E1714" s="1277"/>
      <c r="F1714" s="1277"/>
      <c r="G1714" s="1277"/>
      <c r="H1714" s="1277"/>
      <c r="I1714" s="1277"/>
      <c r="J1714" s="1277"/>
      <c r="K1714" s="1277"/>
      <c r="L1714" s="1277"/>
      <c r="M1714" s="1277"/>
      <c r="N1714" s="1277"/>
      <c r="O1714" s="1277"/>
      <c r="P1714" s="205">
        <f>N1712</f>
        <v>629.03899999999999</v>
      </c>
      <c r="Q1714" s="203">
        <f>P1714</f>
        <v>629.03899999999999</v>
      </c>
      <c r="R1714" s="204">
        <f>Q1714+R1713</f>
        <v>629.03899999999999</v>
      </c>
      <c r="T1714" s="1278"/>
      <c r="U1714" s="1279"/>
    </row>
    <row r="1715" spans="1:21" ht="18" customHeight="1">
      <c r="A1715" s="187" t="e">
        <f>#REF!</f>
        <v>#REF!</v>
      </c>
      <c r="B1715" s="1275" t="e">
        <f>IF(A1715="","",VLOOKUP($A1715,'[2]FDE-JUNHO-08'!$A$6:$D$3537,2,FALSE()))</f>
        <v>#REF!</v>
      </c>
      <c r="C1715" s="1275"/>
      <c r="D1715" s="1275"/>
      <c r="E1715" s="1275"/>
      <c r="F1715" s="1275"/>
      <c r="G1715" s="1275"/>
      <c r="H1715" s="1275"/>
      <c r="I1715" s="1275"/>
      <c r="J1715" s="1275"/>
      <c r="K1715" s="1275"/>
      <c r="L1715" s="1275"/>
      <c r="M1715" s="1275"/>
      <c r="N1715" s="1275"/>
      <c r="O1715" s="1275"/>
      <c r="P1715" s="188" t="e">
        <f>IF(A1715="","",VLOOKUP($A1715,'[2]FDE-JUNHO-08'!$A$6:$D$3537,3,FALSE()))</f>
        <v>#REF!</v>
      </c>
      <c r="Q1715" s="189" t="s">
        <v>1205</v>
      </c>
      <c r="R1715" s="189" t="s">
        <v>1206</v>
      </c>
      <c r="T1715" s="190"/>
      <c r="U1715" s="191"/>
    </row>
    <row r="1716" spans="1:21">
      <c r="A1716" s="192"/>
      <c r="B1716" s="1281"/>
      <c r="C1716" s="1281"/>
      <c r="D1716" s="1281"/>
      <c r="E1716" s="1281"/>
      <c r="F1716" s="1281"/>
      <c r="G1716" s="1281"/>
      <c r="H1716" s="1281"/>
      <c r="I1716" s="1281"/>
      <c r="J1716" s="1281"/>
      <c r="K1716" s="1281"/>
      <c r="L1716" s="1281"/>
      <c r="M1716" s="1281"/>
      <c r="N1716" s="1281"/>
      <c r="O1716" s="1281"/>
      <c r="P1716" s="193"/>
      <c r="Q1716" s="194"/>
      <c r="R1716" s="194"/>
      <c r="T1716" s="190"/>
      <c r="U1716" s="191"/>
    </row>
    <row r="1717" spans="1:21">
      <c r="A1717" s="192"/>
      <c r="B1717" s="195" t="s">
        <v>1250</v>
      </c>
      <c r="C1717" s="196"/>
      <c r="D1717" s="197"/>
      <c r="E1717" s="198"/>
      <c r="F1717" s="198" t="s">
        <v>1251</v>
      </c>
      <c r="G1717" s="198"/>
      <c r="H1717" s="198" t="s">
        <v>1344</v>
      </c>
      <c r="I1717" s="198"/>
      <c r="J1717" s="198" t="s">
        <v>1252</v>
      </c>
      <c r="K1717" s="198"/>
      <c r="L1717" s="198" t="s">
        <v>1253</v>
      </c>
      <c r="M1717" s="199"/>
      <c r="N1717" s="199"/>
      <c r="O1717" s="155"/>
      <c r="P1717" s="193"/>
      <c r="Q1717" s="200"/>
      <c r="R1717" s="194"/>
      <c r="T1717" s="190"/>
      <c r="U1717" s="191"/>
    </row>
    <row r="1718" spans="1:21">
      <c r="A1718" s="192"/>
      <c r="B1718" s="195" t="s">
        <v>1254</v>
      </c>
      <c r="C1718" s="196"/>
      <c r="D1718" s="197"/>
      <c r="E1718" s="198"/>
      <c r="F1718" s="198">
        <v>1</v>
      </c>
      <c r="G1718" s="198" t="s">
        <v>1255</v>
      </c>
      <c r="H1718" s="198">
        <v>2</v>
      </c>
      <c r="I1718" s="198" t="s">
        <v>1255</v>
      </c>
      <c r="J1718" s="198">
        <v>1.35</v>
      </c>
      <c r="K1718" s="198" t="s">
        <v>1255</v>
      </c>
      <c r="L1718" s="198">
        <v>1.3</v>
      </c>
      <c r="M1718" s="199" t="s">
        <v>1208</v>
      </c>
      <c r="N1718" s="199">
        <f t="shared" ref="N1718:N1726" si="16">L1718*J1718*H1718*F1718</f>
        <v>3.5100000000000002</v>
      </c>
      <c r="O1718" s="155"/>
      <c r="P1718" s="193"/>
      <c r="Q1718" s="200"/>
      <c r="R1718" s="194"/>
      <c r="T1718" s="190"/>
      <c r="U1718" s="191"/>
    </row>
    <row r="1719" spans="1:21">
      <c r="A1719" s="192"/>
      <c r="B1719" s="195" t="s">
        <v>1256</v>
      </c>
      <c r="C1719" s="196"/>
      <c r="D1719" s="197"/>
      <c r="E1719" s="198"/>
      <c r="F1719" s="198">
        <v>1</v>
      </c>
      <c r="G1719" s="198" t="s">
        <v>1255</v>
      </c>
      <c r="H1719" s="198">
        <v>2</v>
      </c>
      <c r="I1719" s="198" t="s">
        <v>1255</v>
      </c>
      <c r="J1719" s="198">
        <v>0.65</v>
      </c>
      <c r="K1719" s="198" t="s">
        <v>1255</v>
      </c>
      <c r="L1719" s="198">
        <v>1.3</v>
      </c>
      <c r="M1719" s="199" t="s">
        <v>1208</v>
      </c>
      <c r="N1719" s="199">
        <f t="shared" si="16"/>
        <v>1.6900000000000002</v>
      </c>
      <c r="O1719" s="155"/>
      <c r="P1719" s="193"/>
      <c r="Q1719" s="200"/>
      <c r="R1719" s="194"/>
      <c r="T1719" s="190"/>
      <c r="U1719" s="191"/>
    </row>
    <row r="1720" spans="1:21">
      <c r="A1720" s="192"/>
      <c r="B1720" s="195" t="s">
        <v>1257</v>
      </c>
      <c r="C1720" s="196"/>
      <c r="D1720" s="197"/>
      <c r="E1720" s="198"/>
      <c r="F1720" s="198">
        <v>1</v>
      </c>
      <c r="G1720" s="198" t="s">
        <v>1255</v>
      </c>
      <c r="H1720" s="198">
        <v>2</v>
      </c>
      <c r="I1720" s="198" t="s">
        <v>1255</v>
      </c>
      <c r="J1720" s="198">
        <v>0.65</v>
      </c>
      <c r="K1720" s="198" t="s">
        <v>1255</v>
      </c>
      <c r="L1720" s="198">
        <v>1.1499999999999999</v>
      </c>
      <c r="M1720" s="199" t="s">
        <v>1208</v>
      </c>
      <c r="N1720" s="199">
        <f t="shared" si="16"/>
        <v>1.4949999999999999</v>
      </c>
      <c r="O1720" s="155"/>
      <c r="P1720" s="193"/>
      <c r="Q1720" s="200"/>
      <c r="R1720" s="194"/>
      <c r="T1720" s="190"/>
      <c r="U1720" s="191"/>
    </row>
    <row r="1721" spans="1:21">
      <c r="A1721" s="192"/>
      <c r="B1721" s="195" t="s">
        <v>1258</v>
      </c>
      <c r="C1721" s="196"/>
      <c r="D1721" s="197"/>
      <c r="E1721" s="198"/>
      <c r="F1721" s="198">
        <v>6</v>
      </c>
      <c r="G1721" s="198" t="s">
        <v>1255</v>
      </c>
      <c r="H1721" s="198">
        <v>2</v>
      </c>
      <c r="I1721" s="198" t="s">
        <v>1255</v>
      </c>
      <c r="J1721" s="198">
        <v>2</v>
      </c>
      <c r="K1721" s="198" t="s">
        <v>1255</v>
      </c>
      <c r="L1721" s="198">
        <v>1.3</v>
      </c>
      <c r="M1721" s="199" t="s">
        <v>1208</v>
      </c>
      <c r="N1721" s="199">
        <f t="shared" si="16"/>
        <v>31.200000000000003</v>
      </c>
      <c r="O1721" s="155"/>
      <c r="P1721" s="193"/>
      <c r="Q1721" s="200"/>
      <c r="R1721" s="194"/>
      <c r="T1721" s="190"/>
      <c r="U1721" s="191"/>
    </row>
    <row r="1722" spans="1:21">
      <c r="A1722" s="192" t="s">
        <v>1382</v>
      </c>
      <c r="B1722" s="195" t="s">
        <v>1259</v>
      </c>
      <c r="C1722" s="196"/>
      <c r="D1722" s="197"/>
      <c r="E1722" s="198"/>
      <c r="F1722" s="198">
        <v>2</v>
      </c>
      <c r="G1722" s="198" t="s">
        <v>1255</v>
      </c>
      <c r="H1722" s="198">
        <v>2</v>
      </c>
      <c r="I1722" s="198" t="s">
        <v>1255</v>
      </c>
      <c r="J1722" s="198">
        <v>1.3</v>
      </c>
      <c r="K1722" s="198" t="s">
        <v>1255</v>
      </c>
      <c r="L1722" s="198">
        <v>1.3</v>
      </c>
      <c r="M1722" s="199" t="s">
        <v>1208</v>
      </c>
      <c r="N1722" s="199">
        <f t="shared" si="16"/>
        <v>6.7600000000000007</v>
      </c>
      <c r="O1722" s="155"/>
      <c r="P1722" s="193"/>
      <c r="Q1722" s="200"/>
      <c r="R1722" s="194"/>
      <c r="T1722" s="190"/>
      <c r="U1722" s="191"/>
    </row>
    <row r="1723" spans="1:21">
      <c r="A1723" s="192"/>
      <c r="B1723" s="195" t="s">
        <v>1260</v>
      </c>
      <c r="C1723" s="196"/>
      <c r="D1723" s="197"/>
      <c r="E1723" s="198"/>
      <c r="F1723" s="198">
        <v>1</v>
      </c>
      <c r="G1723" s="198" t="s">
        <v>1255</v>
      </c>
      <c r="H1723" s="198">
        <v>2</v>
      </c>
      <c r="I1723" s="198" t="s">
        <v>1255</v>
      </c>
      <c r="J1723" s="198">
        <v>1.3</v>
      </c>
      <c r="K1723" s="198" t="s">
        <v>1255</v>
      </c>
      <c r="L1723" s="198">
        <v>1.3</v>
      </c>
      <c r="M1723" s="199" t="s">
        <v>1208</v>
      </c>
      <c r="N1723" s="199">
        <f t="shared" si="16"/>
        <v>3.3800000000000003</v>
      </c>
      <c r="O1723" s="155"/>
      <c r="P1723" s="193"/>
      <c r="Q1723" s="200"/>
      <c r="R1723" s="194"/>
      <c r="T1723" s="190"/>
      <c r="U1723" s="191"/>
    </row>
    <row r="1724" spans="1:21">
      <c r="A1724" s="192"/>
      <c r="B1724" s="195" t="s">
        <v>1261</v>
      </c>
      <c r="C1724" s="196"/>
      <c r="D1724" s="197"/>
      <c r="E1724" s="198"/>
      <c r="F1724" s="198">
        <v>1</v>
      </c>
      <c r="G1724" s="198" t="s">
        <v>1255</v>
      </c>
      <c r="H1724" s="198">
        <v>2</v>
      </c>
      <c r="I1724" s="198" t="s">
        <v>1255</v>
      </c>
      <c r="J1724" s="198">
        <v>2</v>
      </c>
      <c r="K1724" s="198" t="s">
        <v>1255</v>
      </c>
      <c r="L1724" s="198">
        <v>1.3</v>
      </c>
      <c r="M1724" s="199" t="s">
        <v>1208</v>
      </c>
      <c r="N1724" s="199">
        <f t="shared" si="16"/>
        <v>5.2</v>
      </c>
      <c r="O1724" s="155"/>
      <c r="P1724" s="193"/>
      <c r="Q1724" s="200"/>
      <c r="R1724" s="194"/>
      <c r="T1724" s="190"/>
      <c r="U1724" s="191"/>
    </row>
    <row r="1725" spans="1:21">
      <c r="A1725" s="192"/>
      <c r="B1725" s="195" t="s">
        <v>1261</v>
      </c>
      <c r="C1725" s="196"/>
      <c r="D1725" s="197"/>
      <c r="E1725" s="198"/>
      <c r="F1725" s="198">
        <v>1</v>
      </c>
      <c r="G1725" s="198" t="s">
        <v>1255</v>
      </c>
      <c r="H1725" s="198">
        <v>2</v>
      </c>
      <c r="I1725" s="198" t="s">
        <v>1255</v>
      </c>
      <c r="J1725" s="198">
        <v>0.75</v>
      </c>
      <c r="K1725" s="198" t="s">
        <v>1255</v>
      </c>
      <c r="L1725" s="198">
        <v>1.3</v>
      </c>
      <c r="M1725" s="199" t="s">
        <v>1208</v>
      </c>
      <c r="N1725" s="199">
        <f t="shared" si="16"/>
        <v>1.9500000000000002</v>
      </c>
      <c r="O1725" s="155"/>
      <c r="P1725" s="193"/>
      <c r="Q1725" s="200"/>
      <c r="R1725" s="194"/>
      <c r="T1725" s="190"/>
      <c r="U1725" s="191"/>
    </row>
    <row r="1726" spans="1:21">
      <c r="A1726" s="192"/>
      <c r="B1726" s="195" t="s">
        <v>1262</v>
      </c>
      <c r="C1726" s="196"/>
      <c r="D1726" s="197"/>
      <c r="E1726" s="198"/>
      <c r="F1726" s="198">
        <v>6</v>
      </c>
      <c r="G1726" s="198" t="s">
        <v>1255</v>
      </c>
      <c r="H1726" s="198">
        <v>2</v>
      </c>
      <c r="I1726" s="198" t="s">
        <v>1255</v>
      </c>
      <c r="J1726" s="198">
        <v>0.7</v>
      </c>
      <c r="K1726" s="198" t="s">
        <v>1255</v>
      </c>
      <c r="L1726" s="198">
        <v>0.7</v>
      </c>
      <c r="M1726" s="199" t="s">
        <v>1208</v>
      </c>
      <c r="N1726" s="199">
        <f t="shared" si="16"/>
        <v>5.879999999999999</v>
      </c>
      <c r="O1726" s="155"/>
      <c r="P1726" s="193"/>
      <c r="Q1726" s="200"/>
      <c r="R1726" s="194"/>
      <c r="T1726" s="190"/>
      <c r="U1726" s="191"/>
    </row>
    <row r="1727" spans="1:21">
      <c r="A1727" s="192"/>
      <c r="B1727" s="195" t="s">
        <v>1263</v>
      </c>
      <c r="C1727" s="196"/>
      <c r="D1727" s="197"/>
      <c r="E1727" s="198"/>
      <c r="F1727" s="198"/>
      <c r="G1727" s="198"/>
      <c r="H1727" s="198"/>
      <c r="I1727" s="198"/>
      <c r="J1727" s="198"/>
      <c r="K1727" s="198"/>
      <c r="L1727" s="198"/>
      <c r="M1727" s="199"/>
      <c r="N1727" s="199"/>
      <c r="O1727" s="155"/>
      <c r="P1727" s="193"/>
      <c r="Q1727" s="200"/>
      <c r="R1727" s="194"/>
      <c r="T1727" s="190"/>
      <c r="U1727" s="191"/>
    </row>
    <row r="1728" spans="1:21">
      <c r="A1728" s="192"/>
      <c r="B1728" s="195" t="s">
        <v>1264</v>
      </c>
      <c r="C1728" s="196"/>
      <c r="D1728" s="197"/>
      <c r="E1728" s="198"/>
      <c r="F1728" s="198">
        <v>1</v>
      </c>
      <c r="G1728" s="198" t="s">
        <v>1255</v>
      </c>
      <c r="H1728" s="198">
        <v>2</v>
      </c>
      <c r="I1728" s="198" t="s">
        <v>1255</v>
      </c>
      <c r="J1728" s="198">
        <v>4.8</v>
      </c>
      <c r="K1728" s="198" t="s">
        <v>1255</v>
      </c>
      <c r="L1728" s="198">
        <v>2.35</v>
      </c>
      <c r="M1728" s="199" t="s">
        <v>1208</v>
      </c>
      <c r="N1728" s="199">
        <f>L1728*J1728*H1728*F1728</f>
        <v>22.56</v>
      </c>
      <c r="O1728" s="155"/>
      <c r="P1728" s="193"/>
      <c r="Q1728" s="200"/>
      <c r="R1728" s="194"/>
      <c r="T1728" s="190"/>
      <c r="U1728" s="191"/>
    </row>
    <row r="1729" spans="1:21">
      <c r="A1729" s="192"/>
      <c r="B1729" s="195" t="s">
        <v>1265</v>
      </c>
      <c r="C1729" s="196"/>
      <c r="D1729" s="197"/>
      <c r="E1729" s="198"/>
      <c r="F1729" s="198">
        <v>1</v>
      </c>
      <c r="G1729" s="198" t="s">
        <v>1255</v>
      </c>
      <c r="H1729" s="198">
        <v>2</v>
      </c>
      <c r="I1729" s="198" t="s">
        <v>1255</v>
      </c>
      <c r="J1729" s="198">
        <v>1</v>
      </c>
      <c r="K1729" s="198" t="s">
        <v>1255</v>
      </c>
      <c r="L1729" s="198">
        <v>1.8</v>
      </c>
      <c r="M1729" s="199" t="s">
        <v>1208</v>
      </c>
      <c r="N1729" s="199">
        <f>L1729*J1729*H1729*F1729</f>
        <v>3.6</v>
      </c>
      <c r="O1729" s="155"/>
      <c r="P1729" s="193"/>
      <c r="Q1729" s="200"/>
      <c r="R1729" s="194"/>
      <c r="T1729" s="190"/>
      <c r="U1729" s="191"/>
    </row>
    <row r="1730" spans="1:21">
      <c r="A1730" s="192"/>
      <c r="B1730" s="195" t="s">
        <v>1266</v>
      </c>
      <c r="C1730" s="196"/>
      <c r="D1730" s="197"/>
      <c r="E1730" s="198"/>
      <c r="F1730" s="198">
        <v>1</v>
      </c>
      <c r="G1730" s="198" t="s">
        <v>1255</v>
      </c>
      <c r="H1730" s="198">
        <v>2</v>
      </c>
      <c r="I1730" s="198" t="s">
        <v>1255</v>
      </c>
      <c r="J1730" s="198">
        <v>3</v>
      </c>
      <c r="K1730" s="198" t="s">
        <v>1255</v>
      </c>
      <c r="L1730" s="198">
        <v>1.5</v>
      </c>
      <c r="M1730" s="199" t="s">
        <v>1208</v>
      </c>
      <c r="N1730" s="199">
        <f>L1730*J1730*H1730*F1730</f>
        <v>9</v>
      </c>
      <c r="O1730" s="155"/>
      <c r="P1730" s="193"/>
      <c r="Q1730" s="200"/>
      <c r="R1730" s="194"/>
      <c r="T1730" s="190"/>
      <c r="U1730" s="191"/>
    </row>
    <row r="1731" spans="1:21">
      <c r="A1731" s="192"/>
      <c r="B1731" s="195" t="s">
        <v>1267</v>
      </c>
      <c r="C1731" s="196"/>
      <c r="D1731" s="197"/>
      <c r="E1731" s="198"/>
      <c r="F1731" s="198">
        <v>1</v>
      </c>
      <c r="G1731" s="198" t="s">
        <v>1255</v>
      </c>
      <c r="H1731" s="198">
        <v>2</v>
      </c>
      <c r="I1731" s="198" t="s">
        <v>1255</v>
      </c>
      <c r="J1731" s="198">
        <v>3</v>
      </c>
      <c r="K1731" s="198" t="s">
        <v>1255</v>
      </c>
      <c r="L1731" s="198">
        <v>1.8</v>
      </c>
      <c r="M1731" s="199" t="s">
        <v>1208</v>
      </c>
      <c r="N1731" s="199">
        <f>L1731*J1731*H1731*F1731</f>
        <v>10.8</v>
      </c>
      <c r="O1731" s="155"/>
      <c r="P1731" s="193"/>
      <c r="Q1731" s="200"/>
      <c r="R1731" s="194"/>
      <c r="T1731" s="190"/>
      <c r="U1731" s="191"/>
    </row>
    <row r="1732" spans="1:21">
      <c r="A1732" s="192"/>
      <c r="B1732" s="195" t="s">
        <v>1268</v>
      </c>
      <c r="C1732" s="196"/>
      <c r="D1732" s="197"/>
      <c r="E1732" s="198"/>
      <c r="F1732" s="198">
        <v>1</v>
      </c>
      <c r="G1732" s="198" t="s">
        <v>1255</v>
      </c>
      <c r="H1732" s="198">
        <v>1</v>
      </c>
      <c r="I1732" s="198" t="s">
        <v>1255</v>
      </c>
      <c r="J1732" s="198">
        <v>7.68</v>
      </c>
      <c r="K1732" s="198" t="s">
        <v>1255</v>
      </c>
      <c r="L1732" s="198">
        <v>7.68</v>
      </c>
      <c r="M1732" s="199" t="s">
        <v>1208</v>
      </c>
      <c r="N1732" s="199">
        <f>L1732*J1732*H1732*F1732</f>
        <v>58.982399999999998</v>
      </c>
      <c r="O1732" s="155"/>
      <c r="P1732" s="193"/>
      <c r="Q1732" s="200"/>
      <c r="R1732" s="194"/>
      <c r="T1732" s="190"/>
      <c r="U1732" s="191"/>
    </row>
    <row r="1733" spans="1:21">
      <c r="A1733" s="192"/>
      <c r="B1733" s="195"/>
      <c r="C1733" s="196"/>
      <c r="D1733" s="197"/>
      <c r="E1733" s="198"/>
      <c r="F1733" s="197"/>
      <c r="G1733" s="198"/>
      <c r="H1733" s="197"/>
      <c r="I1733" s="198"/>
      <c r="J1733" s="197"/>
      <c r="K1733" s="198"/>
      <c r="L1733" s="199"/>
      <c r="M1733" s="199"/>
      <c r="N1733" s="201"/>
      <c r="O1733" s="202"/>
      <c r="P1733" s="193"/>
      <c r="Q1733" s="200"/>
      <c r="R1733" s="194"/>
      <c r="T1733" s="190"/>
      <c r="U1733" s="191"/>
    </row>
    <row r="1734" spans="1:21">
      <c r="A1734" s="192"/>
      <c r="B1734" s="195"/>
      <c r="C1734" s="196"/>
      <c r="D1734" s="197"/>
      <c r="E1734" s="198"/>
      <c r="F1734" s="197"/>
      <c r="G1734" s="198"/>
      <c r="H1734" s="197"/>
      <c r="I1734" s="198"/>
      <c r="J1734" s="197"/>
      <c r="K1734" s="198"/>
      <c r="L1734" s="199" t="s">
        <v>1140</v>
      </c>
      <c r="M1734" s="199" t="s">
        <v>1208</v>
      </c>
      <c r="N1734" s="199">
        <f>SUM(N1717:N1733)</f>
        <v>166.00740000000002</v>
      </c>
      <c r="O1734" s="155" t="e">
        <f>P1715</f>
        <v>#REF!</v>
      </c>
      <c r="P1734" s="193"/>
      <c r="Q1734" s="200"/>
      <c r="R1734" s="194"/>
      <c r="T1734" s="190"/>
      <c r="U1734" s="191"/>
    </row>
    <row r="1735" spans="1:21">
      <c r="A1735" s="192"/>
      <c r="B1735" s="195"/>
      <c r="C1735" s="196"/>
      <c r="D1735" s="197"/>
      <c r="E1735" s="198"/>
      <c r="F1735" s="197"/>
      <c r="G1735" s="198"/>
      <c r="H1735" s="197"/>
      <c r="I1735" s="198"/>
      <c r="J1735" s="197"/>
      <c r="K1735" s="198"/>
      <c r="L1735" s="199"/>
      <c r="M1735" s="199"/>
      <c r="N1735" s="199"/>
      <c r="O1735" s="155"/>
      <c r="P1735" s="193"/>
      <c r="Q1735" s="200"/>
      <c r="R1735" s="194"/>
      <c r="T1735" s="190"/>
      <c r="U1735" s="191"/>
    </row>
    <row r="1736" spans="1:21">
      <c r="A1736" s="192"/>
      <c r="B1736" s="195"/>
      <c r="C1736" s="196"/>
      <c r="D1736" s="197"/>
      <c r="E1736" s="198"/>
      <c r="F1736" s="197"/>
      <c r="G1736" s="198"/>
      <c r="H1736" s="197"/>
      <c r="I1736" s="198"/>
      <c r="J1736" s="197"/>
      <c r="K1736" s="198"/>
      <c r="L1736" s="199"/>
      <c r="M1736" s="199"/>
      <c r="N1736" s="199"/>
      <c r="O1736" s="155"/>
      <c r="P1736" s="193"/>
      <c r="Q1736" s="200"/>
      <c r="R1736" s="194"/>
      <c r="T1736" s="190"/>
      <c r="U1736" s="191"/>
    </row>
    <row r="1737" spans="1:21">
      <c r="A1737" s="192"/>
      <c r="B1737" s="1277" t="s">
        <v>1209</v>
      </c>
      <c r="C1737" s="1277"/>
      <c r="D1737" s="1277"/>
      <c r="E1737" s="1277"/>
      <c r="F1737" s="1277"/>
      <c r="G1737" s="1277"/>
      <c r="H1737" s="1277"/>
      <c r="I1737" s="1277"/>
      <c r="J1737" s="1277"/>
      <c r="K1737" s="1277"/>
      <c r="L1737" s="1277"/>
      <c r="M1737" s="1277"/>
      <c r="N1737" s="1277"/>
      <c r="O1737" s="1277"/>
      <c r="P1737" s="1277"/>
      <c r="Q1737" s="203">
        <v>0</v>
      </c>
      <c r="R1737" s="204">
        <f>Q1737</f>
        <v>0</v>
      </c>
      <c r="T1737" s="1278"/>
      <c r="U1737" s="1279"/>
    </row>
    <row r="1738" spans="1:21">
      <c r="A1738" s="206"/>
      <c r="B1738" s="1277" t="e">
        <f>med</f>
        <v>#NAME?</v>
      </c>
      <c r="C1738" s="1277"/>
      <c r="D1738" s="1277"/>
      <c r="E1738" s="1277"/>
      <c r="F1738" s="1277"/>
      <c r="G1738" s="1277"/>
      <c r="H1738" s="1277"/>
      <c r="I1738" s="1277"/>
      <c r="J1738" s="1277"/>
      <c r="K1738" s="1277"/>
      <c r="L1738" s="1277"/>
      <c r="M1738" s="1277"/>
      <c r="N1738" s="1277"/>
      <c r="O1738" s="1277"/>
      <c r="P1738" s="205">
        <f>N1734</f>
        <v>166.00740000000002</v>
      </c>
      <c r="Q1738" s="203">
        <f>P1738</f>
        <v>166.00740000000002</v>
      </c>
      <c r="R1738" s="204">
        <f>Q1738+R1737</f>
        <v>166.00740000000002</v>
      </c>
      <c r="T1738" s="1278"/>
      <c r="U1738" s="1279"/>
    </row>
    <row r="1739" spans="1:21" ht="18" customHeight="1">
      <c r="A1739" s="187" t="e">
        <f>#REF!</f>
        <v>#REF!</v>
      </c>
      <c r="B1739" s="1275" t="e">
        <f>IF(A1739="","",VLOOKUP($A1739,'[2]FDE-JUNHO-08'!$A$6:$D$3537,2,FALSE()))</f>
        <v>#REF!</v>
      </c>
      <c r="C1739" s="1275"/>
      <c r="D1739" s="1275"/>
      <c r="E1739" s="1275"/>
      <c r="F1739" s="1275"/>
      <c r="G1739" s="1275"/>
      <c r="H1739" s="1275"/>
      <c r="I1739" s="1275"/>
      <c r="J1739" s="1275"/>
      <c r="K1739" s="1275"/>
      <c r="L1739" s="1275"/>
      <c r="M1739" s="1275"/>
      <c r="N1739" s="1275"/>
      <c r="O1739" s="1275"/>
      <c r="P1739" s="188" t="e">
        <f>IF(A1739="","",VLOOKUP($A1739,'[2]FDE-JUNHO-08'!$A$6:$D$3537,3,FALSE()))</f>
        <v>#REF!</v>
      </c>
      <c r="Q1739" s="189" t="s">
        <v>1205</v>
      </c>
      <c r="R1739" s="189" t="s">
        <v>1206</v>
      </c>
      <c r="T1739" s="190"/>
      <c r="U1739" s="191"/>
    </row>
    <row r="1740" spans="1:21">
      <c r="A1740" s="192"/>
      <c r="B1740" s="237"/>
      <c r="C1740" s="238"/>
      <c r="D1740" s="238"/>
      <c r="E1740" s="238"/>
      <c r="F1740" s="238"/>
      <c r="G1740" s="238"/>
      <c r="H1740" s="238"/>
      <c r="I1740" s="238"/>
      <c r="J1740" s="238"/>
      <c r="K1740" s="238"/>
      <c r="L1740" s="238"/>
      <c r="M1740" s="238"/>
      <c r="N1740" s="238"/>
      <c r="O1740" s="239"/>
      <c r="P1740" s="193"/>
      <c r="Q1740" s="194"/>
      <c r="R1740" s="194"/>
      <c r="T1740" s="190"/>
      <c r="U1740" s="191"/>
    </row>
    <row r="1741" spans="1:21">
      <c r="A1741" s="192"/>
      <c r="B1741" s="195" t="s">
        <v>254</v>
      </c>
      <c r="C1741" s="196"/>
      <c r="D1741" s="197"/>
      <c r="E1741" s="198"/>
      <c r="F1741" s="198" t="s">
        <v>1242</v>
      </c>
      <c r="G1741" s="198"/>
      <c r="H1741" s="198" t="s">
        <v>1320</v>
      </c>
      <c r="I1741" s="198"/>
      <c r="J1741" s="198" t="s">
        <v>1252</v>
      </c>
      <c r="K1741" s="198"/>
      <c r="L1741" s="198" t="s">
        <v>1253</v>
      </c>
      <c r="M1741" s="209"/>
      <c r="N1741" s="209"/>
      <c r="O1741" s="155"/>
      <c r="P1741" s="193"/>
      <c r="Q1741" s="200"/>
      <c r="R1741" s="194"/>
      <c r="T1741" s="190"/>
      <c r="U1741" s="191"/>
    </row>
    <row r="1742" spans="1:21">
      <c r="A1742" s="192"/>
      <c r="B1742" s="195" t="s">
        <v>1254</v>
      </c>
      <c r="C1742" s="196"/>
      <c r="D1742" s="197"/>
      <c r="E1742" s="198"/>
      <c r="F1742" s="198">
        <v>2</v>
      </c>
      <c r="G1742" s="198" t="s">
        <v>1255</v>
      </c>
      <c r="H1742" s="198">
        <v>2</v>
      </c>
      <c r="I1742" s="198" t="s">
        <v>1255</v>
      </c>
      <c r="J1742" s="198">
        <v>0.9</v>
      </c>
      <c r="K1742" s="198" t="s">
        <v>1255</v>
      </c>
      <c r="L1742" s="198">
        <v>2.1</v>
      </c>
      <c r="M1742" s="199" t="s">
        <v>1208</v>
      </c>
      <c r="N1742" s="199">
        <f t="shared" ref="N1742:N1751" si="17">F1742*H1742*J1742*L1742</f>
        <v>7.5600000000000005</v>
      </c>
      <c r="O1742" s="155"/>
      <c r="P1742" s="193"/>
      <c r="Q1742" s="200"/>
      <c r="R1742" s="194"/>
      <c r="T1742" s="190"/>
      <c r="U1742" s="191"/>
    </row>
    <row r="1743" spans="1:21">
      <c r="A1743" s="192"/>
      <c r="B1743" s="195" t="s">
        <v>1256</v>
      </c>
      <c r="C1743" s="196"/>
      <c r="D1743" s="197"/>
      <c r="E1743" s="198"/>
      <c r="F1743" s="198">
        <v>1</v>
      </c>
      <c r="G1743" s="198" t="s">
        <v>1255</v>
      </c>
      <c r="H1743" s="198">
        <v>2</v>
      </c>
      <c r="I1743" s="198" t="s">
        <v>1255</v>
      </c>
      <c r="J1743" s="198">
        <v>0.9</v>
      </c>
      <c r="K1743" s="198" t="s">
        <v>1255</v>
      </c>
      <c r="L1743" s="198">
        <v>2.1</v>
      </c>
      <c r="M1743" s="199" t="s">
        <v>1208</v>
      </c>
      <c r="N1743" s="199">
        <f t="shared" si="17"/>
        <v>3.7800000000000002</v>
      </c>
      <c r="O1743" s="155"/>
      <c r="P1743" s="193"/>
      <c r="Q1743" s="200"/>
      <c r="R1743" s="194"/>
      <c r="T1743" s="190"/>
      <c r="U1743" s="191"/>
    </row>
    <row r="1744" spans="1:21">
      <c r="A1744" s="192"/>
      <c r="B1744" s="195" t="s">
        <v>1257</v>
      </c>
      <c r="C1744" s="196"/>
      <c r="D1744" s="197"/>
      <c r="E1744" s="198"/>
      <c r="F1744" s="198">
        <v>1</v>
      </c>
      <c r="G1744" s="198" t="s">
        <v>1255</v>
      </c>
      <c r="H1744" s="198">
        <v>2</v>
      </c>
      <c r="I1744" s="198" t="s">
        <v>1255</v>
      </c>
      <c r="J1744" s="198">
        <v>0.9</v>
      </c>
      <c r="K1744" s="198" t="s">
        <v>1255</v>
      </c>
      <c r="L1744" s="198">
        <v>2.1</v>
      </c>
      <c r="M1744" s="199" t="s">
        <v>1208</v>
      </c>
      <c r="N1744" s="199">
        <f t="shared" si="17"/>
        <v>3.7800000000000002</v>
      </c>
      <c r="O1744" s="155"/>
      <c r="P1744" s="193"/>
      <c r="Q1744" s="200"/>
      <c r="R1744" s="194"/>
      <c r="T1744" s="190"/>
      <c r="U1744" s="191"/>
    </row>
    <row r="1745" spans="1:21">
      <c r="A1745" s="192"/>
      <c r="B1745" s="195" t="s">
        <v>1258</v>
      </c>
      <c r="C1745" s="196"/>
      <c r="D1745" s="197"/>
      <c r="E1745" s="198"/>
      <c r="F1745" s="198">
        <v>3</v>
      </c>
      <c r="G1745" s="198" t="s">
        <v>1255</v>
      </c>
      <c r="H1745" s="198">
        <v>2</v>
      </c>
      <c r="I1745" s="198" t="s">
        <v>1255</v>
      </c>
      <c r="J1745" s="198">
        <v>0.9</v>
      </c>
      <c r="K1745" s="198" t="s">
        <v>1255</v>
      </c>
      <c r="L1745" s="198">
        <v>2.1</v>
      </c>
      <c r="M1745" s="199" t="s">
        <v>1208</v>
      </c>
      <c r="N1745" s="199">
        <f t="shared" si="17"/>
        <v>11.340000000000002</v>
      </c>
      <c r="O1745" s="155"/>
      <c r="P1745" s="193"/>
      <c r="Q1745" s="200"/>
      <c r="R1745" s="194"/>
      <c r="T1745" s="190"/>
      <c r="U1745" s="191"/>
    </row>
    <row r="1746" spans="1:21">
      <c r="A1746" s="192"/>
      <c r="B1746" s="195" t="s">
        <v>1259</v>
      </c>
      <c r="C1746" s="196"/>
      <c r="D1746" s="197"/>
      <c r="E1746" s="198"/>
      <c r="F1746" s="198">
        <v>1</v>
      </c>
      <c r="G1746" s="198" t="s">
        <v>1255</v>
      </c>
      <c r="H1746" s="198">
        <v>2</v>
      </c>
      <c r="I1746" s="198" t="s">
        <v>1255</v>
      </c>
      <c r="J1746" s="198">
        <v>0.9</v>
      </c>
      <c r="K1746" s="198" t="s">
        <v>1255</v>
      </c>
      <c r="L1746" s="198">
        <v>2.1</v>
      </c>
      <c r="M1746" s="199" t="s">
        <v>1208</v>
      </c>
      <c r="N1746" s="199">
        <f t="shared" si="17"/>
        <v>3.7800000000000002</v>
      </c>
      <c r="O1746" s="155"/>
      <c r="P1746" s="193"/>
      <c r="Q1746" s="194"/>
      <c r="R1746" s="194"/>
      <c r="T1746" s="190"/>
      <c r="U1746" s="191"/>
    </row>
    <row r="1747" spans="1:21">
      <c r="A1747" s="192"/>
      <c r="B1747" s="195" t="s">
        <v>1260</v>
      </c>
      <c r="C1747" s="196"/>
      <c r="D1747" s="197"/>
      <c r="E1747" s="198"/>
      <c r="F1747" s="198">
        <v>2</v>
      </c>
      <c r="G1747" s="198" t="s">
        <v>1255</v>
      </c>
      <c r="H1747" s="198">
        <v>2</v>
      </c>
      <c r="I1747" s="198" t="s">
        <v>1255</v>
      </c>
      <c r="J1747" s="198">
        <v>0.9</v>
      </c>
      <c r="K1747" s="198" t="s">
        <v>1255</v>
      </c>
      <c r="L1747" s="198">
        <v>2.1</v>
      </c>
      <c r="M1747" s="199" t="s">
        <v>1208</v>
      </c>
      <c r="N1747" s="199">
        <f t="shared" si="17"/>
        <v>7.5600000000000005</v>
      </c>
      <c r="O1747" s="155"/>
      <c r="P1747" s="193"/>
      <c r="Q1747" s="200"/>
      <c r="R1747" s="194"/>
      <c r="T1747" s="190"/>
      <c r="U1747" s="191"/>
    </row>
    <row r="1748" spans="1:21">
      <c r="A1748" s="192"/>
      <c r="B1748" s="195" t="s">
        <v>1261</v>
      </c>
      <c r="C1748" s="196"/>
      <c r="D1748" s="197"/>
      <c r="E1748" s="198"/>
      <c r="F1748" s="198">
        <v>1</v>
      </c>
      <c r="G1748" s="198" t="s">
        <v>1255</v>
      </c>
      <c r="H1748" s="198">
        <v>2</v>
      </c>
      <c r="I1748" s="198" t="s">
        <v>1255</v>
      </c>
      <c r="J1748" s="198">
        <v>0.9</v>
      </c>
      <c r="K1748" s="198" t="s">
        <v>1255</v>
      </c>
      <c r="L1748" s="198">
        <v>2.1</v>
      </c>
      <c r="M1748" s="199" t="s">
        <v>1208</v>
      </c>
      <c r="N1748" s="199">
        <f t="shared" si="17"/>
        <v>3.7800000000000002</v>
      </c>
      <c r="O1748" s="155"/>
      <c r="P1748" s="193"/>
      <c r="Q1748" s="200"/>
      <c r="R1748" s="194"/>
      <c r="T1748" s="190"/>
      <c r="U1748" s="191"/>
    </row>
    <row r="1749" spans="1:21">
      <c r="A1749" s="192"/>
      <c r="B1749" s="195" t="s">
        <v>1262</v>
      </c>
      <c r="C1749" s="196"/>
      <c r="D1749" s="197"/>
      <c r="E1749" s="198"/>
      <c r="F1749" s="198">
        <v>6</v>
      </c>
      <c r="G1749" s="198" t="s">
        <v>1255</v>
      </c>
      <c r="H1749" s="198">
        <v>2</v>
      </c>
      <c r="I1749" s="198" t="s">
        <v>1255</v>
      </c>
      <c r="J1749" s="198">
        <v>0.9</v>
      </c>
      <c r="K1749" s="198" t="s">
        <v>1255</v>
      </c>
      <c r="L1749" s="198">
        <v>2.1</v>
      </c>
      <c r="M1749" s="199" t="s">
        <v>1208</v>
      </c>
      <c r="N1749" s="199">
        <f t="shared" si="17"/>
        <v>22.680000000000003</v>
      </c>
      <c r="O1749" s="155"/>
      <c r="P1749" s="193"/>
      <c r="Q1749" s="200"/>
      <c r="R1749" s="194"/>
      <c r="T1749" s="190"/>
      <c r="U1749" s="191"/>
    </row>
    <row r="1750" spans="1:21">
      <c r="A1750" s="192"/>
      <c r="B1750" s="195" t="s">
        <v>1383</v>
      </c>
      <c r="C1750" s="196"/>
      <c r="D1750" s="197"/>
      <c r="E1750" s="198"/>
      <c r="F1750" s="198">
        <v>4</v>
      </c>
      <c r="G1750" s="198" t="s">
        <v>1255</v>
      </c>
      <c r="H1750" s="198">
        <v>2</v>
      </c>
      <c r="I1750" s="198" t="s">
        <v>1255</v>
      </c>
      <c r="J1750" s="198">
        <v>0.8</v>
      </c>
      <c r="K1750" s="198" t="s">
        <v>1255</v>
      </c>
      <c r="L1750" s="198">
        <v>1.8</v>
      </c>
      <c r="M1750" s="199" t="s">
        <v>1208</v>
      </c>
      <c r="N1750" s="199">
        <f t="shared" si="17"/>
        <v>11.520000000000001</v>
      </c>
      <c r="O1750" s="155"/>
      <c r="P1750" s="193"/>
      <c r="Q1750" s="200"/>
      <c r="R1750" s="194"/>
      <c r="T1750" s="190"/>
      <c r="U1750" s="191"/>
    </row>
    <row r="1751" spans="1:21" ht="12" customHeight="1">
      <c r="A1751" s="192"/>
      <c r="B1751" s="195" t="s">
        <v>1384</v>
      </c>
      <c r="C1751" s="196"/>
      <c r="D1751" s="197"/>
      <c r="E1751" s="198"/>
      <c r="F1751" s="198">
        <v>1</v>
      </c>
      <c r="G1751" s="198" t="s">
        <v>1255</v>
      </c>
      <c r="H1751" s="198">
        <v>2</v>
      </c>
      <c r="I1751" s="198" t="s">
        <v>1255</v>
      </c>
      <c r="J1751" s="198">
        <v>1.6</v>
      </c>
      <c r="K1751" s="198" t="s">
        <v>1255</v>
      </c>
      <c r="L1751" s="198">
        <v>2.1</v>
      </c>
      <c r="M1751" s="199" t="s">
        <v>1208</v>
      </c>
      <c r="N1751" s="199">
        <f t="shared" si="17"/>
        <v>6.7200000000000006</v>
      </c>
      <c r="O1751" s="155"/>
      <c r="P1751" s="193"/>
      <c r="Q1751" s="200"/>
      <c r="R1751" s="194"/>
      <c r="T1751" s="190"/>
      <c r="U1751" s="191"/>
    </row>
    <row r="1752" spans="1:21" hidden="1">
      <c r="A1752" s="192"/>
      <c r="B1752" s="195" t="s">
        <v>1385</v>
      </c>
      <c r="C1752" s="196"/>
      <c r="D1752" s="197"/>
      <c r="E1752" s="198"/>
      <c r="F1752" s="197"/>
      <c r="G1752" s="198"/>
      <c r="H1752" s="197">
        <v>0.9</v>
      </c>
      <c r="I1752" s="198" t="s">
        <v>1255</v>
      </c>
      <c r="J1752" s="197">
        <v>2.1</v>
      </c>
      <c r="K1752" s="198" t="s">
        <v>1255</v>
      </c>
      <c r="L1752" s="199">
        <v>3</v>
      </c>
      <c r="M1752" s="199" t="s">
        <v>1208</v>
      </c>
      <c r="N1752" s="199">
        <f>H1752*J1752*L1752</f>
        <v>5.67</v>
      </c>
      <c r="O1752" s="155"/>
      <c r="P1752" s="193"/>
      <c r="Q1752" s="194"/>
      <c r="R1752" s="194"/>
      <c r="T1752" s="190"/>
      <c r="U1752" s="191"/>
    </row>
    <row r="1753" spans="1:21">
      <c r="A1753" s="192"/>
      <c r="B1753" s="195" t="s">
        <v>1386</v>
      </c>
      <c r="C1753" s="196"/>
      <c r="D1753" s="197"/>
      <c r="E1753" s="198"/>
      <c r="F1753" s="198">
        <v>315</v>
      </c>
      <c r="G1753" s="198" t="s">
        <v>1255</v>
      </c>
      <c r="H1753" s="198">
        <v>4</v>
      </c>
      <c r="I1753" s="198" t="s">
        <v>1255</v>
      </c>
      <c r="J1753" s="198">
        <v>0.2</v>
      </c>
      <c r="K1753" s="198" t="s">
        <v>1255</v>
      </c>
      <c r="L1753" s="198">
        <v>0.25</v>
      </c>
      <c r="M1753" s="199" t="s">
        <v>1208</v>
      </c>
      <c r="N1753" s="199">
        <f>H1753*J1753*L1753*F1753</f>
        <v>63</v>
      </c>
      <c r="O1753" s="155"/>
      <c r="P1753" s="193"/>
      <c r="Q1753" s="200"/>
      <c r="R1753" s="194"/>
      <c r="T1753" s="190"/>
      <c r="U1753" s="191"/>
    </row>
    <row r="1754" spans="1:21">
      <c r="A1754" s="192"/>
      <c r="B1754" s="195"/>
      <c r="C1754" s="196"/>
      <c r="D1754" s="197"/>
      <c r="E1754" s="198"/>
      <c r="F1754" s="197"/>
      <c r="G1754" s="198"/>
      <c r="H1754" s="197"/>
      <c r="I1754" s="198"/>
      <c r="J1754" s="197"/>
      <c r="K1754" s="198"/>
      <c r="L1754" s="199"/>
      <c r="M1754" s="199"/>
      <c r="N1754" s="201"/>
      <c r="O1754" s="202"/>
      <c r="P1754" s="193"/>
      <c r="Q1754" s="200"/>
      <c r="R1754" s="194"/>
      <c r="T1754" s="190"/>
      <c r="U1754" s="191"/>
    </row>
    <row r="1755" spans="1:21">
      <c r="A1755" s="192"/>
      <c r="B1755" s="195"/>
      <c r="C1755" s="196"/>
      <c r="D1755" s="197"/>
      <c r="E1755" s="198"/>
      <c r="F1755" s="197"/>
      <c r="G1755" s="198"/>
      <c r="H1755" s="197"/>
      <c r="I1755" s="198"/>
      <c r="J1755" s="197"/>
      <c r="K1755" s="198"/>
      <c r="L1755" s="199" t="s">
        <v>1140</v>
      </c>
      <c r="M1755" s="199" t="s">
        <v>1208</v>
      </c>
      <c r="N1755" s="199">
        <f>N1775</f>
        <v>145.5</v>
      </c>
      <c r="O1755" s="155" t="e">
        <f>P1739</f>
        <v>#REF!</v>
      </c>
      <c r="P1755" s="193"/>
      <c r="Q1755" s="200"/>
      <c r="R1755" s="194"/>
      <c r="T1755" s="190"/>
      <c r="U1755" s="191"/>
    </row>
    <row r="1756" spans="1:21">
      <c r="A1756" s="192"/>
      <c r="B1756" s="195"/>
      <c r="C1756" s="196"/>
      <c r="D1756" s="197"/>
      <c r="E1756" s="198"/>
      <c r="F1756" s="197"/>
      <c r="G1756" s="199"/>
      <c r="H1756" s="198"/>
      <c r="I1756" s="199"/>
      <c r="J1756" s="199"/>
      <c r="K1756" s="199"/>
      <c r="L1756" s="199"/>
      <c r="M1756" s="199"/>
      <c r="N1756" s="199"/>
      <c r="O1756" s="155"/>
      <c r="P1756" s="193"/>
      <c r="Q1756" s="200"/>
      <c r="R1756" s="194"/>
      <c r="T1756" s="190"/>
      <c r="U1756" s="191"/>
    </row>
    <row r="1757" spans="1:21">
      <c r="A1757" s="192"/>
      <c r="B1757" s="195"/>
      <c r="C1757" s="196"/>
      <c r="D1757" s="197"/>
      <c r="E1757" s="198"/>
      <c r="F1757" s="197"/>
      <c r="G1757" s="198"/>
      <c r="H1757" s="197"/>
      <c r="I1757" s="198"/>
      <c r="J1757" s="197"/>
      <c r="K1757" s="198"/>
      <c r="L1757" s="199"/>
      <c r="M1757" s="199"/>
      <c r="N1757" s="199"/>
      <c r="O1757" s="155"/>
      <c r="P1757" s="193"/>
      <c r="Q1757" s="200"/>
      <c r="R1757" s="194"/>
      <c r="T1757" s="190"/>
      <c r="U1757" s="191"/>
    </row>
    <row r="1758" spans="1:21">
      <c r="A1758" s="192"/>
      <c r="B1758" s="1277" t="s">
        <v>1209</v>
      </c>
      <c r="C1758" s="1277"/>
      <c r="D1758" s="1277"/>
      <c r="E1758" s="1277"/>
      <c r="F1758" s="1277"/>
      <c r="G1758" s="1277"/>
      <c r="H1758" s="1277"/>
      <c r="I1758" s="1277"/>
      <c r="J1758" s="1277"/>
      <c r="K1758" s="1277"/>
      <c r="L1758" s="1277"/>
      <c r="M1758" s="1277"/>
      <c r="N1758" s="1277"/>
      <c r="O1758" s="1277"/>
      <c r="P1758" s="1277"/>
      <c r="Q1758" s="203">
        <v>0</v>
      </c>
      <c r="R1758" s="204">
        <f>Q1758</f>
        <v>0</v>
      </c>
      <c r="T1758" s="1278"/>
      <c r="U1758" s="1279"/>
    </row>
    <row r="1759" spans="1:21">
      <c r="A1759" s="192"/>
      <c r="B1759" s="1277" t="e">
        <f>med</f>
        <v>#NAME?</v>
      </c>
      <c r="C1759" s="1277"/>
      <c r="D1759" s="1277"/>
      <c r="E1759" s="1277"/>
      <c r="F1759" s="1277"/>
      <c r="G1759" s="1277"/>
      <c r="H1759" s="1277"/>
      <c r="I1759" s="1277"/>
      <c r="J1759" s="1277"/>
      <c r="K1759" s="1277"/>
      <c r="L1759" s="1277"/>
      <c r="M1759" s="1277"/>
      <c r="N1759" s="1277"/>
      <c r="O1759" s="1277"/>
      <c r="P1759" s="205">
        <f>N1755</f>
        <v>145.5</v>
      </c>
      <c r="Q1759" s="203">
        <f>P1759</f>
        <v>145.5</v>
      </c>
      <c r="R1759" s="204">
        <f>Q1759+R1758</f>
        <v>145.5</v>
      </c>
      <c r="T1759" s="1278"/>
      <c r="U1759" s="1279"/>
    </row>
    <row r="1760" spans="1:21" ht="18" customHeight="1">
      <c r="A1760" s="187" t="e">
        <f>#REF!</f>
        <v>#REF!</v>
      </c>
      <c r="B1760" s="1275" t="e">
        <f>IF(A1760="","",VLOOKUP($A1760,'[2]FDE-JUNHO-08'!$A$6:$D$3537,2,FALSE()))</f>
        <v>#REF!</v>
      </c>
      <c r="C1760" s="1275"/>
      <c r="D1760" s="1275"/>
      <c r="E1760" s="1275"/>
      <c r="F1760" s="1275"/>
      <c r="G1760" s="1275"/>
      <c r="H1760" s="1275"/>
      <c r="I1760" s="1275"/>
      <c r="J1760" s="1275"/>
      <c r="K1760" s="1275"/>
      <c r="L1760" s="1275"/>
      <c r="M1760" s="1275"/>
      <c r="N1760" s="1275"/>
      <c r="O1760" s="1275"/>
      <c r="P1760" s="188" t="e">
        <f>IF(A1760="","",VLOOKUP($A1760,'[2]FDE-JUNHO-08'!$A$6:$D$3537,3,FALSE()))</f>
        <v>#REF!</v>
      </c>
      <c r="Q1760" s="189" t="s">
        <v>1205</v>
      </c>
      <c r="R1760" s="189" t="s">
        <v>1206</v>
      </c>
      <c r="T1760" s="190"/>
      <c r="U1760" s="191"/>
    </row>
    <row r="1761" spans="1:21">
      <c r="A1761" s="192"/>
      <c r="B1761" s="237"/>
      <c r="C1761" s="238"/>
      <c r="D1761" s="238"/>
      <c r="E1761" s="238"/>
      <c r="F1761" s="238"/>
      <c r="G1761" s="238"/>
      <c r="H1761" s="238"/>
      <c r="I1761" s="238"/>
      <c r="J1761" s="238"/>
      <c r="K1761" s="238"/>
      <c r="L1761" s="238"/>
      <c r="M1761" s="238"/>
      <c r="N1761" s="238"/>
      <c r="O1761" s="239"/>
      <c r="P1761" s="193"/>
      <c r="Q1761" s="200"/>
      <c r="R1761" s="194"/>
      <c r="T1761" s="190"/>
      <c r="U1761" s="191"/>
    </row>
    <row r="1762" spans="1:21">
      <c r="A1762" s="192"/>
      <c r="B1762" s="195" t="s">
        <v>254</v>
      </c>
      <c r="C1762" s="196"/>
      <c r="D1762" s="197"/>
      <c r="E1762" s="198"/>
      <c r="F1762" s="198" t="s">
        <v>1242</v>
      </c>
      <c r="G1762" s="198"/>
      <c r="H1762" s="198" t="s">
        <v>1320</v>
      </c>
      <c r="I1762" s="198"/>
      <c r="J1762" s="198" t="s">
        <v>1252</v>
      </c>
      <c r="K1762" s="198"/>
      <c r="L1762" s="198" t="s">
        <v>1253</v>
      </c>
      <c r="M1762" s="209"/>
      <c r="N1762" s="209"/>
      <c r="O1762" s="155"/>
      <c r="P1762" s="193"/>
      <c r="Q1762" s="200"/>
      <c r="R1762" s="194"/>
      <c r="T1762" s="190"/>
      <c r="U1762" s="191"/>
    </row>
    <row r="1763" spans="1:21">
      <c r="A1763" s="192"/>
      <c r="B1763" s="195" t="s">
        <v>1254</v>
      </c>
      <c r="C1763" s="196"/>
      <c r="D1763" s="197"/>
      <c r="E1763" s="198"/>
      <c r="F1763" s="198">
        <v>2</v>
      </c>
      <c r="G1763" s="198" t="s">
        <v>1255</v>
      </c>
      <c r="H1763" s="198">
        <v>2</v>
      </c>
      <c r="I1763" s="198" t="s">
        <v>1255</v>
      </c>
      <c r="J1763" s="198">
        <v>0.9</v>
      </c>
      <c r="K1763" s="198" t="s">
        <v>1255</v>
      </c>
      <c r="L1763" s="198">
        <v>2.1</v>
      </c>
      <c r="M1763" s="199" t="s">
        <v>1208</v>
      </c>
      <c r="N1763" s="199">
        <f t="shared" ref="N1763:N1772" si="18">F1763*H1763*J1763*L1763</f>
        <v>7.5600000000000005</v>
      </c>
      <c r="O1763" s="155"/>
      <c r="P1763" s="193"/>
      <c r="Q1763" s="200"/>
      <c r="R1763" s="194"/>
      <c r="T1763" s="190"/>
      <c r="U1763" s="191"/>
    </row>
    <row r="1764" spans="1:21">
      <c r="A1764" s="192"/>
      <c r="B1764" s="195" t="s">
        <v>1256</v>
      </c>
      <c r="C1764" s="196"/>
      <c r="D1764" s="197"/>
      <c r="E1764" s="198"/>
      <c r="F1764" s="198">
        <v>1</v>
      </c>
      <c r="G1764" s="198" t="s">
        <v>1255</v>
      </c>
      <c r="H1764" s="198">
        <v>2</v>
      </c>
      <c r="I1764" s="198" t="s">
        <v>1255</v>
      </c>
      <c r="J1764" s="198">
        <v>0.9</v>
      </c>
      <c r="K1764" s="198" t="s">
        <v>1255</v>
      </c>
      <c r="L1764" s="198">
        <v>2.1</v>
      </c>
      <c r="M1764" s="199" t="s">
        <v>1208</v>
      </c>
      <c r="N1764" s="199">
        <f t="shared" si="18"/>
        <v>3.7800000000000002</v>
      </c>
      <c r="O1764" s="155"/>
      <c r="P1764" s="193"/>
      <c r="Q1764" s="200"/>
      <c r="R1764" s="194"/>
      <c r="T1764" s="190"/>
      <c r="U1764" s="191"/>
    </row>
    <row r="1765" spans="1:21">
      <c r="A1765" s="192"/>
      <c r="B1765" s="195" t="s">
        <v>1257</v>
      </c>
      <c r="C1765" s="196"/>
      <c r="D1765" s="197"/>
      <c r="E1765" s="198"/>
      <c r="F1765" s="198">
        <v>1</v>
      </c>
      <c r="G1765" s="198" t="s">
        <v>1255</v>
      </c>
      <c r="H1765" s="198">
        <v>2</v>
      </c>
      <c r="I1765" s="198" t="s">
        <v>1255</v>
      </c>
      <c r="J1765" s="198">
        <v>0.9</v>
      </c>
      <c r="K1765" s="198" t="s">
        <v>1255</v>
      </c>
      <c r="L1765" s="198">
        <v>2.1</v>
      </c>
      <c r="M1765" s="199" t="s">
        <v>1208</v>
      </c>
      <c r="N1765" s="199">
        <f t="shared" si="18"/>
        <v>3.7800000000000002</v>
      </c>
      <c r="O1765" s="155"/>
      <c r="P1765" s="193"/>
      <c r="Q1765" s="200"/>
      <c r="R1765" s="194"/>
      <c r="T1765" s="190"/>
      <c r="U1765" s="191"/>
    </row>
    <row r="1766" spans="1:21">
      <c r="A1766" s="192"/>
      <c r="B1766" s="195" t="s">
        <v>1258</v>
      </c>
      <c r="C1766" s="196"/>
      <c r="D1766" s="197"/>
      <c r="E1766" s="198"/>
      <c r="F1766" s="198">
        <v>3</v>
      </c>
      <c r="G1766" s="198" t="s">
        <v>1255</v>
      </c>
      <c r="H1766" s="198">
        <v>2</v>
      </c>
      <c r="I1766" s="198" t="s">
        <v>1255</v>
      </c>
      <c r="J1766" s="198">
        <v>0.9</v>
      </c>
      <c r="K1766" s="198" t="s">
        <v>1255</v>
      </c>
      <c r="L1766" s="198">
        <v>2.1</v>
      </c>
      <c r="M1766" s="199" t="s">
        <v>1208</v>
      </c>
      <c r="N1766" s="199">
        <f t="shared" si="18"/>
        <v>11.340000000000002</v>
      </c>
      <c r="O1766" s="155"/>
      <c r="P1766" s="193"/>
      <c r="Q1766" s="200"/>
      <c r="R1766" s="194"/>
      <c r="T1766" s="190"/>
      <c r="U1766" s="191"/>
    </row>
    <row r="1767" spans="1:21">
      <c r="A1767" s="192"/>
      <c r="B1767" s="195" t="s">
        <v>1259</v>
      </c>
      <c r="C1767" s="196"/>
      <c r="D1767" s="197"/>
      <c r="E1767" s="198"/>
      <c r="F1767" s="198">
        <v>1</v>
      </c>
      <c r="G1767" s="198" t="s">
        <v>1255</v>
      </c>
      <c r="H1767" s="198">
        <v>2</v>
      </c>
      <c r="I1767" s="198" t="s">
        <v>1255</v>
      </c>
      <c r="J1767" s="198">
        <v>0.9</v>
      </c>
      <c r="K1767" s="198" t="s">
        <v>1255</v>
      </c>
      <c r="L1767" s="198">
        <v>2.1</v>
      </c>
      <c r="M1767" s="199" t="s">
        <v>1208</v>
      </c>
      <c r="N1767" s="199">
        <f t="shared" si="18"/>
        <v>3.7800000000000002</v>
      </c>
      <c r="O1767" s="155"/>
      <c r="P1767" s="193"/>
      <c r="Q1767" s="200"/>
      <c r="R1767" s="194"/>
      <c r="T1767" s="190"/>
      <c r="U1767" s="191"/>
    </row>
    <row r="1768" spans="1:21">
      <c r="A1768" s="192"/>
      <c r="B1768" s="195" t="s">
        <v>1260</v>
      </c>
      <c r="C1768" s="196"/>
      <c r="D1768" s="197"/>
      <c r="E1768" s="198"/>
      <c r="F1768" s="198">
        <v>2</v>
      </c>
      <c r="G1768" s="198" t="s">
        <v>1255</v>
      </c>
      <c r="H1768" s="198">
        <v>2</v>
      </c>
      <c r="I1768" s="198" t="s">
        <v>1255</v>
      </c>
      <c r="J1768" s="198">
        <v>0.9</v>
      </c>
      <c r="K1768" s="198" t="s">
        <v>1255</v>
      </c>
      <c r="L1768" s="198">
        <v>2.1</v>
      </c>
      <c r="M1768" s="199" t="s">
        <v>1208</v>
      </c>
      <c r="N1768" s="199">
        <f t="shared" si="18"/>
        <v>7.5600000000000005</v>
      </c>
      <c r="O1768" s="155"/>
      <c r="P1768" s="193"/>
      <c r="Q1768" s="194"/>
      <c r="R1768" s="194"/>
      <c r="T1768" s="190"/>
      <c r="U1768" s="191"/>
    </row>
    <row r="1769" spans="1:21">
      <c r="A1769" s="192"/>
      <c r="B1769" s="195" t="s">
        <v>1261</v>
      </c>
      <c r="C1769" s="196"/>
      <c r="D1769" s="197"/>
      <c r="E1769" s="198"/>
      <c r="F1769" s="198">
        <v>1</v>
      </c>
      <c r="G1769" s="198" t="s">
        <v>1255</v>
      </c>
      <c r="H1769" s="198">
        <v>2</v>
      </c>
      <c r="I1769" s="198" t="s">
        <v>1255</v>
      </c>
      <c r="J1769" s="198">
        <v>0.9</v>
      </c>
      <c r="K1769" s="198" t="s">
        <v>1255</v>
      </c>
      <c r="L1769" s="198">
        <v>2.1</v>
      </c>
      <c r="M1769" s="199" t="s">
        <v>1208</v>
      </c>
      <c r="N1769" s="199">
        <f t="shared" si="18"/>
        <v>3.7800000000000002</v>
      </c>
      <c r="O1769" s="155"/>
      <c r="P1769" s="193"/>
      <c r="Q1769" s="200"/>
      <c r="R1769" s="194"/>
      <c r="T1769" s="190"/>
      <c r="U1769" s="191"/>
    </row>
    <row r="1770" spans="1:21">
      <c r="A1770" s="192"/>
      <c r="B1770" s="195" t="s">
        <v>1262</v>
      </c>
      <c r="C1770" s="196"/>
      <c r="D1770" s="197"/>
      <c r="E1770" s="198"/>
      <c r="F1770" s="198">
        <v>6</v>
      </c>
      <c r="G1770" s="198" t="s">
        <v>1255</v>
      </c>
      <c r="H1770" s="198">
        <v>2</v>
      </c>
      <c r="I1770" s="198" t="s">
        <v>1255</v>
      </c>
      <c r="J1770" s="198">
        <v>0.9</v>
      </c>
      <c r="K1770" s="198" t="s">
        <v>1255</v>
      </c>
      <c r="L1770" s="198">
        <v>2.1</v>
      </c>
      <c r="M1770" s="199" t="s">
        <v>1208</v>
      </c>
      <c r="N1770" s="199">
        <f t="shared" si="18"/>
        <v>22.680000000000003</v>
      </c>
      <c r="O1770" s="155"/>
      <c r="P1770" s="193"/>
      <c r="Q1770" s="200"/>
      <c r="R1770" s="194"/>
      <c r="T1770" s="190"/>
      <c r="U1770" s="191"/>
    </row>
    <row r="1771" spans="1:21">
      <c r="A1771" s="192"/>
      <c r="B1771" s="195" t="s">
        <v>1383</v>
      </c>
      <c r="C1771" s="196"/>
      <c r="D1771" s="197"/>
      <c r="E1771" s="198"/>
      <c r="F1771" s="198">
        <v>4</v>
      </c>
      <c r="G1771" s="198" t="s">
        <v>1255</v>
      </c>
      <c r="H1771" s="198">
        <v>2</v>
      </c>
      <c r="I1771" s="198" t="s">
        <v>1255</v>
      </c>
      <c r="J1771" s="198">
        <v>0.8</v>
      </c>
      <c r="K1771" s="198" t="s">
        <v>1255</v>
      </c>
      <c r="L1771" s="198">
        <v>1.8</v>
      </c>
      <c r="M1771" s="199" t="s">
        <v>1208</v>
      </c>
      <c r="N1771" s="199">
        <f t="shared" si="18"/>
        <v>11.520000000000001</v>
      </c>
      <c r="O1771" s="155"/>
      <c r="P1771" s="193"/>
      <c r="Q1771" s="200"/>
      <c r="R1771" s="194"/>
      <c r="T1771" s="190"/>
      <c r="U1771" s="191"/>
    </row>
    <row r="1772" spans="1:21">
      <c r="A1772" s="192"/>
      <c r="B1772" s="195" t="s">
        <v>1384</v>
      </c>
      <c r="C1772" s="196"/>
      <c r="D1772" s="197"/>
      <c r="E1772" s="198"/>
      <c r="F1772" s="198">
        <v>1</v>
      </c>
      <c r="G1772" s="198" t="s">
        <v>1255</v>
      </c>
      <c r="H1772" s="198">
        <v>2</v>
      </c>
      <c r="I1772" s="198" t="s">
        <v>1255</v>
      </c>
      <c r="J1772" s="198">
        <v>1.6</v>
      </c>
      <c r="K1772" s="198" t="s">
        <v>1255</v>
      </c>
      <c r="L1772" s="198">
        <v>2.1</v>
      </c>
      <c r="M1772" s="199" t="s">
        <v>1208</v>
      </c>
      <c r="N1772" s="199">
        <f t="shared" si="18"/>
        <v>6.7200000000000006</v>
      </c>
      <c r="O1772" s="155"/>
      <c r="P1772" s="193"/>
      <c r="Q1772" s="200"/>
      <c r="R1772" s="194"/>
      <c r="T1772" s="190"/>
      <c r="U1772" s="191"/>
    </row>
    <row r="1773" spans="1:21" ht="14.25" customHeight="1">
      <c r="A1773" s="192"/>
      <c r="B1773" s="195" t="s">
        <v>1386</v>
      </c>
      <c r="C1773" s="196"/>
      <c r="D1773" s="197"/>
      <c r="E1773" s="198"/>
      <c r="F1773" s="198">
        <v>315</v>
      </c>
      <c r="G1773" s="198" t="s">
        <v>1255</v>
      </c>
      <c r="H1773" s="198">
        <v>4</v>
      </c>
      <c r="I1773" s="198" t="s">
        <v>1255</v>
      </c>
      <c r="J1773" s="198">
        <v>0.2</v>
      </c>
      <c r="K1773" s="198" t="s">
        <v>1255</v>
      </c>
      <c r="L1773" s="198">
        <v>0.25</v>
      </c>
      <c r="M1773" s="199" t="s">
        <v>1208</v>
      </c>
      <c r="N1773" s="199">
        <f>H1773*J1773*L1773*F1773</f>
        <v>63</v>
      </c>
      <c r="O1773" s="155"/>
      <c r="P1773" s="193"/>
      <c r="Q1773" s="200"/>
      <c r="R1773" s="194"/>
      <c r="T1773" s="190"/>
      <c r="U1773" s="191"/>
    </row>
    <row r="1774" spans="1:21">
      <c r="A1774" s="192"/>
      <c r="B1774" s="195"/>
      <c r="C1774" s="196"/>
      <c r="D1774" s="197"/>
      <c r="E1774" s="198"/>
      <c r="F1774" s="197"/>
      <c r="G1774" s="198"/>
      <c r="H1774" s="197"/>
      <c r="I1774" s="198"/>
      <c r="J1774" s="197"/>
      <c r="K1774" s="198"/>
      <c r="L1774" s="198"/>
      <c r="M1774" s="199"/>
      <c r="N1774" s="201"/>
      <c r="O1774" s="202"/>
      <c r="P1774" s="193"/>
      <c r="Q1774" s="200"/>
      <c r="R1774" s="194"/>
      <c r="T1774" s="190"/>
      <c r="U1774" s="191"/>
    </row>
    <row r="1775" spans="1:21">
      <c r="A1775" s="192"/>
      <c r="B1775" s="195"/>
      <c r="C1775" s="196"/>
      <c r="D1775" s="197"/>
      <c r="E1775" s="198"/>
      <c r="F1775" s="197"/>
      <c r="G1775" s="198"/>
      <c r="H1775" s="197"/>
      <c r="I1775" s="198"/>
      <c r="J1775" s="197"/>
      <c r="K1775" s="198"/>
      <c r="L1775" s="199" t="s">
        <v>1140</v>
      </c>
      <c r="M1775" s="199" t="s">
        <v>1208</v>
      </c>
      <c r="N1775" s="199">
        <f>SUM(N1763:N1774)</f>
        <v>145.5</v>
      </c>
      <c r="O1775" s="155" t="e">
        <f>P1760</f>
        <v>#REF!</v>
      </c>
      <c r="P1775" s="193"/>
      <c r="Q1775" s="200"/>
      <c r="R1775" s="194"/>
      <c r="T1775" s="190"/>
      <c r="U1775" s="191"/>
    </row>
    <row r="1776" spans="1:21">
      <c r="A1776" s="192"/>
      <c r="B1776" s="1277" t="s">
        <v>1209</v>
      </c>
      <c r="C1776" s="1277"/>
      <c r="D1776" s="1277"/>
      <c r="E1776" s="1277"/>
      <c r="F1776" s="1277"/>
      <c r="G1776" s="1277"/>
      <c r="H1776" s="1277"/>
      <c r="I1776" s="1277"/>
      <c r="J1776" s="1277"/>
      <c r="K1776" s="1277"/>
      <c r="L1776" s="1277"/>
      <c r="M1776" s="1277"/>
      <c r="N1776" s="1277"/>
      <c r="O1776" s="1277"/>
      <c r="P1776" s="1277"/>
      <c r="Q1776" s="203">
        <v>0</v>
      </c>
      <c r="R1776" s="204">
        <f>Q1776</f>
        <v>0</v>
      </c>
      <c r="T1776" s="1278"/>
      <c r="U1776" s="1279"/>
    </row>
    <row r="1777" spans="1:21">
      <c r="A1777" s="192"/>
      <c r="B1777" s="1277" t="e">
        <f>med</f>
        <v>#NAME?</v>
      </c>
      <c r="C1777" s="1277"/>
      <c r="D1777" s="1277"/>
      <c r="E1777" s="1277"/>
      <c r="F1777" s="1277"/>
      <c r="G1777" s="1277"/>
      <c r="H1777" s="1277"/>
      <c r="I1777" s="1277"/>
      <c r="J1777" s="1277"/>
      <c r="K1777" s="1277"/>
      <c r="L1777" s="1277"/>
      <c r="M1777" s="1277"/>
      <c r="N1777" s="1277"/>
      <c r="O1777" s="1277"/>
      <c r="P1777" s="205">
        <f>N1775</f>
        <v>145.5</v>
      </c>
      <c r="Q1777" s="203">
        <f>P1777</f>
        <v>145.5</v>
      </c>
      <c r="R1777" s="204">
        <f>Q1777+R1776</f>
        <v>145.5</v>
      </c>
      <c r="T1777" s="1278"/>
      <c r="U1777" s="1279"/>
    </row>
    <row r="1778" spans="1:21" ht="18" customHeight="1">
      <c r="A1778" s="187" t="e">
        <f>#REF!</f>
        <v>#REF!</v>
      </c>
      <c r="B1778" s="1275" t="e">
        <f>IF(A1778="","",VLOOKUP($A1778,'[2]FDE-JUNHO-08'!$A$6:$D$3537,2,FALSE()))</f>
        <v>#REF!</v>
      </c>
      <c r="C1778" s="1275"/>
      <c r="D1778" s="1275"/>
      <c r="E1778" s="1275"/>
      <c r="F1778" s="1275"/>
      <c r="G1778" s="1275"/>
      <c r="H1778" s="1275"/>
      <c r="I1778" s="1275"/>
      <c r="J1778" s="1275"/>
      <c r="K1778" s="1275"/>
      <c r="L1778" s="1275"/>
      <c r="M1778" s="1275"/>
      <c r="N1778" s="1275"/>
      <c r="O1778" s="1275"/>
      <c r="P1778" s="188" t="e">
        <f>IF(A1778="","",VLOOKUP($A1778,'[2]FDE-JUNHO-08'!$A$6:$D$3537,3,FALSE()))</f>
        <v>#REF!</v>
      </c>
      <c r="Q1778" s="189" t="s">
        <v>1205</v>
      </c>
      <c r="R1778" s="189" t="s">
        <v>1206</v>
      </c>
      <c r="T1778" s="190"/>
      <c r="U1778" s="191"/>
    </row>
    <row r="1779" spans="1:21" ht="12" customHeight="1">
      <c r="A1779" s="192"/>
      <c r="B1779" s="1281"/>
      <c r="C1779" s="1281"/>
      <c r="D1779" s="1281"/>
      <c r="E1779" s="1281"/>
      <c r="F1779" s="1281"/>
      <c r="G1779" s="1281"/>
      <c r="H1779" s="1281"/>
      <c r="I1779" s="1281"/>
      <c r="J1779" s="1281"/>
      <c r="K1779" s="1281"/>
      <c r="L1779" s="1281"/>
      <c r="M1779" s="1281"/>
      <c r="N1779" s="1281"/>
      <c r="O1779" s="1281"/>
      <c r="P1779" s="193"/>
      <c r="Q1779" s="194"/>
      <c r="R1779" s="194"/>
      <c r="T1779" s="190"/>
      <c r="U1779" s="191"/>
    </row>
    <row r="1780" spans="1:21">
      <c r="A1780" s="192"/>
      <c r="B1780" s="237"/>
      <c r="C1780" s="238"/>
      <c r="D1780" s="238"/>
      <c r="E1780" s="238"/>
      <c r="F1780" s="238"/>
      <c r="G1780" s="238"/>
      <c r="H1780" s="238"/>
      <c r="I1780" s="238"/>
      <c r="J1780" s="238"/>
      <c r="K1780" s="238"/>
      <c r="L1780" s="238"/>
      <c r="M1780" s="238"/>
      <c r="N1780" s="238"/>
      <c r="O1780" s="239"/>
      <c r="P1780" s="193"/>
      <c r="Q1780" s="200"/>
      <c r="R1780" s="194"/>
      <c r="T1780" s="190"/>
      <c r="U1780" s="191"/>
    </row>
    <row r="1781" spans="1:21">
      <c r="A1781" s="192"/>
      <c r="B1781" s="195" t="s">
        <v>254</v>
      </c>
      <c r="C1781" s="196"/>
      <c r="D1781" s="197"/>
      <c r="E1781" s="198"/>
      <c r="F1781" s="198" t="s">
        <v>1242</v>
      </c>
      <c r="G1781" s="198"/>
      <c r="H1781" s="198" t="s">
        <v>1320</v>
      </c>
      <c r="I1781" s="198"/>
      <c r="J1781" s="198" t="s">
        <v>1252</v>
      </c>
      <c r="K1781" s="198"/>
      <c r="L1781" s="198" t="s">
        <v>1253</v>
      </c>
      <c r="M1781" s="209"/>
      <c r="N1781" s="209"/>
      <c r="O1781" s="155"/>
      <c r="P1781" s="193"/>
      <c r="Q1781" s="200"/>
      <c r="R1781" s="194"/>
      <c r="T1781" s="190"/>
      <c r="U1781" s="191"/>
    </row>
    <row r="1782" spans="1:21">
      <c r="A1782" s="192"/>
      <c r="B1782" s="195" t="s">
        <v>1254</v>
      </c>
      <c r="C1782" s="196"/>
      <c r="D1782" s="197"/>
      <c r="E1782" s="198"/>
      <c r="F1782" s="198">
        <v>2</v>
      </c>
      <c r="G1782" s="198" t="s">
        <v>1255</v>
      </c>
      <c r="H1782" s="198">
        <v>2</v>
      </c>
      <c r="I1782" s="198" t="s">
        <v>1255</v>
      </c>
      <c r="J1782" s="198">
        <v>0.9</v>
      </c>
      <c r="K1782" s="198" t="s">
        <v>1255</v>
      </c>
      <c r="L1782" s="198">
        <v>2.1</v>
      </c>
      <c r="M1782" s="199" t="s">
        <v>1208</v>
      </c>
      <c r="N1782" s="199">
        <f t="shared" ref="N1782:N1791" si="19">F1782*H1782*J1782*L1782</f>
        <v>7.5600000000000005</v>
      </c>
      <c r="O1782" s="155"/>
      <c r="P1782" s="193"/>
      <c r="Q1782" s="200"/>
      <c r="R1782" s="194"/>
      <c r="T1782" s="190"/>
      <c r="U1782" s="191"/>
    </row>
    <row r="1783" spans="1:21">
      <c r="A1783" s="192"/>
      <c r="B1783" s="195" t="s">
        <v>1256</v>
      </c>
      <c r="C1783" s="196"/>
      <c r="D1783" s="197"/>
      <c r="E1783" s="198"/>
      <c r="F1783" s="198">
        <v>1</v>
      </c>
      <c r="G1783" s="198" t="s">
        <v>1255</v>
      </c>
      <c r="H1783" s="198">
        <v>2</v>
      </c>
      <c r="I1783" s="198" t="s">
        <v>1255</v>
      </c>
      <c r="J1783" s="198">
        <v>0.9</v>
      </c>
      <c r="K1783" s="198" t="s">
        <v>1255</v>
      </c>
      <c r="L1783" s="198">
        <v>2.1</v>
      </c>
      <c r="M1783" s="199" t="s">
        <v>1208</v>
      </c>
      <c r="N1783" s="199">
        <f t="shared" si="19"/>
        <v>3.7800000000000002</v>
      </c>
      <c r="O1783" s="155"/>
      <c r="P1783" s="193"/>
      <c r="Q1783" s="200"/>
      <c r="R1783" s="194"/>
      <c r="T1783" s="190"/>
      <c r="U1783" s="191"/>
    </row>
    <row r="1784" spans="1:21">
      <c r="A1784" s="192"/>
      <c r="B1784" s="195" t="s">
        <v>1257</v>
      </c>
      <c r="C1784" s="196"/>
      <c r="D1784" s="197"/>
      <c r="E1784" s="198"/>
      <c r="F1784" s="198">
        <v>1</v>
      </c>
      <c r="G1784" s="198" t="s">
        <v>1255</v>
      </c>
      <c r="H1784" s="198">
        <v>2</v>
      </c>
      <c r="I1784" s="198" t="s">
        <v>1255</v>
      </c>
      <c r="J1784" s="198">
        <v>0.9</v>
      </c>
      <c r="K1784" s="198" t="s">
        <v>1255</v>
      </c>
      <c r="L1784" s="198">
        <v>2.1</v>
      </c>
      <c r="M1784" s="199" t="s">
        <v>1208</v>
      </c>
      <c r="N1784" s="199">
        <f t="shared" si="19"/>
        <v>3.7800000000000002</v>
      </c>
      <c r="O1784" s="155"/>
      <c r="P1784" s="193"/>
      <c r="Q1784" s="200"/>
      <c r="R1784" s="194"/>
      <c r="T1784" s="190"/>
      <c r="U1784" s="191"/>
    </row>
    <row r="1785" spans="1:21">
      <c r="A1785" s="192"/>
      <c r="B1785" s="195" t="s">
        <v>1258</v>
      </c>
      <c r="C1785" s="196"/>
      <c r="D1785" s="197"/>
      <c r="E1785" s="198"/>
      <c r="F1785" s="198">
        <v>3</v>
      </c>
      <c r="G1785" s="198" t="s">
        <v>1255</v>
      </c>
      <c r="H1785" s="198">
        <v>2</v>
      </c>
      <c r="I1785" s="198" t="s">
        <v>1255</v>
      </c>
      <c r="J1785" s="198">
        <v>0.9</v>
      </c>
      <c r="K1785" s="198" t="s">
        <v>1255</v>
      </c>
      <c r="L1785" s="198">
        <v>2.1</v>
      </c>
      <c r="M1785" s="199" t="s">
        <v>1208</v>
      </c>
      <c r="N1785" s="199">
        <f t="shared" si="19"/>
        <v>11.340000000000002</v>
      </c>
      <c r="O1785" s="155"/>
      <c r="P1785" s="193"/>
      <c r="Q1785" s="194"/>
      <c r="R1785" s="194"/>
      <c r="T1785" s="190"/>
      <c r="U1785" s="191"/>
    </row>
    <row r="1786" spans="1:21">
      <c r="A1786" s="192"/>
      <c r="B1786" s="195" t="s">
        <v>1259</v>
      </c>
      <c r="C1786" s="196"/>
      <c r="D1786" s="197"/>
      <c r="E1786" s="198"/>
      <c r="F1786" s="198">
        <v>1</v>
      </c>
      <c r="G1786" s="198" t="s">
        <v>1255</v>
      </c>
      <c r="H1786" s="198">
        <v>2</v>
      </c>
      <c r="I1786" s="198" t="s">
        <v>1255</v>
      </c>
      <c r="J1786" s="198">
        <v>0.9</v>
      </c>
      <c r="K1786" s="198" t="s">
        <v>1255</v>
      </c>
      <c r="L1786" s="198">
        <v>2.1</v>
      </c>
      <c r="M1786" s="199" t="s">
        <v>1208</v>
      </c>
      <c r="N1786" s="199">
        <f t="shared" si="19"/>
        <v>3.7800000000000002</v>
      </c>
      <c r="O1786" s="155"/>
      <c r="P1786" s="193"/>
      <c r="Q1786" s="200"/>
      <c r="R1786" s="194"/>
      <c r="T1786" s="190"/>
      <c r="U1786" s="191"/>
    </row>
    <row r="1787" spans="1:21">
      <c r="A1787" s="192"/>
      <c r="B1787" s="195" t="s">
        <v>1260</v>
      </c>
      <c r="C1787" s="196"/>
      <c r="D1787" s="197"/>
      <c r="E1787" s="198"/>
      <c r="F1787" s="198">
        <v>2</v>
      </c>
      <c r="G1787" s="198" t="s">
        <v>1255</v>
      </c>
      <c r="H1787" s="198">
        <v>2</v>
      </c>
      <c r="I1787" s="198" t="s">
        <v>1255</v>
      </c>
      <c r="J1787" s="198">
        <v>0.9</v>
      </c>
      <c r="K1787" s="198" t="s">
        <v>1255</v>
      </c>
      <c r="L1787" s="198">
        <v>2.1</v>
      </c>
      <c r="M1787" s="199" t="s">
        <v>1208</v>
      </c>
      <c r="N1787" s="199">
        <f t="shared" si="19"/>
        <v>7.5600000000000005</v>
      </c>
      <c r="O1787" s="155"/>
      <c r="P1787" s="193"/>
      <c r="Q1787" s="200"/>
      <c r="R1787" s="194"/>
      <c r="T1787" s="190"/>
      <c r="U1787" s="191"/>
    </row>
    <row r="1788" spans="1:21">
      <c r="A1788" s="192"/>
      <c r="B1788" s="195" t="s">
        <v>1261</v>
      </c>
      <c r="C1788" s="196"/>
      <c r="D1788" s="197"/>
      <c r="E1788" s="198"/>
      <c r="F1788" s="198">
        <v>1</v>
      </c>
      <c r="G1788" s="198" t="s">
        <v>1255</v>
      </c>
      <c r="H1788" s="198">
        <v>2</v>
      </c>
      <c r="I1788" s="198" t="s">
        <v>1255</v>
      </c>
      <c r="J1788" s="198">
        <v>0.9</v>
      </c>
      <c r="K1788" s="198" t="s">
        <v>1255</v>
      </c>
      <c r="L1788" s="198">
        <v>2.1</v>
      </c>
      <c r="M1788" s="199" t="s">
        <v>1208</v>
      </c>
      <c r="N1788" s="199">
        <f t="shared" si="19"/>
        <v>3.7800000000000002</v>
      </c>
      <c r="O1788" s="155"/>
      <c r="P1788" s="193"/>
      <c r="Q1788" s="200"/>
      <c r="R1788" s="194"/>
      <c r="T1788" s="190"/>
      <c r="U1788" s="191"/>
    </row>
    <row r="1789" spans="1:21">
      <c r="A1789" s="192"/>
      <c r="B1789" s="195" t="s">
        <v>1262</v>
      </c>
      <c r="C1789" s="196"/>
      <c r="D1789" s="197"/>
      <c r="E1789" s="198"/>
      <c r="F1789" s="198">
        <v>6</v>
      </c>
      <c r="G1789" s="198" t="s">
        <v>1255</v>
      </c>
      <c r="H1789" s="198">
        <v>2</v>
      </c>
      <c r="I1789" s="198" t="s">
        <v>1255</v>
      </c>
      <c r="J1789" s="198">
        <v>0.9</v>
      </c>
      <c r="K1789" s="198" t="s">
        <v>1255</v>
      </c>
      <c r="L1789" s="198">
        <v>2.1</v>
      </c>
      <c r="M1789" s="199" t="s">
        <v>1208</v>
      </c>
      <c r="N1789" s="199">
        <f t="shared" si="19"/>
        <v>22.680000000000003</v>
      </c>
      <c r="O1789" s="155"/>
      <c r="P1789" s="193"/>
      <c r="Q1789" s="200"/>
      <c r="R1789" s="194"/>
      <c r="T1789" s="190"/>
      <c r="U1789" s="191"/>
    </row>
    <row r="1790" spans="1:21" ht="12" customHeight="1">
      <c r="A1790" s="192"/>
      <c r="B1790" s="195" t="s">
        <v>1383</v>
      </c>
      <c r="C1790" s="196"/>
      <c r="D1790" s="197"/>
      <c r="E1790" s="198"/>
      <c r="F1790" s="198">
        <v>4</v>
      </c>
      <c r="G1790" s="198" t="s">
        <v>1255</v>
      </c>
      <c r="H1790" s="198">
        <v>2</v>
      </c>
      <c r="I1790" s="198" t="s">
        <v>1255</v>
      </c>
      <c r="J1790" s="198">
        <v>0.8</v>
      </c>
      <c r="K1790" s="198" t="s">
        <v>1255</v>
      </c>
      <c r="L1790" s="198">
        <v>1.8</v>
      </c>
      <c r="M1790" s="199" t="s">
        <v>1208</v>
      </c>
      <c r="N1790" s="199">
        <f t="shared" si="19"/>
        <v>11.520000000000001</v>
      </c>
      <c r="O1790" s="155"/>
      <c r="P1790" s="193"/>
      <c r="Q1790" s="194"/>
      <c r="R1790" s="194"/>
      <c r="T1790" s="190"/>
      <c r="U1790" s="191"/>
    </row>
    <row r="1791" spans="1:21">
      <c r="A1791" s="192"/>
      <c r="B1791" s="195" t="s">
        <v>1384</v>
      </c>
      <c r="C1791" s="196"/>
      <c r="D1791" s="197"/>
      <c r="E1791" s="198"/>
      <c r="F1791" s="198">
        <v>1</v>
      </c>
      <c r="G1791" s="198" t="s">
        <v>1255</v>
      </c>
      <c r="H1791" s="198">
        <v>2</v>
      </c>
      <c r="I1791" s="198" t="s">
        <v>1255</v>
      </c>
      <c r="J1791" s="198">
        <v>1.6</v>
      </c>
      <c r="K1791" s="198" t="s">
        <v>1255</v>
      </c>
      <c r="L1791" s="198">
        <v>2.1</v>
      </c>
      <c r="M1791" s="199" t="s">
        <v>1208</v>
      </c>
      <c r="N1791" s="199">
        <f t="shared" si="19"/>
        <v>6.7200000000000006</v>
      </c>
      <c r="O1791" s="155"/>
      <c r="P1791" s="193"/>
      <c r="Q1791" s="200"/>
      <c r="R1791" s="194"/>
      <c r="T1791" s="190"/>
      <c r="U1791" s="191"/>
    </row>
    <row r="1792" spans="1:21">
      <c r="A1792" s="192"/>
      <c r="B1792" s="195" t="s">
        <v>1385</v>
      </c>
      <c r="C1792" s="196"/>
      <c r="D1792" s="197"/>
      <c r="E1792" s="198"/>
      <c r="F1792" s="197"/>
      <c r="G1792" s="198"/>
      <c r="H1792" s="197">
        <v>0.9</v>
      </c>
      <c r="I1792" s="198" t="s">
        <v>1255</v>
      </c>
      <c r="J1792" s="197">
        <v>2.1</v>
      </c>
      <c r="K1792" s="198" t="s">
        <v>1255</v>
      </c>
      <c r="L1792" s="199">
        <v>3</v>
      </c>
      <c r="M1792" s="199" t="s">
        <v>1208</v>
      </c>
      <c r="N1792" s="199">
        <f>H1792*J1792*L1792</f>
        <v>5.67</v>
      </c>
      <c r="O1792" s="155"/>
      <c r="P1792" s="193"/>
      <c r="Q1792" s="200"/>
      <c r="R1792" s="194"/>
      <c r="T1792" s="190"/>
      <c r="U1792" s="191"/>
    </row>
    <row r="1793" spans="1:21">
      <c r="A1793" s="192"/>
      <c r="B1793" s="195"/>
      <c r="C1793" s="196"/>
      <c r="D1793" s="197"/>
      <c r="E1793" s="198"/>
      <c r="F1793" s="197"/>
      <c r="G1793" s="198"/>
      <c r="H1793" s="197"/>
      <c r="I1793" s="198"/>
      <c r="J1793" s="197"/>
      <c r="K1793" s="198"/>
      <c r="L1793" s="199"/>
      <c r="M1793" s="199"/>
      <c r="N1793" s="201"/>
      <c r="O1793" s="202"/>
      <c r="P1793" s="193"/>
      <c r="Q1793" s="200"/>
      <c r="R1793" s="194"/>
      <c r="T1793" s="190"/>
      <c r="U1793" s="191"/>
    </row>
    <row r="1794" spans="1:21">
      <c r="A1794" s="192"/>
      <c r="B1794" s="195"/>
      <c r="C1794" s="196"/>
      <c r="D1794" s="197"/>
      <c r="E1794" s="198"/>
      <c r="F1794" s="197"/>
      <c r="G1794" s="198"/>
      <c r="H1794" s="197"/>
      <c r="I1794" s="198"/>
      <c r="J1794" s="197"/>
      <c r="K1794" s="198"/>
      <c r="L1794" s="199" t="s">
        <v>1140</v>
      </c>
      <c r="M1794" s="199" t="s">
        <v>1208</v>
      </c>
      <c r="N1794" s="199">
        <f>SUM(N1782:N1792)</f>
        <v>88.17</v>
      </c>
      <c r="O1794" s="155" t="e">
        <f>P1778</f>
        <v>#REF!</v>
      </c>
      <c r="P1794" s="193"/>
      <c r="Q1794" s="200"/>
      <c r="R1794" s="194"/>
      <c r="T1794" s="190"/>
      <c r="U1794" s="191"/>
    </row>
    <row r="1795" spans="1:21">
      <c r="A1795" s="192"/>
      <c r="B1795" s="195"/>
      <c r="C1795" s="196"/>
      <c r="D1795" s="197"/>
      <c r="E1795" s="198"/>
      <c r="F1795" s="197"/>
      <c r="G1795" s="198"/>
      <c r="H1795" s="197"/>
      <c r="I1795" s="198"/>
      <c r="J1795" s="197"/>
      <c r="K1795" s="198"/>
      <c r="L1795" s="199"/>
      <c r="M1795" s="199"/>
      <c r="N1795" s="199"/>
      <c r="O1795" s="155"/>
      <c r="P1795" s="193"/>
      <c r="Q1795" s="200"/>
      <c r="R1795" s="194"/>
      <c r="T1795" s="190"/>
      <c r="U1795" s="191"/>
    </row>
    <row r="1796" spans="1:21">
      <c r="A1796" s="192"/>
      <c r="B1796" s="1277" t="s">
        <v>1209</v>
      </c>
      <c r="C1796" s="1277"/>
      <c r="D1796" s="1277"/>
      <c r="E1796" s="1277"/>
      <c r="F1796" s="1277"/>
      <c r="G1796" s="1277"/>
      <c r="H1796" s="1277"/>
      <c r="I1796" s="1277"/>
      <c r="J1796" s="1277"/>
      <c r="K1796" s="1277"/>
      <c r="L1796" s="1277"/>
      <c r="M1796" s="1277"/>
      <c r="N1796" s="1277"/>
      <c r="O1796" s="1277"/>
      <c r="P1796" s="1277"/>
      <c r="Q1796" s="203">
        <v>0</v>
      </c>
      <c r="R1796" s="204">
        <f>Q1796</f>
        <v>0</v>
      </c>
      <c r="T1796" s="1278"/>
      <c r="U1796" s="1279"/>
    </row>
    <row r="1797" spans="1:21">
      <c r="A1797" s="206"/>
      <c r="B1797" s="1277" t="e">
        <f>med</f>
        <v>#NAME?</v>
      </c>
      <c r="C1797" s="1277"/>
      <c r="D1797" s="1277"/>
      <c r="E1797" s="1277"/>
      <c r="F1797" s="1277"/>
      <c r="G1797" s="1277"/>
      <c r="H1797" s="1277"/>
      <c r="I1797" s="1277"/>
      <c r="J1797" s="1277"/>
      <c r="K1797" s="1277"/>
      <c r="L1797" s="1277"/>
      <c r="M1797" s="1277"/>
      <c r="N1797" s="1277"/>
      <c r="O1797" s="1277"/>
      <c r="P1797" s="205">
        <f>N1794</f>
        <v>88.17</v>
      </c>
      <c r="Q1797" s="203">
        <f>P1797</f>
        <v>88.17</v>
      </c>
      <c r="R1797" s="204">
        <f>Q1797+R1796</f>
        <v>88.17</v>
      </c>
      <c r="T1797" s="1278"/>
      <c r="U1797" s="1279"/>
    </row>
    <row r="1798" spans="1:21" ht="18" customHeight="1">
      <c r="A1798" s="187" t="e">
        <f>#REF!</f>
        <v>#REF!</v>
      </c>
      <c r="B1798" s="1275" t="e">
        <f>IF(A1798="","",VLOOKUP($A1798,'[2]FDE-JUNHO-08'!$A$6:$D$3537,2,FALSE()))</f>
        <v>#REF!</v>
      </c>
      <c r="C1798" s="1275"/>
      <c r="D1798" s="1275"/>
      <c r="E1798" s="1275"/>
      <c r="F1798" s="1275"/>
      <c r="G1798" s="1275"/>
      <c r="H1798" s="1275"/>
      <c r="I1798" s="1275"/>
      <c r="J1798" s="1275"/>
      <c r="K1798" s="1275"/>
      <c r="L1798" s="1275"/>
      <c r="M1798" s="1275"/>
      <c r="N1798" s="1275"/>
      <c r="O1798" s="1275"/>
      <c r="P1798" s="188" t="e">
        <f>IF(A1798="","",VLOOKUP($A1798,'[2]FDE-JUNHO-08'!$A$6:$D$3537,3,FALSE()))</f>
        <v>#REF!</v>
      </c>
      <c r="Q1798" s="189" t="s">
        <v>1205</v>
      </c>
      <c r="R1798" s="189" t="s">
        <v>1206</v>
      </c>
      <c r="T1798" s="190"/>
      <c r="U1798" s="191"/>
    </row>
    <row r="1799" spans="1:21">
      <c r="A1799" s="192"/>
      <c r="B1799" s="1281"/>
      <c r="C1799" s="1281"/>
      <c r="D1799" s="1281"/>
      <c r="E1799" s="1281"/>
      <c r="F1799" s="1281"/>
      <c r="G1799" s="1281"/>
      <c r="H1799" s="1281"/>
      <c r="I1799" s="1281"/>
      <c r="J1799" s="1281"/>
      <c r="K1799" s="1281"/>
      <c r="L1799" s="1281"/>
      <c r="M1799" s="1281"/>
      <c r="N1799" s="1281"/>
      <c r="O1799" s="1281"/>
      <c r="P1799" s="193"/>
      <c r="Q1799" s="194"/>
      <c r="R1799" s="194"/>
      <c r="T1799" s="190"/>
      <c r="U1799" s="191"/>
    </row>
    <row r="1800" spans="1:21">
      <c r="A1800" s="192"/>
      <c r="B1800" s="195" t="s">
        <v>1250</v>
      </c>
      <c r="C1800" s="196"/>
      <c r="D1800" s="197"/>
      <c r="E1800" s="198"/>
      <c r="F1800" s="198" t="s">
        <v>1251</v>
      </c>
      <c r="G1800" s="198"/>
      <c r="H1800" s="198" t="s">
        <v>1344</v>
      </c>
      <c r="I1800" s="198"/>
      <c r="J1800" s="198" t="s">
        <v>1252</v>
      </c>
      <c r="K1800" s="198"/>
      <c r="L1800" s="198" t="s">
        <v>1253</v>
      </c>
      <c r="M1800" s="199"/>
      <c r="N1800" s="199"/>
      <c r="O1800" s="155"/>
      <c r="P1800" s="193"/>
      <c r="Q1800" s="200"/>
      <c r="R1800" s="194"/>
      <c r="T1800" s="190"/>
      <c r="U1800" s="191"/>
    </row>
    <row r="1801" spans="1:21">
      <c r="A1801" s="192"/>
      <c r="B1801" s="195" t="s">
        <v>1254</v>
      </c>
      <c r="C1801" s="196"/>
      <c r="D1801" s="197"/>
      <c r="E1801" s="198"/>
      <c r="F1801" s="198">
        <v>1</v>
      </c>
      <c r="G1801" s="198" t="s">
        <v>1255</v>
      </c>
      <c r="H1801" s="198">
        <v>2</v>
      </c>
      <c r="I1801" s="198" t="s">
        <v>1255</v>
      </c>
      <c r="J1801" s="198">
        <v>1.35</v>
      </c>
      <c r="K1801" s="198" t="s">
        <v>1255</v>
      </c>
      <c r="L1801" s="198">
        <v>1.3</v>
      </c>
      <c r="M1801" s="199" t="s">
        <v>1208</v>
      </c>
      <c r="N1801" s="199">
        <f t="shared" ref="N1801:N1809" si="20">L1801*J1801*H1801*F1801</f>
        <v>3.5100000000000002</v>
      </c>
      <c r="O1801" s="155"/>
      <c r="P1801" s="193"/>
      <c r="Q1801" s="200"/>
      <c r="R1801" s="194"/>
      <c r="T1801" s="190"/>
      <c r="U1801" s="191"/>
    </row>
    <row r="1802" spans="1:21">
      <c r="A1802" s="192"/>
      <c r="B1802" s="195" t="s">
        <v>1256</v>
      </c>
      <c r="C1802" s="196"/>
      <c r="D1802" s="197"/>
      <c r="E1802" s="198"/>
      <c r="F1802" s="198">
        <v>1</v>
      </c>
      <c r="G1802" s="198" t="s">
        <v>1255</v>
      </c>
      <c r="H1802" s="198">
        <v>2</v>
      </c>
      <c r="I1802" s="198" t="s">
        <v>1255</v>
      </c>
      <c r="J1802" s="198">
        <v>0.65</v>
      </c>
      <c r="K1802" s="198" t="s">
        <v>1255</v>
      </c>
      <c r="L1802" s="198">
        <v>1.3</v>
      </c>
      <c r="M1802" s="199" t="s">
        <v>1208</v>
      </c>
      <c r="N1802" s="199">
        <f t="shared" si="20"/>
        <v>1.6900000000000002</v>
      </c>
      <c r="O1802" s="155"/>
      <c r="P1802" s="193"/>
      <c r="Q1802" s="200"/>
      <c r="R1802" s="194"/>
      <c r="T1802" s="190"/>
      <c r="U1802" s="191"/>
    </row>
    <row r="1803" spans="1:21">
      <c r="A1803" s="192"/>
      <c r="B1803" s="195" t="s">
        <v>1257</v>
      </c>
      <c r="C1803" s="196"/>
      <c r="D1803" s="197"/>
      <c r="E1803" s="198"/>
      <c r="F1803" s="198">
        <v>1</v>
      </c>
      <c r="G1803" s="198" t="s">
        <v>1255</v>
      </c>
      <c r="H1803" s="198">
        <v>2</v>
      </c>
      <c r="I1803" s="198" t="s">
        <v>1255</v>
      </c>
      <c r="J1803" s="198">
        <v>0.65</v>
      </c>
      <c r="K1803" s="198" t="s">
        <v>1255</v>
      </c>
      <c r="L1803" s="198">
        <v>1.1499999999999999</v>
      </c>
      <c r="M1803" s="199" t="s">
        <v>1208</v>
      </c>
      <c r="N1803" s="199">
        <f t="shared" si="20"/>
        <v>1.4949999999999999</v>
      </c>
      <c r="O1803" s="155"/>
      <c r="P1803" s="193"/>
      <c r="Q1803" s="200"/>
      <c r="R1803" s="194"/>
      <c r="T1803" s="190"/>
      <c r="U1803" s="191"/>
    </row>
    <row r="1804" spans="1:21">
      <c r="A1804" s="192"/>
      <c r="B1804" s="195" t="s">
        <v>1258</v>
      </c>
      <c r="C1804" s="196"/>
      <c r="D1804" s="197"/>
      <c r="E1804" s="198"/>
      <c r="F1804" s="198">
        <v>6</v>
      </c>
      <c r="G1804" s="198" t="s">
        <v>1255</v>
      </c>
      <c r="H1804" s="198">
        <v>2</v>
      </c>
      <c r="I1804" s="198" t="s">
        <v>1255</v>
      </c>
      <c r="J1804" s="198">
        <v>2</v>
      </c>
      <c r="K1804" s="198" t="s">
        <v>1255</v>
      </c>
      <c r="L1804" s="198">
        <v>1.3</v>
      </c>
      <c r="M1804" s="199" t="s">
        <v>1208</v>
      </c>
      <c r="N1804" s="199">
        <f t="shared" si="20"/>
        <v>31.200000000000003</v>
      </c>
      <c r="O1804" s="155"/>
      <c r="P1804" s="193"/>
      <c r="Q1804" s="200"/>
      <c r="R1804" s="194"/>
      <c r="T1804" s="190"/>
      <c r="U1804" s="191"/>
    </row>
    <row r="1805" spans="1:21">
      <c r="A1805" s="192"/>
      <c r="B1805" s="195" t="s">
        <v>1259</v>
      </c>
      <c r="C1805" s="196"/>
      <c r="D1805" s="197"/>
      <c r="E1805" s="198"/>
      <c r="F1805" s="198">
        <v>2</v>
      </c>
      <c r="G1805" s="198" t="s">
        <v>1255</v>
      </c>
      <c r="H1805" s="198">
        <v>2</v>
      </c>
      <c r="I1805" s="198" t="s">
        <v>1255</v>
      </c>
      <c r="J1805" s="198">
        <v>1.3</v>
      </c>
      <c r="K1805" s="198" t="s">
        <v>1255</v>
      </c>
      <c r="L1805" s="198">
        <v>1.3</v>
      </c>
      <c r="M1805" s="199" t="s">
        <v>1208</v>
      </c>
      <c r="N1805" s="199">
        <f t="shared" si="20"/>
        <v>6.7600000000000007</v>
      </c>
      <c r="O1805" s="155"/>
      <c r="P1805" s="193"/>
      <c r="Q1805" s="194"/>
      <c r="R1805" s="194"/>
      <c r="T1805" s="190"/>
      <c r="U1805" s="191"/>
    </row>
    <row r="1806" spans="1:21">
      <c r="A1806" s="192"/>
      <c r="B1806" s="195" t="s">
        <v>1260</v>
      </c>
      <c r="C1806" s="196"/>
      <c r="D1806" s="197"/>
      <c r="E1806" s="198"/>
      <c r="F1806" s="198">
        <v>1</v>
      </c>
      <c r="G1806" s="198" t="s">
        <v>1255</v>
      </c>
      <c r="H1806" s="198">
        <v>2</v>
      </c>
      <c r="I1806" s="198" t="s">
        <v>1255</v>
      </c>
      <c r="J1806" s="198">
        <v>1.3</v>
      </c>
      <c r="K1806" s="198" t="s">
        <v>1255</v>
      </c>
      <c r="L1806" s="198">
        <v>1.3</v>
      </c>
      <c r="M1806" s="199" t="s">
        <v>1208</v>
      </c>
      <c r="N1806" s="199">
        <f t="shared" si="20"/>
        <v>3.3800000000000003</v>
      </c>
      <c r="O1806" s="155"/>
      <c r="P1806" s="193"/>
      <c r="Q1806" s="200"/>
      <c r="R1806" s="194"/>
      <c r="T1806" s="190"/>
      <c r="U1806" s="191"/>
    </row>
    <row r="1807" spans="1:21">
      <c r="A1807" s="192"/>
      <c r="B1807" s="195" t="s">
        <v>1261</v>
      </c>
      <c r="C1807" s="196"/>
      <c r="D1807" s="197"/>
      <c r="E1807" s="198"/>
      <c r="F1807" s="198">
        <v>1</v>
      </c>
      <c r="G1807" s="198" t="s">
        <v>1255</v>
      </c>
      <c r="H1807" s="198">
        <v>2</v>
      </c>
      <c r="I1807" s="198" t="s">
        <v>1255</v>
      </c>
      <c r="J1807" s="198">
        <v>2</v>
      </c>
      <c r="K1807" s="198" t="s">
        <v>1255</v>
      </c>
      <c r="L1807" s="198">
        <v>1.3</v>
      </c>
      <c r="M1807" s="199" t="s">
        <v>1208</v>
      </c>
      <c r="N1807" s="199">
        <f t="shared" si="20"/>
        <v>5.2</v>
      </c>
      <c r="O1807" s="155"/>
      <c r="P1807" s="193"/>
      <c r="Q1807" s="200"/>
      <c r="R1807" s="194"/>
      <c r="T1807" s="190"/>
      <c r="U1807" s="191"/>
    </row>
    <row r="1808" spans="1:21">
      <c r="A1808" s="192"/>
      <c r="B1808" s="195" t="s">
        <v>1261</v>
      </c>
      <c r="C1808" s="196"/>
      <c r="D1808" s="197"/>
      <c r="E1808" s="198"/>
      <c r="F1808" s="198">
        <v>1</v>
      </c>
      <c r="G1808" s="198" t="s">
        <v>1255</v>
      </c>
      <c r="H1808" s="198">
        <v>2</v>
      </c>
      <c r="I1808" s="198" t="s">
        <v>1255</v>
      </c>
      <c r="J1808" s="198">
        <v>0.75</v>
      </c>
      <c r="K1808" s="198" t="s">
        <v>1255</v>
      </c>
      <c r="L1808" s="198">
        <v>1.3</v>
      </c>
      <c r="M1808" s="199" t="s">
        <v>1208</v>
      </c>
      <c r="N1808" s="199">
        <f t="shared" si="20"/>
        <v>1.9500000000000002</v>
      </c>
      <c r="O1808" s="155"/>
      <c r="P1808" s="193"/>
      <c r="Q1808" s="200"/>
      <c r="R1808" s="194"/>
      <c r="T1808" s="190"/>
      <c r="U1808" s="191"/>
    </row>
    <row r="1809" spans="1:21">
      <c r="A1809" s="192"/>
      <c r="B1809" s="195" t="s">
        <v>1262</v>
      </c>
      <c r="C1809" s="196"/>
      <c r="D1809" s="197"/>
      <c r="E1809" s="198"/>
      <c r="F1809" s="198">
        <v>6</v>
      </c>
      <c r="G1809" s="198" t="s">
        <v>1255</v>
      </c>
      <c r="H1809" s="198">
        <v>2</v>
      </c>
      <c r="I1809" s="198" t="s">
        <v>1255</v>
      </c>
      <c r="J1809" s="198">
        <v>0.7</v>
      </c>
      <c r="K1809" s="198" t="s">
        <v>1255</v>
      </c>
      <c r="L1809" s="198">
        <v>0.7</v>
      </c>
      <c r="M1809" s="199" t="s">
        <v>1208</v>
      </c>
      <c r="N1809" s="199">
        <f t="shared" si="20"/>
        <v>5.879999999999999</v>
      </c>
      <c r="O1809" s="155"/>
      <c r="P1809" s="193"/>
      <c r="Q1809" s="200"/>
      <c r="R1809" s="194"/>
      <c r="T1809" s="190"/>
      <c r="U1809" s="191"/>
    </row>
    <row r="1810" spans="1:21">
      <c r="A1810" s="192"/>
      <c r="B1810" s="195"/>
      <c r="C1810" s="196"/>
      <c r="D1810" s="197"/>
      <c r="E1810" s="198"/>
      <c r="F1810" s="198"/>
      <c r="G1810" s="198"/>
      <c r="H1810" s="198"/>
      <c r="I1810" s="198"/>
      <c r="J1810" s="198"/>
      <c r="K1810" s="198"/>
      <c r="L1810" s="198"/>
      <c r="M1810" s="199"/>
      <c r="N1810" s="199"/>
      <c r="O1810" s="155"/>
      <c r="P1810" s="193"/>
      <c r="Q1810" s="194"/>
      <c r="R1810" s="194"/>
      <c r="T1810" s="190"/>
      <c r="U1810" s="191"/>
    </row>
    <row r="1811" spans="1:21">
      <c r="A1811" s="192"/>
      <c r="B1811" s="195" t="s">
        <v>1263</v>
      </c>
      <c r="C1811" s="196"/>
      <c r="D1811" s="197"/>
      <c r="E1811" s="198"/>
      <c r="F1811" s="198"/>
      <c r="G1811" s="198"/>
      <c r="H1811" s="198"/>
      <c r="I1811" s="198"/>
      <c r="J1811" s="198"/>
      <c r="K1811" s="198"/>
      <c r="L1811" s="198"/>
      <c r="M1811" s="199"/>
      <c r="N1811" s="199"/>
      <c r="O1811" s="155"/>
      <c r="P1811" s="193"/>
      <c r="Q1811" s="200"/>
      <c r="R1811" s="194"/>
      <c r="T1811" s="190"/>
      <c r="U1811" s="191"/>
    </row>
    <row r="1812" spans="1:21">
      <c r="A1812" s="192"/>
      <c r="B1812" s="195" t="s">
        <v>1264</v>
      </c>
      <c r="C1812" s="196"/>
      <c r="D1812" s="197"/>
      <c r="E1812" s="198"/>
      <c r="F1812" s="198">
        <v>1</v>
      </c>
      <c r="G1812" s="198" t="s">
        <v>1255</v>
      </c>
      <c r="H1812" s="198">
        <v>2</v>
      </c>
      <c r="I1812" s="198" t="s">
        <v>1255</v>
      </c>
      <c r="J1812" s="198">
        <v>4.8</v>
      </c>
      <c r="K1812" s="198" t="s">
        <v>1255</v>
      </c>
      <c r="L1812" s="198">
        <v>2.35</v>
      </c>
      <c r="M1812" s="199" t="s">
        <v>1208</v>
      </c>
      <c r="N1812" s="199">
        <f>L1812*J1812*H1812*F1812</f>
        <v>22.56</v>
      </c>
      <c r="O1812" s="155"/>
      <c r="P1812" s="193"/>
      <c r="Q1812" s="200"/>
      <c r="R1812" s="194"/>
      <c r="T1812" s="190"/>
      <c r="U1812" s="191"/>
    </row>
    <row r="1813" spans="1:21">
      <c r="A1813" s="192"/>
      <c r="B1813" s="195" t="s">
        <v>1265</v>
      </c>
      <c r="C1813" s="196"/>
      <c r="D1813" s="197"/>
      <c r="E1813" s="198"/>
      <c r="F1813" s="198">
        <v>1</v>
      </c>
      <c r="G1813" s="198" t="s">
        <v>1255</v>
      </c>
      <c r="H1813" s="198">
        <v>2</v>
      </c>
      <c r="I1813" s="198" t="s">
        <v>1255</v>
      </c>
      <c r="J1813" s="198">
        <v>1</v>
      </c>
      <c r="K1813" s="198" t="s">
        <v>1255</v>
      </c>
      <c r="L1813" s="198">
        <v>1.8</v>
      </c>
      <c r="M1813" s="199" t="s">
        <v>1208</v>
      </c>
      <c r="N1813" s="199">
        <f>L1813*J1813*H1813*F1813</f>
        <v>3.6</v>
      </c>
      <c r="O1813" s="155"/>
      <c r="P1813" s="193"/>
      <c r="Q1813" s="200"/>
      <c r="R1813" s="194"/>
      <c r="T1813" s="190"/>
      <c r="U1813" s="191"/>
    </row>
    <row r="1814" spans="1:21">
      <c r="A1814" s="192"/>
      <c r="B1814" s="195" t="s">
        <v>1266</v>
      </c>
      <c r="C1814" s="196"/>
      <c r="D1814" s="197"/>
      <c r="E1814" s="198"/>
      <c r="F1814" s="198">
        <v>1</v>
      </c>
      <c r="G1814" s="198" t="s">
        <v>1255</v>
      </c>
      <c r="H1814" s="198">
        <v>2</v>
      </c>
      <c r="I1814" s="198" t="s">
        <v>1255</v>
      </c>
      <c r="J1814" s="198">
        <v>3</v>
      </c>
      <c r="K1814" s="198" t="s">
        <v>1255</v>
      </c>
      <c r="L1814" s="198">
        <v>1.5</v>
      </c>
      <c r="M1814" s="199" t="s">
        <v>1208</v>
      </c>
      <c r="N1814" s="199">
        <f>L1814*J1814*H1814*F1814</f>
        <v>9</v>
      </c>
      <c r="O1814" s="155"/>
      <c r="P1814" s="193"/>
      <c r="Q1814" s="200"/>
      <c r="R1814" s="194"/>
      <c r="T1814" s="190"/>
      <c r="U1814" s="191"/>
    </row>
    <row r="1815" spans="1:21">
      <c r="A1815" s="192"/>
      <c r="B1815" s="195" t="s">
        <v>1267</v>
      </c>
      <c r="C1815" s="196"/>
      <c r="D1815" s="197"/>
      <c r="E1815" s="198"/>
      <c r="F1815" s="198">
        <v>1</v>
      </c>
      <c r="G1815" s="198" t="s">
        <v>1255</v>
      </c>
      <c r="H1815" s="198">
        <v>2</v>
      </c>
      <c r="I1815" s="198" t="s">
        <v>1255</v>
      </c>
      <c r="J1815" s="198">
        <v>3</v>
      </c>
      <c r="K1815" s="198" t="s">
        <v>1255</v>
      </c>
      <c r="L1815" s="198">
        <v>1.8</v>
      </c>
      <c r="M1815" s="199" t="s">
        <v>1208</v>
      </c>
      <c r="N1815" s="199">
        <f>L1815*J1815*H1815*F1815</f>
        <v>10.8</v>
      </c>
      <c r="O1815" s="155"/>
      <c r="P1815" s="193"/>
      <c r="Q1815" s="200"/>
      <c r="R1815" s="194"/>
      <c r="T1815" s="190"/>
      <c r="U1815" s="191"/>
    </row>
    <row r="1816" spans="1:21">
      <c r="A1816" s="192"/>
      <c r="B1816" s="195" t="s">
        <v>1268</v>
      </c>
      <c r="C1816" s="196"/>
      <c r="D1816" s="197"/>
      <c r="E1816" s="198"/>
      <c r="F1816" s="198">
        <v>1</v>
      </c>
      <c r="G1816" s="198" t="s">
        <v>1255</v>
      </c>
      <c r="H1816" s="198">
        <v>1</v>
      </c>
      <c r="I1816" s="198" t="s">
        <v>1255</v>
      </c>
      <c r="J1816" s="198">
        <v>7.68</v>
      </c>
      <c r="K1816" s="198" t="s">
        <v>1255</v>
      </c>
      <c r="L1816" s="198">
        <v>7.68</v>
      </c>
      <c r="M1816" s="199" t="s">
        <v>1208</v>
      </c>
      <c r="N1816" s="199">
        <f>L1816*J1816*H1816*F1816</f>
        <v>58.982399999999998</v>
      </c>
      <c r="O1816" s="155"/>
      <c r="P1816" s="193"/>
      <c r="Q1816" s="194"/>
      <c r="R1816" s="194"/>
      <c r="T1816" s="190"/>
      <c r="U1816" s="191"/>
    </row>
    <row r="1817" spans="1:21">
      <c r="A1817" s="192"/>
      <c r="B1817" s="195"/>
      <c r="C1817" s="196"/>
      <c r="D1817" s="197"/>
      <c r="E1817" s="198"/>
      <c r="F1817" s="197"/>
      <c r="G1817" s="198"/>
      <c r="H1817" s="197"/>
      <c r="I1817" s="198"/>
      <c r="J1817" s="197"/>
      <c r="K1817" s="198"/>
      <c r="L1817" s="199"/>
      <c r="M1817" s="199"/>
      <c r="N1817" s="201"/>
      <c r="O1817" s="202"/>
      <c r="P1817" s="193"/>
      <c r="Q1817" s="200"/>
      <c r="R1817" s="194"/>
      <c r="T1817" s="190"/>
      <c r="U1817" s="191"/>
    </row>
    <row r="1818" spans="1:21">
      <c r="A1818" s="192"/>
      <c r="B1818" s="195"/>
      <c r="C1818" s="196"/>
      <c r="D1818" s="197"/>
      <c r="E1818" s="198"/>
      <c r="F1818" s="197"/>
      <c r="G1818" s="198"/>
      <c r="H1818" s="197"/>
      <c r="I1818" s="198"/>
      <c r="J1818" s="197"/>
      <c r="K1818" s="198"/>
      <c r="L1818" s="199" t="s">
        <v>1140</v>
      </c>
      <c r="M1818" s="199" t="s">
        <v>1208</v>
      </c>
      <c r="N1818" s="199">
        <f>SUM(N1800:N1817)</f>
        <v>166.00740000000002</v>
      </c>
      <c r="O1818" s="155" t="e">
        <f>P1798</f>
        <v>#REF!</v>
      </c>
      <c r="P1818" s="193"/>
      <c r="Q1818" s="200"/>
      <c r="R1818" s="194"/>
      <c r="T1818" s="190"/>
      <c r="U1818" s="191"/>
    </row>
    <row r="1819" spans="1:21">
      <c r="A1819" s="192"/>
      <c r="B1819" s="195"/>
      <c r="C1819" s="196"/>
      <c r="D1819" s="197"/>
      <c r="E1819" s="198"/>
      <c r="F1819" s="197"/>
      <c r="G1819" s="198"/>
      <c r="H1819" s="197"/>
      <c r="I1819" s="198"/>
      <c r="J1819" s="197"/>
      <c r="K1819" s="198"/>
      <c r="L1819" s="199"/>
      <c r="M1819" s="199"/>
      <c r="N1819" s="199"/>
      <c r="O1819" s="155"/>
      <c r="P1819" s="193"/>
      <c r="Q1819" s="200"/>
      <c r="R1819" s="194"/>
      <c r="T1819" s="190"/>
      <c r="U1819" s="191"/>
    </row>
    <row r="1820" spans="1:21">
      <c r="A1820" s="192"/>
      <c r="B1820" s="1277" t="s">
        <v>1209</v>
      </c>
      <c r="C1820" s="1277"/>
      <c r="D1820" s="1277"/>
      <c r="E1820" s="1277"/>
      <c r="F1820" s="1277"/>
      <c r="G1820" s="1277"/>
      <c r="H1820" s="1277"/>
      <c r="I1820" s="1277"/>
      <c r="J1820" s="1277"/>
      <c r="K1820" s="1277"/>
      <c r="L1820" s="1277"/>
      <c r="M1820" s="1277"/>
      <c r="N1820" s="1277"/>
      <c r="O1820" s="1277"/>
      <c r="P1820" s="1277"/>
      <c r="Q1820" s="203">
        <v>0</v>
      </c>
      <c r="R1820" s="204">
        <f>Q1820</f>
        <v>0</v>
      </c>
      <c r="T1820" s="1278"/>
      <c r="U1820" s="1279"/>
    </row>
    <row r="1821" spans="1:21">
      <c r="A1821" s="192"/>
      <c r="B1821" s="1277" t="e">
        <f>med</f>
        <v>#NAME?</v>
      </c>
      <c r="C1821" s="1277"/>
      <c r="D1821" s="1277"/>
      <c r="E1821" s="1277"/>
      <c r="F1821" s="1277"/>
      <c r="G1821" s="1277"/>
      <c r="H1821" s="1277"/>
      <c r="I1821" s="1277"/>
      <c r="J1821" s="1277"/>
      <c r="K1821" s="1277"/>
      <c r="L1821" s="1277"/>
      <c r="M1821" s="1277"/>
      <c r="N1821" s="1277"/>
      <c r="O1821" s="1277"/>
      <c r="P1821" s="205">
        <f>N1818</f>
        <v>166.00740000000002</v>
      </c>
      <c r="Q1821" s="203">
        <f>P1821</f>
        <v>166.00740000000002</v>
      </c>
      <c r="R1821" s="204">
        <f>Q1821+R1820</f>
        <v>166.00740000000002</v>
      </c>
      <c r="T1821" s="1278"/>
      <c r="U1821" s="1279"/>
    </row>
    <row r="1822" spans="1:21" ht="18" customHeight="1">
      <c r="A1822" s="187" t="e">
        <f>#REF!</f>
        <v>#REF!</v>
      </c>
      <c r="B1822" s="1275" t="e">
        <f>IF(A1822="","",VLOOKUP($A1822,'[2]FDE-JUNHO-08'!$A$6:$D$3537,2,FALSE()))</f>
        <v>#REF!</v>
      </c>
      <c r="C1822" s="1275"/>
      <c r="D1822" s="1275"/>
      <c r="E1822" s="1275"/>
      <c r="F1822" s="1275"/>
      <c r="G1822" s="1275"/>
      <c r="H1822" s="1275"/>
      <c r="I1822" s="1275"/>
      <c r="J1822" s="1275"/>
      <c r="K1822" s="1275"/>
      <c r="L1822" s="1275"/>
      <c r="M1822" s="1275"/>
      <c r="N1822" s="1275"/>
      <c r="O1822" s="1275"/>
      <c r="P1822" s="188" t="e">
        <f>IF(A1822="","",VLOOKUP($A1822,'[2]FDE-JUNHO-08'!$A$6:$D$3537,3,FALSE()))</f>
        <v>#REF!</v>
      </c>
      <c r="Q1822" s="189" t="s">
        <v>1205</v>
      </c>
      <c r="R1822" s="189" t="s">
        <v>1206</v>
      </c>
      <c r="T1822" s="190"/>
      <c r="U1822" s="191"/>
    </row>
    <row r="1823" spans="1:21">
      <c r="A1823" s="192"/>
      <c r="B1823" s="1281"/>
      <c r="C1823" s="1281"/>
      <c r="D1823" s="1281"/>
      <c r="E1823" s="1281"/>
      <c r="F1823" s="1281"/>
      <c r="G1823" s="1281"/>
      <c r="H1823" s="1281"/>
      <c r="I1823" s="1281"/>
      <c r="J1823" s="1281"/>
      <c r="K1823" s="1281"/>
      <c r="L1823" s="1281"/>
      <c r="M1823" s="1281"/>
      <c r="N1823" s="1281"/>
      <c r="O1823" s="1281"/>
      <c r="P1823" s="193"/>
      <c r="Q1823" s="194"/>
      <c r="R1823" s="194"/>
      <c r="T1823" s="190"/>
      <c r="U1823" s="191"/>
    </row>
    <row r="1824" spans="1:21">
      <c r="A1824" s="192"/>
      <c r="B1824" s="195" t="s">
        <v>1387</v>
      </c>
      <c r="C1824" s="196"/>
      <c r="D1824" s="197"/>
      <c r="E1824" s="198"/>
      <c r="F1824" s="197"/>
      <c r="G1824" s="198"/>
      <c r="H1824" s="197"/>
      <c r="I1824" s="198"/>
      <c r="J1824" s="197"/>
      <c r="K1824" s="198"/>
      <c r="L1824" s="199"/>
      <c r="M1824" s="199" t="s">
        <v>1208</v>
      </c>
      <c r="N1824" s="199">
        <v>66</v>
      </c>
      <c r="O1824" s="155"/>
      <c r="P1824" s="193"/>
      <c r="Q1824" s="200"/>
      <c r="R1824" s="194"/>
      <c r="T1824" s="190"/>
      <c r="U1824" s="191"/>
    </row>
    <row r="1825" spans="1:21">
      <c r="A1825" s="192"/>
      <c r="B1825" s="195"/>
      <c r="C1825" s="196"/>
      <c r="D1825" s="197"/>
      <c r="E1825" s="198"/>
      <c r="F1825" s="197"/>
      <c r="G1825" s="198"/>
      <c r="H1825" s="197"/>
      <c r="I1825" s="198"/>
      <c r="J1825" s="197"/>
      <c r="K1825" s="198"/>
      <c r="L1825" s="199"/>
      <c r="M1825" s="199"/>
      <c r="N1825" s="201"/>
      <c r="O1825" s="202"/>
      <c r="P1825" s="193"/>
      <c r="Q1825" s="200"/>
      <c r="R1825" s="194"/>
      <c r="T1825" s="190"/>
      <c r="U1825" s="191"/>
    </row>
    <row r="1826" spans="1:21">
      <c r="A1826" s="192"/>
      <c r="B1826" s="195"/>
      <c r="C1826" s="196"/>
      <c r="D1826" s="197"/>
      <c r="E1826" s="198"/>
      <c r="F1826" s="197"/>
      <c r="G1826" s="198"/>
      <c r="H1826" s="197"/>
      <c r="I1826" s="198"/>
      <c r="J1826" s="197"/>
      <c r="K1826" s="198"/>
      <c r="L1826" s="199" t="s">
        <v>1140</v>
      </c>
      <c r="M1826" s="199" t="s">
        <v>1208</v>
      </c>
      <c r="N1826" s="199">
        <f>SUM(N1824:N1825)</f>
        <v>66</v>
      </c>
      <c r="O1826" s="155" t="e">
        <f>P1822</f>
        <v>#REF!</v>
      </c>
      <c r="P1826" s="193"/>
      <c r="Q1826" s="200"/>
      <c r="R1826" s="194"/>
      <c r="T1826" s="190"/>
      <c r="U1826" s="191"/>
    </row>
    <row r="1827" spans="1:21">
      <c r="A1827" s="192"/>
      <c r="B1827" s="195"/>
      <c r="C1827" s="196"/>
      <c r="D1827" s="197"/>
      <c r="E1827" s="198"/>
      <c r="F1827" s="197"/>
      <c r="G1827" s="198"/>
      <c r="H1827" s="197"/>
      <c r="I1827" s="198"/>
      <c r="J1827" s="197"/>
      <c r="K1827" s="198"/>
      <c r="L1827" s="199"/>
      <c r="M1827" s="199"/>
      <c r="N1827" s="199"/>
      <c r="O1827" s="155"/>
      <c r="P1827" s="193"/>
      <c r="Q1827" s="200"/>
      <c r="R1827" s="194"/>
      <c r="T1827" s="190"/>
      <c r="U1827" s="191"/>
    </row>
    <row r="1828" spans="1:21">
      <c r="A1828" s="192"/>
      <c r="B1828" s="1277" t="s">
        <v>1209</v>
      </c>
      <c r="C1828" s="1277"/>
      <c r="D1828" s="1277"/>
      <c r="E1828" s="1277"/>
      <c r="F1828" s="1277"/>
      <c r="G1828" s="1277"/>
      <c r="H1828" s="1277"/>
      <c r="I1828" s="1277"/>
      <c r="J1828" s="1277"/>
      <c r="K1828" s="1277"/>
      <c r="L1828" s="1277"/>
      <c r="M1828" s="1277"/>
      <c r="N1828" s="1277"/>
      <c r="O1828" s="1277"/>
      <c r="P1828" s="1277"/>
      <c r="Q1828" s="203">
        <v>0</v>
      </c>
      <c r="R1828" s="204">
        <f>Q1828</f>
        <v>0</v>
      </c>
      <c r="T1828" s="1278"/>
      <c r="U1828" s="1279"/>
    </row>
    <row r="1829" spans="1:21">
      <c r="A1829" s="192"/>
      <c r="B1829" s="1277" t="e">
        <f>med</f>
        <v>#NAME?</v>
      </c>
      <c r="C1829" s="1277"/>
      <c r="D1829" s="1277"/>
      <c r="E1829" s="1277"/>
      <c r="F1829" s="1277"/>
      <c r="G1829" s="1277"/>
      <c r="H1829" s="1277"/>
      <c r="I1829" s="1277"/>
      <c r="J1829" s="1277"/>
      <c r="K1829" s="1277"/>
      <c r="L1829" s="1277"/>
      <c r="M1829" s="1277"/>
      <c r="N1829" s="1277"/>
      <c r="O1829" s="1277"/>
      <c r="P1829" s="205">
        <f>N1826</f>
        <v>66</v>
      </c>
      <c r="Q1829" s="203">
        <f>P1829</f>
        <v>66</v>
      </c>
      <c r="R1829" s="204">
        <f>Q1829+R1828</f>
        <v>66</v>
      </c>
      <c r="T1829" s="1278"/>
      <c r="U1829" s="1279"/>
    </row>
    <row r="1830" spans="1:21" ht="18" customHeight="1">
      <c r="A1830" s="187" t="e">
        <f>#REF!</f>
        <v>#REF!</v>
      </c>
      <c r="B1830" s="1275" t="e">
        <f>IF(A1830="","",VLOOKUP($A1830,'[2]FDE-JUNHO-08'!$A$6:$D$3537,2,FALSE()))</f>
        <v>#REF!</v>
      </c>
      <c r="C1830" s="1275"/>
      <c r="D1830" s="1275"/>
      <c r="E1830" s="1275"/>
      <c r="F1830" s="1275"/>
      <c r="G1830" s="1275"/>
      <c r="H1830" s="1275"/>
      <c r="I1830" s="1275"/>
      <c r="J1830" s="1275"/>
      <c r="K1830" s="1275"/>
      <c r="L1830" s="1275"/>
      <c r="M1830" s="1275"/>
      <c r="N1830" s="1275"/>
      <c r="O1830" s="1275"/>
      <c r="P1830" s="188" t="e">
        <f>IF(A1830="","",VLOOKUP($A1830,'[2]FDE-JUNHO-08'!$A$6:$D$3537,3,FALSE()))</f>
        <v>#REF!</v>
      </c>
      <c r="Q1830" s="189" t="s">
        <v>1205</v>
      </c>
      <c r="R1830" s="189" t="s">
        <v>1206</v>
      </c>
      <c r="T1830" s="190"/>
      <c r="U1830" s="191"/>
    </row>
    <row r="1831" spans="1:21">
      <c r="A1831" s="192"/>
      <c r="B1831" s="1281"/>
      <c r="C1831" s="1281"/>
      <c r="D1831" s="1281"/>
      <c r="E1831" s="1281"/>
      <c r="F1831" s="1281"/>
      <c r="G1831" s="1281"/>
      <c r="H1831" s="1281"/>
      <c r="I1831" s="1281"/>
      <c r="J1831" s="1281"/>
      <c r="K1831" s="1281"/>
      <c r="L1831" s="1281"/>
      <c r="M1831" s="1281"/>
      <c r="N1831" s="1281"/>
      <c r="O1831" s="1281"/>
      <c r="P1831" s="193"/>
      <c r="Q1831" s="194"/>
      <c r="R1831" s="194"/>
      <c r="T1831" s="190"/>
      <c r="U1831" s="191"/>
    </row>
    <row r="1832" spans="1:21">
      <c r="A1832" s="192"/>
      <c r="B1832" s="195" t="s">
        <v>1388</v>
      </c>
      <c r="C1832" s="196"/>
      <c r="D1832" s="197"/>
      <c r="E1832" s="198"/>
      <c r="F1832" s="197"/>
      <c r="G1832" s="198"/>
      <c r="H1832" s="197"/>
      <c r="I1832" s="198"/>
      <c r="J1832" s="197">
        <v>16.5</v>
      </c>
      <c r="K1832" s="198" t="s">
        <v>1227</v>
      </c>
      <c r="L1832" s="199">
        <v>40</v>
      </c>
      <c r="M1832" s="199" t="s">
        <v>1208</v>
      </c>
      <c r="N1832" s="199">
        <f>L1832*J1832</f>
        <v>660</v>
      </c>
      <c r="O1832" s="155"/>
      <c r="P1832" s="193"/>
      <c r="Q1832" s="200"/>
      <c r="R1832" s="194"/>
      <c r="T1832" s="190"/>
      <c r="U1832" s="191"/>
    </row>
    <row r="1833" spans="1:21">
      <c r="A1833" s="192"/>
      <c r="B1833" s="195"/>
      <c r="C1833" s="196"/>
      <c r="D1833" s="197"/>
      <c r="E1833" s="198"/>
      <c r="F1833" s="197"/>
      <c r="G1833" s="198"/>
      <c r="H1833" s="197"/>
      <c r="I1833" s="198"/>
      <c r="J1833" s="197"/>
      <c r="K1833" s="198"/>
      <c r="L1833" s="199"/>
      <c r="M1833" s="199"/>
      <c r="N1833" s="201"/>
      <c r="O1833" s="202"/>
      <c r="P1833" s="193"/>
      <c r="Q1833" s="200"/>
      <c r="R1833" s="194"/>
      <c r="T1833" s="190"/>
      <c r="U1833" s="191"/>
    </row>
    <row r="1834" spans="1:21">
      <c r="A1834" s="192"/>
      <c r="B1834" s="195"/>
      <c r="C1834" s="196"/>
      <c r="D1834" s="197"/>
      <c r="E1834" s="198"/>
      <c r="F1834" s="197"/>
      <c r="G1834" s="198"/>
      <c r="H1834" s="197"/>
      <c r="I1834" s="198"/>
      <c r="J1834" s="197"/>
      <c r="K1834" s="198"/>
      <c r="L1834" s="199" t="s">
        <v>1140</v>
      </c>
      <c r="M1834" s="199" t="s">
        <v>1208</v>
      </c>
      <c r="N1834" s="199">
        <f>SUM(N1832:N1833)</f>
        <v>660</v>
      </c>
      <c r="O1834" s="155" t="e">
        <f>P1830</f>
        <v>#REF!</v>
      </c>
      <c r="P1834" s="193"/>
      <c r="Q1834" s="200"/>
      <c r="R1834" s="194"/>
      <c r="T1834" s="190"/>
      <c r="U1834" s="191"/>
    </row>
    <row r="1835" spans="1:21">
      <c r="A1835" s="192"/>
      <c r="B1835" s="195"/>
      <c r="C1835" s="196"/>
      <c r="D1835" s="197"/>
      <c r="E1835" s="198"/>
      <c r="F1835" s="197"/>
      <c r="G1835" s="198"/>
      <c r="H1835" s="197"/>
      <c r="I1835" s="198"/>
      <c r="J1835" s="197"/>
      <c r="K1835" s="198"/>
      <c r="L1835" s="199"/>
      <c r="M1835" s="199"/>
      <c r="N1835" s="199"/>
      <c r="O1835" s="155"/>
      <c r="P1835" s="193"/>
      <c r="Q1835" s="200"/>
      <c r="R1835" s="194"/>
      <c r="T1835" s="190"/>
      <c r="U1835" s="191"/>
    </row>
    <row r="1836" spans="1:21">
      <c r="A1836" s="192"/>
      <c r="B1836" s="1277" t="s">
        <v>1209</v>
      </c>
      <c r="C1836" s="1277"/>
      <c r="D1836" s="1277"/>
      <c r="E1836" s="1277"/>
      <c r="F1836" s="1277"/>
      <c r="G1836" s="1277"/>
      <c r="H1836" s="1277"/>
      <c r="I1836" s="1277"/>
      <c r="J1836" s="1277"/>
      <c r="K1836" s="1277"/>
      <c r="L1836" s="1277"/>
      <c r="M1836" s="1277"/>
      <c r="N1836" s="1277"/>
      <c r="O1836" s="1277"/>
      <c r="P1836" s="1277"/>
      <c r="Q1836" s="203">
        <v>0</v>
      </c>
      <c r="R1836" s="204">
        <f>Q1836</f>
        <v>0</v>
      </c>
      <c r="T1836" s="1278"/>
      <c r="U1836" s="1279"/>
    </row>
    <row r="1837" spans="1:21">
      <c r="A1837" s="192"/>
      <c r="B1837" s="1277" t="e">
        <f>med</f>
        <v>#NAME?</v>
      </c>
      <c r="C1837" s="1277"/>
      <c r="D1837" s="1277"/>
      <c r="E1837" s="1277"/>
      <c r="F1837" s="1277"/>
      <c r="G1837" s="1277"/>
      <c r="H1837" s="1277"/>
      <c r="I1837" s="1277"/>
      <c r="J1837" s="1277"/>
      <c r="K1837" s="1277"/>
      <c r="L1837" s="1277"/>
      <c r="M1837" s="1277"/>
      <c r="N1837" s="1277"/>
      <c r="O1837" s="1277"/>
      <c r="P1837" s="205">
        <f>N1834</f>
        <v>660</v>
      </c>
      <c r="Q1837" s="203">
        <f>P1837</f>
        <v>660</v>
      </c>
      <c r="R1837" s="204">
        <f>Q1837+R1836</f>
        <v>660</v>
      </c>
      <c r="T1837" s="1278"/>
      <c r="U1837" s="1279"/>
    </row>
    <row r="1838" spans="1:21" ht="18" customHeight="1">
      <c r="A1838" s="187" t="e">
        <f>#REF!</f>
        <v>#REF!</v>
      </c>
      <c r="B1838" s="1275" t="e">
        <f>IF(A1838="","",VLOOKUP($A1838,'[2]FDE-JUNHO-08'!$A$6:$D$3537,2,FALSE()))</f>
        <v>#REF!</v>
      </c>
      <c r="C1838" s="1275"/>
      <c r="D1838" s="1275"/>
      <c r="E1838" s="1275"/>
      <c r="F1838" s="1275"/>
      <c r="G1838" s="1275"/>
      <c r="H1838" s="1275"/>
      <c r="I1838" s="1275"/>
      <c r="J1838" s="1275"/>
      <c r="K1838" s="1275"/>
      <c r="L1838" s="1275"/>
      <c r="M1838" s="1275"/>
      <c r="N1838" s="1275"/>
      <c r="O1838" s="1275"/>
      <c r="P1838" s="188" t="e">
        <f>IF(A1838="","",VLOOKUP($A1838,'[2]FDE-JUNHO-08'!$A$6:$D$3537,3,FALSE()))</f>
        <v>#REF!</v>
      </c>
      <c r="Q1838" s="189" t="s">
        <v>1205</v>
      </c>
      <c r="R1838" s="189" t="s">
        <v>1206</v>
      </c>
      <c r="T1838" s="190"/>
      <c r="U1838" s="191"/>
    </row>
    <row r="1839" spans="1:21">
      <c r="A1839" s="192"/>
      <c r="B1839" s="1281"/>
      <c r="C1839" s="1281"/>
      <c r="D1839" s="1281"/>
      <c r="E1839" s="1281"/>
      <c r="F1839" s="1281"/>
      <c r="G1839" s="1281"/>
      <c r="H1839" s="1281"/>
      <c r="I1839" s="1281"/>
      <c r="J1839" s="1281"/>
      <c r="K1839" s="1281"/>
      <c r="L1839" s="1281"/>
      <c r="M1839" s="1281"/>
      <c r="N1839" s="1281"/>
      <c r="O1839" s="1281"/>
      <c r="P1839" s="193"/>
      <c r="Q1839" s="194"/>
      <c r="R1839" s="194"/>
      <c r="T1839" s="190"/>
      <c r="U1839" s="191"/>
    </row>
    <row r="1840" spans="1:21">
      <c r="A1840" s="192"/>
      <c r="B1840" s="195" t="s">
        <v>1389</v>
      </c>
      <c r="C1840" s="196"/>
      <c r="D1840" s="197"/>
      <c r="E1840" s="198"/>
      <c r="F1840" s="197"/>
      <c r="G1840" s="198"/>
      <c r="H1840" s="197"/>
      <c r="I1840" s="198"/>
      <c r="J1840" s="198"/>
      <c r="K1840" s="198"/>
      <c r="L1840" s="198"/>
      <c r="M1840" s="198"/>
      <c r="N1840" s="198"/>
      <c r="O1840" s="251"/>
      <c r="P1840" s="193"/>
      <c r="Q1840" s="200"/>
      <c r="R1840" s="194"/>
      <c r="T1840" s="190"/>
      <c r="U1840" s="191"/>
    </row>
    <row r="1841" spans="1:21">
      <c r="A1841" s="192"/>
      <c r="B1841" s="195"/>
      <c r="C1841" s="196"/>
      <c r="D1841" s="197"/>
      <c r="E1841" s="198"/>
      <c r="F1841" s="199"/>
      <c r="G1841" s="198"/>
      <c r="H1841" s="198"/>
      <c r="I1841" s="198"/>
      <c r="J1841" s="198" t="s">
        <v>1231</v>
      </c>
      <c r="K1841" s="198"/>
      <c r="L1841" s="198" t="s">
        <v>1281</v>
      </c>
      <c r="M1841" s="199"/>
      <c r="N1841" s="209"/>
      <c r="O1841" s="251"/>
      <c r="P1841" s="193"/>
      <c r="Q1841" s="200"/>
      <c r="R1841" s="194"/>
      <c r="T1841" s="190"/>
      <c r="U1841" s="191"/>
    </row>
    <row r="1842" spans="1:21">
      <c r="A1842" s="192"/>
      <c r="B1842" s="215" t="s">
        <v>1390</v>
      </c>
      <c r="C1842" s="196"/>
      <c r="D1842" s="197"/>
      <c r="E1842" s="198"/>
      <c r="F1842" s="197"/>
      <c r="G1842" s="198"/>
      <c r="H1842" s="198"/>
      <c r="I1842" s="198"/>
      <c r="J1842" s="197">
        <v>23.5</v>
      </c>
      <c r="K1842" s="198" t="s">
        <v>1227</v>
      </c>
      <c r="L1842" s="197">
        <v>2.35</v>
      </c>
      <c r="M1842" s="199" t="s">
        <v>1208</v>
      </c>
      <c r="N1842" s="199">
        <f t="shared" ref="N1842:N1847" si="21">L1842*J1842</f>
        <v>55.225000000000001</v>
      </c>
      <c r="O1842" s="251"/>
      <c r="P1842" s="193"/>
      <c r="Q1842" s="200"/>
      <c r="R1842" s="194"/>
      <c r="T1842" s="190"/>
      <c r="U1842" s="191"/>
    </row>
    <row r="1843" spans="1:21">
      <c r="A1843" s="192"/>
      <c r="B1843" s="215" t="s">
        <v>1391</v>
      </c>
      <c r="C1843" s="196"/>
      <c r="D1843" s="197"/>
      <c r="E1843" s="198"/>
      <c r="F1843" s="197"/>
      <c r="G1843" s="198"/>
      <c r="H1843" s="198"/>
      <c r="I1843" s="198"/>
      <c r="J1843" s="197">
        <v>9</v>
      </c>
      <c r="K1843" s="198" t="s">
        <v>1227</v>
      </c>
      <c r="L1843" s="197">
        <v>3</v>
      </c>
      <c r="M1843" s="199" t="s">
        <v>1208</v>
      </c>
      <c r="N1843" s="199">
        <f t="shared" si="21"/>
        <v>27</v>
      </c>
      <c r="O1843" s="217"/>
      <c r="P1843" s="193"/>
      <c r="Q1843" s="200"/>
      <c r="R1843" s="194"/>
      <c r="T1843" s="190"/>
      <c r="U1843" s="191"/>
    </row>
    <row r="1844" spans="1:21">
      <c r="A1844" s="192"/>
      <c r="B1844" s="215" t="s">
        <v>1392</v>
      </c>
      <c r="C1844" s="196"/>
      <c r="D1844" s="197"/>
      <c r="E1844" s="198"/>
      <c r="F1844" s="199"/>
      <c r="G1844" s="198"/>
      <c r="H1844" s="198"/>
      <c r="I1844" s="198"/>
      <c r="J1844" s="197">
        <f>16</f>
        <v>16</v>
      </c>
      <c r="K1844" s="198" t="s">
        <v>1227</v>
      </c>
      <c r="L1844" s="197">
        <v>7.7</v>
      </c>
      <c r="M1844" s="199" t="s">
        <v>1208</v>
      </c>
      <c r="N1844" s="199">
        <f t="shared" si="21"/>
        <v>123.2</v>
      </c>
      <c r="O1844" s="217"/>
      <c r="P1844" s="193"/>
      <c r="Q1844" s="200"/>
      <c r="R1844" s="194"/>
      <c r="T1844" s="190"/>
      <c r="U1844" s="191"/>
    </row>
    <row r="1845" spans="1:21">
      <c r="A1845" s="192"/>
      <c r="B1845" s="215" t="s">
        <v>1359</v>
      </c>
      <c r="C1845" s="196"/>
      <c r="D1845" s="197"/>
      <c r="E1845" s="198"/>
      <c r="F1845" s="197"/>
      <c r="G1845" s="198"/>
      <c r="H1845" s="198"/>
      <c r="I1845" s="198"/>
      <c r="J1845" s="197">
        <v>30.6</v>
      </c>
      <c r="K1845" s="198" t="s">
        <v>1227</v>
      </c>
      <c r="L1845" s="197">
        <v>4</v>
      </c>
      <c r="M1845" s="199" t="s">
        <v>1208</v>
      </c>
      <c r="N1845" s="199">
        <f t="shared" si="21"/>
        <v>122.4</v>
      </c>
      <c r="O1845" s="251"/>
      <c r="P1845" s="193"/>
      <c r="Q1845" s="200"/>
      <c r="R1845" s="194"/>
      <c r="T1845" s="190"/>
      <c r="U1845" s="191"/>
    </row>
    <row r="1846" spans="1:21">
      <c r="A1846" s="192"/>
      <c r="B1846" s="215" t="s">
        <v>1360</v>
      </c>
      <c r="C1846" s="196"/>
      <c r="D1846" s="197"/>
      <c r="E1846" s="198"/>
      <c r="F1846" s="197"/>
      <c r="G1846" s="198"/>
      <c r="H1846" s="198"/>
      <c r="I1846" s="198"/>
      <c r="J1846" s="197">
        <v>17</v>
      </c>
      <c r="K1846" s="198" t="s">
        <v>1227</v>
      </c>
      <c r="L1846" s="197">
        <v>4.5</v>
      </c>
      <c r="M1846" s="199" t="s">
        <v>1208</v>
      </c>
      <c r="N1846" s="199">
        <f t="shared" si="21"/>
        <v>76.5</v>
      </c>
      <c r="O1846" s="217"/>
      <c r="P1846" s="193"/>
      <c r="Q1846" s="200"/>
      <c r="R1846" s="194"/>
      <c r="T1846" s="190"/>
      <c r="U1846" s="191"/>
    </row>
    <row r="1847" spans="1:21">
      <c r="A1847" s="192"/>
      <c r="B1847" s="215" t="s">
        <v>1361</v>
      </c>
      <c r="C1847" s="196"/>
      <c r="D1847" s="197"/>
      <c r="E1847" s="198"/>
      <c r="F1847" s="199"/>
      <c r="G1847" s="198"/>
      <c r="H1847" s="198"/>
      <c r="I1847" s="198"/>
      <c r="J1847" s="197">
        <v>16</v>
      </c>
      <c r="K1847" s="198" t="s">
        <v>1227</v>
      </c>
      <c r="L1847" s="197">
        <v>4.5</v>
      </c>
      <c r="M1847" s="199" t="s">
        <v>1208</v>
      </c>
      <c r="N1847" s="199">
        <f t="shared" si="21"/>
        <v>72</v>
      </c>
      <c r="O1847" s="217"/>
      <c r="P1847" s="193"/>
      <c r="Q1847" s="200"/>
      <c r="R1847" s="194"/>
      <c r="T1847" s="190"/>
      <c r="U1847" s="191"/>
    </row>
    <row r="1848" spans="1:21">
      <c r="A1848" s="192"/>
      <c r="B1848" s="195"/>
      <c r="C1848" s="196"/>
      <c r="D1848" s="197"/>
      <c r="E1848" s="198"/>
      <c r="F1848" s="197"/>
      <c r="G1848" s="198"/>
      <c r="H1848" s="197"/>
      <c r="I1848" s="198"/>
      <c r="J1848" s="197"/>
      <c r="K1848" s="198"/>
      <c r="L1848" s="199"/>
      <c r="M1848" s="199"/>
      <c r="N1848" s="201"/>
      <c r="O1848" s="202"/>
      <c r="P1848" s="193"/>
      <c r="Q1848" s="200"/>
      <c r="R1848" s="194"/>
      <c r="T1848" s="190"/>
      <c r="U1848" s="191"/>
    </row>
    <row r="1849" spans="1:21">
      <c r="A1849" s="192"/>
      <c r="B1849" s="195"/>
      <c r="C1849" s="196"/>
      <c r="D1849" s="197"/>
      <c r="E1849" s="198"/>
      <c r="F1849" s="197"/>
      <c r="G1849" s="198"/>
      <c r="H1849" s="197"/>
      <c r="I1849" s="198"/>
      <c r="J1849" s="197"/>
      <c r="K1849" s="198"/>
      <c r="L1849" s="199" t="s">
        <v>1140</v>
      </c>
      <c r="M1849" s="199" t="s">
        <v>1208</v>
      </c>
      <c r="N1849" s="199">
        <f>SUM(N1842:N1848)</f>
        <v>476.32500000000005</v>
      </c>
      <c r="O1849" s="155" t="e">
        <f>P1838</f>
        <v>#REF!</v>
      </c>
      <c r="P1849" s="193"/>
      <c r="Q1849" s="200"/>
      <c r="R1849" s="194"/>
      <c r="T1849" s="190"/>
      <c r="U1849" s="191"/>
    </row>
    <row r="1850" spans="1:21">
      <c r="A1850" s="192"/>
      <c r="B1850" s="195"/>
      <c r="C1850" s="196"/>
      <c r="D1850" s="197"/>
      <c r="E1850" s="198"/>
      <c r="F1850" s="197"/>
      <c r="G1850" s="198"/>
      <c r="H1850" s="197"/>
      <c r="I1850" s="198"/>
      <c r="J1850" s="197"/>
      <c r="K1850" s="198"/>
      <c r="L1850" s="199"/>
      <c r="M1850" s="199"/>
      <c r="N1850" s="199"/>
      <c r="O1850" s="155"/>
      <c r="P1850" s="193"/>
      <c r="Q1850" s="200"/>
      <c r="R1850" s="194"/>
      <c r="T1850" s="190"/>
      <c r="U1850" s="191"/>
    </row>
    <row r="1851" spans="1:21">
      <c r="A1851" s="192"/>
      <c r="B1851" s="1277" t="s">
        <v>1209</v>
      </c>
      <c r="C1851" s="1277"/>
      <c r="D1851" s="1277"/>
      <c r="E1851" s="1277"/>
      <c r="F1851" s="1277"/>
      <c r="G1851" s="1277"/>
      <c r="H1851" s="1277"/>
      <c r="I1851" s="1277"/>
      <c r="J1851" s="1277"/>
      <c r="K1851" s="1277"/>
      <c r="L1851" s="1277"/>
      <c r="M1851" s="1277"/>
      <c r="N1851" s="1277"/>
      <c r="O1851" s="1277"/>
      <c r="P1851" s="1277"/>
      <c r="Q1851" s="203">
        <v>0</v>
      </c>
      <c r="R1851" s="204">
        <f>Q1851</f>
        <v>0</v>
      </c>
      <c r="T1851" s="1278"/>
      <c r="U1851" s="1279"/>
    </row>
    <row r="1852" spans="1:21">
      <c r="A1852" s="192"/>
      <c r="B1852" s="1277" t="e">
        <f>med</f>
        <v>#NAME?</v>
      </c>
      <c r="C1852" s="1277"/>
      <c r="D1852" s="1277"/>
      <c r="E1852" s="1277"/>
      <c r="F1852" s="1277"/>
      <c r="G1852" s="1277"/>
      <c r="H1852" s="1277"/>
      <c r="I1852" s="1277"/>
      <c r="J1852" s="1277"/>
      <c r="K1852" s="1277"/>
      <c r="L1852" s="1277"/>
      <c r="M1852" s="1277"/>
      <c r="N1852" s="1277"/>
      <c r="O1852" s="1277"/>
      <c r="P1852" s="205">
        <f>N1849</f>
        <v>476.32500000000005</v>
      </c>
      <c r="Q1852" s="203">
        <f>P1852</f>
        <v>476.32500000000005</v>
      </c>
      <c r="R1852" s="204">
        <f>Q1852+R1851</f>
        <v>476.32500000000005</v>
      </c>
      <c r="T1852" s="1278"/>
      <c r="U1852" s="1279"/>
    </row>
    <row r="1853" spans="1:21" ht="18" customHeight="1">
      <c r="A1853" s="187" t="e">
        <f>#REF!</f>
        <v>#REF!</v>
      </c>
      <c r="B1853" s="1275" t="e">
        <f>IF(A1853="","",VLOOKUP($A1853,'[2]FDE-JUNHO-08'!$A$6:$D$3537,2,FALSE()))</f>
        <v>#REF!</v>
      </c>
      <c r="C1853" s="1275"/>
      <c r="D1853" s="1275"/>
      <c r="E1853" s="1275"/>
      <c r="F1853" s="1275"/>
      <c r="G1853" s="1275"/>
      <c r="H1853" s="1275"/>
      <c r="I1853" s="1275"/>
      <c r="J1853" s="1275"/>
      <c r="K1853" s="1275"/>
      <c r="L1853" s="1275"/>
      <c r="M1853" s="1275"/>
      <c r="N1853" s="1275"/>
      <c r="O1853" s="1275"/>
      <c r="P1853" s="188" t="e">
        <f>IF(A1853="","",VLOOKUP($A1853,'[2]FDE-JUNHO-08'!$A$6:$D$3537,3,FALSE()))</f>
        <v>#REF!</v>
      </c>
      <c r="Q1853" s="189" t="s">
        <v>1205</v>
      </c>
      <c r="R1853" s="189" t="s">
        <v>1206</v>
      </c>
      <c r="T1853" s="190"/>
      <c r="U1853" s="191"/>
    </row>
    <row r="1854" spans="1:21">
      <c r="A1854" s="192"/>
      <c r="B1854" s="1281"/>
      <c r="C1854" s="1281"/>
      <c r="D1854" s="1281"/>
      <c r="E1854" s="1281"/>
      <c r="F1854" s="1281"/>
      <c r="G1854" s="1281"/>
      <c r="H1854" s="1281"/>
      <c r="I1854" s="1281"/>
      <c r="J1854" s="1281"/>
      <c r="K1854" s="1281"/>
      <c r="L1854" s="1281"/>
      <c r="M1854" s="1281"/>
      <c r="N1854" s="1281"/>
      <c r="O1854" s="1281"/>
      <c r="P1854" s="193"/>
      <c r="Q1854" s="194"/>
      <c r="R1854" s="194"/>
      <c r="T1854" s="190"/>
      <c r="U1854" s="191"/>
    </row>
    <row r="1855" spans="1:21">
      <c r="A1855" s="192"/>
      <c r="B1855" s="195" t="s">
        <v>1393</v>
      </c>
      <c r="C1855" s="196"/>
      <c r="D1855" s="197"/>
      <c r="E1855" s="198"/>
      <c r="F1855" s="197"/>
      <c r="G1855" s="198"/>
      <c r="H1855" s="197"/>
      <c r="I1855" s="198"/>
      <c r="J1855" s="198"/>
      <c r="K1855" s="198"/>
      <c r="L1855" s="198"/>
      <c r="M1855" s="198"/>
      <c r="N1855" s="198"/>
      <c r="O1855" s="251"/>
      <c r="P1855" s="193"/>
      <c r="Q1855" s="200"/>
      <c r="R1855" s="194"/>
      <c r="T1855" s="190"/>
      <c r="U1855" s="191"/>
    </row>
    <row r="1856" spans="1:21">
      <c r="A1856" s="192"/>
      <c r="B1856" s="195"/>
      <c r="C1856" s="196"/>
      <c r="D1856" s="197"/>
      <c r="E1856" s="198"/>
      <c r="F1856" s="199"/>
      <c r="G1856" s="198"/>
      <c r="H1856" s="198"/>
      <c r="I1856" s="198"/>
      <c r="J1856" s="198" t="s">
        <v>1231</v>
      </c>
      <c r="K1856" s="198"/>
      <c r="L1856" s="198" t="s">
        <v>1281</v>
      </c>
      <c r="M1856" s="198"/>
      <c r="N1856" s="209"/>
      <c r="O1856" s="251"/>
      <c r="P1856" s="193"/>
      <c r="Q1856" s="200"/>
      <c r="R1856" s="194"/>
      <c r="T1856" s="190"/>
      <c r="U1856" s="191"/>
    </row>
    <row r="1857" spans="1:21">
      <c r="A1857" s="192"/>
      <c r="B1857" s="215" t="s">
        <v>1394</v>
      </c>
      <c r="C1857" s="196"/>
      <c r="D1857" s="197"/>
      <c r="E1857" s="198"/>
      <c r="F1857" s="197"/>
      <c r="G1857" s="198"/>
      <c r="H1857" s="198"/>
      <c r="I1857" s="198"/>
      <c r="J1857" s="197">
        <v>25.5</v>
      </c>
      <c r="K1857" s="198" t="s">
        <v>1227</v>
      </c>
      <c r="L1857" s="197">
        <v>2.7</v>
      </c>
      <c r="M1857" s="199" t="s">
        <v>1208</v>
      </c>
      <c r="N1857" s="199">
        <f>L1857*J1857</f>
        <v>68.850000000000009</v>
      </c>
      <c r="O1857" s="251"/>
      <c r="P1857" s="193"/>
      <c r="Q1857" s="200"/>
      <c r="R1857" s="194"/>
      <c r="T1857" s="190"/>
      <c r="U1857" s="191"/>
    </row>
    <row r="1858" spans="1:21">
      <c r="A1858" s="192"/>
      <c r="B1858" s="215" t="s">
        <v>1395</v>
      </c>
      <c r="C1858" s="196"/>
      <c r="D1858" s="197"/>
      <c r="E1858" s="198"/>
      <c r="F1858" s="197"/>
      <c r="G1858" s="198"/>
      <c r="H1858" s="198"/>
      <c r="I1858" s="198"/>
      <c r="J1858" s="197">
        <f>7.8+7.8+3.5+3.5</f>
        <v>22.6</v>
      </c>
      <c r="K1858" s="198" t="s">
        <v>1227</v>
      </c>
      <c r="L1858" s="197">
        <v>2.7</v>
      </c>
      <c r="M1858" s="199" t="s">
        <v>1208</v>
      </c>
      <c r="N1858" s="199">
        <f>L1858*J1858</f>
        <v>61.02000000000001</v>
      </c>
      <c r="O1858" s="217"/>
      <c r="P1858" s="193"/>
      <c r="Q1858" s="200"/>
      <c r="R1858" s="194"/>
      <c r="T1858" s="190"/>
      <c r="U1858" s="191"/>
    </row>
    <row r="1859" spans="1:21">
      <c r="A1859" s="192"/>
      <c r="B1859" s="215" t="s">
        <v>1396</v>
      </c>
      <c r="C1859" s="196"/>
      <c r="D1859" s="197"/>
      <c r="E1859" s="198"/>
      <c r="F1859" s="199"/>
      <c r="G1859" s="198"/>
      <c r="H1859" s="198"/>
      <c r="I1859" s="198"/>
      <c r="J1859" s="197">
        <f>16*2</f>
        <v>32</v>
      </c>
      <c r="K1859" s="198" t="s">
        <v>1227</v>
      </c>
      <c r="L1859" s="197">
        <v>2.5</v>
      </c>
      <c r="M1859" s="199" t="s">
        <v>1208</v>
      </c>
      <c r="N1859" s="199">
        <f>L1859*J1859</f>
        <v>80</v>
      </c>
      <c r="O1859" s="217"/>
      <c r="P1859" s="193"/>
      <c r="Q1859" s="200"/>
      <c r="R1859" s="194"/>
      <c r="T1859" s="190"/>
      <c r="U1859" s="191"/>
    </row>
    <row r="1860" spans="1:21">
      <c r="A1860" s="192"/>
      <c r="B1860" s="195"/>
      <c r="C1860" s="196"/>
      <c r="D1860" s="197"/>
      <c r="E1860" s="198"/>
      <c r="F1860" s="197"/>
      <c r="G1860" s="198"/>
      <c r="H1860" s="197"/>
      <c r="I1860" s="198"/>
      <c r="J1860" s="197"/>
      <c r="K1860" s="198"/>
      <c r="L1860" s="199"/>
      <c r="M1860" s="199"/>
      <c r="N1860" s="201"/>
      <c r="O1860" s="202"/>
      <c r="P1860" s="193"/>
      <c r="Q1860" s="200"/>
      <c r="R1860" s="194"/>
      <c r="T1860" s="190"/>
      <c r="U1860" s="191"/>
    </row>
    <row r="1861" spans="1:21">
      <c r="A1861" s="192"/>
      <c r="B1861" s="195"/>
      <c r="C1861" s="196"/>
      <c r="D1861" s="197"/>
      <c r="E1861" s="198"/>
      <c r="F1861" s="197"/>
      <c r="G1861" s="198"/>
      <c r="H1861" s="197"/>
      <c r="I1861" s="198"/>
      <c r="J1861" s="197"/>
      <c r="K1861" s="198"/>
      <c r="L1861" s="199" t="s">
        <v>1140</v>
      </c>
      <c r="M1861" s="199" t="s">
        <v>1208</v>
      </c>
      <c r="N1861" s="199">
        <f>SUM(N1857:N1860)</f>
        <v>209.87</v>
      </c>
      <c r="O1861" s="155" t="e">
        <f>P1838</f>
        <v>#REF!</v>
      </c>
      <c r="P1861" s="193"/>
      <c r="Q1861" s="200"/>
      <c r="R1861" s="194"/>
      <c r="T1861" s="190"/>
      <c r="U1861" s="191"/>
    </row>
    <row r="1862" spans="1:21">
      <c r="A1862" s="192"/>
      <c r="B1862" s="195"/>
      <c r="C1862" s="196"/>
      <c r="D1862" s="197"/>
      <c r="E1862" s="198"/>
      <c r="F1862" s="197"/>
      <c r="G1862" s="198"/>
      <c r="H1862" s="197"/>
      <c r="I1862" s="198"/>
      <c r="J1862" s="197"/>
      <c r="K1862" s="198"/>
      <c r="L1862" s="199"/>
      <c r="M1862" s="199"/>
      <c r="N1862" s="199"/>
      <c r="O1862" s="155"/>
      <c r="P1862" s="193"/>
      <c r="Q1862" s="200"/>
      <c r="R1862" s="194"/>
      <c r="T1862" s="190"/>
      <c r="U1862" s="191"/>
    </row>
    <row r="1863" spans="1:21">
      <c r="A1863" s="192"/>
      <c r="B1863" s="1277" t="s">
        <v>1209</v>
      </c>
      <c r="C1863" s="1277"/>
      <c r="D1863" s="1277"/>
      <c r="E1863" s="1277"/>
      <c r="F1863" s="1277"/>
      <c r="G1863" s="1277"/>
      <c r="H1863" s="1277"/>
      <c r="I1863" s="1277"/>
      <c r="J1863" s="1277"/>
      <c r="K1863" s="1277"/>
      <c r="L1863" s="1277"/>
      <c r="M1863" s="1277"/>
      <c r="N1863" s="1277"/>
      <c r="O1863" s="1277"/>
      <c r="P1863" s="1277"/>
      <c r="Q1863" s="203">
        <v>0</v>
      </c>
      <c r="R1863" s="204">
        <f>Q1863</f>
        <v>0</v>
      </c>
      <c r="T1863" s="1278"/>
      <c r="U1863" s="1279"/>
    </row>
    <row r="1864" spans="1:21">
      <c r="A1864" s="206"/>
      <c r="B1864" s="1277" t="e">
        <f>med</f>
        <v>#NAME?</v>
      </c>
      <c r="C1864" s="1277"/>
      <c r="D1864" s="1277"/>
      <c r="E1864" s="1277"/>
      <c r="F1864" s="1277"/>
      <c r="G1864" s="1277"/>
      <c r="H1864" s="1277"/>
      <c r="I1864" s="1277"/>
      <c r="J1864" s="1277"/>
      <c r="K1864" s="1277"/>
      <c r="L1864" s="1277"/>
      <c r="M1864" s="1277"/>
      <c r="N1864" s="1277"/>
      <c r="O1864" s="1277"/>
      <c r="P1864" s="205">
        <f>N1861</f>
        <v>209.87</v>
      </c>
      <c r="Q1864" s="203">
        <f>P1864</f>
        <v>209.87</v>
      </c>
      <c r="R1864" s="204">
        <f>Q1864+R1863</f>
        <v>209.87</v>
      </c>
      <c r="T1864" s="1278"/>
      <c r="U1864" s="1279"/>
    </row>
    <row r="1865" spans="1:21" ht="18" customHeight="1">
      <c r="A1865" s="187" t="e">
        <f>#REF!</f>
        <v>#REF!</v>
      </c>
      <c r="B1865" s="1275" t="e">
        <f>IF(A1865="","",VLOOKUP($A1865,'[2]FDE-JUNHO-08'!$A$6:$D$3537,2,FALSE()))</f>
        <v>#REF!</v>
      </c>
      <c r="C1865" s="1275"/>
      <c r="D1865" s="1275"/>
      <c r="E1865" s="1275"/>
      <c r="F1865" s="1275"/>
      <c r="G1865" s="1275"/>
      <c r="H1865" s="1275"/>
      <c r="I1865" s="1275"/>
      <c r="J1865" s="1275"/>
      <c r="K1865" s="1275"/>
      <c r="L1865" s="1275"/>
      <c r="M1865" s="1275"/>
      <c r="N1865" s="1275"/>
      <c r="O1865" s="1275"/>
      <c r="P1865" s="188" t="e">
        <f>IF(A1865="","",VLOOKUP($A1865,'[2]FDE-JUNHO-08'!$A$6:$D$3537,3,FALSE()))</f>
        <v>#REF!</v>
      </c>
      <c r="Q1865" s="189" t="s">
        <v>1205</v>
      </c>
      <c r="R1865" s="189" t="s">
        <v>1206</v>
      </c>
      <c r="T1865" s="190"/>
      <c r="U1865" s="191"/>
    </row>
    <row r="1866" spans="1:21">
      <c r="A1866" s="192"/>
      <c r="B1866" s="1281"/>
      <c r="C1866" s="1281"/>
      <c r="D1866" s="1281"/>
      <c r="E1866" s="1281"/>
      <c r="F1866" s="1281"/>
      <c r="G1866" s="1281"/>
      <c r="H1866" s="1281"/>
      <c r="I1866" s="1281"/>
      <c r="J1866" s="1281"/>
      <c r="K1866" s="1281"/>
      <c r="L1866" s="1281"/>
      <c r="M1866" s="1281"/>
      <c r="N1866" s="1281"/>
      <c r="O1866" s="1281"/>
      <c r="P1866" s="193"/>
      <c r="Q1866" s="194"/>
      <c r="R1866" s="194"/>
      <c r="T1866" s="190"/>
      <c r="U1866" s="191"/>
    </row>
    <row r="1867" spans="1:21">
      <c r="A1867" s="192"/>
      <c r="B1867" s="195" t="s">
        <v>1397</v>
      </c>
      <c r="C1867" s="196"/>
      <c r="D1867" s="197"/>
      <c r="E1867" s="198"/>
      <c r="F1867" s="197"/>
      <c r="G1867" s="198"/>
      <c r="H1867" s="197"/>
      <c r="I1867" s="198"/>
      <c r="J1867" s="197"/>
      <c r="K1867" s="198"/>
      <c r="L1867" s="199"/>
      <c r="M1867" s="199" t="s">
        <v>1208</v>
      </c>
      <c r="N1867" s="199">
        <f>N783</f>
        <v>450.09999999999997</v>
      </c>
      <c r="O1867" s="155"/>
      <c r="P1867" s="193"/>
      <c r="Q1867" s="200"/>
      <c r="R1867" s="194"/>
      <c r="T1867" s="190"/>
      <c r="U1867" s="191"/>
    </row>
    <row r="1868" spans="1:21">
      <c r="A1868" s="192"/>
      <c r="B1868" s="195"/>
      <c r="C1868" s="196"/>
      <c r="D1868" s="197"/>
      <c r="E1868" s="198"/>
      <c r="F1868" s="197"/>
      <c r="G1868" s="198"/>
      <c r="H1868" s="197"/>
      <c r="I1868" s="198"/>
      <c r="J1868" s="197"/>
      <c r="K1868" s="198"/>
      <c r="L1868" s="199"/>
      <c r="M1868" s="199"/>
      <c r="N1868" s="201"/>
      <c r="O1868" s="202"/>
      <c r="P1868" s="193"/>
      <c r="Q1868" s="200"/>
      <c r="R1868" s="194"/>
      <c r="T1868" s="190"/>
      <c r="U1868" s="191"/>
    </row>
    <row r="1869" spans="1:21">
      <c r="A1869" s="192"/>
      <c r="B1869" s="195"/>
      <c r="C1869" s="196"/>
      <c r="D1869" s="197"/>
      <c r="E1869" s="198"/>
      <c r="F1869" s="197"/>
      <c r="G1869" s="198"/>
      <c r="H1869" s="197"/>
      <c r="I1869" s="198"/>
      <c r="J1869" s="197"/>
      <c r="K1869" s="198"/>
      <c r="L1869" s="199" t="s">
        <v>1140</v>
      </c>
      <c r="M1869" s="199" t="s">
        <v>1208</v>
      </c>
      <c r="N1869" s="199">
        <f>SUM(N1867:N1868)</f>
        <v>450.09999999999997</v>
      </c>
      <c r="O1869" s="155" t="e">
        <f>P1865</f>
        <v>#REF!</v>
      </c>
      <c r="P1869" s="193"/>
      <c r="Q1869" s="200"/>
      <c r="R1869" s="194"/>
      <c r="T1869" s="190"/>
      <c r="U1869" s="191"/>
    </row>
    <row r="1870" spans="1:21">
      <c r="A1870" s="192"/>
      <c r="B1870" s="195"/>
      <c r="C1870" s="196"/>
      <c r="D1870" s="197"/>
      <c r="E1870" s="198"/>
      <c r="F1870" s="197"/>
      <c r="G1870" s="198"/>
      <c r="H1870" s="197"/>
      <c r="I1870" s="198"/>
      <c r="J1870" s="197"/>
      <c r="K1870" s="198"/>
      <c r="L1870" s="199"/>
      <c r="M1870" s="199"/>
      <c r="N1870" s="199"/>
      <c r="O1870" s="155"/>
      <c r="P1870" s="193"/>
      <c r="Q1870" s="200"/>
      <c r="R1870" s="194"/>
      <c r="T1870" s="190"/>
      <c r="U1870" s="191"/>
    </row>
    <row r="1871" spans="1:21">
      <c r="A1871" s="192"/>
      <c r="B1871" s="1277" t="s">
        <v>1209</v>
      </c>
      <c r="C1871" s="1277"/>
      <c r="D1871" s="1277"/>
      <c r="E1871" s="1277"/>
      <c r="F1871" s="1277"/>
      <c r="G1871" s="1277"/>
      <c r="H1871" s="1277"/>
      <c r="I1871" s="1277"/>
      <c r="J1871" s="1277"/>
      <c r="K1871" s="1277"/>
      <c r="L1871" s="1277"/>
      <c r="M1871" s="1277"/>
      <c r="N1871" s="1277"/>
      <c r="O1871" s="1277"/>
      <c r="P1871" s="1277"/>
      <c r="Q1871" s="203">
        <v>0</v>
      </c>
      <c r="R1871" s="204">
        <f>Q1871</f>
        <v>0</v>
      </c>
      <c r="T1871" s="1278"/>
      <c r="U1871" s="1279"/>
    </row>
    <row r="1872" spans="1:21">
      <c r="A1872" s="192"/>
      <c r="B1872" s="1277" t="e">
        <f>med</f>
        <v>#NAME?</v>
      </c>
      <c r="C1872" s="1277"/>
      <c r="D1872" s="1277"/>
      <c r="E1872" s="1277"/>
      <c r="F1872" s="1277"/>
      <c r="G1872" s="1277"/>
      <c r="H1872" s="1277"/>
      <c r="I1872" s="1277"/>
      <c r="J1872" s="1277"/>
      <c r="K1872" s="1277"/>
      <c r="L1872" s="1277"/>
      <c r="M1872" s="1277"/>
      <c r="N1872" s="1277"/>
      <c r="O1872" s="1277"/>
      <c r="P1872" s="205">
        <f>N1869</f>
        <v>450.09999999999997</v>
      </c>
      <c r="Q1872" s="203">
        <f>P1872</f>
        <v>450.09999999999997</v>
      </c>
      <c r="R1872" s="204">
        <f>Q1872+R1871</f>
        <v>450.09999999999997</v>
      </c>
      <c r="T1872" s="1278"/>
      <c r="U1872" s="1279"/>
    </row>
    <row r="1873" spans="1:21" ht="18" hidden="1" customHeight="1">
      <c r="A1873" s="187">
        <f>'[2]PLANILHA DE MEDIÇÃO'!A105</f>
        <v>0</v>
      </c>
      <c r="B1873" s="1275" t="e">
        <f>IF(A1873="","",VLOOKUP($A1873,'[2]FDE-JUNHO-08'!$A$6:$D$3537,2,FALSE()))</f>
        <v>#N/A</v>
      </c>
      <c r="C1873" s="1275"/>
      <c r="D1873" s="1275"/>
      <c r="E1873" s="1275"/>
      <c r="F1873" s="1275"/>
      <c r="G1873" s="1275"/>
      <c r="H1873" s="1275"/>
      <c r="I1873" s="1275"/>
      <c r="J1873" s="1275"/>
      <c r="K1873" s="1275"/>
      <c r="L1873" s="1275"/>
      <c r="M1873" s="1275"/>
      <c r="N1873" s="1275"/>
      <c r="O1873" s="1275"/>
      <c r="P1873" s="188" t="e">
        <f>IF(A1873="","",VLOOKUP($A1873,'[2]FDE-JUNHO-08'!$A$6:$D$3537,3,FALSE()))</f>
        <v>#N/A</v>
      </c>
      <c r="Q1873" s="189" t="s">
        <v>1205</v>
      </c>
      <c r="R1873" s="189" t="s">
        <v>1206</v>
      </c>
      <c r="T1873" s="190"/>
      <c r="U1873" s="191"/>
    </row>
    <row r="1874" spans="1:21" ht="12.75" hidden="1" customHeight="1">
      <c r="A1874" s="192"/>
      <c r="B1874" s="1281"/>
      <c r="C1874" s="1281"/>
      <c r="D1874" s="1281"/>
      <c r="E1874" s="1281"/>
      <c r="F1874" s="1281"/>
      <c r="G1874" s="1281"/>
      <c r="H1874" s="1281"/>
      <c r="I1874" s="1281"/>
      <c r="J1874" s="1281"/>
      <c r="K1874" s="1281"/>
      <c r="L1874" s="1281"/>
      <c r="M1874" s="1281"/>
      <c r="N1874" s="1281"/>
      <c r="O1874" s="1281"/>
      <c r="P1874" s="193"/>
      <c r="Q1874" s="194"/>
      <c r="R1874" s="194"/>
      <c r="T1874" s="190"/>
      <c r="U1874" s="191"/>
    </row>
    <row r="1875" spans="1:21" hidden="1">
      <c r="A1875" s="192"/>
      <c r="B1875" s="195"/>
      <c r="C1875" s="196"/>
      <c r="D1875" s="197"/>
      <c r="E1875" s="198"/>
      <c r="F1875" s="197"/>
      <c r="G1875" s="198"/>
      <c r="H1875" s="197"/>
      <c r="I1875" s="207"/>
      <c r="J1875" s="207"/>
      <c r="K1875" s="208"/>
      <c r="L1875" s="209"/>
      <c r="M1875" s="209"/>
      <c r="N1875" s="209"/>
      <c r="O1875" s="155"/>
      <c r="P1875" s="193"/>
      <c r="Q1875" s="200"/>
      <c r="R1875" s="194"/>
      <c r="T1875" s="190"/>
      <c r="U1875" s="191"/>
    </row>
    <row r="1876" spans="1:21" ht="13.8" hidden="1">
      <c r="A1876" s="192"/>
      <c r="B1876" s="210"/>
      <c r="C1876" s="196"/>
      <c r="D1876" s="197"/>
      <c r="E1876" s="198"/>
      <c r="F1876" s="197"/>
      <c r="G1876" s="198"/>
      <c r="H1876" s="197"/>
      <c r="I1876" s="198"/>
      <c r="J1876" s="197"/>
      <c r="K1876" s="198"/>
      <c r="L1876" s="199"/>
      <c r="M1876" s="199"/>
      <c r="N1876" s="199"/>
      <c r="O1876" s="155"/>
      <c r="P1876" s="193"/>
      <c r="Q1876" s="200"/>
      <c r="R1876" s="194"/>
      <c r="T1876" s="190"/>
      <c r="U1876" s="191"/>
    </row>
    <row r="1877" spans="1:21" hidden="1">
      <c r="A1877" s="192"/>
      <c r="B1877" s="195"/>
      <c r="C1877" s="196"/>
      <c r="D1877" s="197"/>
      <c r="E1877" s="198"/>
      <c r="F1877" s="197"/>
      <c r="G1877" s="198"/>
      <c r="H1877" s="197"/>
      <c r="I1877" s="198"/>
      <c r="J1877" s="197"/>
      <c r="K1877" s="198"/>
      <c r="L1877" s="199"/>
      <c r="M1877" s="199"/>
      <c r="N1877" s="199"/>
      <c r="O1877" s="155"/>
      <c r="P1877" s="193"/>
      <c r="Q1877" s="200"/>
      <c r="R1877" s="194"/>
      <c r="T1877" s="190"/>
      <c r="U1877" s="191"/>
    </row>
    <row r="1878" spans="1:21" hidden="1">
      <c r="A1878" s="192"/>
      <c r="B1878" s="195"/>
      <c r="C1878" s="196"/>
      <c r="D1878" s="197"/>
      <c r="E1878" s="198"/>
      <c r="F1878" s="197"/>
      <c r="G1878" s="198"/>
      <c r="H1878" s="197"/>
      <c r="I1878" s="198"/>
      <c r="J1878" s="197"/>
      <c r="K1878" s="198"/>
      <c r="L1878" s="199"/>
      <c r="M1878" s="199"/>
      <c r="N1878" s="199"/>
      <c r="O1878" s="155"/>
      <c r="P1878" s="193"/>
      <c r="Q1878" s="200"/>
      <c r="R1878" s="194"/>
      <c r="T1878" s="190"/>
      <c r="U1878" s="191"/>
    </row>
    <row r="1879" spans="1:21" hidden="1">
      <c r="A1879" s="192"/>
      <c r="B1879" s="195"/>
      <c r="C1879" s="196"/>
      <c r="D1879" s="197"/>
      <c r="E1879" s="198"/>
      <c r="F1879" s="197"/>
      <c r="G1879" s="198"/>
      <c r="H1879" s="197"/>
      <c r="I1879" s="198"/>
      <c r="J1879" s="197"/>
      <c r="K1879" s="198"/>
      <c r="L1879" s="199"/>
      <c r="M1879" s="199"/>
      <c r="N1879" s="199"/>
      <c r="O1879" s="155"/>
      <c r="P1879" s="193"/>
      <c r="Q1879" s="200"/>
      <c r="R1879" s="194"/>
      <c r="T1879" s="190"/>
      <c r="U1879" s="191"/>
    </row>
    <row r="1880" spans="1:21" hidden="1">
      <c r="A1880" s="192"/>
      <c r="B1880" s="195"/>
      <c r="C1880" s="196"/>
      <c r="D1880" s="197"/>
      <c r="E1880" s="198"/>
      <c r="F1880" s="197"/>
      <c r="G1880" s="198"/>
      <c r="H1880" s="197"/>
      <c r="I1880" s="198"/>
      <c r="J1880" s="197"/>
      <c r="K1880" s="198"/>
      <c r="L1880" s="199"/>
      <c r="M1880" s="199"/>
      <c r="N1880" s="201"/>
      <c r="O1880" s="202"/>
      <c r="P1880" s="193"/>
      <c r="Q1880" s="200"/>
      <c r="R1880" s="194"/>
      <c r="T1880" s="190"/>
      <c r="U1880" s="191"/>
    </row>
    <row r="1881" spans="1:21" hidden="1">
      <c r="A1881" s="192"/>
      <c r="B1881" s="195"/>
      <c r="C1881" s="196"/>
      <c r="D1881" s="197"/>
      <c r="E1881" s="198"/>
      <c r="F1881" s="197"/>
      <c r="G1881" s="198"/>
      <c r="H1881" s="197"/>
      <c r="I1881" s="198"/>
      <c r="J1881" s="197"/>
      <c r="K1881" s="198"/>
      <c r="L1881" s="199" t="s">
        <v>1140</v>
      </c>
      <c r="M1881" s="199" t="s">
        <v>1208</v>
      </c>
      <c r="N1881" s="199">
        <f>SUM(N1876:N1880)</f>
        <v>0</v>
      </c>
      <c r="O1881" s="155" t="e">
        <f>P1873</f>
        <v>#N/A</v>
      </c>
      <c r="P1881" s="193"/>
      <c r="Q1881" s="200"/>
      <c r="R1881" s="194"/>
      <c r="T1881" s="190"/>
      <c r="U1881" s="191"/>
    </row>
    <row r="1882" spans="1:21" hidden="1">
      <c r="A1882" s="192"/>
      <c r="B1882" s="195"/>
      <c r="C1882" s="196"/>
      <c r="D1882" s="197"/>
      <c r="E1882" s="198"/>
      <c r="F1882" s="197"/>
      <c r="G1882" s="198"/>
      <c r="H1882" s="197"/>
      <c r="I1882" s="198"/>
      <c r="J1882" s="197"/>
      <c r="K1882" s="198"/>
      <c r="L1882" s="199"/>
      <c r="M1882" s="199"/>
      <c r="N1882" s="199"/>
      <c r="O1882" s="155"/>
      <c r="P1882" s="193"/>
      <c r="Q1882" s="200"/>
      <c r="R1882" s="194"/>
      <c r="T1882" s="190"/>
      <c r="U1882" s="191"/>
    </row>
    <row r="1883" spans="1:21" ht="13.5" hidden="1" customHeight="1">
      <c r="A1883" s="192"/>
      <c r="B1883" s="1277" t="s">
        <v>1209</v>
      </c>
      <c r="C1883" s="1277"/>
      <c r="D1883" s="1277"/>
      <c r="E1883" s="1277"/>
      <c r="F1883" s="1277"/>
      <c r="G1883" s="1277"/>
      <c r="H1883" s="1277"/>
      <c r="I1883" s="1277"/>
      <c r="J1883" s="1277"/>
      <c r="K1883" s="1277"/>
      <c r="L1883" s="1277"/>
      <c r="M1883" s="1277"/>
      <c r="N1883" s="1277"/>
      <c r="O1883" s="1277"/>
      <c r="P1883" s="1277"/>
      <c r="Q1883" s="203">
        <v>0</v>
      </c>
      <c r="R1883" s="204">
        <f>Q1883</f>
        <v>0</v>
      </c>
      <c r="T1883" s="1278"/>
      <c r="U1883" s="1279"/>
    </row>
    <row r="1884" spans="1:21" ht="13.5" hidden="1" customHeight="1">
      <c r="A1884" s="192"/>
      <c r="B1884" s="1277" t="e">
        <f>med</f>
        <v>#NAME?</v>
      </c>
      <c r="C1884" s="1277"/>
      <c r="D1884" s="1277"/>
      <c r="E1884" s="1277"/>
      <c r="F1884" s="1277"/>
      <c r="G1884" s="1277"/>
      <c r="H1884" s="1277"/>
      <c r="I1884" s="1277"/>
      <c r="J1884" s="1277"/>
      <c r="K1884" s="1277"/>
      <c r="L1884" s="1277"/>
      <c r="M1884" s="1277"/>
      <c r="N1884" s="1277"/>
      <c r="O1884" s="1277"/>
      <c r="P1884" s="205">
        <f>N1881</f>
        <v>0</v>
      </c>
      <c r="Q1884" s="203">
        <f>P1884</f>
        <v>0</v>
      </c>
      <c r="R1884" s="204">
        <f>Q1884+R1883</f>
        <v>0</v>
      </c>
      <c r="T1884" s="1278"/>
      <c r="U1884" s="1279"/>
    </row>
    <row r="1885" spans="1:21" ht="18" customHeight="1">
      <c r="A1885" s="187" t="e">
        <f>#REF!</f>
        <v>#REF!</v>
      </c>
      <c r="B1885" s="1275" t="e">
        <f>IF(A1885="","",VLOOKUP($A1885,'[2]FDE-JUNHO-08'!$A$6:$D$3537,2,FALSE()))</f>
        <v>#REF!</v>
      </c>
      <c r="C1885" s="1275"/>
      <c r="D1885" s="1275"/>
      <c r="E1885" s="1275"/>
      <c r="F1885" s="1275"/>
      <c r="G1885" s="1275"/>
      <c r="H1885" s="1275"/>
      <c r="I1885" s="1275"/>
      <c r="J1885" s="1275"/>
      <c r="K1885" s="1275"/>
      <c r="L1885" s="1275"/>
      <c r="M1885" s="1275"/>
      <c r="N1885" s="1275"/>
      <c r="O1885" s="1275"/>
      <c r="P1885" s="188" t="e">
        <f>IF(A1885="","",VLOOKUP($A1885,'[2]FDE-JUNHO-08'!$A$6:$D$3537,3,FALSE()))</f>
        <v>#REF!</v>
      </c>
      <c r="Q1885" s="189" t="s">
        <v>1205</v>
      </c>
      <c r="R1885" s="189" t="s">
        <v>1206</v>
      </c>
      <c r="T1885" s="190"/>
      <c r="U1885" s="191"/>
    </row>
    <row r="1886" spans="1:21">
      <c r="A1886" s="192"/>
      <c r="B1886" s="212"/>
      <c r="C1886" s="212"/>
      <c r="D1886" s="212"/>
      <c r="E1886" s="212"/>
      <c r="F1886" s="212"/>
      <c r="G1886" s="212"/>
      <c r="H1886" s="212"/>
      <c r="I1886" s="212"/>
      <c r="J1886" s="212"/>
      <c r="K1886" s="212"/>
      <c r="L1886" s="212"/>
      <c r="M1886" s="212"/>
      <c r="N1886" s="212"/>
      <c r="O1886" s="212"/>
      <c r="P1886" s="193"/>
      <c r="Q1886" s="194"/>
      <c r="R1886" s="194"/>
      <c r="T1886" s="190"/>
      <c r="U1886" s="191"/>
    </row>
    <row r="1887" spans="1:21">
      <c r="A1887" s="192"/>
      <c r="B1887" s="195" t="s">
        <v>1398</v>
      </c>
      <c r="C1887" s="196"/>
      <c r="D1887" s="197"/>
      <c r="E1887" s="198"/>
      <c r="F1887" s="197"/>
      <c r="G1887" s="198"/>
      <c r="H1887" s="197">
        <v>6</v>
      </c>
      <c r="I1887" s="198" t="s">
        <v>1255</v>
      </c>
      <c r="J1887" s="197">
        <v>0.3</v>
      </c>
      <c r="K1887" s="198" t="s">
        <v>1255</v>
      </c>
      <c r="L1887" s="199">
        <v>0.3</v>
      </c>
      <c r="M1887" s="199" t="s">
        <v>1208</v>
      </c>
      <c r="N1887" s="199">
        <f>H1887*J1887*L1887</f>
        <v>0.53999999999999992</v>
      </c>
      <c r="O1887" s="155" t="s">
        <v>1399</v>
      </c>
      <c r="P1887" s="193"/>
      <c r="Q1887" s="200"/>
      <c r="R1887" s="194"/>
      <c r="T1887" s="190"/>
      <c r="U1887" s="191"/>
    </row>
    <row r="1888" spans="1:21">
      <c r="A1888" s="192"/>
      <c r="B1888" s="195" t="s">
        <v>1400</v>
      </c>
      <c r="C1888" s="196"/>
      <c r="D1888" s="197"/>
      <c r="E1888" s="198"/>
      <c r="F1888" s="197"/>
      <c r="G1888" s="198"/>
      <c r="H1888" s="197">
        <v>286</v>
      </c>
      <c r="I1888" s="198" t="s">
        <v>1255</v>
      </c>
      <c r="J1888" s="197">
        <v>0.1</v>
      </c>
      <c r="K1888" s="198" t="s">
        <v>1255</v>
      </c>
      <c r="L1888" s="199">
        <v>0.02</v>
      </c>
      <c r="M1888" s="199" t="s">
        <v>1208</v>
      </c>
      <c r="N1888" s="199">
        <f t="shared" ref="N1888:N1898" si="22">L1888*J1888*H1888</f>
        <v>0.57200000000000006</v>
      </c>
      <c r="O1888" s="155" t="s">
        <v>1399</v>
      </c>
      <c r="P1888" s="193"/>
      <c r="Q1888" s="200"/>
      <c r="R1888" s="194"/>
      <c r="T1888" s="190"/>
      <c r="U1888" s="191"/>
    </row>
    <row r="1889" spans="1:21">
      <c r="A1889" s="192"/>
      <c r="B1889" s="195" t="s">
        <v>1401</v>
      </c>
      <c r="C1889" s="196"/>
      <c r="D1889" s="197"/>
      <c r="E1889" s="198"/>
      <c r="F1889" s="197"/>
      <c r="G1889" s="198"/>
      <c r="H1889" s="197">
        <v>1</v>
      </c>
      <c r="I1889" s="198" t="s">
        <v>1255</v>
      </c>
      <c r="J1889" s="197">
        <f>N765</f>
        <v>323.59999999999997</v>
      </c>
      <c r="K1889" s="198" t="s">
        <v>1255</v>
      </c>
      <c r="L1889" s="199">
        <v>8.5999999999999993E-2</v>
      </c>
      <c r="M1889" s="199" t="s">
        <v>1208</v>
      </c>
      <c r="N1889" s="199">
        <f t="shared" si="22"/>
        <v>27.829599999999996</v>
      </c>
      <c r="O1889" s="155" t="s">
        <v>1399</v>
      </c>
      <c r="P1889" s="193"/>
      <c r="Q1889" s="200"/>
      <c r="R1889" s="194"/>
      <c r="T1889" s="190"/>
      <c r="U1889" s="191"/>
    </row>
    <row r="1890" spans="1:21">
      <c r="A1890" s="192"/>
      <c r="B1890" s="195" t="s">
        <v>1402</v>
      </c>
      <c r="C1890" s="196"/>
      <c r="D1890" s="197"/>
      <c r="E1890" s="198"/>
      <c r="F1890" s="197"/>
      <c r="G1890" s="198"/>
      <c r="H1890" s="197">
        <v>6.5</v>
      </c>
      <c r="I1890" s="198" t="s">
        <v>1255</v>
      </c>
      <c r="J1890" s="197">
        <v>3</v>
      </c>
      <c r="K1890" s="198" t="s">
        <v>1255</v>
      </c>
      <c r="L1890" s="199">
        <v>0.11</v>
      </c>
      <c r="M1890" s="199" t="s">
        <v>1208</v>
      </c>
      <c r="N1890" s="199">
        <f t="shared" si="22"/>
        <v>2.145</v>
      </c>
      <c r="O1890" s="155" t="s">
        <v>1399</v>
      </c>
      <c r="P1890" s="193"/>
      <c r="Q1890" s="200"/>
      <c r="R1890" s="194"/>
      <c r="T1890" s="190"/>
      <c r="U1890" s="191"/>
    </row>
    <row r="1891" spans="1:21">
      <c r="A1891" s="192"/>
      <c r="B1891" s="195" t="s">
        <v>1403</v>
      </c>
      <c r="C1891" s="196"/>
      <c r="D1891" s="197"/>
      <c r="E1891" s="198"/>
      <c r="F1891" s="197"/>
      <c r="G1891" s="198"/>
      <c r="H1891" s="197">
        <v>2.1</v>
      </c>
      <c r="I1891" s="198" t="s">
        <v>1255</v>
      </c>
      <c r="J1891" s="197">
        <v>0.9</v>
      </c>
      <c r="K1891" s="198" t="s">
        <v>1255</v>
      </c>
      <c r="L1891" s="199">
        <v>0.1</v>
      </c>
      <c r="M1891" s="199" t="s">
        <v>1208</v>
      </c>
      <c r="N1891" s="199">
        <f t="shared" si="22"/>
        <v>0.18900000000000003</v>
      </c>
      <c r="O1891" s="155" t="s">
        <v>1399</v>
      </c>
      <c r="P1891" s="193"/>
      <c r="Q1891" s="200"/>
      <c r="R1891" s="194"/>
      <c r="T1891" s="190"/>
      <c r="U1891" s="191"/>
    </row>
    <row r="1892" spans="1:21">
      <c r="A1892" s="192"/>
      <c r="B1892" s="195" t="s">
        <v>1404</v>
      </c>
      <c r="C1892" s="196"/>
      <c r="D1892" s="197"/>
      <c r="E1892" s="198"/>
      <c r="F1892" s="197"/>
      <c r="G1892" s="198"/>
      <c r="H1892" s="197">
        <v>1</v>
      </c>
      <c r="I1892" s="198" t="s">
        <v>1255</v>
      </c>
      <c r="J1892" s="197">
        <v>357.36</v>
      </c>
      <c r="K1892" s="198" t="s">
        <v>1255</v>
      </c>
      <c r="L1892" s="199">
        <v>0.12</v>
      </c>
      <c r="M1892" s="199" t="s">
        <v>1208</v>
      </c>
      <c r="N1892" s="199">
        <f t="shared" si="22"/>
        <v>42.883200000000002</v>
      </c>
      <c r="O1892" s="155" t="s">
        <v>1399</v>
      </c>
      <c r="P1892" s="193"/>
      <c r="Q1892" s="200"/>
      <c r="R1892" s="194"/>
      <c r="T1892" s="190"/>
      <c r="U1892" s="191"/>
    </row>
    <row r="1893" spans="1:21">
      <c r="A1893" s="192"/>
      <c r="B1893" s="195" t="s">
        <v>1405</v>
      </c>
      <c r="C1893" s="196"/>
      <c r="D1893" s="197"/>
      <c r="E1893" s="198"/>
      <c r="F1893" s="197"/>
      <c r="G1893" s="198"/>
      <c r="H1893" s="197">
        <v>34</v>
      </c>
      <c r="I1893" s="198" t="s">
        <v>1255</v>
      </c>
      <c r="J1893" s="197">
        <v>1</v>
      </c>
      <c r="K1893" s="198" t="s">
        <v>1255</v>
      </c>
      <c r="L1893" s="199">
        <v>0.1</v>
      </c>
      <c r="M1893" s="199" t="s">
        <v>1208</v>
      </c>
      <c r="N1893" s="199">
        <f t="shared" si="22"/>
        <v>3.4000000000000004</v>
      </c>
      <c r="O1893" s="155" t="s">
        <v>1399</v>
      </c>
      <c r="P1893" s="193"/>
      <c r="Q1893" s="200"/>
      <c r="R1893" s="194"/>
      <c r="T1893" s="190"/>
      <c r="U1893" s="191"/>
    </row>
    <row r="1894" spans="1:21">
      <c r="A1894" s="192"/>
      <c r="B1894" s="195" t="s">
        <v>1406</v>
      </c>
      <c r="C1894" s="196"/>
      <c r="D1894" s="197"/>
      <c r="E1894" s="198"/>
      <c r="F1894" s="197"/>
      <c r="G1894" s="198"/>
      <c r="H1894" s="197">
        <v>145.97999999999999</v>
      </c>
      <c r="I1894" s="198" t="s">
        <v>1255</v>
      </c>
      <c r="J1894" s="197">
        <v>0.1</v>
      </c>
      <c r="K1894" s="198" t="s">
        <v>1255</v>
      </c>
      <c r="L1894" s="199">
        <v>7.0000000000000007E-2</v>
      </c>
      <c r="M1894" s="199" t="s">
        <v>1208</v>
      </c>
      <c r="N1894" s="199">
        <f t="shared" si="22"/>
        <v>1.02186</v>
      </c>
      <c r="O1894" s="155" t="s">
        <v>1399</v>
      </c>
      <c r="P1894" s="193"/>
      <c r="Q1894" s="200"/>
      <c r="R1894" s="194"/>
      <c r="T1894" s="190"/>
      <c r="U1894" s="191"/>
    </row>
    <row r="1895" spans="1:21">
      <c r="A1895" s="192"/>
      <c r="B1895" s="195" t="s">
        <v>1407</v>
      </c>
      <c r="C1895" s="196"/>
      <c r="D1895" s="197"/>
      <c r="E1895" s="198"/>
      <c r="F1895" s="197"/>
      <c r="G1895" s="198"/>
      <c r="H1895" s="197">
        <v>245.78</v>
      </c>
      <c r="I1895" s="198" t="s">
        <v>1255</v>
      </c>
      <c r="J1895" s="197">
        <v>0.05</v>
      </c>
      <c r="K1895" s="198" t="s">
        <v>1255</v>
      </c>
      <c r="L1895" s="199">
        <v>0.05</v>
      </c>
      <c r="M1895" s="199" t="s">
        <v>1208</v>
      </c>
      <c r="N1895" s="199">
        <f t="shared" si="22"/>
        <v>0.61445000000000016</v>
      </c>
      <c r="O1895" s="155" t="s">
        <v>1399</v>
      </c>
      <c r="P1895" s="193"/>
      <c r="Q1895" s="200"/>
      <c r="R1895" s="194"/>
      <c r="T1895" s="190"/>
      <c r="U1895" s="191"/>
    </row>
    <row r="1896" spans="1:21">
      <c r="A1896" s="192"/>
      <c r="B1896" s="195" t="s">
        <v>1408</v>
      </c>
      <c r="C1896" s="196"/>
      <c r="D1896" s="197"/>
      <c r="E1896" s="198"/>
      <c r="F1896" s="197"/>
      <c r="G1896" s="198"/>
      <c r="H1896" s="197">
        <v>66</v>
      </c>
      <c r="I1896" s="198" t="s">
        <v>1255</v>
      </c>
      <c r="J1896" s="197">
        <v>0.5</v>
      </c>
      <c r="K1896" s="198" t="s">
        <v>1255</v>
      </c>
      <c r="L1896" s="199">
        <v>0.05</v>
      </c>
      <c r="M1896" s="199" t="s">
        <v>1208</v>
      </c>
      <c r="N1896" s="199">
        <f t="shared" si="22"/>
        <v>1.6500000000000001</v>
      </c>
      <c r="O1896" s="155" t="s">
        <v>1399</v>
      </c>
      <c r="P1896" s="193"/>
      <c r="Q1896" s="200"/>
      <c r="R1896" s="194"/>
      <c r="T1896" s="190"/>
      <c r="U1896" s="191"/>
    </row>
    <row r="1897" spans="1:21">
      <c r="A1897" s="192"/>
      <c r="B1897" s="195" t="s">
        <v>1409</v>
      </c>
      <c r="C1897" s="196"/>
      <c r="D1897" s="197"/>
      <c r="E1897" s="198"/>
      <c r="F1897" s="197"/>
      <c r="G1897" s="198"/>
      <c r="H1897" s="197">
        <v>4</v>
      </c>
      <c r="I1897" s="198" t="s">
        <v>1255</v>
      </c>
      <c r="J1897" s="197">
        <v>0.7</v>
      </c>
      <c r="K1897" s="198" t="s">
        <v>1255</v>
      </c>
      <c r="L1897" s="199">
        <v>0.05</v>
      </c>
      <c r="M1897" s="199" t="s">
        <v>1208</v>
      </c>
      <c r="N1897" s="199">
        <f t="shared" si="22"/>
        <v>0.13999999999999999</v>
      </c>
      <c r="O1897" s="155" t="s">
        <v>1399</v>
      </c>
      <c r="P1897" s="193"/>
      <c r="Q1897" s="200"/>
      <c r="R1897" s="194"/>
      <c r="T1897" s="190"/>
      <c r="U1897" s="191"/>
    </row>
    <row r="1898" spans="1:21">
      <c r="A1898" s="192"/>
      <c r="B1898" s="195" t="s">
        <v>1410</v>
      </c>
      <c r="C1898" s="196"/>
      <c r="D1898" s="197"/>
      <c r="E1898" s="198"/>
      <c r="F1898" s="197"/>
      <c r="G1898" s="198"/>
      <c r="H1898" s="197">
        <v>6.8</v>
      </c>
      <c r="I1898" s="198" t="s">
        <v>1255</v>
      </c>
      <c r="J1898" s="197">
        <v>1.03</v>
      </c>
      <c r="K1898" s="198" t="s">
        <v>1255</v>
      </c>
      <c r="L1898" s="199">
        <v>0.1</v>
      </c>
      <c r="M1898" s="199" t="s">
        <v>1208</v>
      </c>
      <c r="N1898" s="199">
        <f t="shared" si="22"/>
        <v>0.70040000000000002</v>
      </c>
      <c r="O1898" s="155" t="s">
        <v>1399</v>
      </c>
      <c r="P1898" s="193"/>
      <c r="Q1898" s="200"/>
      <c r="R1898" s="194"/>
      <c r="T1898" s="190"/>
      <c r="U1898" s="191"/>
    </row>
    <row r="1899" spans="1:21">
      <c r="A1899" s="192"/>
      <c r="B1899" s="195" t="s">
        <v>1411</v>
      </c>
      <c r="C1899" s="196"/>
      <c r="D1899" s="197"/>
      <c r="E1899" s="198"/>
      <c r="F1899" s="197"/>
      <c r="G1899" s="198"/>
      <c r="H1899" s="197"/>
      <c r="I1899" s="198"/>
      <c r="J1899" s="197"/>
      <c r="K1899" s="198"/>
      <c r="L1899" s="199">
        <v>5</v>
      </c>
      <c r="M1899" s="199" t="s">
        <v>1208</v>
      </c>
      <c r="N1899" s="199">
        <v>5</v>
      </c>
      <c r="O1899" s="155" t="s">
        <v>1399</v>
      </c>
      <c r="P1899" s="193"/>
      <c r="Q1899" s="200"/>
      <c r="R1899" s="194"/>
      <c r="T1899" s="190"/>
      <c r="U1899" s="191"/>
    </row>
    <row r="1900" spans="1:21" ht="12" customHeight="1">
      <c r="A1900" s="192"/>
      <c r="B1900" s="195" t="s">
        <v>1412</v>
      </c>
      <c r="C1900" s="196"/>
      <c r="D1900" s="197"/>
      <c r="E1900" s="198"/>
      <c r="F1900" s="197"/>
      <c r="G1900" s="198"/>
      <c r="H1900" s="197"/>
      <c r="I1900" s="198"/>
      <c r="J1900" s="197"/>
      <c r="K1900" s="198"/>
      <c r="L1900" s="199">
        <v>3.93</v>
      </c>
      <c r="M1900" s="199" t="s">
        <v>1208</v>
      </c>
      <c r="N1900" s="199">
        <f>L1900</f>
        <v>3.93</v>
      </c>
      <c r="O1900" s="155" t="s">
        <v>1399</v>
      </c>
      <c r="P1900" s="193"/>
      <c r="Q1900" s="200"/>
      <c r="R1900" s="194"/>
      <c r="T1900" s="190"/>
      <c r="U1900" s="191"/>
    </row>
    <row r="1901" spans="1:21">
      <c r="A1901" s="192"/>
      <c r="B1901" s="195"/>
      <c r="C1901" s="196"/>
      <c r="D1901" s="197"/>
      <c r="E1901" s="198"/>
      <c r="F1901" s="197"/>
      <c r="G1901" s="198"/>
      <c r="H1901" s="197"/>
      <c r="I1901" s="198"/>
      <c r="J1901" s="197"/>
      <c r="K1901" s="198"/>
      <c r="L1901" s="199" t="s">
        <v>1413</v>
      </c>
      <c r="M1901" s="199"/>
      <c r="N1901" s="199">
        <f>SUM(N1887:N1900)</f>
        <v>90.615510000000029</v>
      </c>
      <c r="O1901" s="155"/>
      <c r="P1901" s="193"/>
      <c r="Q1901" s="200"/>
      <c r="R1901" s="194"/>
      <c r="T1901" s="190"/>
      <c r="U1901" s="191"/>
    </row>
    <row r="1902" spans="1:21">
      <c r="A1902" s="192"/>
      <c r="B1902" s="195"/>
      <c r="C1902" s="198"/>
      <c r="D1902" s="198"/>
      <c r="E1902" s="198"/>
      <c r="F1902" s="198"/>
      <c r="G1902" s="198"/>
      <c r="H1902" s="197"/>
      <c r="I1902" s="198"/>
      <c r="J1902" s="197"/>
      <c r="K1902" s="198"/>
      <c r="L1902" s="199"/>
      <c r="M1902" s="199"/>
      <c r="N1902" s="199"/>
      <c r="O1902" s="155"/>
      <c r="P1902" s="193"/>
      <c r="Q1902" s="200"/>
      <c r="R1902" s="194"/>
      <c r="T1902" s="190"/>
      <c r="U1902" s="191"/>
    </row>
    <row r="1903" spans="1:21">
      <c r="A1903" s="192"/>
      <c r="B1903" s="195"/>
      <c r="C1903" s="198"/>
      <c r="D1903" s="198"/>
      <c r="E1903" s="198"/>
      <c r="F1903" s="198"/>
      <c r="G1903" s="198"/>
      <c r="H1903" s="197">
        <f>N1901</f>
        <v>90.615510000000029</v>
      </c>
      <c r="I1903" s="198" t="s">
        <v>1255</v>
      </c>
      <c r="J1903" s="197">
        <v>1.3</v>
      </c>
      <c r="K1903" s="198"/>
      <c r="L1903" s="199"/>
      <c r="M1903" s="199" t="s">
        <v>1208</v>
      </c>
      <c r="N1903" s="199">
        <f>J1903*H1903</f>
        <v>117.80016300000004</v>
      </c>
      <c r="O1903" s="155"/>
      <c r="P1903" s="193"/>
      <c r="Q1903" s="200"/>
      <c r="R1903" s="194"/>
      <c r="T1903" s="190"/>
      <c r="U1903" s="191"/>
    </row>
    <row r="1904" spans="1:21">
      <c r="A1904" s="192"/>
      <c r="B1904" s="195"/>
      <c r="C1904" s="196"/>
      <c r="D1904" s="197"/>
      <c r="E1904" s="198"/>
      <c r="F1904" s="197"/>
      <c r="G1904" s="198"/>
      <c r="H1904" s="197"/>
      <c r="I1904" s="198"/>
      <c r="J1904" s="197"/>
      <c r="K1904" s="198"/>
      <c r="L1904" s="199"/>
      <c r="M1904" s="199"/>
      <c r="N1904" s="199"/>
      <c r="O1904" s="155"/>
      <c r="P1904" s="193"/>
      <c r="Q1904" s="200"/>
      <c r="R1904" s="194"/>
      <c r="T1904" s="190"/>
      <c r="U1904" s="191"/>
    </row>
    <row r="1905" spans="1:21">
      <c r="A1905" s="192"/>
      <c r="B1905" s="1277" t="s">
        <v>1209</v>
      </c>
      <c r="C1905" s="1277"/>
      <c r="D1905" s="1277"/>
      <c r="E1905" s="1277"/>
      <c r="F1905" s="1277"/>
      <c r="G1905" s="1277"/>
      <c r="H1905" s="1277"/>
      <c r="I1905" s="1277"/>
      <c r="J1905" s="1277"/>
      <c r="K1905" s="1277"/>
      <c r="L1905" s="1277"/>
      <c r="M1905" s="1277"/>
      <c r="N1905" s="1277"/>
      <c r="O1905" s="1277"/>
      <c r="P1905" s="1277"/>
      <c r="Q1905" s="203">
        <v>0</v>
      </c>
      <c r="R1905" s="204">
        <f>Q1905</f>
        <v>0</v>
      </c>
      <c r="T1905" s="1278"/>
      <c r="U1905" s="1279"/>
    </row>
    <row r="1906" spans="1:21">
      <c r="A1906" s="192"/>
      <c r="B1906" s="1277" t="e">
        <f>med</f>
        <v>#NAME?</v>
      </c>
      <c r="C1906" s="1277"/>
      <c r="D1906" s="1277"/>
      <c r="E1906" s="1277"/>
      <c r="F1906" s="1277"/>
      <c r="G1906" s="1277"/>
      <c r="H1906" s="1277"/>
      <c r="I1906" s="1277"/>
      <c r="J1906" s="1277"/>
      <c r="K1906" s="1277"/>
      <c r="L1906" s="1277"/>
      <c r="M1906" s="1277"/>
      <c r="N1906" s="1277"/>
      <c r="O1906" s="1277"/>
      <c r="P1906" s="205">
        <f>N1903</f>
        <v>117.80016300000004</v>
      </c>
      <c r="Q1906" s="203">
        <f>P1906</f>
        <v>117.80016300000004</v>
      </c>
      <c r="R1906" s="204">
        <f>Q1906+R1905</f>
        <v>117.80016300000004</v>
      </c>
      <c r="T1906" s="1278"/>
      <c r="U1906" s="1279"/>
    </row>
    <row r="1907" spans="1:21" ht="18" hidden="1" customHeight="1">
      <c r="A1907" s="187">
        <f>'[2]PLANILHA DE MEDIÇÃO'!A108</f>
        <v>0</v>
      </c>
      <c r="B1907" s="1275" t="e">
        <f>IF(A1907="","",VLOOKUP($A1907,'[2]FDE-JUNHO-08'!$A$6:$D$3537,2,FALSE()))</f>
        <v>#N/A</v>
      </c>
      <c r="C1907" s="1275"/>
      <c r="D1907" s="1275"/>
      <c r="E1907" s="1275"/>
      <c r="F1907" s="1275"/>
      <c r="G1907" s="1275"/>
      <c r="H1907" s="1275"/>
      <c r="I1907" s="1275"/>
      <c r="J1907" s="1275"/>
      <c r="K1907" s="1275"/>
      <c r="L1907" s="1275"/>
      <c r="M1907" s="1275"/>
      <c r="N1907" s="1275"/>
      <c r="O1907" s="1275"/>
      <c r="P1907" s="188" t="e">
        <f>IF(A1907="","",VLOOKUP($A1907,'[2]FDE-JUNHO-08'!$A$6:$D$3537,3,FALSE()))</f>
        <v>#N/A</v>
      </c>
      <c r="Q1907" s="189" t="s">
        <v>1205</v>
      </c>
      <c r="R1907" s="189" t="s">
        <v>1206</v>
      </c>
      <c r="T1907" s="190"/>
      <c r="U1907" s="191"/>
    </row>
    <row r="1908" spans="1:21" ht="12.75" hidden="1" customHeight="1">
      <c r="A1908" s="192"/>
      <c r="B1908" s="1281"/>
      <c r="C1908" s="1281"/>
      <c r="D1908" s="1281"/>
      <c r="E1908" s="1281"/>
      <c r="F1908" s="1281"/>
      <c r="G1908" s="1281"/>
      <c r="H1908" s="1281"/>
      <c r="I1908" s="1281"/>
      <c r="J1908" s="1281"/>
      <c r="K1908" s="1281"/>
      <c r="L1908" s="1281"/>
      <c r="M1908" s="1281"/>
      <c r="N1908" s="1281"/>
      <c r="O1908" s="1281"/>
      <c r="P1908" s="193"/>
      <c r="Q1908" s="194"/>
      <c r="R1908" s="194"/>
      <c r="T1908" s="190"/>
      <c r="U1908" s="191"/>
    </row>
    <row r="1909" spans="1:21" hidden="1">
      <c r="A1909" s="192"/>
      <c r="B1909" s="195"/>
      <c r="C1909" s="196"/>
      <c r="D1909" s="197"/>
      <c r="E1909" s="198"/>
      <c r="F1909" s="197"/>
      <c r="G1909" s="198"/>
      <c r="H1909" s="197"/>
      <c r="I1909" s="207"/>
      <c r="J1909" s="207"/>
      <c r="K1909" s="208"/>
      <c r="L1909" s="209"/>
      <c r="M1909" s="209"/>
      <c r="N1909" s="209"/>
      <c r="O1909" s="155"/>
      <c r="P1909" s="193"/>
      <c r="Q1909" s="200"/>
      <c r="R1909" s="194"/>
      <c r="T1909" s="190"/>
      <c r="U1909" s="191"/>
    </row>
    <row r="1910" spans="1:21" ht="13.8" hidden="1">
      <c r="A1910" s="192"/>
      <c r="B1910" s="210"/>
      <c r="C1910" s="196"/>
      <c r="D1910" s="197"/>
      <c r="E1910" s="198"/>
      <c r="F1910" s="197"/>
      <c r="G1910" s="198"/>
      <c r="H1910" s="197"/>
      <c r="I1910" s="198"/>
      <c r="J1910" s="197"/>
      <c r="K1910" s="198"/>
      <c r="L1910" s="199"/>
      <c r="M1910" s="199"/>
      <c r="N1910" s="199"/>
      <c r="O1910" s="155"/>
      <c r="P1910" s="193"/>
      <c r="Q1910" s="200"/>
      <c r="R1910" s="194"/>
      <c r="T1910" s="190"/>
      <c r="U1910" s="191"/>
    </row>
    <row r="1911" spans="1:21" hidden="1">
      <c r="A1911" s="192"/>
      <c r="B1911" s="195"/>
      <c r="C1911" s="196"/>
      <c r="D1911" s="197"/>
      <c r="E1911" s="198"/>
      <c r="F1911" s="197"/>
      <c r="G1911" s="198"/>
      <c r="H1911" s="197"/>
      <c r="I1911" s="198"/>
      <c r="J1911" s="197"/>
      <c r="K1911" s="198"/>
      <c r="L1911" s="199"/>
      <c r="M1911" s="199"/>
      <c r="N1911" s="199"/>
      <c r="O1911" s="155"/>
      <c r="P1911" s="193"/>
      <c r="Q1911" s="200"/>
      <c r="R1911" s="194"/>
      <c r="T1911" s="190"/>
      <c r="U1911" s="191"/>
    </row>
    <row r="1912" spans="1:21" hidden="1">
      <c r="A1912" s="192"/>
      <c r="B1912" s="195"/>
      <c r="C1912" s="196"/>
      <c r="D1912" s="197"/>
      <c r="E1912" s="198"/>
      <c r="F1912" s="197"/>
      <c r="G1912" s="198"/>
      <c r="H1912" s="197"/>
      <c r="I1912" s="198"/>
      <c r="J1912" s="197"/>
      <c r="K1912" s="198"/>
      <c r="L1912" s="199"/>
      <c r="M1912" s="199"/>
      <c r="N1912" s="199"/>
      <c r="O1912" s="155"/>
      <c r="P1912" s="193"/>
      <c r="Q1912" s="200"/>
      <c r="R1912" s="194"/>
      <c r="T1912" s="190"/>
      <c r="U1912" s="191"/>
    </row>
    <row r="1913" spans="1:21" hidden="1">
      <c r="A1913" s="192"/>
      <c r="B1913" s="195"/>
      <c r="C1913" s="196"/>
      <c r="D1913" s="197"/>
      <c r="E1913" s="198"/>
      <c r="F1913" s="197"/>
      <c r="G1913" s="198"/>
      <c r="H1913" s="197"/>
      <c r="I1913" s="198"/>
      <c r="J1913" s="197"/>
      <c r="K1913" s="198"/>
      <c r="L1913" s="199"/>
      <c r="M1913" s="199"/>
      <c r="N1913" s="199"/>
      <c r="O1913" s="155"/>
      <c r="P1913" s="193"/>
      <c r="Q1913" s="200"/>
      <c r="R1913" s="194"/>
      <c r="T1913" s="190"/>
      <c r="U1913" s="191"/>
    </row>
    <row r="1914" spans="1:21" hidden="1">
      <c r="A1914" s="192"/>
      <c r="B1914" s="195"/>
      <c r="C1914" s="196"/>
      <c r="D1914" s="197"/>
      <c r="E1914" s="198"/>
      <c r="F1914" s="197"/>
      <c r="G1914" s="198"/>
      <c r="H1914" s="197"/>
      <c r="I1914" s="198"/>
      <c r="J1914" s="197"/>
      <c r="K1914" s="198"/>
      <c r="L1914" s="199"/>
      <c r="M1914" s="199"/>
      <c r="N1914" s="201"/>
      <c r="O1914" s="202"/>
      <c r="P1914" s="193"/>
      <c r="Q1914" s="200"/>
      <c r="R1914" s="194"/>
      <c r="T1914" s="190"/>
      <c r="U1914" s="191"/>
    </row>
    <row r="1915" spans="1:21" hidden="1">
      <c r="A1915" s="192"/>
      <c r="B1915" s="195"/>
      <c r="C1915" s="196"/>
      <c r="D1915" s="197"/>
      <c r="E1915" s="198"/>
      <c r="F1915" s="197"/>
      <c r="G1915" s="198"/>
      <c r="H1915" s="197"/>
      <c r="I1915" s="198"/>
      <c r="J1915" s="197"/>
      <c r="K1915" s="198"/>
      <c r="L1915" s="199" t="s">
        <v>1140</v>
      </c>
      <c r="M1915" s="199" t="s">
        <v>1208</v>
      </c>
      <c r="N1915" s="199">
        <f>SUM(N1910:N1914)</f>
        <v>0</v>
      </c>
      <c r="O1915" s="155" t="e">
        <f>P1907</f>
        <v>#N/A</v>
      </c>
      <c r="P1915" s="193"/>
      <c r="Q1915" s="200"/>
      <c r="R1915" s="194"/>
      <c r="T1915" s="190"/>
      <c r="U1915" s="191"/>
    </row>
    <row r="1916" spans="1:21" hidden="1">
      <c r="A1916" s="192"/>
      <c r="B1916" s="195"/>
      <c r="C1916" s="196"/>
      <c r="D1916" s="197"/>
      <c r="E1916" s="198"/>
      <c r="F1916" s="197"/>
      <c r="G1916" s="198"/>
      <c r="H1916" s="197"/>
      <c r="I1916" s="198"/>
      <c r="J1916" s="197"/>
      <c r="K1916" s="198"/>
      <c r="L1916" s="199"/>
      <c r="M1916" s="199"/>
      <c r="N1916" s="199"/>
      <c r="O1916" s="155"/>
      <c r="P1916" s="193"/>
      <c r="Q1916" s="200"/>
      <c r="R1916" s="194"/>
      <c r="T1916" s="190"/>
      <c r="U1916" s="191"/>
    </row>
    <row r="1917" spans="1:21" ht="13.5" hidden="1" customHeight="1">
      <c r="A1917" s="192"/>
      <c r="B1917" s="1277" t="s">
        <v>1209</v>
      </c>
      <c r="C1917" s="1277"/>
      <c r="D1917" s="1277"/>
      <c r="E1917" s="1277"/>
      <c r="F1917" s="1277"/>
      <c r="G1917" s="1277"/>
      <c r="H1917" s="1277"/>
      <c r="I1917" s="1277"/>
      <c r="J1917" s="1277"/>
      <c r="K1917" s="1277"/>
      <c r="L1917" s="1277"/>
      <c r="M1917" s="1277"/>
      <c r="N1917" s="1277"/>
      <c r="O1917" s="1277"/>
      <c r="P1917" s="1277"/>
      <c r="Q1917" s="203">
        <v>0</v>
      </c>
      <c r="R1917" s="204">
        <f>Q1917</f>
        <v>0</v>
      </c>
      <c r="T1917" s="1278"/>
      <c r="U1917" s="1279"/>
    </row>
    <row r="1918" spans="1:21" ht="13.5" hidden="1" customHeight="1">
      <c r="A1918" s="192"/>
      <c r="B1918" s="1277" t="e">
        <f>med</f>
        <v>#NAME?</v>
      </c>
      <c r="C1918" s="1277"/>
      <c r="D1918" s="1277"/>
      <c r="E1918" s="1277"/>
      <c r="F1918" s="1277"/>
      <c r="G1918" s="1277"/>
      <c r="H1918" s="1277"/>
      <c r="I1918" s="1277"/>
      <c r="J1918" s="1277"/>
      <c r="K1918" s="1277"/>
      <c r="L1918" s="1277"/>
      <c r="M1918" s="1277"/>
      <c r="N1918" s="1277"/>
      <c r="O1918" s="1277"/>
      <c r="P1918" s="205">
        <f>N1915</f>
        <v>0</v>
      </c>
      <c r="Q1918" s="203">
        <f>P1918</f>
        <v>0</v>
      </c>
      <c r="R1918" s="204">
        <f>Q1918+R1917</f>
        <v>0</v>
      </c>
      <c r="T1918" s="1278"/>
      <c r="U1918" s="1279"/>
    </row>
    <row r="1919" spans="1:21" ht="18" customHeight="1">
      <c r="A1919" s="187" t="e">
        <f>#REF!</f>
        <v>#REF!</v>
      </c>
      <c r="B1919" s="1275" t="e">
        <f>IF(A1919="","",VLOOKUP($A1919,'[2]FDE-JUNHO-08'!$A$6:$D$3537,2,FALSE()))</f>
        <v>#REF!</v>
      </c>
      <c r="C1919" s="1275"/>
      <c r="D1919" s="1275"/>
      <c r="E1919" s="1275"/>
      <c r="F1919" s="1275"/>
      <c r="G1919" s="1275"/>
      <c r="H1919" s="1275"/>
      <c r="I1919" s="1275"/>
      <c r="J1919" s="1275"/>
      <c r="K1919" s="1275"/>
      <c r="L1919" s="1275"/>
      <c r="M1919" s="1275"/>
      <c r="N1919" s="1275"/>
      <c r="O1919" s="1275"/>
      <c r="P1919" s="188" t="e">
        <f>IF(A1919="","",VLOOKUP($A1919,'[2]FDE-JUNHO-08'!$A$6:$D$3537,3,FALSE()))</f>
        <v>#REF!</v>
      </c>
      <c r="Q1919" s="189" t="s">
        <v>1205</v>
      </c>
      <c r="R1919" s="189" t="s">
        <v>1206</v>
      </c>
      <c r="T1919" s="190"/>
      <c r="U1919" s="191"/>
    </row>
    <row r="1920" spans="1:21">
      <c r="A1920" s="192"/>
      <c r="B1920" s="1281"/>
      <c r="C1920" s="1281"/>
      <c r="D1920" s="1281"/>
      <c r="E1920" s="1281"/>
      <c r="F1920" s="1281"/>
      <c r="G1920" s="1281"/>
      <c r="H1920" s="1281"/>
      <c r="I1920" s="1281"/>
      <c r="J1920" s="1281"/>
      <c r="K1920" s="1281"/>
      <c r="L1920" s="1281"/>
      <c r="M1920" s="1281"/>
      <c r="N1920" s="1281"/>
      <c r="O1920" s="1281"/>
      <c r="P1920" s="193"/>
      <c r="Q1920" s="194"/>
      <c r="R1920" s="194"/>
      <c r="T1920" s="190"/>
      <c r="U1920" s="191"/>
    </row>
    <row r="1921" spans="1:21">
      <c r="A1921" s="192"/>
      <c r="B1921" s="195" t="s">
        <v>1414</v>
      </c>
      <c r="C1921" s="196"/>
      <c r="D1921" s="197"/>
      <c r="E1921" s="198"/>
      <c r="F1921" s="197"/>
      <c r="G1921" s="198">
        <v>8</v>
      </c>
      <c r="H1921" s="197" t="s">
        <v>1415</v>
      </c>
      <c r="I1921" s="207"/>
      <c r="J1921" s="198">
        <v>4</v>
      </c>
      <c r="K1921" s="155" t="s">
        <v>1415</v>
      </c>
      <c r="L1921" s="199">
        <v>4</v>
      </c>
      <c r="M1921" s="209"/>
      <c r="N1921" s="199">
        <f>G1921*J1921*L1921</f>
        <v>128</v>
      </c>
      <c r="O1921" s="155"/>
      <c r="P1921" s="193"/>
      <c r="Q1921" s="200"/>
      <c r="R1921" s="194"/>
      <c r="T1921" s="190"/>
      <c r="U1921" s="191"/>
    </row>
    <row r="1922" spans="1:21" ht="13.8">
      <c r="A1922" s="192"/>
      <c r="B1922" s="210"/>
      <c r="C1922" s="196"/>
      <c r="D1922" s="197"/>
      <c r="E1922" s="198"/>
      <c r="F1922" s="197"/>
      <c r="G1922" s="198"/>
      <c r="H1922" s="197"/>
      <c r="I1922" s="198"/>
      <c r="J1922" s="197"/>
      <c r="K1922" s="198"/>
      <c r="L1922" s="199"/>
      <c r="M1922" s="199"/>
      <c r="N1922" s="201"/>
      <c r="O1922" s="202"/>
      <c r="P1922" s="193"/>
      <c r="Q1922" s="200"/>
      <c r="R1922" s="194"/>
      <c r="T1922" s="190"/>
      <c r="U1922" s="191"/>
    </row>
    <row r="1923" spans="1:21">
      <c r="A1923" s="192"/>
      <c r="B1923" s="195"/>
      <c r="C1923" s="196"/>
      <c r="D1923" s="197"/>
      <c r="E1923" s="198"/>
      <c r="F1923" s="197"/>
      <c r="G1923" s="198"/>
      <c r="H1923" s="197"/>
      <c r="I1923" s="198"/>
      <c r="J1923" s="197"/>
      <c r="K1923" s="198"/>
      <c r="L1923" s="199" t="s">
        <v>1140</v>
      </c>
      <c r="M1923" s="199" t="s">
        <v>1208</v>
      </c>
      <c r="N1923" s="199">
        <f>SUM(N1921:N1922)</f>
        <v>128</v>
      </c>
      <c r="O1923" s="155" t="e">
        <f>P1919</f>
        <v>#REF!</v>
      </c>
      <c r="P1923" s="193"/>
      <c r="Q1923" s="200"/>
      <c r="R1923" s="194"/>
      <c r="T1923" s="190"/>
      <c r="U1923" s="191"/>
    </row>
    <row r="1924" spans="1:21">
      <c r="A1924" s="192"/>
      <c r="B1924" s="195"/>
      <c r="C1924" s="196"/>
      <c r="D1924" s="197"/>
      <c r="E1924" s="198"/>
      <c r="F1924" s="197"/>
      <c r="G1924" s="198"/>
      <c r="H1924" s="197"/>
      <c r="I1924" s="198"/>
      <c r="J1924" s="197"/>
      <c r="K1924" s="198"/>
      <c r="L1924" s="199"/>
      <c r="M1924" s="199"/>
      <c r="N1924" s="199"/>
      <c r="O1924" s="155"/>
      <c r="P1924" s="193"/>
      <c r="Q1924" s="200"/>
      <c r="R1924" s="194"/>
      <c r="T1924" s="190"/>
      <c r="U1924" s="191"/>
    </row>
    <row r="1925" spans="1:21">
      <c r="A1925" s="192"/>
      <c r="B1925" s="1277" t="s">
        <v>1209</v>
      </c>
      <c r="C1925" s="1277"/>
      <c r="D1925" s="1277"/>
      <c r="E1925" s="1277"/>
      <c r="F1925" s="1277"/>
      <c r="G1925" s="1277"/>
      <c r="H1925" s="1277"/>
      <c r="I1925" s="1277"/>
      <c r="J1925" s="1277"/>
      <c r="K1925" s="1277"/>
      <c r="L1925" s="1277"/>
      <c r="M1925" s="1277"/>
      <c r="N1925" s="1277"/>
      <c r="O1925" s="1277"/>
      <c r="P1925" s="1277"/>
      <c r="Q1925" s="203">
        <v>0</v>
      </c>
      <c r="R1925" s="204">
        <f>Q1925</f>
        <v>0</v>
      </c>
      <c r="T1925" s="1278"/>
      <c r="U1925" s="1279"/>
    </row>
    <row r="1926" spans="1:21">
      <c r="A1926" s="206"/>
      <c r="B1926" s="1277" t="e">
        <f>med</f>
        <v>#NAME?</v>
      </c>
      <c r="C1926" s="1277"/>
      <c r="D1926" s="1277"/>
      <c r="E1926" s="1277"/>
      <c r="F1926" s="1277"/>
      <c r="G1926" s="1277"/>
      <c r="H1926" s="1277"/>
      <c r="I1926" s="1277"/>
      <c r="J1926" s="1277"/>
      <c r="K1926" s="1277"/>
      <c r="L1926" s="1277"/>
      <c r="M1926" s="1277"/>
      <c r="N1926" s="1277"/>
      <c r="O1926" s="1277"/>
      <c r="P1926" s="205">
        <f>N1921</f>
        <v>128</v>
      </c>
      <c r="Q1926" s="203">
        <f>P1926</f>
        <v>128</v>
      </c>
      <c r="R1926" s="204">
        <f>Q1926+R1925</f>
        <v>128</v>
      </c>
      <c r="T1926" s="1278"/>
      <c r="U1926" s="1279"/>
    </row>
  </sheetData>
  <mergeCells count="1143">
    <mergeCell ref="B1907:O1907"/>
    <mergeCell ref="B1908:O1908"/>
    <mergeCell ref="B1917:P1917"/>
    <mergeCell ref="T1917:T1918"/>
    <mergeCell ref="U1917:U1918"/>
    <mergeCell ref="B1918:O1918"/>
    <mergeCell ref="B1919:O1919"/>
    <mergeCell ref="B1920:O1920"/>
    <mergeCell ref="B1925:P1925"/>
    <mergeCell ref="T1925:T1926"/>
    <mergeCell ref="U1925:U1926"/>
    <mergeCell ref="B1926:O1926"/>
    <mergeCell ref="B1865:O1865"/>
    <mergeCell ref="B1866:O1866"/>
    <mergeCell ref="B1871:P1871"/>
    <mergeCell ref="T1871:T1872"/>
    <mergeCell ref="U1871:U1872"/>
    <mergeCell ref="B1872:O1872"/>
    <mergeCell ref="B1873:O1873"/>
    <mergeCell ref="B1874:O1874"/>
    <mergeCell ref="B1883:P1883"/>
    <mergeCell ref="T1883:T1884"/>
    <mergeCell ref="U1883:U1884"/>
    <mergeCell ref="B1884:O1884"/>
    <mergeCell ref="B1885:O1885"/>
    <mergeCell ref="B1905:P1905"/>
    <mergeCell ref="T1905:T1906"/>
    <mergeCell ref="U1905:U1906"/>
    <mergeCell ref="B1906:O1906"/>
    <mergeCell ref="B1830:O1830"/>
    <mergeCell ref="B1831:O1831"/>
    <mergeCell ref="B1836:P1836"/>
    <mergeCell ref="T1836:T1837"/>
    <mergeCell ref="U1836:U1837"/>
    <mergeCell ref="B1837:O1837"/>
    <mergeCell ref="B1838:O1838"/>
    <mergeCell ref="B1839:O1839"/>
    <mergeCell ref="B1851:P1851"/>
    <mergeCell ref="T1851:T1852"/>
    <mergeCell ref="U1851:U1852"/>
    <mergeCell ref="B1852:O1852"/>
    <mergeCell ref="B1853:O1853"/>
    <mergeCell ref="B1854:O1854"/>
    <mergeCell ref="B1863:P1863"/>
    <mergeCell ref="T1863:T1864"/>
    <mergeCell ref="U1863:U1864"/>
    <mergeCell ref="B1864:O1864"/>
    <mergeCell ref="B1779:O1779"/>
    <mergeCell ref="B1796:P1796"/>
    <mergeCell ref="T1796:T1797"/>
    <mergeCell ref="U1796:U1797"/>
    <mergeCell ref="B1797:O1797"/>
    <mergeCell ref="B1798:O1798"/>
    <mergeCell ref="B1799:O1799"/>
    <mergeCell ref="B1820:P1820"/>
    <mergeCell ref="T1820:T1821"/>
    <mergeCell ref="U1820:U1821"/>
    <mergeCell ref="B1821:O1821"/>
    <mergeCell ref="B1822:O1822"/>
    <mergeCell ref="B1823:O1823"/>
    <mergeCell ref="B1828:P1828"/>
    <mergeCell ref="T1828:T1829"/>
    <mergeCell ref="U1828:U1829"/>
    <mergeCell ref="B1829:O1829"/>
    <mergeCell ref="B1715:O1715"/>
    <mergeCell ref="B1716:O1716"/>
    <mergeCell ref="B1737:P1737"/>
    <mergeCell ref="T1737:T1738"/>
    <mergeCell ref="U1737:U1738"/>
    <mergeCell ref="B1738:O1738"/>
    <mergeCell ref="B1739:O1739"/>
    <mergeCell ref="B1758:P1758"/>
    <mergeCell ref="T1758:T1759"/>
    <mergeCell ref="U1758:U1759"/>
    <mergeCell ref="B1759:O1759"/>
    <mergeCell ref="B1760:O1760"/>
    <mergeCell ref="B1776:P1776"/>
    <mergeCell ref="T1776:T1777"/>
    <mergeCell ref="U1776:U1777"/>
    <mergeCell ref="B1777:O1777"/>
    <mergeCell ref="B1778:O1778"/>
    <mergeCell ref="B1650:O1650"/>
    <mergeCell ref="B1667:P1667"/>
    <mergeCell ref="T1667:T1668"/>
    <mergeCell ref="U1667:U1668"/>
    <mergeCell ref="B1668:O1668"/>
    <mergeCell ref="B1669:O1669"/>
    <mergeCell ref="B1670:O1670"/>
    <mergeCell ref="B1692:P1692"/>
    <mergeCell ref="T1692:T1693"/>
    <mergeCell ref="U1692:U1693"/>
    <mergeCell ref="B1693:O1693"/>
    <mergeCell ref="B1694:O1694"/>
    <mergeCell ref="B1695:O1695"/>
    <mergeCell ref="B1713:P1713"/>
    <mergeCell ref="T1713:T1714"/>
    <mergeCell ref="U1713:U1714"/>
    <mergeCell ref="B1714:O1714"/>
    <mergeCell ref="B1598:O1598"/>
    <mergeCell ref="B1612:P1612"/>
    <mergeCell ref="T1612:T1613"/>
    <mergeCell ref="U1612:U1613"/>
    <mergeCell ref="B1613:O1613"/>
    <mergeCell ref="B1614:O1614"/>
    <mergeCell ref="B1621:P1621"/>
    <mergeCell ref="T1621:T1622"/>
    <mergeCell ref="U1621:U1622"/>
    <mergeCell ref="B1622:O1622"/>
    <mergeCell ref="B1623:O1623"/>
    <mergeCell ref="B1624:O1624"/>
    <mergeCell ref="B1647:P1647"/>
    <mergeCell ref="T1647:T1648"/>
    <mergeCell ref="U1647:U1648"/>
    <mergeCell ref="B1648:O1648"/>
    <mergeCell ref="B1649:O1649"/>
    <mergeCell ref="B1545:O1545"/>
    <mergeCell ref="B1552:P1552"/>
    <mergeCell ref="T1552:T1553"/>
    <mergeCell ref="U1552:U1553"/>
    <mergeCell ref="B1553:O1553"/>
    <mergeCell ref="B1554:O1554"/>
    <mergeCell ref="B1566:P1566"/>
    <mergeCell ref="T1566:T1567"/>
    <mergeCell ref="U1566:U1567"/>
    <mergeCell ref="B1567:O1567"/>
    <mergeCell ref="B1568:O1568"/>
    <mergeCell ref="B1581:P1581"/>
    <mergeCell ref="T1581:T1582"/>
    <mergeCell ref="U1581:U1582"/>
    <mergeCell ref="B1582:O1582"/>
    <mergeCell ref="B1583:O1583"/>
    <mergeCell ref="B1596:P1596"/>
    <mergeCell ref="T1596:T1597"/>
    <mergeCell ref="U1596:U1597"/>
    <mergeCell ref="B1597:O1597"/>
    <mergeCell ref="B1495:O1495"/>
    <mergeCell ref="B1496:O1496"/>
    <mergeCell ref="B1508:P1508"/>
    <mergeCell ref="T1508:T1509"/>
    <mergeCell ref="U1508:U1509"/>
    <mergeCell ref="B1509:O1509"/>
    <mergeCell ref="B1510:O1510"/>
    <mergeCell ref="B1511:O1511"/>
    <mergeCell ref="B1516:P1516"/>
    <mergeCell ref="T1516:T1517"/>
    <mergeCell ref="U1516:U1517"/>
    <mergeCell ref="B1517:O1517"/>
    <mergeCell ref="B1518:O1518"/>
    <mergeCell ref="B1543:P1543"/>
    <mergeCell ref="T1543:T1544"/>
    <mergeCell ref="U1543:U1544"/>
    <mergeCell ref="B1544:O1544"/>
    <mergeCell ref="B1453:O1453"/>
    <mergeCell ref="B1454:O1454"/>
    <mergeCell ref="B1463:P1463"/>
    <mergeCell ref="T1463:T1464"/>
    <mergeCell ref="U1463:U1464"/>
    <mergeCell ref="B1464:O1464"/>
    <mergeCell ref="B1465:O1465"/>
    <mergeCell ref="B1466:O1466"/>
    <mergeCell ref="B1478:P1478"/>
    <mergeCell ref="T1478:T1479"/>
    <mergeCell ref="U1478:U1479"/>
    <mergeCell ref="B1479:O1479"/>
    <mergeCell ref="B1480:O1480"/>
    <mergeCell ref="B1481:O1481"/>
    <mergeCell ref="B1493:P1493"/>
    <mergeCell ref="T1493:T1494"/>
    <mergeCell ref="U1493:U1494"/>
    <mergeCell ref="B1494:O1494"/>
    <mergeCell ref="B1425:O1425"/>
    <mergeCell ref="B1426:O1426"/>
    <mergeCell ref="B1431:P1431"/>
    <mergeCell ref="T1431:T1432"/>
    <mergeCell ref="U1431:U1432"/>
    <mergeCell ref="B1432:O1432"/>
    <mergeCell ref="B1433:O1433"/>
    <mergeCell ref="B1434:O1434"/>
    <mergeCell ref="B1441:P1441"/>
    <mergeCell ref="T1441:T1442"/>
    <mergeCell ref="U1441:U1442"/>
    <mergeCell ref="B1442:O1442"/>
    <mergeCell ref="B1443:O1443"/>
    <mergeCell ref="B1444:O1444"/>
    <mergeCell ref="B1451:P1451"/>
    <mergeCell ref="T1451:T1452"/>
    <mergeCell ref="U1451:U1452"/>
    <mergeCell ref="B1452:O1452"/>
    <mergeCell ref="B1401:O1401"/>
    <mergeCell ref="B1402:O1402"/>
    <mergeCell ref="B1407:P1407"/>
    <mergeCell ref="T1407:T1408"/>
    <mergeCell ref="U1407:U1408"/>
    <mergeCell ref="B1408:O1408"/>
    <mergeCell ref="B1409:O1409"/>
    <mergeCell ref="B1410:O1410"/>
    <mergeCell ref="B1415:P1415"/>
    <mergeCell ref="T1415:T1416"/>
    <mergeCell ref="U1415:U1416"/>
    <mergeCell ref="B1416:O1416"/>
    <mergeCell ref="B1417:O1417"/>
    <mergeCell ref="B1418:O1418"/>
    <mergeCell ref="B1423:P1423"/>
    <mergeCell ref="T1423:T1424"/>
    <mergeCell ref="U1423:U1424"/>
    <mergeCell ref="B1424:O1424"/>
    <mergeCell ref="B1374:O1374"/>
    <mergeCell ref="B1375:O1375"/>
    <mergeCell ref="B1382:P1382"/>
    <mergeCell ref="T1382:T1383"/>
    <mergeCell ref="U1382:U1383"/>
    <mergeCell ref="B1383:O1383"/>
    <mergeCell ref="B1384:O1384"/>
    <mergeCell ref="B1385:O1385"/>
    <mergeCell ref="B1390:P1390"/>
    <mergeCell ref="T1390:T1391"/>
    <mergeCell ref="U1390:U1391"/>
    <mergeCell ref="B1391:O1391"/>
    <mergeCell ref="B1392:O1392"/>
    <mergeCell ref="B1393:O1393"/>
    <mergeCell ref="B1399:P1399"/>
    <mergeCell ref="T1399:T1400"/>
    <mergeCell ref="U1399:U1400"/>
    <mergeCell ref="B1400:O1400"/>
    <mergeCell ref="B1346:O1346"/>
    <mergeCell ref="B1347:O1347"/>
    <mergeCell ref="B1354:P1354"/>
    <mergeCell ref="T1354:T1355"/>
    <mergeCell ref="U1354:U1355"/>
    <mergeCell ref="B1355:O1355"/>
    <mergeCell ref="B1356:O1356"/>
    <mergeCell ref="B1357:O1357"/>
    <mergeCell ref="B1362:P1362"/>
    <mergeCell ref="T1362:T1363"/>
    <mergeCell ref="U1362:U1363"/>
    <mergeCell ref="B1363:O1363"/>
    <mergeCell ref="B1364:O1364"/>
    <mergeCell ref="B1372:P1372"/>
    <mergeCell ref="T1372:T1373"/>
    <mergeCell ref="U1372:U1373"/>
    <mergeCell ref="B1373:O1373"/>
    <mergeCell ref="B1317:O1317"/>
    <mergeCell ref="B1318:O1318"/>
    <mergeCell ref="B1324:P1324"/>
    <mergeCell ref="T1324:T1325"/>
    <mergeCell ref="U1324:U1325"/>
    <mergeCell ref="B1325:O1325"/>
    <mergeCell ref="B1326:O1326"/>
    <mergeCell ref="B1334:P1334"/>
    <mergeCell ref="T1334:T1335"/>
    <mergeCell ref="U1334:U1335"/>
    <mergeCell ref="B1335:O1335"/>
    <mergeCell ref="B1336:O1336"/>
    <mergeCell ref="B1337:O1337"/>
    <mergeCell ref="B1344:P1344"/>
    <mergeCell ref="T1344:T1345"/>
    <mergeCell ref="U1344:U1345"/>
    <mergeCell ref="B1345:O1345"/>
    <mergeCell ref="B1291:O1291"/>
    <mergeCell ref="B1292:O1292"/>
    <mergeCell ref="B1297:P1297"/>
    <mergeCell ref="T1297:T1298"/>
    <mergeCell ref="U1297:U1298"/>
    <mergeCell ref="B1298:O1298"/>
    <mergeCell ref="B1299:O1299"/>
    <mergeCell ref="B1300:O1300"/>
    <mergeCell ref="B1305:P1305"/>
    <mergeCell ref="T1305:T1306"/>
    <mergeCell ref="U1305:U1306"/>
    <mergeCell ref="B1306:O1306"/>
    <mergeCell ref="B1307:O1307"/>
    <mergeCell ref="B1315:P1315"/>
    <mergeCell ref="T1315:T1316"/>
    <mergeCell ref="U1315:U1316"/>
    <mergeCell ref="B1316:O1316"/>
    <mergeCell ref="B1267:O1267"/>
    <mergeCell ref="B1268:O1268"/>
    <mergeCell ref="B1273:P1273"/>
    <mergeCell ref="T1273:T1274"/>
    <mergeCell ref="U1273:U1274"/>
    <mergeCell ref="B1274:O1274"/>
    <mergeCell ref="B1275:O1275"/>
    <mergeCell ref="B1276:O1276"/>
    <mergeCell ref="B1281:P1281"/>
    <mergeCell ref="T1281:T1282"/>
    <mergeCell ref="U1281:U1282"/>
    <mergeCell ref="B1282:O1282"/>
    <mergeCell ref="B1283:O1283"/>
    <mergeCell ref="B1284:O1284"/>
    <mergeCell ref="B1289:P1289"/>
    <mergeCell ref="T1289:T1290"/>
    <mergeCell ref="U1289:U1290"/>
    <mergeCell ref="B1290:O1290"/>
    <mergeCell ref="B1243:O1243"/>
    <mergeCell ref="B1244:O1244"/>
    <mergeCell ref="B1249:P1249"/>
    <mergeCell ref="T1249:T1250"/>
    <mergeCell ref="U1249:U1250"/>
    <mergeCell ref="B1250:O1250"/>
    <mergeCell ref="B1251:O1251"/>
    <mergeCell ref="B1252:O1252"/>
    <mergeCell ref="B1257:P1257"/>
    <mergeCell ref="T1257:T1258"/>
    <mergeCell ref="U1257:U1258"/>
    <mergeCell ref="B1258:O1258"/>
    <mergeCell ref="B1259:O1259"/>
    <mergeCell ref="B1260:O1260"/>
    <mergeCell ref="B1265:P1265"/>
    <mergeCell ref="T1265:T1266"/>
    <mergeCell ref="U1265:U1266"/>
    <mergeCell ref="B1266:O1266"/>
    <mergeCell ref="B1217:P1217"/>
    <mergeCell ref="T1217:T1218"/>
    <mergeCell ref="U1217:U1218"/>
    <mergeCell ref="B1218:O1218"/>
    <mergeCell ref="B1219:O1219"/>
    <mergeCell ref="B1225:P1225"/>
    <mergeCell ref="T1225:T1226"/>
    <mergeCell ref="U1225:U1226"/>
    <mergeCell ref="B1226:O1226"/>
    <mergeCell ref="B1227:O1227"/>
    <mergeCell ref="B1233:P1233"/>
    <mergeCell ref="T1233:T1234"/>
    <mergeCell ref="U1233:U1234"/>
    <mergeCell ref="B1234:O1234"/>
    <mergeCell ref="B1235:O1235"/>
    <mergeCell ref="B1241:P1241"/>
    <mergeCell ref="T1241:T1242"/>
    <mergeCell ref="U1241:U1242"/>
    <mergeCell ref="B1242:O1242"/>
    <mergeCell ref="B1192:P1192"/>
    <mergeCell ref="T1192:T1193"/>
    <mergeCell ref="U1192:U1193"/>
    <mergeCell ref="B1193:O1193"/>
    <mergeCell ref="B1194:O1194"/>
    <mergeCell ref="B1195:O1195"/>
    <mergeCell ref="B1200:P1200"/>
    <mergeCell ref="T1200:T1201"/>
    <mergeCell ref="U1200:U1201"/>
    <mergeCell ref="B1201:O1201"/>
    <mergeCell ref="B1202:O1202"/>
    <mergeCell ref="B1208:P1208"/>
    <mergeCell ref="T1208:T1209"/>
    <mergeCell ref="U1208:U1209"/>
    <mergeCell ref="B1209:O1209"/>
    <mergeCell ref="B1210:O1210"/>
    <mergeCell ref="B1211:O1211"/>
    <mergeCell ref="B1166:P1166"/>
    <mergeCell ref="T1166:T1167"/>
    <mergeCell ref="U1166:U1167"/>
    <mergeCell ref="B1167:O1167"/>
    <mergeCell ref="B1168:O1168"/>
    <mergeCell ref="B1169:O1169"/>
    <mergeCell ref="B1176:P1176"/>
    <mergeCell ref="T1176:T1177"/>
    <mergeCell ref="U1176:U1177"/>
    <mergeCell ref="B1177:O1177"/>
    <mergeCell ref="B1178:O1178"/>
    <mergeCell ref="B1184:P1184"/>
    <mergeCell ref="T1184:T1185"/>
    <mergeCell ref="U1184:U1185"/>
    <mergeCell ref="B1185:O1185"/>
    <mergeCell ref="B1186:O1186"/>
    <mergeCell ref="B1187:O1187"/>
    <mergeCell ref="B1136:O1136"/>
    <mergeCell ref="B1137:O1137"/>
    <mergeCell ref="B1142:P1142"/>
    <mergeCell ref="T1142:T1143"/>
    <mergeCell ref="U1142:U1143"/>
    <mergeCell ref="B1143:O1143"/>
    <mergeCell ref="B1144:O1144"/>
    <mergeCell ref="B1150:P1150"/>
    <mergeCell ref="T1150:T1151"/>
    <mergeCell ref="U1150:U1151"/>
    <mergeCell ref="B1151:O1151"/>
    <mergeCell ref="B1152:O1152"/>
    <mergeCell ref="B1158:P1158"/>
    <mergeCell ref="T1158:T1159"/>
    <mergeCell ref="U1158:U1159"/>
    <mergeCell ref="B1159:O1159"/>
    <mergeCell ref="B1160:O1160"/>
    <mergeCell ref="B1108:O1108"/>
    <mergeCell ref="B1109:O1109"/>
    <mergeCell ref="B1115:P1115"/>
    <mergeCell ref="T1115:T1116"/>
    <mergeCell ref="U1115:U1116"/>
    <mergeCell ref="B1116:O1116"/>
    <mergeCell ref="B1117:O1117"/>
    <mergeCell ref="B1118:O1118"/>
    <mergeCell ref="B1125:P1125"/>
    <mergeCell ref="T1125:T1126"/>
    <mergeCell ref="U1125:U1126"/>
    <mergeCell ref="B1126:O1126"/>
    <mergeCell ref="B1127:O1127"/>
    <mergeCell ref="B1128:O1128"/>
    <mergeCell ref="B1134:P1134"/>
    <mergeCell ref="T1134:T1135"/>
    <mergeCell ref="U1134:U1135"/>
    <mergeCell ref="B1135:O1135"/>
    <mergeCell ref="B1084:O1084"/>
    <mergeCell ref="B1085:O1085"/>
    <mergeCell ref="B1090:P1090"/>
    <mergeCell ref="T1090:T1091"/>
    <mergeCell ref="U1090:U1091"/>
    <mergeCell ref="B1091:O1091"/>
    <mergeCell ref="B1092:O1092"/>
    <mergeCell ref="B1093:O1093"/>
    <mergeCell ref="B1098:P1098"/>
    <mergeCell ref="T1098:T1099"/>
    <mergeCell ref="U1098:U1099"/>
    <mergeCell ref="B1099:O1099"/>
    <mergeCell ref="B1100:O1100"/>
    <mergeCell ref="B1101:O1101"/>
    <mergeCell ref="B1106:P1106"/>
    <mergeCell ref="T1106:T1107"/>
    <mergeCell ref="U1106:U1107"/>
    <mergeCell ref="B1107:O1107"/>
    <mergeCell ref="B1060:O1060"/>
    <mergeCell ref="B1061:O1061"/>
    <mergeCell ref="B1065:O1065"/>
    <mergeCell ref="B1066:P1066"/>
    <mergeCell ref="T1066:T1067"/>
    <mergeCell ref="U1066:U1067"/>
    <mergeCell ref="B1067:O1067"/>
    <mergeCell ref="B1068:O1068"/>
    <mergeCell ref="B1074:P1074"/>
    <mergeCell ref="T1074:T1075"/>
    <mergeCell ref="U1074:U1075"/>
    <mergeCell ref="B1075:O1075"/>
    <mergeCell ref="B1076:O1076"/>
    <mergeCell ref="B1082:P1082"/>
    <mergeCell ref="T1082:T1083"/>
    <mergeCell ref="U1082:U1083"/>
    <mergeCell ref="B1083:O1083"/>
    <mergeCell ref="B1036:O1036"/>
    <mergeCell ref="B1037:O1037"/>
    <mergeCell ref="B1042:P1042"/>
    <mergeCell ref="T1042:T1043"/>
    <mergeCell ref="U1042:U1043"/>
    <mergeCell ref="B1043:O1043"/>
    <mergeCell ref="B1044:O1044"/>
    <mergeCell ref="B1045:O1045"/>
    <mergeCell ref="B1050:P1050"/>
    <mergeCell ref="T1050:T1051"/>
    <mergeCell ref="U1050:U1051"/>
    <mergeCell ref="B1051:O1051"/>
    <mergeCell ref="B1052:O1052"/>
    <mergeCell ref="B1053:O1053"/>
    <mergeCell ref="B1058:P1058"/>
    <mergeCell ref="T1058:T1059"/>
    <mergeCell ref="U1058:U1059"/>
    <mergeCell ref="B1059:O1059"/>
    <mergeCell ref="B1012:O1012"/>
    <mergeCell ref="B1013:O1013"/>
    <mergeCell ref="B1018:P1018"/>
    <mergeCell ref="T1018:T1019"/>
    <mergeCell ref="U1018:U1019"/>
    <mergeCell ref="B1019:O1019"/>
    <mergeCell ref="B1020:O1020"/>
    <mergeCell ref="B1021:O1021"/>
    <mergeCell ref="B1026:P1026"/>
    <mergeCell ref="T1026:T1027"/>
    <mergeCell ref="U1026:U1027"/>
    <mergeCell ref="B1027:O1027"/>
    <mergeCell ref="B1028:O1028"/>
    <mergeCell ref="B1029:O1029"/>
    <mergeCell ref="B1034:P1034"/>
    <mergeCell ref="T1034:T1035"/>
    <mergeCell ref="U1034:U1035"/>
    <mergeCell ref="B1035:O1035"/>
    <mergeCell ref="B988:O988"/>
    <mergeCell ref="B989:O989"/>
    <mergeCell ref="B994:P994"/>
    <mergeCell ref="T994:T995"/>
    <mergeCell ref="U994:U995"/>
    <mergeCell ref="B995:O995"/>
    <mergeCell ref="B996:O996"/>
    <mergeCell ref="B997:O997"/>
    <mergeCell ref="B1002:P1002"/>
    <mergeCell ref="T1002:T1003"/>
    <mergeCell ref="U1002:U1003"/>
    <mergeCell ref="B1003:O1003"/>
    <mergeCell ref="B1004:O1004"/>
    <mergeCell ref="B1005:O1005"/>
    <mergeCell ref="B1010:P1010"/>
    <mergeCell ref="T1010:T1011"/>
    <mergeCell ref="U1010:U1011"/>
    <mergeCell ref="B1011:O1011"/>
    <mergeCell ref="B955:O955"/>
    <mergeCell ref="B961:P961"/>
    <mergeCell ref="T961:T962"/>
    <mergeCell ref="U961:U962"/>
    <mergeCell ref="B962:O962"/>
    <mergeCell ref="B963:O963"/>
    <mergeCell ref="B969:P969"/>
    <mergeCell ref="T969:T970"/>
    <mergeCell ref="U969:U970"/>
    <mergeCell ref="B970:O970"/>
    <mergeCell ref="B971:O971"/>
    <mergeCell ref="B978:P978"/>
    <mergeCell ref="T978:T979"/>
    <mergeCell ref="U978:U979"/>
    <mergeCell ref="B979:O979"/>
    <mergeCell ref="B980:O980"/>
    <mergeCell ref="B986:P986"/>
    <mergeCell ref="T986:T987"/>
    <mergeCell ref="U986:U987"/>
    <mergeCell ref="B987:O987"/>
    <mergeCell ref="B932:O932"/>
    <mergeCell ref="B937:P937"/>
    <mergeCell ref="T937:T938"/>
    <mergeCell ref="U937:U938"/>
    <mergeCell ref="B938:O938"/>
    <mergeCell ref="B939:O939"/>
    <mergeCell ref="B940:O940"/>
    <mergeCell ref="B945:P945"/>
    <mergeCell ref="T945:T946"/>
    <mergeCell ref="U945:U946"/>
    <mergeCell ref="B946:O946"/>
    <mergeCell ref="B947:O947"/>
    <mergeCell ref="B948:O948"/>
    <mergeCell ref="B953:P953"/>
    <mergeCell ref="T953:T954"/>
    <mergeCell ref="U953:U954"/>
    <mergeCell ref="B954:O954"/>
    <mergeCell ref="B906:O906"/>
    <mergeCell ref="B913:P913"/>
    <mergeCell ref="T913:T914"/>
    <mergeCell ref="U913:U914"/>
    <mergeCell ref="B914:O914"/>
    <mergeCell ref="B915:O915"/>
    <mergeCell ref="B916:O916"/>
    <mergeCell ref="B921:P921"/>
    <mergeCell ref="T921:T922"/>
    <mergeCell ref="U921:U922"/>
    <mergeCell ref="B922:O922"/>
    <mergeCell ref="B923:O923"/>
    <mergeCell ref="B929:P929"/>
    <mergeCell ref="T929:T930"/>
    <mergeCell ref="U929:U930"/>
    <mergeCell ref="B930:O930"/>
    <mergeCell ref="B931:O931"/>
    <mergeCell ref="B866:O866"/>
    <mergeCell ref="B873:P873"/>
    <mergeCell ref="T873:T874"/>
    <mergeCell ref="U873:U874"/>
    <mergeCell ref="B874:O874"/>
    <mergeCell ref="B875:O875"/>
    <mergeCell ref="B885:P885"/>
    <mergeCell ref="T885:T886"/>
    <mergeCell ref="U885:U886"/>
    <mergeCell ref="B886:O886"/>
    <mergeCell ref="B887:O887"/>
    <mergeCell ref="B894:P894"/>
    <mergeCell ref="T894:T895"/>
    <mergeCell ref="U894:U895"/>
    <mergeCell ref="B895:O895"/>
    <mergeCell ref="B896:O896"/>
    <mergeCell ref="B904:P904"/>
    <mergeCell ref="T904:T905"/>
    <mergeCell ref="U904:U905"/>
    <mergeCell ref="B905:O905"/>
    <mergeCell ref="B809:O809"/>
    <mergeCell ref="B833:P833"/>
    <mergeCell ref="T833:T834"/>
    <mergeCell ref="U833:U834"/>
    <mergeCell ref="B834:O834"/>
    <mergeCell ref="B835:O835"/>
    <mergeCell ref="B845:P845"/>
    <mergeCell ref="T845:T846"/>
    <mergeCell ref="U845:U846"/>
    <mergeCell ref="B846:O846"/>
    <mergeCell ref="B847:O847"/>
    <mergeCell ref="B853:P853"/>
    <mergeCell ref="T853:T854"/>
    <mergeCell ref="U853:U854"/>
    <mergeCell ref="B854:O854"/>
    <mergeCell ref="B855:O855"/>
    <mergeCell ref="B864:P864"/>
    <mergeCell ref="T864:T865"/>
    <mergeCell ref="U864:U865"/>
    <mergeCell ref="B865:O865"/>
    <mergeCell ref="B751:O751"/>
    <mergeCell ref="B766:P766"/>
    <mergeCell ref="T766:T767"/>
    <mergeCell ref="U766:U767"/>
    <mergeCell ref="B767:O767"/>
    <mergeCell ref="B768:O768"/>
    <mergeCell ref="B786:P786"/>
    <mergeCell ref="T786:T787"/>
    <mergeCell ref="U786:U787"/>
    <mergeCell ref="B787:O787"/>
    <mergeCell ref="B788:O788"/>
    <mergeCell ref="B798:P798"/>
    <mergeCell ref="T798:T799"/>
    <mergeCell ref="U798:U799"/>
    <mergeCell ref="B799:O799"/>
    <mergeCell ref="B800:O800"/>
    <mergeCell ref="B807:P807"/>
    <mergeCell ref="T807:T808"/>
    <mergeCell ref="U807:U808"/>
    <mergeCell ref="B808:O808"/>
    <mergeCell ref="B726:O726"/>
    <mergeCell ref="B727:O727"/>
    <mergeCell ref="B732:P732"/>
    <mergeCell ref="T732:T733"/>
    <mergeCell ref="U732:U733"/>
    <mergeCell ref="B733:O733"/>
    <mergeCell ref="B734:O734"/>
    <mergeCell ref="B735:O735"/>
    <mergeCell ref="B740:P740"/>
    <mergeCell ref="T740:T741"/>
    <mergeCell ref="U740:U741"/>
    <mergeCell ref="B741:O741"/>
    <mergeCell ref="B742:O742"/>
    <mergeCell ref="B749:P749"/>
    <mergeCell ref="T749:T750"/>
    <mergeCell ref="U749:U750"/>
    <mergeCell ref="B750:O750"/>
    <mergeCell ref="B698:O698"/>
    <mergeCell ref="B699:O699"/>
    <mergeCell ref="B708:P708"/>
    <mergeCell ref="T708:T709"/>
    <mergeCell ref="U708:U709"/>
    <mergeCell ref="B709:O709"/>
    <mergeCell ref="B710:O710"/>
    <mergeCell ref="B711:O711"/>
    <mergeCell ref="B716:P716"/>
    <mergeCell ref="T716:T717"/>
    <mergeCell ref="U716:U717"/>
    <mergeCell ref="B717:O717"/>
    <mergeCell ref="B718:O718"/>
    <mergeCell ref="B724:P724"/>
    <mergeCell ref="T724:T725"/>
    <mergeCell ref="U724:U725"/>
    <mergeCell ref="B725:O725"/>
    <mergeCell ref="B674:O674"/>
    <mergeCell ref="B675:O675"/>
    <mergeCell ref="B680:P680"/>
    <mergeCell ref="T680:T681"/>
    <mergeCell ref="U680:U681"/>
    <mergeCell ref="B681:O681"/>
    <mergeCell ref="B682:O682"/>
    <mergeCell ref="B683:O683"/>
    <mergeCell ref="B688:P688"/>
    <mergeCell ref="T688:T689"/>
    <mergeCell ref="U688:U689"/>
    <mergeCell ref="B689:O689"/>
    <mergeCell ref="B690:O690"/>
    <mergeCell ref="B691:O691"/>
    <mergeCell ref="B696:P696"/>
    <mergeCell ref="T696:T697"/>
    <mergeCell ref="U696:U697"/>
    <mergeCell ref="B697:O697"/>
    <mergeCell ref="B650:O650"/>
    <mergeCell ref="B651:O651"/>
    <mergeCell ref="B656:P656"/>
    <mergeCell ref="T656:T657"/>
    <mergeCell ref="U656:U657"/>
    <mergeCell ref="B657:O657"/>
    <mergeCell ref="B658:O658"/>
    <mergeCell ref="B659:O659"/>
    <mergeCell ref="B664:P664"/>
    <mergeCell ref="T664:T665"/>
    <mergeCell ref="U664:U665"/>
    <mergeCell ref="B665:O665"/>
    <mergeCell ref="B666:O666"/>
    <mergeCell ref="B667:O667"/>
    <mergeCell ref="B672:P672"/>
    <mergeCell ref="T672:T673"/>
    <mergeCell ref="U672:U673"/>
    <mergeCell ref="B673:O673"/>
    <mergeCell ref="B626:O626"/>
    <mergeCell ref="B627:O627"/>
    <mergeCell ref="B632:P632"/>
    <mergeCell ref="T632:T633"/>
    <mergeCell ref="U632:U633"/>
    <mergeCell ref="B633:O633"/>
    <mergeCell ref="B634:O634"/>
    <mergeCell ref="B640:P640"/>
    <mergeCell ref="T640:T641"/>
    <mergeCell ref="U640:U641"/>
    <mergeCell ref="B641:O641"/>
    <mergeCell ref="B642:O642"/>
    <mergeCell ref="B643:O643"/>
    <mergeCell ref="B648:P648"/>
    <mergeCell ref="T648:T649"/>
    <mergeCell ref="U648:U649"/>
    <mergeCell ref="B649:O649"/>
    <mergeCell ref="B602:O602"/>
    <mergeCell ref="B603:O603"/>
    <mergeCell ref="B608:P608"/>
    <mergeCell ref="T608:T609"/>
    <mergeCell ref="U608:U609"/>
    <mergeCell ref="B609:O609"/>
    <mergeCell ref="B610:O610"/>
    <mergeCell ref="B611:O611"/>
    <mergeCell ref="B616:P616"/>
    <mergeCell ref="T616:T617"/>
    <mergeCell ref="U616:U617"/>
    <mergeCell ref="B617:O617"/>
    <mergeCell ref="B618:O618"/>
    <mergeCell ref="B619:O619"/>
    <mergeCell ref="B624:P624"/>
    <mergeCell ref="T624:T625"/>
    <mergeCell ref="U624:U625"/>
    <mergeCell ref="B625:O625"/>
    <mergeCell ref="B578:O578"/>
    <mergeCell ref="B579:O579"/>
    <mergeCell ref="B584:P584"/>
    <mergeCell ref="T584:T585"/>
    <mergeCell ref="U584:U585"/>
    <mergeCell ref="B585:O585"/>
    <mergeCell ref="B586:O586"/>
    <mergeCell ref="B587:O587"/>
    <mergeCell ref="B592:P592"/>
    <mergeCell ref="T592:T593"/>
    <mergeCell ref="U592:U593"/>
    <mergeCell ref="B593:O593"/>
    <mergeCell ref="B594:O594"/>
    <mergeCell ref="B600:P600"/>
    <mergeCell ref="T600:T601"/>
    <mergeCell ref="U600:U601"/>
    <mergeCell ref="B601:O601"/>
    <mergeCell ref="B554:O554"/>
    <mergeCell ref="B555:O555"/>
    <mergeCell ref="B560:P560"/>
    <mergeCell ref="T560:T561"/>
    <mergeCell ref="U560:U561"/>
    <mergeCell ref="B561:O561"/>
    <mergeCell ref="B562:O562"/>
    <mergeCell ref="B563:O563"/>
    <mergeCell ref="B568:P568"/>
    <mergeCell ref="T568:T569"/>
    <mergeCell ref="U568:U569"/>
    <mergeCell ref="B569:O569"/>
    <mergeCell ref="B570:O570"/>
    <mergeCell ref="B576:P576"/>
    <mergeCell ref="T576:T577"/>
    <mergeCell ref="U576:U577"/>
    <mergeCell ref="B577:O577"/>
    <mergeCell ref="B530:O530"/>
    <mergeCell ref="B536:P536"/>
    <mergeCell ref="T536:T537"/>
    <mergeCell ref="U536:U537"/>
    <mergeCell ref="B537:O537"/>
    <mergeCell ref="B538:O538"/>
    <mergeCell ref="B539:O539"/>
    <mergeCell ref="B544:P544"/>
    <mergeCell ref="T544:T545"/>
    <mergeCell ref="U544:U545"/>
    <mergeCell ref="B545:O545"/>
    <mergeCell ref="B546:O546"/>
    <mergeCell ref="B547:O547"/>
    <mergeCell ref="B552:P552"/>
    <mergeCell ref="T552:T553"/>
    <mergeCell ref="U552:U553"/>
    <mergeCell ref="B553:O553"/>
    <mergeCell ref="B506:O506"/>
    <mergeCell ref="B507:O507"/>
    <mergeCell ref="B512:P512"/>
    <mergeCell ref="T512:T513"/>
    <mergeCell ref="U512:U513"/>
    <mergeCell ref="B513:O513"/>
    <mergeCell ref="B514:O514"/>
    <mergeCell ref="B515:O515"/>
    <mergeCell ref="B520:P520"/>
    <mergeCell ref="T520:T521"/>
    <mergeCell ref="U520:U521"/>
    <mergeCell ref="B521:O521"/>
    <mergeCell ref="B522:O522"/>
    <mergeCell ref="B523:O523"/>
    <mergeCell ref="B528:P528"/>
    <mergeCell ref="T528:T529"/>
    <mergeCell ref="U528:U529"/>
    <mergeCell ref="B529:O529"/>
    <mergeCell ref="B482:O482"/>
    <mergeCell ref="B483:O483"/>
    <mergeCell ref="B488:P488"/>
    <mergeCell ref="T488:T489"/>
    <mergeCell ref="U488:U489"/>
    <mergeCell ref="B489:O489"/>
    <mergeCell ref="B490:O490"/>
    <mergeCell ref="B491:O491"/>
    <mergeCell ref="B496:P496"/>
    <mergeCell ref="T496:T497"/>
    <mergeCell ref="U496:U497"/>
    <mergeCell ref="B497:O497"/>
    <mergeCell ref="B498:O498"/>
    <mergeCell ref="B499:O499"/>
    <mergeCell ref="B504:P504"/>
    <mergeCell ref="T504:T505"/>
    <mergeCell ref="U504:U505"/>
    <mergeCell ref="B505:O505"/>
    <mergeCell ref="B454:O454"/>
    <mergeCell ref="B455:O455"/>
    <mergeCell ref="B464:P464"/>
    <mergeCell ref="T464:T465"/>
    <mergeCell ref="U464:U465"/>
    <mergeCell ref="B465:O465"/>
    <mergeCell ref="B466:O466"/>
    <mergeCell ref="B467:O467"/>
    <mergeCell ref="B472:P472"/>
    <mergeCell ref="T472:T473"/>
    <mergeCell ref="U472:U473"/>
    <mergeCell ref="B473:O473"/>
    <mergeCell ref="B474:O474"/>
    <mergeCell ref="B480:P480"/>
    <mergeCell ref="T480:T481"/>
    <mergeCell ref="U480:U481"/>
    <mergeCell ref="B481:O481"/>
    <mergeCell ref="B430:O430"/>
    <mergeCell ref="B431:O431"/>
    <mergeCell ref="B436:P436"/>
    <mergeCell ref="T436:T437"/>
    <mergeCell ref="U436:U437"/>
    <mergeCell ref="B437:O437"/>
    <mergeCell ref="B438:O438"/>
    <mergeCell ref="B439:O439"/>
    <mergeCell ref="B444:P444"/>
    <mergeCell ref="T444:T445"/>
    <mergeCell ref="U444:U445"/>
    <mergeCell ref="B445:O445"/>
    <mergeCell ref="B446:O446"/>
    <mergeCell ref="B447:O447"/>
    <mergeCell ref="B452:P452"/>
    <mergeCell ref="T452:T453"/>
    <mergeCell ref="U452:U453"/>
    <mergeCell ref="B453:O453"/>
    <mergeCell ref="B405:O405"/>
    <mergeCell ref="B406:O406"/>
    <mergeCell ref="B412:P412"/>
    <mergeCell ref="T412:T413"/>
    <mergeCell ref="U412:U413"/>
    <mergeCell ref="B413:O413"/>
    <mergeCell ref="B414:O414"/>
    <mergeCell ref="B415:O415"/>
    <mergeCell ref="B420:P420"/>
    <mergeCell ref="T420:T421"/>
    <mergeCell ref="U420:U421"/>
    <mergeCell ref="B421:O421"/>
    <mergeCell ref="B422:O422"/>
    <mergeCell ref="B423:O423"/>
    <mergeCell ref="B428:P428"/>
    <mergeCell ref="T428:T429"/>
    <mergeCell ref="U428:U429"/>
    <mergeCell ref="B429:O429"/>
    <mergeCell ref="B380:O380"/>
    <mergeCell ref="B386:P386"/>
    <mergeCell ref="T386:T387"/>
    <mergeCell ref="U386:U387"/>
    <mergeCell ref="B387:O387"/>
    <mergeCell ref="B388:O388"/>
    <mergeCell ref="B389:O389"/>
    <mergeCell ref="B394:P394"/>
    <mergeCell ref="T394:T395"/>
    <mergeCell ref="U394:U395"/>
    <mergeCell ref="B395:O395"/>
    <mergeCell ref="B396:O396"/>
    <mergeCell ref="B397:O397"/>
    <mergeCell ref="B403:P403"/>
    <mergeCell ref="T403:T404"/>
    <mergeCell ref="U403:U404"/>
    <mergeCell ref="B404:O404"/>
    <mergeCell ref="B356:O356"/>
    <mergeCell ref="B357:O357"/>
    <mergeCell ref="B362:P362"/>
    <mergeCell ref="T362:T363"/>
    <mergeCell ref="U362:U363"/>
    <mergeCell ref="B363:O363"/>
    <mergeCell ref="B364:O364"/>
    <mergeCell ref="B365:O365"/>
    <mergeCell ref="B370:P370"/>
    <mergeCell ref="T370:T371"/>
    <mergeCell ref="U370:U371"/>
    <mergeCell ref="B371:O371"/>
    <mergeCell ref="B372:O372"/>
    <mergeCell ref="B373:O373"/>
    <mergeCell ref="B378:P378"/>
    <mergeCell ref="T378:T379"/>
    <mergeCell ref="U378:U379"/>
    <mergeCell ref="B379:O379"/>
    <mergeCell ref="B332:O332"/>
    <mergeCell ref="B333:O333"/>
    <mergeCell ref="B338:P338"/>
    <mergeCell ref="T338:T339"/>
    <mergeCell ref="U338:U339"/>
    <mergeCell ref="B339:O339"/>
    <mergeCell ref="B340:O340"/>
    <mergeCell ref="B346:P346"/>
    <mergeCell ref="T346:T347"/>
    <mergeCell ref="U346:U347"/>
    <mergeCell ref="B347:O347"/>
    <mergeCell ref="B348:O348"/>
    <mergeCell ref="B349:O349"/>
    <mergeCell ref="B354:P354"/>
    <mergeCell ref="T354:T355"/>
    <mergeCell ref="U354:U355"/>
    <mergeCell ref="B355:O355"/>
    <mergeCell ref="B308:O308"/>
    <mergeCell ref="B309:O309"/>
    <mergeCell ref="B314:P314"/>
    <mergeCell ref="T314:T315"/>
    <mergeCell ref="U314:U315"/>
    <mergeCell ref="B315:O315"/>
    <mergeCell ref="B316:O316"/>
    <mergeCell ref="B317:O317"/>
    <mergeCell ref="B322:P322"/>
    <mergeCell ref="T322:T323"/>
    <mergeCell ref="U322:U323"/>
    <mergeCell ref="B323:O323"/>
    <mergeCell ref="B324:O324"/>
    <mergeCell ref="B325:O325"/>
    <mergeCell ref="B330:P330"/>
    <mergeCell ref="T330:T331"/>
    <mergeCell ref="U330:U331"/>
    <mergeCell ref="B331:O331"/>
    <mergeCell ref="B284:O284"/>
    <mergeCell ref="B290:P290"/>
    <mergeCell ref="T290:T291"/>
    <mergeCell ref="U290:U291"/>
    <mergeCell ref="B291:O291"/>
    <mergeCell ref="B292:O292"/>
    <mergeCell ref="B293:O293"/>
    <mergeCell ref="B298:P298"/>
    <mergeCell ref="T298:T299"/>
    <mergeCell ref="U298:U299"/>
    <mergeCell ref="B299:O299"/>
    <mergeCell ref="B300:O300"/>
    <mergeCell ref="B301:O301"/>
    <mergeCell ref="B306:P306"/>
    <mergeCell ref="T306:T307"/>
    <mergeCell ref="U306:U307"/>
    <mergeCell ref="B307:O307"/>
    <mergeCell ref="B256:O256"/>
    <mergeCell ref="B257:O257"/>
    <mergeCell ref="B262:P262"/>
    <mergeCell ref="T262:T263"/>
    <mergeCell ref="U262:U263"/>
    <mergeCell ref="B263:O263"/>
    <mergeCell ref="B264:O264"/>
    <mergeCell ref="B265:O265"/>
    <mergeCell ref="B274:P274"/>
    <mergeCell ref="T274:T275"/>
    <mergeCell ref="U274:U275"/>
    <mergeCell ref="B275:O275"/>
    <mergeCell ref="B276:O276"/>
    <mergeCell ref="B277:O277"/>
    <mergeCell ref="B282:P282"/>
    <mergeCell ref="T282:T283"/>
    <mergeCell ref="U282:U283"/>
    <mergeCell ref="B283:O283"/>
    <mergeCell ref="B232:O232"/>
    <mergeCell ref="B233:O233"/>
    <mergeCell ref="B238:P238"/>
    <mergeCell ref="T238:T239"/>
    <mergeCell ref="U238:U239"/>
    <mergeCell ref="B239:O239"/>
    <mergeCell ref="B240:O240"/>
    <mergeCell ref="B241:O241"/>
    <mergeCell ref="B246:P246"/>
    <mergeCell ref="T246:T247"/>
    <mergeCell ref="U246:U247"/>
    <mergeCell ref="B247:O247"/>
    <mergeCell ref="B248:O248"/>
    <mergeCell ref="B249:O249"/>
    <mergeCell ref="B254:P254"/>
    <mergeCell ref="T254:T255"/>
    <mergeCell ref="U254:U255"/>
    <mergeCell ref="B255:O255"/>
    <mergeCell ref="B209:O209"/>
    <mergeCell ref="B214:P214"/>
    <mergeCell ref="T214:T215"/>
    <mergeCell ref="U214:U215"/>
    <mergeCell ref="B215:O215"/>
    <mergeCell ref="B216:O216"/>
    <mergeCell ref="B217:O217"/>
    <mergeCell ref="B222:P222"/>
    <mergeCell ref="T222:T223"/>
    <mergeCell ref="U222:U223"/>
    <mergeCell ref="B223:O223"/>
    <mergeCell ref="B224:O224"/>
    <mergeCell ref="B225:O225"/>
    <mergeCell ref="B230:P230"/>
    <mergeCell ref="T230:T231"/>
    <mergeCell ref="U230:U231"/>
    <mergeCell ref="B231:O231"/>
    <mergeCell ref="B185:O185"/>
    <mergeCell ref="B190:P190"/>
    <mergeCell ref="T190:T191"/>
    <mergeCell ref="U190:U191"/>
    <mergeCell ref="B191:O191"/>
    <mergeCell ref="B192:O192"/>
    <mergeCell ref="B193:O193"/>
    <mergeCell ref="B198:P198"/>
    <mergeCell ref="T198:T199"/>
    <mergeCell ref="U198:U199"/>
    <mergeCell ref="B199:O199"/>
    <mergeCell ref="B200:O200"/>
    <mergeCell ref="B206:P206"/>
    <mergeCell ref="T206:T207"/>
    <mergeCell ref="U206:U207"/>
    <mergeCell ref="B207:O207"/>
    <mergeCell ref="B208:O208"/>
    <mergeCell ref="B159:O159"/>
    <mergeCell ref="B166:P166"/>
    <mergeCell ref="T166:T167"/>
    <mergeCell ref="U166:U167"/>
    <mergeCell ref="B167:O167"/>
    <mergeCell ref="B168:O168"/>
    <mergeCell ref="B174:P174"/>
    <mergeCell ref="T174:T175"/>
    <mergeCell ref="U174:U175"/>
    <mergeCell ref="B175:O175"/>
    <mergeCell ref="B176:O176"/>
    <mergeCell ref="B177:O177"/>
    <mergeCell ref="B182:P182"/>
    <mergeCell ref="T182:T183"/>
    <mergeCell ref="U182:U183"/>
    <mergeCell ref="B183:O183"/>
    <mergeCell ref="B184:O184"/>
    <mergeCell ref="B132:O132"/>
    <mergeCell ref="B138:P138"/>
    <mergeCell ref="T138:T139"/>
    <mergeCell ref="U138:U139"/>
    <mergeCell ref="B139:O139"/>
    <mergeCell ref="B140:O140"/>
    <mergeCell ref="B141:O141"/>
    <mergeCell ref="B146:P146"/>
    <mergeCell ref="T146:T147"/>
    <mergeCell ref="U146:U147"/>
    <mergeCell ref="B147:O147"/>
    <mergeCell ref="B148:O148"/>
    <mergeCell ref="B149:O149"/>
    <mergeCell ref="B157:P157"/>
    <mergeCell ref="T157:T158"/>
    <mergeCell ref="U157:U158"/>
    <mergeCell ref="B158:O158"/>
    <mergeCell ref="B108:O108"/>
    <mergeCell ref="B109:O109"/>
    <mergeCell ref="B114:P114"/>
    <mergeCell ref="T114:T115"/>
    <mergeCell ref="U114:U115"/>
    <mergeCell ref="B115:O115"/>
    <mergeCell ref="B116:O116"/>
    <mergeCell ref="B117:O117"/>
    <mergeCell ref="B122:P122"/>
    <mergeCell ref="T122:T123"/>
    <mergeCell ref="U122:U123"/>
    <mergeCell ref="B123:O123"/>
    <mergeCell ref="B124:O124"/>
    <mergeCell ref="B125:O125"/>
    <mergeCell ref="B130:P130"/>
    <mergeCell ref="T130:T131"/>
    <mergeCell ref="U130:U131"/>
    <mergeCell ref="B131:O131"/>
    <mergeCell ref="B84:O84"/>
    <mergeCell ref="B90:P90"/>
    <mergeCell ref="T90:T91"/>
    <mergeCell ref="U90:U91"/>
    <mergeCell ref="B91:O91"/>
    <mergeCell ref="B92:O92"/>
    <mergeCell ref="B93:O93"/>
    <mergeCell ref="B98:P98"/>
    <mergeCell ref="T98:T99"/>
    <mergeCell ref="U98:U99"/>
    <mergeCell ref="B99:O99"/>
    <mergeCell ref="B100:O100"/>
    <mergeCell ref="B101:O101"/>
    <mergeCell ref="B106:P106"/>
    <mergeCell ref="T106:T107"/>
    <mergeCell ref="U106:U107"/>
    <mergeCell ref="B107:O107"/>
    <mergeCell ref="B59:O59"/>
    <mergeCell ref="B60:O60"/>
    <mergeCell ref="B66:P66"/>
    <mergeCell ref="T66:T67"/>
    <mergeCell ref="U66:U67"/>
    <mergeCell ref="B67:O67"/>
    <mergeCell ref="B68:O68"/>
    <mergeCell ref="B69:O69"/>
    <mergeCell ref="B74:P74"/>
    <mergeCell ref="T74:T75"/>
    <mergeCell ref="U74:U75"/>
    <mergeCell ref="B75:O75"/>
    <mergeCell ref="B76:O76"/>
    <mergeCell ref="B77:O77"/>
    <mergeCell ref="B82:P82"/>
    <mergeCell ref="T82:T83"/>
    <mergeCell ref="U82:U83"/>
    <mergeCell ref="B83:O83"/>
    <mergeCell ref="B34:O34"/>
    <mergeCell ref="B35:O35"/>
    <mergeCell ref="B40:P40"/>
    <mergeCell ref="T40:T41"/>
    <mergeCell ref="U40:U41"/>
    <mergeCell ref="B41:O41"/>
    <mergeCell ref="B42:O42"/>
    <mergeCell ref="B43:O43"/>
    <mergeCell ref="B48:P48"/>
    <mergeCell ref="T48:T49"/>
    <mergeCell ref="U48:U49"/>
    <mergeCell ref="B49:O49"/>
    <mergeCell ref="B50:O50"/>
    <mergeCell ref="B51:O51"/>
    <mergeCell ref="B57:P57"/>
    <mergeCell ref="T57:T58"/>
    <mergeCell ref="U57:U58"/>
    <mergeCell ref="B58:O58"/>
    <mergeCell ref="B11:O11"/>
    <mergeCell ref="B16:P16"/>
    <mergeCell ref="T16:T17"/>
    <mergeCell ref="U16:U17"/>
    <mergeCell ref="B17:O17"/>
    <mergeCell ref="B18:O18"/>
    <mergeCell ref="B19:O19"/>
    <mergeCell ref="B24:P24"/>
    <mergeCell ref="T24:T25"/>
    <mergeCell ref="U24:U25"/>
    <mergeCell ref="B25:O25"/>
    <mergeCell ref="B26:O26"/>
    <mergeCell ref="B27:O27"/>
    <mergeCell ref="B32:P32"/>
    <mergeCell ref="T32:T33"/>
    <mergeCell ref="U32:U33"/>
    <mergeCell ref="B33:O33"/>
    <mergeCell ref="A1:N1"/>
    <mergeCell ref="Q1:R1"/>
    <mergeCell ref="T1:T9"/>
    <mergeCell ref="U1:U9"/>
    <mergeCell ref="A2:N2"/>
    <mergeCell ref="Q2:R2"/>
    <mergeCell ref="A3:N3"/>
    <mergeCell ref="Q4:R4"/>
    <mergeCell ref="A5:H5"/>
    <mergeCell ref="Q5:R5"/>
    <mergeCell ref="N6:P6"/>
    <mergeCell ref="Q6:R6"/>
    <mergeCell ref="N7:P7"/>
    <mergeCell ref="A8:R8"/>
    <mergeCell ref="B9:O9"/>
    <mergeCell ref="Q9:R9"/>
    <mergeCell ref="B10:O10"/>
  </mergeCells>
  <printOptions horizontalCentered="1"/>
  <pageMargins left="0.39374999999999999" right="0.39374999999999999" top="0.59097222222222201" bottom="0.59027777777777801" header="0.31527777777777799" footer="0.118055555555556"/>
  <pageSetup paperSize="9" scale="66" orientation="portrait" horizontalDpi="300" verticalDpi="300" r:id="rId1"/>
  <headerFooter>
    <oddHeader>&amp;R&amp;P de &amp;N</oddHeader>
    <oddFooter>&amp;L__________________________
DE ACORDO CONTRATANTE&amp;R__________________________
DE ACORDO: CONTRATADA
Logic Eng.ª Construções Ltda.</oddFooter>
  </headerFooter>
  <rowBreaks count="28" manualBreakCount="28">
    <brk id="67" max="16383" man="1"/>
    <brk id="131" max="16383" man="1"/>
    <brk id="191" max="16383" man="1"/>
    <brk id="255" max="16383" man="1"/>
    <brk id="331" max="16383" man="1"/>
    <brk id="395" max="16383" man="1"/>
    <brk id="473" max="16383" man="1"/>
    <brk id="537" max="16383" man="1"/>
    <brk id="601" max="16383" man="1"/>
    <brk id="665" max="16383" man="1"/>
    <brk id="741" max="16383" man="1"/>
    <brk id="799" max="16383" man="1"/>
    <brk id="865" max="16383" man="1"/>
    <brk id="930" max="16383" man="1"/>
    <brk id="995" max="16383" man="1"/>
    <brk id="1059" max="16383" man="1"/>
    <brk id="1143" max="16383" man="1"/>
    <brk id="1226" max="16383" man="1"/>
    <brk id="1290" max="16383" man="1"/>
    <brk id="1355" max="16383" man="1"/>
    <brk id="1424" max="16383" man="1"/>
    <brk id="1494" max="16383" man="1"/>
    <brk id="1567" max="16383" man="1"/>
    <brk id="1622" max="16383" man="1"/>
    <brk id="1668" max="16383" man="1"/>
    <brk id="1738" max="16383" man="1"/>
    <brk id="1797" max="16383" man="1"/>
    <brk id="1864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66CC"/>
    <pageSetUpPr fitToPage="1"/>
  </sheetPr>
  <dimension ref="A1:IV76"/>
  <sheetViews>
    <sheetView view="pageBreakPreview" topLeftCell="B58" zoomScale="90" zoomScaleNormal="80" zoomScalePageLayoutView="90" workbookViewId="0">
      <selection activeCell="D79" sqref="D79"/>
    </sheetView>
  </sheetViews>
  <sheetFormatPr defaultColWidth="11.88671875" defaultRowHeight="11.4"/>
  <cols>
    <col min="1" max="3" width="10" style="16" customWidth="1"/>
    <col min="4" max="4" width="94" style="16" customWidth="1"/>
    <col min="5" max="5" width="14" style="18" customWidth="1"/>
    <col min="6" max="6" width="16.88671875" style="19" customWidth="1"/>
    <col min="7" max="7" width="16.109375" style="80" customWidth="1"/>
    <col min="8" max="8" width="20.5546875" style="19" customWidth="1"/>
    <col min="9" max="16384" width="11.88671875" style="15"/>
  </cols>
  <sheetData>
    <row r="1" spans="1:256" ht="17.399999999999999">
      <c r="A1" s="1285" t="s">
        <v>1416</v>
      </c>
      <c r="B1" s="1285"/>
      <c r="C1" s="1285"/>
      <c r="D1" s="1285"/>
      <c r="E1" s="1285"/>
      <c r="F1" s="1285"/>
      <c r="G1" s="1285"/>
      <c r="H1" s="255"/>
    </row>
    <row r="2" spans="1:256" ht="15.75" customHeight="1">
      <c r="A2" s="256"/>
      <c r="B2" s="257"/>
      <c r="C2" s="257"/>
      <c r="D2" s="258" t="s">
        <v>1417</v>
      </c>
      <c r="E2" s="259"/>
      <c r="F2" s="259"/>
      <c r="G2" s="260"/>
      <c r="H2" s="261"/>
    </row>
    <row r="3" spans="1:256" ht="12.75" customHeight="1">
      <c r="A3" s="262"/>
      <c r="B3" s="263"/>
      <c r="C3" s="263"/>
      <c r="D3" s="1286" t="s">
        <v>1418</v>
      </c>
      <c r="E3" s="264"/>
      <c r="F3" s="264"/>
      <c r="G3" s="265"/>
      <c r="H3" s="261"/>
    </row>
    <row r="4" spans="1:256" ht="12.75" customHeight="1">
      <c r="A4" s="266"/>
      <c r="B4" s="267"/>
      <c r="C4" s="267"/>
      <c r="D4" s="1286"/>
      <c r="E4" s="268"/>
      <c r="F4" s="268"/>
      <c r="G4" s="269"/>
      <c r="H4" s="261"/>
    </row>
    <row r="5" spans="1:256" s="22" customFormat="1" ht="15.6">
      <c r="A5" s="270"/>
      <c r="B5" s="271"/>
      <c r="C5" s="271"/>
      <c r="D5" s="272" t="s">
        <v>1419</v>
      </c>
      <c r="E5" s="272"/>
      <c r="F5" s="273"/>
      <c r="G5" s="274"/>
      <c r="H5" s="275"/>
    </row>
    <row r="6" spans="1:256" ht="12.75" customHeight="1">
      <c r="A6" s="262"/>
      <c r="B6" s="263"/>
      <c r="C6" s="263"/>
      <c r="D6" s="1287" t="s">
        <v>1420</v>
      </c>
      <c r="E6" s="276"/>
      <c r="F6" s="277"/>
      <c r="G6" s="278"/>
      <c r="H6" s="275"/>
    </row>
    <row r="7" spans="1:256" ht="15">
      <c r="A7" s="279"/>
      <c r="B7" s="280"/>
      <c r="C7" s="280"/>
      <c r="D7" s="1287"/>
      <c r="E7" s="280"/>
      <c r="F7" s="281"/>
      <c r="G7" s="282"/>
      <c r="H7" s="283"/>
    </row>
    <row r="8" spans="1:256" ht="12" customHeight="1">
      <c r="A8" s="262"/>
      <c r="B8" s="263"/>
      <c r="C8" s="263"/>
      <c r="D8" s="1288" t="s">
        <v>1421</v>
      </c>
      <c r="E8" s="284"/>
      <c r="F8" s="285"/>
      <c r="G8" s="286"/>
      <c r="H8" s="287"/>
    </row>
    <row r="9" spans="1:256" s="24" customFormat="1" ht="12" customHeight="1">
      <c r="A9" s="288"/>
      <c r="B9" s="289"/>
      <c r="C9" s="289"/>
      <c r="D9" s="1288"/>
      <c r="E9" s="290"/>
      <c r="F9" s="291"/>
      <c r="G9" s="292"/>
      <c r="H9" s="287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15"/>
      <c r="IS9" s="15"/>
      <c r="IT9" s="15"/>
      <c r="IU9" s="15"/>
      <c r="IV9" s="15"/>
    </row>
    <row r="10" spans="1:256" s="24" customFormat="1" ht="15" customHeight="1">
      <c r="A10" s="293"/>
      <c r="B10" s="294"/>
      <c r="C10" s="294"/>
      <c r="D10" s="295"/>
      <c r="E10" s="296"/>
      <c r="F10" s="297"/>
      <c r="G10" s="298"/>
      <c r="H10" s="299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15"/>
      <c r="HN10" s="15"/>
      <c r="HO10" s="15"/>
      <c r="HP10" s="15"/>
      <c r="HQ10" s="15"/>
      <c r="HR10" s="15"/>
      <c r="HS10" s="15"/>
      <c r="HT10" s="15"/>
      <c r="HU10" s="15"/>
      <c r="HV10" s="15"/>
      <c r="HW10" s="15"/>
      <c r="HX10" s="15"/>
      <c r="HY10" s="15"/>
      <c r="HZ10" s="15"/>
      <c r="IA10" s="15"/>
      <c r="IB10" s="15"/>
      <c r="IC10" s="15"/>
      <c r="ID10" s="15"/>
      <c r="IE10" s="15"/>
      <c r="IF10" s="15"/>
      <c r="IG10" s="15"/>
      <c r="IH10" s="15"/>
      <c r="II10" s="15"/>
      <c r="IJ10" s="15"/>
      <c r="IK10" s="15"/>
      <c r="IL10" s="15"/>
      <c r="IM10" s="15"/>
      <c r="IN10" s="15"/>
      <c r="IO10" s="15"/>
      <c r="IP10" s="15"/>
      <c r="IQ10" s="15"/>
      <c r="IR10" s="15"/>
      <c r="IS10" s="15"/>
      <c r="IT10" s="15"/>
      <c r="IU10" s="15"/>
      <c r="IV10" s="15"/>
    </row>
    <row r="11" spans="1:256" s="300" customFormat="1" ht="38.25" customHeight="1">
      <c r="A11" s="1289"/>
      <c r="B11" s="1289"/>
      <c r="C11" s="1289"/>
      <c r="D11" s="1289"/>
      <c r="E11" s="1289"/>
      <c r="F11" s="1289"/>
      <c r="G11" s="1289"/>
      <c r="H11" s="1289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15"/>
      <c r="IP11" s="15"/>
      <c r="IQ11" s="15"/>
      <c r="IR11" s="15"/>
      <c r="IS11" s="15"/>
      <c r="IT11" s="15"/>
      <c r="IU11" s="15"/>
      <c r="IV11" s="15"/>
    </row>
    <row r="12" spans="1:256" s="306" customFormat="1" ht="40.5" customHeight="1">
      <c r="A12" s="301" t="s">
        <v>10</v>
      </c>
      <c r="B12" s="302"/>
      <c r="C12" s="302"/>
      <c r="D12" s="303" t="s">
        <v>1422</v>
      </c>
      <c r="E12" s="304" t="s">
        <v>14</v>
      </c>
      <c r="F12" s="305" t="s">
        <v>1423</v>
      </c>
      <c r="G12" s="305" t="s">
        <v>15</v>
      </c>
      <c r="H12" s="305" t="s">
        <v>1424</v>
      </c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CJ12" s="24"/>
      <c r="CK12" s="24"/>
      <c r="CL12" s="24"/>
      <c r="CM12" s="24"/>
      <c r="CN12" s="24"/>
      <c r="CO12" s="24"/>
      <c r="CP12" s="24"/>
      <c r="CQ12" s="24"/>
      <c r="CR12" s="24"/>
      <c r="CS12" s="24"/>
      <c r="CT12" s="24"/>
      <c r="CU12" s="24"/>
      <c r="CV12" s="24"/>
      <c r="CW12" s="24"/>
      <c r="CX12" s="24"/>
      <c r="CY12" s="24"/>
      <c r="CZ12" s="24"/>
      <c r="DA12" s="24"/>
      <c r="DB12" s="24"/>
      <c r="DC12" s="24"/>
      <c r="DD12" s="24"/>
      <c r="DE12" s="24"/>
      <c r="DF12" s="24"/>
      <c r="DG12" s="24"/>
      <c r="DH12" s="24"/>
      <c r="DI12" s="24"/>
      <c r="DJ12" s="24"/>
      <c r="DK12" s="24"/>
      <c r="DL12" s="24"/>
      <c r="DM12" s="24"/>
      <c r="DN12" s="24"/>
      <c r="DO12" s="24"/>
      <c r="DP12" s="24"/>
      <c r="DQ12" s="24"/>
      <c r="DR12" s="24"/>
      <c r="DS12" s="24"/>
      <c r="DT12" s="24"/>
      <c r="DU12" s="24"/>
      <c r="DV12" s="24"/>
      <c r="DW12" s="24"/>
      <c r="DX12" s="24"/>
      <c r="DY12" s="24"/>
      <c r="DZ12" s="24"/>
      <c r="EA12" s="24"/>
      <c r="EB12" s="24"/>
      <c r="EC12" s="24"/>
      <c r="ED12" s="24"/>
      <c r="EE12" s="24"/>
      <c r="EF12" s="24"/>
      <c r="EG12" s="24"/>
      <c r="EH12" s="24"/>
      <c r="EI12" s="24"/>
      <c r="EJ12" s="24"/>
      <c r="EK12" s="24"/>
      <c r="EL12" s="24"/>
      <c r="EM12" s="24"/>
      <c r="EN12" s="24"/>
      <c r="EO12" s="24"/>
      <c r="EP12" s="24"/>
      <c r="EQ12" s="24"/>
      <c r="ER12" s="24"/>
      <c r="ES12" s="24"/>
      <c r="ET12" s="24"/>
      <c r="EU12" s="24"/>
      <c r="EV12" s="24"/>
      <c r="EW12" s="24"/>
      <c r="EX12" s="24"/>
      <c r="EY12" s="24"/>
      <c r="EZ12" s="24"/>
      <c r="FA12" s="24"/>
      <c r="FB12" s="24"/>
      <c r="FC12" s="24"/>
      <c r="FD12" s="24"/>
      <c r="FE12" s="24"/>
      <c r="FF12" s="24"/>
      <c r="FG12" s="24"/>
      <c r="FH12" s="24"/>
      <c r="FI12" s="24"/>
      <c r="FJ12" s="24"/>
      <c r="FK12" s="24"/>
      <c r="FL12" s="24"/>
      <c r="FM12" s="24"/>
      <c r="FN12" s="24"/>
      <c r="FO12" s="24"/>
      <c r="FP12" s="24"/>
      <c r="FQ12" s="24"/>
      <c r="FR12" s="24"/>
      <c r="FS12" s="24"/>
      <c r="FT12" s="24"/>
      <c r="FU12" s="24"/>
      <c r="FV12" s="24"/>
      <c r="FW12" s="24"/>
      <c r="FX12" s="24"/>
      <c r="FY12" s="24"/>
      <c r="FZ12" s="24"/>
      <c r="GA12" s="24"/>
      <c r="GB12" s="24"/>
      <c r="GC12" s="24"/>
      <c r="GD12" s="24"/>
      <c r="GE12" s="24"/>
      <c r="GF12" s="24"/>
      <c r="GG12" s="24"/>
      <c r="GH12" s="24"/>
      <c r="GI12" s="24"/>
      <c r="GJ12" s="24"/>
      <c r="GK12" s="24"/>
      <c r="GL12" s="24"/>
      <c r="GM12" s="24"/>
      <c r="GN12" s="24"/>
      <c r="GO12" s="24"/>
      <c r="GP12" s="24"/>
      <c r="GQ12" s="24"/>
      <c r="GR12" s="24"/>
      <c r="GS12" s="24"/>
      <c r="GT12" s="24"/>
      <c r="GU12" s="24"/>
      <c r="GV12" s="24"/>
      <c r="GW12" s="24"/>
      <c r="GX12" s="24"/>
      <c r="GY12" s="24"/>
      <c r="GZ12" s="24"/>
      <c r="HA12" s="24"/>
      <c r="HB12" s="24"/>
      <c r="HC12" s="24"/>
      <c r="HD12" s="24"/>
      <c r="HE12" s="24"/>
      <c r="HF12" s="24"/>
      <c r="HG12" s="24"/>
      <c r="HH12" s="24"/>
      <c r="HI12" s="24"/>
      <c r="HJ12" s="24"/>
      <c r="HK12" s="24"/>
      <c r="HL12" s="24"/>
      <c r="HM12" s="24"/>
      <c r="HN12" s="24"/>
      <c r="HO12" s="24"/>
      <c r="HP12" s="24"/>
      <c r="HQ12" s="24"/>
      <c r="HR12" s="24"/>
      <c r="HS12" s="24"/>
      <c r="HT12" s="24"/>
      <c r="HU12" s="24"/>
      <c r="HV12" s="24"/>
      <c r="HW12" s="24"/>
      <c r="HX12" s="24"/>
      <c r="HY12" s="24"/>
      <c r="HZ12" s="24"/>
      <c r="IA12" s="24"/>
      <c r="IB12" s="24"/>
      <c r="IC12" s="24"/>
      <c r="ID12" s="24"/>
      <c r="IE12" s="24"/>
      <c r="IF12" s="24"/>
      <c r="IG12" s="24"/>
      <c r="IH12" s="24"/>
      <c r="II12" s="24"/>
      <c r="IJ12" s="24"/>
      <c r="IK12" s="24"/>
      <c r="IL12" s="24"/>
      <c r="IM12" s="24"/>
      <c r="IN12" s="24"/>
      <c r="IO12" s="24"/>
      <c r="IP12" s="24"/>
      <c r="IQ12" s="24"/>
      <c r="IR12" s="24"/>
      <c r="IS12" s="24"/>
      <c r="IT12" s="24"/>
      <c r="IU12" s="24"/>
      <c r="IV12" s="24"/>
    </row>
    <row r="13" spans="1:256" s="306" customFormat="1" ht="15.6">
      <c r="A13" s="307"/>
      <c r="B13" s="302"/>
      <c r="C13" s="302"/>
      <c r="D13" s="303"/>
      <c r="E13" s="304"/>
      <c r="F13" s="305"/>
      <c r="G13" s="305"/>
      <c r="H13" s="305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4"/>
      <c r="DV13" s="24"/>
      <c r="DW13" s="24"/>
      <c r="DX13" s="24"/>
      <c r="DY13" s="24"/>
      <c r="DZ13" s="24"/>
      <c r="EA13" s="24"/>
      <c r="EB13" s="24"/>
      <c r="EC13" s="24"/>
      <c r="ED13" s="24"/>
      <c r="EE13" s="24"/>
      <c r="EF13" s="24"/>
      <c r="EG13" s="24"/>
      <c r="EH13" s="24"/>
      <c r="EI13" s="24"/>
      <c r="EJ13" s="24"/>
      <c r="EK13" s="24"/>
      <c r="EL13" s="24"/>
      <c r="EM13" s="24"/>
      <c r="EN13" s="24"/>
      <c r="EO13" s="24"/>
      <c r="EP13" s="24"/>
      <c r="EQ13" s="24"/>
      <c r="ER13" s="24"/>
      <c r="ES13" s="24"/>
      <c r="ET13" s="24"/>
      <c r="EU13" s="24"/>
      <c r="EV13" s="24"/>
      <c r="EW13" s="24"/>
      <c r="EX13" s="24"/>
      <c r="EY13" s="24"/>
      <c r="EZ13" s="24"/>
      <c r="FA13" s="24"/>
      <c r="FB13" s="24"/>
      <c r="FC13" s="24"/>
      <c r="FD13" s="24"/>
      <c r="FE13" s="24"/>
      <c r="FF13" s="24"/>
      <c r="FG13" s="24"/>
      <c r="FH13" s="24"/>
      <c r="FI13" s="24"/>
      <c r="FJ13" s="24"/>
      <c r="FK13" s="24"/>
      <c r="FL13" s="24"/>
      <c r="FM13" s="24"/>
      <c r="FN13" s="24"/>
      <c r="FO13" s="24"/>
      <c r="FP13" s="24"/>
      <c r="FQ13" s="24"/>
      <c r="FR13" s="24"/>
      <c r="FS13" s="24"/>
      <c r="FT13" s="24"/>
      <c r="FU13" s="24"/>
      <c r="FV13" s="24"/>
      <c r="FW13" s="24"/>
      <c r="FX13" s="24"/>
      <c r="FY13" s="24"/>
      <c r="FZ13" s="24"/>
      <c r="GA13" s="24"/>
      <c r="GB13" s="24"/>
      <c r="GC13" s="24"/>
      <c r="GD13" s="24"/>
      <c r="GE13" s="24"/>
      <c r="GF13" s="24"/>
      <c r="GG13" s="24"/>
      <c r="GH13" s="24"/>
      <c r="GI13" s="24"/>
      <c r="GJ13" s="24"/>
      <c r="GK13" s="24"/>
      <c r="GL13" s="24"/>
      <c r="GM13" s="24"/>
      <c r="GN13" s="24"/>
      <c r="GO13" s="24"/>
      <c r="GP13" s="24"/>
      <c r="GQ13" s="24"/>
      <c r="GR13" s="24"/>
      <c r="GS13" s="24"/>
      <c r="GT13" s="24"/>
      <c r="GU13" s="24"/>
      <c r="GV13" s="24"/>
      <c r="GW13" s="24"/>
      <c r="GX13" s="24"/>
      <c r="GY13" s="24"/>
      <c r="GZ13" s="24"/>
      <c r="HA13" s="24"/>
      <c r="HB13" s="24"/>
      <c r="HC13" s="24"/>
      <c r="HD13" s="24"/>
      <c r="HE13" s="24"/>
      <c r="HF13" s="24"/>
      <c r="HG13" s="24"/>
      <c r="HH13" s="24"/>
      <c r="HI13" s="24"/>
      <c r="HJ13" s="24"/>
      <c r="HK13" s="24"/>
      <c r="HL13" s="24"/>
      <c r="HM13" s="24"/>
      <c r="HN13" s="24"/>
      <c r="HO13" s="24"/>
      <c r="HP13" s="24"/>
      <c r="HQ13" s="24"/>
      <c r="HR13" s="24"/>
      <c r="HS13" s="24"/>
      <c r="HT13" s="24"/>
      <c r="HU13" s="24"/>
      <c r="HV13" s="24"/>
      <c r="HW13" s="24"/>
      <c r="HX13" s="24"/>
      <c r="HY13" s="24"/>
      <c r="HZ13" s="24"/>
      <c r="IA13" s="24"/>
      <c r="IB13" s="24"/>
      <c r="IC13" s="24"/>
      <c r="ID13" s="24"/>
      <c r="IE13" s="24"/>
      <c r="IF13" s="24"/>
      <c r="IG13" s="24"/>
      <c r="IH13" s="24"/>
      <c r="II13" s="24"/>
      <c r="IJ13" s="24"/>
      <c r="IK13" s="24"/>
      <c r="IL13" s="24"/>
      <c r="IM13" s="24"/>
      <c r="IN13" s="24"/>
      <c r="IO13" s="24"/>
      <c r="IP13" s="24"/>
      <c r="IQ13" s="24"/>
      <c r="IR13" s="24"/>
      <c r="IS13" s="24"/>
      <c r="IT13" s="24"/>
      <c r="IU13" s="24"/>
      <c r="IV13" s="24"/>
    </row>
    <row r="14" spans="1:256" s="306" customFormat="1" ht="13.8">
      <c r="A14" s="308">
        <v>1</v>
      </c>
      <c r="B14" s="308" t="s">
        <v>11</v>
      </c>
      <c r="C14" s="308" t="s">
        <v>12</v>
      </c>
      <c r="D14" s="309" t="s">
        <v>1425</v>
      </c>
      <c r="E14" s="310"/>
      <c r="F14" s="311"/>
      <c r="G14" s="312"/>
      <c r="H14" s="311"/>
      <c r="I14" s="300"/>
      <c r="J14" s="300"/>
      <c r="K14" s="300"/>
      <c r="L14" s="300"/>
      <c r="M14" s="300"/>
      <c r="N14" s="300"/>
      <c r="O14" s="300"/>
      <c r="P14" s="300"/>
      <c r="Q14" s="300"/>
      <c r="R14" s="300"/>
      <c r="S14" s="300"/>
      <c r="T14" s="300"/>
      <c r="U14" s="300"/>
      <c r="V14" s="300"/>
      <c r="W14" s="300"/>
      <c r="X14" s="300"/>
      <c r="Y14" s="300"/>
      <c r="Z14" s="300"/>
      <c r="AA14" s="300"/>
      <c r="AB14" s="300"/>
      <c r="AC14" s="300"/>
      <c r="AD14" s="300"/>
      <c r="AE14" s="300"/>
      <c r="AF14" s="300"/>
      <c r="AG14" s="300"/>
      <c r="AH14" s="300"/>
      <c r="AI14" s="300"/>
      <c r="AJ14" s="300"/>
      <c r="AK14" s="300"/>
      <c r="AL14" s="300"/>
      <c r="AM14" s="300"/>
      <c r="AN14" s="300"/>
      <c r="AO14" s="300"/>
      <c r="AP14" s="300"/>
      <c r="AQ14" s="300"/>
      <c r="AR14" s="300"/>
      <c r="AS14" s="300"/>
      <c r="AT14" s="300"/>
      <c r="AU14" s="300"/>
      <c r="AV14" s="300"/>
      <c r="AW14" s="300"/>
      <c r="AX14" s="300"/>
      <c r="AY14" s="300"/>
      <c r="AZ14" s="300"/>
      <c r="BA14" s="300"/>
      <c r="BB14" s="300"/>
      <c r="BC14" s="300"/>
      <c r="BD14" s="300"/>
      <c r="BE14" s="300"/>
      <c r="BF14" s="300"/>
      <c r="BG14" s="300"/>
      <c r="BH14" s="300"/>
      <c r="BI14" s="300"/>
      <c r="BJ14" s="300"/>
      <c r="BK14" s="300"/>
      <c r="BL14" s="300"/>
      <c r="BM14" s="300"/>
      <c r="BN14" s="300"/>
      <c r="BO14" s="300"/>
      <c r="BP14" s="300"/>
      <c r="BQ14" s="300"/>
      <c r="BR14" s="300"/>
      <c r="BS14" s="300"/>
      <c r="BT14" s="300"/>
      <c r="BU14" s="300"/>
      <c r="BV14" s="300"/>
      <c r="BW14" s="300"/>
      <c r="BX14" s="300"/>
      <c r="BY14" s="300"/>
      <c r="BZ14" s="300"/>
      <c r="CA14" s="300"/>
      <c r="CB14" s="300"/>
      <c r="CC14" s="300"/>
      <c r="CD14" s="300"/>
      <c r="CE14" s="300"/>
      <c r="CF14" s="300"/>
      <c r="CG14" s="300"/>
      <c r="CH14" s="300"/>
      <c r="CI14" s="300"/>
      <c r="CJ14" s="300"/>
      <c r="CK14" s="300"/>
      <c r="CL14" s="300"/>
      <c r="CM14" s="300"/>
      <c r="CN14" s="300"/>
      <c r="CO14" s="300"/>
      <c r="CP14" s="300"/>
      <c r="CQ14" s="300"/>
      <c r="CR14" s="300"/>
      <c r="CS14" s="300"/>
      <c r="CT14" s="300"/>
      <c r="CU14" s="300"/>
      <c r="CV14" s="300"/>
      <c r="CW14" s="300"/>
      <c r="CX14" s="300"/>
      <c r="CY14" s="300"/>
      <c r="CZ14" s="300"/>
      <c r="DA14" s="300"/>
      <c r="DB14" s="300"/>
      <c r="DC14" s="300"/>
      <c r="DD14" s="300"/>
      <c r="DE14" s="300"/>
      <c r="DF14" s="300"/>
      <c r="DG14" s="300"/>
      <c r="DH14" s="300"/>
      <c r="DI14" s="300"/>
      <c r="DJ14" s="300"/>
      <c r="DK14" s="300"/>
      <c r="DL14" s="300"/>
      <c r="DM14" s="300"/>
      <c r="DN14" s="300"/>
      <c r="DO14" s="300"/>
      <c r="DP14" s="300"/>
      <c r="DQ14" s="300"/>
      <c r="DR14" s="300"/>
      <c r="DS14" s="300"/>
      <c r="DT14" s="300"/>
      <c r="DU14" s="300"/>
      <c r="DV14" s="300"/>
      <c r="DW14" s="300"/>
      <c r="DX14" s="300"/>
      <c r="DY14" s="300"/>
      <c r="DZ14" s="300"/>
      <c r="EA14" s="300"/>
      <c r="EB14" s="300"/>
      <c r="EC14" s="300"/>
      <c r="ED14" s="300"/>
      <c r="EE14" s="300"/>
      <c r="EF14" s="300"/>
      <c r="EG14" s="300"/>
      <c r="EH14" s="300"/>
      <c r="EI14" s="300"/>
      <c r="EJ14" s="300"/>
      <c r="EK14" s="300"/>
      <c r="EL14" s="300"/>
      <c r="EM14" s="300"/>
      <c r="EN14" s="300"/>
      <c r="EO14" s="300"/>
      <c r="EP14" s="300"/>
      <c r="EQ14" s="300"/>
      <c r="ER14" s="300"/>
      <c r="ES14" s="300"/>
      <c r="ET14" s="300"/>
      <c r="EU14" s="300"/>
      <c r="EV14" s="300"/>
      <c r="EW14" s="300"/>
      <c r="EX14" s="300"/>
      <c r="EY14" s="300"/>
      <c r="EZ14" s="300"/>
      <c r="FA14" s="300"/>
      <c r="FB14" s="300"/>
      <c r="FC14" s="300"/>
      <c r="FD14" s="300"/>
      <c r="FE14" s="300"/>
      <c r="FF14" s="300"/>
      <c r="FG14" s="300"/>
      <c r="FH14" s="300"/>
      <c r="FI14" s="300"/>
      <c r="FJ14" s="300"/>
      <c r="FK14" s="300"/>
      <c r="FL14" s="300"/>
      <c r="FM14" s="300"/>
      <c r="FN14" s="300"/>
      <c r="FO14" s="300"/>
      <c r="FP14" s="300"/>
      <c r="FQ14" s="300"/>
      <c r="FR14" s="300"/>
      <c r="FS14" s="300"/>
      <c r="FT14" s="300"/>
      <c r="FU14" s="300"/>
      <c r="FV14" s="300"/>
      <c r="FW14" s="300"/>
      <c r="FX14" s="300"/>
      <c r="FY14" s="300"/>
      <c r="FZ14" s="300"/>
      <c r="GA14" s="300"/>
      <c r="GB14" s="300"/>
      <c r="GC14" s="300"/>
      <c r="GD14" s="300"/>
      <c r="GE14" s="300"/>
      <c r="GF14" s="300"/>
      <c r="GG14" s="300"/>
      <c r="GH14" s="300"/>
      <c r="GI14" s="300"/>
      <c r="GJ14" s="300"/>
      <c r="GK14" s="300"/>
      <c r="GL14" s="300"/>
      <c r="GM14" s="300"/>
      <c r="GN14" s="300"/>
      <c r="GO14" s="300"/>
      <c r="GP14" s="300"/>
      <c r="GQ14" s="300"/>
      <c r="GR14" s="300"/>
      <c r="GS14" s="300"/>
      <c r="GT14" s="300"/>
      <c r="GU14" s="300"/>
      <c r="GV14" s="300"/>
      <c r="GW14" s="300"/>
      <c r="GX14" s="300"/>
      <c r="GY14" s="300"/>
      <c r="GZ14" s="300"/>
      <c r="HA14" s="300"/>
      <c r="HB14" s="300"/>
      <c r="HC14" s="300"/>
      <c r="HD14" s="300"/>
      <c r="HE14" s="300"/>
      <c r="HF14" s="300"/>
      <c r="HG14" s="300"/>
      <c r="HH14" s="300"/>
      <c r="HI14" s="300"/>
      <c r="HJ14" s="300"/>
      <c r="HK14" s="300"/>
      <c r="HL14" s="300"/>
      <c r="HM14" s="300"/>
      <c r="HN14" s="300"/>
      <c r="HO14" s="300"/>
      <c r="HP14" s="300"/>
      <c r="HQ14" s="300"/>
      <c r="HR14" s="300"/>
      <c r="HS14" s="300"/>
      <c r="HT14" s="300"/>
      <c r="HU14" s="300"/>
      <c r="HV14" s="300"/>
      <c r="HW14" s="300"/>
      <c r="HX14" s="300"/>
      <c r="HY14" s="300"/>
      <c r="HZ14" s="300"/>
      <c r="IA14" s="300"/>
      <c r="IB14" s="300"/>
      <c r="IC14" s="300"/>
      <c r="ID14" s="300"/>
      <c r="IE14" s="300"/>
      <c r="IF14" s="300"/>
      <c r="IG14" s="300"/>
      <c r="IH14" s="300"/>
      <c r="II14" s="300"/>
      <c r="IJ14" s="300"/>
      <c r="IK14" s="300"/>
      <c r="IL14" s="300"/>
      <c r="IM14" s="300"/>
      <c r="IN14" s="300"/>
      <c r="IO14" s="300"/>
      <c r="IP14" s="300"/>
      <c r="IQ14" s="300"/>
      <c r="IR14" s="300"/>
      <c r="IS14" s="300"/>
      <c r="IT14" s="300"/>
      <c r="IU14" s="300"/>
      <c r="IV14" s="300"/>
    </row>
    <row r="15" spans="1:256" s="306" customFormat="1" ht="13.8">
      <c r="A15" s="313" t="s">
        <v>22</v>
      </c>
      <c r="B15" s="313" t="s">
        <v>1426</v>
      </c>
      <c r="C15" s="313" t="s">
        <v>1427</v>
      </c>
      <c r="D15" s="314" t="s">
        <v>1428</v>
      </c>
      <c r="E15" s="315" t="s">
        <v>1429</v>
      </c>
      <c r="F15" s="316">
        <v>5.46</v>
      </c>
      <c r="G15" s="317">
        <f>9*16*2</f>
        <v>288</v>
      </c>
      <c r="H15" s="318">
        <f>TRUNC(F15*G15,2)</f>
        <v>1572.48</v>
      </c>
    </row>
    <row r="16" spans="1:256" s="306" customFormat="1" ht="13.8">
      <c r="A16" s="313" t="s">
        <v>28</v>
      </c>
      <c r="B16" s="313" t="s">
        <v>1426</v>
      </c>
      <c r="C16" s="313" t="s">
        <v>1430</v>
      </c>
      <c r="D16" s="314" t="s">
        <v>1431</v>
      </c>
      <c r="E16" s="315" t="s">
        <v>1429</v>
      </c>
      <c r="F16" s="316">
        <v>8.48</v>
      </c>
      <c r="G16" s="317">
        <v>225.21</v>
      </c>
      <c r="H16" s="318">
        <f>TRUNC(F16*G16,2)</f>
        <v>1909.78</v>
      </c>
    </row>
    <row r="17" spans="1:256" s="306" customFormat="1" ht="13.8">
      <c r="A17" s="313" t="s">
        <v>1432</v>
      </c>
      <c r="B17" s="313" t="s">
        <v>1426</v>
      </c>
      <c r="C17" s="313" t="s">
        <v>1433</v>
      </c>
      <c r="D17" s="314" t="s">
        <v>1434</v>
      </c>
      <c r="E17" s="315" t="s">
        <v>1429</v>
      </c>
      <c r="F17" s="316">
        <v>56.32</v>
      </c>
      <c r="G17" s="317">
        <f>16*3</f>
        <v>48</v>
      </c>
      <c r="H17" s="318">
        <f>TRUNC(F17*G17,2)</f>
        <v>2703.36</v>
      </c>
    </row>
    <row r="18" spans="1:256" s="306" customFormat="1" ht="13.8">
      <c r="A18" s="313" t="s">
        <v>1435</v>
      </c>
      <c r="B18" s="313" t="s">
        <v>1426</v>
      </c>
      <c r="C18" s="313" t="s">
        <v>1436</v>
      </c>
      <c r="D18" s="314" t="s">
        <v>1437</v>
      </c>
      <c r="E18" s="315" t="s">
        <v>1438</v>
      </c>
      <c r="F18" s="316">
        <v>13.2</v>
      </c>
      <c r="G18" s="317">
        <v>14</v>
      </c>
      <c r="H18" s="318">
        <f>TRUNC(F18*G18,2)</f>
        <v>184.8</v>
      </c>
    </row>
    <row r="19" spans="1:256" s="319" customFormat="1" ht="13.8">
      <c r="A19" s="313"/>
      <c r="B19" s="313"/>
      <c r="C19" s="313"/>
      <c r="D19" s="314"/>
      <c r="E19" s="315"/>
      <c r="F19" s="316"/>
      <c r="G19" s="317"/>
      <c r="H19" s="318"/>
      <c r="I19" s="306"/>
      <c r="J19" s="306"/>
      <c r="K19" s="306"/>
      <c r="L19" s="306"/>
      <c r="M19" s="306"/>
      <c r="N19" s="306"/>
      <c r="O19" s="306"/>
      <c r="P19" s="306"/>
      <c r="Q19" s="306"/>
      <c r="R19" s="306"/>
      <c r="S19" s="306"/>
      <c r="T19" s="306"/>
      <c r="U19" s="306"/>
      <c r="V19" s="306"/>
      <c r="W19" s="306"/>
      <c r="X19" s="306"/>
      <c r="Y19" s="306"/>
      <c r="Z19" s="306"/>
      <c r="AA19" s="306"/>
      <c r="AB19" s="306"/>
      <c r="AC19" s="306"/>
      <c r="AD19" s="306"/>
      <c r="AE19" s="306"/>
      <c r="AF19" s="306"/>
      <c r="AG19" s="306"/>
      <c r="AH19" s="306"/>
      <c r="AI19" s="306"/>
      <c r="AJ19" s="306"/>
      <c r="AK19" s="306"/>
      <c r="AL19" s="306"/>
      <c r="AM19" s="306"/>
      <c r="AN19" s="306"/>
      <c r="AO19" s="306"/>
      <c r="AP19" s="306"/>
      <c r="AQ19" s="306"/>
      <c r="AR19" s="306"/>
      <c r="AS19" s="306"/>
      <c r="AT19" s="306"/>
      <c r="AU19" s="306"/>
      <c r="AV19" s="306"/>
      <c r="AW19" s="306"/>
      <c r="AX19" s="306"/>
      <c r="AY19" s="306"/>
      <c r="AZ19" s="306"/>
      <c r="BA19" s="306"/>
      <c r="BB19" s="306"/>
      <c r="BC19" s="306"/>
      <c r="BD19" s="306"/>
      <c r="BE19" s="306"/>
      <c r="BF19" s="306"/>
      <c r="BG19" s="306"/>
      <c r="BH19" s="306"/>
      <c r="BI19" s="306"/>
      <c r="BJ19" s="306"/>
      <c r="BK19" s="306"/>
      <c r="BL19" s="306"/>
      <c r="BM19" s="306"/>
      <c r="BN19" s="306"/>
      <c r="BO19" s="306"/>
      <c r="BP19" s="306"/>
      <c r="BQ19" s="306"/>
      <c r="BR19" s="306"/>
      <c r="BS19" s="306"/>
      <c r="BT19" s="306"/>
      <c r="BU19" s="306"/>
      <c r="BV19" s="306"/>
      <c r="BW19" s="306"/>
      <c r="BX19" s="306"/>
      <c r="BY19" s="306"/>
      <c r="BZ19" s="306"/>
      <c r="CA19" s="306"/>
      <c r="CB19" s="306"/>
      <c r="CC19" s="306"/>
      <c r="CD19" s="306"/>
      <c r="CE19" s="306"/>
      <c r="CF19" s="306"/>
      <c r="CG19" s="306"/>
      <c r="CH19" s="306"/>
      <c r="CI19" s="306"/>
      <c r="CJ19" s="306"/>
      <c r="CK19" s="306"/>
      <c r="CL19" s="306"/>
      <c r="CM19" s="306"/>
      <c r="CN19" s="306"/>
      <c r="CO19" s="306"/>
      <c r="CP19" s="306"/>
      <c r="CQ19" s="306"/>
      <c r="CR19" s="306"/>
      <c r="CS19" s="306"/>
      <c r="CT19" s="306"/>
      <c r="CU19" s="306"/>
      <c r="CV19" s="306"/>
      <c r="CW19" s="306"/>
      <c r="CX19" s="306"/>
      <c r="CY19" s="306"/>
      <c r="CZ19" s="306"/>
      <c r="DA19" s="306"/>
      <c r="DB19" s="306"/>
      <c r="DC19" s="306"/>
      <c r="DD19" s="306"/>
      <c r="DE19" s="306"/>
      <c r="DF19" s="306"/>
      <c r="DG19" s="306"/>
      <c r="DH19" s="306"/>
      <c r="DI19" s="306"/>
      <c r="DJ19" s="306"/>
      <c r="DK19" s="306"/>
      <c r="DL19" s="306"/>
      <c r="DM19" s="306"/>
      <c r="DN19" s="306"/>
      <c r="DO19" s="306"/>
      <c r="DP19" s="306"/>
      <c r="DQ19" s="306"/>
      <c r="DR19" s="306"/>
      <c r="DS19" s="306"/>
      <c r="DT19" s="306"/>
      <c r="DU19" s="306"/>
      <c r="DV19" s="306"/>
      <c r="DW19" s="306"/>
      <c r="DX19" s="306"/>
      <c r="DY19" s="306"/>
      <c r="DZ19" s="306"/>
      <c r="EA19" s="306"/>
      <c r="EB19" s="306"/>
      <c r="EC19" s="306"/>
      <c r="ED19" s="306"/>
      <c r="EE19" s="306"/>
      <c r="EF19" s="306"/>
      <c r="EG19" s="306"/>
      <c r="EH19" s="306"/>
      <c r="EI19" s="306"/>
      <c r="EJ19" s="306"/>
      <c r="EK19" s="306"/>
      <c r="EL19" s="306"/>
      <c r="EM19" s="306"/>
      <c r="EN19" s="306"/>
      <c r="EO19" s="306"/>
      <c r="EP19" s="306"/>
      <c r="EQ19" s="306"/>
      <c r="ER19" s="306"/>
      <c r="ES19" s="306"/>
      <c r="ET19" s="306"/>
      <c r="EU19" s="306"/>
      <c r="EV19" s="306"/>
      <c r="EW19" s="306"/>
      <c r="EX19" s="306"/>
      <c r="EY19" s="306"/>
      <c r="EZ19" s="306"/>
      <c r="FA19" s="306"/>
      <c r="FB19" s="306"/>
      <c r="FC19" s="306"/>
      <c r="FD19" s="306"/>
      <c r="FE19" s="306"/>
      <c r="FF19" s="306"/>
      <c r="FG19" s="306"/>
      <c r="FH19" s="306"/>
      <c r="FI19" s="306"/>
      <c r="FJ19" s="306"/>
      <c r="FK19" s="306"/>
      <c r="FL19" s="306"/>
      <c r="FM19" s="306"/>
      <c r="FN19" s="306"/>
      <c r="FO19" s="306"/>
      <c r="FP19" s="306"/>
      <c r="FQ19" s="306"/>
      <c r="FR19" s="306"/>
      <c r="FS19" s="306"/>
      <c r="FT19" s="306"/>
      <c r="FU19" s="306"/>
      <c r="FV19" s="306"/>
      <c r="FW19" s="306"/>
      <c r="FX19" s="306"/>
      <c r="FY19" s="306"/>
      <c r="FZ19" s="306"/>
      <c r="GA19" s="306"/>
      <c r="GB19" s="306"/>
      <c r="GC19" s="306"/>
      <c r="GD19" s="306"/>
      <c r="GE19" s="306"/>
      <c r="GF19" s="306"/>
      <c r="GG19" s="306"/>
      <c r="GH19" s="306"/>
      <c r="GI19" s="306"/>
      <c r="GJ19" s="306"/>
      <c r="GK19" s="306"/>
      <c r="GL19" s="306"/>
      <c r="GM19" s="306"/>
      <c r="GN19" s="306"/>
      <c r="GO19" s="306"/>
      <c r="GP19" s="306"/>
      <c r="GQ19" s="306"/>
      <c r="GR19" s="306"/>
      <c r="GS19" s="306"/>
      <c r="GT19" s="306"/>
      <c r="GU19" s="306"/>
      <c r="GV19" s="306"/>
      <c r="GW19" s="306"/>
      <c r="GX19" s="306"/>
      <c r="GY19" s="306"/>
      <c r="GZ19" s="306"/>
      <c r="HA19" s="306"/>
      <c r="HB19" s="306"/>
      <c r="HC19" s="306"/>
      <c r="HD19" s="306"/>
      <c r="HE19" s="306"/>
      <c r="HF19" s="306"/>
      <c r="HG19" s="306"/>
      <c r="HH19" s="306"/>
      <c r="HI19" s="306"/>
      <c r="HJ19" s="306"/>
      <c r="HK19" s="306"/>
      <c r="HL19" s="306"/>
      <c r="HM19" s="306"/>
      <c r="HN19" s="306"/>
      <c r="HO19" s="306"/>
      <c r="HP19" s="306"/>
      <c r="HQ19" s="306"/>
      <c r="HR19" s="306"/>
      <c r="HS19" s="306"/>
      <c r="HT19" s="306"/>
      <c r="HU19" s="306"/>
      <c r="HV19" s="306"/>
      <c r="HW19" s="306"/>
      <c r="HX19" s="306"/>
      <c r="HY19" s="306"/>
      <c r="HZ19" s="306"/>
      <c r="IA19" s="306"/>
      <c r="IB19" s="306"/>
      <c r="IC19" s="306"/>
      <c r="ID19" s="306"/>
      <c r="IE19" s="306"/>
      <c r="IF19" s="306"/>
      <c r="IG19" s="306"/>
      <c r="IH19" s="306"/>
      <c r="II19" s="306"/>
      <c r="IJ19" s="306"/>
      <c r="IK19" s="306"/>
      <c r="IL19" s="306"/>
      <c r="IM19" s="306"/>
      <c r="IN19" s="306"/>
      <c r="IO19" s="306"/>
      <c r="IP19" s="306"/>
      <c r="IQ19" s="306"/>
      <c r="IR19" s="306"/>
      <c r="IS19" s="306"/>
      <c r="IT19" s="306"/>
      <c r="IU19" s="306"/>
      <c r="IV19" s="306"/>
    </row>
    <row r="20" spans="1:256" s="306" customFormat="1" ht="13.8">
      <c r="A20" s="313"/>
      <c r="B20" s="313"/>
      <c r="C20" s="313"/>
      <c r="D20" s="314"/>
      <c r="E20" s="315"/>
      <c r="F20" s="316"/>
      <c r="G20" s="317"/>
      <c r="H20" s="318"/>
    </row>
    <row r="21" spans="1:256" s="306" customFormat="1" ht="13.8">
      <c r="A21" s="313"/>
      <c r="B21" s="313"/>
      <c r="C21" s="313"/>
      <c r="D21" s="314"/>
      <c r="E21" s="315"/>
      <c r="F21" s="316"/>
      <c r="G21" s="317"/>
      <c r="H21" s="318"/>
    </row>
    <row r="22" spans="1:256" s="306" customFormat="1" ht="13.8">
      <c r="A22" s="320"/>
      <c r="B22" s="320"/>
      <c r="C22" s="320"/>
      <c r="D22" s="321" t="s">
        <v>1439</v>
      </c>
      <c r="E22" s="320"/>
      <c r="F22" s="316"/>
      <c r="G22" s="322"/>
      <c r="H22" s="323">
        <f>SUM(H15:H18)</f>
        <v>6370.420000000001</v>
      </c>
      <c r="I22" s="319"/>
      <c r="J22" s="319"/>
      <c r="K22" s="319"/>
      <c r="L22" s="319"/>
      <c r="M22" s="319"/>
      <c r="N22" s="319"/>
      <c r="O22" s="319"/>
      <c r="P22" s="319"/>
      <c r="Q22" s="319"/>
      <c r="R22" s="319"/>
      <c r="S22" s="319"/>
      <c r="T22" s="319"/>
      <c r="U22" s="319"/>
      <c r="V22" s="319"/>
      <c r="W22" s="319"/>
      <c r="X22" s="319"/>
      <c r="Y22" s="319"/>
      <c r="Z22" s="319"/>
      <c r="AA22" s="319"/>
      <c r="AB22" s="319"/>
      <c r="AC22" s="319"/>
      <c r="AD22" s="319"/>
      <c r="AE22" s="319"/>
      <c r="AF22" s="319"/>
      <c r="AG22" s="319"/>
      <c r="AH22" s="319"/>
      <c r="AI22" s="319"/>
      <c r="AJ22" s="319"/>
      <c r="AK22" s="319"/>
      <c r="AL22" s="319"/>
      <c r="AM22" s="319"/>
      <c r="AN22" s="319"/>
      <c r="AO22" s="319"/>
      <c r="AP22" s="319"/>
      <c r="AQ22" s="319"/>
      <c r="AR22" s="319"/>
      <c r="AS22" s="319"/>
      <c r="AT22" s="319"/>
      <c r="AU22" s="319"/>
      <c r="AV22" s="319"/>
      <c r="AW22" s="319"/>
      <c r="AX22" s="319"/>
      <c r="AY22" s="319"/>
      <c r="AZ22" s="319"/>
      <c r="BA22" s="319"/>
      <c r="BB22" s="319"/>
      <c r="BC22" s="319"/>
      <c r="BD22" s="319"/>
      <c r="BE22" s="319"/>
      <c r="BF22" s="319"/>
      <c r="BG22" s="319"/>
      <c r="BH22" s="319"/>
      <c r="BI22" s="319"/>
      <c r="BJ22" s="319"/>
      <c r="BK22" s="319"/>
      <c r="BL22" s="319"/>
      <c r="BM22" s="319"/>
      <c r="BN22" s="319"/>
      <c r="BO22" s="319"/>
      <c r="BP22" s="319"/>
      <c r="BQ22" s="319"/>
      <c r="BR22" s="319"/>
      <c r="BS22" s="319"/>
      <c r="BT22" s="319"/>
      <c r="BU22" s="319"/>
      <c r="BV22" s="319"/>
      <c r="BW22" s="319"/>
      <c r="BX22" s="319"/>
      <c r="BY22" s="319"/>
      <c r="BZ22" s="319"/>
      <c r="CA22" s="319"/>
      <c r="CB22" s="319"/>
      <c r="CC22" s="319"/>
      <c r="CD22" s="319"/>
      <c r="CE22" s="319"/>
      <c r="CF22" s="319"/>
      <c r="CG22" s="319"/>
      <c r="CH22" s="319"/>
      <c r="CI22" s="319"/>
      <c r="CJ22" s="319"/>
      <c r="CK22" s="319"/>
      <c r="CL22" s="319"/>
      <c r="CM22" s="319"/>
      <c r="CN22" s="319"/>
      <c r="CO22" s="319"/>
      <c r="CP22" s="319"/>
      <c r="CQ22" s="319"/>
      <c r="CR22" s="319"/>
      <c r="CS22" s="319"/>
      <c r="CT22" s="319"/>
      <c r="CU22" s="319"/>
      <c r="CV22" s="319"/>
      <c r="CW22" s="319"/>
      <c r="CX22" s="319"/>
      <c r="CY22" s="319"/>
      <c r="CZ22" s="319"/>
      <c r="DA22" s="319"/>
      <c r="DB22" s="319"/>
      <c r="DC22" s="319"/>
      <c r="DD22" s="319"/>
      <c r="DE22" s="319"/>
      <c r="DF22" s="319"/>
      <c r="DG22" s="319"/>
      <c r="DH22" s="319"/>
      <c r="DI22" s="319"/>
      <c r="DJ22" s="319"/>
      <c r="DK22" s="319"/>
      <c r="DL22" s="319"/>
      <c r="DM22" s="319"/>
      <c r="DN22" s="319"/>
      <c r="DO22" s="319"/>
      <c r="DP22" s="319"/>
      <c r="DQ22" s="319"/>
      <c r="DR22" s="319"/>
      <c r="DS22" s="319"/>
      <c r="DT22" s="319"/>
      <c r="DU22" s="319"/>
      <c r="DV22" s="319"/>
      <c r="DW22" s="319"/>
      <c r="DX22" s="319"/>
      <c r="DY22" s="319"/>
      <c r="DZ22" s="319"/>
      <c r="EA22" s="319"/>
      <c r="EB22" s="319"/>
      <c r="EC22" s="319"/>
      <c r="ED22" s="319"/>
      <c r="EE22" s="319"/>
      <c r="EF22" s="319"/>
      <c r="EG22" s="319"/>
      <c r="EH22" s="319"/>
      <c r="EI22" s="319"/>
      <c r="EJ22" s="319"/>
      <c r="EK22" s="319"/>
      <c r="EL22" s="319"/>
      <c r="EM22" s="319"/>
      <c r="EN22" s="319"/>
      <c r="EO22" s="319"/>
      <c r="EP22" s="319"/>
      <c r="EQ22" s="319"/>
      <c r="ER22" s="319"/>
      <c r="ES22" s="319"/>
      <c r="ET22" s="319"/>
      <c r="EU22" s="319"/>
      <c r="EV22" s="319"/>
      <c r="EW22" s="319"/>
      <c r="EX22" s="319"/>
      <c r="EY22" s="319"/>
      <c r="EZ22" s="319"/>
      <c r="FA22" s="319"/>
      <c r="FB22" s="319"/>
      <c r="FC22" s="319"/>
      <c r="FD22" s="319"/>
      <c r="FE22" s="319"/>
      <c r="FF22" s="319"/>
      <c r="FG22" s="319"/>
      <c r="FH22" s="319"/>
      <c r="FI22" s="319"/>
      <c r="FJ22" s="319"/>
      <c r="FK22" s="319"/>
      <c r="FL22" s="319"/>
      <c r="FM22" s="319"/>
      <c r="FN22" s="319"/>
      <c r="FO22" s="319"/>
      <c r="FP22" s="319"/>
      <c r="FQ22" s="319"/>
      <c r="FR22" s="319"/>
      <c r="FS22" s="319"/>
      <c r="FT22" s="319"/>
      <c r="FU22" s="319"/>
      <c r="FV22" s="319"/>
      <c r="FW22" s="319"/>
      <c r="FX22" s="319"/>
      <c r="FY22" s="319"/>
      <c r="FZ22" s="319"/>
      <c r="GA22" s="319"/>
      <c r="GB22" s="319"/>
      <c r="GC22" s="319"/>
      <c r="GD22" s="319"/>
      <c r="GE22" s="319"/>
      <c r="GF22" s="319"/>
      <c r="GG22" s="319"/>
      <c r="GH22" s="319"/>
      <c r="GI22" s="319"/>
      <c r="GJ22" s="319"/>
      <c r="GK22" s="319"/>
      <c r="GL22" s="319"/>
      <c r="GM22" s="319"/>
      <c r="GN22" s="319"/>
      <c r="GO22" s="319"/>
      <c r="GP22" s="319"/>
      <c r="GQ22" s="319"/>
      <c r="GR22" s="319"/>
      <c r="GS22" s="319"/>
      <c r="GT22" s="319"/>
      <c r="GU22" s="319"/>
      <c r="GV22" s="319"/>
      <c r="GW22" s="319"/>
      <c r="GX22" s="319"/>
      <c r="GY22" s="319"/>
      <c r="GZ22" s="319"/>
      <c r="HA22" s="319"/>
      <c r="HB22" s="319"/>
      <c r="HC22" s="319"/>
      <c r="HD22" s="319"/>
      <c r="HE22" s="319"/>
      <c r="HF22" s="319"/>
      <c r="HG22" s="319"/>
      <c r="HH22" s="319"/>
      <c r="HI22" s="319"/>
      <c r="HJ22" s="319"/>
      <c r="HK22" s="319"/>
      <c r="HL22" s="319"/>
      <c r="HM22" s="319"/>
      <c r="HN22" s="319"/>
      <c r="HO22" s="319"/>
      <c r="HP22" s="319"/>
      <c r="HQ22" s="319"/>
      <c r="HR22" s="319"/>
      <c r="HS22" s="319"/>
      <c r="HT22" s="319"/>
      <c r="HU22" s="319"/>
      <c r="HV22" s="319"/>
      <c r="HW22" s="319"/>
      <c r="HX22" s="319"/>
      <c r="HY22" s="319"/>
      <c r="HZ22" s="319"/>
      <c r="IA22" s="319"/>
      <c r="IB22" s="319"/>
      <c r="IC22" s="319"/>
      <c r="ID22" s="319"/>
      <c r="IE22" s="319"/>
      <c r="IF22" s="319"/>
      <c r="IG22" s="319"/>
      <c r="IH22" s="319"/>
      <c r="II22" s="319"/>
      <c r="IJ22" s="319"/>
      <c r="IK22" s="319"/>
      <c r="IL22" s="319"/>
      <c r="IM22" s="319"/>
      <c r="IN22" s="319"/>
      <c r="IO22" s="319"/>
      <c r="IP22" s="319"/>
      <c r="IQ22" s="319"/>
      <c r="IR22" s="319"/>
      <c r="IS22" s="319"/>
      <c r="IT22" s="319"/>
      <c r="IU22" s="319"/>
      <c r="IV22" s="319"/>
    </row>
    <row r="23" spans="1:256" s="306" customFormat="1" ht="13.8">
      <c r="A23" s="308">
        <v>2</v>
      </c>
      <c r="B23" s="308"/>
      <c r="C23" s="308"/>
      <c r="D23" s="309" t="s">
        <v>1440</v>
      </c>
      <c r="E23" s="310"/>
      <c r="F23" s="311"/>
      <c r="G23" s="312"/>
      <c r="H23" s="311"/>
    </row>
    <row r="24" spans="1:256" s="300" customFormat="1" ht="13.8">
      <c r="A24" s="315" t="s">
        <v>39</v>
      </c>
      <c r="B24" s="313" t="s">
        <v>1426</v>
      </c>
      <c r="C24" s="315" t="s">
        <v>1441</v>
      </c>
      <c r="D24" s="314" t="s">
        <v>1442</v>
      </c>
      <c r="E24" s="315" t="s">
        <v>1429</v>
      </c>
      <c r="F24" s="316">
        <v>50.02</v>
      </c>
      <c r="G24" s="317">
        <f>12.88+48</f>
        <v>60.88</v>
      </c>
      <c r="H24" s="318">
        <f>TRUNC(F24*G24,2)</f>
        <v>3045.21</v>
      </c>
      <c r="I24" s="306"/>
      <c r="J24" s="306"/>
      <c r="K24" s="306"/>
      <c r="L24" s="306"/>
      <c r="M24" s="306"/>
      <c r="N24" s="306"/>
      <c r="O24" s="306"/>
      <c r="P24" s="306"/>
      <c r="Q24" s="306"/>
      <c r="R24" s="306"/>
      <c r="S24" s="306"/>
      <c r="T24" s="306"/>
      <c r="U24" s="306"/>
      <c r="V24" s="306"/>
      <c r="W24" s="306"/>
      <c r="X24" s="306"/>
      <c r="Y24" s="306"/>
      <c r="Z24" s="306"/>
      <c r="AA24" s="306"/>
      <c r="AB24" s="306"/>
      <c r="AC24" s="306"/>
      <c r="AD24" s="306"/>
      <c r="AE24" s="306"/>
      <c r="AF24" s="306"/>
      <c r="AG24" s="306"/>
      <c r="AH24" s="306"/>
      <c r="AI24" s="306"/>
      <c r="AJ24" s="306"/>
      <c r="AK24" s="306"/>
      <c r="AL24" s="306"/>
      <c r="AM24" s="306"/>
      <c r="AN24" s="306"/>
      <c r="AO24" s="306"/>
      <c r="AP24" s="306"/>
      <c r="AQ24" s="306"/>
      <c r="AR24" s="306"/>
      <c r="AS24" s="306"/>
      <c r="AT24" s="306"/>
      <c r="AU24" s="306"/>
      <c r="AV24" s="306"/>
      <c r="AW24" s="306"/>
      <c r="AX24" s="306"/>
      <c r="AY24" s="306"/>
      <c r="AZ24" s="306"/>
      <c r="BA24" s="306"/>
      <c r="BB24" s="306"/>
      <c r="BC24" s="306"/>
      <c r="BD24" s="306"/>
      <c r="BE24" s="306"/>
      <c r="BF24" s="306"/>
      <c r="BG24" s="306"/>
      <c r="BH24" s="306"/>
      <c r="BI24" s="306"/>
      <c r="BJ24" s="306"/>
      <c r="BK24" s="306"/>
      <c r="BL24" s="306"/>
      <c r="BM24" s="306"/>
      <c r="BN24" s="306"/>
      <c r="BO24" s="306"/>
      <c r="BP24" s="306"/>
      <c r="BQ24" s="306"/>
      <c r="BR24" s="306"/>
      <c r="BS24" s="306"/>
      <c r="BT24" s="306"/>
      <c r="BU24" s="306"/>
      <c r="BV24" s="306"/>
      <c r="BW24" s="306"/>
      <c r="BX24" s="306"/>
      <c r="BY24" s="306"/>
      <c r="BZ24" s="306"/>
      <c r="CA24" s="306"/>
      <c r="CB24" s="306"/>
      <c r="CC24" s="306"/>
      <c r="CD24" s="306"/>
      <c r="CE24" s="306"/>
      <c r="CF24" s="306"/>
      <c r="CG24" s="306"/>
      <c r="CH24" s="306"/>
      <c r="CI24" s="306"/>
      <c r="CJ24" s="306"/>
      <c r="CK24" s="306"/>
      <c r="CL24" s="306"/>
      <c r="CM24" s="306"/>
      <c r="CN24" s="306"/>
      <c r="CO24" s="306"/>
      <c r="CP24" s="306"/>
      <c r="CQ24" s="306"/>
      <c r="CR24" s="306"/>
      <c r="CS24" s="306"/>
      <c r="CT24" s="306"/>
      <c r="CU24" s="306"/>
      <c r="CV24" s="306"/>
      <c r="CW24" s="306"/>
      <c r="CX24" s="306"/>
      <c r="CY24" s="306"/>
      <c r="CZ24" s="306"/>
      <c r="DA24" s="306"/>
      <c r="DB24" s="306"/>
      <c r="DC24" s="306"/>
      <c r="DD24" s="306"/>
      <c r="DE24" s="306"/>
      <c r="DF24" s="306"/>
      <c r="DG24" s="306"/>
      <c r="DH24" s="306"/>
      <c r="DI24" s="306"/>
      <c r="DJ24" s="306"/>
      <c r="DK24" s="306"/>
      <c r="DL24" s="306"/>
      <c r="DM24" s="306"/>
      <c r="DN24" s="306"/>
      <c r="DO24" s="306"/>
      <c r="DP24" s="306"/>
      <c r="DQ24" s="306"/>
      <c r="DR24" s="306"/>
      <c r="DS24" s="306"/>
      <c r="DT24" s="306"/>
      <c r="DU24" s="306"/>
      <c r="DV24" s="306"/>
      <c r="DW24" s="306"/>
      <c r="DX24" s="306"/>
      <c r="DY24" s="306"/>
      <c r="DZ24" s="306"/>
      <c r="EA24" s="306"/>
      <c r="EB24" s="306"/>
      <c r="EC24" s="306"/>
      <c r="ED24" s="306"/>
      <c r="EE24" s="306"/>
      <c r="EF24" s="306"/>
      <c r="EG24" s="306"/>
      <c r="EH24" s="306"/>
      <c r="EI24" s="306"/>
      <c r="EJ24" s="306"/>
      <c r="EK24" s="306"/>
      <c r="EL24" s="306"/>
      <c r="EM24" s="306"/>
      <c r="EN24" s="306"/>
      <c r="EO24" s="306"/>
      <c r="EP24" s="306"/>
      <c r="EQ24" s="306"/>
      <c r="ER24" s="306"/>
      <c r="ES24" s="306"/>
      <c r="ET24" s="306"/>
      <c r="EU24" s="306"/>
      <c r="EV24" s="306"/>
      <c r="EW24" s="306"/>
      <c r="EX24" s="306"/>
      <c r="EY24" s="306"/>
      <c r="EZ24" s="306"/>
      <c r="FA24" s="306"/>
      <c r="FB24" s="306"/>
      <c r="FC24" s="306"/>
      <c r="FD24" s="306"/>
      <c r="FE24" s="306"/>
      <c r="FF24" s="306"/>
      <c r="FG24" s="306"/>
      <c r="FH24" s="306"/>
      <c r="FI24" s="306"/>
      <c r="FJ24" s="306"/>
      <c r="FK24" s="306"/>
      <c r="FL24" s="306"/>
      <c r="FM24" s="306"/>
      <c r="FN24" s="306"/>
      <c r="FO24" s="306"/>
      <c r="FP24" s="306"/>
      <c r="FQ24" s="306"/>
      <c r="FR24" s="306"/>
      <c r="FS24" s="306"/>
      <c r="FT24" s="306"/>
      <c r="FU24" s="306"/>
      <c r="FV24" s="306"/>
      <c r="FW24" s="306"/>
      <c r="FX24" s="306"/>
      <c r="FY24" s="306"/>
      <c r="FZ24" s="306"/>
      <c r="GA24" s="306"/>
      <c r="GB24" s="306"/>
      <c r="GC24" s="306"/>
      <c r="GD24" s="306"/>
      <c r="GE24" s="306"/>
      <c r="GF24" s="306"/>
      <c r="GG24" s="306"/>
      <c r="GH24" s="306"/>
      <c r="GI24" s="306"/>
      <c r="GJ24" s="306"/>
      <c r="GK24" s="306"/>
      <c r="GL24" s="306"/>
      <c r="GM24" s="306"/>
      <c r="GN24" s="306"/>
      <c r="GO24" s="306"/>
      <c r="GP24" s="306"/>
      <c r="GQ24" s="306"/>
      <c r="GR24" s="306"/>
      <c r="GS24" s="306"/>
      <c r="GT24" s="306"/>
      <c r="GU24" s="306"/>
      <c r="GV24" s="306"/>
      <c r="GW24" s="306"/>
      <c r="GX24" s="306"/>
      <c r="GY24" s="306"/>
      <c r="GZ24" s="306"/>
      <c r="HA24" s="306"/>
      <c r="HB24" s="306"/>
      <c r="HC24" s="306"/>
      <c r="HD24" s="306"/>
      <c r="HE24" s="306"/>
      <c r="HF24" s="306"/>
      <c r="HG24" s="306"/>
      <c r="HH24" s="306"/>
      <c r="HI24" s="306"/>
      <c r="HJ24" s="306"/>
      <c r="HK24" s="306"/>
      <c r="HL24" s="306"/>
      <c r="HM24" s="306"/>
      <c r="HN24" s="306"/>
      <c r="HO24" s="306"/>
      <c r="HP24" s="306"/>
      <c r="HQ24" s="306"/>
      <c r="HR24" s="306"/>
      <c r="HS24" s="306"/>
      <c r="HT24" s="306"/>
      <c r="HU24" s="306"/>
      <c r="HV24" s="306"/>
      <c r="HW24" s="306"/>
      <c r="HX24" s="306"/>
      <c r="HY24" s="306"/>
      <c r="HZ24" s="306"/>
      <c r="IA24" s="306"/>
      <c r="IB24" s="306"/>
      <c r="IC24" s="306"/>
      <c r="ID24" s="306"/>
      <c r="IE24" s="306"/>
      <c r="IF24" s="306"/>
      <c r="IG24" s="306"/>
      <c r="IH24" s="306"/>
      <c r="II24" s="306"/>
      <c r="IJ24" s="306"/>
      <c r="IK24" s="306"/>
      <c r="IL24" s="306"/>
      <c r="IM24" s="306"/>
      <c r="IN24" s="306"/>
      <c r="IO24" s="306"/>
      <c r="IP24" s="306"/>
      <c r="IQ24" s="306"/>
      <c r="IR24" s="306"/>
      <c r="IS24" s="306"/>
      <c r="IT24" s="306"/>
      <c r="IU24" s="306"/>
      <c r="IV24" s="306"/>
    </row>
    <row r="25" spans="1:256" s="306" customFormat="1" ht="13.8">
      <c r="A25" s="315"/>
      <c r="B25" s="313"/>
      <c r="C25" s="315"/>
      <c r="D25" s="314"/>
      <c r="E25" s="315"/>
      <c r="F25" s="316"/>
      <c r="G25" s="317"/>
      <c r="H25" s="318"/>
    </row>
    <row r="26" spans="1:256" s="306" customFormat="1" ht="13.8">
      <c r="A26" s="320"/>
      <c r="B26" s="320"/>
      <c r="C26" s="320"/>
      <c r="D26" s="321"/>
      <c r="E26" s="320"/>
      <c r="F26" s="316"/>
      <c r="G26" s="322"/>
      <c r="H26" s="323">
        <f>SUM(H24)</f>
        <v>3045.21</v>
      </c>
    </row>
    <row r="27" spans="1:256" s="306" customFormat="1" ht="13.8">
      <c r="A27" s="308">
        <v>3</v>
      </c>
      <c r="B27" s="308"/>
      <c r="C27" s="308"/>
      <c r="D27" s="309" t="s">
        <v>295</v>
      </c>
      <c r="E27" s="310"/>
      <c r="F27" s="311"/>
      <c r="G27" s="312"/>
      <c r="H27" s="311"/>
      <c r="I27" s="300"/>
      <c r="J27" s="300"/>
      <c r="K27" s="300"/>
      <c r="L27" s="300"/>
      <c r="M27" s="300"/>
      <c r="N27" s="300"/>
      <c r="O27" s="300"/>
      <c r="P27" s="300"/>
      <c r="Q27" s="300"/>
      <c r="R27" s="300"/>
      <c r="S27" s="300"/>
      <c r="T27" s="300"/>
      <c r="U27" s="300"/>
      <c r="V27" s="300"/>
      <c r="W27" s="300"/>
      <c r="X27" s="300"/>
      <c r="Y27" s="300"/>
      <c r="Z27" s="300"/>
      <c r="AA27" s="300"/>
      <c r="AB27" s="300"/>
      <c r="AC27" s="300"/>
      <c r="AD27" s="300"/>
      <c r="AE27" s="300"/>
      <c r="AF27" s="300"/>
      <c r="AG27" s="300"/>
      <c r="AH27" s="300"/>
      <c r="AI27" s="300"/>
      <c r="AJ27" s="300"/>
      <c r="AK27" s="300"/>
      <c r="AL27" s="300"/>
      <c r="AM27" s="300"/>
      <c r="AN27" s="300"/>
      <c r="AO27" s="300"/>
      <c r="AP27" s="300"/>
      <c r="AQ27" s="300"/>
      <c r="AR27" s="300"/>
      <c r="AS27" s="300"/>
      <c r="AT27" s="300"/>
      <c r="AU27" s="300"/>
      <c r="AV27" s="300"/>
      <c r="AW27" s="300"/>
      <c r="AX27" s="300"/>
      <c r="AY27" s="300"/>
      <c r="AZ27" s="300"/>
      <c r="BA27" s="300"/>
      <c r="BB27" s="300"/>
      <c r="BC27" s="300"/>
      <c r="BD27" s="300"/>
      <c r="BE27" s="300"/>
      <c r="BF27" s="300"/>
      <c r="BG27" s="300"/>
      <c r="BH27" s="300"/>
      <c r="BI27" s="300"/>
      <c r="BJ27" s="300"/>
      <c r="BK27" s="300"/>
      <c r="BL27" s="300"/>
      <c r="BM27" s="300"/>
      <c r="BN27" s="300"/>
      <c r="BO27" s="300"/>
      <c r="BP27" s="300"/>
      <c r="BQ27" s="300"/>
      <c r="BR27" s="300"/>
      <c r="BS27" s="300"/>
      <c r="BT27" s="300"/>
      <c r="BU27" s="300"/>
      <c r="BV27" s="300"/>
      <c r="BW27" s="300"/>
      <c r="BX27" s="300"/>
      <c r="BY27" s="300"/>
      <c r="BZ27" s="300"/>
      <c r="CA27" s="300"/>
      <c r="CB27" s="300"/>
      <c r="CC27" s="300"/>
      <c r="CD27" s="300"/>
      <c r="CE27" s="300"/>
      <c r="CF27" s="300"/>
      <c r="CG27" s="300"/>
      <c r="CH27" s="300"/>
      <c r="CI27" s="300"/>
      <c r="CJ27" s="300"/>
      <c r="CK27" s="300"/>
      <c r="CL27" s="300"/>
      <c r="CM27" s="300"/>
      <c r="CN27" s="300"/>
      <c r="CO27" s="300"/>
      <c r="CP27" s="300"/>
      <c r="CQ27" s="300"/>
      <c r="CR27" s="300"/>
      <c r="CS27" s="300"/>
      <c r="CT27" s="300"/>
      <c r="CU27" s="300"/>
      <c r="CV27" s="300"/>
      <c r="CW27" s="300"/>
      <c r="CX27" s="300"/>
      <c r="CY27" s="300"/>
      <c r="CZ27" s="300"/>
      <c r="DA27" s="300"/>
      <c r="DB27" s="300"/>
      <c r="DC27" s="300"/>
      <c r="DD27" s="300"/>
      <c r="DE27" s="300"/>
      <c r="DF27" s="300"/>
      <c r="DG27" s="300"/>
      <c r="DH27" s="300"/>
      <c r="DI27" s="300"/>
      <c r="DJ27" s="300"/>
      <c r="DK27" s="300"/>
      <c r="DL27" s="300"/>
      <c r="DM27" s="300"/>
      <c r="DN27" s="300"/>
      <c r="DO27" s="300"/>
      <c r="DP27" s="300"/>
      <c r="DQ27" s="300"/>
      <c r="DR27" s="300"/>
      <c r="DS27" s="300"/>
      <c r="DT27" s="300"/>
      <c r="DU27" s="300"/>
      <c r="DV27" s="300"/>
      <c r="DW27" s="300"/>
      <c r="DX27" s="300"/>
      <c r="DY27" s="300"/>
      <c r="DZ27" s="300"/>
      <c r="EA27" s="300"/>
      <c r="EB27" s="300"/>
      <c r="EC27" s="300"/>
      <c r="ED27" s="300"/>
      <c r="EE27" s="300"/>
      <c r="EF27" s="300"/>
      <c r="EG27" s="300"/>
      <c r="EH27" s="300"/>
      <c r="EI27" s="300"/>
      <c r="EJ27" s="300"/>
      <c r="EK27" s="300"/>
      <c r="EL27" s="300"/>
      <c r="EM27" s="300"/>
      <c r="EN27" s="300"/>
      <c r="EO27" s="300"/>
      <c r="EP27" s="300"/>
      <c r="EQ27" s="300"/>
      <c r="ER27" s="300"/>
      <c r="ES27" s="300"/>
      <c r="ET27" s="300"/>
      <c r="EU27" s="300"/>
      <c r="EV27" s="300"/>
      <c r="EW27" s="300"/>
      <c r="EX27" s="300"/>
      <c r="EY27" s="300"/>
      <c r="EZ27" s="300"/>
      <c r="FA27" s="300"/>
      <c r="FB27" s="300"/>
      <c r="FC27" s="300"/>
      <c r="FD27" s="300"/>
      <c r="FE27" s="300"/>
      <c r="FF27" s="300"/>
      <c r="FG27" s="300"/>
      <c r="FH27" s="300"/>
      <c r="FI27" s="300"/>
      <c r="FJ27" s="300"/>
      <c r="FK27" s="300"/>
      <c r="FL27" s="300"/>
      <c r="FM27" s="300"/>
      <c r="FN27" s="300"/>
      <c r="FO27" s="300"/>
      <c r="FP27" s="300"/>
      <c r="FQ27" s="300"/>
      <c r="FR27" s="300"/>
      <c r="FS27" s="300"/>
      <c r="FT27" s="300"/>
      <c r="FU27" s="300"/>
      <c r="FV27" s="300"/>
      <c r="FW27" s="300"/>
      <c r="FX27" s="300"/>
      <c r="FY27" s="300"/>
      <c r="FZ27" s="300"/>
      <c r="GA27" s="300"/>
      <c r="GB27" s="300"/>
      <c r="GC27" s="300"/>
      <c r="GD27" s="300"/>
      <c r="GE27" s="300"/>
      <c r="GF27" s="300"/>
      <c r="GG27" s="300"/>
      <c r="GH27" s="300"/>
      <c r="GI27" s="300"/>
      <c r="GJ27" s="300"/>
      <c r="GK27" s="300"/>
      <c r="GL27" s="300"/>
      <c r="GM27" s="300"/>
      <c r="GN27" s="300"/>
      <c r="GO27" s="300"/>
      <c r="GP27" s="300"/>
      <c r="GQ27" s="300"/>
      <c r="GR27" s="300"/>
      <c r="GS27" s="300"/>
      <c r="GT27" s="300"/>
      <c r="GU27" s="300"/>
      <c r="GV27" s="300"/>
      <c r="GW27" s="300"/>
      <c r="GX27" s="300"/>
      <c r="GY27" s="300"/>
      <c r="GZ27" s="300"/>
      <c r="HA27" s="300"/>
      <c r="HB27" s="300"/>
      <c r="HC27" s="300"/>
      <c r="HD27" s="300"/>
      <c r="HE27" s="300"/>
      <c r="HF27" s="300"/>
      <c r="HG27" s="300"/>
      <c r="HH27" s="300"/>
      <c r="HI27" s="300"/>
      <c r="HJ27" s="300"/>
      <c r="HK27" s="300"/>
      <c r="HL27" s="300"/>
      <c r="HM27" s="300"/>
      <c r="HN27" s="300"/>
      <c r="HO27" s="300"/>
      <c r="HP27" s="300"/>
      <c r="HQ27" s="300"/>
      <c r="HR27" s="300"/>
      <c r="HS27" s="300"/>
      <c r="HT27" s="300"/>
      <c r="HU27" s="300"/>
      <c r="HV27" s="300"/>
      <c r="HW27" s="300"/>
      <c r="HX27" s="300"/>
      <c r="HY27" s="300"/>
      <c r="HZ27" s="300"/>
      <c r="IA27" s="300"/>
      <c r="IB27" s="300"/>
      <c r="IC27" s="300"/>
      <c r="ID27" s="300"/>
      <c r="IE27" s="300"/>
      <c r="IF27" s="300"/>
      <c r="IG27" s="300"/>
      <c r="IH27" s="300"/>
      <c r="II27" s="300"/>
      <c r="IJ27" s="300"/>
      <c r="IK27" s="300"/>
      <c r="IL27" s="300"/>
      <c r="IM27" s="300"/>
      <c r="IN27" s="300"/>
      <c r="IO27" s="300"/>
      <c r="IP27" s="300"/>
      <c r="IQ27" s="300"/>
      <c r="IR27" s="300"/>
      <c r="IS27" s="300"/>
      <c r="IT27" s="300"/>
      <c r="IU27" s="300"/>
      <c r="IV27" s="300"/>
    </row>
    <row r="28" spans="1:256" s="306" customFormat="1" ht="13.8">
      <c r="A28" s="313" t="s">
        <v>98</v>
      </c>
      <c r="B28" s="313" t="s">
        <v>1426</v>
      </c>
      <c r="C28" s="313" t="s">
        <v>1443</v>
      </c>
      <c r="D28" s="324" t="s">
        <v>1444</v>
      </c>
      <c r="E28" s="325" t="s">
        <v>1248</v>
      </c>
      <c r="F28" s="316">
        <v>14.16</v>
      </c>
      <c r="G28" s="317">
        <f>5.66*15*14</f>
        <v>1188.6000000000001</v>
      </c>
      <c r="H28" s="318">
        <f>TRUNC(F28*G28,2)</f>
        <v>16830.57</v>
      </c>
    </row>
    <row r="29" spans="1:256" s="306" customFormat="1" ht="26.4">
      <c r="A29" s="313" t="s">
        <v>102</v>
      </c>
      <c r="B29" s="313" t="s">
        <v>1426</v>
      </c>
      <c r="C29" s="313" t="s">
        <v>1445</v>
      </c>
      <c r="D29" s="314" t="s">
        <v>1446</v>
      </c>
      <c r="E29" s="315" t="s">
        <v>1447</v>
      </c>
      <c r="F29" s="316">
        <v>99.48</v>
      </c>
      <c r="G29" s="317">
        <v>288</v>
      </c>
      <c r="H29" s="318">
        <f>TRUNC(F29*G29,2)</f>
        <v>28650.240000000002</v>
      </c>
    </row>
    <row r="30" spans="1:256" s="306" customFormat="1" ht="13.8">
      <c r="A30" s="313" t="s">
        <v>114</v>
      </c>
      <c r="B30" s="313" t="s">
        <v>1426</v>
      </c>
      <c r="C30" s="313" t="s">
        <v>1448</v>
      </c>
      <c r="D30" s="324" t="s">
        <v>1449</v>
      </c>
      <c r="E30" s="315" t="s">
        <v>1450</v>
      </c>
      <c r="F30" s="316">
        <v>62.42</v>
      </c>
      <c r="G30" s="317">
        <f>60+16</f>
        <v>76</v>
      </c>
      <c r="H30" s="318">
        <f>TRUNC(F30*G30,2)</f>
        <v>4743.92</v>
      </c>
    </row>
    <row r="31" spans="1:256" s="300" customFormat="1" ht="23.25" customHeight="1">
      <c r="A31" s="313" t="s">
        <v>128</v>
      </c>
      <c r="B31" s="313" t="s">
        <v>1426</v>
      </c>
      <c r="C31" s="313" t="s">
        <v>1451</v>
      </c>
      <c r="D31" s="324" t="s">
        <v>1452</v>
      </c>
      <c r="E31" s="315" t="s">
        <v>1450</v>
      </c>
      <c r="F31" s="316">
        <v>48.69</v>
      </c>
      <c r="G31" s="317">
        <v>15</v>
      </c>
      <c r="H31" s="318">
        <f>TRUNC(F31*G31,2)</f>
        <v>730.35</v>
      </c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6"/>
      <c r="T31" s="306"/>
      <c r="U31" s="306"/>
      <c r="V31" s="306"/>
      <c r="W31" s="306"/>
      <c r="X31" s="306"/>
      <c r="Y31" s="306"/>
      <c r="Z31" s="306"/>
      <c r="AA31" s="306"/>
      <c r="AB31" s="306"/>
      <c r="AC31" s="306"/>
      <c r="AD31" s="306"/>
      <c r="AE31" s="306"/>
      <c r="AF31" s="306"/>
      <c r="AG31" s="306"/>
      <c r="AH31" s="306"/>
      <c r="AI31" s="306"/>
      <c r="AJ31" s="306"/>
      <c r="AK31" s="306"/>
      <c r="AL31" s="306"/>
      <c r="AM31" s="306"/>
      <c r="AN31" s="306"/>
      <c r="AO31" s="306"/>
      <c r="AP31" s="306"/>
      <c r="AQ31" s="306"/>
      <c r="AR31" s="306"/>
      <c r="AS31" s="306"/>
      <c r="AT31" s="306"/>
      <c r="AU31" s="306"/>
      <c r="AV31" s="306"/>
      <c r="AW31" s="306"/>
      <c r="AX31" s="306"/>
      <c r="AY31" s="306"/>
      <c r="AZ31" s="306"/>
      <c r="BA31" s="306"/>
      <c r="BB31" s="306"/>
      <c r="BC31" s="306"/>
      <c r="BD31" s="306"/>
      <c r="BE31" s="306"/>
      <c r="BF31" s="306"/>
      <c r="BG31" s="306"/>
      <c r="BH31" s="306"/>
      <c r="BI31" s="306"/>
      <c r="BJ31" s="306"/>
      <c r="BK31" s="306"/>
      <c r="BL31" s="306"/>
      <c r="BM31" s="306"/>
      <c r="BN31" s="306"/>
      <c r="BO31" s="306"/>
      <c r="BP31" s="306"/>
      <c r="BQ31" s="306"/>
      <c r="BR31" s="306"/>
      <c r="BS31" s="306"/>
      <c r="BT31" s="306"/>
      <c r="BU31" s="306"/>
      <c r="BV31" s="306"/>
      <c r="BW31" s="306"/>
      <c r="BX31" s="306"/>
      <c r="BY31" s="306"/>
      <c r="BZ31" s="306"/>
      <c r="CA31" s="306"/>
      <c r="CB31" s="306"/>
      <c r="CC31" s="306"/>
      <c r="CD31" s="306"/>
      <c r="CE31" s="306"/>
      <c r="CF31" s="306"/>
      <c r="CG31" s="306"/>
      <c r="CH31" s="306"/>
      <c r="CI31" s="306"/>
      <c r="CJ31" s="306"/>
      <c r="CK31" s="306"/>
      <c r="CL31" s="306"/>
      <c r="CM31" s="306"/>
      <c r="CN31" s="306"/>
      <c r="CO31" s="306"/>
      <c r="CP31" s="306"/>
      <c r="CQ31" s="306"/>
      <c r="CR31" s="306"/>
      <c r="CS31" s="306"/>
      <c r="CT31" s="306"/>
      <c r="CU31" s="306"/>
      <c r="CV31" s="306"/>
      <c r="CW31" s="306"/>
      <c r="CX31" s="306"/>
      <c r="CY31" s="306"/>
      <c r="CZ31" s="306"/>
      <c r="DA31" s="306"/>
      <c r="DB31" s="306"/>
      <c r="DC31" s="306"/>
      <c r="DD31" s="306"/>
      <c r="DE31" s="306"/>
      <c r="DF31" s="306"/>
      <c r="DG31" s="306"/>
      <c r="DH31" s="306"/>
      <c r="DI31" s="306"/>
      <c r="DJ31" s="306"/>
      <c r="DK31" s="306"/>
      <c r="DL31" s="306"/>
      <c r="DM31" s="306"/>
      <c r="DN31" s="306"/>
      <c r="DO31" s="306"/>
      <c r="DP31" s="306"/>
      <c r="DQ31" s="306"/>
      <c r="DR31" s="306"/>
      <c r="DS31" s="306"/>
      <c r="DT31" s="306"/>
      <c r="DU31" s="306"/>
      <c r="DV31" s="306"/>
      <c r="DW31" s="306"/>
      <c r="DX31" s="306"/>
      <c r="DY31" s="306"/>
      <c r="DZ31" s="306"/>
      <c r="EA31" s="306"/>
      <c r="EB31" s="306"/>
      <c r="EC31" s="306"/>
      <c r="ED31" s="306"/>
      <c r="EE31" s="306"/>
      <c r="EF31" s="306"/>
      <c r="EG31" s="306"/>
      <c r="EH31" s="306"/>
      <c r="EI31" s="306"/>
      <c r="EJ31" s="306"/>
      <c r="EK31" s="306"/>
      <c r="EL31" s="306"/>
      <c r="EM31" s="306"/>
      <c r="EN31" s="306"/>
      <c r="EO31" s="306"/>
      <c r="EP31" s="306"/>
      <c r="EQ31" s="306"/>
      <c r="ER31" s="306"/>
      <c r="ES31" s="306"/>
      <c r="ET31" s="306"/>
      <c r="EU31" s="306"/>
      <c r="EV31" s="306"/>
      <c r="EW31" s="306"/>
      <c r="EX31" s="306"/>
      <c r="EY31" s="306"/>
      <c r="EZ31" s="306"/>
      <c r="FA31" s="306"/>
      <c r="FB31" s="306"/>
      <c r="FC31" s="306"/>
      <c r="FD31" s="306"/>
      <c r="FE31" s="306"/>
      <c r="FF31" s="306"/>
      <c r="FG31" s="306"/>
      <c r="FH31" s="306"/>
      <c r="FI31" s="306"/>
      <c r="FJ31" s="306"/>
      <c r="FK31" s="306"/>
      <c r="FL31" s="306"/>
      <c r="FM31" s="306"/>
      <c r="FN31" s="306"/>
      <c r="FO31" s="306"/>
      <c r="FP31" s="306"/>
      <c r="FQ31" s="306"/>
      <c r="FR31" s="306"/>
      <c r="FS31" s="306"/>
      <c r="FT31" s="306"/>
      <c r="FU31" s="306"/>
      <c r="FV31" s="306"/>
      <c r="FW31" s="306"/>
      <c r="FX31" s="306"/>
      <c r="FY31" s="306"/>
      <c r="FZ31" s="306"/>
      <c r="GA31" s="306"/>
      <c r="GB31" s="306"/>
      <c r="GC31" s="306"/>
      <c r="GD31" s="306"/>
      <c r="GE31" s="306"/>
      <c r="GF31" s="306"/>
      <c r="GG31" s="306"/>
      <c r="GH31" s="306"/>
      <c r="GI31" s="306"/>
      <c r="GJ31" s="306"/>
      <c r="GK31" s="306"/>
      <c r="GL31" s="306"/>
      <c r="GM31" s="306"/>
      <c r="GN31" s="306"/>
      <c r="GO31" s="306"/>
      <c r="GP31" s="306"/>
      <c r="GQ31" s="306"/>
      <c r="GR31" s="306"/>
      <c r="GS31" s="306"/>
      <c r="GT31" s="306"/>
      <c r="GU31" s="306"/>
      <c r="GV31" s="306"/>
      <c r="GW31" s="306"/>
      <c r="GX31" s="306"/>
      <c r="GY31" s="306"/>
      <c r="GZ31" s="306"/>
      <c r="HA31" s="306"/>
      <c r="HB31" s="306"/>
      <c r="HC31" s="306"/>
      <c r="HD31" s="306"/>
      <c r="HE31" s="306"/>
      <c r="HF31" s="306"/>
      <c r="HG31" s="306"/>
      <c r="HH31" s="306"/>
      <c r="HI31" s="306"/>
      <c r="HJ31" s="306"/>
      <c r="HK31" s="306"/>
      <c r="HL31" s="306"/>
      <c r="HM31" s="306"/>
      <c r="HN31" s="306"/>
      <c r="HO31" s="306"/>
      <c r="HP31" s="306"/>
      <c r="HQ31" s="306"/>
      <c r="HR31" s="306"/>
      <c r="HS31" s="306"/>
      <c r="HT31" s="306"/>
      <c r="HU31" s="306"/>
      <c r="HV31" s="306"/>
      <c r="HW31" s="306"/>
      <c r="HX31" s="306"/>
      <c r="HY31" s="306"/>
      <c r="HZ31" s="306"/>
      <c r="IA31" s="306"/>
      <c r="IB31" s="306"/>
      <c r="IC31" s="306"/>
      <c r="ID31" s="306"/>
      <c r="IE31" s="306"/>
      <c r="IF31" s="306"/>
      <c r="IG31" s="306"/>
      <c r="IH31" s="306"/>
      <c r="II31" s="306"/>
      <c r="IJ31" s="306"/>
      <c r="IK31" s="306"/>
      <c r="IL31" s="306"/>
      <c r="IM31" s="306"/>
      <c r="IN31" s="306"/>
      <c r="IO31" s="306"/>
      <c r="IP31" s="306"/>
      <c r="IQ31" s="306"/>
      <c r="IR31" s="306"/>
      <c r="IS31" s="306"/>
      <c r="IT31" s="306"/>
      <c r="IU31" s="306"/>
      <c r="IV31" s="306"/>
    </row>
    <row r="32" spans="1:256" s="306" customFormat="1" ht="13.8">
      <c r="A32" s="313"/>
      <c r="B32" s="313"/>
      <c r="C32" s="313"/>
      <c r="D32" s="324"/>
      <c r="E32" s="315"/>
      <c r="F32" s="316"/>
      <c r="G32" s="317"/>
      <c r="H32" s="318"/>
    </row>
    <row r="33" spans="1:256" s="306" customFormat="1" ht="21.75" customHeight="1">
      <c r="A33" s="320"/>
      <c r="B33" s="320"/>
      <c r="C33" s="320"/>
      <c r="D33" s="321" t="s">
        <v>1439</v>
      </c>
      <c r="E33" s="320"/>
      <c r="F33" s="316"/>
      <c r="G33" s="322"/>
      <c r="H33" s="323">
        <f>SUM(H28:H30)</f>
        <v>50224.729999999996</v>
      </c>
    </row>
    <row r="34" spans="1:256" s="306" customFormat="1" ht="13.8">
      <c r="A34" s="308">
        <v>4</v>
      </c>
      <c r="B34" s="308"/>
      <c r="C34" s="308"/>
      <c r="D34" s="309" t="s">
        <v>1453</v>
      </c>
      <c r="E34" s="310"/>
      <c r="F34" s="311"/>
      <c r="G34" s="312"/>
      <c r="H34" s="311"/>
      <c r="I34" s="300"/>
      <c r="J34" s="300"/>
      <c r="K34" s="300"/>
      <c r="L34" s="300"/>
      <c r="M34" s="300"/>
      <c r="N34" s="300"/>
      <c r="O34" s="300"/>
      <c r="P34" s="300"/>
      <c r="Q34" s="300"/>
      <c r="R34" s="300"/>
      <c r="S34" s="300"/>
      <c r="T34" s="300"/>
      <c r="U34" s="300"/>
      <c r="V34" s="300"/>
      <c r="W34" s="300"/>
      <c r="X34" s="300"/>
      <c r="Y34" s="300"/>
      <c r="Z34" s="300"/>
      <c r="AA34" s="300"/>
      <c r="AB34" s="300"/>
      <c r="AC34" s="300"/>
      <c r="AD34" s="300"/>
      <c r="AE34" s="300"/>
      <c r="AF34" s="300"/>
      <c r="AG34" s="300"/>
      <c r="AH34" s="300"/>
      <c r="AI34" s="300"/>
      <c r="AJ34" s="300"/>
      <c r="AK34" s="300"/>
      <c r="AL34" s="300"/>
      <c r="AM34" s="300"/>
      <c r="AN34" s="300"/>
      <c r="AO34" s="300"/>
      <c r="AP34" s="300"/>
      <c r="AQ34" s="300"/>
      <c r="AR34" s="300"/>
      <c r="AS34" s="300"/>
      <c r="AT34" s="300"/>
      <c r="AU34" s="300"/>
      <c r="AV34" s="300"/>
      <c r="AW34" s="300"/>
      <c r="AX34" s="300"/>
      <c r="AY34" s="300"/>
      <c r="AZ34" s="300"/>
      <c r="BA34" s="300"/>
      <c r="BB34" s="300"/>
      <c r="BC34" s="300"/>
      <c r="BD34" s="300"/>
      <c r="BE34" s="300"/>
      <c r="BF34" s="300"/>
      <c r="BG34" s="300"/>
      <c r="BH34" s="300"/>
      <c r="BI34" s="300"/>
      <c r="BJ34" s="300"/>
      <c r="BK34" s="300"/>
      <c r="BL34" s="300"/>
      <c r="BM34" s="300"/>
      <c r="BN34" s="300"/>
      <c r="BO34" s="300"/>
      <c r="BP34" s="300"/>
      <c r="BQ34" s="300"/>
      <c r="BR34" s="300"/>
      <c r="BS34" s="300"/>
      <c r="BT34" s="300"/>
      <c r="BU34" s="300"/>
      <c r="BV34" s="300"/>
      <c r="BW34" s="300"/>
      <c r="BX34" s="300"/>
      <c r="BY34" s="300"/>
      <c r="BZ34" s="300"/>
      <c r="CA34" s="300"/>
      <c r="CB34" s="300"/>
      <c r="CC34" s="300"/>
      <c r="CD34" s="300"/>
      <c r="CE34" s="300"/>
      <c r="CF34" s="300"/>
      <c r="CG34" s="300"/>
      <c r="CH34" s="300"/>
      <c r="CI34" s="300"/>
      <c r="CJ34" s="300"/>
      <c r="CK34" s="300"/>
      <c r="CL34" s="300"/>
      <c r="CM34" s="300"/>
      <c r="CN34" s="300"/>
      <c r="CO34" s="300"/>
      <c r="CP34" s="300"/>
      <c r="CQ34" s="300"/>
      <c r="CR34" s="300"/>
      <c r="CS34" s="300"/>
      <c r="CT34" s="300"/>
      <c r="CU34" s="300"/>
      <c r="CV34" s="300"/>
      <c r="CW34" s="300"/>
      <c r="CX34" s="300"/>
      <c r="CY34" s="300"/>
      <c r="CZ34" s="300"/>
      <c r="DA34" s="300"/>
      <c r="DB34" s="300"/>
      <c r="DC34" s="300"/>
      <c r="DD34" s="300"/>
      <c r="DE34" s="300"/>
      <c r="DF34" s="300"/>
      <c r="DG34" s="300"/>
      <c r="DH34" s="300"/>
      <c r="DI34" s="300"/>
      <c r="DJ34" s="300"/>
      <c r="DK34" s="300"/>
      <c r="DL34" s="300"/>
      <c r="DM34" s="300"/>
      <c r="DN34" s="300"/>
      <c r="DO34" s="300"/>
      <c r="DP34" s="300"/>
      <c r="DQ34" s="300"/>
      <c r="DR34" s="300"/>
      <c r="DS34" s="300"/>
      <c r="DT34" s="300"/>
      <c r="DU34" s="300"/>
      <c r="DV34" s="300"/>
      <c r="DW34" s="300"/>
      <c r="DX34" s="300"/>
      <c r="DY34" s="300"/>
      <c r="DZ34" s="300"/>
      <c r="EA34" s="300"/>
      <c r="EB34" s="300"/>
      <c r="EC34" s="300"/>
      <c r="ED34" s="300"/>
      <c r="EE34" s="300"/>
      <c r="EF34" s="300"/>
      <c r="EG34" s="300"/>
      <c r="EH34" s="300"/>
      <c r="EI34" s="300"/>
      <c r="EJ34" s="300"/>
      <c r="EK34" s="300"/>
      <c r="EL34" s="300"/>
      <c r="EM34" s="300"/>
      <c r="EN34" s="300"/>
      <c r="EO34" s="300"/>
      <c r="EP34" s="300"/>
      <c r="EQ34" s="300"/>
      <c r="ER34" s="300"/>
      <c r="ES34" s="300"/>
      <c r="ET34" s="300"/>
      <c r="EU34" s="300"/>
      <c r="EV34" s="300"/>
      <c r="EW34" s="300"/>
      <c r="EX34" s="300"/>
      <c r="EY34" s="300"/>
      <c r="EZ34" s="300"/>
      <c r="FA34" s="300"/>
      <c r="FB34" s="300"/>
      <c r="FC34" s="300"/>
      <c r="FD34" s="300"/>
      <c r="FE34" s="300"/>
      <c r="FF34" s="300"/>
      <c r="FG34" s="300"/>
      <c r="FH34" s="300"/>
      <c r="FI34" s="300"/>
      <c r="FJ34" s="300"/>
      <c r="FK34" s="300"/>
      <c r="FL34" s="300"/>
      <c r="FM34" s="300"/>
      <c r="FN34" s="300"/>
      <c r="FO34" s="300"/>
      <c r="FP34" s="300"/>
      <c r="FQ34" s="300"/>
      <c r="FR34" s="300"/>
      <c r="FS34" s="300"/>
      <c r="FT34" s="300"/>
      <c r="FU34" s="300"/>
      <c r="FV34" s="300"/>
      <c r="FW34" s="300"/>
      <c r="FX34" s="300"/>
      <c r="FY34" s="300"/>
      <c r="FZ34" s="300"/>
      <c r="GA34" s="300"/>
      <c r="GB34" s="300"/>
      <c r="GC34" s="300"/>
      <c r="GD34" s="300"/>
      <c r="GE34" s="300"/>
      <c r="GF34" s="300"/>
      <c r="GG34" s="300"/>
      <c r="GH34" s="300"/>
      <c r="GI34" s="300"/>
      <c r="GJ34" s="300"/>
      <c r="GK34" s="300"/>
      <c r="GL34" s="300"/>
      <c r="GM34" s="300"/>
      <c r="GN34" s="300"/>
      <c r="GO34" s="300"/>
      <c r="GP34" s="300"/>
      <c r="GQ34" s="300"/>
      <c r="GR34" s="300"/>
      <c r="GS34" s="300"/>
      <c r="GT34" s="300"/>
      <c r="GU34" s="300"/>
      <c r="GV34" s="300"/>
      <c r="GW34" s="300"/>
      <c r="GX34" s="300"/>
      <c r="GY34" s="300"/>
      <c r="GZ34" s="300"/>
      <c r="HA34" s="300"/>
      <c r="HB34" s="300"/>
      <c r="HC34" s="300"/>
      <c r="HD34" s="300"/>
      <c r="HE34" s="300"/>
      <c r="HF34" s="300"/>
      <c r="HG34" s="300"/>
      <c r="HH34" s="300"/>
      <c r="HI34" s="300"/>
      <c r="HJ34" s="300"/>
      <c r="HK34" s="300"/>
      <c r="HL34" s="300"/>
      <c r="HM34" s="300"/>
      <c r="HN34" s="300"/>
      <c r="HO34" s="300"/>
      <c r="HP34" s="300"/>
      <c r="HQ34" s="300"/>
      <c r="HR34" s="300"/>
      <c r="HS34" s="300"/>
      <c r="HT34" s="300"/>
      <c r="HU34" s="300"/>
      <c r="HV34" s="300"/>
      <c r="HW34" s="300"/>
      <c r="HX34" s="300"/>
      <c r="HY34" s="300"/>
      <c r="HZ34" s="300"/>
      <c r="IA34" s="300"/>
      <c r="IB34" s="300"/>
      <c r="IC34" s="300"/>
      <c r="ID34" s="300"/>
      <c r="IE34" s="300"/>
      <c r="IF34" s="300"/>
      <c r="IG34" s="300"/>
      <c r="IH34" s="300"/>
      <c r="II34" s="300"/>
      <c r="IJ34" s="300"/>
      <c r="IK34" s="300"/>
      <c r="IL34" s="300"/>
      <c r="IM34" s="300"/>
      <c r="IN34" s="300"/>
      <c r="IO34" s="300"/>
      <c r="IP34" s="300"/>
      <c r="IQ34" s="300"/>
      <c r="IR34" s="300"/>
      <c r="IS34" s="300"/>
      <c r="IT34" s="300"/>
      <c r="IU34" s="300"/>
      <c r="IV34" s="300"/>
    </row>
    <row r="35" spans="1:256" s="300" customFormat="1" ht="13.8">
      <c r="A35" s="313" t="s">
        <v>135</v>
      </c>
      <c r="B35" s="313" t="s">
        <v>1426</v>
      </c>
      <c r="C35" s="313" t="s">
        <v>1454</v>
      </c>
      <c r="D35" s="324" t="s">
        <v>1455</v>
      </c>
      <c r="E35" s="315" t="s">
        <v>1429</v>
      </c>
      <c r="F35" s="316">
        <v>4.66</v>
      </c>
      <c r="G35" s="317">
        <f>12.88+(16*3)+96</f>
        <v>156.88</v>
      </c>
      <c r="H35" s="318">
        <f>TRUNC(F35*G35,2)</f>
        <v>731.06</v>
      </c>
      <c r="I35" s="306"/>
      <c r="J35" s="306"/>
      <c r="K35" s="306"/>
      <c r="L35" s="306"/>
      <c r="M35" s="306"/>
      <c r="N35" s="306"/>
      <c r="O35" s="306"/>
      <c r="P35" s="306"/>
      <c r="Q35" s="306"/>
      <c r="R35" s="306"/>
      <c r="S35" s="306"/>
      <c r="T35" s="306"/>
      <c r="U35" s="306"/>
      <c r="V35" s="306"/>
      <c r="W35" s="306"/>
      <c r="X35" s="306"/>
      <c r="Y35" s="306"/>
      <c r="Z35" s="306"/>
      <c r="AA35" s="306"/>
      <c r="AB35" s="306"/>
      <c r="AC35" s="306"/>
      <c r="AD35" s="306"/>
      <c r="AE35" s="306"/>
      <c r="AF35" s="306"/>
      <c r="AG35" s="306"/>
      <c r="AH35" s="306"/>
      <c r="AI35" s="306"/>
      <c r="AJ35" s="306"/>
      <c r="AK35" s="306"/>
      <c r="AL35" s="306"/>
      <c r="AM35" s="306"/>
      <c r="AN35" s="306"/>
      <c r="AO35" s="306"/>
      <c r="AP35" s="306"/>
      <c r="AQ35" s="306"/>
      <c r="AR35" s="306"/>
      <c r="AS35" s="306"/>
      <c r="AT35" s="306"/>
      <c r="AU35" s="306"/>
      <c r="AV35" s="306"/>
      <c r="AW35" s="306"/>
      <c r="AX35" s="306"/>
      <c r="AY35" s="306"/>
      <c r="AZ35" s="306"/>
      <c r="BA35" s="306"/>
      <c r="BB35" s="306"/>
      <c r="BC35" s="306"/>
      <c r="BD35" s="306"/>
      <c r="BE35" s="306"/>
      <c r="BF35" s="306"/>
      <c r="BG35" s="306"/>
      <c r="BH35" s="306"/>
      <c r="BI35" s="306"/>
      <c r="BJ35" s="306"/>
      <c r="BK35" s="306"/>
      <c r="BL35" s="306"/>
      <c r="BM35" s="306"/>
      <c r="BN35" s="306"/>
      <c r="BO35" s="306"/>
      <c r="BP35" s="306"/>
      <c r="BQ35" s="306"/>
      <c r="BR35" s="306"/>
      <c r="BS35" s="306"/>
      <c r="BT35" s="306"/>
      <c r="BU35" s="306"/>
      <c r="BV35" s="306"/>
      <c r="BW35" s="306"/>
      <c r="BX35" s="306"/>
      <c r="BY35" s="306"/>
      <c r="BZ35" s="306"/>
      <c r="CA35" s="306"/>
      <c r="CB35" s="306"/>
      <c r="CC35" s="306"/>
      <c r="CD35" s="306"/>
      <c r="CE35" s="306"/>
      <c r="CF35" s="306"/>
      <c r="CG35" s="306"/>
      <c r="CH35" s="306"/>
      <c r="CI35" s="306"/>
      <c r="CJ35" s="306"/>
      <c r="CK35" s="306"/>
      <c r="CL35" s="306"/>
      <c r="CM35" s="306"/>
      <c r="CN35" s="306"/>
      <c r="CO35" s="306"/>
      <c r="CP35" s="306"/>
      <c r="CQ35" s="306"/>
      <c r="CR35" s="306"/>
      <c r="CS35" s="306"/>
      <c r="CT35" s="306"/>
      <c r="CU35" s="306"/>
      <c r="CV35" s="306"/>
      <c r="CW35" s="306"/>
      <c r="CX35" s="306"/>
      <c r="CY35" s="306"/>
      <c r="CZ35" s="306"/>
      <c r="DA35" s="306"/>
      <c r="DB35" s="306"/>
      <c r="DC35" s="306"/>
      <c r="DD35" s="306"/>
      <c r="DE35" s="306"/>
      <c r="DF35" s="306"/>
      <c r="DG35" s="306"/>
      <c r="DH35" s="306"/>
      <c r="DI35" s="306"/>
      <c r="DJ35" s="306"/>
      <c r="DK35" s="306"/>
      <c r="DL35" s="306"/>
      <c r="DM35" s="306"/>
      <c r="DN35" s="306"/>
      <c r="DO35" s="306"/>
      <c r="DP35" s="306"/>
      <c r="DQ35" s="306"/>
      <c r="DR35" s="306"/>
      <c r="DS35" s="306"/>
      <c r="DT35" s="306"/>
      <c r="DU35" s="306"/>
      <c r="DV35" s="306"/>
      <c r="DW35" s="306"/>
      <c r="DX35" s="306"/>
      <c r="DY35" s="306"/>
      <c r="DZ35" s="306"/>
      <c r="EA35" s="306"/>
      <c r="EB35" s="306"/>
      <c r="EC35" s="306"/>
      <c r="ED35" s="306"/>
      <c r="EE35" s="306"/>
      <c r="EF35" s="306"/>
      <c r="EG35" s="306"/>
      <c r="EH35" s="306"/>
      <c r="EI35" s="306"/>
      <c r="EJ35" s="306"/>
      <c r="EK35" s="306"/>
      <c r="EL35" s="306"/>
      <c r="EM35" s="306"/>
      <c r="EN35" s="306"/>
      <c r="EO35" s="306"/>
      <c r="EP35" s="306"/>
      <c r="EQ35" s="306"/>
      <c r="ER35" s="306"/>
      <c r="ES35" s="306"/>
      <c r="ET35" s="306"/>
      <c r="EU35" s="306"/>
      <c r="EV35" s="306"/>
      <c r="EW35" s="306"/>
      <c r="EX35" s="306"/>
      <c r="EY35" s="306"/>
      <c r="EZ35" s="306"/>
      <c r="FA35" s="306"/>
      <c r="FB35" s="306"/>
      <c r="FC35" s="306"/>
      <c r="FD35" s="306"/>
      <c r="FE35" s="306"/>
      <c r="FF35" s="306"/>
      <c r="FG35" s="306"/>
      <c r="FH35" s="306"/>
      <c r="FI35" s="306"/>
      <c r="FJ35" s="306"/>
      <c r="FK35" s="306"/>
      <c r="FL35" s="306"/>
      <c r="FM35" s="306"/>
      <c r="FN35" s="306"/>
      <c r="FO35" s="306"/>
      <c r="FP35" s="306"/>
      <c r="FQ35" s="306"/>
      <c r="FR35" s="306"/>
      <c r="FS35" s="306"/>
      <c r="FT35" s="306"/>
      <c r="FU35" s="306"/>
      <c r="FV35" s="306"/>
      <c r="FW35" s="306"/>
      <c r="FX35" s="306"/>
      <c r="FY35" s="306"/>
      <c r="FZ35" s="306"/>
      <c r="GA35" s="306"/>
      <c r="GB35" s="306"/>
      <c r="GC35" s="306"/>
      <c r="GD35" s="306"/>
      <c r="GE35" s="306"/>
      <c r="GF35" s="306"/>
      <c r="GG35" s="306"/>
      <c r="GH35" s="306"/>
      <c r="GI35" s="306"/>
      <c r="GJ35" s="306"/>
      <c r="GK35" s="306"/>
      <c r="GL35" s="306"/>
      <c r="GM35" s="306"/>
      <c r="GN35" s="306"/>
      <c r="GO35" s="306"/>
      <c r="GP35" s="306"/>
      <c r="GQ35" s="306"/>
      <c r="GR35" s="306"/>
      <c r="GS35" s="306"/>
      <c r="GT35" s="306"/>
      <c r="GU35" s="306"/>
      <c r="GV35" s="306"/>
      <c r="GW35" s="306"/>
      <c r="GX35" s="306"/>
      <c r="GY35" s="306"/>
      <c r="GZ35" s="306"/>
      <c r="HA35" s="306"/>
      <c r="HB35" s="306"/>
      <c r="HC35" s="306"/>
      <c r="HD35" s="306"/>
      <c r="HE35" s="306"/>
      <c r="HF35" s="306"/>
      <c r="HG35" s="306"/>
      <c r="HH35" s="306"/>
      <c r="HI35" s="306"/>
      <c r="HJ35" s="306"/>
      <c r="HK35" s="306"/>
      <c r="HL35" s="306"/>
      <c r="HM35" s="306"/>
      <c r="HN35" s="306"/>
      <c r="HO35" s="306"/>
      <c r="HP35" s="306"/>
      <c r="HQ35" s="306"/>
      <c r="HR35" s="306"/>
      <c r="HS35" s="306"/>
      <c r="HT35" s="306"/>
      <c r="HU35" s="306"/>
      <c r="HV35" s="306"/>
      <c r="HW35" s="306"/>
      <c r="HX35" s="306"/>
      <c r="HY35" s="306"/>
      <c r="HZ35" s="306"/>
      <c r="IA35" s="306"/>
      <c r="IB35" s="306"/>
      <c r="IC35" s="306"/>
      <c r="ID35" s="306"/>
      <c r="IE35" s="306"/>
      <c r="IF35" s="306"/>
      <c r="IG35" s="306"/>
      <c r="IH35" s="306"/>
      <c r="II35" s="306"/>
      <c r="IJ35" s="306"/>
      <c r="IK35" s="306"/>
      <c r="IL35" s="306"/>
      <c r="IM35" s="306"/>
      <c r="IN35" s="306"/>
      <c r="IO35" s="306"/>
      <c r="IP35" s="306"/>
      <c r="IQ35" s="306"/>
      <c r="IR35" s="306"/>
      <c r="IS35" s="306"/>
      <c r="IT35" s="306"/>
      <c r="IU35" s="306"/>
      <c r="IV35" s="306"/>
    </row>
    <row r="36" spans="1:256" s="306" customFormat="1" ht="13.8">
      <c r="A36" s="313" t="s">
        <v>150</v>
      </c>
      <c r="B36" s="313" t="s">
        <v>1426</v>
      </c>
      <c r="C36" s="313" t="s">
        <v>1456</v>
      </c>
      <c r="D36" s="324" t="s">
        <v>1457</v>
      </c>
      <c r="E36" s="315" t="s">
        <v>1429</v>
      </c>
      <c r="F36" s="316">
        <v>14.04</v>
      </c>
      <c r="G36" s="317">
        <f>12.88+(16*3)+96</f>
        <v>156.88</v>
      </c>
      <c r="H36" s="318">
        <f>TRUNC(F36*G36,2)</f>
        <v>2202.59</v>
      </c>
    </row>
    <row r="37" spans="1:256" s="306" customFormat="1" ht="13.8">
      <c r="A37" s="313"/>
      <c r="B37" s="313"/>
      <c r="C37" s="313"/>
      <c r="D37" s="324"/>
      <c r="E37" s="315"/>
      <c r="F37" s="316"/>
      <c r="G37" s="317"/>
      <c r="H37" s="318"/>
    </row>
    <row r="38" spans="1:256" s="306" customFormat="1" ht="13.8">
      <c r="A38" s="320"/>
      <c r="B38" s="320"/>
      <c r="C38" s="320"/>
      <c r="D38" s="321" t="s">
        <v>1439</v>
      </c>
      <c r="E38" s="320"/>
      <c r="F38" s="316"/>
      <c r="G38" s="322"/>
      <c r="H38" s="323">
        <f>SUM(H35:H36)</f>
        <v>2933.65</v>
      </c>
    </row>
    <row r="39" spans="1:256" s="306" customFormat="1" ht="13.8">
      <c r="A39" s="308">
        <v>5</v>
      </c>
      <c r="B39" s="308"/>
      <c r="C39" s="308"/>
      <c r="D39" s="309" t="s">
        <v>802</v>
      </c>
      <c r="E39" s="310"/>
      <c r="F39" s="311"/>
      <c r="G39" s="312"/>
      <c r="H39" s="311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0"/>
      <c r="T39" s="300"/>
      <c r="U39" s="300"/>
      <c r="V39" s="300"/>
      <c r="W39" s="300"/>
      <c r="X39" s="300"/>
      <c r="Y39" s="300"/>
      <c r="Z39" s="300"/>
      <c r="AA39" s="300"/>
      <c r="AB39" s="300"/>
      <c r="AC39" s="300"/>
      <c r="AD39" s="300"/>
      <c r="AE39" s="300"/>
      <c r="AF39" s="300"/>
      <c r="AG39" s="300"/>
      <c r="AH39" s="300"/>
      <c r="AI39" s="300"/>
      <c r="AJ39" s="300"/>
      <c r="AK39" s="300"/>
      <c r="AL39" s="300"/>
      <c r="AM39" s="300"/>
      <c r="AN39" s="300"/>
      <c r="AO39" s="300"/>
      <c r="AP39" s="300"/>
      <c r="AQ39" s="300"/>
      <c r="AR39" s="300"/>
      <c r="AS39" s="300"/>
      <c r="AT39" s="300"/>
      <c r="AU39" s="300"/>
      <c r="AV39" s="300"/>
      <c r="AW39" s="300"/>
      <c r="AX39" s="300"/>
      <c r="AY39" s="300"/>
      <c r="AZ39" s="300"/>
      <c r="BA39" s="300"/>
      <c r="BB39" s="300"/>
      <c r="BC39" s="300"/>
      <c r="BD39" s="300"/>
      <c r="BE39" s="300"/>
      <c r="BF39" s="300"/>
      <c r="BG39" s="300"/>
      <c r="BH39" s="300"/>
      <c r="BI39" s="300"/>
      <c r="BJ39" s="300"/>
      <c r="BK39" s="300"/>
      <c r="BL39" s="300"/>
      <c r="BM39" s="300"/>
      <c r="BN39" s="300"/>
      <c r="BO39" s="300"/>
      <c r="BP39" s="300"/>
      <c r="BQ39" s="300"/>
      <c r="BR39" s="300"/>
      <c r="BS39" s="300"/>
      <c r="BT39" s="300"/>
      <c r="BU39" s="300"/>
      <c r="BV39" s="300"/>
      <c r="BW39" s="300"/>
      <c r="BX39" s="300"/>
      <c r="BY39" s="300"/>
      <c r="BZ39" s="300"/>
      <c r="CA39" s="300"/>
      <c r="CB39" s="300"/>
      <c r="CC39" s="300"/>
      <c r="CD39" s="300"/>
      <c r="CE39" s="300"/>
      <c r="CF39" s="300"/>
      <c r="CG39" s="300"/>
      <c r="CH39" s="300"/>
      <c r="CI39" s="300"/>
      <c r="CJ39" s="300"/>
      <c r="CK39" s="300"/>
      <c r="CL39" s="300"/>
      <c r="CM39" s="300"/>
      <c r="CN39" s="300"/>
      <c r="CO39" s="300"/>
      <c r="CP39" s="300"/>
      <c r="CQ39" s="300"/>
      <c r="CR39" s="300"/>
      <c r="CS39" s="300"/>
      <c r="CT39" s="300"/>
      <c r="CU39" s="300"/>
      <c r="CV39" s="300"/>
      <c r="CW39" s="300"/>
      <c r="CX39" s="300"/>
      <c r="CY39" s="300"/>
      <c r="CZ39" s="300"/>
      <c r="DA39" s="300"/>
      <c r="DB39" s="300"/>
      <c r="DC39" s="300"/>
      <c r="DD39" s="300"/>
      <c r="DE39" s="300"/>
      <c r="DF39" s="300"/>
      <c r="DG39" s="300"/>
      <c r="DH39" s="300"/>
      <c r="DI39" s="300"/>
      <c r="DJ39" s="300"/>
      <c r="DK39" s="300"/>
      <c r="DL39" s="300"/>
      <c r="DM39" s="300"/>
      <c r="DN39" s="300"/>
      <c r="DO39" s="300"/>
      <c r="DP39" s="300"/>
      <c r="DQ39" s="300"/>
      <c r="DR39" s="300"/>
      <c r="DS39" s="300"/>
      <c r="DT39" s="300"/>
      <c r="DU39" s="300"/>
      <c r="DV39" s="300"/>
      <c r="DW39" s="300"/>
      <c r="DX39" s="300"/>
      <c r="DY39" s="300"/>
      <c r="DZ39" s="300"/>
      <c r="EA39" s="300"/>
      <c r="EB39" s="300"/>
      <c r="EC39" s="300"/>
      <c r="ED39" s="300"/>
      <c r="EE39" s="300"/>
      <c r="EF39" s="300"/>
      <c r="EG39" s="300"/>
      <c r="EH39" s="300"/>
      <c r="EI39" s="300"/>
      <c r="EJ39" s="300"/>
      <c r="EK39" s="300"/>
      <c r="EL39" s="300"/>
      <c r="EM39" s="300"/>
      <c r="EN39" s="300"/>
      <c r="EO39" s="300"/>
      <c r="EP39" s="300"/>
      <c r="EQ39" s="300"/>
      <c r="ER39" s="300"/>
      <c r="ES39" s="300"/>
      <c r="ET39" s="300"/>
      <c r="EU39" s="300"/>
      <c r="EV39" s="300"/>
      <c r="EW39" s="300"/>
      <c r="EX39" s="300"/>
      <c r="EY39" s="300"/>
      <c r="EZ39" s="300"/>
      <c r="FA39" s="300"/>
      <c r="FB39" s="300"/>
      <c r="FC39" s="300"/>
      <c r="FD39" s="300"/>
      <c r="FE39" s="300"/>
      <c r="FF39" s="300"/>
      <c r="FG39" s="300"/>
      <c r="FH39" s="300"/>
      <c r="FI39" s="300"/>
      <c r="FJ39" s="300"/>
      <c r="FK39" s="300"/>
      <c r="FL39" s="300"/>
      <c r="FM39" s="300"/>
      <c r="FN39" s="300"/>
      <c r="FO39" s="300"/>
      <c r="FP39" s="300"/>
      <c r="FQ39" s="300"/>
      <c r="FR39" s="300"/>
      <c r="FS39" s="300"/>
      <c r="FT39" s="300"/>
      <c r="FU39" s="300"/>
      <c r="FV39" s="300"/>
      <c r="FW39" s="300"/>
      <c r="FX39" s="300"/>
      <c r="FY39" s="300"/>
      <c r="FZ39" s="300"/>
      <c r="GA39" s="300"/>
      <c r="GB39" s="300"/>
      <c r="GC39" s="300"/>
      <c r="GD39" s="300"/>
      <c r="GE39" s="300"/>
      <c r="GF39" s="300"/>
      <c r="GG39" s="300"/>
      <c r="GH39" s="300"/>
      <c r="GI39" s="300"/>
      <c r="GJ39" s="300"/>
      <c r="GK39" s="300"/>
      <c r="GL39" s="300"/>
      <c r="GM39" s="300"/>
      <c r="GN39" s="300"/>
      <c r="GO39" s="300"/>
      <c r="GP39" s="300"/>
      <c r="GQ39" s="300"/>
      <c r="GR39" s="300"/>
      <c r="GS39" s="300"/>
      <c r="GT39" s="300"/>
      <c r="GU39" s="300"/>
      <c r="GV39" s="300"/>
      <c r="GW39" s="300"/>
      <c r="GX39" s="300"/>
      <c r="GY39" s="300"/>
      <c r="GZ39" s="300"/>
      <c r="HA39" s="300"/>
      <c r="HB39" s="300"/>
      <c r="HC39" s="300"/>
      <c r="HD39" s="300"/>
      <c r="HE39" s="300"/>
      <c r="HF39" s="300"/>
      <c r="HG39" s="300"/>
      <c r="HH39" s="300"/>
      <c r="HI39" s="300"/>
      <c r="HJ39" s="300"/>
      <c r="HK39" s="300"/>
      <c r="HL39" s="300"/>
      <c r="HM39" s="300"/>
      <c r="HN39" s="300"/>
      <c r="HO39" s="300"/>
      <c r="HP39" s="300"/>
      <c r="HQ39" s="300"/>
      <c r="HR39" s="300"/>
      <c r="HS39" s="300"/>
      <c r="HT39" s="300"/>
      <c r="HU39" s="300"/>
      <c r="HV39" s="300"/>
      <c r="HW39" s="300"/>
      <c r="HX39" s="300"/>
      <c r="HY39" s="300"/>
      <c r="HZ39" s="300"/>
      <c r="IA39" s="300"/>
      <c r="IB39" s="300"/>
      <c r="IC39" s="300"/>
      <c r="ID39" s="300"/>
      <c r="IE39" s="300"/>
      <c r="IF39" s="300"/>
      <c r="IG39" s="300"/>
      <c r="IH39" s="300"/>
      <c r="II39" s="300"/>
      <c r="IJ39" s="300"/>
      <c r="IK39" s="300"/>
      <c r="IL39" s="300"/>
      <c r="IM39" s="300"/>
      <c r="IN39" s="300"/>
      <c r="IO39" s="300"/>
      <c r="IP39" s="300"/>
      <c r="IQ39" s="300"/>
      <c r="IR39" s="300"/>
      <c r="IS39" s="300"/>
      <c r="IT39" s="300"/>
      <c r="IU39" s="300"/>
      <c r="IV39" s="300"/>
    </row>
    <row r="40" spans="1:256" s="306" customFormat="1" ht="13.8">
      <c r="A40" s="313" t="s">
        <v>165</v>
      </c>
      <c r="B40" s="313" t="s">
        <v>1426</v>
      </c>
      <c r="C40" s="313" t="s">
        <v>1458</v>
      </c>
      <c r="D40" s="324" t="s">
        <v>1459</v>
      </c>
      <c r="E40" s="315" t="s">
        <v>1429</v>
      </c>
      <c r="F40" s="316">
        <v>63.02</v>
      </c>
      <c r="G40" s="317">
        <f>14.5*4</f>
        <v>58</v>
      </c>
      <c r="H40" s="318">
        <f>TRUNC(F40*G40,2)</f>
        <v>3655.16</v>
      </c>
    </row>
    <row r="41" spans="1:256" s="300" customFormat="1" ht="13.8">
      <c r="A41" s="313"/>
      <c r="B41" s="313"/>
      <c r="C41" s="313"/>
      <c r="D41" s="324"/>
      <c r="E41" s="315"/>
      <c r="F41" s="316"/>
      <c r="G41" s="317"/>
      <c r="H41" s="318"/>
      <c r="I41" s="306"/>
      <c r="J41" s="306"/>
      <c r="K41" s="306"/>
      <c r="L41" s="306"/>
      <c r="M41" s="306"/>
      <c r="N41" s="306"/>
      <c r="O41" s="306"/>
      <c r="P41" s="306"/>
      <c r="Q41" s="306"/>
      <c r="R41" s="306"/>
      <c r="S41" s="306"/>
      <c r="T41" s="306"/>
      <c r="U41" s="306"/>
      <c r="V41" s="306"/>
      <c r="W41" s="306"/>
      <c r="X41" s="306"/>
      <c r="Y41" s="306"/>
      <c r="Z41" s="306"/>
      <c r="AA41" s="306"/>
      <c r="AB41" s="306"/>
      <c r="AC41" s="306"/>
      <c r="AD41" s="306"/>
      <c r="AE41" s="306"/>
      <c r="AF41" s="306"/>
      <c r="AG41" s="306"/>
      <c r="AH41" s="306"/>
      <c r="AI41" s="306"/>
      <c r="AJ41" s="306"/>
      <c r="AK41" s="306"/>
      <c r="AL41" s="306"/>
      <c r="AM41" s="306"/>
      <c r="AN41" s="306"/>
      <c r="AO41" s="306"/>
      <c r="AP41" s="306"/>
      <c r="AQ41" s="306"/>
      <c r="AR41" s="306"/>
      <c r="AS41" s="306"/>
      <c r="AT41" s="306"/>
      <c r="AU41" s="306"/>
      <c r="AV41" s="306"/>
      <c r="AW41" s="306"/>
      <c r="AX41" s="306"/>
      <c r="AY41" s="306"/>
      <c r="AZ41" s="306"/>
      <c r="BA41" s="306"/>
      <c r="BB41" s="306"/>
      <c r="BC41" s="306"/>
      <c r="BD41" s="306"/>
      <c r="BE41" s="306"/>
      <c r="BF41" s="306"/>
      <c r="BG41" s="306"/>
      <c r="BH41" s="306"/>
      <c r="BI41" s="306"/>
      <c r="BJ41" s="306"/>
      <c r="BK41" s="306"/>
      <c r="BL41" s="306"/>
      <c r="BM41" s="306"/>
      <c r="BN41" s="306"/>
      <c r="BO41" s="306"/>
      <c r="BP41" s="306"/>
      <c r="BQ41" s="306"/>
      <c r="BR41" s="306"/>
      <c r="BS41" s="306"/>
      <c r="BT41" s="306"/>
      <c r="BU41" s="306"/>
      <c r="BV41" s="306"/>
      <c r="BW41" s="306"/>
      <c r="BX41" s="306"/>
      <c r="BY41" s="306"/>
      <c r="BZ41" s="306"/>
      <c r="CA41" s="306"/>
      <c r="CB41" s="306"/>
      <c r="CC41" s="306"/>
      <c r="CD41" s="306"/>
      <c r="CE41" s="306"/>
      <c r="CF41" s="306"/>
      <c r="CG41" s="306"/>
      <c r="CH41" s="306"/>
      <c r="CI41" s="306"/>
      <c r="CJ41" s="306"/>
      <c r="CK41" s="306"/>
      <c r="CL41" s="306"/>
      <c r="CM41" s="306"/>
      <c r="CN41" s="306"/>
      <c r="CO41" s="306"/>
      <c r="CP41" s="306"/>
      <c r="CQ41" s="306"/>
      <c r="CR41" s="306"/>
      <c r="CS41" s="306"/>
      <c r="CT41" s="306"/>
      <c r="CU41" s="306"/>
      <c r="CV41" s="306"/>
      <c r="CW41" s="306"/>
      <c r="CX41" s="306"/>
      <c r="CY41" s="306"/>
      <c r="CZ41" s="306"/>
      <c r="DA41" s="306"/>
      <c r="DB41" s="306"/>
      <c r="DC41" s="306"/>
      <c r="DD41" s="306"/>
      <c r="DE41" s="306"/>
      <c r="DF41" s="306"/>
      <c r="DG41" s="306"/>
      <c r="DH41" s="306"/>
      <c r="DI41" s="306"/>
      <c r="DJ41" s="306"/>
      <c r="DK41" s="306"/>
      <c r="DL41" s="306"/>
      <c r="DM41" s="306"/>
      <c r="DN41" s="306"/>
      <c r="DO41" s="306"/>
      <c r="DP41" s="306"/>
      <c r="DQ41" s="306"/>
      <c r="DR41" s="306"/>
      <c r="DS41" s="306"/>
      <c r="DT41" s="306"/>
      <c r="DU41" s="306"/>
      <c r="DV41" s="306"/>
      <c r="DW41" s="306"/>
      <c r="DX41" s="306"/>
      <c r="DY41" s="306"/>
      <c r="DZ41" s="306"/>
      <c r="EA41" s="306"/>
      <c r="EB41" s="306"/>
      <c r="EC41" s="306"/>
      <c r="ED41" s="306"/>
      <c r="EE41" s="306"/>
      <c r="EF41" s="306"/>
      <c r="EG41" s="306"/>
      <c r="EH41" s="306"/>
      <c r="EI41" s="306"/>
      <c r="EJ41" s="306"/>
      <c r="EK41" s="306"/>
      <c r="EL41" s="306"/>
      <c r="EM41" s="306"/>
      <c r="EN41" s="306"/>
      <c r="EO41" s="306"/>
      <c r="EP41" s="306"/>
      <c r="EQ41" s="306"/>
      <c r="ER41" s="306"/>
      <c r="ES41" s="306"/>
      <c r="ET41" s="306"/>
      <c r="EU41" s="306"/>
      <c r="EV41" s="306"/>
      <c r="EW41" s="306"/>
      <c r="EX41" s="306"/>
      <c r="EY41" s="306"/>
      <c r="EZ41" s="306"/>
      <c r="FA41" s="306"/>
      <c r="FB41" s="306"/>
      <c r="FC41" s="306"/>
      <c r="FD41" s="306"/>
      <c r="FE41" s="306"/>
      <c r="FF41" s="306"/>
      <c r="FG41" s="306"/>
      <c r="FH41" s="306"/>
      <c r="FI41" s="306"/>
      <c r="FJ41" s="306"/>
      <c r="FK41" s="306"/>
      <c r="FL41" s="306"/>
      <c r="FM41" s="306"/>
      <c r="FN41" s="306"/>
      <c r="FO41" s="306"/>
      <c r="FP41" s="306"/>
      <c r="FQ41" s="306"/>
      <c r="FR41" s="306"/>
      <c r="FS41" s="306"/>
      <c r="FT41" s="306"/>
      <c r="FU41" s="306"/>
      <c r="FV41" s="306"/>
      <c r="FW41" s="306"/>
      <c r="FX41" s="306"/>
      <c r="FY41" s="306"/>
      <c r="FZ41" s="306"/>
      <c r="GA41" s="306"/>
      <c r="GB41" s="306"/>
      <c r="GC41" s="306"/>
      <c r="GD41" s="306"/>
      <c r="GE41" s="306"/>
      <c r="GF41" s="306"/>
      <c r="GG41" s="306"/>
      <c r="GH41" s="306"/>
      <c r="GI41" s="306"/>
      <c r="GJ41" s="306"/>
      <c r="GK41" s="306"/>
      <c r="GL41" s="306"/>
      <c r="GM41" s="306"/>
      <c r="GN41" s="306"/>
      <c r="GO41" s="306"/>
      <c r="GP41" s="306"/>
      <c r="GQ41" s="306"/>
      <c r="GR41" s="306"/>
      <c r="GS41" s="306"/>
      <c r="GT41" s="306"/>
      <c r="GU41" s="306"/>
      <c r="GV41" s="306"/>
      <c r="GW41" s="306"/>
      <c r="GX41" s="306"/>
      <c r="GY41" s="306"/>
      <c r="GZ41" s="306"/>
      <c r="HA41" s="306"/>
      <c r="HB41" s="306"/>
      <c r="HC41" s="306"/>
      <c r="HD41" s="306"/>
      <c r="HE41" s="306"/>
      <c r="HF41" s="306"/>
      <c r="HG41" s="306"/>
      <c r="HH41" s="306"/>
      <c r="HI41" s="306"/>
      <c r="HJ41" s="306"/>
      <c r="HK41" s="306"/>
      <c r="HL41" s="306"/>
      <c r="HM41" s="306"/>
      <c r="HN41" s="306"/>
      <c r="HO41" s="306"/>
      <c r="HP41" s="306"/>
      <c r="HQ41" s="306"/>
      <c r="HR41" s="306"/>
      <c r="HS41" s="306"/>
      <c r="HT41" s="306"/>
      <c r="HU41" s="306"/>
      <c r="HV41" s="306"/>
      <c r="HW41" s="306"/>
      <c r="HX41" s="306"/>
      <c r="HY41" s="306"/>
      <c r="HZ41" s="306"/>
      <c r="IA41" s="306"/>
      <c r="IB41" s="306"/>
      <c r="IC41" s="306"/>
      <c r="ID41" s="306"/>
      <c r="IE41" s="306"/>
      <c r="IF41" s="306"/>
      <c r="IG41" s="306"/>
      <c r="IH41" s="306"/>
      <c r="II41" s="306"/>
      <c r="IJ41" s="306"/>
      <c r="IK41" s="306"/>
      <c r="IL41" s="306"/>
      <c r="IM41" s="306"/>
      <c r="IN41" s="306"/>
      <c r="IO41" s="306"/>
      <c r="IP41" s="306"/>
      <c r="IQ41" s="306"/>
      <c r="IR41" s="306"/>
      <c r="IS41" s="306"/>
      <c r="IT41" s="306"/>
      <c r="IU41" s="306"/>
      <c r="IV41" s="306"/>
    </row>
    <row r="42" spans="1:256" s="300" customFormat="1" ht="13.8">
      <c r="A42" s="313"/>
      <c r="B42" s="313"/>
      <c r="C42" s="313"/>
      <c r="D42" s="324"/>
      <c r="E42" s="315"/>
      <c r="F42" s="316"/>
      <c r="G42" s="317"/>
      <c r="H42" s="323">
        <f>SUM(H40)</f>
        <v>3655.16</v>
      </c>
      <c r="I42" s="306"/>
      <c r="J42" s="306"/>
      <c r="K42" s="306"/>
      <c r="L42" s="306"/>
      <c r="M42" s="306"/>
      <c r="N42" s="306"/>
      <c r="O42" s="306"/>
      <c r="P42" s="306"/>
      <c r="Q42" s="306"/>
      <c r="R42" s="306"/>
      <c r="S42" s="306"/>
      <c r="T42" s="306"/>
      <c r="U42" s="306"/>
      <c r="V42" s="306"/>
      <c r="W42" s="306"/>
      <c r="X42" s="306"/>
      <c r="Y42" s="306"/>
      <c r="Z42" s="306"/>
      <c r="AA42" s="306"/>
      <c r="AB42" s="306"/>
      <c r="AC42" s="306"/>
      <c r="AD42" s="306"/>
      <c r="AE42" s="306"/>
      <c r="AF42" s="306"/>
      <c r="AG42" s="306"/>
      <c r="AH42" s="306"/>
      <c r="AI42" s="306"/>
      <c r="AJ42" s="306"/>
      <c r="AK42" s="306"/>
      <c r="AL42" s="306"/>
      <c r="AM42" s="306"/>
      <c r="AN42" s="306"/>
      <c r="AO42" s="306"/>
      <c r="AP42" s="306"/>
      <c r="AQ42" s="306"/>
      <c r="AR42" s="306"/>
      <c r="AS42" s="306"/>
      <c r="AT42" s="306"/>
      <c r="AU42" s="306"/>
      <c r="AV42" s="306"/>
      <c r="AW42" s="306"/>
      <c r="AX42" s="306"/>
      <c r="AY42" s="306"/>
      <c r="AZ42" s="306"/>
      <c r="BA42" s="306"/>
      <c r="BB42" s="306"/>
      <c r="BC42" s="306"/>
      <c r="BD42" s="306"/>
      <c r="BE42" s="306"/>
      <c r="BF42" s="306"/>
      <c r="BG42" s="306"/>
      <c r="BH42" s="306"/>
      <c r="BI42" s="306"/>
      <c r="BJ42" s="306"/>
      <c r="BK42" s="306"/>
      <c r="BL42" s="306"/>
      <c r="BM42" s="306"/>
      <c r="BN42" s="306"/>
      <c r="BO42" s="306"/>
      <c r="BP42" s="306"/>
      <c r="BQ42" s="306"/>
      <c r="BR42" s="306"/>
      <c r="BS42" s="306"/>
      <c r="BT42" s="306"/>
      <c r="BU42" s="306"/>
      <c r="BV42" s="306"/>
      <c r="BW42" s="306"/>
      <c r="BX42" s="306"/>
      <c r="BY42" s="306"/>
      <c r="BZ42" s="306"/>
      <c r="CA42" s="306"/>
      <c r="CB42" s="306"/>
      <c r="CC42" s="306"/>
      <c r="CD42" s="306"/>
      <c r="CE42" s="306"/>
      <c r="CF42" s="306"/>
      <c r="CG42" s="306"/>
      <c r="CH42" s="306"/>
      <c r="CI42" s="306"/>
      <c r="CJ42" s="306"/>
      <c r="CK42" s="306"/>
      <c r="CL42" s="306"/>
      <c r="CM42" s="306"/>
      <c r="CN42" s="306"/>
      <c r="CO42" s="306"/>
      <c r="CP42" s="306"/>
      <c r="CQ42" s="306"/>
      <c r="CR42" s="306"/>
      <c r="CS42" s="306"/>
      <c r="CT42" s="306"/>
      <c r="CU42" s="306"/>
      <c r="CV42" s="306"/>
      <c r="CW42" s="306"/>
      <c r="CX42" s="306"/>
      <c r="CY42" s="306"/>
      <c r="CZ42" s="306"/>
      <c r="DA42" s="306"/>
      <c r="DB42" s="306"/>
      <c r="DC42" s="306"/>
      <c r="DD42" s="306"/>
      <c r="DE42" s="306"/>
      <c r="DF42" s="306"/>
      <c r="DG42" s="306"/>
      <c r="DH42" s="306"/>
      <c r="DI42" s="306"/>
      <c r="DJ42" s="306"/>
      <c r="DK42" s="306"/>
      <c r="DL42" s="306"/>
      <c r="DM42" s="306"/>
      <c r="DN42" s="306"/>
      <c r="DO42" s="306"/>
      <c r="DP42" s="306"/>
      <c r="DQ42" s="306"/>
      <c r="DR42" s="306"/>
      <c r="DS42" s="306"/>
      <c r="DT42" s="306"/>
      <c r="DU42" s="306"/>
      <c r="DV42" s="306"/>
      <c r="DW42" s="306"/>
      <c r="DX42" s="306"/>
      <c r="DY42" s="306"/>
      <c r="DZ42" s="306"/>
      <c r="EA42" s="306"/>
      <c r="EB42" s="306"/>
      <c r="EC42" s="306"/>
      <c r="ED42" s="306"/>
      <c r="EE42" s="306"/>
      <c r="EF42" s="306"/>
      <c r="EG42" s="306"/>
      <c r="EH42" s="306"/>
      <c r="EI42" s="306"/>
      <c r="EJ42" s="306"/>
      <c r="EK42" s="306"/>
      <c r="EL42" s="306"/>
      <c r="EM42" s="306"/>
      <c r="EN42" s="306"/>
      <c r="EO42" s="306"/>
      <c r="EP42" s="306"/>
      <c r="EQ42" s="306"/>
      <c r="ER42" s="306"/>
      <c r="ES42" s="306"/>
      <c r="ET42" s="306"/>
      <c r="EU42" s="306"/>
      <c r="EV42" s="306"/>
      <c r="EW42" s="306"/>
      <c r="EX42" s="306"/>
      <c r="EY42" s="306"/>
      <c r="EZ42" s="306"/>
      <c r="FA42" s="306"/>
      <c r="FB42" s="306"/>
      <c r="FC42" s="306"/>
      <c r="FD42" s="306"/>
      <c r="FE42" s="306"/>
      <c r="FF42" s="306"/>
      <c r="FG42" s="306"/>
      <c r="FH42" s="306"/>
      <c r="FI42" s="306"/>
      <c r="FJ42" s="306"/>
      <c r="FK42" s="306"/>
      <c r="FL42" s="306"/>
      <c r="FM42" s="306"/>
      <c r="FN42" s="306"/>
      <c r="FO42" s="306"/>
      <c r="FP42" s="306"/>
      <c r="FQ42" s="306"/>
      <c r="FR42" s="306"/>
      <c r="FS42" s="306"/>
      <c r="FT42" s="306"/>
      <c r="FU42" s="306"/>
      <c r="FV42" s="306"/>
      <c r="FW42" s="306"/>
      <c r="FX42" s="306"/>
      <c r="FY42" s="306"/>
      <c r="FZ42" s="306"/>
      <c r="GA42" s="306"/>
      <c r="GB42" s="306"/>
      <c r="GC42" s="306"/>
      <c r="GD42" s="306"/>
      <c r="GE42" s="306"/>
      <c r="GF42" s="306"/>
      <c r="GG42" s="306"/>
      <c r="GH42" s="306"/>
      <c r="GI42" s="306"/>
      <c r="GJ42" s="306"/>
      <c r="GK42" s="306"/>
      <c r="GL42" s="306"/>
      <c r="GM42" s="306"/>
      <c r="GN42" s="306"/>
      <c r="GO42" s="306"/>
      <c r="GP42" s="306"/>
      <c r="GQ42" s="306"/>
      <c r="GR42" s="306"/>
      <c r="GS42" s="306"/>
      <c r="GT42" s="306"/>
      <c r="GU42" s="306"/>
      <c r="GV42" s="306"/>
      <c r="GW42" s="306"/>
      <c r="GX42" s="306"/>
      <c r="GY42" s="306"/>
      <c r="GZ42" s="306"/>
      <c r="HA42" s="306"/>
      <c r="HB42" s="306"/>
      <c r="HC42" s="306"/>
      <c r="HD42" s="306"/>
      <c r="HE42" s="306"/>
      <c r="HF42" s="306"/>
      <c r="HG42" s="306"/>
      <c r="HH42" s="306"/>
      <c r="HI42" s="306"/>
      <c r="HJ42" s="306"/>
      <c r="HK42" s="306"/>
      <c r="HL42" s="306"/>
      <c r="HM42" s="306"/>
      <c r="HN42" s="306"/>
      <c r="HO42" s="306"/>
      <c r="HP42" s="306"/>
      <c r="HQ42" s="306"/>
      <c r="HR42" s="306"/>
      <c r="HS42" s="306"/>
      <c r="HT42" s="306"/>
      <c r="HU42" s="306"/>
      <c r="HV42" s="306"/>
      <c r="HW42" s="306"/>
      <c r="HX42" s="306"/>
      <c r="HY42" s="306"/>
      <c r="HZ42" s="306"/>
      <c r="IA42" s="306"/>
      <c r="IB42" s="306"/>
      <c r="IC42" s="306"/>
      <c r="ID42" s="306"/>
      <c r="IE42" s="306"/>
      <c r="IF42" s="306"/>
      <c r="IG42" s="306"/>
      <c r="IH42" s="306"/>
      <c r="II42" s="306"/>
      <c r="IJ42" s="306"/>
      <c r="IK42" s="306"/>
      <c r="IL42" s="306"/>
      <c r="IM42" s="306"/>
      <c r="IN42" s="306"/>
      <c r="IO42" s="306"/>
      <c r="IP42" s="306"/>
      <c r="IQ42" s="306"/>
      <c r="IR42" s="306"/>
      <c r="IS42" s="306"/>
      <c r="IT42" s="306"/>
      <c r="IU42" s="306"/>
      <c r="IV42" s="306"/>
    </row>
    <row r="43" spans="1:256" s="306" customFormat="1" ht="17.25" customHeight="1">
      <c r="A43" s="308">
        <v>6</v>
      </c>
      <c r="B43" s="308"/>
      <c r="C43" s="308"/>
      <c r="D43" s="309" t="s">
        <v>254</v>
      </c>
      <c r="E43" s="310"/>
      <c r="F43" s="311"/>
      <c r="G43" s="312"/>
      <c r="H43" s="311"/>
      <c r="I43" s="308">
        <v>3</v>
      </c>
      <c r="J43" s="308"/>
      <c r="K43" s="308"/>
      <c r="L43" s="309" t="s">
        <v>802</v>
      </c>
      <c r="M43" s="310"/>
      <c r="N43" s="311"/>
      <c r="O43" s="312"/>
      <c r="P43" s="311"/>
      <c r="Q43" s="308">
        <v>3</v>
      </c>
      <c r="R43" s="308"/>
      <c r="S43" s="308"/>
      <c r="T43" s="309" t="s">
        <v>802</v>
      </c>
      <c r="U43" s="310"/>
      <c r="V43" s="311"/>
      <c r="W43" s="312"/>
      <c r="X43" s="311"/>
      <c r="Y43" s="308">
        <v>3</v>
      </c>
      <c r="Z43" s="308"/>
      <c r="AA43" s="308"/>
      <c r="AB43" s="309" t="s">
        <v>802</v>
      </c>
      <c r="AC43" s="310"/>
      <c r="AD43" s="311"/>
      <c r="AE43" s="312"/>
      <c r="AF43" s="311"/>
      <c r="AG43" s="308">
        <v>3</v>
      </c>
      <c r="AH43" s="308"/>
      <c r="AI43" s="308"/>
      <c r="AJ43" s="309" t="s">
        <v>802</v>
      </c>
      <c r="AK43" s="310"/>
      <c r="AL43" s="311"/>
      <c r="AM43" s="312"/>
      <c r="AN43" s="311"/>
      <c r="AO43" s="308">
        <v>3</v>
      </c>
      <c r="AP43" s="308"/>
      <c r="AQ43" s="308"/>
      <c r="AR43" s="309" t="s">
        <v>802</v>
      </c>
      <c r="AS43" s="310"/>
      <c r="AT43" s="311"/>
      <c r="AU43" s="312"/>
      <c r="AV43" s="311"/>
      <c r="AW43" s="308">
        <v>3</v>
      </c>
      <c r="AX43" s="308"/>
      <c r="AY43" s="308"/>
      <c r="AZ43" s="309" t="s">
        <v>802</v>
      </c>
      <c r="BA43" s="310"/>
      <c r="BB43" s="311"/>
      <c r="BC43" s="312"/>
      <c r="BD43" s="311"/>
      <c r="BE43" s="308">
        <v>3</v>
      </c>
      <c r="BF43" s="308"/>
      <c r="BG43" s="308"/>
      <c r="BH43" s="309" t="s">
        <v>802</v>
      </c>
      <c r="BI43" s="310"/>
      <c r="BJ43" s="311"/>
      <c r="BK43" s="312"/>
      <c r="BL43" s="311"/>
      <c r="BM43" s="308">
        <v>3</v>
      </c>
      <c r="BN43" s="308"/>
      <c r="BO43" s="308"/>
      <c r="BP43" s="309" t="s">
        <v>802</v>
      </c>
      <c r="BQ43" s="310"/>
      <c r="BR43" s="311"/>
      <c r="BS43" s="312"/>
      <c r="BT43" s="311"/>
      <c r="BU43" s="308">
        <v>3</v>
      </c>
      <c r="BV43" s="308"/>
      <c r="BW43" s="308"/>
      <c r="BX43" s="309" t="s">
        <v>802</v>
      </c>
      <c r="BY43" s="310"/>
      <c r="BZ43" s="311"/>
      <c r="CA43" s="312"/>
      <c r="CB43" s="311"/>
      <c r="CC43" s="308">
        <v>3</v>
      </c>
      <c r="CD43" s="308"/>
      <c r="CE43" s="308"/>
      <c r="CF43" s="309" t="s">
        <v>802</v>
      </c>
      <c r="CG43" s="310"/>
      <c r="CH43" s="311"/>
      <c r="CI43" s="312"/>
      <c r="CJ43" s="311"/>
      <c r="CK43" s="308">
        <v>3</v>
      </c>
      <c r="CL43" s="308"/>
      <c r="CM43" s="308"/>
      <c r="CN43" s="309" t="s">
        <v>802</v>
      </c>
      <c r="CO43" s="310"/>
      <c r="CP43" s="311"/>
      <c r="CQ43" s="312"/>
      <c r="CR43" s="311"/>
      <c r="CS43" s="308">
        <v>3</v>
      </c>
      <c r="CT43" s="308"/>
      <c r="CU43" s="308"/>
      <c r="CV43" s="309" t="s">
        <v>802</v>
      </c>
      <c r="CW43" s="310"/>
      <c r="CX43" s="311"/>
      <c r="CY43" s="312"/>
      <c r="CZ43" s="311"/>
      <c r="DA43" s="308">
        <v>3</v>
      </c>
      <c r="DB43" s="308"/>
      <c r="DC43" s="308"/>
      <c r="DD43" s="309" t="s">
        <v>802</v>
      </c>
      <c r="DE43" s="310"/>
      <c r="DF43" s="311"/>
      <c r="DG43" s="312"/>
      <c r="DH43" s="311"/>
      <c r="DI43" s="308">
        <v>3</v>
      </c>
      <c r="DJ43" s="308"/>
      <c r="DK43" s="308"/>
      <c r="DL43" s="309" t="s">
        <v>802</v>
      </c>
      <c r="DM43" s="310"/>
      <c r="DN43" s="311"/>
      <c r="DO43" s="312"/>
      <c r="DP43" s="311"/>
      <c r="DQ43" s="308">
        <v>3</v>
      </c>
      <c r="DR43" s="308"/>
      <c r="DS43" s="308"/>
      <c r="DT43" s="309" t="s">
        <v>802</v>
      </c>
      <c r="DU43" s="310"/>
      <c r="DV43" s="311"/>
      <c r="DW43" s="312"/>
      <c r="DX43" s="311"/>
      <c r="DY43" s="308">
        <v>3</v>
      </c>
      <c r="DZ43" s="308"/>
      <c r="EA43" s="308"/>
      <c r="EB43" s="309" t="s">
        <v>802</v>
      </c>
      <c r="EC43" s="310"/>
      <c r="ED43" s="311"/>
      <c r="EE43" s="312"/>
      <c r="EF43" s="311"/>
      <c r="EG43" s="308">
        <v>3</v>
      </c>
      <c r="EH43" s="308"/>
      <c r="EI43" s="308"/>
      <c r="EJ43" s="309" t="s">
        <v>802</v>
      </c>
      <c r="EK43" s="310"/>
      <c r="EL43" s="311"/>
      <c r="EM43" s="312"/>
      <c r="EN43" s="311"/>
      <c r="EO43" s="308">
        <v>3</v>
      </c>
      <c r="EP43" s="308"/>
      <c r="EQ43" s="308"/>
      <c r="ER43" s="309" t="s">
        <v>802</v>
      </c>
      <c r="ES43" s="310"/>
      <c r="ET43" s="311"/>
      <c r="EU43" s="312"/>
      <c r="EV43" s="311"/>
      <c r="EW43" s="308">
        <v>3</v>
      </c>
      <c r="EX43" s="308"/>
      <c r="EY43" s="308"/>
      <c r="EZ43" s="309" t="s">
        <v>802</v>
      </c>
      <c r="FA43" s="310"/>
      <c r="FB43" s="311"/>
      <c r="FC43" s="312"/>
      <c r="FD43" s="311"/>
      <c r="FE43" s="308">
        <v>3</v>
      </c>
      <c r="FF43" s="308"/>
      <c r="FG43" s="308"/>
      <c r="FH43" s="309" t="s">
        <v>802</v>
      </c>
      <c r="FI43" s="310"/>
      <c r="FJ43" s="311"/>
      <c r="FK43" s="312"/>
      <c r="FL43" s="311"/>
      <c r="FM43" s="308">
        <v>3</v>
      </c>
      <c r="FN43" s="308"/>
      <c r="FO43" s="308"/>
      <c r="FP43" s="309" t="s">
        <v>802</v>
      </c>
      <c r="FQ43" s="310"/>
      <c r="FR43" s="311"/>
      <c r="FS43" s="312"/>
      <c r="FT43" s="311"/>
      <c r="FU43" s="308">
        <v>3</v>
      </c>
      <c r="FV43" s="308"/>
      <c r="FW43" s="308"/>
      <c r="FX43" s="309" t="s">
        <v>802</v>
      </c>
      <c r="FY43" s="310"/>
      <c r="FZ43" s="311"/>
      <c r="GA43" s="312"/>
      <c r="GB43" s="311"/>
      <c r="GC43" s="308">
        <v>3</v>
      </c>
      <c r="GD43" s="308"/>
      <c r="GE43" s="308"/>
      <c r="GF43" s="309" t="s">
        <v>802</v>
      </c>
      <c r="GG43" s="310"/>
      <c r="GH43" s="311"/>
      <c r="GI43" s="312"/>
      <c r="GJ43" s="311"/>
      <c r="GK43" s="308">
        <v>3</v>
      </c>
      <c r="GL43" s="308"/>
      <c r="GM43" s="308"/>
      <c r="GN43" s="309" t="s">
        <v>802</v>
      </c>
      <c r="GO43" s="310"/>
      <c r="GP43" s="311"/>
      <c r="GQ43" s="312"/>
      <c r="GR43" s="311"/>
      <c r="GS43" s="308">
        <v>3</v>
      </c>
      <c r="GT43" s="308"/>
      <c r="GU43" s="308"/>
      <c r="GV43" s="309" t="s">
        <v>802</v>
      </c>
      <c r="GW43" s="310"/>
      <c r="GX43" s="311"/>
      <c r="GY43" s="312"/>
      <c r="GZ43" s="311"/>
      <c r="HA43" s="308">
        <v>3</v>
      </c>
      <c r="HB43" s="308"/>
      <c r="HC43" s="308"/>
      <c r="HD43" s="309" t="s">
        <v>802</v>
      </c>
      <c r="HE43" s="310"/>
      <c r="HF43" s="311"/>
      <c r="HG43" s="312"/>
      <c r="HH43" s="311"/>
      <c r="HI43" s="308">
        <v>3</v>
      </c>
      <c r="HJ43" s="308"/>
      <c r="HK43" s="308"/>
      <c r="HL43" s="309" t="s">
        <v>802</v>
      </c>
      <c r="HM43" s="310"/>
      <c r="HN43" s="311"/>
      <c r="HO43" s="312"/>
      <c r="HP43" s="311"/>
      <c r="HQ43" s="308">
        <v>3</v>
      </c>
      <c r="HR43" s="308"/>
      <c r="HS43" s="308"/>
      <c r="HT43" s="309" t="s">
        <v>802</v>
      </c>
      <c r="HU43" s="310"/>
      <c r="HV43" s="311"/>
      <c r="HW43" s="312"/>
      <c r="HX43" s="311"/>
      <c r="HY43" s="308">
        <v>3</v>
      </c>
      <c r="HZ43" s="308"/>
      <c r="IA43" s="308"/>
      <c r="IB43" s="309" t="s">
        <v>802</v>
      </c>
      <c r="IC43" s="310"/>
      <c r="ID43" s="311"/>
      <c r="IE43" s="312"/>
      <c r="IF43" s="311"/>
      <c r="IG43" s="308">
        <v>3</v>
      </c>
      <c r="IH43" s="308"/>
      <c r="II43" s="308"/>
      <c r="IJ43" s="309" t="s">
        <v>802</v>
      </c>
      <c r="IK43" s="310"/>
      <c r="IL43" s="311"/>
      <c r="IM43" s="312"/>
      <c r="IN43" s="311"/>
      <c r="IO43" s="308">
        <v>3</v>
      </c>
      <c r="IP43" s="308"/>
      <c r="IQ43" s="308"/>
      <c r="IR43" s="309" t="s">
        <v>802</v>
      </c>
      <c r="IS43" s="310"/>
      <c r="IT43" s="311"/>
      <c r="IU43" s="312"/>
      <c r="IV43" s="311"/>
    </row>
    <row r="44" spans="1:256" s="306" customFormat="1" ht="17.25" customHeight="1">
      <c r="A44" s="313" t="s">
        <v>227</v>
      </c>
      <c r="B44" s="313" t="s">
        <v>1426</v>
      </c>
      <c r="C44" s="313" t="s">
        <v>1460</v>
      </c>
      <c r="D44" s="324" t="s">
        <v>1461</v>
      </c>
      <c r="E44" s="315" t="s">
        <v>1438</v>
      </c>
      <c r="F44" s="316">
        <v>354.44</v>
      </c>
      <c r="G44" s="317">
        <v>2</v>
      </c>
      <c r="H44" s="318">
        <f>TRUNC(F44*G44,2)</f>
        <v>708.88</v>
      </c>
      <c r="I44" s="313" t="s">
        <v>98</v>
      </c>
      <c r="J44" s="313"/>
      <c r="K44" s="313" t="s">
        <v>1458</v>
      </c>
      <c r="L44" s="324" t="s">
        <v>1459</v>
      </c>
      <c r="M44" s="315" t="s">
        <v>1462</v>
      </c>
      <c r="N44" s="316">
        <v>63.02</v>
      </c>
      <c r="O44" s="317"/>
      <c r="P44" s="318">
        <f>TRUNC(N44*O44,2)</f>
        <v>0</v>
      </c>
      <c r="Q44" s="313" t="s">
        <v>98</v>
      </c>
      <c r="R44" s="313"/>
      <c r="S44" s="313" t="s">
        <v>1458</v>
      </c>
      <c r="T44" s="324" t="s">
        <v>1459</v>
      </c>
      <c r="U44" s="315" t="s">
        <v>1462</v>
      </c>
      <c r="V44" s="316">
        <v>63.02</v>
      </c>
      <c r="W44" s="317"/>
      <c r="X44" s="318">
        <f>TRUNC(V44*W44,2)</f>
        <v>0</v>
      </c>
      <c r="Y44" s="313" t="s">
        <v>98</v>
      </c>
      <c r="Z44" s="313"/>
      <c r="AA44" s="313" t="s">
        <v>1458</v>
      </c>
      <c r="AB44" s="324" t="s">
        <v>1459</v>
      </c>
      <c r="AC44" s="315" t="s">
        <v>1462</v>
      </c>
      <c r="AD44" s="316">
        <v>63.02</v>
      </c>
      <c r="AE44" s="317"/>
      <c r="AF44" s="318">
        <f>TRUNC(AD44*AE44,2)</f>
        <v>0</v>
      </c>
      <c r="AG44" s="313" t="s">
        <v>98</v>
      </c>
      <c r="AH44" s="313"/>
      <c r="AI44" s="313" t="s">
        <v>1458</v>
      </c>
      <c r="AJ44" s="324" t="s">
        <v>1459</v>
      </c>
      <c r="AK44" s="315" t="s">
        <v>1462</v>
      </c>
      <c r="AL44" s="316">
        <v>63.02</v>
      </c>
      <c r="AM44" s="317"/>
      <c r="AN44" s="318">
        <f>TRUNC(AL44*AM44,2)</f>
        <v>0</v>
      </c>
      <c r="AO44" s="313" t="s">
        <v>98</v>
      </c>
      <c r="AP44" s="313"/>
      <c r="AQ44" s="313" t="s">
        <v>1458</v>
      </c>
      <c r="AR44" s="324" t="s">
        <v>1459</v>
      </c>
      <c r="AS44" s="315" t="s">
        <v>1462</v>
      </c>
      <c r="AT44" s="316">
        <v>63.02</v>
      </c>
      <c r="AU44" s="317"/>
      <c r="AV44" s="318">
        <f>TRUNC(AT44*AU44,2)</f>
        <v>0</v>
      </c>
      <c r="AW44" s="313" t="s">
        <v>98</v>
      </c>
      <c r="AX44" s="313"/>
      <c r="AY44" s="313" t="s">
        <v>1458</v>
      </c>
      <c r="AZ44" s="324" t="s">
        <v>1459</v>
      </c>
      <c r="BA44" s="315" t="s">
        <v>1462</v>
      </c>
      <c r="BB44" s="316">
        <v>63.02</v>
      </c>
      <c r="BC44" s="317"/>
      <c r="BD44" s="318">
        <f>TRUNC(BB44*BC44,2)</f>
        <v>0</v>
      </c>
      <c r="BE44" s="313" t="s">
        <v>98</v>
      </c>
      <c r="BF44" s="313"/>
      <c r="BG44" s="313" t="s">
        <v>1458</v>
      </c>
      <c r="BH44" s="324" t="s">
        <v>1459</v>
      </c>
      <c r="BI44" s="315" t="s">
        <v>1462</v>
      </c>
      <c r="BJ44" s="316">
        <v>63.02</v>
      </c>
      <c r="BK44" s="317"/>
      <c r="BL44" s="318">
        <f>TRUNC(BJ44*BK44,2)</f>
        <v>0</v>
      </c>
      <c r="BM44" s="313" t="s">
        <v>98</v>
      </c>
      <c r="BN44" s="313"/>
      <c r="BO44" s="313" t="s">
        <v>1458</v>
      </c>
      <c r="BP44" s="324" t="s">
        <v>1459</v>
      </c>
      <c r="BQ44" s="315" t="s">
        <v>1462</v>
      </c>
      <c r="BR44" s="316">
        <v>63.02</v>
      </c>
      <c r="BS44" s="317"/>
      <c r="BT44" s="318">
        <f>TRUNC(BR44*BS44,2)</f>
        <v>0</v>
      </c>
      <c r="BU44" s="313" t="s">
        <v>98</v>
      </c>
      <c r="BV44" s="313"/>
      <c r="BW44" s="313" t="s">
        <v>1458</v>
      </c>
      <c r="BX44" s="324" t="s">
        <v>1459</v>
      </c>
      <c r="BY44" s="315" t="s">
        <v>1462</v>
      </c>
      <c r="BZ44" s="316">
        <v>63.02</v>
      </c>
      <c r="CA44" s="317"/>
      <c r="CB44" s="318">
        <f>TRUNC(BZ44*CA44,2)</f>
        <v>0</v>
      </c>
      <c r="CC44" s="313" t="s">
        <v>98</v>
      </c>
      <c r="CD44" s="313"/>
      <c r="CE44" s="313" t="s">
        <v>1458</v>
      </c>
      <c r="CF44" s="324" t="s">
        <v>1459</v>
      </c>
      <c r="CG44" s="315" t="s">
        <v>1462</v>
      </c>
      <c r="CH44" s="316">
        <v>63.02</v>
      </c>
      <c r="CI44" s="317"/>
      <c r="CJ44" s="318">
        <f>TRUNC(CH44*CI44,2)</f>
        <v>0</v>
      </c>
      <c r="CK44" s="313" t="s">
        <v>98</v>
      </c>
      <c r="CL44" s="313"/>
      <c r="CM44" s="313" t="s">
        <v>1458</v>
      </c>
      <c r="CN44" s="324" t="s">
        <v>1459</v>
      </c>
      <c r="CO44" s="315" t="s">
        <v>1462</v>
      </c>
      <c r="CP44" s="316">
        <v>63.02</v>
      </c>
      <c r="CQ44" s="317"/>
      <c r="CR44" s="318">
        <f>TRUNC(CP44*CQ44,2)</f>
        <v>0</v>
      </c>
      <c r="CS44" s="313" t="s">
        <v>98</v>
      </c>
      <c r="CT44" s="313"/>
      <c r="CU44" s="313" t="s">
        <v>1458</v>
      </c>
      <c r="CV44" s="324" t="s">
        <v>1459</v>
      </c>
      <c r="CW44" s="315" t="s">
        <v>1462</v>
      </c>
      <c r="CX44" s="316">
        <v>63.02</v>
      </c>
      <c r="CY44" s="317"/>
      <c r="CZ44" s="318">
        <f>TRUNC(CX44*CY44,2)</f>
        <v>0</v>
      </c>
      <c r="DA44" s="313" t="s">
        <v>98</v>
      </c>
      <c r="DB44" s="313"/>
      <c r="DC44" s="313" t="s">
        <v>1458</v>
      </c>
      <c r="DD44" s="324" t="s">
        <v>1459</v>
      </c>
      <c r="DE44" s="315" t="s">
        <v>1462</v>
      </c>
      <c r="DF44" s="316">
        <v>63.02</v>
      </c>
      <c r="DG44" s="317"/>
      <c r="DH44" s="318">
        <f>TRUNC(DF44*DG44,2)</f>
        <v>0</v>
      </c>
      <c r="DI44" s="313" t="s">
        <v>98</v>
      </c>
      <c r="DJ44" s="313"/>
      <c r="DK44" s="313" t="s">
        <v>1458</v>
      </c>
      <c r="DL44" s="324" t="s">
        <v>1459</v>
      </c>
      <c r="DM44" s="315" t="s">
        <v>1462</v>
      </c>
      <c r="DN44" s="316">
        <v>63.02</v>
      </c>
      <c r="DO44" s="317"/>
      <c r="DP44" s="318">
        <f>TRUNC(DN44*DO44,2)</f>
        <v>0</v>
      </c>
      <c r="DQ44" s="313" t="s">
        <v>98</v>
      </c>
      <c r="DR44" s="313"/>
      <c r="DS44" s="313" t="s">
        <v>1458</v>
      </c>
      <c r="DT44" s="324" t="s">
        <v>1459</v>
      </c>
      <c r="DU44" s="315" t="s">
        <v>1462</v>
      </c>
      <c r="DV44" s="316">
        <v>63.02</v>
      </c>
      <c r="DW44" s="317"/>
      <c r="DX44" s="318">
        <f>TRUNC(DV44*DW44,2)</f>
        <v>0</v>
      </c>
      <c r="DY44" s="313" t="s">
        <v>98</v>
      </c>
      <c r="DZ44" s="313"/>
      <c r="EA44" s="313" t="s">
        <v>1458</v>
      </c>
      <c r="EB44" s="324" t="s">
        <v>1459</v>
      </c>
      <c r="EC44" s="315" t="s">
        <v>1462</v>
      </c>
      <c r="ED44" s="316">
        <v>63.02</v>
      </c>
      <c r="EE44" s="317"/>
      <c r="EF44" s="318">
        <f>TRUNC(ED44*EE44,2)</f>
        <v>0</v>
      </c>
      <c r="EG44" s="313" t="s">
        <v>98</v>
      </c>
      <c r="EH44" s="313"/>
      <c r="EI44" s="313" t="s">
        <v>1458</v>
      </c>
      <c r="EJ44" s="324" t="s">
        <v>1459</v>
      </c>
      <c r="EK44" s="315" t="s">
        <v>1462</v>
      </c>
      <c r="EL44" s="316">
        <v>63.02</v>
      </c>
      <c r="EM44" s="317"/>
      <c r="EN44" s="318">
        <f>TRUNC(EL44*EM44,2)</f>
        <v>0</v>
      </c>
      <c r="EO44" s="313" t="s">
        <v>98</v>
      </c>
      <c r="EP44" s="313"/>
      <c r="EQ44" s="313" t="s">
        <v>1458</v>
      </c>
      <c r="ER44" s="324" t="s">
        <v>1459</v>
      </c>
      <c r="ES44" s="315" t="s">
        <v>1462</v>
      </c>
      <c r="ET44" s="316">
        <v>63.02</v>
      </c>
      <c r="EU44" s="317"/>
      <c r="EV44" s="318">
        <f>TRUNC(ET44*EU44,2)</f>
        <v>0</v>
      </c>
      <c r="EW44" s="313" t="s">
        <v>98</v>
      </c>
      <c r="EX44" s="313"/>
      <c r="EY44" s="313" t="s">
        <v>1458</v>
      </c>
      <c r="EZ44" s="324" t="s">
        <v>1459</v>
      </c>
      <c r="FA44" s="315" t="s">
        <v>1462</v>
      </c>
      <c r="FB44" s="316">
        <v>63.02</v>
      </c>
      <c r="FC44" s="317"/>
      <c r="FD44" s="318">
        <f>TRUNC(FB44*FC44,2)</f>
        <v>0</v>
      </c>
      <c r="FE44" s="313" t="s">
        <v>98</v>
      </c>
      <c r="FF44" s="313"/>
      <c r="FG44" s="313" t="s">
        <v>1458</v>
      </c>
      <c r="FH44" s="324" t="s">
        <v>1459</v>
      </c>
      <c r="FI44" s="315" t="s">
        <v>1462</v>
      </c>
      <c r="FJ44" s="316">
        <v>63.02</v>
      </c>
      <c r="FK44" s="317"/>
      <c r="FL44" s="318">
        <f>TRUNC(FJ44*FK44,2)</f>
        <v>0</v>
      </c>
      <c r="FM44" s="313" t="s">
        <v>98</v>
      </c>
      <c r="FN44" s="313"/>
      <c r="FO44" s="313" t="s">
        <v>1458</v>
      </c>
      <c r="FP44" s="324" t="s">
        <v>1459</v>
      </c>
      <c r="FQ44" s="315" t="s">
        <v>1462</v>
      </c>
      <c r="FR44" s="316">
        <v>63.02</v>
      </c>
      <c r="FS44" s="317"/>
      <c r="FT44" s="318">
        <f>TRUNC(FR44*FS44,2)</f>
        <v>0</v>
      </c>
      <c r="FU44" s="313" t="s">
        <v>98</v>
      </c>
      <c r="FV44" s="313"/>
      <c r="FW44" s="313" t="s">
        <v>1458</v>
      </c>
      <c r="FX44" s="324" t="s">
        <v>1459</v>
      </c>
      <c r="FY44" s="315" t="s">
        <v>1462</v>
      </c>
      <c r="FZ44" s="316">
        <v>63.02</v>
      </c>
      <c r="GA44" s="317"/>
      <c r="GB44" s="318">
        <f>TRUNC(FZ44*GA44,2)</f>
        <v>0</v>
      </c>
      <c r="GC44" s="313" t="s">
        <v>98</v>
      </c>
      <c r="GD44" s="313"/>
      <c r="GE44" s="313" t="s">
        <v>1458</v>
      </c>
      <c r="GF44" s="324" t="s">
        <v>1459</v>
      </c>
      <c r="GG44" s="315" t="s">
        <v>1462</v>
      </c>
      <c r="GH44" s="316">
        <v>63.02</v>
      </c>
      <c r="GI44" s="317"/>
      <c r="GJ44" s="318">
        <f>TRUNC(GH44*GI44,2)</f>
        <v>0</v>
      </c>
      <c r="GK44" s="313" t="s">
        <v>98</v>
      </c>
      <c r="GL44" s="313"/>
      <c r="GM44" s="313" t="s">
        <v>1458</v>
      </c>
      <c r="GN44" s="324" t="s">
        <v>1459</v>
      </c>
      <c r="GO44" s="315" t="s">
        <v>1462</v>
      </c>
      <c r="GP44" s="316">
        <v>63.02</v>
      </c>
      <c r="GQ44" s="317"/>
      <c r="GR44" s="318">
        <f>TRUNC(GP44*GQ44,2)</f>
        <v>0</v>
      </c>
      <c r="GS44" s="313" t="s">
        <v>98</v>
      </c>
      <c r="GT44" s="313"/>
      <c r="GU44" s="313" t="s">
        <v>1458</v>
      </c>
      <c r="GV44" s="324" t="s">
        <v>1459</v>
      </c>
      <c r="GW44" s="315" t="s">
        <v>1462</v>
      </c>
      <c r="GX44" s="316">
        <v>63.02</v>
      </c>
      <c r="GY44" s="317"/>
      <c r="GZ44" s="318">
        <f>TRUNC(GX44*GY44,2)</f>
        <v>0</v>
      </c>
      <c r="HA44" s="313" t="s">
        <v>98</v>
      </c>
      <c r="HB44" s="313"/>
      <c r="HC44" s="313" t="s">
        <v>1458</v>
      </c>
      <c r="HD44" s="324" t="s">
        <v>1459</v>
      </c>
      <c r="HE44" s="315" t="s">
        <v>1462</v>
      </c>
      <c r="HF44" s="316">
        <v>63.02</v>
      </c>
      <c r="HG44" s="317"/>
      <c r="HH44" s="318">
        <f>TRUNC(HF44*HG44,2)</f>
        <v>0</v>
      </c>
      <c r="HI44" s="313" t="s">
        <v>98</v>
      </c>
      <c r="HJ44" s="313"/>
      <c r="HK44" s="313" t="s">
        <v>1458</v>
      </c>
      <c r="HL44" s="324" t="s">
        <v>1459</v>
      </c>
      <c r="HM44" s="315" t="s">
        <v>1462</v>
      </c>
      <c r="HN44" s="316">
        <v>63.02</v>
      </c>
      <c r="HO44" s="317"/>
      <c r="HP44" s="318">
        <f>TRUNC(HN44*HO44,2)</f>
        <v>0</v>
      </c>
      <c r="HQ44" s="313" t="s">
        <v>98</v>
      </c>
      <c r="HR44" s="313"/>
      <c r="HS44" s="313" t="s">
        <v>1458</v>
      </c>
      <c r="HT44" s="324" t="s">
        <v>1459</v>
      </c>
      <c r="HU44" s="315" t="s">
        <v>1462</v>
      </c>
      <c r="HV44" s="316">
        <v>63.02</v>
      </c>
      <c r="HW44" s="317"/>
      <c r="HX44" s="318">
        <f>TRUNC(HV44*HW44,2)</f>
        <v>0</v>
      </c>
      <c r="HY44" s="313" t="s">
        <v>98</v>
      </c>
      <c r="HZ44" s="313"/>
      <c r="IA44" s="313" t="s">
        <v>1458</v>
      </c>
      <c r="IB44" s="324" t="s">
        <v>1459</v>
      </c>
      <c r="IC44" s="315" t="s">
        <v>1462</v>
      </c>
      <c r="ID44" s="316">
        <v>63.02</v>
      </c>
      <c r="IE44" s="317"/>
      <c r="IF44" s="318">
        <f>TRUNC(ID44*IE44,2)</f>
        <v>0</v>
      </c>
      <c r="IG44" s="313" t="s">
        <v>98</v>
      </c>
      <c r="IH44" s="313"/>
      <c r="II44" s="313" t="s">
        <v>1458</v>
      </c>
      <c r="IJ44" s="324" t="s">
        <v>1459</v>
      </c>
      <c r="IK44" s="315" t="s">
        <v>1462</v>
      </c>
      <c r="IL44" s="316">
        <v>63.02</v>
      </c>
      <c r="IM44" s="317"/>
      <c r="IN44" s="318">
        <f>TRUNC(IL44*IM44,2)</f>
        <v>0</v>
      </c>
      <c r="IO44" s="313" t="s">
        <v>98</v>
      </c>
      <c r="IP44" s="313"/>
      <c r="IQ44" s="313" t="s">
        <v>1458</v>
      </c>
      <c r="IR44" s="324" t="s">
        <v>1459</v>
      </c>
      <c r="IS44" s="315" t="s">
        <v>1462</v>
      </c>
      <c r="IT44" s="316">
        <v>63.02</v>
      </c>
      <c r="IU44" s="317"/>
      <c r="IV44" s="318">
        <f>TRUNC(IT44*IU44,2)</f>
        <v>0</v>
      </c>
    </row>
    <row r="45" spans="1:256" s="306" customFormat="1" ht="17.25" customHeight="1">
      <c r="A45" s="313" t="s">
        <v>252</v>
      </c>
      <c r="B45" s="313" t="s">
        <v>1426</v>
      </c>
      <c r="C45" s="313" t="s">
        <v>1463</v>
      </c>
      <c r="D45" s="324" t="s">
        <v>1464</v>
      </c>
      <c r="E45" s="315" t="s">
        <v>1438</v>
      </c>
      <c r="F45" s="316">
        <v>355.55</v>
      </c>
      <c r="G45" s="317">
        <v>2</v>
      </c>
      <c r="H45" s="318">
        <f>TRUNC(F45*G45,2)</f>
        <v>711.1</v>
      </c>
      <c r="I45" s="313" t="s">
        <v>102</v>
      </c>
      <c r="J45" s="313"/>
      <c r="K45" s="313"/>
      <c r="L45" s="324"/>
      <c r="M45" s="315"/>
      <c r="N45" s="316"/>
      <c r="O45" s="317"/>
      <c r="P45" s="318">
        <f>TRUNC(N45*O45,2)</f>
        <v>0</v>
      </c>
      <c r="Q45" s="313" t="s">
        <v>102</v>
      </c>
      <c r="R45" s="313"/>
      <c r="S45" s="313"/>
      <c r="T45" s="324"/>
      <c r="U45" s="315"/>
      <c r="V45" s="316"/>
      <c r="W45" s="317"/>
      <c r="X45" s="318">
        <f>TRUNC(V45*W45,2)</f>
        <v>0</v>
      </c>
      <c r="Y45" s="313" t="s">
        <v>102</v>
      </c>
      <c r="Z45" s="313"/>
      <c r="AA45" s="313"/>
      <c r="AB45" s="324"/>
      <c r="AC45" s="315"/>
      <c r="AD45" s="316"/>
      <c r="AE45" s="317"/>
      <c r="AF45" s="318">
        <f>TRUNC(AD45*AE45,2)</f>
        <v>0</v>
      </c>
      <c r="AG45" s="313" t="s">
        <v>102</v>
      </c>
      <c r="AH45" s="313"/>
      <c r="AI45" s="313"/>
      <c r="AJ45" s="324"/>
      <c r="AK45" s="315"/>
      <c r="AL45" s="316"/>
      <c r="AM45" s="317"/>
      <c r="AN45" s="318">
        <f>TRUNC(AL45*AM45,2)</f>
        <v>0</v>
      </c>
      <c r="AO45" s="313" t="s">
        <v>102</v>
      </c>
      <c r="AP45" s="313"/>
      <c r="AQ45" s="313"/>
      <c r="AR45" s="324"/>
      <c r="AS45" s="315"/>
      <c r="AT45" s="316"/>
      <c r="AU45" s="317"/>
      <c r="AV45" s="318">
        <f>TRUNC(AT45*AU45,2)</f>
        <v>0</v>
      </c>
      <c r="AW45" s="313" t="s">
        <v>102</v>
      </c>
      <c r="AX45" s="313"/>
      <c r="AY45" s="313"/>
      <c r="AZ45" s="324"/>
      <c r="BA45" s="315"/>
      <c r="BB45" s="316"/>
      <c r="BC45" s="317"/>
      <c r="BD45" s="318">
        <f>TRUNC(BB45*BC45,2)</f>
        <v>0</v>
      </c>
      <c r="BE45" s="313" t="s">
        <v>102</v>
      </c>
      <c r="BF45" s="313"/>
      <c r="BG45" s="313"/>
      <c r="BH45" s="324"/>
      <c r="BI45" s="315"/>
      <c r="BJ45" s="316"/>
      <c r="BK45" s="317"/>
      <c r="BL45" s="318">
        <f>TRUNC(BJ45*BK45,2)</f>
        <v>0</v>
      </c>
      <c r="BM45" s="313" t="s">
        <v>102</v>
      </c>
      <c r="BN45" s="313"/>
      <c r="BO45" s="313"/>
      <c r="BP45" s="324"/>
      <c r="BQ45" s="315"/>
      <c r="BR45" s="316"/>
      <c r="BS45" s="317"/>
      <c r="BT45" s="318">
        <f>TRUNC(BR45*BS45,2)</f>
        <v>0</v>
      </c>
      <c r="BU45" s="313" t="s">
        <v>102</v>
      </c>
      <c r="BV45" s="313"/>
      <c r="BW45" s="313"/>
      <c r="BX45" s="324"/>
      <c r="BY45" s="315"/>
      <c r="BZ45" s="316"/>
      <c r="CA45" s="317"/>
      <c r="CB45" s="318">
        <f>TRUNC(BZ45*CA45,2)</f>
        <v>0</v>
      </c>
      <c r="CC45" s="313" t="s">
        <v>102</v>
      </c>
      <c r="CD45" s="313"/>
      <c r="CE45" s="313"/>
      <c r="CF45" s="324"/>
      <c r="CG45" s="315"/>
      <c r="CH45" s="316"/>
      <c r="CI45" s="317"/>
      <c r="CJ45" s="318">
        <f>TRUNC(CH45*CI45,2)</f>
        <v>0</v>
      </c>
      <c r="CK45" s="313" t="s">
        <v>102</v>
      </c>
      <c r="CL45" s="313"/>
      <c r="CM45" s="313"/>
      <c r="CN45" s="324"/>
      <c r="CO45" s="315"/>
      <c r="CP45" s="316"/>
      <c r="CQ45" s="317"/>
      <c r="CR45" s="318">
        <f>TRUNC(CP45*CQ45,2)</f>
        <v>0</v>
      </c>
      <c r="CS45" s="313" t="s">
        <v>102</v>
      </c>
      <c r="CT45" s="313"/>
      <c r="CU45" s="313"/>
      <c r="CV45" s="324"/>
      <c r="CW45" s="315"/>
      <c r="CX45" s="316"/>
      <c r="CY45" s="317"/>
      <c r="CZ45" s="318">
        <f>TRUNC(CX45*CY45,2)</f>
        <v>0</v>
      </c>
      <c r="DA45" s="313" t="s">
        <v>102</v>
      </c>
      <c r="DB45" s="313"/>
      <c r="DC45" s="313"/>
      <c r="DD45" s="324"/>
      <c r="DE45" s="315"/>
      <c r="DF45" s="316"/>
      <c r="DG45" s="317"/>
      <c r="DH45" s="318">
        <f>TRUNC(DF45*DG45,2)</f>
        <v>0</v>
      </c>
      <c r="DI45" s="313" t="s">
        <v>102</v>
      </c>
      <c r="DJ45" s="313"/>
      <c r="DK45" s="313"/>
      <c r="DL45" s="324"/>
      <c r="DM45" s="315"/>
      <c r="DN45" s="316"/>
      <c r="DO45" s="317"/>
      <c r="DP45" s="318">
        <f>TRUNC(DN45*DO45,2)</f>
        <v>0</v>
      </c>
      <c r="DQ45" s="313" t="s">
        <v>102</v>
      </c>
      <c r="DR45" s="313"/>
      <c r="DS45" s="313"/>
      <c r="DT45" s="324"/>
      <c r="DU45" s="315"/>
      <c r="DV45" s="316"/>
      <c r="DW45" s="317"/>
      <c r="DX45" s="318">
        <f>TRUNC(DV45*DW45,2)</f>
        <v>0</v>
      </c>
      <c r="DY45" s="313" t="s">
        <v>102</v>
      </c>
      <c r="DZ45" s="313"/>
      <c r="EA45" s="313"/>
      <c r="EB45" s="324"/>
      <c r="EC45" s="315"/>
      <c r="ED45" s="316"/>
      <c r="EE45" s="317"/>
      <c r="EF45" s="318">
        <f>TRUNC(ED45*EE45,2)</f>
        <v>0</v>
      </c>
      <c r="EG45" s="313" t="s">
        <v>102</v>
      </c>
      <c r="EH45" s="313"/>
      <c r="EI45" s="313"/>
      <c r="EJ45" s="324"/>
      <c r="EK45" s="315"/>
      <c r="EL45" s="316"/>
      <c r="EM45" s="317"/>
      <c r="EN45" s="318">
        <f>TRUNC(EL45*EM45,2)</f>
        <v>0</v>
      </c>
      <c r="EO45" s="313" t="s">
        <v>102</v>
      </c>
      <c r="EP45" s="313"/>
      <c r="EQ45" s="313"/>
      <c r="ER45" s="324"/>
      <c r="ES45" s="315"/>
      <c r="ET45" s="316"/>
      <c r="EU45" s="317"/>
      <c r="EV45" s="318">
        <f>TRUNC(ET45*EU45,2)</f>
        <v>0</v>
      </c>
      <c r="EW45" s="313" t="s">
        <v>102</v>
      </c>
      <c r="EX45" s="313"/>
      <c r="EY45" s="313"/>
      <c r="EZ45" s="324"/>
      <c r="FA45" s="315"/>
      <c r="FB45" s="316"/>
      <c r="FC45" s="317"/>
      <c r="FD45" s="318">
        <f>TRUNC(FB45*FC45,2)</f>
        <v>0</v>
      </c>
      <c r="FE45" s="313" t="s">
        <v>102</v>
      </c>
      <c r="FF45" s="313"/>
      <c r="FG45" s="313"/>
      <c r="FH45" s="324"/>
      <c r="FI45" s="315"/>
      <c r="FJ45" s="316"/>
      <c r="FK45" s="317"/>
      <c r="FL45" s="318">
        <f>TRUNC(FJ45*FK45,2)</f>
        <v>0</v>
      </c>
      <c r="FM45" s="313" t="s">
        <v>102</v>
      </c>
      <c r="FN45" s="313"/>
      <c r="FO45" s="313"/>
      <c r="FP45" s="324"/>
      <c r="FQ45" s="315"/>
      <c r="FR45" s="316"/>
      <c r="FS45" s="317"/>
      <c r="FT45" s="318">
        <f>TRUNC(FR45*FS45,2)</f>
        <v>0</v>
      </c>
      <c r="FU45" s="313" t="s">
        <v>102</v>
      </c>
      <c r="FV45" s="313"/>
      <c r="FW45" s="313"/>
      <c r="FX45" s="324"/>
      <c r="FY45" s="315"/>
      <c r="FZ45" s="316"/>
      <c r="GA45" s="317"/>
      <c r="GB45" s="318">
        <f>TRUNC(FZ45*GA45,2)</f>
        <v>0</v>
      </c>
      <c r="GC45" s="313" t="s">
        <v>102</v>
      </c>
      <c r="GD45" s="313"/>
      <c r="GE45" s="313"/>
      <c r="GF45" s="324"/>
      <c r="GG45" s="315"/>
      <c r="GH45" s="316"/>
      <c r="GI45" s="317"/>
      <c r="GJ45" s="318">
        <f>TRUNC(GH45*GI45,2)</f>
        <v>0</v>
      </c>
      <c r="GK45" s="313" t="s">
        <v>102</v>
      </c>
      <c r="GL45" s="313"/>
      <c r="GM45" s="313"/>
      <c r="GN45" s="324"/>
      <c r="GO45" s="315"/>
      <c r="GP45" s="316"/>
      <c r="GQ45" s="317"/>
      <c r="GR45" s="318">
        <f>TRUNC(GP45*GQ45,2)</f>
        <v>0</v>
      </c>
      <c r="GS45" s="313" t="s">
        <v>102</v>
      </c>
      <c r="GT45" s="313"/>
      <c r="GU45" s="313"/>
      <c r="GV45" s="324"/>
      <c r="GW45" s="315"/>
      <c r="GX45" s="316"/>
      <c r="GY45" s="317"/>
      <c r="GZ45" s="318">
        <f>TRUNC(GX45*GY45,2)</f>
        <v>0</v>
      </c>
      <c r="HA45" s="313" t="s">
        <v>102</v>
      </c>
      <c r="HB45" s="313"/>
      <c r="HC45" s="313"/>
      <c r="HD45" s="324"/>
      <c r="HE45" s="315"/>
      <c r="HF45" s="316"/>
      <c r="HG45" s="317"/>
      <c r="HH45" s="318">
        <f>TRUNC(HF45*HG45,2)</f>
        <v>0</v>
      </c>
      <c r="HI45" s="313" t="s">
        <v>102</v>
      </c>
      <c r="HJ45" s="313"/>
      <c r="HK45" s="313"/>
      <c r="HL45" s="324"/>
      <c r="HM45" s="315"/>
      <c r="HN45" s="316"/>
      <c r="HO45" s="317"/>
      <c r="HP45" s="318">
        <f>TRUNC(HN45*HO45,2)</f>
        <v>0</v>
      </c>
      <c r="HQ45" s="313" t="s">
        <v>102</v>
      </c>
      <c r="HR45" s="313"/>
      <c r="HS45" s="313"/>
      <c r="HT45" s="324"/>
      <c r="HU45" s="315"/>
      <c r="HV45" s="316"/>
      <c r="HW45" s="317"/>
      <c r="HX45" s="318">
        <f>TRUNC(HV45*HW45,2)</f>
        <v>0</v>
      </c>
      <c r="HY45" s="313" t="s">
        <v>102</v>
      </c>
      <c r="HZ45" s="313"/>
      <c r="IA45" s="313"/>
      <c r="IB45" s="324"/>
      <c r="IC45" s="315"/>
      <c r="ID45" s="316"/>
      <c r="IE45" s="317"/>
      <c r="IF45" s="318">
        <f>TRUNC(ID45*IE45,2)</f>
        <v>0</v>
      </c>
      <c r="IG45" s="313" t="s">
        <v>102</v>
      </c>
      <c r="IH45" s="313"/>
      <c r="II45" s="313"/>
      <c r="IJ45" s="324"/>
      <c r="IK45" s="315"/>
      <c r="IL45" s="316"/>
      <c r="IM45" s="317"/>
      <c r="IN45" s="318">
        <f>TRUNC(IL45*IM45,2)</f>
        <v>0</v>
      </c>
      <c r="IO45" s="313" t="s">
        <v>102</v>
      </c>
      <c r="IP45" s="313"/>
      <c r="IQ45" s="313"/>
      <c r="IR45" s="324"/>
      <c r="IS45" s="315"/>
      <c r="IT45" s="316"/>
      <c r="IU45" s="317"/>
      <c r="IV45" s="318">
        <f>TRUNC(IT45*IU45,2)</f>
        <v>0</v>
      </c>
    </row>
    <row r="46" spans="1:256" s="300" customFormat="1" ht="17.25" customHeight="1">
      <c r="A46" s="313"/>
      <c r="B46" s="313"/>
      <c r="C46" s="313"/>
      <c r="D46" s="324"/>
      <c r="E46" s="315"/>
      <c r="F46" s="316"/>
      <c r="G46" s="317"/>
      <c r="H46" s="318"/>
      <c r="I46" s="326"/>
      <c r="J46" s="326"/>
      <c r="K46" s="326"/>
      <c r="L46" s="327"/>
      <c r="M46" s="328"/>
      <c r="N46" s="329"/>
      <c r="O46" s="330"/>
      <c r="P46" s="331"/>
      <c r="Q46" s="326"/>
      <c r="R46" s="326"/>
      <c r="S46" s="326"/>
      <c r="T46" s="327"/>
      <c r="U46" s="328"/>
      <c r="V46" s="329"/>
      <c r="W46" s="330"/>
      <c r="X46" s="331"/>
      <c r="Y46" s="326"/>
      <c r="Z46" s="326"/>
      <c r="AA46" s="326"/>
      <c r="AB46" s="327"/>
      <c r="AC46" s="328"/>
      <c r="AD46" s="329"/>
      <c r="AE46" s="330"/>
      <c r="AF46" s="331"/>
      <c r="AG46" s="326"/>
      <c r="AH46" s="326"/>
      <c r="AI46" s="326"/>
      <c r="AJ46" s="327"/>
      <c r="AK46" s="328"/>
      <c r="AL46" s="329"/>
      <c r="AM46" s="330"/>
      <c r="AN46" s="331"/>
      <c r="AO46" s="326"/>
      <c r="AP46" s="326"/>
      <c r="AQ46" s="326"/>
      <c r="AR46" s="327"/>
      <c r="AS46" s="328"/>
      <c r="AT46" s="329"/>
      <c r="AU46" s="330"/>
      <c r="AV46" s="331"/>
      <c r="AW46" s="326"/>
      <c r="AX46" s="326"/>
      <c r="AY46" s="326"/>
      <c r="AZ46" s="327"/>
      <c r="BA46" s="328"/>
      <c r="BB46" s="329"/>
      <c r="BC46" s="330"/>
      <c r="BD46" s="331"/>
      <c r="BE46" s="326"/>
      <c r="BF46" s="326"/>
      <c r="BG46" s="326"/>
      <c r="BH46" s="327"/>
      <c r="BI46" s="328"/>
      <c r="BJ46" s="329"/>
      <c r="BK46" s="330"/>
      <c r="BL46" s="331"/>
      <c r="BM46" s="326"/>
      <c r="BN46" s="326"/>
      <c r="BO46" s="326"/>
      <c r="BP46" s="327"/>
      <c r="BQ46" s="328"/>
      <c r="BR46" s="329"/>
      <c r="BS46" s="330"/>
      <c r="BT46" s="331"/>
      <c r="BU46" s="326"/>
      <c r="BV46" s="326"/>
      <c r="BW46" s="326"/>
      <c r="BX46" s="327"/>
      <c r="BY46" s="328"/>
      <c r="BZ46" s="329"/>
      <c r="CA46" s="330"/>
      <c r="CB46" s="331"/>
      <c r="CC46" s="326"/>
      <c r="CD46" s="326"/>
      <c r="CE46" s="326"/>
      <c r="CF46" s="327"/>
      <c r="CG46" s="328"/>
      <c r="CH46" s="329"/>
      <c r="CI46" s="330"/>
      <c r="CJ46" s="331"/>
      <c r="CK46" s="326"/>
      <c r="CL46" s="326"/>
      <c r="CM46" s="326"/>
      <c r="CN46" s="327"/>
      <c r="CO46" s="328"/>
      <c r="CP46" s="329"/>
      <c r="CQ46" s="330"/>
      <c r="CR46" s="331"/>
      <c r="CS46" s="326"/>
      <c r="CT46" s="326"/>
      <c r="CU46" s="326"/>
      <c r="CV46" s="327"/>
      <c r="CW46" s="328"/>
      <c r="CX46" s="329"/>
      <c r="CY46" s="330"/>
      <c r="CZ46" s="331"/>
      <c r="DA46" s="326"/>
      <c r="DB46" s="326"/>
      <c r="DC46" s="326"/>
      <c r="DD46" s="327"/>
      <c r="DE46" s="328"/>
      <c r="DF46" s="329"/>
      <c r="DG46" s="330"/>
      <c r="DH46" s="331"/>
      <c r="DI46" s="326"/>
      <c r="DJ46" s="326"/>
      <c r="DK46" s="326"/>
      <c r="DL46" s="327"/>
      <c r="DM46" s="328"/>
      <c r="DN46" s="329"/>
      <c r="DO46" s="330"/>
      <c r="DP46" s="331"/>
      <c r="DQ46" s="326"/>
      <c r="DR46" s="326"/>
      <c r="DS46" s="326"/>
      <c r="DT46" s="327"/>
      <c r="DU46" s="328"/>
      <c r="DV46" s="329"/>
      <c r="DW46" s="330"/>
      <c r="DX46" s="331"/>
      <c r="DY46" s="326"/>
      <c r="DZ46" s="326"/>
      <c r="EA46" s="326"/>
      <c r="EB46" s="327"/>
      <c r="EC46" s="328"/>
      <c r="ED46" s="329"/>
      <c r="EE46" s="330"/>
      <c r="EF46" s="331"/>
      <c r="EG46" s="326"/>
      <c r="EH46" s="326"/>
      <c r="EI46" s="326"/>
      <c r="EJ46" s="327"/>
      <c r="EK46" s="328"/>
      <c r="EL46" s="329"/>
      <c r="EM46" s="330"/>
      <c r="EN46" s="331"/>
      <c r="EO46" s="326"/>
      <c r="EP46" s="326"/>
      <c r="EQ46" s="326"/>
      <c r="ER46" s="327"/>
      <c r="ES46" s="328"/>
      <c r="ET46" s="329"/>
      <c r="EU46" s="330"/>
      <c r="EV46" s="331"/>
      <c r="EW46" s="326"/>
      <c r="EX46" s="326"/>
      <c r="EY46" s="326"/>
      <c r="EZ46" s="327"/>
      <c r="FA46" s="328"/>
      <c r="FB46" s="329"/>
      <c r="FC46" s="330"/>
      <c r="FD46" s="331"/>
      <c r="FE46" s="326"/>
      <c r="FF46" s="326"/>
      <c r="FG46" s="326"/>
      <c r="FH46" s="327"/>
      <c r="FI46" s="328"/>
      <c r="FJ46" s="329"/>
      <c r="FK46" s="330"/>
      <c r="FL46" s="331"/>
      <c r="FM46" s="326"/>
      <c r="FN46" s="326"/>
      <c r="FO46" s="326"/>
      <c r="FP46" s="327"/>
      <c r="FQ46" s="328"/>
      <c r="FR46" s="329"/>
      <c r="FS46" s="330"/>
      <c r="FT46" s="331"/>
      <c r="FU46" s="326"/>
      <c r="FV46" s="326"/>
      <c r="FW46" s="326"/>
      <c r="FX46" s="327"/>
      <c r="FY46" s="328"/>
      <c r="FZ46" s="329"/>
      <c r="GA46" s="330"/>
      <c r="GB46" s="331"/>
      <c r="GC46" s="326"/>
      <c r="GD46" s="326"/>
      <c r="GE46" s="326"/>
      <c r="GF46" s="327"/>
      <c r="GG46" s="328"/>
      <c r="GH46" s="329"/>
      <c r="GI46" s="330"/>
      <c r="GJ46" s="331"/>
      <c r="GK46" s="326"/>
      <c r="GL46" s="326"/>
      <c r="GM46" s="326"/>
      <c r="GN46" s="327"/>
      <c r="GO46" s="328"/>
      <c r="GP46" s="329"/>
      <c r="GQ46" s="330"/>
      <c r="GR46" s="331"/>
      <c r="GS46" s="326"/>
      <c r="GT46" s="326"/>
      <c r="GU46" s="326"/>
      <c r="GV46" s="327"/>
      <c r="GW46" s="328"/>
      <c r="GX46" s="329"/>
      <c r="GY46" s="330"/>
      <c r="GZ46" s="331"/>
      <c r="HA46" s="326"/>
      <c r="HB46" s="326"/>
      <c r="HC46" s="326"/>
      <c r="HD46" s="327"/>
      <c r="HE46" s="328"/>
      <c r="HF46" s="329"/>
      <c r="HG46" s="330"/>
      <c r="HH46" s="331"/>
      <c r="HI46" s="326"/>
      <c r="HJ46" s="326"/>
      <c r="HK46" s="326"/>
      <c r="HL46" s="327"/>
      <c r="HM46" s="328"/>
      <c r="HN46" s="329"/>
      <c r="HO46" s="330"/>
      <c r="HP46" s="331"/>
      <c r="HQ46" s="326"/>
      <c r="HR46" s="326"/>
      <c r="HS46" s="326"/>
      <c r="HT46" s="327"/>
      <c r="HU46" s="328"/>
      <c r="HV46" s="329"/>
      <c r="HW46" s="330"/>
      <c r="HX46" s="331"/>
      <c r="HY46" s="326"/>
      <c r="HZ46" s="326"/>
      <c r="IA46" s="326"/>
      <c r="IB46" s="327"/>
      <c r="IC46" s="328"/>
      <c r="ID46" s="329"/>
      <c r="IE46" s="330"/>
      <c r="IF46" s="331"/>
      <c r="IG46" s="326"/>
      <c r="IH46" s="326"/>
      <c r="II46" s="326"/>
      <c r="IJ46" s="327"/>
      <c r="IK46" s="328"/>
      <c r="IL46" s="329"/>
      <c r="IM46" s="330"/>
      <c r="IN46" s="331"/>
      <c r="IO46" s="326"/>
      <c r="IP46" s="326"/>
      <c r="IQ46" s="326"/>
      <c r="IR46" s="327"/>
      <c r="IS46" s="328"/>
      <c r="IT46" s="329"/>
      <c r="IU46" s="330"/>
      <c r="IV46" s="331"/>
    </row>
    <row r="47" spans="1:256" s="306" customFormat="1" ht="13.8">
      <c r="A47" s="320"/>
      <c r="B47" s="320"/>
      <c r="C47" s="320"/>
      <c r="D47" s="321" t="s">
        <v>1439</v>
      </c>
      <c r="E47" s="320"/>
      <c r="F47" s="316"/>
      <c r="G47" s="322"/>
      <c r="H47" s="323">
        <f>SUM(H44:H45)</f>
        <v>1419.98</v>
      </c>
    </row>
    <row r="48" spans="1:256" s="306" customFormat="1" ht="13.8">
      <c r="A48" s="308">
        <v>7</v>
      </c>
      <c r="B48" s="308"/>
      <c r="C48" s="308"/>
      <c r="D48" s="309" t="s">
        <v>923</v>
      </c>
      <c r="E48" s="310"/>
      <c r="F48" s="311"/>
      <c r="G48" s="312"/>
      <c r="H48" s="311"/>
      <c r="I48" s="300"/>
      <c r="J48" s="300"/>
      <c r="K48" s="300"/>
      <c r="L48" s="300"/>
      <c r="M48" s="300"/>
      <c r="N48" s="300"/>
      <c r="O48" s="300"/>
      <c r="P48" s="300"/>
      <c r="Q48" s="300"/>
      <c r="R48" s="300"/>
      <c r="S48" s="300"/>
      <c r="T48" s="300"/>
      <c r="U48" s="300"/>
      <c r="V48" s="300"/>
      <c r="W48" s="300"/>
      <c r="X48" s="300"/>
      <c r="Y48" s="300"/>
      <c r="Z48" s="300"/>
      <c r="AA48" s="300"/>
      <c r="AB48" s="300"/>
      <c r="AC48" s="300"/>
      <c r="AD48" s="300"/>
      <c r="AE48" s="300"/>
      <c r="AF48" s="300"/>
      <c r="AG48" s="300"/>
      <c r="AH48" s="300"/>
      <c r="AI48" s="300"/>
      <c r="AJ48" s="300"/>
      <c r="AK48" s="300"/>
      <c r="AL48" s="300"/>
      <c r="AM48" s="300"/>
      <c r="AN48" s="300"/>
      <c r="AO48" s="300"/>
      <c r="AP48" s="300"/>
      <c r="AQ48" s="300"/>
      <c r="AR48" s="300"/>
      <c r="AS48" s="300"/>
      <c r="AT48" s="300"/>
      <c r="AU48" s="300"/>
      <c r="AV48" s="300"/>
      <c r="AW48" s="300"/>
      <c r="AX48" s="300"/>
      <c r="AY48" s="300"/>
      <c r="AZ48" s="300"/>
      <c r="BA48" s="300"/>
      <c r="BB48" s="300"/>
      <c r="BC48" s="300"/>
      <c r="BD48" s="300"/>
      <c r="BE48" s="300"/>
      <c r="BF48" s="300"/>
      <c r="BG48" s="300"/>
      <c r="BH48" s="300"/>
      <c r="BI48" s="300"/>
      <c r="BJ48" s="300"/>
      <c r="BK48" s="300"/>
      <c r="BL48" s="300"/>
      <c r="BM48" s="300"/>
      <c r="BN48" s="300"/>
      <c r="BO48" s="300"/>
      <c r="BP48" s="300"/>
      <c r="BQ48" s="300"/>
      <c r="BR48" s="300"/>
      <c r="BS48" s="300"/>
      <c r="BT48" s="300"/>
      <c r="BU48" s="300"/>
      <c r="BV48" s="300"/>
      <c r="BW48" s="300"/>
      <c r="BX48" s="300"/>
      <c r="BY48" s="300"/>
      <c r="BZ48" s="300"/>
      <c r="CA48" s="300"/>
      <c r="CB48" s="300"/>
      <c r="CC48" s="300"/>
      <c r="CD48" s="300"/>
      <c r="CE48" s="300"/>
      <c r="CF48" s="300"/>
      <c r="CG48" s="300"/>
      <c r="CH48" s="300"/>
      <c r="CI48" s="300"/>
      <c r="CJ48" s="300"/>
      <c r="CK48" s="300"/>
      <c r="CL48" s="300"/>
      <c r="CM48" s="300"/>
      <c r="CN48" s="300"/>
      <c r="CO48" s="300"/>
      <c r="CP48" s="300"/>
      <c r="CQ48" s="300"/>
      <c r="CR48" s="300"/>
      <c r="CS48" s="300"/>
      <c r="CT48" s="300"/>
      <c r="CU48" s="300"/>
      <c r="CV48" s="300"/>
      <c r="CW48" s="300"/>
      <c r="CX48" s="300"/>
      <c r="CY48" s="300"/>
      <c r="CZ48" s="300"/>
      <c r="DA48" s="300"/>
      <c r="DB48" s="300"/>
      <c r="DC48" s="300"/>
      <c r="DD48" s="300"/>
      <c r="DE48" s="300"/>
      <c r="DF48" s="300"/>
      <c r="DG48" s="300"/>
      <c r="DH48" s="300"/>
      <c r="DI48" s="300"/>
      <c r="DJ48" s="300"/>
      <c r="DK48" s="300"/>
      <c r="DL48" s="300"/>
      <c r="DM48" s="300"/>
      <c r="DN48" s="300"/>
      <c r="DO48" s="300"/>
      <c r="DP48" s="300"/>
      <c r="DQ48" s="300"/>
      <c r="DR48" s="300"/>
      <c r="DS48" s="300"/>
      <c r="DT48" s="300"/>
      <c r="DU48" s="300"/>
      <c r="DV48" s="300"/>
      <c r="DW48" s="300"/>
      <c r="DX48" s="300"/>
      <c r="DY48" s="300"/>
      <c r="DZ48" s="300"/>
      <c r="EA48" s="300"/>
      <c r="EB48" s="300"/>
      <c r="EC48" s="300"/>
      <c r="ED48" s="300"/>
      <c r="EE48" s="300"/>
      <c r="EF48" s="300"/>
      <c r="EG48" s="300"/>
      <c r="EH48" s="300"/>
      <c r="EI48" s="300"/>
      <c r="EJ48" s="300"/>
      <c r="EK48" s="300"/>
      <c r="EL48" s="300"/>
      <c r="EM48" s="300"/>
      <c r="EN48" s="300"/>
      <c r="EO48" s="300"/>
      <c r="EP48" s="300"/>
      <c r="EQ48" s="300"/>
      <c r="ER48" s="300"/>
      <c r="ES48" s="300"/>
      <c r="ET48" s="300"/>
      <c r="EU48" s="300"/>
      <c r="EV48" s="300"/>
      <c r="EW48" s="300"/>
      <c r="EX48" s="300"/>
      <c r="EY48" s="300"/>
      <c r="EZ48" s="300"/>
      <c r="FA48" s="300"/>
      <c r="FB48" s="300"/>
      <c r="FC48" s="300"/>
      <c r="FD48" s="300"/>
      <c r="FE48" s="300"/>
      <c r="FF48" s="300"/>
      <c r="FG48" s="300"/>
      <c r="FH48" s="300"/>
      <c r="FI48" s="300"/>
      <c r="FJ48" s="300"/>
      <c r="FK48" s="300"/>
      <c r="FL48" s="300"/>
      <c r="FM48" s="300"/>
      <c r="FN48" s="300"/>
      <c r="FO48" s="300"/>
      <c r="FP48" s="300"/>
      <c r="FQ48" s="300"/>
      <c r="FR48" s="300"/>
      <c r="FS48" s="300"/>
      <c r="FT48" s="300"/>
      <c r="FU48" s="300"/>
      <c r="FV48" s="300"/>
      <c r="FW48" s="300"/>
      <c r="FX48" s="300"/>
      <c r="FY48" s="300"/>
      <c r="FZ48" s="300"/>
      <c r="GA48" s="300"/>
      <c r="GB48" s="300"/>
      <c r="GC48" s="300"/>
      <c r="GD48" s="300"/>
      <c r="GE48" s="300"/>
      <c r="GF48" s="300"/>
      <c r="GG48" s="300"/>
      <c r="GH48" s="300"/>
      <c r="GI48" s="300"/>
      <c r="GJ48" s="300"/>
      <c r="GK48" s="300"/>
      <c r="GL48" s="300"/>
      <c r="GM48" s="300"/>
      <c r="GN48" s="300"/>
      <c r="GO48" s="300"/>
      <c r="GP48" s="300"/>
      <c r="GQ48" s="300"/>
      <c r="GR48" s="300"/>
      <c r="GS48" s="300"/>
      <c r="GT48" s="300"/>
      <c r="GU48" s="300"/>
      <c r="GV48" s="300"/>
      <c r="GW48" s="300"/>
      <c r="GX48" s="300"/>
      <c r="GY48" s="300"/>
      <c r="GZ48" s="300"/>
      <c r="HA48" s="300"/>
      <c r="HB48" s="300"/>
      <c r="HC48" s="300"/>
      <c r="HD48" s="300"/>
      <c r="HE48" s="300"/>
      <c r="HF48" s="300"/>
      <c r="HG48" s="300"/>
      <c r="HH48" s="300"/>
      <c r="HI48" s="300"/>
      <c r="HJ48" s="300"/>
      <c r="HK48" s="300"/>
      <c r="HL48" s="300"/>
      <c r="HM48" s="300"/>
      <c r="HN48" s="300"/>
      <c r="HO48" s="300"/>
      <c r="HP48" s="300"/>
      <c r="HQ48" s="300"/>
      <c r="HR48" s="300"/>
      <c r="HS48" s="300"/>
      <c r="HT48" s="300"/>
      <c r="HU48" s="300"/>
      <c r="HV48" s="300"/>
      <c r="HW48" s="300"/>
      <c r="HX48" s="300"/>
      <c r="HY48" s="300"/>
      <c r="HZ48" s="300"/>
      <c r="IA48" s="300"/>
      <c r="IB48" s="300"/>
      <c r="IC48" s="300"/>
      <c r="ID48" s="300"/>
      <c r="IE48" s="300"/>
      <c r="IF48" s="300"/>
      <c r="IG48" s="300"/>
      <c r="IH48" s="300"/>
      <c r="II48" s="300"/>
      <c r="IJ48" s="300"/>
      <c r="IK48" s="300"/>
      <c r="IL48" s="300"/>
      <c r="IM48" s="300"/>
      <c r="IN48" s="300"/>
      <c r="IO48" s="300"/>
      <c r="IP48" s="300"/>
      <c r="IQ48" s="300"/>
      <c r="IR48" s="300"/>
      <c r="IS48" s="300"/>
      <c r="IT48" s="300"/>
      <c r="IU48" s="300"/>
      <c r="IV48" s="300"/>
    </row>
    <row r="49" spans="1:256" s="306" customFormat="1" ht="13.8">
      <c r="A49" s="332" t="s">
        <v>296</v>
      </c>
      <c r="B49" s="332"/>
      <c r="C49" s="332"/>
      <c r="D49" s="333" t="s">
        <v>1465</v>
      </c>
      <c r="E49" s="310"/>
      <c r="F49" s="311"/>
      <c r="G49" s="312"/>
      <c r="H49" s="311"/>
      <c r="I49" s="300"/>
      <c r="J49" s="300"/>
      <c r="K49" s="300"/>
      <c r="L49" s="300"/>
      <c r="M49" s="300"/>
      <c r="N49" s="300"/>
      <c r="O49" s="300"/>
      <c r="P49" s="300"/>
      <c r="Q49" s="300"/>
      <c r="R49" s="300"/>
      <c r="S49" s="300"/>
      <c r="T49" s="300"/>
      <c r="U49" s="300"/>
      <c r="V49" s="300"/>
      <c r="W49" s="300"/>
      <c r="X49" s="300"/>
      <c r="Y49" s="300"/>
      <c r="Z49" s="300"/>
      <c r="AA49" s="300"/>
      <c r="AB49" s="300"/>
      <c r="AC49" s="300"/>
      <c r="AD49" s="300"/>
      <c r="AE49" s="300"/>
      <c r="AF49" s="300"/>
      <c r="AG49" s="300"/>
      <c r="AH49" s="300"/>
      <c r="AI49" s="300"/>
      <c r="AJ49" s="300"/>
      <c r="AK49" s="300"/>
      <c r="AL49" s="300"/>
      <c r="AM49" s="300"/>
      <c r="AN49" s="300"/>
      <c r="AO49" s="300"/>
      <c r="AP49" s="300"/>
      <c r="AQ49" s="300"/>
      <c r="AR49" s="300"/>
      <c r="AS49" s="300"/>
      <c r="AT49" s="300"/>
      <c r="AU49" s="300"/>
      <c r="AV49" s="300"/>
      <c r="AW49" s="300"/>
      <c r="AX49" s="300"/>
      <c r="AY49" s="300"/>
      <c r="AZ49" s="300"/>
      <c r="BA49" s="300"/>
      <c r="BB49" s="300"/>
      <c r="BC49" s="300"/>
      <c r="BD49" s="300"/>
      <c r="BE49" s="300"/>
      <c r="BF49" s="300"/>
      <c r="BG49" s="300"/>
      <c r="BH49" s="300"/>
      <c r="BI49" s="300"/>
      <c r="BJ49" s="300"/>
      <c r="BK49" s="300"/>
      <c r="BL49" s="300"/>
      <c r="BM49" s="300"/>
      <c r="BN49" s="300"/>
      <c r="BO49" s="300"/>
      <c r="BP49" s="300"/>
      <c r="BQ49" s="300"/>
      <c r="BR49" s="300"/>
      <c r="BS49" s="300"/>
      <c r="BT49" s="300"/>
      <c r="BU49" s="300"/>
      <c r="BV49" s="300"/>
      <c r="BW49" s="300"/>
      <c r="BX49" s="300"/>
      <c r="BY49" s="300"/>
      <c r="BZ49" s="300"/>
      <c r="CA49" s="300"/>
      <c r="CB49" s="300"/>
      <c r="CC49" s="300"/>
      <c r="CD49" s="300"/>
      <c r="CE49" s="300"/>
      <c r="CF49" s="300"/>
      <c r="CG49" s="300"/>
      <c r="CH49" s="300"/>
      <c r="CI49" s="300"/>
      <c r="CJ49" s="300"/>
      <c r="CK49" s="300"/>
      <c r="CL49" s="300"/>
      <c r="CM49" s="300"/>
      <c r="CN49" s="300"/>
      <c r="CO49" s="300"/>
      <c r="CP49" s="300"/>
      <c r="CQ49" s="300"/>
      <c r="CR49" s="300"/>
      <c r="CS49" s="300"/>
      <c r="CT49" s="300"/>
      <c r="CU49" s="300"/>
      <c r="CV49" s="300"/>
      <c r="CW49" s="300"/>
      <c r="CX49" s="300"/>
      <c r="CY49" s="300"/>
      <c r="CZ49" s="300"/>
      <c r="DA49" s="300"/>
      <c r="DB49" s="300"/>
      <c r="DC49" s="300"/>
      <c r="DD49" s="300"/>
      <c r="DE49" s="300"/>
      <c r="DF49" s="300"/>
      <c r="DG49" s="300"/>
      <c r="DH49" s="300"/>
      <c r="DI49" s="300"/>
      <c r="DJ49" s="300"/>
      <c r="DK49" s="300"/>
      <c r="DL49" s="300"/>
      <c r="DM49" s="300"/>
      <c r="DN49" s="300"/>
      <c r="DO49" s="300"/>
      <c r="DP49" s="300"/>
      <c r="DQ49" s="300"/>
      <c r="DR49" s="300"/>
      <c r="DS49" s="300"/>
      <c r="DT49" s="300"/>
      <c r="DU49" s="300"/>
      <c r="DV49" s="300"/>
      <c r="DW49" s="300"/>
      <c r="DX49" s="300"/>
      <c r="DY49" s="300"/>
      <c r="DZ49" s="300"/>
      <c r="EA49" s="300"/>
      <c r="EB49" s="300"/>
      <c r="EC49" s="300"/>
      <c r="ED49" s="300"/>
      <c r="EE49" s="300"/>
      <c r="EF49" s="300"/>
      <c r="EG49" s="300"/>
      <c r="EH49" s="300"/>
      <c r="EI49" s="300"/>
      <c r="EJ49" s="300"/>
      <c r="EK49" s="300"/>
      <c r="EL49" s="300"/>
      <c r="EM49" s="300"/>
      <c r="EN49" s="300"/>
      <c r="EO49" s="300"/>
      <c r="EP49" s="300"/>
      <c r="EQ49" s="300"/>
      <c r="ER49" s="300"/>
      <c r="ES49" s="300"/>
      <c r="ET49" s="300"/>
      <c r="EU49" s="300"/>
      <c r="EV49" s="300"/>
      <c r="EW49" s="300"/>
      <c r="EX49" s="300"/>
      <c r="EY49" s="300"/>
      <c r="EZ49" s="300"/>
      <c r="FA49" s="300"/>
      <c r="FB49" s="300"/>
      <c r="FC49" s="300"/>
      <c r="FD49" s="300"/>
      <c r="FE49" s="300"/>
      <c r="FF49" s="300"/>
      <c r="FG49" s="300"/>
      <c r="FH49" s="300"/>
      <c r="FI49" s="300"/>
      <c r="FJ49" s="300"/>
      <c r="FK49" s="300"/>
      <c r="FL49" s="300"/>
      <c r="FM49" s="300"/>
      <c r="FN49" s="300"/>
      <c r="FO49" s="300"/>
      <c r="FP49" s="300"/>
      <c r="FQ49" s="300"/>
      <c r="FR49" s="300"/>
      <c r="FS49" s="300"/>
      <c r="FT49" s="300"/>
      <c r="FU49" s="300"/>
      <c r="FV49" s="300"/>
      <c r="FW49" s="300"/>
      <c r="FX49" s="300"/>
      <c r="FY49" s="300"/>
      <c r="FZ49" s="300"/>
      <c r="GA49" s="300"/>
      <c r="GB49" s="300"/>
      <c r="GC49" s="300"/>
      <c r="GD49" s="300"/>
      <c r="GE49" s="300"/>
      <c r="GF49" s="300"/>
      <c r="GG49" s="300"/>
      <c r="GH49" s="300"/>
      <c r="GI49" s="300"/>
      <c r="GJ49" s="300"/>
      <c r="GK49" s="300"/>
      <c r="GL49" s="300"/>
      <c r="GM49" s="300"/>
      <c r="GN49" s="300"/>
      <c r="GO49" s="300"/>
      <c r="GP49" s="300"/>
      <c r="GQ49" s="300"/>
      <c r="GR49" s="300"/>
      <c r="GS49" s="300"/>
      <c r="GT49" s="300"/>
      <c r="GU49" s="300"/>
      <c r="GV49" s="300"/>
      <c r="GW49" s="300"/>
      <c r="GX49" s="300"/>
      <c r="GY49" s="300"/>
      <c r="GZ49" s="300"/>
      <c r="HA49" s="300"/>
      <c r="HB49" s="300"/>
      <c r="HC49" s="300"/>
      <c r="HD49" s="300"/>
      <c r="HE49" s="300"/>
      <c r="HF49" s="300"/>
      <c r="HG49" s="300"/>
      <c r="HH49" s="300"/>
      <c r="HI49" s="300"/>
      <c r="HJ49" s="300"/>
      <c r="HK49" s="300"/>
      <c r="HL49" s="300"/>
      <c r="HM49" s="300"/>
      <c r="HN49" s="300"/>
      <c r="HO49" s="300"/>
      <c r="HP49" s="300"/>
      <c r="HQ49" s="300"/>
      <c r="HR49" s="300"/>
      <c r="HS49" s="300"/>
      <c r="HT49" s="300"/>
      <c r="HU49" s="300"/>
      <c r="HV49" s="300"/>
      <c r="HW49" s="300"/>
      <c r="HX49" s="300"/>
      <c r="HY49" s="300"/>
      <c r="HZ49" s="300"/>
      <c r="IA49" s="300"/>
      <c r="IB49" s="300"/>
      <c r="IC49" s="300"/>
      <c r="ID49" s="300"/>
      <c r="IE49" s="300"/>
      <c r="IF49" s="300"/>
      <c r="IG49" s="300"/>
      <c r="IH49" s="300"/>
      <c r="II49" s="300"/>
      <c r="IJ49" s="300"/>
      <c r="IK49" s="300"/>
      <c r="IL49" s="300"/>
      <c r="IM49" s="300"/>
      <c r="IN49" s="300"/>
      <c r="IO49" s="300"/>
      <c r="IP49" s="300"/>
      <c r="IQ49" s="300"/>
      <c r="IR49" s="300"/>
      <c r="IS49" s="300"/>
      <c r="IT49" s="300"/>
      <c r="IU49" s="300"/>
      <c r="IV49" s="300"/>
    </row>
    <row r="50" spans="1:256" s="334" customFormat="1" ht="13.8">
      <c r="A50" s="315" t="s">
        <v>299</v>
      </c>
      <c r="B50" s="313" t="s">
        <v>1426</v>
      </c>
      <c r="C50" s="315" t="s">
        <v>1466</v>
      </c>
      <c r="D50" s="324" t="s">
        <v>1467</v>
      </c>
      <c r="E50" s="315" t="s">
        <v>1429</v>
      </c>
      <c r="F50" s="316">
        <v>9.26</v>
      </c>
      <c r="G50" s="317">
        <f>12.88*2+48</f>
        <v>73.760000000000005</v>
      </c>
      <c r="H50" s="318">
        <f>TRUNC(F50*G50,2)</f>
        <v>683.01</v>
      </c>
      <c r="I50" s="306">
        <v>9.66</v>
      </c>
      <c r="J50" s="306"/>
      <c r="K50" s="306"/>
      <c r="L50" s="306"/>
      <c r="M50" s="306"/>
      <c r="N50" s="306"/>
      <c r="O50" s="306"/>
      <c r="P50" s="306"/>
      <c r="Q50" s="306"/>
      <c r="R50" s="306"/>
      <c r="S50" s="306"/>
      <c r="T50" s="306"/>
      <c r="U50" s="306"/>
      <c r="V50" s="306"/>
      <c r="W50" s="306"/>
      <c r="X50" s="306"/>
      <c r="Y50" s="306"/>
      <c r="Z50" s="306"/>
      <c r="AA50" s="306"/>
      <c r="AB50" s="306"/>
      <c r="AC50" s="306"/>
      <c r="AD50" s="306"/>
      <c r="AE50" s="306"/>
      <c r="AF50" s="306"/>
      <c r="AG50" s="306"/>
      <c r="AH50" s="306"/>
      <c r="AI50" s="306"/>
      <c r="AJ50" s="306"/>
      <c r="AK50" s="306"/>
      <c r="AL50" s="306"/>
      <c r="AM50" s="306"/>
      <c r="AN50" s="306"/>
      <c r="AO50" s="306"/>
      <c r="AP50" s="306"/>
      <c r="AQ50" s="306"/>
      <c r="AR50" s="306"/>
      <c r="AS50" s="306"/>
      <c r="AT50" s="306"/>
      <c r="AU50" s="306"/>
      <c r="AV50" s="306"/>
      <c r="AW50" s="306"/>
      <c r="AX50" s="306"/>
      <c r="AY50" s="306"/>
      <c r="AZ50" s="306"/>
      <c r="BA50" s="306"/>
      <c r="BB50" s="306"/>
      <c r="BC50" s="306"/>
      <c r="BD50" s="306"/>
      <c r="BE50" s="306"/>
      <c r="BF50" s="306"/>
      <c r="BG50" s="306"/>
      <c r="BH50" s="306"/>
      <c r="BI50" s="306"/>
      <c r="BJ50" s="306"/>
      <c r="BK50" s="306"/>
      <c r="BL50" s="306"/>
      <c r="BM50" s="306"/>
      <c r="BN50" s="306"/>
      <c r="BO50" s="306"/>
      <c r="BP50" s="306"/>
      <c r="BQ50" s="306"/>
      <c r="BR50" s="306"/>
      <c r="BS50" s="306"/>
      <c r="BT50" s="306"/>
      <c r="BU50" s="306"/>
      <c r="BV50" s="306"/>
      <c r="BW50" s="306"/>
      <c r="BX50" s="306"/>
      <c r="BY50" s="306"/>
      <c r="BZ50" s="306"/>
      <c r="CA50" s="306"/>
      <c r="CB50" s="306"/>
      <c r="CC50" s="306"/>
      <c r="CD50" s="306"/>
      <c r="CE50" s="306"/>
      <c r="CF50" s="306"/>
      <c r="CG50" s="306"/>
      <c r="CH50" s="306"/>
      <c r="CI50" s="306"/>
      <c r="CJ50" s="306"/>
      <c r="CK50" s="306"/>
      <c r="CL50" s="306"/>
      <c r="CM50" s="306"/>
      <c r="CN50" s="306"/>
      <c r="CO50" s="306"/>
      <c r="CP50" s="306"/>
      <c r="CQ50" s="306"/>
      <c r="CR50" s="306"/>
      <c r="CS50" s="306"/>
      <c r="CT50" s="306"/>
      <c r="CU50" s="306"/>
      <c r="CV50" s="306"/>
      <c r="CW50" s="306"/>
      <c r="CX50" s="306"/>
      <c r="CY50" s="306"/>
      <c r="CZ50" s="306"/>
      <c r="DA50" s="306"/>
      <c r="DB50" s="306"/>
      <c r="DC50" s="306"/>
      <c r="DD50" s="306"/>
      <c r="DE50" s="306"/>
      <c r="DF50" s="306"/>
      <c r="DG50" s="306"/>
      <c r="DH50" s="306"/>
      <c r="DI50" s="306"/>
      <c r="DJ50" s="306"/>
      <c r="DK50" s="306"/>
      <c r="DL50" s="306"/>
      <c r="DM50" s="306"/>
      <c r="DN50" s="306"/>
      <c r="DO50" s="306"/>
      <c r="DP50" s="306"/>
      <c r="DQ50" s="306"/>
      <c r="DR50" s="306"/>
      <c r="DS50" s="306"/>
      <c r="DT50" s="306"/>
      <c r="DU50" s="306"/>
      <c r="DV50" s="306"/>
      <c r="DW50" s="306"/>
      <c r="DX50" s="306"/>
      <c r="DY50" s="306"/>
      <c r="DZ50" s="306"/>
      <c r="EA50" s="306"/>
      <c r="EB50" s="306"/>
      <c r="EC50" s="306"/>
      <c r="ED50" s="306"/>
      <c r="EE50" s="306"/>
      <c r="EF50" s="306"/>
      <c r="EG50" s="306"/>
      <c r="EH50" s="306"/>
      <c r="EI50" s="306"/>
      <c r="EJ50" s="306"/>
      <c r="EK50" s="306"/>
      <c r="EL50" s="306"/>
      <c r="EM50" s="306"/>
      <c r="EN50" s="306"/>
      <c r="EO50" s="306"/>
      <c r="EP50" s="306"/>
      <c r="EQ50" s="306"/>
      <c r="ER50" s="306"/>
      <c r="ES50" s="306"/>
      <c r="ET50" s="306"/>
      <c r="EU50" s="306"/>
      <c r="EV50" s="306"/>
      <c r="EW50" s="306"/>
      <c r="EX50" s="306"/>
      <c r="EY50" s="306"/>
      <c r="EZ50" s="306"/>
      <c r="FA50" s="306"/>
      <c r="FB50" s="306"/>
      <c r="FC50" s="306"/>
      <c r="FD50" s="306"/>
      <c r="FE50" s="306"/>
      <c r="FF50" s="306"/>
      <c r="FG50" s="306"/>
      <c r="FH50" s="306"/>
      <c r="FI50" s="306"/>
      <c r="FJ50" s="306"/>
      <c r="FK50" s="306"/>
      <c r="FL50" s="306"/>
      <c r="FM50" s="306"/>
      <c r="FN50" s="306"/>
      <c r="FO50" s="306"/>
      <c r="FP50" s="306"/>
      <c r="FQ50" s="306"/>
      <c r="FR50" s="306"/>
      <c r="FS50" s="306"/>
      <c r="FT50" s="306"/>
      <c r="FU50" s="306"/>
      <c r="FV50" s="306"/>
      <c r="FW50" s="306"/>
      <c r="FX50" s="306"/>
      <c r="FY50" s="306"/>
      <c r="FZ50" s="306"/>
      <c r="GA50" s="306"/>
      <c r="GB50" s="306"/>
      <c r="GC50" s="306"/>
      <c r="GD50" s="306"/>
      <c r="GE50" s="306"/>
      <c r="GF50" s="306"/>
      <c r="GG50" s="306"/>
      <c r="GH50" s="306"/>
      <c r="GI50" s="306"/>
      <c r="GJ50" s="306"/>
      <c r="GK50" s="306"/>
      <c r="GL50" s="306"/>
      <c r="GM50" s="306"/>
      <c r="GN50" s="306"/>
      <c r="GO50" s="306"/>
      <c r="GP50" s="306"/>
      <c r="GQ50" s="306"/>
      <c r="GR50" s="306"/>
      <c r="GS50" s="306"/>
      <c r="GT50" s="306"/>
      <c r="GU50" s="306"/>
      <c r="GV50" s="306"/>
      <c r="GW50" s="306"/>
      <c r="GX50" s="306"/>
      <c r="GY50" s="306"/>
      <c r="GZ50" s="306"/>
      <c r="HA50" s="306"/>
      <c r="HB50" s="306"/>
      <c r="HC50" s="306"/>
      <c r="HD50" s="306"/>
      <c r="HE50" s="306"/>
      <c r="HF50" s="306"/>
      <c r="HG50" s="306"/>
      <c r="HH50" s="306"/>
      <c r="HI50" s="306"/>
      <c r="HJ50" s="306"/>
      <c r="HK50" s="306"/>
      <c r="HL50" s="306"/>
      <c r="HM50" s="306"/>
      <c r="HN50" s="306"/>
      <c r="HO50" s="306"/>
      <c r="HP50" s="306"/>
      <c r="HQ50" s="306"/>
      <c r="HR50" s="306"/>
      <c r="HS50" s="306"/>
      <c r="HT50" s="306"/>
      <c r="HU50" s="306"/>
      <c r="HV50" s="306"/>
      <c r="HW50" s="306"/>
      <c r="HX50" s="306"/>
      <c r="HY50" s="306"/>
      <c r="HZ50" s="306"/>
      <c r="IA50" s="306"/>
      <c r="IB50" s="306"/>
      <c r="IC50" s="306"/>
      <c r="ID50" s="306"/>
      <c r="IE50" s="306"/>
      <c r="IF50" s="306"/>
      <c r="IG50" s="306"/>
      <c r="IH50" s="306"/>
      <c r="II50" s="306"/>
      <c r="IJ50" s="306"/>
      <c r="IK50" s="306"/>
      <c r="IL50" s="306"/>
      <c r="IM50" s="306"/>
      <c r="IN50" s="306"/>
      <c r="IO50" s="306"/>
      <c r="IP50" s="306"/>
      <c r="IQ50" s="306"/>
      <c r="IR50" s="306"/>
      <c r="IS50" s="306"/>
      <c r="IT50" s="306"/>
      <c r="IU50" s="306"/>
      <c r="IV50" s="306"/>
    </row>
    <row r="51" spans="1:256" s="306" customFormat="1" ht="13.8">
      <c r="A51" s="315" t="s">
        <v>1468</v>
      </c>
      <c r="B51" s="313" t="s">
        <v>1426</v>
      </c>
      <c r="C51" s="315" t="s">
        <v>1469</v>
      </c>
      <c r="D51" s="324" t="s">
        <v>1470</v>
      </c>
      <c r="E51" s="315" t="s">
        <v>1429</v>
      </c>
      <c r="F51" s="316">
        <v>17.2</v>
      </c>
      <c r="G51" s="317">
        <f>769.99+G35+225+96</f>
        <v>1247.8699999999999</v>
      </c>
      <c r="H51" s="318">
        <f>TRUNC(F51*G51,2)</f>
        <v>21463.360000000001</v>
      </c>
      <c r="I51" s="306">
        <v>9.66</v>
      </c>
    </row>
    <row r="52" spans="1:256" s="306" customFormat="1" ht="13.8">
      <c r="A52" s="315" t="s">
        <v>1471</v>
      </c>
      <c r="B52" s="315"/>
      <c r="C52" s="315"/>
      <c r="D52" s="324"/>
      <c r="E52" s="315" t="s">
        <v>1429</v>
      </c>
      <c r="F52" s="316"/>
      <c r="G52" s="317"/>
      <c r="H52" s="318">
        <f>TRUNC(F52*G52,2)</f>
        <v>0</v>
      </c>
    </row>
    <row r="53" spans="1:256" s="306" customFormat="1" ht="13.8">
      <c r="A53" s="332" t="s">
        <v>301</v>
      </c>
      <c r="B53" s="332"/>
      <c r="C53" s="332"/>
      <c r="D53" s="333" t="s">
        <v>1472</v>
      </c>
      <c r="E53" s="310"/>
      <c r="F53" s="311"/>
      <c r="G53" s="312"/>
      <c r="H53" s="311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00"/>
      <c r="AE53" s="300"/>
      <c r="AF53" s="300"/>
      <c r="AG53" s="300"/>
      <c r="AH53" s="300"/>
      <c r="AI53" s="300"/>
      <c r="AJ53" s="300"/>
      <c r="AK53" s="300"/>
      <c r="AL53" s="300"/>
      <c r="AM53" s="300"/>
      <c r="AN53" s="300"/>
      <c r="AO53" s="300"/>
      <c r="AP53" s="300"/>
      <c r="AQ53" s="300"/>
      <c r="AR53" s="300"/>
      <c r="AS53" s="300"/>
      <c r="AT53" s="300"/>
      <c r="AU53" s="300"/>
      <c r="AV53" s="300"/>
      <c r="AW53" s="300"/>
      <c r="AX53" s="300"/>
      <c r="AY53" s="300"/>
      <c r="AZ53" s="300"/>
      <c r="BA53" s="300"/>
      <c r="BB53" s="300"/>
      <c r="BC53" s="300"/>
      <c r="BD53" s="300"/>
      <c r="BE53" s="300"/>
      <c r="BF53" s="300"/>
      <c r="BG53" s="300"/>
      <c r="BH53" s="300"/>
      <c r="BI53" s="300"/>
      <c r="BJ53" s="300"/>
      <c r="BK53" s="300"/>
      <c r="BL53" s="300"/>
      <c r="BM53" s="300"/>
      <c r="BN53" s="300"/>
      <c r="BO53" s="300"/>
      <c r="BP53" s="300"/>
      <c r="BQ53" s="300"/>
      <c r="BR53" s="300"/>
      <c r="BS53" s="300"/>
      <c r="BT53" s="300"/>
      <c r="BU53" s="300"/>
      <c r="BV53" s="300"/>
      <c r="BW53" s="300"/>
      <c r="BX53" s="300"/>
      <c r="BY53" s="300"/>
      <c r="BZ53" s="300"/>
      <c r="CA53" s="300"/>
      <c r="CB53" s="300"/>
      <c r="CC53" s="300"/>
      <c r="CD53" s="300"/>
      <c r="CE53" s="300"/>
      <c r="CF53" s="300"/>
      <c r="CG53" s="300"/>
      <c r="CH53" s="300"/>
      <c r="CI53" s="300"/>
      <c r="CJ53" s="300"/>
      <c r="CK53" s="300"/>
      <c r="CL53" s="300"/>
      <c r="CM53" s="300"/>
      <c r="CN53" s="300"/>
      <c r="CO53" s="300"/>
      <c r="CP53" s="300"/>
      <c r="CQ53" s="300"/>
      <c r="CR53" s="300"/>
      <c r="CS53" s="300"/>
      <c r="CT53" s="300"/>
      <c r="CU53" s="300"/>
      <c r="CV53" s="300"/>
      <c r="CW53" s="300"/>
      <c r="CX53" s="300"/>
      <c r="CY53" s="300"/>
      <c r="CZ53" s="300"/>
      <c r="DA53" s="300"/>
      <c r="DB53" s="300"/>
      <c r="DC53" s="300"/>
      <c r="DD53" s="300"/>
      <c r="DE53" s="300"/>
      <c r="DF53" s="300"/>
      <c r="DG53" s="300"/>
      <c r="DH53" s="300"/>
      <c r="DI53" s="300"/>
      <c r="DJ53" s="300"/>
      <c r="DK53" s="300"/>
      <c r="DL53" s="300"/>
      <c r="DM53" s="300"/>
      <c r="DN53" s="300"/>
      <c r="DO53" s="300"/>
      <c r="DP53" s="300"/>
      <c r="DQ53" s="300"/>
      <c r="DR53" s="300"/>
      <c r="DS53" s="300"/>
      <c r="DT53" s="300"/>
      <c r="DU53" s="300"/>
      <c r="DV53" s="300"/>
      <c r="DW53" s="300"/>
      <c r="DX53" s="300"/>
      <c r="DY53" s="300"/>
      <c r="DZ53" s="300"/>
      <c r="EA53" s="300"/>
      <c r="EB53" s="300"/>
      <c r="EC53" s="300"/>
      <c r="ED53" s="300"/>
      <c r="EE53" s="300"/>
      <c r="EF53" s="300"/>
      <c r="EG53" s="300"/>
      <c r="EH53" s="300"/>
      <c r="EI53" s="300"/>
      <c r="EJ53" s="300"/>
      <c r="EK53" s="300"/>
      <c r="EL53" s="300"/>
      <c r="EM53" s="300"/>
      <c r="EN53" s="300"/>
      <c r="EO53" s="300"/>
      <c r="EP53" s="300"/>
      <c r="EQ53" s="300"/>
      <c r="ER53" s="300"/>
      <c r="ES53" s="300"/>
      <c r="ET53" s="300"/>
      <c r="EU53" s="300"/>
      <c r="EV53" s="300"/>
      <c r="EW53" s="300"/>
      <c r="EX53" s="300"/>
      <c r="EY53" s="300"/>
      <c r="EZ53" s="300"/>
      <c r="FA53" s="300"/>
      <c r="FB53" s="300"/>
      <c r="FC53" s="300"/>
      <c r="FD53" s="300"/>
      <c r="FE53" s="300"/>
      <c r="FF53" s="300"/>
      <c r="FG53" s="300"/>
      <c r="FH53" s="300"/>
      <c r="FI53" s="300"/>
      <c r="FJ53" s="300"/>
      <c r="FK53" s="300"/>
      <c r="FL53" s="300"/>
      <c r="FM53" s="300"/>
      <c r="FN53" s="300"/>
      <c r="FO53" s="300"/>
      <c r="FP53" s="300"/>
      <c r="FQ53" s="300"/>
      <c r="FR53" s="300"/>
      <c r="FS53" s="300"/>
      <c r="FT53" s="300"/>
      <c r="FU53" s="300"/>
      <c r="FV53" s="300"/>
      <c r="FW53" s="300"/>
      <c r="FX53" s="300"/>
      <c r="FY53" s="300"/>
      <c r="FZ53" s="300"/>
      <c r="GA53" s="300"/>
      <c r="GB53" s="300"/>
      <c r="GC53" s="300"/>
      <c r="GD53" s="300"/>
      <c r="GE53" s="300"/>
      <c r="GF53" s="300"/>
      <c r="GG53" s="300"/>
      <c r="GH53" s="300"/>
      <c r="GI53" s="300"/>
      <c r="GJ53" s="300"/>
      <c r="GK53" s="300"/>
      <c r="GL53" s="300"/>
      <c r="GM53" s="300"/>
      <c r="GN53" s="300"/>
      <c r="GO53" s="300"/>
      <c r="GP53" s="300"/>
      <c r="GQ53" s="300"/>
      <c r="GR53" s="300"/>
      <c r="GS53" s="300"/>
      <c r="GT53" s="300"/>
      <c r="GU53" s="300"/>
      <c r="GV53" s="300"/>
      <c r="GW53" s="300"/>
      <c r="GX53" s="300"/>
      <c r="GY53" s="300"/>
      <c r="GZ53" s="300"/>
      <c r="HA53" s="300"/>
      <c r="HB53" s="300"/>
      <c r="HC53" s="300"/>
      <c r="HD53" s="300"/>
      <c r="HE53" s="300"/>
      <c r="HF53" s="300"/>
      <c r="HG53" s="300"/>
      <c r="HH53" s="300"/>
      <c r="HI53" s="300"/>
      <c r="HJ53" s="300"/>
      <c r="HK53" s="300"/>
      <c r="HL53" s="300"/>
      <c r="HM53" s="300"/>
      <c r="HN53" s="300"/>
      <c r="HO53" s="300"/>
      <c r="HP53" s="300"/>
      <c r="HQ53" s="300"/>
      <c r="HR53" s="300"/>
      <c r="HS53" s="300"/>
      <c r="HT53" s="300"/>
      <c r="HU53" s="300"/>
      <c r="HV53" s="300"/>
      <c r="HW53" s="300"/>
      <c r="HX53" s="300"/>
      <c r="HY53" s="300"/>
      <c r="HZ53" s="300"/>
      <c r="IA53" s="300"/>
      <c r="IB53" s="300"/>
      <c r="IC53" s="300"/>
      <c r="ID53" s="300"/>
      <c r="IE53" s="300"/>
      <c r="IF53" s="300"/>
      <c r="IG53" s="300"/>
      <c r="IH53" s="300"/>
      <c r="II53" s="300"/>
      <c r="IJ53" s="300"/>
      <c r="IK53" s="300"/>
      <c r="IL53" s="300"/>
      <c r="IM53" s="300"/>
      <c r="IN53" s="300"/>
      <c r="IO53" s="300"/>
      <c r="IP53" s="300"/>
      <c r="IQ53" s="300"/>
      <c r="IR53" s="300"/>
      <c r="IS53" s="300"/>
      <c r="IT53" s="300"/>
      <c r="IU53" s="300"/>
      <c r="IV53" s="300"/>
    </row>
    <row r="54" spans="1:256" s="334" customFormat="1" ht="13.8">
      <c r="A54" s="315" t="s">
        <v>303</v>
      </c>
      <c r="B54" s="313" t="s">
        <v>1426</v>
      </c>
      <c r="C54" s="335" t="s">
        <v>1473</v>
      </c>
      <c r="D54" s="314" t="s">
        <v>1474</v>
      </c>
      <c r="E54" s="315" t="s">
        <v>1429</v>
      </c>
      <c r="F54" s="316">
        <v>27.09</v>
      </c>
      <c r="G54" s="317">
        <f>(0.6*2.15*2*2)+(2.15*0.2*6)+(0.9*2.15*4)</f>
        <v>15.48</v>
      </c>
      <c r="H54" s="318">
        <f>TRUNC(F54*G54,2)</f>
        <v>419.35</v>
      </c>
      <c r="I54" s="306">
        <v>24.41</v>
      </c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06"/>
      <c r="AE54" s="306"/>
      <c r="AF54" s="306"/>
      <c r="AG54" s="306"/>
      <c r="AH54" s="306"/>
      <c r="AI54" s="306"/>
      <c r="AJ54" s="306"/>
      <c r="AK54" s="306"/>
      <c r="AL54" s="306"/>
      <c r="AM54" s="306"/>
      <c r="AN54" s="306"/>
      <c r="AO54" s="306"/>
      <c r="AP54" s="306"/>
      <c r="AQ54" s="306"/>
      <c r="AR54" s="306"/>
      <c r="AS54" s="306"/>
      <c r="AT54" s="306"/>
      <c r="AU54" s="306"/>
      <c r="AV54" s="306"/>
      <c r="AW54" s="306"/>
      <c r="AX54" s="306"/>
      <c r="AY54" s="306"/>
      <c r="AZ54" s="306"/>
      <c r="BA54" s="306"/>
      <c r="BB54" s="306"/>
      <c r="BC54" s="306"/>
      <c r="BD54" s="306"/>
      <c r="BE54" s="306"/>
      <c r="BF54" s="306"/>
      <c r="BG54" s="306"/>
      <c r="BH54" s="306"/>
      <c r="BI54" s="306"/>
      <c r="BJ54" s="306"/>
      <c r="BK54" s="306"/>
      <c r="BL54" s="306"/>
      <c r="BM54" s="306"/>
      <c r="BN54" s="306"/>
      <c r="BO54" s="306"/>
      <c r="BP54" s="306"/>
      <c r="BQ54" s="306"/>
      <c r="BR54" s="306"/>
      <c r="BS54" s="306"/>
      <c r="BT54" s="306"/>
      <c r="BU54" s="306"/>
      <c r="BV54" s="306"/>
      <c r="BW54" s="306"/>
      <c r="BX54" s="306"/>
      <c r="BY54" s="306"/>
      <c r="BZ54" s="306"/>
      <c r="CA54" s="306"/>
      <c r="CB54" s="306"/>
      <c r="CC54" s="306"/>
      <c r="CD54" s="306"/>
      <c r="CE54" s="306"/>
      <c r="CF54" s="306"/>
      <c r="CG54" s="306"/>
      <c r="CH54" s="306"/>
      <c r="CI54" s="306"/>
      <c r="CJ54" s="306"/>
      <c r="CK54" s="306"/>
      <c r="CL54" s="306"/>
      <c r="CM54" s="306"/>
      <c r="CN54" s="306"/>
      <c r="CO54" s="306"/>
      <c r="CP54" s="306"/>
      <c r="CQ54" s="306"/>
      <c r="CR54" s="306"/>
      <c r="CS54" s="306"/>
      <c r="CT54" s="306"/>
      <c r="CU54" s="306"/>
      <c r="CV54" s="306"/>
      <c r="CW54" s="306"/>
      <c r="CX54" s="306"/>
      <c r="CY54" s="306"/>
      <c r="CZ54" s="306"/>
      <c r="DA54" s="306"/>
      <c r="DB54" s="306"/>
      <c r="DC54" s="306"/>
      <c r="DD54" s="306"/>
      <c r="DE54" s="306"/>
      <c r="DF54" s="306"/>
      <c r="DG54" s="306"/>
      <c r="DH54" s="306"/>
      <c r="DI54" s="306"/>
      <c r="DJ54" s="306"/>
      <c r="DK54" s="306"/>
      <c r="DL54" s="306"/>
      <c r="DM54" s="306"/>
      <c r="DN54" s="306"/>
      <c r="DO54" s="306"/>
      <c r="DP54" s="306"/>
      <c r="DQ54" s="306"/>
      <c r="DR54" s="306"/>
      <c r="DS54" s="306"/>
      <c r="DT54" s="306"/>
      <c r="DU54" s="306"/>
      <c r="DV54" s="306"/>
      <c r="DW54" s="306"/>
      <c r="DX54" s="306"/>
      <c r="DY54" s="306"/>
      <c r="DZ54" s="306"/>
      <c r="EA54" s="306"/>
      <c r="EB54" s="306"/>
      <c r="EC54" s="306"/>
      <c r="ED54" s="306"/>
      <c r="EE54" s="306"/>
      <c r="EF54" s="306"/>
      <c r="EG54" s="306"/>
      <c r="EH54" s="306"/>
      <c r="EI54" s="306"/>
      <c r="EJ54" s="306"/>
      <c r="EK54" s="306"/>
      <c r="EL54" s="306"/>
      <c r="EM54" s="306"/>
      <c r="EN54" s="306"/>
      <c r="EO54" s="306"/>
      <c r="EP54" s="306"/>
      <c r="EQ54" s="306"/>
      <c r="ER54" s="306"/>
      <c r="ES54" s="306"/>
      <c r="ET54" s="306"/>
      <c r="EU54" s="306"/>
      <c r="EV54" s="306"/>
      <c r="EW54" s="306"/>
      <c r="EX54" s="306"/>
      <c r="EY54" s="306"/>
      <c r="EZ54" s="306"/>
      <c r="FA54" s="306"/>
      <c r="FB54" s="306"/>
      <c r="FC54" s="306"/>
      <c r="FD54" s="306"/>
      <c r="FE54" s="306"/>
      <c r="FF54" s="306"/>
      <c r="FG54" s="306"/>
      <c r="FH54" s="306"/>
      <c r="FI54" s="306"/>
      <c r="FJ54" s="306"/>
      <c r="FK54" s="306"/>
      <c r="FL54" s="306"/>
      <c r="FM54" s="306"/>
      <c r="FN54" s="306"/>
      <c r="FO54" s="306"/>
      <c r="FP54" s="306"/>
      <c r="FQ54" s="306"/>
      <c r="FR54" s="306"/>
      <c r="FS54" s="306"/>
      <c r="FT54" s="306"/>
      <c r="FU54" s="306"/>
      <c r="FV54" s="306"/>
      <c r="FW54" s="306"/>
      <c r="FX54" s="306"/>
      <c r="FY54" s="306"/>
      <c r="FZ54" s="306"/>
      <c r="GA54" s="306"/>
      <c r="GB54" s="306"/>
      <c r="GC54" s="306"/>
      <c r="GD54" s="306"/>
      <c r="GE54" s="306"/>
      <c r="GF54" s="306"/>
      <c r="GG54" s="306"/>
      <c r="GH54" s="306"/>
      <c r="GI54" s="306"/>
      <c r="GJ54" s="306"/>
      <c r="GK54" s="306"/>
      <c r="GL54" s="306"/>
      <c r="GM54" s="306"/>
      <c r="GN54" s="306"/>
      <c r="GO54" s="306"/>
      <c r="GP54" s="306"/>
      <c r="GQ54" s="306"/>
      <c r="GR54" s="306"/>
      <c r="GS54" s="306"/>
      <c r="GT54" s="306"/>
      <c r="GU54" s="306"/>
      <c r="GV54" s="306"/>
      <c r="GW54" s="306"/>
      <c r="GX54" s="306"/>
      <c r="GY54" s="306"/>
      <c r="GZ54" s="306"/>
      <c r="HA54" s="306"/>
      <c r="HB54" s="306"/>
      <c r="HC54" s="306"/>
      <c r="HD54" s="306"/>
      <c r="HE54" s="306"/>
      <c r="HF54" s="306"/>
      <c r="HG54" s="306"/>
      <c r="HH54" s="306"/>
      <c r="HI54" s="306"/>
      <c r="HJ54" s="306"/>
      <c r="HK54" s="306"/>
      <c r="HL54" s="306"/>
      <c r="HM54" s="306"/>
      <c r="HN54" s="306"/>
      <c r="HO54" s="306"/>
      <c r="HP54" s="306"/>
      <c r="HQ54" s="306"/>
      <c r="HR54" s="306"/>
      <c r="HS54" s="306"/>
      <c r="HT54" s="306"/>
      <c r="HU54" s="306"/>
      <c r="HV54" s="306"/>
      <c r="HW54" s="306"/>
      <c r="HX54" s="306"/>
      <c r="HY54" s="306"/>
      <c r="HZ54" s="306"/>
      <c r="IA54" s="306"/>
      <c r="IB54" s="306"/>
      <c r="IC54" s="306"/>
      <c r="ID54" s="306"/>
      <c r="IE54" s="306"/>
      <c r="IF54" s="306"/>
      <c r="IG54" s="306"/>
      <c r="IH54" s="306"/>
      <c r="II54" s="306"/>
      <c r="IJ54" s="306"/>
      <c r="IK54" s="306"/>
      <c r="IL54" s="306"/>
      <c r="IM54" s="306"/>
      <c r="IN54" s="306"/>
      <c r="IO54" s="306"/>
      <c r="IP54" s="306"/>
      <c r="IQ54" s="306"/>
      <c r="IR54" s="306"/>
      <c r="IS54" s="306"/>
      <c r="IT54" s="306"/>
      <c r="IU54" s="306"/>
      <c r="IV54" s="306"/>
    </row>
    <row r="55" spans="1:256" s="306" customFormat="1" ht="13.8">
      <c r="A55" s="315"/>
      <c r="B55" s="313"/>
      <c r="D55" s="314"/>
      <c r="E55" s="315"/>
      <c r="F55" s="316"/>
      <c r="G55" s="317"/>
      <c r="H55" s="318"/>
    </row>
    <row r="56" spans="1:256" s="306" customFormat="1" ht="13.8">
      <c r="A56" s="320"/>
      <c r="B56" s="320"/>
      <c r="C56" s="320"/>
      <c r="D56" s="321" t="s">
        <v>1439</v>
      </c>
      <c r="E56" s="320"/>
      <c r="F56" s="316"/>
      <c r="G56" s="322"/>
      <c r="H56" s="323">
        <f>SUM(H50:H54)</f>
        <v>22565.719999999998</v>
      </c>
    </row>
    <row r="57" spans="1:256" s="306" customFormat="1" ht="13.8">
      <c r="A57" s="308">
        <v>8</v>
      </c>
      <c r="B57" s="308"/>
      <c r="C57" s="308"/>
      <c r="D57" s="309" t="s">
        <v>1475</v>
      </c>
      <c r="E57" s="310"/>
      <c r="F57" s="311"/>
      <c r="G57" s="312"/>
      <c r="H57" s="311"/>
      <c r="I57" s="334"/>
      <c r="J57" s="334"/>
      <c r="K57" s="334"/>
      <c r="L57" s="334"/>
      <c r="M57" s="334"/>
      <c r="N57" s="334"/>
      <c r="O57" s="334"/>
      <c r="P57" s="334"/>
      <c r="Q57" s="334"/>
      <c r="R57" s="334"/>
      <c r="S57" s="334"/>
      <c r="T57" s="334"/>
      <c r="U57" s="334"/>
      <c r="V57" s="334"/>
      <c r="W57" s="334"/>
      <c r="X57" s="334"/>
      <c r="Y57" s="334"/>
      <c r="Z57" s="334"/>
      <c r="AA57" s="334"/>
      <c r="AB57" s="334"/>
      <c r="AC57" s="334"/>
      <c r="AD57" s="334"/>
      <c r="AE57" s="334"/>
      <c r="AF57" s="334"/>
      <c r="AG57" s="334"/>
      <c r="AH57" s="334"/>
      <c r="AI57" s="334"/>
      <c r="AJ57" s="334"/>
      <c r="AK57" s="334"/>
      <c r="AL57" s="334"/>
      <c r="AM57" s="334"/>
      <c r="AN57" s="334"/>
      <c r="AO57" s="334"/>
      <c r="AP57" s="334"/>
      <c r="AQ57" s="334"/>
      <c r="AR57" s="334"/>
      <c r="AS57" s="334"/>
      <c r="AT57" s="334"/>
      <c r="AU57" s="334"/>
      <c r="AV57" s="334"/>
      <c r="AW57" s="334"/>
      <c r="AX57" s="334"/>
      <c r="AY57" s="334"/>
      <c r="AZ57" s="334"/>
      <c r="BA57" s="334"/>
      <c r="BB57" s="334"/>
      <c r="BC57" s="334"/>
      <c r="BD57" s="334"/>
      <c r="BE57" s="334"/>
      <c r="BF57" s="334"/>
      <c r="BG57" s="334"/>
      <c r="BH57" s="334"/>
      <c r="BI57" s="334"/>
      <c r="BJ57" s="334"/>
      <c r="BK57" s="334"/>
      <c r="BL57" s="334"/>
      <c r="BM57" s="334"/>
      <c r="BN57" s="334"/>
      <c r="BO57" s="334"/>
      <c r="BP57" s="334"/>
      <c r="BQ57" s="334"/>
      <c r="BR57" s="334"/>
      <c r="BS57" s="334"/>
      <c r="BT57" s="334"/>
      <c r="BU57" s="334"/>
      <c r="BV57" s="334"/>
      <c r="BW57" s="334"/>
      <c r="BX57" s="334"/>
      <c r="BY57" s="334"/>
      <c r="BZ57" s="334"/>
      <c r="CA57" s="334"/>
      <c r="CB57" s="334"/>
      <c r="CC57" s="334"/>
      <c r="CD57" s="334"/>
      <c r="CE57" s="334"/>
      <c r="CF57" s="334"/>
      <c r="CG57" s="334"/>
      <c r="CH57" s="334"/>
      <c r="CI57" s="334"/>
      <c r="CJ57" s="334"/>
      <c r="CK57" s="334"/>
      <c r="CL57" s="334"/>
      <c r="CM57" s="334"/>
      <c r="CN57" s="334"/>
      <c r="CO57" s="334"/>
      <c r="CP57" s="334"/>
      <c r="CQ57" s="334"/>
      <c r="CR57" s="334"/>
      <c r="CS57" s="334"/>
      <c r="CT57" s="334"/>
      <c r="CU57" s="334"/>
      <c r="CV57" s="334"/>
      <c r="CW57" s="334"/>
      <c r="CX57" s="334"/>
      <c r="CY57" s="334"/>
      <c r="CZ57" s="334"/>
      <c r="DA57" s="334"/>
      <c r="DB57" s="334"/>
      <c r="DC57" s="334"/>
      <c r="DD57" s="334"/>
      <c r="DE57" s="334"/>
      <c r="DF57" s="334"/>
      <c r="DG57" s="334"/>
      <c r="DH57" s="334"/>
      <c r="DI57" s="334"/>
      <c r="DJ57" s="334"/>
      <c r="DK57" s="334"/>
      <c r="DL57" s="334"/>
      <c r="DM57" s="334"/>
      <c r="DN57" s="334"/>
      <c r="DO57" s="334"/>
      <c r="DP57" s="334"/>
      <c r="DQ57" s="334"/>
      <c r="DR57" s="334"/>
      <c r="DS57" s="334"/>
      <c r="DT57" s="334"/>
      <c r="DU57" s="334"/>
      <c r="DV57" s="334"/>
      <c r="DW57" s="334"/>
      <c r="DX57" s="334"/>
      <c r="DY57" s="334"/>
      <c r="DZ57" s="334"/>
      <c r="EA57" s="334"/>
      <c r="EB57" s="334"/>
      <c r="EC57" s="334"/>
      <c r="ED57" s="334"/>
      <c r="EE57" s="334"/>
      <c r="EF57" s="334"/>
      <c r="EG57" s="334"/>
      <c r="EH57" s="334"/>
      <c r="EI57" s="334"/>
      <c r="EJ57" s="334"/>
      <c r="EK57" s="334"/>
      <c r="EL57" s="334"/>
      <c r="EM57" s="334"/>
      <c r="EN57" s="334"/>
      <c r="EO57" s="334"/>
      <c r="EP57" s="334"/>
      <c r="EQ57" s="334"/>
      <c r="ER57" s="334"/>
      <c r="ES57" s="334"/>
      <c r="ET57" s="334"/>
      <c r="EU57" s="334"/>
      <c r="EV57" s="334"/>
      <c r="EW57" s="334"/>
      <c r="EX57" s="334"/>
      <c r="EY57" s="334"/>
      <c r="EZ57" s="334"/>
      <c r="FA57" s="334"/>
      <c r="FB57" s="334"/>
      <c r="FC57" s="334"/>
      <c r="FD57" s="334"/>
      <c r="FE57" s="334"/>
      <c r="FF57" s="334"/>
      <c r="FG57" s="334"/>
      <c r="FH57" s="334"/>
      <c r="FI57" s="334"/>
      <c r="FJ57" s="334"/>
      <c r="FK57" s="334"/>
      <c r="FL57" s="334"/>
      <c r="FM57" s="334"/>
      <c r="FN57" s="334"/>
      <c r="FO57" s="334"/>
      <c r="FP57" s="334"/>
      <c r="FQ57" s="334"/>
      <c r="FR57" s="334"/>
      <c r="FS57" s="334"/>
      <c r="FT57" s="334"/>
      <c r="FU57" s="334"/>
      <c r="FV57" s="334"/>
      <c r="FW57" s="334"/>
      <c r="FX57" s="334"/>
      <c r="FY57" s="334"/>
      <c r="FZ57" s="334"/>
      <c r="GA57" s="334"/>
      <c r="GB57" s="334"/>
      <c r="GC57" s="334"/>
      <c r="GD57" s="334"/>
      <c r="GE57" s="334"/>
      <c r="GF57" s="334"/>
      <c r="GG57" s="334"/>
      <c r="GH57" s="334"/>
      <c r="GI57" s="334"/>
      <c r="GJ57" s="334"/>
      <c r="GK57" s="334"/>
      <c r="GL57" s="334"/>
      <c r="GM57" s="334"/>
      <c r="GN57" s="334"/>
      <c r="GO57" s="334"/>
      <c r="GP57" s="334"/>
      <c r="GQ57" s="334"/>
      <c r="GR57" s="334"/>
      <c r="GS57" s="334"/>
      <c r="GT57" s="334"/>
      <c r="GU57" s="334"/>
      <c r="GV57" s="334"/>
      <c r="GW57" s="334"/>
      <c r="GX57" s="334"/>
      <c r="GY57" s="334"/>
      <c r="GZ57" s="334"/>
      <c r="HA57" s="334"/>
      <c r="HB57" s="334"/>
      <c r="HC57" s="334"/>
      <c r="HD57" s="334"/>
      <c r="HE57" s="334"/>
      <c r="HF57" s="334"/>
      <c r="HG57" s="334"/>
      <c r="HH57" s="334"/>
      <c r="HI57" s="334"/>
      <c r="HJ57" s="334"/>
      <c r="HK57" s="334"/>
      <c r="HL57" s="334"/>
      <c r="HM57" s="334"/>
      <c r="HN57" s="334"/>
      <c r="HO57" s="334"/>
      <c r="HP57" s="334"/>
      <c r="HQ57" s="334"/>
      <c r="HR57" s="334"/>
      <c r="HS57" s="334"/>
      <c r="HT57" s="334"/>
      <c r="HU57" s="334"/>
      <c r="HV57" s="334"/>
      <c r="HW57" s="334"/>
      <c r="HX57" s="334"/>
      <c r="HY57" s="334"/>
      <c r="HZ57" s="334"/>
      <c r="IA57" s="334"/>
      <c r="IB57" s="334"/>
      <c r="IC57" s="334"/>
      <c r="ID57" s="334"/>
      <c r="IE57" s="334"/>
      <c r="IF57" s="334"/>
      <c r="IG57" s="334"/>
      <c r="IH57" s="334"/>
      <c r="II57" s="334"/>
      <c r="IJ57" s="334"/>
      <c r="IK57" s="334"/>
      <c r="IL57" s="334"/>
      <c r="IM57" s="334"/>
      <c r="IN57" s="334"/>
      <c r="IO57" s="334"/>
      <c r="IP57" s="334"/>
      <c r="IQ57" s="334"/>
      <c r="IR57" s="334"/>
      <c r="IS57" s="334"/>
      <c r="IT57" s="334"/>
      <c r="IU57" s="334"/>
      <c r="IV57" s="334"/>
    </row>
    <row r="58" spans="1:256" s="306" customFormat="1" ht="13.8">
      <c r="A58" s="313" t="s">
        <v>325</v>
      </c>
      <c r="B58" s="313" t="s">
        <v>1426</v>
      </c>
      <c r="C58" s="313" t="s">
        <v>1476</v>
      </c>
      <c r="D58" s="324" t="s">
        <v>1477</v>
      </c>
      <c r="E58" s="315" t="s">
        <v>1438</v>
      </c>
      <c r="F58" s="316">
        <v>208.81</v>
      </c>
      <c r="G58" s="317">
        <v>1</v>
      </c>
      <c r="H58" s="318">
        <f>TRUNC(F58*G58,2)</f>
        <v>208.81</v>
      </c>
      <c r="I58" s="306">
        <v>32.700000000000003</v>
      </c>
    </row>
    <row r="59" spans="1:256" s="306" customFormat="1" ht="13.8">
      <c r="A59" s="313" t="s">
        <v>330</v>
      </c>
      <c r="B59" s="313"/>
      <c r="C59" s="313"/>
      <c r="D59" s="324"/>
      <c r="E59" s="315"/>
      <c r="F59" s="316"/>
      <c r="G59" s="317"/>
      <c r="H59" s="318">
        <f>TRUNC(F59*G59,2)</f>
        <v>0</v>
      </c>
      <c r="I59" s="306">
        <v>37.229999999999997</v>
      </c>
    </row>
    <row r="60" spans="1:256" ht="13.8">
      <c r="A60" s="320"/>
      <c r="B60" s="320"/>
      <c r="C60" s="320"/>
      <c r="D60" s="321" t="s">
        <v>1439</v>
      </c>
      <c r="E60" s="320"/>
      <c r="F60" s="316"/>
      <c r="G60" s="322"/>
      <c r="H60" s="323">
        <f>SUM(H58:H59)</f>
        <v>208.81</v>
      </c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6"/>
      <c r="AE60" s="306"/>
      <c r="AF60" s="306"/>
      <c r="AG60" s="306"/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6"/>
      <c r="AT60" s="306"/>
      <c r="AU60" s="306"/>
      <c r="AV60" s="306"/>
      <c r="AW60" s="306"/>
      <c r="AX60" s="306"/>
      <c r="AY60" s="306"/>
      <c r="AZ60" s="306"/>
      <c r="BA60" s="306"/>
      <c r="BB60" s="306"/>
      <c r="BC60" s="306"/>
      <c r="BD60" s="306"/>
      <c r="BE60" s="306"/>
      <c r="BF60" s="306"/>
      <c r="BG60" s="306"/>
      <c r="BH60" s="306"/>
      <c r="BI60" s="306"/>
      <c r="BJ60" s="306"/>
      <c r="BK60" s="306"/>
      <c r="BL60" s="306"/>
      <c r="BM60" s="306"/>
      <c r="BN60" s="306"/>
      <c r="BO60" s="306"/>
      <c r="BP60" s="306"/>
      <c r="BQ60" s="306"/>
      <c r="BR60" s="306"/>
      <c r="BS60" s="306"/>
      <c r="BT60" s="306"/>
      <c r="BU60" s="306"/>
      <c r="BV60" s="306"/>
      <c r="BW60" s="306"/>
      <c r="BX60" s="306"/>
      <c r="BY60" s="306"/>
      <c r="BZ60" s="306"/>
      <c r="CA60" s="306"/>
      <c r="CB60" s="306"/>
      <c r="CC60" s="306"/>
      <c r="CD60" s="306"/>
      <c r="CE60" s="306"/>
      <c r="CF60" s="306"/>
      <c r="CG60" s="306"/>
      <c r="CH60" s="306"/>
      <c r="CI60" s="306"/>
      <c r="CJ60" s="306"/>
      <c r="CK60" s="306"/>
      <c r="CL60" s="306"/>
      <c r="CM60" s="306"/>
      <c r="CN60" s="306"/>
      <c r="CO60" s="306"/>
      <c r="CP60" s="306"/>
      <c r="CQ60" s="306"/>
      <c r="CR60" s="306"/>
      <c r="CS60" s="306"/>
      <c r="CT60" s="306"/>
      <c r="CU60" s="306"/>
      <c r="CV60" s="306"/>
      <c r="CW60" s="306"/>
      <c r="CX60" s="306"/>
      <c r="CY60" s="306"/>
      <c r="CZ60" s="306"/>
      <c r="DA60" s="306"/>
      <c r="DB60" s="306"/>
      <c r="DC60" s="306"/>
      <c r="DD60" s="306"/>
      <c r="DE60" s="306"/>
      <c r="DF60" s="306"/>
      <c r="DG60" s="306"/>
      <c r="DH60" s="306"/>
      <c r="DI60" s="306"/>
      <c r="DJ60" s="306"/>
      <c r="DK60" s="306"/>
      <c r="DL60" s="306"/>
      <c r="DM60" s="306"/>
      <c r="DN60" s="306"/>
      <c r="DO60" s="306"/>
      <c r="DP60" s="306"/>
      <c r="DQ60" s="306"/>
      <c r="DR60" s="306"/>
      <c r="DS60" s="306"/>
      <c r="DT60" s="306"/>
      <c r="DU60" s="306"/>
      <c r="DV60" s="306"/>
      <c r="DW60" s="306"/>
      <c r="DX60" s="306"/>
      <c r="DY60" s="306"/>
      <c r="DZ60" s="306"/>
      <c r="EA60" s="306"/>
      <c r="EB60" s="306"/>
      <c r="EC60" s="306"/>
      <c r="ED60" s="306"/>
      <c r="EE60" s="306"/>
      <c r="EF60" s="306"/>
      <c r="EG60" s="306"/>
      <c r="EH60" s="306"/>
      <c r="EI60" s="306"/>
      <c r="EJ60" s="306"/>
      <c r="EK60" s="306"/>
      <c r="EL60" s="306"/>
      <c r="EM60" s="306"/>
      <c r="EN60" s="306"/>
      <c r="EO60" s="306"/>
      <c r="EP60" s="306"/>
      <c r="EQ60" s="306"/>
      <c r="ER60" s="306"/>
      <c r="ES60" s="306"/>
      <c r="ET60" s="306"/>
      <c r="EU60" s="306"/>
      <c r="EV60" s="306"/>
      <c r="EW60" s="306"/>
      <c r="EX60" s="306"/>
      <c r="EY60" s="306"/>
      <c r="EZ60" s="306"/>
      <c r="FA60" s="306"/>
      <c r="FB60" s="306"/>
      <c r="FC60" s="306"/>
      <c r="FD60" s="306"/>
      <c r="FE60" s="306"/>
      <c r="FF60" s="306"/>
      <c r="FG60" s="306"/>
      <c r="FH60" s="306"/>
      <c r="FI60" s="306"/>
      <c r="FJ60" s="306"/>
      <c r="FK60" s="306"/>
      <c r="FL60" s="306"/>
      <c r="FM60" s="306"/>
      <c r="FN60" s="306"/>
      <c r="FO60" s="306"/>
      <c r="FP60" s="306"/>
      <c r="FQ60" s="306"/>
      <c r="FR60" s="306"/>
      <c r="FS60" s="306"/>
      <c r="FT60" s="306"/>
      <c r="FU60" s="306"/>
      <c r="FV60" s="306"/>
      <c r="FW60" s="306"/>
      <c r="FX60" s="306"/>
      <c r="FY60" s="306"/>
      <c r="FZ60" s="306"/>
      <c r="GA60" s="306"/>
      <c r="GB60" s="306"/>
      <c r="GC60" s="306"/>
      <c r="GD60" s="306"/>
      <c r="GE60" s="306"/>
      <c r="GF60" s="306"/>
      <c r="GG60" s="306"/>
      <c r="GH60" s="306"/>
      <c r="GI60" s="306"/>
      <c r="GJ60" s="306"/>
      <c r="GK60" s="306"/>
      <c r="GL60" s="306"/>
      <c r="GM60" s="306"/>
      <c r="GN60" s="306"/>
      <c r="GO60" s="306"/>
      <c r="GP60" s="306"/>
      <c r="GQ60" s="306"/>
      <c r="GR60" s="306"/>
      <c r="GS60" s="306"/>
      <c r="GT60" s="306"/>
      <c r="GU60" s="306"/>
      <c r="GV60" s="306"/>
      <c r="GW60" s="306"/>
      <c r="GX60" s="306"/>
      <c r="GY60" s="306"/>
      <c r="GZ60" s="306"/>
      <c r="HA60" s="306"/>
      <c r="HB60" s="306"/>
      <c r="HC60" s="306"/>
      <c r="HD60" s="306"/>
      <c r="HE60" s="306"/>
      <c r="HF60" s="306"/>
      <c r="HG60" s="306"/>
      <c r="HH60" s="306"/>
      <c r="HI60" s="306"/>
      <c r="HJ60" s="306"/>
      <c r="HK60" s="306"/>
      <c r="HL60" s="306"/>
      <c r="HM60" s="306"/>
      <c r="HN60" s="306"/>
      <c r="HO60" s="306"/>
      <c r="HP60" s="306"/>
      <c r="HQ60" s="306"/>
      <c r="HR60" s="306"/>
      <c r="HS60" s="306"/>
      <c r="HT60" s="306"/>
      <c r="HU60" s="306"/>
      <c r="HV60" s="306"/>
      <c r="HW60" s="306"/>
      <c r="HX60" s="306"/>
      <c r="HY60" s="306"/>
      <c r="HZ60" s="306"/>
      <c r="IA60" s="306"/>
      <c r="IB60" s="306"/>
      <c r="IC60" s="306"/>
      <c r="ID60" s="306"/>
      <c r="IE60" s="306"/>
      <c r="IF60" s="306"/>
      <c r="IG60" s="306"/>
      <c r="IH60" s="306"/>
      <c r="II60" s="306"/>
      <c r="IJ60" s="306"/>
      <c r="IK60" s="306"/>
      <c r="IL60" s="306"/>
      <c r="IM60" s="306"/>
      <c r="IN60" s="306"/>
      <c r="IO60" s="306"/>
      <c r="IP60" s="306"/>
      <c r="IQ60" s="306"/>
      <c r="IR60" s="306"/>
      <c r="IS60" s="306"/>
      <c r="IT60" s="306"/>
      <c r="IU60" s="306"/>
      <c r="IV60" s="306"/>
    </row>
    <row r="61" spans="1:256" ht="13.8">
      <c r="A61" s="308">
        <v>9</v>
      </c>
      <c r="B61" s="308"/>
      <c r="C61" s="308"/>
      <c r="D61" s="309" t="s">
        <v>1478</v>
      </c>
      <c r="E61" s="310"/>
      <c r="F61" s="311"/>
      <c r="G61" s="312"/>
      <c r="H61" s="311"/>
      <c r="I61" s="334"/>
      <c r="J61" s="334"/>
      <c r="K61" s="334"/>
      <c r="L61" s="334"/>
      <c r="M61" s="334"/>
      <c r="N61" s="334"/>
      <c r="O61" s="334"/>
      <c r="P61" s="334"/>
      <c r="Q61" s="334"/>
      <c r="R61" s="334"/>
      <c r="S61" s="334"/>
      <c r="T61" s="334"/>
      <c r="U61" s="334"/>
      <c r="V61" s="334"/>
      <c r="W61" s="334"/>
      <c r="X61" s="334"/>
      <c r="Y61" s="334"/>
      <c r="Z61" s="334"/>
      <c r="AA61" s="334"/>
      <c r="AB61" s="334"/>
      <c r="AC61" s="334"/>
      <c r="AD61" s="334"/>
      <c r="AE61" s="334"/>
      <c r="AF61" s="334"/>
      <c r="AG61" s="334"/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34"/>
      <c r="AT61" s="334"/>
      <c r="AU61" s="334"/>
      <c r="AV61" s="334"/>
      <c r="AW61" s="334"/>
      <c r="AX61" s="334"/>
      <c r="AY61" s="334"/>
      <c r="AZ61" s="334"/>
      <c r="BA61" s="334"/>
      <c r="BB61" s="334"/>
      <c r="BC61" s="334"/>
      <c r="BD61" s="334"/>
      <c r="BE61" s="334"/>
      <c r="BF61" s="334"/>
      <c r="BG61" s="334"/>
      <c r="BH61" s="334"/>
      <c r="BI61" s="334"/>
      <c r="BJ61" s="334"/>
      <c r="BK61" s="334"/>
      <c r="BL61" s="334"/>
      <c r="BM61" s="334"/>
      <c r="BN61" s="334"/>
      <c r="BO61" s="334"/>
      <c r="BP61" s="334"/>
      <c r="BQ61" s="334"/>
      <c r="BR61" s="334"/>
      <c r="BS61" s="334"/>
      <c r="BT61" s="334"/>
      <c r="BU61" s="334"/>
      <c r="BV61" s="334"/>
      <c r="BW61" s="334"/>
      <c r="BX61" s="334"/>
      <c r="BY61" s="334"/>
      <c r="BZ61" s="334"/>
      <c r="CA61" s="334"/>
      <c r="CB61" s="334"/>
      <c r="CC61" s="334"/>
      <c r="CD61" s="334"/>
      <c r="CE61" s="334"/>
      <c r="CF61" s="334"/>
      <c r="CG61" s="334"/>
      <c r="CH61" s="334"/>
      <c r="CI61" s="334"/>
      <c r="CJ61" s="334"/>
      <c r="CK61" s="334"/>
      <c r="CL61" s="334"/>
      <c r="CM61" s="334"/>
      <c r="CN61" s="334"/>
      <c r="CO61" s="334"/>
      <c r="CP61" s="334"/>
      <c r="CQ61" s="334"/>
      <c r="CR61" s="334"/>
      <c r="CS61" s="334"/>
      <c r="CT61" s="334"/>
      <c r="CU61" s="334"/>
      <c r="CV61" s="334"/>
      <c r="CW61" s="334"/>
      <c r="CX61" s="334"/>
      <c r="CY61" s="334"/>
      <c r="CZ61" s="334"/>
      <c r="DA61" s="334"/>
      <c r="DB61" s="334"/>
      <c r="DC61" s="334"/>
      <c r="DD61" s="334"/>
      <c r="DE61" s="334"/>
      <c r="DF61" s="334"/>
      <c r="DG61" s="334"/>
      <c r="DH61" s="334"/>
      <c r="DI61" s="334"/>
      <c r="DJ61" s="334"/>
      <c r="DK61" s="334"/>
      <c r="DL61" s="334"/>
      <c r="DM61" s="334"/>
      <c r="DN61" s="334"/>
      <c r="DO61" s="334"/>
      <c r="DP61" s="334"/>
      <c r="DQ61" s="334"/>
      <c r="DR61" s="334"/>
      <c r="DS61" s="334"/>
      <c r="DT61" s="334"/>
      <c r="DU61" s="334"/>
      <c r="DV61" s="334"/>
      <c r="DW61" s="334"/>
      <c r="DX61" s="334"/>
      <c r="DY61" s="334"/>
      <c r="DZ61" s="334"/>
      <c r="EA61" s="334"/>
      <c r="EB61" s="334"/>
      <c r="EC61" s="334"/>
      <c r="ED61" s="334"/>
      <c r="EE61" s="334"/>
      <c r="EF61" s="334"/>
      <c r="EG61" s="334"/>
      <c r="EH61" s="334"/>
      <c r="EI61" s="334"/>
      <c r="EJ61" s="334"/>
      <c r="EK61" s="334"/>
      <c r="EL61" s="334"/>
      <c r="EM61" s="334"/>
      <c r="EN61" s="334"/>
      <c r="EO61" s="334"/>
      <c r="EP61" s="334"/>
      <c r="EQ61" s="334"/>
      <c r="ER61" s="334"/>
      <c r="ES61" s="334"/>
      <c r="ET61" s="334"/>
      <c r="EU61" s="334"/>
      <c r="EV61" s="334"/>
      <c r="EW61" s="334"/>
      <c r="EX61" s="334"/>
      <c r="EY61" s="334"/>
      <c r="EZ61" s="334"/>
      <c r="FA61" s="334"/>
      <c r="FB61" s="334"/>
      <c r="FC61" s="334"/>
      <c r="FD61" s="334"/>
      <c r="FE61" s="334"/>
      <c r="FF61" s="334"/>
      <c r="FG61" s="334"/>
      <c r="FH61" s="334"/>
      <c r="FI61" s="334"/>
      <c r="FJ61" s="334"/>
      <c r="FK61" s="334"/>
      <c r="FL61" s="334"/>
      <c r="FM61" s="334"/>
      <c r="FN61" s="334"/>
      <c r="FO61" s="334"/>
      <c r="FP61" s="334"/>
      <c r="FQ61" s="334"/>
      <c r="FR61" s="334"/>
      <c r="FS61" s="334"/>
      <c r="FT61" s="334"/>
      <c r="FU61" s="334"/>
      <c r="FV61" s="334"/>
      <c r="FW61" s="334"/>
      <c r="FX61" s="334"/>
      <c r="FY61" s="334"/>
      <c r="FZ61" s="334"/>
      <c r="GA61" s="334"/>
      <c r="GB61" s="334"/>
      <c r="GC61" s="334"/>
      <c r="GD61" s="334"/>
      <c r="GE61" s="334"/>
      <c r="GF61" s="334"/>
      <c r="GG61" s="334"/>
      <c r="GH61" s="334"/>
      <c r="GI61" s="334"/>
      <c r="GJ61" s="334"/>
      <c r="GK61" s="334"/>
      <c r="GL61" s="334"/>
      <c r="GM61" s="334"/>
      <c r="GN61" s="334"/>
      <c r="GO61" s="334"/>
      <c r="GP61" s="334"/>
      <c r="GQ61" s="334"/>
      <c r="GR61" s="334"/>
      <c r="GS61" s="334"/>
      <c r="GT61" s="334"/>
      <c r="GU61" s="334"/>
      <c r="GV61" s="334"/>
      <c r="GW61" s="334"/>
      <c r="GX61" s="334"/>
      <c r="GY61" s="334"/>
      <c r="GZ61" s="334"/>
      <c r="HA61" s="334"/>
      <c r="HB61" s="334"/>
      <c r="HC61" s="334"/>
      <c r="HD61" s="334"/>
      <c r="HE61" s="334"/>
      <c r="HF61" s="334"/>
      <c r="HG61" s="334"/>
      <c r="HH61" s="334"/>
      <c r="HI61" s="334"/>
      <c r="HJ61" s="334"/>
      <c r="HK61" s="334"/>
      <c r="HL61" s="334"/>
      <c r="HM61" s="334"/>
      <c r="HN61" s="334"/>
      <c r="HO61" s="334"/>
      <c r="HP61" s="334"/>
      <c r="HQ61" s="334"/>
      <c r="HR61" s="334"/>
      <c r="HS61" s="334"/>
      <c r="HT61" s="334"/>
      <c r="HU61" s="334"/>
      <c r="HV61" s="334"/>
      <c r="HW61" s="334"/>
      <c r="HX61" s="334"/>
      <c r="HY61" s="334"/>
      <c r="HZ61" s="334"/>
      <c r="IA61" s="334"/>
      <c r="IB61" s="334"/>
      <c r="IC61" s="334"/>
      <c r="ID61" s="334"/>
      <c r="IE61" s="334"/>
      <c r="IF61" s="334"/>
      <c r="IG61" s="334"/>
      <c r="IH61" s="334"/>
      <c r="II61" s="334"/>
      <c r="IJ61" s="334"/>
      <c r="IK61" s="334"/>
      <c r="IL61" s="334"/>
      <c r="IM61" s="334"/>
      <c r="IN61" s="334"/>
      <c r="IO61" s="334"/>
      <c r="IP61" s="334"/>
      <c r="IQ61" s="334"/>
      <c r="IR61" s="334"/>
      <c r="IS61" s="334"/>
      <c r="IT61" s="334"/>
      <c r="IU61" s="334"/>
      <c r="IV61" s="334"/>
    </row>
    <row r="62" spans="1:256" ht="13.8">
      <c r="A62" s="313" t="s">
        <v>576</v>
      </c>
      <c r="B62" s="313" t="s">
        <v>1479</v>
      </c>
      <c r="C62" s="313" t="s">
        <v>1480</v>
      </c>
      <c r="D62" s="324" t="s">
        <v>1481</v>
      </c>
      <c r="E62" s="315" t="s">
        <v>1438</v>
      </c>
      <c r="F62" s="316">
        <v>49.89</v>
      </c>
      <c r="G62" s="317">
        <v>35</v>
      </c>
      <c r="H62" s="318">
        <f>TRUNC(F62*G62,2)</f>
        <v>1746.15</v>
      </c>
      <c r="I62" s="306">
        <v>32.700000000000003</v>
      </c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6"/>
      <c r="AE62" s="306"/>
      <c r="AF62" s="306"/>
      <c r="AG62" s="306"/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06"/>
      <c r="AT62" s="306"/>
      <c r="AU62" s="306"/>
      <c r="AV62" s="306"/>
      <c r="AW62" s="306"/>
      <c r="AX62" s="306"/>
      <c r="AY62" s="306"/>
      <c r="AZ62" s="306"/>
      <c r="BA62" s="306"/>
      <c r="BB62" s="306"/>
      <c r="BC62" s="306"/>
      <c r="BD62" s="306"/>
      <c r="BE62" s="306"/>
      <c r="BF62" s="306"/>
      <c r="BG62" s="306"/>
      <c r="BH62" s="306"/>
      <c r="BI62" s="306"/>
      <c r="BJ62" s="306"/>
      <c r="BK62" s="306"/>
      <c r="BL62" s="306"/>
      <c r="BM62" s="306"/>
      <c r="BN62" s="306"/>
      <c r="BO62" s="306"/>
      <c r="BP62" s="306"/>
      <c r="BQ62" s="306"/>
      <c r="BR62" s="306"/>
      <c r="BS62" s="306"/>
      <c r="BT62" s="306"/>
      <c r="BU62" s="306"/>
      <c r="BV62" s="306"/>
      <c r="BW62" s="306"/>
      <c r="BX62" s="306"/>
      <c r="BY62" s="306"/>
      <c r="BZ62" s="306"/>
      <c r="CA62" s="306"/>
      <c r="CB62" s="306"/>
      <c r="CC62" s="306"/>
      <c r="CD62" s="306"/>
      <c r="CE62" s="306"/>
      <c r="CF62" s="306"/>
      <c r="CG62" s="306"/>
      <c r="CH62" s="306"/>
      <c r="CI62" s="306"/>
      <c r="CJ62" s="306"/>
      <c r="CK62" s="306"/>
      <c r="CL62" s="306"/>
      <c r="CM62" s="306"/>
      <c r="CN62" s="306"/>
      <c r="CO62" s="306"/>
      <c r="CP62" s="306"/>
      <c r="CQ62" s="306"/>
      <c r="CR62" s="306"/>
      <c r="CS62" s="306"/>
      <c r="CT62" s="306"/>
      <c r="CU62" s="306"/>
      <c r="CV62" s="306"/>
      <c r="CW62" s="306"/>
      <c r="CX62" s="306"/>
      <c r="CY62" s="306"/>
      <c r="CZ62" s="306"/>
      <c r="DA62" s="306"/>
      <c r="DB62" s="306"/>
      <c r="DC62" s="306"/>
      <c r="DD62" s="306"/>
      <c r="DE62" s="306"/>
      <c r="DF62" s="306"/>
      <c r="DG62" s="306"/>
      <c r="DH62" s="306"/>
      <c r="DI62" s="306"/>
      <c r="DJ62" s="306"/>
      <c r="DK62" s="306"/>
      <c r="DL62" s="306"/>
      <c r="DM62" s="306"/>
      <c r="DN62" s="306"/>
      <c r="DO62" s="306"/>
      <c r="DP62" s="306"/>
      <c r="DQ62" s="306"/>
      <c r="DR62" s="306"/>
      <c r="DS62" s="306"/>
      <c r="DT62" s="306"/>
      <c r="DU62" s="306"/>
      <c r="DV62" s="306"/>
      <c r="DW62" s="306"/>
      <c r="DX62" s="306"/>
      <c r="DY62" s="306"/>
      <c r="DZ62" s="306"/>
      <c r="EA62" s="306"/>
      <c r="EB62" s="306"/>
      <c r="EC62" s="306"/>
      <c r="ED62" s="306"/>
      <c r="EE62" s="306"/>
      <c r="EF62" s="306"/>
      <c r="EG62" s="306"/>
      <c r="EH62" s="306"/>
      <c r="EI62" s="306"/>
      <c r="EJ62" s="306"/>
      <c r="EK62" s="306"/>
      <c r="EL62" s="306"/>
      <c r="EM62" s="306"/>
      <c r="EN62" s="306"/>
      <c r="EO62" s="306"/>
      <c r="EP62" s="306"/>
      <c r="EQ62" s="306"/>
      <c r="ER62" s="306"/>
      <c r="ES62" s="306"/>
      <c r="ET62" s="306"/>
      <c r="EU62" s="306"/>
      <c r="EV62" s="306"/>
      <c r="EW62" s="306"/>
      <c r="EX62" s="306"/>
      <c r="EY62" s="306"/>
      <c r="EZ62" s="306"/>
      <c r="FA62" s="306"/>
      <c r="FB62" s="306"/>
      <c r="FC62" s="306"/>
      <c r="FD62" s="306"/>
      <c r="FE62" s="306"/>
      <c r="FF62" s="306"/>
      <c r="FG62" s="306"/>
      <c r="FH62" s="306"/>
      <c r="FI62" s="306"/>
      <c r="FJ62" s="306"/>
      <c r="FK62" s="306"/>
      <c r="FL62" s="306"/>
      <c r="FM62" s="306"/>
      <c r="FN62" s="306"/>
      <c r="FO62" s="306"/>
      <c r="FP62" s="306"/>
      <c r="FQ62" s="306"/>
      <c r="FR62" s="306"/>
      <c r="FS62" s="306"/>
      <c r="FT62" s="306"/>
      <c r="FU62" s="306"/>
      <c r="FV62" s="306"/>
      <c r="FW62" s="306"/>
      <c r="FX62" s="306"/>
      <c r="FY62" s="306"/>
      <c r="FZ62" s="306"/>
      <c r="GA62" s="306"/>
      <c r="GB62" s="306"/>
      <c r="GC62" s="306"/>
      <c r="GD62" s="306"/>
      <c r="GE62" s="306"/>
      <c r="GF62" s="306"/>
      <c r="GG62" s="306"/>
      <c r="GH62" s="306"/>
      <c r="GI62" s="306"/>
      <c r="GJ62" s="306"/>
      <c r="GK62" s="306"/>
      <c r="GL62" s="306"/>
      <c r="GM62" s="306"/>
      <c r="GN62" s="306"/>
      <c r="GO62" s="306"/>
      <c r="GP62" s="306"/>
      <c r="GQ62" s="306"/>
      <c r="GR62" s="306"/>
      <c r="GS62" s="306"/>
      <c r="GT62" s="306"/>
      <c r="GU62" s="306"/>
      <c r="GV62" s="306"/>
      <c r="GW62" s="306"/>
      <c r="GX62" s="306"/>
      <c r="GY62" s="306"/>
      <c r="GZ62" s="306"/>
      <c r="HA62" s="306"/>
      <c r="HB62" s="306"/>
      <c r="HC62" s="306"/>
      <c r="HD62" s="306"/>
      <c r="HE62" s="306"/>
      <c r="HF62" s="306"/>
      <c r="HG62" s="306"/>
      <c r="HH62" s="306"/>
      <c r="HI62" s="306"/>
      <c r="HJ62" s="306"/>
      <c r="HK62" s="306"/>
      <c r="HL62" s="306"/>
      <c r="HM62" s="306"/>
      <c r="HN62" s="306"/>
      <c r="HO62" s="306"/>
      <c r="HP62" s="306"/>
      <c r="HQ62" s="306"/>
      <c r="HR62" s="306"/>
      <c r="HS62" s="306"/>
      <c r="HT62" s="306"/>
      <c r="HU62" s="306"/>
      <c r="HV62" s="306"/>
      <c r="HW62" s="306"/>
      <c r="HX62" s="306"/>
      <c r="HY62" s="306"/>
      <c r="HZ62" s="306"/>
      <c r="IA62" s="306"/>
      <c r="IB62" s="306"/>
      <c r="IC62" s="306"/>
      <c r="ID62" s="306"/>
      <c r="IE62" s="306"/>
      <c r="IF62" s="306"/>
      <c r="IG62" s="306"/>
      <c r="IH62" s="306"/>
      <c r="II62" s="306"/>
      <c r="IJ62" s="306"/>
      <c r="IK62" s="306"/>
      <c r="IL62" s="306"/>
      <c r="IM62" s="306"/>
      <c r="IN62" s="306"/>
      <c r="IO62" s="306"/>
      <c r="IP62" s="306"/>
      <c r="IQ62" s="306"/>
      <c r="IR62" s="306"/>
      <c r="IS62" s="306"/>
      <c r="IT62" s="306"/>
      <c r="IU62" s="306"/>
      <c r="IV62" s="306"/>
    </row>
    <row r="63" spans="1:256" ht="13.8">
      <c r="A63" s="313" t="s">
        <v>593</v>
      </c>
      <c r="B63" s="313" t="s">
        <v>1479</v>
      </c>
      <c r="C63" s="313" t="s">
        <v>1482</v>
      </c>
      <c r="D63" s="324" t="s">
        <v>1483</v>
      </c>
      <c r="E63" s="315" t="s">
        <v>1450</v>
      </c>
      <c r="F63" s="316">
        <v>3.09</v>
      </c>
      <c r="G63" s="317">
        <f>(240+(6*35))*1.1</f>
        <v>495.00000000000006</v>
      </c>
      <c r="H63" s="318">
        <f>TRUNC(F63*G63,2)</f>
        <v>1529.55</v>
      </c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6"/>
      <c r="AE63" s="306"/>
      <c r="AF63" s="306"/>
      <c r="AG63" s="306"/>
      <c r="AH63" s="306"/>
      <c r="AI63" s="306"/>
      <c r="AJ63" s="306"/>
      <c r="AK63" s="306"/>
      <c r="AL63" s="306"/>
      <c r="AM63" s="306"/>
      <c r="AN63" s="306"/>
      <c r="AO63" s="306"/>
      <c r="AP63" s="306"/>
      <c r="AQ63" s="306"/>
      <c r="AR63" s="306"/>
      <c r="AS63" s="306"/>
      <c r="AT63" s="306"/>
      <c r="AU63" s="306"/>
      <c r="AV63" s="306"/>
      <c r="AW63" s="306"/>
      <c r="AX63" s="306"/>
      <c r="AY63" s="306"/>
      <c r="AZ63" s="306"/>
      <c r="BA63" s="306"/>
      <c r="BB63" s="306"/>
      <c r="BC63" s="306"/>
      <c r="BD63" s="306"/>
      <c r="BE63" s="306"/>
      <c r="BF63" s="306"/>
      <c r="BG63" s="306"/>
      <c r="BH63" s="306"/>
      <c r="BI63" s="306"/>
      <c r="BJ63" s="306"/>
      <c r="BK63" s="306"/>
      <c r="BL63" s="306"/>
      <c r="BM63" s="306"/>
      <c r="BN63" s="306"/>
      <c r="BO63" s="306"/>
      <c r="BP63" s="306"/>
      <c r="BQ63" s="306"/>
      <c r="BR63" s="306"/>
      <c r="BS63" s="306"/>
      <c r="BT63" s="306"/>
      <c r="BU63" s="306"/>
      <c r="BV63" s="306"/>
      <c r="BW63" s="306"/>
      <c r="BX63" s="306"/>
      <c r="BY63" s="306"/>
      <c r="BZ63" s="306"/>
      <c r="CA63" s="306"/>
      <c r="CB63" s="306"/>
      <c r="CC63" s="306"/>
      <c r="CD63" s="306"/>
      <c r="CE63" s="306"/>
      <c r="CF63" s="306"/>
      <c r="CG63" s="306"/>
      <c r="CH63" s="306"/>
      <c r="CI63" s="306"/>
      <c r="CJ63" s="306"/>
      <c r="CK63" s="306"/>
      <c r="CL63" s="306"/>
      <c r="CM63" s="306"/>
      <c r="CN63" s="306"/>
      <c r="CO63" s="306"/>
      <c r="CP63" s="306"/>
      <c r="CQ63" s="306"/>
      <c r="CR63" s="306"/>
      <c r="CS63" s="306"/>
      <c r="CT63" s="306"/>
      <c r="CU63" s="306"/>
      <c r="CV63" s="306"/>
      <c r="CW63" s="306"/>
      <c r="CX63" s="306"/>
      <c r="CY63" s="306"/>
      <c r="CZ63" s="306"/>
      <c r="DA63" s="306"/>
      <c r="DB63" s="306"/>
      <c r="DC63" s="306"/>
      <c r="DD63" s="306"/>
      <c r="DE63" s="306"/>
      <c r="DF63" s="306"/>
      <c r="DG63" s="306"/>
      <c r="DH63" s="306"/>
      <c r="DI63" s="306"/>
      <c r="DJ63" s="306"/>
      <c r="DK63" s="306"/>
      <c r="DL63" s="306"/>
      <c r="DM63" s="306"/>
      <c r="DN63" s="306"/>
      <c r="DO63" s="306"/>
      <c r="DP63" s="306"/>
      <c r="DQ63" s="306"/>
      <c r="DR63" s="306"/>
      <c r="DS63" s="306"/>
      <c r="DT63" s="306"/>
      <c r="DU63" s="306"/>
      <c r="DV63" s="306"/>
      <c r="DW63" s="306"/>
      <c r="DX63" s="306"/>
      <c r="DY63" s="306"/>
      <c r="DZ63" s="306"/>
      <c r="EA63" s="306"/>
      <c r="EB63" s="306"/>
      <c r="EC63" s="306"/>
      <c r="ED63" s="306"/>
      <c r="EE63" s="306"/>
      <c r="EF63" s="306"/>
      <c r="EG63" s="306"/>
      <c r="EH63" s="306"/>
      <c r="EI63" s="306"/>
      <c r="EJ63" s="306"/>
      <c r="EK63" s="306"/>
      <c r="EL63" s="306"/>
      <c r="EM63" s="306"/>
      <c r="EN63" s="306"/>
      <c r="EO63" s="306"/>
      <c r="EP63" s="306"/>
      <c r="EQ63" s="306"/>
      <c r="ER63" s="306"/>
      <c r="ES63" s="306"/>
      <c r="ET63" s="306"/>
      <c r="EU63" s="306"/>
      <c r="EV63" s="306"/>
      <c r="EW63" s="306"/>
      <c r="EX63" s="306"/>
      <c r="EY63" s="306"/>
      <c r="EZ63" s="306"/>
      <c r="FA63" s="306"/>
      <c r="FB63" s="306"/>
      <c r="FC63" s="306"/>
      <c r="FD63" s="306"/>
      <c r="FE63" s="306"/>
      <c r="FF63" s="306"/>
      <c r="FG63" s="306"/>
      <c r="FH63" s="306"/>
      <c r="FI63" s="306"/>
      <c r="FJ63" s="306"/>
      <c r="FK63" s="306"/>
      <c r="FL63" s="306"/>
      <c r="FM63" s="306"/>
      <c r="FN63" s="306"/>
      <c r="FO63" s="306"/>
      <c r="FP63" s="306"/>
      <c r="FQ63" s="306"/>
      <c r="FR63" s="306"/>
      <c r="FS63" s="306"/>
      <c r="FT63" s="306"/>
      <c r="FU63" s="306"/>
      <c r="FV63" s="306"/>
      <c r="FW63" s="306"/>
      <c r="FX63" s="306"/>
      <c r="FY63" s="306"/>
      <c r="FZ63" s="306"/>
      <c r="GA63" s="306"/>
      <c r="GB63" s="306"/>
      <c r="GC63" s="306"/>
      <c r="GD63" s="306"/>
      <c r="GE63" s="306"/>
      <c r="GF63" s="306"/>
      <c r="GG63" s="306"/>
      <c r="GH63" s="306"/>
      <c r="GI63" s="306"/>
      <c r="GJ63" s="306"/>
      <c r="GK63" s="306"/>
      <c r="GL63" s="306"/>
      <c r="GM63" s="306"/>
      <c r="GN63" s="306"/>
      <c r="GO63" s="306"/>
      <c r="GP63" s="306"/>
      <c r="GQ63" s="306"/>
      <c r="GR63" s="306"/>
      <c r="GS63" s="306"/>
      <c r="GT63" s="306"/>
      <c r="GU63" s="306"/>
      <c r="GV63" s="306"/>
      <c r="GW63" s="306"/>
      <c r="GX63" s="306"/>
      <c r="GY63" s="306"/>
      <c r="GZ63" s="306"/>
      <c r="HA63" s="306"/>
      <c r="HB63" s="306"/>
      <c r="HC63" s="306"/>
      <c r="HD63" s="306"/>
      <c r="HE63" s="306"/>
      <c r="HF63" s="306"/>
      <c r="HG63" s="306"/>
      <c r="HH63" s="306"/>
      <c r="HI63" s="306"/>
      <c r="HJ63" s="306"/>
      <c r="HK63" s="306"/>
      <c r="HL63" s="306"/>
      <c r="HM63" s="306"/>
      <c r="HN63" s="306"/>
      <c r="HO63" s="306"/>
      <c r="HP63" s="306"/>
      <c r="HQ63" s="306"/>
      <c r="HR63" s="306"/>
      <c r="HS63" s="306"/>
      <c r="HT63" s="306"/>
      <c r="HU63" s="306"/>
      <c r="HV63" s="306"/>
      <c r="HW63" s="306"/>
      <c r="HX63" s="306"/>
      <c r="HY63" s="306"/>
      <c r="HZ63" s="306"/>
      <c r="IA63" s="306"/>
      <c r="IB63" s="306"/>
      <c r="IC63" s="306"/>
      <c r="ID63" s="306"/>
      <c r="IE63" s="306"/>
      <c r="IF63" s="306"/>
      <c r="IG63" s="306"/>
      <c r="IH63" s="306"/>
      <c r="II63" s="306"/>
      <c r="IJ63" s="306"/>
      <c r="IK63" s="306"/>
      <c r="IL63" s="306"/>
      <c r="IM63" s="306"/>
      <c r="IN63" s="306"/>
      <c r="IO63" s="306"/>
      <c r="IP63" s="306"/>
      <c r="IQ63" s="306"/>
      <c r="IR63" s="306"/>
      <c r="IS63" s="306"/>
      <c r="IT63" s="306"/>
      <c r="IU63" s="306"/>
      <c r="IV63" s="306"/>
    </row>
    <row r="64" spans="1:256" ht="13.8">
      <c r="A64" s="313" t="s">
        <v>612</v>
      </c>
      <c r="B64" s="313" t="s">
        <v>1479</v>
      </c>
      <c r="C64" s="313" t="s">
        <v>1484</v>
      </c>
      <c r="D64" s="324" t="s">
        <v>1485</v>
      </c>
      <c r="E64" s="315" t="s">
        <v>1438</v>
      </c>
      <c r="F64" s="316">
        <v>36.950000000000003</v>
      </c>
      <c r="G64" s="317">
        <v>2</v>
      </c>
      <c r="H64" s="318">
        <f>TRUNC(F64*G64,2)</f>
        <v>73.900000000000006</v>
      </c>
      <c r="I64" s="306"/>
      <c r="J64" s="306"/>
      <c r="K64" s="306"/>
      <c r="L64" s="306"/>
      <c r="M64" s="306"/>
      <c r="N64" s="306"/>
      <c r="O64" s="306"/>
      <c r="P64" s="306"/>
      <c r="Q64" s="306"/>
      <c r="R64" s="306"/>
      <c r="S64" s="306"/>
      <c r="T64" s="306"/>
      <c r="U64" s="306"/>
      <c r="V64" s="306"/>
      <c r="W64" s="306"/>
      <c r="X64" s="306"/>
      <c r="Y64" s="306"/>
      <c r="Z64" s="306"/>
      <c r="AA64" s="306"/>
      <c r="AB64" s="306"/>
      <c r="AC64" s="306"/>
      <c r="AD64" s="306"/>
      <c r="AE64" s="306"/>
      <c r="AF64" s="306"/>
      <c r="AG64" s="306"/>
      <c r="AH64" s="306"/>
      <c r="AI64" s="306"/>
      <c r="AJ64" s="306"/>
      <c r="AK64" s="306"/>
      <c r="AL64" s="306"/>
      <c r="AM64" s="306"/>
      <c r="AN64" s="306"/>
      <c r="AO64" s="306"/>
      <c r="AP64" s="306"/>
      <c r="AQ64" s="306"/>
      <c r="AR64" s="306"/>
      <c r="AS64" s="306"/>
      <c r="AT64" s="306"/>
      <c r="AU64" s="306"/>
      <c r="AV64" s="306"/>
      <c r="AW64" s="306"/>
      <c r="AX64" s="306"/>
      <c r="AY64" s="306"/>
      <c r="AZ64" s="306"/>
      <c r="BA64" s="306"/>
      <c r="BB64" s="306"/>
      <c r="BC64" s="306"/>
      <c r="BD64" s="306"/>
      <c r="BE64" s="306"/>
      <c r="BF64" s="306"/>
      <c r="BG64" s="306"/>
      <c r="BH64" s="306"/>
      <c r="BI64" s="306"/>
      <c r="BJ64" s="306"/>
      <c r="BK64" s="306"/>
      <c r="BL64" s="306"/>
      <c r="BM64" s="306"/>
      <c r="BN64" s="306"/>
      <c r="BO64" s="306"/>
      <c r="BP64" s="306"/>
      <c r="BQ64" s="306"/>
      <c r="BR64" s="306"/>
      <c r="BS64" s="306"/>
      <c r="BT64" s="306"/>
      <c r="BU64" s="306"/>
      <c r="BV64" s="306"/>
      <c r="BW64" s="306"/>
      <c r="BX64" s="306"/>
      <c r="BY64" s="306"/>
      <c r="BZ64" s="306"/>
      <c r="CA64" s="306"/>
      <c r="CB64" s="306"/>
      <c r="CC64" s="306"/>
      <c r="CD64" s="306"/>
      <c r="CE64" s="306"/>
      <c r="CF64" s="306"/>
      <c r="CG64" s="306"/>
      <c r="CH64" s="306"/>
      <c r="CI64" s="306"/>
      <c r="CJ64" s="306"/>
      <c r="CK64" s="306"/>
      <c r="CL64" s="306"/>
      <c r="CM64" s="306"/>
      <c r="CN64" s="306"/>
      <c r="CO64" s="306"/>
      <c r="CP64" s="306"/>
      <c r="CQ64" s="306"/>
      <c r="CR64" s="306"/>
      <c r="CS64" s="306"/>
      <c r="CT64" s="306"/>
      <c r="CU64" s="306"/>
      <c r="CV64" s="306"/>
      <c r="CW64" s="306"/>
      <c r="CX64" s="306"/>
      <c r="CY64" s="306"/>
      <c r="CZ64" s="306"/>
      <c r="DA64" s="306"/>
      <c r="DB64" s="306"/>
      <c r="DC64" s="306"/>
      <c r="DD64" s="306"/>
      <c r="DE64" s="306"/>
      <c r="DF64" s="306"/>
      <c r="DG64" s="306"/>
      <c r="DH64" s="306"/>
      <c r="DI64" s="306"/>
      <c r="DJ64" s="306"/>
      <c r="DK64" s="306"/>
      <c r="DL64" s="306"/>
      <c r="DM64" s="306"/>
      <c r="DN64" s="306"/>
      <c r="DO64" s="306"/>
      <c r="DP64" s="306"/>
      <c r="DQ64" s="306"/>
      <c r="DR64" s="306"/>
      <c r="DS64" s="306"/>
      <c r="DT64" s="306"/>
      <c r="DU64" s="306"/>
      <c r="DV64" s="306"/>
      <c r="DW64" s="306"/>
      <c r="DX64" s="306"/>
      <c r="DY64" s="306"/>
      <c r="DZ64" s="306"/>
      <c r="EA64" s="306"/>
      <c r="EB64" s="306"/>
      <c r="EC64" s="306"/>
      <c r="ED64" s="306"/>
      <c r="EE64" s="306"/>
      <c r="EF64" s="306"/>
      <c r="EG64" s="306"/>
      <c r="EH64" s="306"/>
      <c r="EI64" s="306"/>
      <c r="EJ64" s="306"/>
      <c r="EK64" s="306"/>
      <c r="EL64" s="306"/>
      <c r="EM64" s="306"/>
      <c r="EN64" s="306"/>
      <c r="EO64" s="306"/>
      <c r="EP64" s="306"/>
      <c r="EQ64" s="306"/>
      <c r="ER64" s="306"/>
      <c r="ES64" s="306"/>
      <c r="ET64" s="306"/>
      <c r="EU64" s="306"/>
      <c r="EV64" s="306"/>
      <c r="EW64" s="306"/>
      <c r="EX64" s="306"/>
      <c r="EY64" s="306"/>
      <c r="EZ64" s="306"/>
      <c r="FA64" s="306"/>
      <c r="FB64" s="306"/>
      <c r="FC64" s="306"/>
      <c r="FD64" s="306"/>
      <c r="FE64" s="306"/>
      <c r="FF64" s="306"/>
      <c r="FG64" s="306"/>
      <c r="FH64" s="306"/>
      <c r="FI64" s="306"/>
      <c r="FJ64" s="306"/>
      <c r="FK64" s="306"/>
      <c r="FL64" s="306"/>
      <c r="FM64" s="306"/>
      <c r="FN64" s="306"/>
      <c r="FO64" s="306"/>
      <c r="FP64" s="306"/>
      <c r="FQ64" s="306"/>
      <c r="FR64" s="306"/>
      <c r="FS64" s="306"/>
      <c r="FT64" s="306"/>
      <c r="FU64" s="306"/>
      <c r="FV64" s="306"/>
      <c r="FW64" s="306"/>
      <c r="FX64" s="306"/>
      <c r="FY64" s="306"/>
      <c r="FZ64" s="306"/>
      <c r="GA64" s="306"/>
      <c r="GB64" s="306"/>
      <c r="GC64" s="306"/>
      <c r="GD64" s="306"/>
      <c r="GE64" s="306"/>
      <c r="GF64" s="306"/>
      <c r="GG64" s="306"/>
      <c r="GH64" s="306"/>
      <c r="GI64" s="306"/>
      <c r="GJ64" s="306"/>
      <c r="GK64" s="306"/>
      <c r="GL64" s="306"/>
      <c r="GM64" s="306"/>
      <c r="GN64" s="306"/>
      <c r="GO64" s="306"/>
      <c r="GP64" s="306"/>
      <c r="GQ64" s="306"/>
      <c r="GR64" s="306"/>
      <c r="GS64" s="306"/>
      <c r="GT64" s="306"/>
      <c r="GU64" s="306"/>
      <c r="GV64" s="306"/>
      <c r="GW64" s="306"/>
      <c r="GX64" s="306"/>
      <c r="GY64" s="306"/>
      <c r="GZ64" s="306"/>
      <c r="HA64" s="306"/>
      <c r="HB64" s="306"/>
      <c r="HC64" s="306"/>
      <c r="HD64" s="306"/>
      <c r="HE64" s="306"/>
      <c r="HF64" s="306"/>
      <c r="HG64" s="306"/>
      <c r="HH64" s="306"/>
      <c r="HI64" s="306"/>
      <c r="HJ64" s="306"/>
      <c r="HK64" s="306"/>
      <c r="HL64" s="306"/>
      <c r="HM64" s="306"/>
      <c r="HN64" s="306"/>
      <c r="HO64" s="306"/>
      <c r="HP64" s="306"/>
      <c r="HQ64" s="306"/>
      <c r="HR64" s="306"/>
      <c r="HS64" s="306"/>
      <c r="HT64" s="306"/>
      <c r="HU64" s="306"/>
      <c r="HV64" s="306"/>
      <c r="HW64" s="306"/>
      <c r="HX64" s="306"/>
      <c r="HY64" s="306"/>
      <c r="HZ64" s="306"/>
      <c r="IA64" s="306"/>
      <c r="IB64" s="306"/>
      <c r="IC64" s="306"/>
      <c r="ID64" s="306"/>
      <c r="IE64" s="306"/>
      <c r="IF64" s="306"/>
      <c r="IG64" s="306"/>
      <c r="IH64" s="306"/>
      <c r="II64" s="306"/>
      <c r="IJ64" s="306"/>
      <c r="IK64" s="306"/>
      <c r="IL64" s="306"/>
      <c r="IM64" s="306"/>
      <c r="IN64" s="306"/>
      <c r="IO64" s="306"/>
      <c r="IP64" s="306"/>
      <c r="IQ64" s="306"/>
      <c r="IR64" s="306"/>
      <c r="IS64" s="306"/>
      <c r="IT64" s="306"/>
      <c r="IU64" s="306"/>
      <c r="IV64" s="306"/>
    </row>
    <row r="65" spans="1:256" ht="13.8">
      <c r="A65" s="313" t="s">
        <v>631</v>
      </c>
      <c r="B65" s="313" t="s">
        <v>1479</v>
      </c>
      <c r="C65" s="313" t="s">
        <v>1486</v>
      </c>
      <c r="D65" s="324" t="s">
        <v>1487</v>
      </c>
      <c r="E65" s="315" t="s">
        <v>1450</v>
      </c>
      <c r="F65" s="316">
        <v>9.14</v>
      </c>
      <c r="G65" s="317">
        <f>120*1.1</f>
        <v>132</v>
      </c>
      <c r="H65" s="318">
        <f>TRUNC(F65*G65,2)</f>
        <v>1206.48</v>
      </c>
      <c r="I65" s="306">
        <v>37.229999999999997</v>
      </c>
      <c r="J65" s="306"/>
      <c r="K65" s="306"/>
      <c r="L65" s="306"/>
      <c r="M65" s="306"/>
      <c r="N65" s="306"/>
      <c r="O65" s="306"/>
      <c r="P65" s="306"/>
      <c r="Q65" s="306"/>
      <c r="R65" s="306"/>
      <c r="S65" s="306"/>
      <c r="T65" s="306"/>
      <c r="U65" s="306"/>
      <c r="V65" s="306"/>
      <c r="W65" s="306"/>
      <c r="X65" s="306"/>
      <c r="Y65" s="306"/>
      <c r="Z65" s="306"/>
      <c r="AA65" s="306"/>
      <c r="AB65" s="306"/>
      <c r="AC65" s="306"/>
      <c r="AD65" s="306"/>
      <c r="AE65" s="306"/>
      <c r="AF65" s="306"/>
      <c r="AG65" s="306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6"/>
      <c r="AT65" s="306"/>
      <c r="AU65" s="306"/>
      <c r="AV65" s="306"/>
      <c r="AW65" s="306"/>
      <c r="AX65" s="306"/>
      <c r="AY65" s="306"/>
      <c r="AZ65" s="306"/>
      <c r="BA65" s="306"/>
      <c r="BB65" s="306"/>
      <c r="BC65" s="306"/>
      <c r="BD65" s="306"/>
      <c r="BE65" s="306"/>
      <c r="BF65" s="306"/>
      <c r="BG65" s="306"/>
      <c r="BH65" s="306"/>
      <c r="BI65" s="306"/>
      <c r="BJ65" s="306"/>
      <c r="BK65" s="306"/>
      <c r="BL65" s="306"/>
      <c r="BM65" s="306"/>
      <c r="BN65" s="306"/>
      <c r="BO65" s="306"/>
      <c r="BP65" s="306"/>
      <c r="BQ65" s="306"/>
      <c r="BR65" s="306"/>
      <c r="BS65" s="306"/>
      <c r="BT65" s="306"/>
      <c r="BU65" s="306"/>
      <c r="BV65" s="306"/>
      <c r="BW65" s="306"/>
      <c r="BX65" s="306"/>
      <c r="BY65" s="306"/>
      <c r="BZ65" s="306"/>
      <c r="CA65" s="306"/>
      <c r="CB65" s="306"/>
      <c r="CC65" s="306"/>
      <c r="CD65" s="306"/>
      <c r="CE65" s="306"/>
      <c r="CF65" s="306"/>
      <c r="CG65" s="306"/>
      <c r="CH65" s="306"/>
      <c r="CI65" s="306"/>
      <c r="CJ65" s="306"/>
      <c r="CK65" s="306"/>
      <c r="CL65" s="306"/>
      <c r="CM65" s="306"/>
      <c r="CN65" s="306"/>
      <c r="CO65" s="306"/>
      <c r="CP65" s="306"/>
      <c r="CQ65" s="306"/>
      <c r="CR65" s="306"/>
      <c r="CS65" s="306"/>
      <c r="CT65" s="306"/>
      <c r="CU65" s="306"/>
      <c r="CV65" s="306"/>
      <c r="CW65" s="306"/>
      <c r="CX65" s="306"/>
      <c r="CY65" s="306"/>
      <c r="CZ65" s="306"/>
      <c r="DA65" s="306"/>
      <c r="DB65" s="306"/>
      <c r="DC65" s="306"/>
      <c r="DD65" s="306"/>
      <c r="DE65" s="306"/>
      <c r="DF65" s="306"/>
      <c r="DG65" s="306"/>
      <c r="DH65" s="306"/>
      <c r="DI65" s="306"/>
      <c r="DJ65" s="306"/>
      <c r="DK65" s="306"/>
      <c r="DL65" s="306"/>
      <c r="DM65" s="306"/>
      <c r="DN65" s="306"/>
      <c r="DO65" s="306"/>
      <c r="DP65" s="306"/>
      <c r="DQ65" s="306"/>
      <c r="DR65" s="306"/>
      <c r="DS65" s="306"/>
      <c r="DT65" s="306"/>
      <c r="DU65" s="306"/>
      <c r="DV65" s="306"/>
      <c r="DW65" s="306"/>
      <c r="DX65" s="306"/>
      <c r="DY65" s="306"/>
      <c r="DZ65" s="306"/>
      <c r="EA65" s="306"/>
      <c r="EB65" s="306"/>
      <c r="EC65" s="306"/>
      <c r="ED65" s="306"/>
      <c r="EE65" s="306"/>
      <c r="EF65" s="306"/>
      <c r="EG65" s="306"/>
      <c r="EH65" s="306"/>
      <c r="EI65" s="306"/>
      <c r="EJ65" s="306"/>
      <c r="EK65" s="306"/>
      <c r="EL65" s="306"/>
      <c r="EM65" s="306"/>
      <c r="EN65" s="306"/>
      <c r="EO65" s="306"/>
      <c r="EP65" s="306"/>
      <c r="EQ65" s="306"/>
      <c r="ER65" s="306"/>
      <c r="ES65" s="306"/>
      <c r="ET65" s="306"/>
      <c r="EU65" s="306"/>
      <c r="EV65" s="306"/>
      <c r="EW65" s="306"/>
      <c r="EX65" s="306"/>
      <c r="EY65" s="306"/>
      <c r="EZ65" s="306"/>
      <c r="FA65" s="306"/>
      <c r="FB65" s="306"/>
      <c r="FC65" s="306"/>
      <c r="FD65" s="306"/>
      <c r="FE65" s="306"/>
      <c r="FF65" s="306"/>
      <c r="FG65" s="306"/>
      <c r="FH65" s="306"/>
      <c r="FI65" s="306"/>
      <c r="FJ65" s="306"/>
      <c r="FK65" s="306"/>
      <c r="FL65" s="306"/>
      <c r="FM65" s="306"/>
      <c r="FN65" s="306"/>
      <c r="FO65" s="306"/>
      <c r="FP65" s="306"/>
      <c r="FQ65" s="306"/>
      <c r="FR65" s="306"/>
      <c r="FS65" s="306"/>
      <c r="FT65" s="306"/>
      <c r="FU65" s="306"/>
      <c r="FV65" s="306"/>
      <c r="FW65" s="306"/>
      <c r="FX65" s="306"/>
      <c r="FY65" s="306"/>
      <c r="FZ65" s="306"/>
      <c r="GA65" s="306"/>
      <c r="GB65" s="306"/>
      <c r="GC65" s="306"/>
      <c r="GD65" s="306"/>
      <c r="GE65" s="306"/>
      <c r="GF65" s="306"/>
      <c r="GG65" s="306"/>
      <c r="GH65" s="306"/>
      <c r="GI65" s="306"/>
      <c r="GJ65" s="306"/>
      <c r="GK65" s="306"/>
      <c r="GL65" s="306"/>
      <c r="GM65" s="306"/>
      <c r="GN65" s="306"/>
      <c r="GO65" s="306"/>
      <c r="GP65" s="306"/>
      <c r="GQ65" s="306"/>
      <c r="GR65" s="306"/>
      <c r="GS65" s="306"/>
      <c r="GT65" s="306"/>
      <c r="GU65" s="306"/>
      <c r="GV65" s="306"/>
      <c r="GW65" s="306"/>
      <c r="GX65" s="306"/>
      <c r="GY65" s="306"/>
      <c r="GZ65" s="306"/>
      <c r="HA65" s="306"/>
      <c r="HB65" s="306"/>
      <c r="HC65" s="306"/>
      <c r="HD65" s="306"/>
      <c r="HE65" s="306"/>
      <c r="HF65" s="306"/>
      <c r="HG65" s="306"/>
      <c r="HH65" s="306"/>
      <c r="HI65" s="306"/>
      <c r="HJ65" s="306"/>
      <c r="HK65" s="306"/>
      <c r="HL65" s="306"/>
      <c r="HM65" s="306"/>
      <c r="HN65" s="306"/>
      <c r="HO65" s="306"/>
      <c r="HP65" s="306"/>
      <c r="HQ65" s="306"/>
      <c r="HR65" s="306"/>
      <c r="HS65" s="306"/>
      <c r="HT65" s="306"/>
      <c r="HU65" s="306"/>
      <c r="HV65" s="306"/>
      <c r="HW65" s="306"/>
      <c r="HX65" s="306"/>
      <c r="HY65" s="306"/>
      <c r="HZ65" s="306"/>
      <c r="IA65" s="306"/>
      <c r="IB65" s="306"/>
      <c r="IC65" s="306"/>
      <c r="ID65" s="306"/>
      <c r="IE65" s="306"/>
      <c r="IF65" s="306"/>
      <c r="IG65" s="306"/>
      <c r="IH65" s="306"/>
      <c r="II65" s="306"/>
      <c r="IJ65" s="306"/>
      <c r="IK65" s="306"/>
      <c r="IL65" s="306"/>
      <c r="IM65" s="306"/>
      <c r="IN65" s="306"/>
      <c r="IO65" s="306"/>
      <c r="IP65" s="306"/>
      <c r="IQ65" s="306"/>
      <c r="IR65" s="306"/>
      <c r="IS65" s="306"/>
      <c r="IT65" s="306"/>
      <c r="IU65" s="306"/>
      <c r="IV65" s="306"/>
    </row>
    <row r="66" spans="1:256" ht="13.8">
      <c r="A66" s="313"/>
      <c r="B66" s="313"/>
      <c r="C66" s="313"/>
      <c r="D66" s="324"/>
      <c r="E66" s="315"/>
      <c r="F66" s="316"/>
      <c r="G66" s="317"/>
      <c r="H66" s="318"/>
      <c r="I66" s="306"/>
      <c r="J66" s="306"/>
      <c r="K66" s="306"/>
      <c r="L66" s="306"/>
      <c r="M66" s="306"/>
      <c r="N66" s="306"/>
      <c r="O66" s="306"/>
      <c r="P66" s="306"/>
      <c r="Q66" s="306"/>
      <c r="R66" s="306"/>
      <c r="S66" s="306"/>
      <c r="T66" s="306"/>
      <c r="U66" s="306"/>
      <c r="V66" s="306"/>
      <c r="W66" s="306"/>
      <c r="X66" s="306"/>
      <c r="Y66" s="306"/>
      <c r="Z66" s="306"/>
      <c r="AA66" s="306"/>
      <c r="AB66" s="306"/>
      <c r="AC66" s="306"/>
      <c r="AD66" s="306"/>
      <c r="AE66" s="306"/>
      <c r="AF66" s="306"/>
      <c r="AG66" s="306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6"/>
      <c r="AT66" s="306"/>
      <c r="AU66" s="306"/>
      <c r="AV66" s="306"/>
      <c r="AW66" s="306"/>
      <c r="AX66" s="306"/>
      <c r="AY66" s="306"/>
      <c r="AZ66" s="306"/>
      <c r="BA66" s="306"/>
      <c r="BB66" s="306"/>
      <c r="BC66" s="306"/>
      <c r="BD66" s="306"/>
      <c r="BE66" s="306"/>
      <c r="BF66" s="306"/>
      <c r="BG66" s="306"/>
      <c r="BH66" s="306"/>
      <c r="BI66" s="306"/>
      <c r="BJ66" s="306"/>
      <c r="BK66" s="306"/>
      <c r="BL66" s="306"/>
      <c r="BM66" s="306"/>
      <c r="BN66" s="306"/>
      <c r="BO66" s="306"/>
      <c r="BP66" s="306"/>
      <c r="BQ66" s="306"/>
      <c r="BR66" s="306"/>
      <c r="BS66" s="306"/>
      <c r="BT66" s="306"/>
      <c r="BU66" s="306"/>
      <c r="BV66" s="306"/>
      <c r="BW66" s="306"/>
      <c r="BX66" s="306"/>
      <c r="BY66" s="306"/>
      <c r="BZ66" s="306"/>
      <c r="CA66" s="306"/>
      <c r="CB66" s="306"/>
      <c r="CC66" s="306"/>
      <c r="CD66" s="306"/>
      <c r="CE66" s="306"/>
      <c r="CF66" s="306"/>
      <c r="CG66" s="306"/>
      <c r="CH66" s="306"/>
      <c r="CI66" s="306"/>
      <c r="CJ66" s="306"/>
      <c r="CK66" s="306"/>
      <c r="CL66" s="306"/>
      <c r="CM66" s="306"/>
      <c r="CN66" s="306"/>
      <c r="CO66" s="306"/>
      <c r="CP66" s="306"/>
      <c r="CQ66" s="306"/>
      <c r="CR66" s="306"/>
      <c r="CS66" s="306"/>
      <c r="CT66" s="306"/>
      <c r="CU66" s="306"/>
      <c r="CV66" s="306"/>
      <c r="CW66" s="306"/>
      <c r="CX66" s="306"/>
      <c r="CY66" s="306"/>
      <c r="CZ66" s="306"/>
      <c r="DA66" s="306"/>
      <c r="DB66" s="306"/>
      <c r="DC66" s="306"/>
      <c r="DD66" s="306"/>
      <c r="DE66" s="306"/>
      <c r="DF66" s="306"/>
      <c r="DG66" s="306"/>
      <c r="DH66" s="306"/>
      <c r="DI66" s="306"/>
      <c r="DJ66" s="306"/>
      <c r="DK66" s="306"/>
      <c r="DL66" s="306"/>
      <c r="DM66" s="306"/>
      <c r="DN66" s="306"/>
      <c r="DO66" s="306"/>
      <c r="DP66" s="306"/>
      <c r="DQ66" s="306"/>
      <c r="DR66" s="306"/>
      <c r="DS66" s="306"/>
      <c r="DT66" s="306"/>
      <c r="DU66" s="306"/>
      <c r="DV66" s="306"/>
      <c r="DW66" s="306"/>
      <c r="DX66" s="306"/>
      <c r="DY66" s="306"/>
      <c r="DZ66" s="306"/>
      <c r="EA66" s="306"/>
      <c r="EB66" s="306"/>
      <c r="EC66" s="306"/>
      <c r="ED66" s="306"/>
      <c r="EE66" s="306"/>
      <c r="EF66" s="306"/>
      <c r="EG66" s="306"/>
      <c r="EH66" s="306"/>
      <c r="EI66" s="306"/>
      <c r="EJ66" s="306"/>
      <c r="EK66" s="306"/>
      <c r="EL66" s="306"/>
      <c r="EM66" s="306"/>
      <c r="EN66" s="306"/>
      <c r="EO66" s="306"/>
      <c r="EP66" s="306"/>
      <c r="EQ66" s="306"/>
      <c r="ER66" s="306"/>
      <c r="ES66" s="306"/>
      <c r="ET66" s="306"/>
      <c r="EU66" s="306"/>
      <c r="EV66" s="306"/>
      <c r="EW66" s="306"/>
      <c r="EX66" s="306"/>
      <c r="EY66" s="306"/>
      <c r="EZ66" s="306"/>
      <c r="FA66" s="306"/>
      <c r="FB66" s="306"/>
      <c r="FC66" s="306"/>
      <c r="FD66" s="306"/>
      <c r="FE66" s="306"/>
      <c r="FF66" s="306"/>
      <c r="FG66" s="306"/>
      <c r="FH66" s="306"/>
      <c r="FI66" s="306"/>
      <c r="FJ66" s="306"/>
      <c r="FK66" s="306"/>
      <c r="FL66" s="306"/>
      <c r="FM66" s="306"/>
      <c r="FN66" s="306"/>
      <c r="FO66" s="306"/>
      <c r="FP66" s="306"/>
      <c r="FQ66" s="306"/>
      <c r="FR66" s="306"/>
      <c r="FS66" s="306"/>
      <c r="FT66" s="306"/>
      <c r="FU66" s="306"/>
      <c r="FV66" s="306"/>
      <c r="FW66" s="306"/>
      <c r="FX66" s="306"/>
      <c r="FY66" s="306"/>
      <c r="FZ66" s="306"/>
      <c r="GA66" s="306"/>
      <c r="GB66" s="306"/>
      <c r="GC66" s="306"/>
      <c r="GD66" s="306"/>
      <c r="GE66" s="306"/>
      <c r="GF66" s="306"/>
      <c r="GG66" s="306"/>
      <c r="GH66" s="306"/>
      <c r="GI66" s="306"/>
      <c r="GJ66" s="306"/>
      <c r="GK66" s="306"/>
      <c r="GL66" s="306"/>
      <c r="GM66" s="306"/>
      <c r="GN66" s="306"/>
      <c r="GO66" s="306"/>
      <c r="GP66" s="306"/>
      <c r="GQ66" s="306"/>
      <c r="GR66" s="306"/>
      <c r="GS66" s="306"/>
      <c r="GT66" s="306"/>
      <c r="GU66" s="306"/>
      <c r="GV66" s="306"/>
      <c r="GW66" s="306"/>
      <c r="GX66" s="306"/>
      <c r="GY66" s="306"/>
      <c r="GZ66" s="306"/>
      <c r="HA66" s="306"/>
      <c r="HB66" s="306"/>
      <c r="HC66" s="306"/>
      <c r="HD66" s="306"/>
      <c r="HE66" s="306"/>
      <c r="HF66" s="306"/>
      <c r="HG66" s="306"/>
      <c r="HH66" s="306"/>
      <c r="HI66" s="306"/>
      <c r="HJ66" s="306"/>
      <c r="HK66" s="306"/>
      <c r="HL66" s="306"/>
      <c r="HM66" s="306"/>
      <c r="HN66" s="306"/>
      <c r="HO66" s="306"/>
      <c r="HP66" s="306"/>
      <c r="HQ66" s="306"/>
      <c r="HR66" s="306"/>
      <c r="HS66" s="306"/>
      <c r="HT66" s="306"/>
      <c r="HU66" s="306"/>
      <c r="HV66" s="306"/>
      <c r="HW66" s="306"/>
      <c r="HX66" s="306"/>
      <c r="HY66" s="306"/>
      <c r="HZ66" s="306"/>
      <c r="IA66" s="306"/>
      <c r="IB66" s="306"/>
      <c r="IC66" s="306"/>
      <c r="ID66" s="306"/>
      <c r="IE66" s="306"/>
      <c r="IF66" s="306"/>
      <c r="IG66" s="306"/>
      <c r="IH66" s="306"/>
      <c r="II66" s="306"/>
      <c r="IJ66" s="306"/>
      <c r="IK66" s="306"/>
      <c r="IL66" s="306"/>
      <c r="IM66" s="306"/>
      <c r="IN66" s="306"/>
      <c r="IO66" s="306"/>
      <c r="IP66" s="306"/>
      <c r="IQ66" s="306"/>
      <c r="IR66" s="306"/>
      <c r="IS66" s="306"/>
      <c r="IT66" s="306"/>
      <c r="IU66" s="306"/>
      <c r="IV66" s="306"/>
    </row>
    <row r="67" spans="1:256" ht="13.8">
      <c r="A67" s="320"/>
      <c r="B67" s="320"/>
      <c r="C67" s="320"/>
      <c r="D67" s="321" t="s">
        <v>1439</v>
      </c>
      <c r="E67" s="320"/>
      <c r="F67" s="316"/>
      <c r="G67" s="322"/>
      <c r="H67" s="323">
        <f>SUM(H62:H65)</f>
        <v>4556.08</v>
      </c>
      <c r="I67" s="306"/>
      <c r="J67" s="306"/>
      <c r="K67" s="306"/>
      <c r="L67" s="306"/>
      <c r="M67" s="306"/>
      <c r="N67" s="306"/>
      <c r="O67" s="306"/>
      <c r="P67" s="306"/>
      <c r="Q67" s="306"/>
      <c r="R67" s="306"/>
      <c r="S67" s="306"/>
      <c r="T67" s="306"/>
      <c r="U67" s="306"/>
      <c r="V67" s="306"/>
      <c r="W67" s="306"/>
      <c r="X67" s="306"/>
      <c r="Y67" s="306"/>
      <c r="Z67" s="306"/>
      <c r="AA67" s="306"/>
      <c r="AB67" s="306"/>
      <c r="AC67" s="306"/>
      <c r="AD67" s="306"/>
      <c r="AE67" s="306"/>
      <c r="AF67" s="306"/>
      <c r="AG67" s="306"/>
      <c r="AH67" s="306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06"/>
      <c r="AT67" s="306"/>
      <c r="AU67" s="306"/>
      <c r="AV67" s="306"/>
      <c r="AW67" s="306"/>
      <c r="AX67" s="306"/>
      <c r="AY67" s="306"/>
      <c r="AZ67" s="306"/>
      <c r="BA67" s="306"/>
      <c r="BB67" s="306"/>
      <c r="BC67" s="306"/>
      <c r="BD67" s="306"/>
      <c r="BE67" s="306"/>
      <c r="BF67" s="306"/>
      <c r="BG67" s="306"/>
      <c r="BH67" s="306"/>
      <c r="BI67" s="306"/>
      <c r="BJ67" s="306"/>
      <c r="BK67" s="306"/>
      <c r="BL67" s="306"/>
      <c r="BM67" s="306"/>
      <c r="BN67" s="306"/>
      <c r="BO67" s="306"/>
      <c r="BP67" s="306"/>
      <c r="BQ67" s="306"/>
      <c r="BR67" s="306"/>
      <c r="BS67" s="306"/>
      <c r="BT67" s="306"/>
      <c r="BU67" s="306"/>
      <c r="BV67" s="306"/>
      <c r="BW67" s="306"/>
      <c r="BX67" s="306"/>
      <c r="BY67" s="306"/>
      <c r="BZ67" s="306"/>
      <c r="CA67" s="306"/>
      <c r="CB67" s="306"/>
      <c r="CC67" s="306"/>
      <c r="CD67" s="306"/>
      <c r="CE67" s="306"/>
      <c r="CF67" s="306"/>
      <c r="CG67" s="306"/>
      <c r="CH67" s="306"/>
      <c r="CI67" s="306"/>
      <c r="CJ67" s="306"/>
      <c r="CK67" s="306"/>
      <c r="CL67" s="306"/>
      <c r="CM67" s="306"/>
      <c r="CN67" s="306"/>
      <c r="CO67" s="306"/>
      <c r="CP67" s="306"/>
      <c r="CQ67" s="306"/>
      <c r="CR67" s="306"/>
      <c r="CS67" s="306"/>
      <c r="CT67" s="306"/>
      <c r="CU67" s="306"/>
      <c r="CV67" s="306"/>
      <c r="CW67" s="306"/>
      <c r="CX67" s="306"/>
      <c r="CY67" s="306"/>
      <c r="CZ67" s="306"/>
      <c r="DA67" s="306"/>
      <c r="DB67" s="306"/>
      <c r="DC67" s="306"/>
      <c r="DD67" s="306"/>
      <c r="DE67" s="306"/>
      <c r="DF67" s="306"/>
      <c r="DG67" s="306"/>
      <c r="DH67" s="306"/>
      <c r="DI67" s="306"/>
      <c r="DJ67" s="306"/>
      <c r="DK67" s="306"/>
      <c r="DL67" s="306"/>
      <c r="DM67" s="306"/>
      <c r="DN67" s="306"/>
      <c r="DO67" s="306"/>
      <c r="DP67" s="306"/>
      <c r="DQ67" s="306"/>
      <c r="DR67" s="306"/>
      <c r="DS67" s="306"/>
      <c r="DT67" s="306"/>
      <c r="DU67" s="306"/>
      <c r="DV67" s="306"/>
      <c r="DW67" s="306"/>
      <c r="DX67" s="306"/>
      <c r="DY67" s="306"/>
      <c r="DZ67" s="306"/>
      <c r="EA67" s="306"/>
      <c r="EB67" s="306"/>
      <c r="EC67" s="306"/>
      <c r="ED67" s="306"/>
      <c r="EE67" s="306"/>
      <c r="EF67" s="306"/>
      <c r="EG67" s="306"/>
      <c r="EH67" s="306"/>
      <c r="EI67" s="306"/>
      <c r="EJ67" s="306"/>
      <c r="EK67" s="306"/>
      <c r="EL67" s="306"/>
      <c r="EM67" s="306"/>
      <c r="EN67" s="306"/>
      <c r="EO67" s="306"/>
      <c r="EP67" s="306"/>
      <c r="EQ67" s="306"/>
      <c r="ER67" s="306"/>
      <c r="ES67" s="306"/>
      <c r="ET67" s="306"/>
      <c r="EU67" s="306"/>
      <c r="EV67" s="306"/>
      <c r="EW67" s="306"/>
      <c r="EX67" s="306"/>
      <c r="EY67" s="306"/>
      <c r="EZ67" s="306"/>
      <c r="FA67" s="306"/>
      <c r="FB67" s="306"/>
      <c r="FC67" s="306"/>
      <c r="FD67" s="306"/>
      <c r="FE67" s="306"/>
      <c r="FF67" s="306"/>
      <c r="FG67" s="306"/>
      <c r="FH67" s="306"/>
      <c r="FI67" s="306"/>
      <c r="FJ67" s="306"/>
      <c r="FK67" s="306"/>
      <c r="FL67" s="306"/>
      <c r="FM67" s="306"/>
      <c r="FN67" s="306"/>
      <c r="FO67" s="306"/>
      <c r="FP67" s="306"/>
      <c r="FQ67" s="306"/>
      <c r="FR67" s="306"/>
      <c r="FS67" s="306"/>
      <c r="FT67" s="306"/>
      <c r="FU67" s="306"/>
      <c r="FV67" s="306"/>
      <c r="FW67" s="306"/>
      <c r="FX67" s="306"/>
      <c r="FY67" s="306"/>
      <c r="FZ67" s="306"/>
      <c r="GA67" s="306"/>
      <c r="GB67" s="306"/>
      <c r="GC67" s="306"/>
      <c r="GD67" s="306"/>
      <c r="GE67" s="306"/>
      <c r="GF67" s="306"/>
      <c r="GG67" s="306"/>
      <c r="GH67" s="306"/>
      <c r="GI67" s="306"/>
      <c r="GJ67" s="306"/>
      <c r="GK67" s="306"/>
      <c r="GL67" s="306"/>
      <c r="GM67" s="306"/>
      <c r="GN67" s="306"/>
      <c r="GO67" s="306"/>
      <c r="GP67" s="306"/>
      <c r="GQ67" s="306"/>
      <c r="GR67" s="306"/>
      <c r="GS67" s="306"/>
      <c r="GT67" s="306"/>
      <c r="GU67" s="306"/>
      <c r="GV67" s="306"/>
      <c r="GW67" s="306"/>
      <c r="GX67" s="306"/>
      <c r="GY67" s="306"/>
      <c r="GZ67" s="306"/>
      <c r="HA67" s="306"/>
      <c r="HB67" s="306"/>
      <c r="HC67" s="306"/>
      <c r="HD67" s="306"/>
      <c r="HE67" s="306"/>
      <c r="HF67" s="306"/>
      <c r="HG67" s="306"/>
      <c r="HH67" s="306"/>
      <c r="HI67" s="306"/>
      <c r="HJ67" s="306"/>
      <c r="HK67" s="306"/>
      <c r="HL67" s="306"/>
      <c r="HM67" s="306"/>
      <c r="HN67" s="306"/>
      <c r="HO67" s="306"/>
      <c r="HP67" s="306"/>
      <c r="HQ67" s="306"/>
      <c r="HR67" s="306"/>
      <c r="HS67" s="306"/>
      <c r="HT67" s="306"/>
      <c r="HU67" s="306"/>
      <c r="HV67" s="306"/>
      <c r="HW67" s="306"/>
      <c r="HX67" s="306"/>
      <c r="HY67" s="306"/>
      <c r="HZ67" s="306"/>
      <c r="IA67" s="306"/>
      <c r="IB67" s="306"/>
      <c r="IC67" s="306"/>
      <c r="ID67" s="306"/>
      <c r="IE67" s="306"/>
      <c r="IF67" s="306"/>
      <c r="IG67" s="306"/>
      <c r="IH67" s="306"/>
      <c r="II67" s="306"/>
      <c r="IJ67" s="306"/>
      <c r="IK67" s="306"/>
      <c r="IL67" s="306"/>
      <c r="IM67" s="306"/>
      <c r="IN67" s="306"/>
      <c r="IO67" s="306"/>
      <c r="IP67" s="306"/>
      <c r="IQ67" s="306"/>
      <c r="IR67" s="306"/>
      <c r="IS67" s="306"/>
      <c r="IT67" s="306"/>
      <c r="IU67" s="306"/>
      <c r="IV67" s="306"/>
    </row>
    <row r="68" spans="1:256" ht="13.8">
      <c r="A68" s="308">
        <v>10</v>
      </c>
      <c r="B68" s="308"/>
      <c r="C68" s="308"/>
      <c r="D68" s="309" t="s">
        <v>1488</v>
      </c>
      <c r="E68" s="310"/>
      <c r="F68" s="311"/>
      <c r="G68" s="312"/>
      <c r="H68" s="311"/>
      <c r="I68" s="300"/>
      <c r="J68" s="300"/>
      <c r="K68" s="300"/>
      <c r="L68" s="300"/>
      <c r="M68" s="300"/>
      <c r="N68" s="300"/>
      <c r="O68" s="300"/>
      <c r="P68" s="300"/>
      <c r="Q68" s="300"/>
      <c r="R68" s="300"/>
      <c r="S68" s="300"/>
      <c r="T68" s="300"/>
      <c r="U68" s="300"/>
      <c r="V68" s="300"/>
      <c r="W68" s="300"/>
      <c r="X68" s="300"/>
      <c r="Y68" s="300"/>
      <c r="Z68" s="300"/>
      <c r="AA68" s="300"/>
      <c r="AB68" s="300"/>
      <c r="AC68" s="300"/>
      <c r="AD68" s="300"/>
      <c r="AE68" s="300"/>
      <c r="AF68" s="300"/>
      <c r="AG68" s="300"/>
      <c r="AH68" s="300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00"/>
      <c r="AT68" s="300"/>
      <c r="AU68" s="300"/>
      <c r="AV68" s="300"/>
      <c r="AW68" s="300"/>
      <c r="AX68" s="300"/>
      <c r="AY68" s="300"/>
      <c r="AZ68" s="300"/>
      <c r="BA68" s="300"/>
      <c r="BB68" s="300"/>
      <c r="BC68" s="300"/>
      <c r="BD68" s="300"/>
      <c r="BE68" s="300"/>
      <c r="BF68" s="300"/>
      <c r="BG68" s="300"/>
      <c r="BH68" s="300"/>
      <c r="BI68" s="300"/>
      <c r="BJ68" s="300"/>
      <c r="BK68" s="300"/>
      <c r="BL68" s="300"/>
      <c r="BM68" s="300"/>
      <c r="BN68" s="300"/>
      <c r="BO68" s="300"/>
      <c r="BP68" s="300"/>
      <c r="BQ68" s="300"/>
      <c r="BR68" s="300"/>
      <c r="BS68" s="300"/>
      <c r="BT68" s="300"/>
      <c r="BU68" s="300"/>
      <c r="BV68" s="300"/>
      <c r="BW68" s="300"/>
      <c r="BX68" s="300"/>
      <c r="BY68" s="300"/>
      <c r="BZ68" s="300"/>
      <c r="CA68" s="300"/>
      <c r="CB68" s="300"/>
      <c r="CC68" s="300"/>
      <c r="CD68" s="300"/>
      <c r="CE68" s="300"/>
      <c r="CF68" s="300"/>
      <c r="CG68" s="300"/>
      <c r="CH68" s="300"/>
      <c r="CI68" s="300"/>
      <c r="CJ68" s="300"/>
      <c r="CK68" s="300"/>
      <c r="CL68" s="300"/>
      <c r="CM68" s="300"/>
      <c r="CN68" s="300"/>
      <c r="CO68" s="300"/>
      <c r="CP68" s="300"/>
      <c r="CQ68" s="300"/>
      <c r="CR68" s="300"/>
      <c r="CS68" s="300"/>
      <c r="CT68" s="300"/>
      <c r="CU68" s="300"/>
      <c r="CV68" s="300"/>
      <c r="CW68" s="300"/>
      <c r="CX68" s="300"/>
      <c r="CY68" s="300"/>
      <c r="CZ68" s="300"/>
      <c r="DA68" s="300"/>
      <c r="DB68" s="300"/>
      <c r="DC68" s="300"/>
      <c r="DD68" s="300"/>
      <c r="DE68" s="300"/>
      <c r="DF68" s="300"/>
      <c r="DG68" s="300"/>
      <c r="DH68" s="300"/>
      <c r="DI68" s="300"/>
      <c r="DJ68" s="300"/>
      <c r="DK68" s="300"/>
      <c r="DL68" s="300"/>
      <c r="DM68" s="300"/>
      <c r="DN68" s="300"/>
      <c r="DO68" s="300"/>
      <c r="DP68" s="300"/>
      <c r="DQ68" s="300"/>
      <c r="DR68" s="300"/>
      <c r="DS68" s="300"/>
      <c r="DT68" s="300"/>
      <c r="DU68" s="300"/>
      <c r="DV68" s="300"/>
      <c r="DW68" s="300"/>
      <c r="DX68" s="300"/>
      <c r="DY68" s="300"/>
      <c r="DZ68" s="300"/>
      <c r="EA68" s="300"/>
      <c r="EB68" s="300"/>
      <c r="EC68" s="300"/>
      <c r="ED68" s="300"/>
      <c r="EE68" s="300"/>
      <c r="EF68" s="300"/>
      <c r="EG68" s="300"/>
      <c r="EH68" s="300"/>
      <c r="EI68" s="300"/>
      <c r="EJ68" s="300"/>
      <c r="EK68" s="300"/>
      <c r="EL68" s="300"/>
      <c r="EM68" s="300"/>
      <c r="EN68" s="300"/>
      <c r="EO68" s="300"/>
      <c r="EP68" s="300"/>
      <c r="EQ68" s="300"/>
      <c r="ER68" s="300"/>
      <c r="ES68" s="300"/>
      <c r="ET68" s="300"/>
      <c r="EU68" s="300"/>
      <c r="EV68" s="300"/>
      <c r="EW68" s="300"/>
      <c r="EX68" s="300"/>
      <c r="EY68" s="300"/>
      <c r="EZ68" s="300"/>
      <c r="FA68" s="300"/>
      <c r="FB68" s="300"/>
      <c r="FC68" s="300"/>
      <c r="FD68" s="300"/>
      <c r="FE68" s="300"/>
      <c r="FF68" s="300"/>
      <c r="FG68" s="300"/>
      <c r="FH68" s="300"/>
      <c r="FI68" s="300"/>
      <c r="FJ68" s="300"/>
      <c r="FK68" s="300"/>
      <c r="FL68" s="300"/>
      <c r="FM68" s="300"/>
      <c r="FN68" s="300"/>
      <c r="FO68" s="300"/>
      <c r="FP68" s="300"/>
      <c r="FQ68" s="300"/>
      <c r="FR68" s="300"/>
      <c r="FS68" s="300"/>
      <c r="FT68" s="300"/>
      <c r="FU68" s="300"/>
      <c r="FV68" s="300"/>
      <c r="FW68" s="300"/>
      <c r="FX68" s="300"/>
      <c r="FY68" s="300"/>
      <c r="FZ68" s="300"/>
      <c r="GA68" s="300"/>
      <c r="GB68" s="300"/>
      <c r="GC68" s="300"/>
      <c r="GD68" s="300"/>
      <c r="GE68" s="300"/>
      <c r="GF68" s="300"/>
      <c r="GG68" s="300"/>
      <c r="GH68" s="300"/>
      <c r="GI68" s="300"/>
      <c r="GJ68" s="300"/>
      <c r="GK68" s="300"/>
      <c r="GL68" s="300"/>
      <c r="GM68" s="300"/>
      <c r="GN68" s="300"/>
      <c r="GO68" s="300"/>
      <c r="GP68" s="300"/>
      <c r="GQ68" s="300"/>
      <c r="GR68" s="300"/>
      <c r="GS68" s="300"/>
      <c r="GT68" s="300"/>
      <c r="GU68" s="300"/>
      <c r="GV68" s="300"/>
      <c r="GW68" s="300"/>
      <c r="GX68" s="300"/>
      <c r="GY68" s="300"/>
      <c r="GZ68" s="300"/>
      <c r="HA68" s="300"/>
      <c r="HB68" s="300"/>
      <c r="HC68" s="300"/>
      <c r="HD68" s="300"/>
      <c r="HE68" s="300"/>
      <c r="HF68" s="300"/>
      <c r="HG68" s="300"/>
      <c r="HH68" s="300"/>
      <c r="HI68" s="300"/>
      <c r="HJ68" s="300"/>
      <c r="HK68" s="300"/>
      <c r="HL68" s="300"/>
      <c r="HM68" s="300"/>
      <c r="HN68" s="300"/>
      <c r="HO68" s="300"/>
      <c r="HP68" s="300"/>
      <c r="HQ68" s="300"/>
      <c r="HR68" s="300"/>
      <c r="HS68" s="300"/>
      <c r="HT68" s="300"/>
      <c r="HU68" s="300"/>
      <c r="HV68" s="300"/>
      <c r="HW68" s="300"/>
      <c r="HX68" s="300"/>
      <c r="HY68" s="300"/>
      <c r="HZ68" s="300"/>
      <c r="IA68" s="300"/>
      <c r="IB68" s="300"/>
      <c r="IC68" s="300"/>
      <c r="ID68" s="300"/>
      <c r="IE68" s="300"/>
      <c r="IF68" s="300"/>
      <c r="IG68" s="300"/>
      <c r="IH68" s="300"/>
      <c r="II68" s="300"/>
      <c r="IJ68" s="300"/>
      <c r="IK68" s="300"/>
      <c r="IL68" s="300"/>
      <c r="IM68" s="300"/>
      <c r="IN68" s="300"/>
      <c r="IO68" s="300"/>
      <c r="IP68" s="300"/>
      <c r="IQ68" s="300"/>
      <c r="IR68" s="300"/>
      <c r="IS68" s="300"/>
      <c r="IT68" s="300"/>
      <c r="IU68" s="300"/>
      <c r="IV68" s="300"/>
    </row>
    <row r="69" spans="1:256" ht="13.8">
      <c r="A69" s="313" t="s">
        <v>803</v>
      </c>
      <c r="B69" s="313" t="s">
        <v>1426</v>
      </c>
      <c r="C69" s="313" t="s">
        <v>1489</v>
      </c>
      <c r="D69" s="314" t="s">
        <v>1490</v>
      </c>
      <c r="E69" s="315" t="s">
        <v>1429</v>
      </c>
      <c r="F69" s="316">
        <v>26.08</v>
      </c>
      <c r="G69" s="317">
        <f>9.34+115</f>
        <v>124.34</v>
      </c>
      <c r="H69" s="318">
        <f>TRUNC(F69*G69,2)</f>
        <v>3242.78</v>
      </c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0"/>
      <c r="AE69" s="300"/>
      <c r="AF69" s="300"/>
      <c r="AG69" s="300"/>
      <c r="AH69" s="300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00"/>
      <c r="AT69" s="300"/>
      <c r="AU69" s="300"/>
      <c r="AV69" s="300"/>
      <c r="AW69" s="300"/>
      <c r="AX69" s="300"/>
      <c r="AY69" s="300"/>
      <c r="AZ69" s="300"/>
      <c r="BA69" s="300"/>
      <c r="BB69" s="300"/>
      <c r="BC69" s="300"/>
      <c r="BD69" s="300"/>
      <c r="BE69" s="300"/>
      <c r="BF69" s="300"/>
      <c r="BG69" s="300"/>
      <c r="BH69" s="300"/>
      <c r="BI69" s="300"/>
      <c r="BJ69" s="300"/>
      <c r="BK69" s="300"/>
      <c r="BL69" s="300"/>
      <c r="BM69" s="300"/>
      <c r="BN69" s="300"/>
      <c r="BO69" s="300"/>
      <c r="BP69" s="300"/>
      <c r="BQ69" s="300"/>
      <c r="BR69" s="300"/>
      <c r="BS69" s="300"/>
      <c r="BT69" s="300"/>
      <c r="BU69" s="300"/>
      <c r="BV69" s="300"/>
      <c r="BW69" s="300"/>
      <c r="BX69" s="300"/>
      <c r="BY69" s="300"/>
      <c r="BZ69" s="300"/>
      <c r="CA69" s="300"/>
      <c r="CB69" s="300"/>
      <c r="CC69" s="300"/>
      <c r="CD69" s="300"/>
      <c r="CE69" s="300"/>
      <c r="CF69" s="300"/>
      <c r="CG69" s="300"/>
      <c r="CH69" s="300"/>
      <c r="CI69" s="300"/>
      <c r="CJ69" s="300"/>
      <c r="CK69" s="300"/>
      <c r="CL69" s="300"/>
      <c r="CM69" s="300"/>
      <c r="CN69" s="300"/>
      <c r="CO69" s="300"/>
      <c r="CP69" s="300"/>
      <c r="CQ69" s="300"/>
      <c r="CR69" s="300"/>
      <c r="CS69" s="300"/>
      <c r="CT69" s="300"/>
      <c r="CU69" s="300"/>
      <c r="CV69" s="300"/>
      <c r="CW69" s="300"/>
      <c r="CX69" s="300"/>
      <c r="CY69" s="300"/>
      <c r="CZ69" s="300"/>
      <c r="DA69" s="300"/>
      <c r="DB69" s="300"/>
      <c r="DC69" s="300"/>
      <c r="DD69" s="300"/>
      <c r="DE69" s="300"/>
      <c r="DF69" s="300"/>
      <c r="DG69" s="300"/>
      <c r="DH69" s="300"/>
      <c r="DI69" s="300"/>
      <c r="DJ69" s="300"/>
      <c r="DK69" s="300"/>
      <c r="DL69" s="300"/>
      <c r="DM69" s="300"/>
      <c r="DN69" s="300"/>
      <c r="DO69" s="300"/>
      <c r="DP69" s="300"/>
      <c r="DQ69" s="300"/>
      <c r="DR69" s="300"/>
      <c r="DS69" s="300"/>
      <c r="DT69" s="300"/>
      <c r="DU69" s="300"/>
      <c r="DV69" s="300"/>
      <c r="DW69" s="300"/>
      <c r="DX69" s="300"/>
      <c r="DY69" s="300"/>
      <c r="DZ69" s="300"/>
      <c r="EA69" s="300"/>
      <c r="EB69" s="300"/>
      <c r="EC69" s="300"/>
      <c r="ED69" s="300"/>
      <c r="EE69" s="300"/>
      <c r="EF69" s="300"/>
      <c r="EG69" s="300"/>
      <c r="EH69" s="300"/>
      <c r="EI69" s="300"/>
      <c r="EJ69" s="300"/>
      <c r="EK69" s="300"/>
      <c r="EL69" s="300"/>
      <c r="EM69" s="300"/>
      <c r="EN69" s="300"/>
      <c r="EO69" s="300"/>
      <c r="EP69" s="300"/>
      <c r="EQ69" s="300"/>
      <c r="ER69" s="300"/>
      <c r="ES69" s="300"/>
      <c r="ET69" s="300"/>
      <c r="EU69" s="300"/>
      <c r="EV69" s="300"/>
      <c r="EW69" s="300"/>
      <c r="EX69" s="300"/>
      <c r="EY69" s="300"/>
      <c r="EZ69" s="300"/>
      <c r="FA69" s="300"/>
      <c r="FB69" s="300"/>
      <c r="FC69" s="300"/>
      <c r="FD69" s="300"/>
      <c r="FE69" s="300"/>
      <c r="FF69" s="300"/>
      <c r="FG69" s="300"/>
      <c r="FH69" s="300"/>
      <c r="FI69" s="300"/>
      <c r="FJ69" s="300"/>
      <c r="FK69" s="300"/>
      <c r="FL69" s="300"/>
      <c r="FM69" s="300"/>
      <c r="FN69" s="300"/>
      <c r="FO69" s="300"/>
      <c r="FP69" s="300"/>
      <c r="FQ69" s="300"/>
      <c r="FR69" s="300"/>
      <c r="FS69" s="300"/>
      <c r="FT69" s="300"/>
      <c r="FU69" s="300"/>
      <c r="FV69" s="300"/>
      <c r="FW69" s="300"/>
      <c r="FX69" s="300"/>
      <c r="FY69" s="300"/>
      <c r="FZ69" s="300"/>
      <c r="GA69" s="300"/>
      <c r="GB69" s="300"/>
      <c r="GC69" s="300"/>
      <c r="GD69" s="300"/>
      <c r="GE69" s="300"/>
      <c r="GF69" s="300"/>
      <c r="GG69" s="300"/>
      <c r="GH69" s="300"/>
      <c r="GI69" s="300"/>
      <c r="GJ69" s="300"/>
      <c r="GK69" s="300"/>
      <c r="GL69" s="300"/>
      <c r="GM69" s="300"/>
      <c r="GN69" s="300"/>
      <c r="GO69" s="300"/>
      <c r="GP69" s="300"/>
      <c r="GQ69" s="300"/>
      <c r="GR69" s="300"/>
      <c r="GS69" s="300"/>
      <c r="GT69" s="300"/>
      <c r="GU69" s="300"/>
      <c r="GV69" s="300"/>
      <c r="GW69" s="300"/>
      <c r="GX69" s="300"/>
      <c r="GY69" s="300"/>
      <c r="GZ69" s="300"/>
      <c r="HA69" s="300"/>
      <c r="HB69" s="300"/>
      <c r="HC69" s="300"/>
      <c r="HD69" s="300"/>
      <c r="HE69" s="300"/>
      <c r="HF69" s="300"/>
      <c r="HG69" s="300"/>
      <c r="HH69" s="300"/>
      <c r="HI69" s="300"/>
      <c r="HJ69" s="300"/>
      <c r="HK69" s="300"/>
      <c r="HL69" s="300"/>
      <c r="HM69" s="300"/>
      <c r="HN69" s="300"/>
      <c r="HO69" s="300"/>
      <c r="HP69" s="300"/>
      <c r="HQ69" s="300"/>
      <c r="HR69" s="300"/>
      <c r="HS69" s="300"/>
      <c r="HT69" s="300"/>
      <c r="HU69" s="300"/>
      <c r="HV69" s="300"/>
      <c r="HW69" s="300"/>
      <c r="HX69" s="300"/>
      <c r="HY69" s="300"/>
      <c r="HZ69" s="300"/>
      <c r="IA69" s="300"/>
      <c r="IB69" s="300"/>
      <c r="IC69" s="300"/>
      <c r="ID69" s="300"/>
      <c r="IE69" s="300"/>
      <c r="IF69" s="300"/>
      <c r="IG69" s="300"/>
      <c r="IH69" s="300"/>
      <c r="II69" s="300"/>
      <c r="IJ69" s="300"/>
      <c r="IK69" s="300"/>
      <c r="IL69" s="300"/>
      <c r="IM69" s="300"/>
      <c r="IN69" s="300"/>
      <c r="IO69" s="300"/>
      <c r="IP69" s="300"/>
      <c r="IQ69" s="300"/>
      <c r="IR69" s="300"/>
      <c r="IS69" s="300"/>
      <c r="IT69" s="300"/>
      <c r="IU69" s="300"/>
      <c r="IV69" s="300"/>
    </row>
    <row r="70" spans="1:256" ht="13.8">
      <c r="A70" s="336" t="s">
        <v>1491</v>
      </c>
      <c r="B70" s="313" t="s">
        <v>1426</v>
      </c>
      <c r="C70" s="336" t="s">
        <v>1492</v>
      </c>
      <c r="D70" s="314" t="s">
        <v>1493</v>
      </c>
      <c r="E70" s="315" t="s">
        <v>1429</v>
      </c>
      <c r="F70" s="316">
        <v>139.81</v>
      </c>
      <c r="G70" s="337"/>
      <c r="H70" s="318">
        <f>TRUNC(F70*G70,2)</f>
        <v>0</v>
      </c>
      <c r="I70" s="300"/>
      <c r="J70" s="300"/>
      <c r="K70" s="300"/>
      <c r="L70" s="300"/>
      <c r="M70" s="300"/>
      <c r="N70" s="300"/>
      <c r="O70" s="300"/>
      <c r="P70" s="300"/>
      <c r="Q70" s="300"/>
      <c r="R70" s="300"/>
      <c r="S70" s="300"/>
      <c r="T70" s="300"/>
      <c r="U70" s="300"/>
      <c r="V70" s="300"/>
      <c r="W70" s="300"/>
      <c r="X70" s="300"/>
      <c r="Y70" s="300"/>
      <c r="Z70" s="300"/>
      <c r="AA70" s="300"/>
      <c r="AB70" s="300"/>
      <c r="AC70" s="300"/>
      <c r="AD70" s="300"/>
      <c r="AE70" s="300"/>
      <c r="AF70" s="300"/>
      <c r="AG70" s="300"/>
      <c r="AH70" s="300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00"/>
      <c r="AT70" s="300"/>
      <c r="AU70" s="300"/>
      <c r="AV70" s="300"/>
      <c r="AW70" s="300"/>
      <c r="AX70" s="300"/>
      <c r="AY70" s="300"/>
      <c r="AZ70" s="300"/>
      <c r="BA70" s="300"/>
      <c r="BB70" s="300"/>
      <c r="BC70" s="300"/>
      <c r="BD70" s="300"/>
      <c r="BE70" s="300"/>
      <c r="BF70" s="300"/>
      <c r="BG70" s="300"/>
      <c r="BH70" s="300"/>
      <c r="BI70" s="300"/>
      <c r="BJ70" s="300"/>
      <c r="BK70" s="300"/>
      <c r="BL70" s="300"/>
      <c r="BM70" s="300"/>
      <c r="BN70" s="300"/>
      <c r="BO70" s="300"/>
      <c r="BP70" s="300"/>
      <c r="BQ70" s="300"/>
      <c r="BR70" s="300"/>
      <c r="BS70" s="300"/>
      <c r="BT70" s="300"/>
      <c r="BU70" s="300"/>
      <c r="BV70" s="300"/>
      <c r="BW70" s="300"/>
      <c r="BX70" s="300"/>
      <c r="BY70" s="300"/>
      <c r="BZ70" s="300"/>
      <c r="CA70" s="300"/>
      <c r="CB70" s="300"/>
      <c r="CC70" s="300"/>
      <c r="CD70" s="300"/>
      <c r="CE70" s="300"/>
      <c r="CF70" s="300"/>
      <c r="CG70" s="300"/>
      <c r="CH70" s="300"/>
      <c r="CI70" s="300"/>
      <c r="CJ70" s="300"/>
      <c r="CK70" s="300"/>
      <c r="CL70" s="300"/>
      <c r="CM70" s="300"/>
      <c r="CN70" s="300"/>
      <c r="CO70" s="300"/>
      <c r="CP70" s="300"/>
      <c r="CQ70" s="300"/>
      <c r="CR70" s="300"/>
      <c r="CS70" s="300"/>
      <c r="CT70" s="300"/>
      <c r="CU70" s="300"/>
      <c r="CV70" s="300"/>
      <c r="CW70" s="300"/>
      <c r="CX70" s="300"/>
      <c r="CY70" s="300"/>
      <c r="CZ70" s="300"/>
      <c r="DA70" s="300"/>
      <c r="DB70" s="300"/>
      <c r="DC70" s="300"/>
      <c r="DD70" s="300"/>
      <c r="DE70" s="300"/>
      <c r="DF70" s="300"/>
      <c r="DG70" s="300"/>
      <c r="DH70" s="300"/>
      <c r="DI70" s="300"/>
      <c r="DJ70" s="300"/>
      <c r="DK70" s="300"/>
      <c r="DL70" s="300"/>
      <c r="DM70" s="300"/>
      <c r="DN70" s="300"/>
      <c r="DO70" s="300"/>
      <c r="DP70" s="300"/>
      <c r="DQ70" s="300"/>
      <c r="DR70" s="300"/>
      <c r="DS70" s="300"/>
      <c r="DT70" s="300"/>
      <c r="DU70" s="300"/>
      <c r="DV70" s="300"/>
      <c r="DW70" s="300"/>
      <c r="DX70" s="300"/>
      <c r="DY70" s="300"/>
      <c r="DZ70" s="300"/>
      <c r="EA70" s="300"/>
      <c r="EB70" s="300"/>
      <c r="EC70" s="300"/>
      <c r="ED70" s="300"/>
      <c r="EE70" s="300"/>
      <c r="EF70" s="300"/>
      <c r="EG70" s="300"/>
      <c r="EH70" s="300"/>
      <c r="EI70" s="300"/>
      <c r="EJ70" s="300"/>
      <c r="EK70" s="300"/>
      <c r="EL70" s="300"/>
      <c r="EM70" s="300"/>
      <c r="EN70" s="300"/>
      <c r="EO70" s="300"/>
      <c r="EP70" s="300"/>
      <c r="EQ70" s="300"/>
      <c r="ER70" s="300"/>
      <c r="ES70" s="300"/>
      <c r="ET70" s="300"/>
      <c r="EU70" s="300"/>
      <c r="EV70" s="300"/>
      <c r="EW70" s="300"/>
      <c r="EX70" s="300"/>
      <c r="EY70" s="300"/>
      <c r="EZ70" s="300"/>
      <c r="FA70" s="300"/>
      <c r="FB70" s="300"/>
      <c r="FC70" s="300"/>
      <c r="FD70" s="300"/>
      <c r="FE70" s="300"/>
      <c r="FF70" s="300"/>
      <c r="FG70" s="300"/>
      <c r="FH70" s="300"/>
      <c r="FI70" s="300"/>
      <c r="FJ70" s="300"/>
      <c r="FK70" s="300"/>
      <c r="FL70" s="300"/>
      <c r="FM70" s="300"/>
      <c r="FN70" s="300"/>
      <c r="FO70" s="300"/>
      <c r="FP70" s="300"/>
      <c r="FQ70" s="300"/>
      <c r="FR70" s="300"/>
      <c r="FS70" s="300"/>
      <c r="FT70" s="300"/>
      <c r="FU70" s="300"/>
      <c r="FV70" s="300"/>
      <c r="FW70" s="300"/>
      <c r="FX70" s="300"/>
      <c r="FY70" s="300"/>
      <c r="FZ70" s="300"/>
      <c r="GA70" s="300"/>
      <c r="GB70" s="300"/>
      <c r="GC70" s="300"/>
      <c r="GD70" s="300"/>
      <c r="GE70" s="300"/>
      <c r="GF70" s="300"/>
      <c r="GG70" s="300"/>
      <c r="GH70" s="300"/>
      <c r="GI70" s="300"/>
      <c r="GJ70" s="300"/>
      <c r="GK70" s="300"/>
      <c r="GL70" s="300"/>
      <c r="GM70" s="300"/>
      <c r="GN70" s="300"/>
      <c r="GO70" s="300"/>
      <c r="GP70" s="300"/>
      <c r="GQ70" s="300"/>
      <c r="GR70" s="300"/>
      <c r="GS70" s="300"/>
      <c r="GT70" s="300"/>
      <c r="GU70" s="300"/>
      <c r="GV70" s="300"/>
      <c r="GW70" s="300"/>
      <c r="GX70" s="300"/>
      <c r="GY70" s="300"/>
      <c r="GZ70" s="300"/>
      <c r="HA70" s="300"/>
      <c r="HB70" s="300"/>
      <c r="HC70" s="300"/>
      <c r="HD70" s="300"/>
      <c r="HE70" s="300"/>
      <c r="HF70" s="300"/>
      <c r="HG70" s="300"/>
      <c r="HH70" s="300"/>
      <c r="HI70" s="300"/>
      <c r="HJ70" s="300"/>
      <c r="HK70" s="300"/>
      <c r="HL70" s="300"/>
      <c r="HM70" s="300"/>
      <c r="HN70" s="300"/>
      <c r="HO70" s="300"/>
      <c r="HP70" s="300"/>
      <c r="HQ70" s="300"/>
      <c r="HR70" s="300"/>
      <c r="HS70" s="300"/>
      <c r="HT70" s="300"/>
      <c r="HU70" s="300"/>
      <c r="HV70" s="300"/>
      <c r="HW70" s="300"/>
      <c r="HX70" s="300"/>
      <c r="HY70" s="300"/>
      <c r="HZ70" s="300"/>
      <c r="IA70" s="300"/>
      <c r="IB70" s="300"/>
      <c r="IC70" s="300"/>
      <c r="ID70" s="300"/>
      <c r="IE70" s="300"/>
      <c r="IF70" s="300"/>
      <c r="IG70" s="300"/>
      <c r="IH70" s="300"/>
      <c r="II70" s="300"/>
      <c r="IJ70" s="300"/>
      <c r="IK70" s="300"/>
      <c r="IL70" s="300"/>
      <c r="IM70" s="300"/>
      <c r="IN70" s="300"/>
      <c r="IO70" s="300"/>
      <c r="IP70" s="300"/>
      <c r="IQ70" s="300"/>
      <c r="IR70" s="300"/>
      <c r="IS70" s="300"/>
      <c r="IT70" s="300"/>
      <c r="IU70" s="300"/>
      <c r="IV70" s="300"/>
    </row>
    <row r="71" spans="1:256" ht="13.8">
      <c r="A71" s="313" t="s">
        <v>1494</v>
      </c>
      <c r="B71" s="313" t="s">
        <v>1426</v>
      </c>
      <c r="C71" s="313" t="s">
        <v>1495</v>
      </c>
      <c r="D71" s="314" t="s">
        <v>1496</v>
      </c>
      <c r="E71" s="315" t="s">
        <v>1429</v>
      </c>
      <c r="F71" s="316">
        <v>9.85</v>
      </c>
      <c r="G71" s="317">
        <v>225</v>
      </c>
      <c r="H71" s="318">
        <f>TRUNC(F71*G71,2)</f>
        <v>2216.25</v>
      </c>
      <c r="I71" s="300"/>
      <c r="J71" s="300"/>
      <c r="K71" s="300"/>
      <c r="L71" s="300"/>
      <c r="M71" s="300"/>
      <c r="N71" s="300"/>
      <c r="O71" s="300"/>
      <c r="P71" s="300"/>
      <c r="Q71" s="300"/>
      <c r="R71" s="300"/>
      <c r="S71" s="300"/>
      <c r="T71" s="300"/>
      <c r="U71" s="300"/>
      <c r="V71" s="300"/>
      <c r="W71" s="300"/>
      <c r="X71" s="300"/>
      <c r="Y71" s="300"/>
      <c r="Z71" s="300"/>
      <c r="AA71" s="300"/>
      <c r="AB71" s="300"/>
      <c r="AC71" s="300"/>
      <c r="AD71" s="300"/>
      <c r="AE71" s="300"/>
      <c r="AF71" s="300"/>
      <c r="AG71" s="300"/>
      <c r="AH71" s="300"/>
      <c r="AI71" s="300"/>
      <c r="AJ71" s="300"/>
      <c r="AK71" s="300"/>
      <c r="AL71" s="300"/>
      <c r="AM71" s="300"/>
      <c r="AN71" s="300"/>
      <c r="AO71" s="300"/>
      <c r="AP71" s="300"/>
      <c r="AQ71" s="300"/>
      <c r="AR71" s="300"/>
      <c r="AS71" s="300"/>
      <c r="AT71" s="300"/>
      <c r="AU71" s="300"/>
      <c r="AV71" s="300"/>
      <c r="AW71" s="300"/>
      <c r="AX71" s="300"/>
      <c r="AY71" s="300"/>
      <c r="AZ71" s="300"/>
      <c r="BA71" s="300"/>
      <c r="BB71" s="300"/>
      <c r="BC71" s="300"/>
      <c r="BD71" s="300"/>
      <c r="BE71" s="300"/>
      <c r="BF71" s="300"/>
      <c r="BG71" s="300"/>
      <c r="BH71" s="300"/>
      <c r="BI71" s="300"/>
      <c r="BJ71" s="300"/>
      <c r="BK71" s="300"/>
      <c r="BL71" s="300"/>
      <c r="BM71" s="300"/>
      <c r="BN71" s="300"/>
      <c r="BO71" s="300"/>
      <c r="BP71" s="300"/>
      <c r="BQ71" s="300"/>
      <c r="BR71" s="300"/>
      <c r="BS71" s="300"/>
      <c r="BT71" s="300"/>
      <c r="BU71" s="300"/>
      <c r="BV71" s="300"/>
      <c r="BW71" s="300"/>
      <c r="BX71" s="300"/>
      <c r="BY71" s="300"/>
      <c r="BZ71" s="300"/>
      <c r="CA71" s="300"/>
      <c r="CB71" s="300"/>
      <c r="CC71" s="300"/>
      <c r="CD71" s="300"/>
      <c r="CE71" s="300"/>
      <c r="CF71" s="300"/>
      <c r="CG71" s="300"/>
      <c r="CH71" s="300"/>
      <c r="CI71" s="300"/>
      <c r="CJ71" s="300"/>
      <c r="CK71" s="300"/>
      <c r="CL71" s="300"/>
      <c r="CM71" s="300"/>
      <c r="CN71" s="300"/>
      <c r="CO71" s="300"/>
      <c r="CP71" s="300"/>
      <c r="CQ71" s="300"/>
      <c r="CR71" s="300"/>
      <c r="CS71" s="300"/>
      <c r="CT71" s="300"/>
      <c r="CU71" s="300"/>
      <c r="CV71" s="300"/>
      <c r="CW71" s="300"/>
      <c r="CX71" s="300"/>
      <c r="CY71" s="300"/>
      <c r="CZ71" s="300"/>
      <c r="DA71" s="300"/>
      <c r="DB71" s="300"/>
      <c r="DC71" s="300"/>
      <c r="DD71" s="300"/>
      <c r="DE71" s="300"/>
      <c r="DF71" s="300"/>
      <c r="DG71" s="300"/>
      <c r="DH71" s="300"/>
      <c r="DI71" s="300"/>
      <c r="DJ71" s="300"/>
      <c r="DK71" s="300"/>
      <c r="DL71" s="300"/>
      <c r="DM71" s="300"/>
      <c r="DN71" s="300"/>
      <c r="DO71" s="300"/>
      <c r="DP71" s="300"/>
      <c r="DQ71" s="300"/>
      <c r="DR71" s="300"/>
      <c r="DS71" s="300"/>
      <c r="DT71" s="300"/>
      <c r="DU71" s="300"/>
      <c r="DV71" s="300"/>
      <c r="DW71" s="300"/>
      <c r="DX71" s="300"/>
      <c r="DY71" s="300"/>
      <c r="DZ71" s="300"/>
      <c r="EA71" s="300"/>
      <c r="EB71" s="300"/>
      <c r="EC71" s="300"/>
      <c r="ED71" s="300"/>
      <c r="EE71" s="300"/>
      <c r="EF71" s="300"/>
      <c r="EG71" s="300"/>
      <c r="EH71" s="300"/>
      <c r="EI71" s="300"/>
      <c r="EJ71" s="300"/>
      <c r="EK71" s="300"/>
      <c r="EL71" s="300"/>
      <c r="EM71" s="300"/>
      <c r="EN71" s="300"/>
      <c r="EO71" s="300"/>
      <c r="EP71" s="300"/>
      <c r="EQ71" s="300"/>
      <c r="ER71" s="300"/>
      <c r="ES71" s="300"/>
      <c r="ET71" s="300"/>
      <c r="EU71" s="300"/>
      <c r="EV71" s="300"/>
      <c r="EW71" s="300"/>
      <c r="EX71" s="300"/>
      <c r="EY71" s="300"/>
      <c r="EZ71" s="300"/>
      <c r="FA71" s="300"/>
      <c r="FB71" s="300"/>
      <c r="FC71" s="300"/>
      <c r="FD71" s="300"/>
      <c r="FE71" s="300"/>
      <c r="FF71" s="300"/>
      <c r="FG71" s="300"/>
      <c r="FH71" s="300"/>
      <c r="FI71" s="300"/>
      <c r="FJ71" s="300"/>
      <c r="FK71" s="300"/>
      <c r="FL71" s="300"/>
      <c r="FM71" s="300"/>
      <c r="FN71" s="300"/>
      <c r="FO71" s="300"/>
      <c r="FP71" s="300"/>
      <c r="FQ71" s="300"/>
      <c r="FR71" s="300"/>
      <c r="FS71" s="300"/>
      <c r="FT71" s="300"/>
      <c r="FU71" s="300"/>
      <c r="FV71" s="300"/>
      <c r="FW71" s="300"/>
      <c r="FX71" s="300"/>
      <c r="FY71" s="300"/>
      <c r="FZ71" s="300"/>
      <c r="GA71" s="300"/>
      <c r="GB71" s="300"/>
      <c r="GC71" s="300"/>
      <c r="GD71" s="300"/>
      <c r="GE71" s="300"/>
      <c r="GF71" s="300"/>
      <c r="GG71" s="300"/>
      <c r="GH71" s="300"/>
      <c r="GI71" s="300"/>
      <c r="GJ71" s="300"/>
      <c r="GK71" s="300"/>
      <c r="GL71" s="300"/>
      <c r="GM71" s="300"/>
      <c r="GN71" s="300"/>
      <c r="GO71" s="300"/>
      <c r="GP71" s="300"/>
      <c r="GQ71" s="300"/>
      <c r="GR71" s="300"/>
      <c r="GS71" s="300"/>
      <c r="GT71" s="300"/>
      <c r="GU71" s="300"/>
      <c r="GV71" s="300"/>
      <c r="GW71" s="300"/>
      <c r="GX71" s="300"/>
      <c r="GY71" s="300"/>
      <c r="GZ71" s="300"/>
      <c r="HA71" s="300"/>
      <c r="HB71" s="300"/>
      <c r="HC71" s="300"/>
      <c r="HD71" s="300"/>
      <c r="HE71" s="300"/>
      <c r="HF71" s="300"/>
      <c r="HG71" s="300"/>
      <c r="HH71" s="300"/>
      <c r="HI71" s="300"/>
      <c r="HJ71" s="300"/>
      <c r="HK71" s="300"/>
      <c r="HL71" s="300"/>
      <c r="HM71" s="300"/>
      <c r="HN71" s="300"/>
      <c r="HO71" s="300"/>
      <c r="HP71" s="300"/>
      <c r="HQ71" s="300"/>
      <c r="HR71" s="300"/>
      <c r="HS71" s="300"/>
      <c r="HT71" s="300"/>
      <c r="HU71" s="300"/>
      <c r="HV71" s="300"/>
      <c r="HW71" s="300"/>
      <c r="HX71" s="300"/>
      <c r="HY71" s="300"/>
      <c r="HZ71" s="300"/>
      <c r="IA71" s="300"/>
      <c r="IB71" s="300"/>
      <c r="IC71" s="300"/>
      <c r="ID71" s="300"/>
      <c r="IE71" s="300"/>
      <c r="IF71" s="300"/>
      <c r="IG71" s="300"/>
      <c r="IH71" s="300"/>
      <c r="II71" s="300"/>
      <c r="IJ71" s="300"/>
      <c r="IK71" s="300"/>
      <c r="IL71" s="300"/>
      <c r="IM71" s="300"/>
      <c r="IN71" s="300"/>
      <c r="IO71" s="300"/>
      <c r="IP71" s="300"/>
      <c r="IQ71" s="300"/>
      <c r="IR71" s="300"/>
      <c r="IS71" s="300"/>
      <c r="IT71" s="300"/>
      <c r="IU71" s="300"/>
      <c r="IV71" s="300"/>
    </row>
    <row r="72" spans="1:256" ht="13.8">
      <c r="A72" s="313"/>
      <c r="B72" s="313"/>
      <c r="C72" s="313"/>
      <c r="D72" s="314"/>
      <c r="E72" s="315"/>
      <c r="F72" s="316"/>
      <c r="G72" s="337"/>
      <c r="H72" s="318">
        <f>TRUNC(F72*G72,2)</f>
        <v>0</v>
      </c>
      <c r="I72" s="300"/>
      <c r="J72" s="300"/>
      <c r="K72" s="300"/>
      <c r="L72" s="300"/>
      <c r="M72" s="300"/>
      <c r="N72" s="300"/>
      <c r="O72" s="300"/>
      <c r="P72" s="300"/>
      <c r="Q72" s="300"/>
      <c r="R72" s="300"/>
      <c r="S72" s="300"/>
      <c r="T72" s="300"/>
      <c r="U72" s="300"/>
      <c r="V72" s="300"/>
      <c r="W72" s="300"/>
      <c r="X72" s="300"/>
      <c r="Y72" s="300"/>
      <c r="Z72" s="300"/>
      <c r="AA72" s="300"/>
      <c r="AB72" s="300"/>
      <c r="AC72" s="300"/>
      <c r="AD72" s="300"/>
      <c r="AE72" s="300"/>
      <c r="AF72" s="300"/>
      <c r="AG72" s="300"/>
      <c r="AH72" s="300"/>
      <c r="AI72" s="300"/>
      <c r="AJ72" s="300"/>
      <c r="AK72" s="300"/>
      <c r="AL72" s="300"/>
      <c r="AM72" s="300"/>
      <c r="AN72" s="300"/>
      <c r="AO72" s="300"/>
      <c r="AP72" s="300"/>
      <c r="AQ72" s="300"/>
      <c r="AR72" s="300"/>
      <c r="AS72" s="300"/>
      <c r="AT72" s="300"/>
      <c r="AU72" s="300"/>
      <c r="AV72" s="300"/>
      <c r="AW72" s="300"/>
      <c r="AX72" s="300"/>
      <c r="AY72" s="300"/>
      <c r="AZ72" s="300"/>
      <c r="BA72" s="300"/>
      <c r="BB72" s="300"/>
      <c r="BC72" s="300"/>
      <c r="BD72" s="300"/>
      <c r="BE72" s="300"/>
      <c r="BF72" s="300"/>
      <c r="BG72" s="300"/>
      <c r="BH72" s="300"/>
      <c r="BI72" s="300"/>
      <c r="BJ72" s="300"/>
      <c r="BK72" s="300"/>
      <c r="BL72" s="300"/>
      <c r="BM72" s="300"/>
      <c r="BN72" s="300"/>
      <c r="BO72" s="300"/>
      <c r="BP72" s="300"/>
      <c r="BQ72" s="300"/>
      <c r="BR72" s="300"/>
      <c r="BS72" s="300"/>
      <c r="BT72" s="300"/>
      <c r="BU72" s="300"/>
      <c r="BV72" s="300"/>
      <c r="BW72" s="300"/>
      <c r="BX72" s="300"/>
      <c r="BY72" s="300"/>
      <c r="BZ72" s="300"/>
      <c r="CA72" s="300"/>
      <c r="CB72" s="300"/>
      <c r="CC72" s="300"/>
      <c r="CD72" s="300"/>
      <c r="CE72" s="300"/>
      <c r="CF72" s="300"/>
      <c r="CG72" s="300"/>
      <c r="CH72" s="300"/>
      <c r="CI72" s="300"/>
      <c r="CJ72" s="300"/>
      <c r="CK72" s="300"/>
      <c r="CL72" s="300"/>
      <c r="CM72" s="300"/>
      <c r="CN72" s="300"/>
      <c r="CO72" s="300"/>
      <c r="CP72" s="300"/>
      <c r="CQ72" s="300"/>
      <c r="CR72" s="300"/>
      <c r="CS72" s="300"/>
      <c r="CT72" s="300"/>
      <c r="CU72" s="300"/>
      <c r="CV72" s="300"/>
      <c r="CW72" s="300"/>
      <c r="CX72" s="300"/>
      <c r="CY72" s="300"/>
      <c r="CZ72" s="300"/>
      <c r="DA72" s="300"/>
      <c r="DB72" s="300"/>
      <c r="DC72" s="300"/>
      <c r="DD72" s="300"/>
      <c r="DE72" s="300"/>
      <c r="DF72" s="300"/>
      <c r="DG72" s="300"/>
      <c r="DH72" s="300"/>
      <c r="DI72" s="300"/>
      <c r="DJ72" s="300"/>
      <c r="DK72" s="300"/>
      <c r="DL72" s="300"/>
      <c r="DM72" s="300"/>
      <c r="DN72" s="300"/>
      <c r="DO72" s="300"/>
      <c r="DP72" s="300"/>
      <c r="DQ72" s="300"/>
      <c r="DR72" s="300"/>
      <c r="DS72" s="300"/>
      <c r="DT72" s="300"/>
      <c r="DU72" s="300"/>
      <c r="DV72" s="300"/>
      <c r="DW72" s="300"/>
      <c r="DX72" s="300"/>
      <c r="DY72" s="300"/>
      <c r="DZ72" s="300"/>
      <c r="EA72" s="300"/>
      <c r="EB72" s="300"/>
      <c r="EC72" s="300"/>
      <c r="ED72" s="300"/>
      <c r="EE72" s="300"/>
      <c r="EF72" s="300"/>
      <c r="EG72" s="300"/>
      <c r="EH72" s="300"/>
      <c r="EI72" s="300"/>
      <c r="EJ72" s="300"/>
      <c r="EK72" s="300"/>
      <c r="EL72" s="300"/>
      <c r="EM72" s="300"/>
      <c r="EN72" s="300"/>
      <c r="EO72" s="300"/>
      <c r="EP72" s="300"/>
      <c r="EQ72" s="300"/>
      <c r="ER72" s="300"/>
      <c r="ES72" s="300"/>
      <c r="ET72" s="300"/>
      <c r="EU72" s="300"/>
      <c r="EV72" s="300"/>
      <c r="EW72" s="300"/>
      <c r="EX72" s="300"/>
      <c r="EY72" s="300"/>
      <c r="EZ72" s="300"/>
      <c r="FA72" s="300"/>
      <c r="FB72" s="300"/>
      <c r="FC72" s="300"/>
      <c r="FD72" s="300"/>
      <c r="FE72" s="300"/>
      <c r="FF72" s="300"/>
      <c r="FG72" s="300"/>
      <c r="FH72" s="300"/>
      <c r="FI72" s="300"/>
      <c r="FJ72" s="300"/>
      <c r="FK72" s="300"/>
      <c r="FL72" s="300"/>
      <c r="FM72" s="300"/>
      <c r="FN72" s="300"/>
      <c r="FO72" s="300"/>
      <c r="FP72" s="300"/>
      <c r="FQ72" s="300"/>
      <c r="FR72" s="300"/>
      <c r="FS72" s="300"/>
      <c r="FT72" s="300"/>
      <c r="FU72" s="300"/>
      <c r="FV72" s="300"/>
      <c r="FW72" s="300"/>
      <c r="FX72" s="300"/>
      <c r="FY72" s="300"/>
      <c r="FZ72" s="300"/>
      <c r="GA72" s="300"/>
      <c r="GB72" s="300"/>
      <c r="GC72" s="300"/>
      <c r="GD72" s="300"/>
      <c r="GE72" s="300"/>
      <c r="GF72" s="300"/>
      <c r="GG72" s="300"/>
      <c r="GH72" s="300"/>
      <c r="GI72" s="300"/>
      <c r="GJ72" s="300"/>
      <c r="GK72" s="300"/>
      <c r="GL72" s="300"/>
      <c r="GM72" s="300"/>
      <c r="GN72" s="300"/>
      <c r="GO72" s="300"/>
      <c r="GP72" s="300"/>
      <c r="GQ72" s="300"/>
      <c r="GR72" s="300"/>
      <c r="GS72" s="300"/>
      <c r="GT72" s="300"/>
      <c r="GU72" s="300"/>
      <c r="GV72" s="300"/>
      <c r="GW72" s="300"/>
      <c r="GX72" s="300"/>
      <c r="GY72" s="300"/>
      <c r="GZ72" s="300"/>
      <c r="HA72" s="300"/>
      <c r="HB72" s="300"/>
      <c r="HC72" s="300"/>
      <c r="HD72" s="300"/>
      <c r="HE72" s="300"/>
      <c r="HF72" s="300"/>
      <c r="HG72" s="300"/>
      <c r="HH72" s="300"/>
      <c r="HI72" s="300"/>
      <c r="HJ72" s="300"/>
      <c r="HK72" s="300"/>
      <c r="HL72" s="300"/>
      <c r="HM72" s="300"/>
      <c r="HN72" s="300"/>
      <c r="HO72" s="300"/>
      <c r="HP72" s="300"/>
      <c r="HQ72" s="300"/>
      <c r="HR72" s="300"/>
      <c r="HS72" s="300"/>
      <c r="HT72" s="300"/>
      <c r="HU72" s="300"/>
      <c r="HV72" s="300"/>
      <c r="HW72" s="300"/>
      <c r="HX72" s="300"/>
      <c r="HY72" s="300"/>
      <c r="HZ72" s="300"/>
      <c r="IA72" s="300"/>
      <c r="IB72" s="300"/>
      <c r="IC72" s="300"/>
      <c r="ID72" s="300"/>
      <c r="IE72" s="300"/>
      <c r="IF72" s="300"/>
      <c r="IG72" s="300"/>
      <c r="IH72" s="300"/>
      <c r="II72" s="300"/>
      <c r="IJ72" s="300"/>
      <c r="IK72" s="300"/>
      <c r="IL72" s="300"/>
      <c r="IM72" s="300"/>
      <c r="IN72" s="300"/>
      <c r="IO72" s="300"/>
      <c r="IP72" s="300"/>
      <c r="IQ72" s="300"/>
      <c r="IR72" s="300"/>
      <c r="IS72" s="300"/>
      <c r="IT72" s="300"/>
      <c r="IU72" s="300"/>
      <c r="IV72" s="300"/>
    </row>
    <row r="73" spans="1:256" ht="13.8">
      <c r="A73" s="338"/>
      <c r="B73" s="339"/>
      <c r="C73" s="339"/>
      <c r="D73" s="321" t="s">
        <v>1439</v>
      </c>
      <c r="E73" s="340"/>
      <c r="F73" s="341"/>
      <c r="G73" s="342"/>
      <c r="H73" s="323">
        <f>SUM(H69:H72)</f>
        <v>5459.0300000000007</v>
      </c>
      <c r="I73" s="300"/>
      <c r="J73" s="300"/>
      <c r="K73" s="300"/>
      <c r="L73" s="300"/>
      <c r="M73" s="300"/>
      <c r="N73" s="300"/>
      <c r="O73" s="300"/>
      <c r="P73" s="300"/>
      <c r="Q73" s="300"/>
      <c r="R73" s="300"/>
      <c r="S73" s="300"/>
      <c r="T73" s="300"/>
      <c r="U73" s="300"/>
      <c r="V73" s="300"/>
      <c r="W73" s="300"/>
      <c r="X73" s="300"/>
      <c r="Y73" s="300"/>
      <c r="Z73" s="300"/>
      <c r="AA73" s="300"/>
      <c r="AB73" s="300"/>
      <c r="AC73" s="300"/>
      <c r="AD73" s="300"/>
      <c r="AE73" s="300"/>
      <c r="AF73" s="300"/>
      <c r="AG73" s="300"/>
      <c r="AH73" s="300"/>
      <c r="AI73" s="300"/>
      <c r="AJ73" s="300"/>
      <c r="AK73" s="300"/>
      <c r="AL73" s="300"/>
      <c r="AM73" s="300"/>
      <c r="AN73" s="300"/>
      <c r="AO73" s="300"/>
      <c r="AP73" s="300"/>
      <c r="AQ73" s="300"/>
      <c r="AR73" s="300"/>
      <c r="AS73" s="300"/>
      <c r="AT73" s="300"/>
      <c r="AU73" s="300"/>
      <c r="AV73" s="300"/>
      <c r="AW73" s="300"/>
      <c r="AX73" s="300"/>
      <c r="AY73" s="300"/>
      <c r="AZ73" s="300"/>
      <c r="BA73" s="300"/>
      <c r="BB73" s="300"/>
      <c r="BC73" s="300"/>
      <c r="BD73" s="300"/>
      <c r="BE73" s="300"/>
      <c r="BF73" s="300"/>
      <c r="BG73" s="300"/>
      <c r="BH73" s="300"/>
      <c r="BI73" s="300"/>
      <c r="BJ73" s="300"/>
      <c r="BK73" s="300"/>
      <c r="BL73" s="300"/>
      <c r="BM73" s="300"/>
      <c r="BN73" s="300"/>
      <c r="BO73" s="300"/>
      <c r="BP73" s="300"/>
      <c r="BQ73" s="300"/>
      <c r="BR73" s="300"/>
      <c r="BS73" s="300"/>
      <c r="BT73" s="300"/>
      <c r="BU73" s="300"/>
      <c r="BV73" s="300"/>
      <c r="BW73" s="300"/>
      <c r="BX73" s="300"/>
      <c r="BY73" s="300"/>
      <c r="BZ73" s="300"/>
      <c r="CA73" s="300"/>
      <c r="CB73" s="300"/>
      <c r="CC73" s="300"/>
      <c r="CD73" s="300"/>
      <c r="CE73" s="300"/>
      <c r="CF73" s="300"/>
      <c r="CG73" s="300"/>
      <c r="CH73" s="300"/>
      <c r="CI73" s="300"/>
      <c r="CJ73" s="300"/>
      <c r="CK73" s="300"/>
      <c r="CL73" s="300"/>
      <c r="CM73" s="300"/>
      <c r="CN73" s="300"/>
      <c r="CO73" s="300"/>
      <c r="CP73" s="300"/>
      <c r="CQ73" s="300"/>
      <c r="CR73" s="300"/>
      <c r="CS73" s="300"/>
      <c r="CT73" s="300"/>
      <c r="CU73" s="300"/>
      <c r="CV73" s="300"/>
      <c r="CW73" s="300"/>
      <c r="CX73" s="300"/>
      <c r="CY73" s="300"/>
      <c r="CZ73" s="300"/>
      <c r="DA73" s="300"/>
      <c r="DB73" s="300"/>
      <c r="DC73" s="300"/>
      <c r="DD73" s="300"/>
      <c r="DE73" s="300"/>
      <c r="DF73" s="300"/>
      <c r="DG73" s="300"/>
      <c r="DH73" s="300"/>
      <c r="DI73" s="300"/>
      <c r="DJ73" s="300"/>
      <c r="DK73" s="300"/>
      <c r="DL73" s="300"/>
      <c r="DM73" s="300"/>
      <c r="DN73" s="300"/>
      <c r="DO73" s="300"/>
      <c r="DP73" s="300"/>
      <c r="DQ73" s="300"/>
      <c r="DR73" s="300"/>
      <c r="DS73" s="300"/>
      <c r="DT73" s="300"/>
      <c r="DU73" s="300"/>
      <c r="DV73" s="300"/>
      <c r="DW73" s="300"/>
      <c r="DX73" s="300"/>
      <c r="DY73" s="300"/>
      <c r="DZ73" s="300"/>
      <c r="EA73" s="300"/>
      <c r="EB73" s="300"/>
      <c r="EC73" s="300"/>
      <c r="ED73" s="300"/>
      <c r="EE73" s="300"/>
      <c r="EF73" s="300"/>
      <c r="EG73" s="300"/>
      <c r="EH73" s="300"/>
      <c r="EI73" s="300"/>
      <c r="EJ73" s="300"/>
      <c r="EK73" s="300"/>
      <c r="EL73" s="300"/>
      <c r="EM73" s="300"/>
      <c r="EN73" s="300"/>
      <c r="EO73" s="300"/>
      <c r="EP73" s="300"/>
      <c r="EQ73" s="300"/>
      <c r="ER73" s="300"/>
      <c r="ES73" s="300"/>
      <c r="ET73" s="300"/>
      <c r="EU73" s="300"/>
      <c r="EV73" s="300"/>
      <c r="EW73" s="300"/>
      <c r="EX73" s="300"/>
      <c r="EY73" s="300"/>
      <c r="EZ73" s="300"/>
      <c r="FA73" s="300"/>
      <c r="FB73" s="300"/>
      <c r="FC73" s="300"/>
      <c r="FD73" s="300"/>
      <c r="FE73" s="300"/>
      <c r="FF73" s="300"/>
      <c r="FG73" s="300"/>
      <c r="FH73" s="300"/>
      <c r="FI73" s="300"/>
      <c r="FJ73" s="300"/>
      <c r="FK73" s="300"/>
      <c r="FL73" s="300"/>
      <c r="FM73" s="300"/>
      <c r="FN73" s="300"/>
      <c r="FO73" s="300"/>
      <c r="FP73" s="300"/>
      <c r="FQ73" s="300"/>
      <c r="FR73" s="300"/>
      <c r="FS73" s="300"/>
      <c r="FT73" s="300"/>
      <c r="FU73" s="300"/>
      <c r="FV73" s="300"/>
      <c r="FW73" s="300"/>
      <c r="FX73" s="300"/>
      <c r="FY73" s="300"/>
      <c r="FZ73" s="300"/>
      <c r="GA73" s="300"/>
      <c r="GB73" s="300"/>
      <c r="GC73" s="300"/>
      <c r="GD73" s="300"/>
      <c r="GE73" s="300"/>
      <c r="GF73" s="300"/>
      <c r="GG73" s="300"/>
      <c r="GH73" s="300"/>
      <c r="GI73" s="300"/>
      <c r="GJ73" s="300"/>
      <c r="GK73" s="300"/>
      <c r="GL73" s="300"/>
      <c r="GM73" s="300"/>
      <c r="GN73" s="300"/>
      <c r="GO73" s="300"/>
      <c r="GP73" s="300"/>
      <c r="GQ73" s="300"/>
      <c r="GR73" s="300"/>
      <c r="GS73" s="300"/>
      <c r="GT73" s="300"/>
      <c r="GU73" s="300"/>
      <c r="GV73" s="300"/>
      <c r="GW73" s="300"/>
      <c r="GX73" s="300"/>
      <c r="GY73" s="300"/>
      <c r="GZ73" s="300"/>
      <c r="HA73" s="300"/>
      <c r="HB73" s="300"/>
      <c r="HC73" s="300"/>
      <c r="HD73" s="300"/>
      <c r="HE73" s="300"/>
      <c r="HF73" s="300"/>
      <c r="HG73" s="300"/>
      <c r="HH73" s="300"/>
      <c r="HI73" s="300"/>
      <c r="HJ73" s="300"/>
      <c r="HK73" s="300"/>
      <c r="HL73" s="300"/>
      <c r="HM73" s="300"/>
      <c r="HN73" s="300"/>
      <c r="HO73" s="300"/>
      <c r="HP73" s="300"/>
      <c r="HQ73" s="300"/>
      <c r="HR73" s="300"/>
      <c r="HS73" s="300"/>
      <c r="HT73" s="300"/>
      <c r="HU73" s="300"/>
      <c r="HV73" s="300"/>
      <c r="HW73" s="300"/>
      <c r="HX73" s="300"/>
      <c r="HY73" s="300"/>
      <c r="HZ73" s="300"/>
      <c r="IA73" s="300"/>
      <c r="IB73" s="300"/>
      <c r="IC73" s="300"/>
      <c r="ID73" s="300"/>
      <c r="IE73" s="300"/>
      <c r="IF73" s="300"/>
      <c r="IG73" s="300"/>
      <c r="IH73" s="300"/>
      <c r="II73" s="300"/>
      <c r="IJ73" s="300"/>
      <c r="IK73" s="300"/>
      <c r="IL73" s="300"/>
      <c r="IM73" s="300"/>
      <c r="IN73" s="300"/>
      <c r="IO73" s="300"/>
      <c r="IP73" s="300"/>
      <c r="IQ73" s="300"/>
      <c r="IR73" s="300"/>
      <c r="IS73" s="300"/>
      <c r="IT73" s="300"/>
      <c r="IU73" s="300"/>
      <c r="IV73" s="300"/>
    </row>
    <row r="74" spans="1:256" ht="13.8">
      <c r="A74" s="343"/>
      <c r="B74" s="344"/>
      <c r="C74" s="344"/>
      <c r="D74" s="345" t="s">
        <v>1497</v>
      </c>
      <c r="E74" s="346"/>
      <c r="F74" s="347"/>
      <c r="G74" s="348"/>
      <c r="H74" s="349">
        <f>ROUND(SUM(H14:H73)/2,2)</f>
        <v>100803.97</v>
      </c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  <c r="AZ74" s="25"/>
      <c r="BA74" s="25"/>
      <c r="BB74" s="25"/>
      <c r="BC74" s="25"/>
      <c r="BD74" s="25"/>
      <c r="BE74" s="25"/>
      <c r="BF74" s="25"/>
      <c r="BG74" s="25"/>
      <c r="BH74" s="25"/>
      <c r="BI74" s="25"/>
      <c r="BJ74" s="25"/>
      <c r="BK74" s="25"/>
      <c r="BL74" s="25"/>
      <c r="BM74" s="25"/>
      <c r="BN74" s="25"/>
      <c r="BO74" s="25"/>
      <c r="BP74" s="25"/>
      <c r="BQ74" s="25"/>
      <c r="BR74" s="25"/>
      <c r="BS74" s="25"/>
      <c r="BT74" s="25"/>
      <c r="BU74" s="25"/>
      <c r="BV74" s="25"/>
      <c r="BW74" s="25"/>
      <c r="BX74" s="25"/>
      <c r="BY74" s="25"/>
      <c r="BZ74" s="25"/>
      <c r="CA74" s="25"/>
      <c r="CB74" s="25"/>
      <c r="CC74" s="25"/>
      <c r="CD74" s="25"/>
      <c r="CE74" s="25"/>
      <c r="CF74" s="25"/>
      <c r="CG74" s="25"/>
      <c r="CH74" s="25"/>
      <c r="CI74" s="25"/>
      <c r="CJ74" s="25"/>
      <c r="CK74" s="25"/>
      <c r="CL74" s="25"/>
      <c r="CM74" s="25"/>
      <c r="CN74" s="25"/>
      <c r="CO74" s="25"/>
      <c r="CP74" s="25"/>
      <c r="CQ74" s="25"/>
      <c r="CR74" s="25"/>
      <c r="CS74" s="25"/>
      <c r="CT74" s="25"/>
      <c r="CU74" s="25"/>
      <c r="CV74" s="25"/>
      <c r="CW74" s="25"/>
      <c r="CX74" s="25"/>
      <c r="CY74" s="25"/>
      <c r="CZ74" s="25"/>
      <c r="DA74" s="25"/>
      <c r="DB74" s="25"/>
      <c r="DC74" s="25"/>
      <c r="DD74" s="25"/>
      <c r="DE74" s="25"/>
      <c r="DF74" s="25"/>
      <c r="DG74" s="25"/>
      <c r="DH74" s="25"/>
      <c r="DI74" s="25"/>
      <c r="DJ74" s="25"/>
      <c r="DK74" s="25"/>
      <c r="DL74" s="25"/>
      <c r="DM74" s="25"/>
      <c r="DN74" s="25"/>
      <c r="DO74" s="25"/>
      <c r="DP74" s="25"/>
      <c r="DQ74" s="25"/>
      <c r="DR74" s="25"/>
      <c r="DS74" s="25"/>
      <c r="DT74" s="25"/>
      <c r="DU74" s="25"/>
      <c r="DV74" s="25"/>
      <c r="DW74" s="25"/>
      <c r="DX74" s="25"/>
      <c r="DY74" s="25"/>
      <c r="DZ74" s="25"/>
      <c r="EA74" s="25"/>
      <c r="EB74" s="25"/>
      <c r="EC74" s="25"/>
      <c r="ED74" s="25"/>
      <c r="EE74" s="25"/>
      <c r="EF74" s="25"/>
      <c r="EG74" s="25"/>
      <c r="EH74" s="25"/>
      <c r="EI74" s="25"/>
      <c r="EJ74" s="25"/>
      <c r="EK74" s="25"/>
      <c r="EL74" s="25"/>
      <c r="EM74" s="25"/>
      <c r="EN74" s="25"/>
      <c r="EO74" s="25"/>
      <c r="EP74" s="25"/>
      <c r="EQ74" s="25"/>
      <c r="ER74" s="25"/>
      <c r="ES74" s="25"/>
      <c r="ET74" s="25"/>
      <c r="EU74" s="25"/>
      <c r="EV74" s="25"/>
      <c r="EW74" s="25"/>
      <c r="EX74" s="25"/>
      <c r="EY74" s="25"/>
      <c r="EZ74" s="25"/>
      <c r="FA74" s="25"/>
      <c r="FB74" s="25"/>
      <c r="FC74" s="25"/>
      <c r="FD74" s="25"/>
      <c r="FE74" s="25"/>
      <c r="FF74" s="25"/>
      <c r="FG74" s="25"/>
      <c r="FH74" s="25"/>
      <c r="FI74" s="25"/>
      <c r="FJ74" s="25"/>
      <c r="FK74" s="25"/>
      <c r="FL74" s="25"/>
      <c r="FM74" s="25"/>
      <c r="FN74" s="25"/>
      <c r="FO74" s="25"/>
      <c r="FP74" s="25"/>
      <c r="FQ74" s="25"/>
      <c r="FR74" s="25"/>
      <c r="FS74" s="25"/>
      <c r="FT74" s="25"/>
      <c r="FU74" s="25"/>
      <c r="FV74" s="25"/>
      <c r="FW74" s="25"/>
      <c r="FX74" s="25"/>
      <c r="FY74" s="25"/>
      <c r="FZ74" s="25"/>
      <c r="GA74" s="25"/>
      <c r="GB74" s="25"/>
      <c r="GC74" s="25"/>
      <c r="GD74" s="25"/>
      <c r="GE74" s="25"/>
      <c r="GF74" s="25"/>
      <c r="GG74" s="25"/>
      <c r="GH74" s="25"/>
      <c r="GI74" s="25"/>
      <c r="GJ74" s="25"/>
      <c r="GK74" s="25"/>
      <c r="GL74" s="25"/>
      <c r="GM74" s="25"/>
      <c r="GN74" s="25"/>
      <c r="GO74" s="25"/>
      <c r="GP74" s="25"/>
      <c r="GQ74" s="25"/>
      <c r="GR74" s="25"/>
      <c r="GS74" s="25"/>
      <c r="GT74" s="25"/>
      <c r="GU74" s="25"/>
      <c r="GV74" s="25"/>
      <c r="GW74" s="25"/>
      <c r="GX74" s="25"/>
      <c r="GY74" s="25"/>
      <c r="GZ74" s="25"/>
      <c r="HA74" s="25"/>
      <c r="HB74" s="25"/>
      <c r="HC74" s="25"/>
      <c r="HD74" s="25"/>
      <c r="HE74" s="25"/>
      <c r="HF74" s="25"/>
      <c r="HG74" s="25"/>
      <c r="HH74" s="25"/>
      <c r="HI74" s="25"/>
      <c r="HJ74" s="25"/>
      <c r="HK74" s="25"/>
      <c r="HL74" s="25"/>
      <c r="HM74" s="25"/>
      <c r="HN74" s="25"/>
      <c r="HO74" s="25"/>
      <c r="HP74" s="25"/>
      <c r="HQ74" s="25"/>
      <c r="HR74" s="25"/>
      <c r="HS74" s="25"/>
      <c r="HT74" s="25"/>
      <c r="HU74" s="25"/>
      <c r="HV74" s="25"/>
      <c r="HW74" s="25"/>
      <c r="HX74" s="25"/>
      <c r="HY74" s="25"/>
      <c r="HZ74" s="25"/>
      <c r="IA74" s="25"/>
      <c r="IB74" s="25"/>
      <c r="IC74" s="25"/>
      <c r="ID74" s="25"/>
      <c r="IE74" s="25"/>
      <c r="IF74" s="25"/>
      <c r="IG74" s="25"/>
      <c r="IH74" s="25"/>
      <c r="II74" s="25"/>
      <c r="IJ74" s="25"/>
      <c r="IK74" s="25"/>
      <c r="IL74" s="25"/>
      <c r="IM74" s="25"/>
      <c r="IN74" s="25"/>
      <c r="IO74" s="25"/>
      <c r="IP74" s="25"/>
      <c r="IQ74" s="25"/>
      <c r="IR74" s="25"/>
      <c r="IS74" s="25"/>
      <c r="IT74" s="25"/>
      <c r="IU74" s="25"/>
      <c r="IV74" s="25"/>
    </row>
    <row r="75" spans="1:256" ht="13.8">
      <c r="A75" s="343"/>
      <c r="B75" s="344"/>
      <c r="C75" s="344"/>
      <c r="D75" s="345" t="s">
        <v>17</v>
      </c>
      <c r="E75" s="346"/>
      <c r="F75" s="347"/>
      <c r="G75" s="350">
        <v>0.24998100000000001</v>
      </c>
      <c r="H75" s="349">
        <f>TRUNC(H74*G75,2)</f>
        <v>25199.07</v>
      </c>
      <c r="I75" s="319"/>
      <c r="J75" s="319"/>
      <c r="K75" s="319"/>
      <c r="L75" s="319"/>
      <c r="M75" s="319"/>
      <c r="N75" s="319"/>
      <c r="O75" s="319"/>
      <c r="P75" s="319"/>
      <c r="Q75" s="319"/>
      <c r="R75" s="319"/>
      <c r="S75" s="319"/>
      <c r="T75" s="319"/>
      <c r="U75" s="319"/>
      <c r="V75" s="319"/>
      <c r="W75" s="319"/>
      <c r="X75" s="319"/>
      <c r="Y75" s="319"/>
      <c r="Z75" s="319"/>
      <c r="AA75" s="319"/>
      <c r="AB75" s="319"/>
      <c r="AC75" s="319"/>
      <c r="AD75" s="319"/>
      <c r="AE75" s="319"/>
      <c r="AF75" s="319"/>
      <c r="AG75" s="319"/>
      <c r="AH75" s="319"/>
      <c r="AI75" s="319"/>
      <c r="AJ75" s="319"/>
      <c r="AK75" s="319"/>
      <c r="AL75" s="319"/>
      <c r="AM75" s="319"/>
      <c r="AN75" s="319"/>
      <c r="AO75" s="319"/>
      <c r="AP75" s="319"/>
      <c r="AQ75" s="319"/>
      <c r="AR75" s="319"/>
      <c r="AS75" s="319"/>
      <c r="AT75" s="319"/>
      <c r="AU75" s="319"/>
      <c r="AV75" s="319"/>
      <c r="AW75" s="319"/>
      <c r="AX75" s="319"/>
      <c r="AY75" s="319"/>
      <c r="AZ75" s="319"/>
      <c r="BA75" s="319"/>
      <c r="BB75" s="319"/>
      <c r="BC75" s="319"/>
      <c r="BD75" s="319"/>
      <c r="BE75" s="319"/>
      <c r="BF75" s="319"/>
      <c r="BG75" s="319"/>
      <c r="BH75" s="319"/>
      <c r="BI75" s="319"/>
      <c r="BJ75" s="319"/>
      <c r="BK75" s="319"/>
      <c r="BL75" s="319"/>
      <c r="BM75" s="319"/>
      <c r="BN75" s="319"/>
      <c r="BO75" s="319"/>
      <c r="BP75" s="319"/>
      <c r="BQ75" s="319"/>
      <c r="BR75" s="319"/>
      <c r="BS75" s="319"/>
      <c r="BT75" s="319"/>
      <c r="BU75" s="319"/>
      <c r="BV75" s="319"/>
      <c r="BW75" s="319"/>
      <c r="BX75" s="319"/>
      <c r="BY75" s="319"/>
      <c r="BZ75" s="319"/>
      <c r="CA75" s="319"/>
      <c r="CB75" s="319"/>
      <c r="CC75" s="319"/>
      <c r="CD75" s="319"/>
      <c r="CE75" s="319"/>
      <c r="CF75" s="319"/>
      <c r="CG75" s="319"/>
      <c r="CH75" s="319"/>
      <c r="CI75" s="319"/>
      <c r="CJ75" s="319"/>
      <c r="CK75" s="319"/>
      <c r="CL75" s="319"/>
      <c r="CM75" s="319"/>
      <c r="CN75" s="319"/>
      <c r="CO75" s="319"/>
      <c r="CP75" s="319"/>
      <c r="CQ75" s="319"/>
      <c r="CR75" s="319"/>
      <c r="CS75" s="319"/>
      <c r="CT75" s="319"/>
      <c r="CU75" s="319"/>
      <c r="CV75" s="319"/>
      <c r="CW75" s="319"/>
      <c r="CX75" s="319"/>
      <c r="CY75" s="319"/>
      <c r="CZ75" s="319"/>
      <c r="DA75" s="319"/>
      <c r="DB75" s="319"/>
      <c r="DC75" s="319"/>
      <c r="DD75" s="319"/>
      <c r="DE75" s="319"/>
      <c r="DF75" s="319"/>
      <c r="DG75" s="319"/>
      <c r="DH75" s="319"/>
      <c r="DI75" s="319"/>
      <c r="DJ75" s="319"/>
      <c r="DK75" s="319"/>
      <c r="DL75" s="319"/>
      <c r="DM75" s="319"/>
      <c r="DN75" s="319"/>
      <c r="DO75" s="319"/>
      <c r="DP75" s="319"/>
      <c r="DQ75" s="319"/>
      <c r="DR75" s="319"/>
      <c r="DS75" s="319"/>
      <c r="DT75" s="319"/>
      <c r="DU75" s="319"/>
      <c r="DV75" s="319"/>
      <c r="DW75" s="319"/>
      <c r="DX75" s="319"/>
      <c r="DY75" s="319"/>
      <c r="DZ75" s="319"/>
      <c r="EA75" s="319"/>
      <c r="EB75" s="319"/>
      <c r="EC75" s="319"/>
      <c r="ED75" s="319"/>
      <c r="EE75" s="319"/>
      <c r="EF75" s="319"/>
      <c r="EG75" s="319"/>
      <c r="EH75" s="319"/>
      <c r="EI75" s="319"/>
      <c r="EJ75" s="319"/>
      <c r="EK75" s="319"/>
      <c r="EL75" s="319"/>
      <c r="EM75" s="319"/>
      <c r="EN75" s="319"/>
      <c r="EO75" s="319"/>
      <c r="EP75" s="319"/>
      <c r="EQ75" s="319"/>
      <c r="ER75" s="319"/>
      <c r="ES75" s="319"/>
      <c r="ET75" s="319"/>
      <c r="EU75" s="319"/>
      <c r="EV75" s="319"/>
      <c r="EW75" s="319"/>
      <c r="EX75" s="319"/>
      <c r="EY75" s="319"/>
      <c r="EZ75" s="319"/>
      <c r="FA75" s="319"/>
      <c r="FB75" s="319"/>
      <c r="FC75" s="319"/>
      <c r="FD75" s="319"/>
      <c r="FE75" s="319"/>
      <c r="FF75" s="319"/>
      <c r="FG75" s="319"/>
      <c r="FH75" s="319"/>
      <c r="FI75" s="319"/>
      <c r="FJ75" s="319"/>
      <c r="FK75" s="319"/>
      <c r="FL75" s="319"/>
      <c r="FM75" s="319"/>
      <c r="FN75" s="319"/>
      <c r="FO75" s="319"/>
      <c r="FP75" s="319"/>
      <c r="FQ75" s="319"/>
      <c r="FR75" s="319"/>
      <c r="FS75" s="319"/>
      <c r="FT75" s="319"/>
      <c r="FU75" s="319"/>
      <c r="FV75" s="319"/>
      <c r="FW75" s="319"/>
      <c r="FX75" s="319"/>
      <c r="FY75" s="319"/>
      <c r="FZ75" s="319"/>
      <c r="GA75" s="319"/>
      <c r="GB75" s="319"/>
      <c r="GC75" s="319"/>
      <c r="GD75" s="319"/>
      <c r="GE75" s="319"/>
      <c r="GF75" s="319"/>
      <c r="GG75" s="319"/>
      <c r="GH75" s="319"/>
      <c r="GI75" s="319"/>
      <c r="GJ75" s="319"/>
      <c r="GK75" s="319"/>
      <c r="GL75" s="319"/>
      <c r="GM75" s="319"/>
      <c r="GN75" s="319"/>
      <c r="GO75" s="319"/>
      <c r="GP75" s="319"/>
      <c r="GQ75" s="319"/>
      <c r="GR75" s="319"/>
      <c r="GS75" s="319"/>
      <c r="GT75" s="319"/>
      <c r="GU75" s="319"/>
      <c r="GV75" s="319"/>
      <c r="GW75" s="319"/>
      <c r="GX75" s="319"/>
      <c r="GY75" s="319"/>
      <c r="GZ75" s="319"/>
      <c r="HA75" s="319"/>
      <c r="HB75" s="319"/>
      <c r="HC75" s="319"/>
      <c r="HD75" s="319"/>
      <c r="HE75" s="319"/>
      <c r="HF75" s="319"/>
      <c r="HG75" s="319"/>
      <c r="HH75" s="319"/>
      <c r="HI75" s="319"/>
      <c r="HJ75" s="319"/>
      <c r="HK75" s="319"/>
      <c r="HL75" s="319"/>
      <c r="HM75" s="319"/>
      <c r="HN75" s="319"/>
      <c r="HO75" s="319"/>
      <c r="HP75" s="319"/>
      <c r="HQ75" s="319"/>
      <c r="HR75" s="319"/>
      <c r="HS75" s="319"/>
      <c r="HT75" s="319"/>
      <c r="HU75" s="319"/>
      <c r="HV75" s="319"/>
      <c r="HW75" s="319"/>
      <c r="HX75" s="319"/>
      <c r="HY75" s="319"/>
      <c r="HZ75" s="319"/>
      <c r="IA75" s="319"/>
      <c r="IB75" s="319"/>
      <c r="IC75" s="319"/>
      <c r="ID75" s="319"/>
      <c r="IE75" s="319"/>
      <c r="IF75" s="319"/>
      <c r="IG75" s="319"/>
      <c r="IH75" s="319"/>
      <c r="II75" s="319"/>
      <c r="IJ75" s="319"/>
      <c r="IK75" s="319"/>
      <c r="IL75" s="319"/>
      <c r="IM75" s="319"/>
      <c r="IN75" s="319"/>
      <c r="IO75" s="319"/>
      <c r="IP75" s="319"/>
      <c r="IQ75" s="319"/>
      <c r="IR75" s="319"/>
      <c r="IS75" s="319"/>
      <c r="IT75" s="319"/>
      <c r="IU75" s="319"/>
      <c r="IV75" s="319"/>
    </row>
    <row r="76" spans="1:256" ht="13.8">
      <c r="A76" s="351"/>
      <c r="B76" s="352"/>
      <c r="C76" s="352"/>
      <c r="D76" s="345" t="s">
        <v>1498</v>
      </c>
      <c r="E76" s="346"/>
      <c r="F76" s="353"/>
      <c r="G76" s="348"/>
      <c r="H76" s="354">
        <f>SUM(H74:H75)</f>
        <v>126003.04000000001</v>
      </c>
      <c r="I76" s="306"/>
      <c r="J76" s="306"/>
      <c r="K76" s="306"/>
      <c r="L76" s="306"/>
      <c r="M76" s="306"/>
      <c r="N76" s="306"/>
      <c r="O76" s="306"/>
      <c r="P76" s="306"/>
      <c r="Q76" s="306"/>
      <c r="R76" s="306"/>
      <c r="S76" s="306"/>
      <c r="T76" s="306"/>
      <c r="U76" s="306"/>
      <c r="V76" s="306"/>
      <c r="W76" s="306"/>
      <c r="X76" s="306"/>
      <c r="Y76" s="306"/>
      <c r="Z76" s="306"/>
      <c r="AA76" s="306"/>
      <c r="AB76" s="306"/>
      <c r="AC76" s="306"/>
      <c r="AD76" s="306"/>
      <c r="AE76" s="306"/>
      <c r="AF76" s="306"/>
      <c r="AG76" s="306"/>
      <c r="AH76" s="306"/>
      <c r="AI76" s="306"/>
      <c r="AJ76" s="306"/>
      <c r="AK76" s="306"/>
      <c r="AL76" s="306"/>
      <c r="AM76" s="306"/>
      <c r="AN76" s="306"/>
      <c r="AO76" s="306"/>
      <c r="AP76" s="306"/>
      <c r="AQ76" s="306"/>
      <c r="AR76" s="306"/>
      <c r="AS76" s="306"/>
      <c r="AT76" s="306"/>
      <c r="AU76" s="306"/>
      <c r="AV76" s="306"/>
      <c r="AW76" s="306"/>
      <c r="AX76" s="306"/>
      <c r="AY76" s="306"/>
      <c r="AZ76" s="306"/>
      <c r="BA76" s="306"/>
      <c r="BB76" s="306"/>
      <c r="BC76" s="306"/>
      <c r="BD76" s="306"/>
      <c r="BE76" s="306"/>
      <c r="BF76" s="306"/>
      <c r="BG76" s="306"/>
      <c r="BH76" s="306"/>
      <c r="BI76" s="306"/>
      <c r="BJ76" s="306"/>
      <c r="BK76" s="306"/>
      <c r="BL76" s="306"/>
      <c r="BM76" s="306"/>
      <c r="BN76" s="306"/>
      <c r="BO76" s="306"/>
      <c r="BP76" s="306"/>
      <c r="BQ76" s="306"/>
      <c r="BR76" s="306"/>
      <c r="BS76" s="306"/>
      <c r="BT76" s="306"/>
      <c r="BU76" s="306"/>
      <c r="BV76" s="306"/>
      <c r="BW76" s="306"/>
      <c r="BX76" s="306"/>
      <c r="BY76" s="306"/>
      <c r="BZ76" s="306"/>
      <c r="CA76" s="306"/>
      <c r="CB76" s="306"/>
      <c r="CC76" s="306"/>
      <c r="CD76" s="306"/>
      <c r="CE76" s="306"/>
      <c r="CF76" s="306"/>
      <c r="CG76" s="306"/>
      <c r="CH76" s="306"/>
      <c r="CI76" s="306"/>
      <c r="CJ76" s="306"/>
      <c r="CK76" s="306"/>
      <c r="CL76" s="306"/>
      <c r="CM76" s="306"/>
      <c r="CN76" s="306"/>
      <c r="CO76" s="306"/>
      <c r="CP76" s="306"/>
      <c r="CQ76" s="306"/>
      <c r="CR76" s="306"/>
      <c r="CS76" s="306"/>
      <c r="CT76" s="306"/>
      <c r="CU76" s="306"/>
      <c r="CV76" s="306"/>
      <c r="CW76" s="306"/>
      <c r="CX76" s="306"/>
      <c r="CY76" s="306"/>
      <c r="CZ76" s="306"/>
      <c r="DA76" s="306"/>
      <c r="DB76" s="306"/>
      <c r="DC76" s="306"/>
      <c r="DD76" s="306"/>
      <c r="DE76" s="306"/>
      <c r="DF76" s="306"/>
      <c r="DG76" s="306"/>
      <c r="DH76" s="306"/>
      <c r="DI76" s="306"/>
      <c r="DJ76" s="306"/>
      <c r="DK76" s="306"/>
      <c r="DL76" s="306"/>
      <c r="DM76" s="306"/>
      <c r="DN76" s="306"/>
      <c r="DO76" s="306"/>
      <c r="DP76" s="306"/>
      <c r="DQ76" s="306"/>
      <c r="DR76" s="306"/>
      <c r="DS76" s="306"/>
      <c r="DT76" s="306"/>
      <c r="DU76" s="306"/>
      <c r="DV76" s="306"/>
      <c r="DW76" s="306"/>
      <c r="DX76" s="306"/>
      <c r="DY76" s="306"/>
      <c r="DZ76" s="306"/>
      <c r="EA76" s="306"/>
      <c r="EB76" s="306"/>
      <c r="EC76" s="306"/>
      <c r="ED76" s="306"/>
      <c r="EE76" s="306"/>
      <c r="EF76" s="306"/>
      <c r="EG76" s="306"/>
      <c r="EH76" s="306"/>
      <c r="EI76" s="306"/>
      <c r="EJ76" s="306"/>
      <c r="EK76" s="306"/>
      <c r="EL76" s="306"/>
      <c r="EM76" s="306"/>
      <c r="EN76" s="306"/>
      <c r="EO76" s="306"/>
      <c r="EP76" s="306"/>
      <c r="EQ76" s="306"/>
      <c r="ER76" s="306"/>
      <c r="ES76" s="306"/>
      <c r="ET76" s="306"/>
      <c r="EU76" s="306"/>
      <c r="EV76" s="306"/>
      <c r="EW76" s="306"/>
      <c r="EX76" s="306"/>
      <c r="EY76" s="306"/>
      <c r="EZ76" s="306"/>
      <c r="FA76" s="306"/>
      <c r="FB76" s="306"/>
      <c r="FC76" s="306"/>
      <c r="FD76" s="306"/>
      <c r="FE76" s="306"/>
      <c r="FF76" s="306"/>
      <c r="FG76" s="306"/>
      <c r="FH76" s="306"/>
      <c r="FI76" s="306"/>
      <c r="FJ76" s="306"/>
      <c r="FK76" s="306"/>
      <c r="FL76" s="306"/>
      <c r="FM76" s="306"/>
      <c r="FN76" s="306"/>
      <c r="FO76" s="306"/>
      <c r="FP76" s="306"/>
      <c r="FQ76" s="306"/>
      <c r="FR76" s="306"/>
      <c r="FS76" s="306"/>
      <c r="FT76" s="306"/>
      <c r="FU76" s="306"/>
      <c r="FV76" s="306"/>
      <c r="FW76" s="306"/>
      <c r="FX76" s="306"/>
      <c r="FY76" s="306"/>
      <c r="FZ76" s="306"/>
      <c r="GA76" s="306"/>
      <c r="GB76" s="306"/>
      <c r="GC76" s="306"/>
      <c r="GD76" s="306"/>
      <c r="GE76" s="306"/>
      <c r="GF76" s="306"/>
      <c r="GG76" s="306"/>
      <c r="GH76" s="306"/>
      <c r="GI76" s="306"/>
      <c r="GJ76" s="306"/>
      <c r="GK76" s="306"/>
      <c r="GL76" s="306"/>
      <c r="GM76" s="306"/>
      <c r="GN76" s="306"/>
      <c r="GO76" s="306"/>
      <c r="GP76" s="306"/>
      <c r="GQ76" s="306"/>
      <c r="GR76" s="306"/>
      <c r="GS76" s="306"/>
      <c r="GT76" s="306"/>
      <c r="GU76" s="306"/>
      <c r="GV76" s="306"/>
      <c r="GW76" s="306"/>
      <c r="GX76" s="306"/>
      <c r="GY76" s="306"/>
      <c r="GZ76" s="306"/>
      <c r="HA76" s="306"/>
      <c r="HB76" s="306"/>
      <c r="HC76" s="306"/>
      <c r="HD76" s="306"/>
      <c r="HE76" s="306"/>
      <c r="HF76" s="306"/>
      <c r="HG76" s="306"/>
      <c r="HH76" s="306"/>
      <c r="HI76" s="306"/>
      <c r="HJ76" s="306"/>
      <c r="HK76" s="306"/>
      <c r="HL76" s="306"/>
      <c r="HM76" s="306"/>
      <c r="HN76" s="306"/>
      <c r="HO76" s="306"/>
      <c r="HP76" s="306"/>
      <c r="HQ76" s="306"/>
      <c r="HR76" s="306"/>
      <c r="HS76" s="306"/>
      <c r="HT76" s="306"/>
      <c r="HU76" s="306"/>
      <c r="HV76" s="306"/>
      <c r="HW76" s="306"/>
      <c r="HX76" s="306"/>
      <c r="HY76" s="306"/>
      <c r="HZ76" s="306"/>
      <c r="IA76" s="306"/>
      <c r="IB76" s="306"/>
      <c r="IC76" s="306"/>
      <c r="ID76" s="306"/>
      <c r="IE76" s="306"/>
      <c r="IF76" s="306"/>
      <c r="IG76" s="306"/>
      <c r="IH76" s="306"/>
      <c r="II76" s="306"/>
      <c r="IJ76" s="306"/>
      <c r="IK76" s="306"/>
      <c r="IL76" s="306"/>
      <c r="IM76" s="306"/>
      <c r="IN76" s="306"/>
      <c r="IO76" s="306"/>
      <c r="IP76" s="306"/>
      <c r="IQ76" s="306"/>
      <c r="IR76" s="306"/>
      <c r="IS76" s="306"/>
      <c r="IT76" s="306"/>
      <c r="IU76" s="306"/>
      <c r="IV76" s="306"/>
    </row>
  </sheetData>
  <mergeCells count="5">
    <mergeCell ref="A1:G1"/>
    <mergeCell ref="D3:D4"/>
    <mergeCell ref="D6:D7"/>
    <mergeCell ref="D8:D9"/>
    <mergeCell ref="A11:H11"/>
  </mergeCells>
  <printOptions horizontalCentered="1"/>
  <pageMargins left="0.27569444444444402" right="0.27569444444444402" top="0.59027777777777801" bottom="0.86597222222222203" header="0.511811023622047" footer="0.196527777777778"/>
  <pageSetup paperSize="9" scale="52" fitToHeight="0" orientation="portrait" horizontalDpi="300" verticalDpi="300" r:id="rId1"/>
  <headerFooter>
    <oddFooter>&amp;C&amp;P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CC387"/>
  <sheetViews>
    <sheetView view="pageBreakPreview" zoomScale="90" zoomScaleNormal="80" zoomScalePageLayoutView="90" workbookViewId="0">
      <selection activeCell="CI360" sqref="CI360"/>
    </sheetView>
  </sheetViews>
  <sheetFormatPr defaultColWidth="11.44140625" defaultRowHeight="11.4"/>
  <cols>
    <col min="1" max="1" width="2.6640625" style="355" customWidth="1"/>
    <col min="2" max="2" width="2.88671875" style="355" customWidth="1"/>
    <col min="3" max="3" width="4.109375" style="355" customWidth="1"/>
    <col min="4" max="17" width="5" style="355" customWidth="1"/>
    <col min="18" max="18" width="2.6640625" style="355" customWidth="1"/>
    <col min="19" max="19" width="6.33203125" style="355" customWidth="1"/>
    <col min="20" max="22" width="4.33203125" style="355" customWidth="1"/>
    <col min="23" max="25" width="4.5546875" style="355" customWidth="1"/>
    <col min="26" max="29" width="3.6640625" style="355" customWidth="1"/>
    <col min="30" max="32" width="3.88671875" style="355" customWidth="1"/>
    <col min="33" max="51" width="2.6640625" style="355" customWidth="1"/>
    <col min="52" max="55" width="3.33203125" style="355" customWidth="1"/>
    <col min="56" max="60" width="2.88671875" style="355" customWidth="1"/>
    <col min="61" max="64" width="3" style="355" customWidth="1"/>
    <col min="65" max="65" width="4" style="355" customWidth="1"/>
    <col min="66" max="81" width="2.6640625" style="355" customWidth="1"/>
    <col min="82" max="16384" width="11.44140625" style="355"/>
  </cols>
  <sheetData>
    <row r="1" spans="2:68" ht="12.75" customHeight="1">
      <c r="B1" s="356"/>
      <c r="C1" s="357"/>
      <c r="D1" s="357"/>
      <c r="E1" s="357"/>
      <c r="F1" s="357"/>
      <c r="G1" s="357"/>
      <c r="H1" s="357"/>
      <c r="I1" s="357"/>
      <c r="J1" s="357"/>
      <c r="K1" s="357"/>
      <c r="L1" s="357"/>
      <c r="M1" s="357"/>
      <c r="N1" s="357"/>
      <c r="O1" s="357"/>
      <c r="P1" s="357"/>
      <c r="Q1" s="357"/>
      <c r="R1" s="357"/>
      <c r="S1" s="357"/>
      <c r="T1" s="357"/>
      <c r="U1" s="357"/>
      <c r="V1" s="357"/>
      <c r="W1" s="357"/>
      <c r="X1" s="357"/>
      <c r="Y1" s="357"/>
      <c r="Z1" s="357"/>
      <c r="AA1" s="357"/>
      <c r="AB1" s="357"/>
      <c r="AC1" s="357"/>
      <c r="AD1" s="357"/>
      <c r="AE1" s="357"/>
      <c r="AF1" s="357"/>
      <c r="AG1" s="357"/>
      <c r="AH1" s="357"/>
      <c r="AI1" s="357"/>
      <c r="AJ1" s="357"/>
      <c r="AK1" s="357"/>
      <c r="AL1" s="357"/>
      <c r="AM1" s="357"/>
      <c r="AN1" s="357"/>
      <c r="AO1" s="357"/>
      <c r="AP1" s="357"/>
      <c r="AQ1" s="357"/>
      <c r="AR1" s="357"/>
      <c r="AS1" s="357"/>
      <c r="AT1" s="357"/>
      <c r="AU1" s="357"/>
      <c r="AV1" s="357"/>
      <c r="AW1" s="357"/>
      <c r="AX1" s="357"/>
      <c r="AY1" s="357"/>
      <c r="AZ1" s="357"/>
      <c r="BA1" s="357"/>
      <c r="BB1" s="357"/>
      <c r="BC1" s="357"/>
      <c r="BD1" s="357"/>
      <c r="BE1" s="357"/>
      <c r="BF1" s="357"/>
      <c r="BG1" s="357"/>
      <c r="BH1" s="357"/>
      <c r="BI1" s="357"/>
      <c r="BJ1" s="357"/>
      <c r="BK1" s="357"/>
      <c r="BL1" s="358" t="s">
        <v>1499</v>
      </c>
      <c r="BM1" s="357"/>
      <c r="BN1" s="357"/>
      <c r="BO1" s="357"/>
      <c r="BP1" s="359"/>
    </row>
    <row r="2" spans="2:68" ht="12.75" customHeight="1">
      <c r="B2" s="360"/>
      <c r="X2" s="361" t="s">
        <v>1500</v>
      </c>
      <c r="BL2" s="362" t="s">
        <v>1501</v>
      </c>
      <c r="BP2" s="363"/>
    </row>
    <row r="3" spans="2:68" ht="6.75" customHeight="1">
      <c r="B3" s="360"/>
      <c r="F3" s="361"/>
      <c r="BL3" s="364"/>
      <c r="BM3" s="365"/>
      <c r="BN3" s="365"/>
      <c r="BO3" s="365"/>
      <c r="BP3" s="366"/>
    </row>
    <row r="4" spans="2:68" ht="6" customHeight="1">
      <c r="B4" s="360"/>
      <c r="F4" s="361"/>
      <c r="BP4" s="363"/>
    </row>
    <row r="5" spans="2:68" ht="12.75" customHeight="1">
      <c r="B5" s="360" t="s">
        <v>1502</v>
      </c>
      <c r="Q5" s="367"/>
      <c r="R5" s="362" t="s">
        <v>1503</v>
      </c>
      <c r="Y5" s="367"/>
      <c r="Z5" s="362" t="s">
        <v>1504</v>
      </c>
      <c r="AF5" s="367"/>
      <c r="AH5" s="362" t="s">
        <v>1505</v>
      </c>
      <c r="BA5" s="367"/>
      <c r="BB5" s="362" t="s">
        <v>1506</v>
      </c>
      <c r="BL5" s="362" t="s">
        <v>1507</v>
      </c>
      <c r="BM5" s="367"/>
      <c r="BP5" s="363"/>
    </row>
    <row r="6" spans="2:68" ht="3.75" customHeight="1">
      <c r="B6" s="360"/>
      <c r="Q6" s="367"/>
      <c r="R6" s="362"/>
      <c r="Y6" s="367"/>
      <c r="Z6" s="362"/>
      <c r="AF6" s="367"/>
      <c r="AH6" s="362"/>
      <c r="BA6" s="367"/>
      <c r="BB6" s="362"/>
      <c r="BL6" s="362"/>
      <c r="BP6" s="363"/>
    </row>
    <row r="7" spans="2:68" ht="12.75" customHeight="1">
      <c r="B7" s="1290"/>
      <c r="C7" s="1290"/>
      <c r="D7" s="1290"/>
      <c r="E7" s="1290"/>
      <c r="F7" s="1290"/>
      <c r="G7" s="1290"/>
      <c r="H7" s="1290"/>
      <c r="I7" s="1290"/>
      <c r="J7" s="1290"/>
      <c r="K7" s="1290"/>
      <c r="L7" s="1290"/>
      <c r="M7" s="1290"/>
      <c r="N7" s="1290"/>
      <c r="O7" s="1290"/>
      <c r="P7" s="1290"/>
      <c r="Q7" s="1290"/>
      <c r="R7" s="1291"/>
      <c r="S7" s="1291"/>
      <c r="T7" s="1291"/>
      <c r="U7" s="1291"/>
      <c r="V7" s="1291"/>
      <c r="W7" s="1291"/>
      <c r="X7" s="1291"/>
      <c r="Y7" s="1291"/>
      <c r="Z7" s="1292"/>
      <c r="AA7" s="1292"/>
      <c r="AB7" s="1292"/>
      <c r="AC7" s="1292"/>
      <c r="AD7" s="1292"/>
      <c r="AE7" s="1292"/>
      <c r="AF7" s="1292"/>
      <c r="AH7" s="364" t="s">
        <v>1508</v>
      </c>
      <c r="AI7" s="365"/>
      <c r="AJ7" s="1293"/>
      <c r="AK7" s="1293"/>
      <c r="AL7" s="1293"/>
      <c r="AM7" s="1293"/>
      <c r="AN7" s="1293"/>
      <c r="AO7" s="368"/>
      <c r="AP7" s="369" t="s">
        <v>1509</v>
      </c>
      <c r="AQ7" s="368"/>
      <c r="AR7" s="1293"/>
      <c r="AS7" s="1293"/>
      <c r="AT7" s="1293"/>
      <c r="AU7" s="1293"/>
      <c r="AV7" s="1293"/>
      <c r="AW7" s="368"/>
      <c r="AX7" s="368"/>
      <c r="AY7" s="368"/>
      <c r="AZ7" s="368"/>
      <c r="BA7" s="370"/>
      <c r="BB7" s="1294"/>
      <c r="BC7" s="1294"/>
      <c r="BD7" s="1294"/>
      <c r="BE7" s="1294"/>
      <c r="BF7" s="1294"/>
      <c r="BG7" s="1294"/>
      <c r="BH7" s="1294"/>
      <c r="BI7" s="1294"/>
      <c r="BJ7" s="1294"/>
      <c r="BK7" s="1294"/>
      <c r="BL7" s="1295"/>
      <c r="BM7" s="1295"/>
      <c r="BN7" s="1295"/>
      <c r="BO7" s="1295"/>
      <c r="BP7" s="1295"/>
    </row>
    <row r="8" spans="2:68" ht="6.75" customHeight="1">
      <c r="B8" s="360"/>
      <c r="R8" s="371"/>
      <c r="S8" s="371"/>
      <c r="T8" s="371"/>
      <c r="U8" s="372"/>
      <c r="V8" s="372"/>
      <c r="W8" s="371"/>
      <c r="X8" s="371"/>
      <c r="Y8" s="371"/>
      <c r="Z8" s="371"/>
      <c r="AA8" s="371"/>
      <c r="AB8" s="371"/>
      <c r="AC8" s="371"/>
      <c r="BP8" s="363"/>
    </row>
    <row r="9" spans="2:68" ht="12.75" customHeight="1">
      <c r="B9" s="360" t="s">
        <v>1510</v>
      </c>
      <c r="I9" s="362"/>
      <c r="J9" s="362" t="s">
        <v>1511</v>
      </c>
      <c r="Q9" s="367"/>
      <c r="R9" s="362" t="s">
        <v>1512</v>
      </c>
      <c r="AT9" s="355" t="s">
        <v>1513</v>
      </c>
      <c r="BA9" s="367"/>
      <c r="BB9" s="362" t="str">
        <f>IF($BD$19&lt;&gt;"","Tomador",IF($BG$19&lt;&gt;"","Tomador /Ag. Promotor","Tomador/Ag.Promotor ou Tomador "))</f>
        <v>Tomador</v>
      </c>
      <c r="BP9" s="363"/>
    </row>
    <row r="10" spans="2:68" ht="3.75" customHeight="1">
      <c r="B10" s="360"/>
      <c r="I10" s="362"/>
      <c r="J10" s="362"/>
      <c r="Q10" s="367"/>
      <c r="R10" s="362"/>
      <c r="BA10" s="367"/>
      <c r="BB10" s="362"/>
      <c r="BP10" s="363"/>
    </row>
    <row r="11" spans="2:68" ht="12.75" customHeight="1">
      <c r="B11" s="1296"/>
      <c r="C11" s="1296"/>
      <c r="D11" s="1296"/>
      <c r="E11" s="1296"/>
      <c r="F11" s="1296"/>
      <c r="G11" s="373"/>
      <c r="H11" s="373"/>
      <c r="I11" s="362"/>
      <c r="J11" s="1297"/>
      <c r="K11" s="1297"/>
      <c r="L11" s="1297"/>
      <c r="M11" s="1297"/>
      <c r="N11" s="1297"/>
      <c r="O11" s="373"/>
      <c r="P11" s="373"/>
      <c r="Q11" s="374"/>
      <c r="R11" s="1292"/>
      <c r="S11" s="1292"/>
      <c r="T11" s="1292"/>
      <c r="U11" s="1292"/>
      <c r="V11" s="1292"/>
      <c r="W11" s="1292"/>
      <c r="X11" s="1292"/>
      <c r="Y11" s="1292"/>
      <c r="Z11" s="1292"/>
      <c r="AA11" s="1292"/>
      <c r="AB11" s="1292"/>
      <c r="AC11" s="1292"/>
      <c r="AD11" s="1292"/>
      <c r="AE11" s="1292"/>
      <c r="AF11" s="1292"/>
      <c r="AG11" s="1292"/>
      <c r="AH11" s="1292"/>
      <c r="AI11" s="1292"/>
      <c r="AJ11" s="1292"/>
      <c r="AK11" s="1292"/>
      <c r="AL11" s="1292"/>
      <c r="AM11" s="1292"/>
      <c r="AN11" s="1292"/>
      <c r="AO11" s="1292"/>
      <c r="AP11" s="1292"/>
      <c r="AQ11" s="1292"/>
      <c r="AR11" s="1292"/>
      <c r="AS11" s="1292"/>
      <c r="AT11" s="1294"/>
      <c r="AU11" s="1294"/>
      <c r="AV11" s="1294"/>
      <c r="AW11" s="1294"/>
      <c r="AX11" s="1294"/>
      <c r="AY11" s="1294"/>
      <c r="AZ11" s="1294"/>
      <c r="BA11" s="1294"/>
      <c r="BB11" s="1298"/>
      <c r="BC11" s="1298"/>
      <c r="BD11" s="1298"/>
      <c r="BE11" s="1298"/>
      <c r="BF11" s="1298"/>
      <c r="BG11" s="1298"/>
      <c r="BH11" s="1298"/>
      <c r="BI11" s="1298"/>
      <c r="BJ11" s="1298"/>
      <c r="BK11" s="1298"/>
      <c r="BL11" s="1298"/>
      <c r="BM11" s="1298"/>
      <c r="BN11" s="1298"/>
      <c r="BO11" s="1298"/>
      <c r="BP11" s="1298"/>
    </row>
    <row r="12" spans="2:68" ht="6.75" customHeight="1">
      <c r="B12" s="360"/>
      <c r="BP12" s="363"/>
    </row>
    <row r="13" spans="2:68" ht="12.75" customHeight="1">
      <c r="B13" s="360" t="s">
        <v>1514</v>
      </c>
      <c r="L13" s="362" t="s">
        <v>1515</v>
      </c>
      <c r="Q13" s="367"/>
      <c r="R13" s="362" t="s">
        <v>1516</v>
      </c>
      <c r="Z13" s="372"/>
      <c r="BA13" s="367"/>
      <c r="BB13" s="362" t="str">
        <f>IF(BD$19&lt;&gt;"","Agente Operador - Repasse",IF(BG$19&lt;&gt;"","Agente Financeiro","Agente Financeiro ou Ag. Operador Repasse"))</f>
        <v>Agente Operador - Repasse</v>
      </c>
      <c r="BP13" s="363"/>
    </row>
    <row r="14" spans="2:68" ht="3.75" customHeight="1">
      <c r="B14" s="360"/>
      <c r="L14" s="362"/>
      <c r="Q14" s="367"/>
      <c r="R14" s="362"/>
      <c r="Z14" s="372"/>
      <c r="AK14" s="1299"/>
      <c r="AL14" s="1299"/>
      <c r="AM14" s="1299"/>
      <c r="AN14" s="1299"/>
      <c r="AO14" s="1299"/>
      <c r="BA14" s="367"/>
      <c r="BB14" s="362"/>
      <c r="BP14" s="363"/>
    </row>
    <row r="15" spans="2:68" ht="12.75" customHeight="1">
      <c r="B15" s="1300"/>
      <c r="C15" s="1300"/>
      <c r="D15" s="1300"/>
      <c r="E15" s="1300"/>
      <c r="F15" s="1300"/>
      <c r="G15" s="1300"/>
      <c r="H15" s="1300"/>
      <c r="I15" s="1300"/>
      <c r="J15" s="1300"/>
      <c r="K15" s="1300"/>
      <c r="L15" s="1297"/>
      <c r="M15" s="1297"/>
      <c r="N15" s="1297"/>
      <c r="O15" s="1297"/>
      <c r="P15" s="1297"/>
      <c r="Q15" s="375"/>
      <c r="R15" s="1294"/>
      <c r="S15" s="1294"/>
      <c r="T15" s="1294"/>
      <c r="U15" s="1294"/>
      <c r="V15" s="1294"/>
      <c r="W15" s="1294"/>
      <c r="X15" s="1294"/>
      <c r="Y15" s="1294"/>
      <c r="Z15" s="1294"/>
      <c r="AA15" s="1294"/>
      <c r="AB15" s="1294"/>
      <c r="AC15" s="1294"/>
      <c r="AD15" s="1294"/>
      <c r="AE15" s="1294"/>
      <c r="AF15" s="1294"/>
      <c r="AG15" s="1294"/>
      <c r="AH15" s="1294"/>
      <c r="AI15" s="1294"/>
      <c r="AJ15" s="1294"/>
      <c r="AK15" s="1294"/>
      <c r="AL15" s="1294"/>
      <c r="AM15" s="1294"/>
      <c r="AN15" s="1294"/>
      <c r="AO15" s="1294"/>
      <c r="AP15" s="1294"/>
      <c r="AQ15" s="1294"/>
      <c r="AR15" s="1294"/>
      <c r="AS15" s="1294"/>
      <c r="AT15" s="1294"/>
      <c r="AU15" s="1294"/>
      <c r="AV15" s="1294"/>
      <c r="AW15" s="1294"/>
      <c r="AX15" s="1294"/>
      <c r="AY15" s="1294"/>
      <c r="AZ15" s="1294"/>
      <c r="BA15" s="1294"/>
      <c r="BB15" s="1295"/>
      <c r="BC15" s="1295"/>
      <c r="BD15" s="1295"/>
      <c r="BE15" s="1295"/>
      <c r="BF15" s="1295"/>
      <c r="BG15" s="1295"/>
      <c r="BH15" s="1295"/>
      <c r="BI15" s="1295"/>
      <c r="BJ15" s="1295"/>
      <c r="BK15" s="1295"/>
      <c r="BL15" s="1295"/>
      <c r="BM15" s="1295"/>
      <c r="BN15" s="1295"/>
      <c r="BO15" s="1295"/>
      <c r="BP15" s="1295"/>
    </row>
    <row r="16" spans="2:68" ht="6.75" customHeight="1">
      <c r="B16" s="376"/>
      <c r="C16" s="377"/>
      <c r="D16" s="377"/>
      <c r="E16" s="377"/>
      <c r="F16" s="377"/>
      <c r="G16" s="377"/>
      <c r="H16" s="377"/>
      <c r="I16" s="377"/>
      <c r="J16" s="377"/>
      <c r="K16" s="377"/>
      <c r="L16" s="377"/>
      <c r="M16" s="371"/>
      <c r="N16" s="371"/>
      <c r="O16" s="371"/>
      <c r="Q16" s="371"/>
      <c r="R16" s="378"/>
      <c r="S16" s="378"/>
      <c r="T16" s="378"/>
      <c r="U16" s="378"/>
      <c r="V16" s="378"/>
      <c r="W16" s="378"/>
      <c r="Y16" s="372"/>
      <c r="Z16" s="372"/>
      <c r="BB16" s="371"/>
      <c r="BC16" s="371"/>
      <c r="BD16" s="371"/>
      <c r="BE16" s="378"/>
      <c r="BF16" s="378"/>
      <c r="BG16" s="378"/>
      <c r="BH16" s="378"/>
      <c r="BI16" s="378"/>
      <c r="BJ16" s="378"/>
      <c r="BK16" s="378"/>
      <c r="BL16" s="378"/>
      <c r="BP16" s="379"/>
    </row>
    <row r="17" spans="1:81" ht="12.75" customHeight="1">
      <c r="B17" s="360" t="s">
        <v>1517</v>
      </c>
      <c r="L17" s="362" t="s">
        <v>1518</v>
      </c>
      <c r="Q17" s="367"/>
      <c r="R17" s="362" t="s">
        <v>1519</v>
      </c>
      <c r="BA17" s="367"/>
      <c r="BB17" s="362" t="s">
        <v>1520</v>
      </c>
      <c r="BE17" s="380"/>
      <c r="BH17" s="380"/>
      <c r="BK17" s="355" t="s">
        <v>1521</v>
      </c>
      <c r="BP17" s="363"/>
    </row>
    <row r="18" spans="1:81" ht="3.75" customHeight="1">
      <c r="B18" s="360"/>
      <c r="L18" s="362"/>
      <c r="Q18" s="367"/>
      <c r="R18" s="362"/>
      <c r="BA18" s="367"/>
      <c r="BB18" s="362"/>
      <c r="BE18" s="380"/>
      <c r="BH18" s="380"/>
      <c r="BP18" s="363"/>
    </row>
    <row r="19" spans="1:81" ht="12.75" customHeight="1">
      <c r="B19" s="1300"/>
      <c r="C19" s="1300"/>
      <c r="D19" s="1300"/>
      <c r="E19" s="1300"/>
      <c r="F19" s="1300"/>
      <c r="G19" s="1300"/>
      <c r="H19" s="1300"/>
      <c r="I19" s="1300"/>
      <c r="J19" s="1300"/>
      <c r="K19" s="1300"/>
      <c r="L19" s="1297"/>
      <c r="M19" s="1297"/>
      <c r="N19" s="1297"/>
      <c r="O19" s="1297"/>
      <c r="P19" s="1297"/>
      <c r="Q19" s="375"/>
      <c r="R19" s="1294"/>
      <c r="S19" s="1294"/>
      <c r="T19" s="1294"/>
      <c r="U19" s="1294"/>
      <c r="V19" s="1294"/>
      <c r="W19" s="1294"/>
      <c r="X19" s="1294"/>
      <c r="Y19" s="1294"/>
      <c r="Z19" s="1294"/>
      <c r="AA19" s="1294"/>
      <c r="AB19" s="1294"/>
      <c r="AC19" s="1294"/>
      <c r="AD19" s="1294"/>
      <c r="AE19" s="1294"/>
      <c r="AF19" s="1294"/>
      <c r="AG19" s="1294"/>
      <c r="AH19" s="1294"/>
      <c r="AI19" s="1294"/>
      <c r="AJ19" s="1294"/>
      <c r="AK19" s="1294"/>
      <c r="AL19" s="1294"/>
      <c r="AM19" s="1294"/>
      <c r="AN19" s="1294"/>
      <c r="AO19" s="1294"/>
      <c r="AP19" s="1294"/>
      <c r="AQ19" s="1294"/>
      <c r="AR19" s="1294"/>
      <c r="AS19" s="1294"/>
      <c r="AT19" s="1294"/>
      <c r="AU19" s="1294"/>
      <c r="AV19" s="1294"/>
      <c r="AW19" s="1294"/>
      <c r="AX19" s="1294"/>
      <c r="AY19" s="1294"/>
      <c r="AZ19" s="1294"/>
      <c r="BA19" s="1294"/>
      <c r="BB19" s="381"/>
      <c r="BD19" s="382" t="s">
        <v>1227</v>
      </c>
      <c r="BE19" s="380" t="s">
        <v>1522</v>
      </c>
      <c r="BG19" s="382"/>
      <c r="BH19" s="380" t="s">
        <v>1523</v>
      </c>
      <c r="BJ19" s="383"/>
      <c r="BK19" s="1301"/>
      <c r="BL19" s="1301"/>
      <c r="BM19" s="1301"/>
      <c r="BN19" s="1301"/>
      <c r="BO19" s="1301"/>
      <c r="BP19" s="1301"/>
    </row>
    <row r="20" spans="1:81" ht="6.75" customHeight="1">
      <c r="B20" s="376"/>
      <c r="C20" s="377"/>
      <c r="D20" s="377"/>
      <c r="E20" s="377"/>
      <c r="F20" s="377"/>
      <c r="G20" s="377"/>
      <c r="H20" s="377"/>
      <c r="I20" s="377"/>
      <c r="J20" s="377"/>
      <c r="K20" s="377"/>
      <c r="L20" s="377"/>
      <c r="M20" s="371"/>
      <c r="N20" s="371"/>
      <c r="O20" s="371"/>
      <c r="P20" s="371"/>
      <c r="Q20" s="371"/>
      <c r="R20" s="371"/>
      <c r="S20" s="371"/>
      <c r="T20" s="371"/>
      <c r="U20" s="378"/>
      <c r="V20" s="378"/>
      <c r="W20" s="378"/>
      <c r="X20" s="378"/>
      <c r="Y20" s="378"/>
      <c r="Z20" s="378"/>
      <c r="AA20" s="378"/>
      <c r="AB20" s="378"/>
      <c r="AC20" s="378"/>
      <c r="AD20" s="378"/>
      <c r="AE20" s="378"/>
      <c r="AF20" s="378"/>
      <c r="AG20" s="378"/>
      <c r="AH20" s="378"/>
      <c r="AI20" s="378"/>
      <c r="AJ20" s="378"/>
      <c r="AK20" s="378"/>
      <c r="AL20" s="378"/>
      <c r="AM20" s="378"/>
      <c r="AN20" s="378"/>
      <c r="AO20" s="378"/>
      <c r="AP20" s="378"/>
      <c r="AQ20" s="378"/>
      <c r="AR20" s="378"/>
      <c r="AS20" s="378"/>
      <c r="AU20" s="372"/>
      <c r="AV20" s="372"/>
      <c r="AW20" s="372"/>
      <c r="AX20" s="372"/>
      <c r="AY20" s="371"/>
      <c r="AZ20" s="371"/>
      <c r="BA20" s="371"/>
      <c r="BB20" s="371"/>
      <c r="BC20" s="372"/>
      <c r="BD20" s="372"/>
      <c r="BE20" s="371"/>
      <c r="BF20" s="371"/>
      <c r="BG20" s="371"/>
      <c r="BH20" s="371"/>
      <c r="BI20" s="371"/>
      <c r="BJ20" s="371"/>
      <c r="BK20" s="371"/>
      <c r="BP20" s="363"/>
    </row>
    <row r="21" spans="1:81" ht="12.75" customHeight="1">
      <c r="B21" s="1302" t="s">
        <v>1524</v>
      </c>
      <c r="C21" s="1302"/>
      <c r="D21" s="1302"/>
      <c r="E21" s="1302"/>
      <c r="F21" s="1302"/>
      <c r="G21" s="1302"/>
      <c r="H21" s="1302"/>
      <c r="I21" s="1302"/>
      <c r="J21" s="1302"/>
      <c r="K21" s="1302"/>
      <c r="L21" s="1302"/>
      <c r="M21" s="1302"/>
      <c r="N21" s="1302"/>
      <c r="O21" s="1302"/>
      <c r="P21" s="1302"/>
      <c r="Q21" s="1302"/>
      <c r="R21" s="1303" t="s">
        <v>1525</v>
      </c>
      <c r="S21" s="1303"/>
      <c r="T21" s="1303"/>
      <c r="U21" s="1303"/>
      <c r="V21" s="1303"/>
      <c r="W21" s="1303"/>
      <c r="X21" s="1303"/>
      <c r="Y21" s="1303"/>
      <c r="Z21" s="1303"/>
      <c r="AA21" s="1303"/>
      <c r="AB21" s="1303"/>
      <c r="AC21" s="1303"/>
      <c r="AD21" s="1304" t="s">
        <v>1526</v>
      </c>
      <c r="AE21" s="1304"/>
      <c r="AF21" s="1304"/>
      <c r="AG21" s="1304"/>
      <c r="AH21" s="1304"/>
      <c r="AI21" s="1304"/>
      <c r="AJ21" s="1304"/>
      <c r="AK21" s="1305" t="s">
        <v>1527</v>
      </c>
      <c r="AL21" s="1305"/>
      <c r="AM21" s="1305"/>
      <c r="AN21" s="1305"/>
      <c r="AO21" s="1305"/>
      <c r="AP21" s="1305"/>
      <c r="AQ21" s="1305"/>
      <c r="AR21" s="1305"/>
      <c r="AS21" s="1305"/>
      <c r="AT21" s="1305"/>
      <c r="AU21" s="1305"/>
      <c r="AV21" s="1305"/>
      <c r="AW21" s="1305"/>
      <c r="AX21" s="1305"/>
      <c r="AY21" s="1305"/>
      <c r="AZ21" s="1304" t="s">
        <v>1528</v>
      </c>
      <c r="BA21" s="1304"/>
      <c r="BB21" s="1304"/>
      <c r="BC21" s="1304"/>
      <c r="BD21" s="1304"/>
      <c r="BE21" s="1304"/>
      <c r="BF21" s="1304"/>
      <c r="BG21" s="1304"/>
      <c r="BH21" s="1304"/>
      <c r="BI21" s="1304"/>
      <c r="BJ21" s="1304"/>
      <c r="BK21" s="1304"/>
      <c r="BL21" s="1304"/>
      <c r="BM21" s="1304"/>
      <c r="BN21" s="1306" t="s">
        <v>1529</v>
      </c>
      <c r="BO21" s="1306"/>
      <c r="BP21" s="1306"/>
    </row>
    <row r="22" spans="1:81" s="361" customFormat="1" ht="3.75" customHeight="1">
      <c r="A22" s="355"/>
      <c r="B22" s="384"/>
      <c r="C22" s="386"/>
      <c r="D22" s="386"/>
      <c r="E22" s="386"/>
      <c r="F22" s="386"/>
      <c r="G22" s="386"/>
      <c r="H22" s="386"/>
      <c r="I22" s="386"/>
      <c r="J22" s="386"/>
      <c r="K22" s="386"/>
      <c r="L22" s="386"/>
      <c r="M22" s="386"/>
      <c r="N22" s="386"/>
      <c r="O22" s="386"/>
      <c r="P22" s="386"/>
      <c r="Q22" s="386"/>
      <c r="R22" s="385"/>
      <c r="S22" s="388"/>
      <c r="T22" s="388"/>
      <c r="U22" s="388"/>
      <c r="V22" s="388"/>
      <c r="W22" s="388"/>
      <c r="X22" s="388"/>
      <c r="Y22" s="388"/>
      <c r="Z22" s="388"/>
      <c r="AA22" s="388"/>
      <c r="AB22" s="388"/>
      <c r="AC22" s="388"/>
      <c r="AD22" s="385"/>
      <c r="AE22" s="386"/>
      <c r="AF22" s="386"/>
      <c r="AG22" s="386"/>
      <c r="AH22" s="386"/>
      <c r="AI22" s="386"/>
      <c r="AJ22" s="389"/>
      <c r="AK22" s="386"/>
      <c r="AL22" s="386"/>
      <c r="AM22" s="386"/>
      <c r="AN22" s="386"/>
      <c r="AO22" s="386"/>
      <c r="AP22" s="386"/>
      <c r="AQ22" s="386"/>
      <c r="AR22" s="386"/>
      <c r="AS22" s="386"/>
      <c r="AT22" s="386"/>
      <c r="AU22" s="386"/>
      <c r="AV22" s="386"/>
      <c r="AW22" s="386"/>
      <c r="AX22" s="386"/>
      <c r="AY22" s="386"/>
      <c r="AZ22" s="385"/>
      <c r="BA22" s="386"/>
      <c r="BB22" s="386"/>
      <c r="BC22" s="386"/>
      <c r="BD22" s="386"/>
      <c r="BE22" s="386"/>
      <c r="BF22" s="386"/>
      <c r="BG22" s="386"/>
      <c r="BH22" s="386"/>
      <c r="BI22" s="386"/>
      <c r="BJ22" s="386"/>
      <c r="BK22" s="386"/>
      <c r="BL22" s="386"/>
      <c r="BM22" s="389"/>
      <c r="BN22" s="386"/>
      <c r="BO22" s="386"/>
      <c r="BP22" s="387"/>
      <c r="BQ22" s="355"/>
      <c r="BR22" s="355"/>
      <c r="BS22" s="355"/>
      <c r="BT22" s="355"/>
      <c r="BU22" s="355"/>
      <c r="BV22" s="355"/>
      <c r="BW22" s="355"/>
      <c r="BX22" s="355"/>
      <c r="BY22" s="355"/>
      <c r="BZ22" s="355"/>
      <c r="CA22" s="355"/>
      <c r="CB22" s="355"/>
      <c r="CC22" s="355"/>
    </row>
    <row r="23" spans="1:81" s="361" customFormat="1" ht="12.75" customHeight="1">
      <c r="A23" s="355"/>
      <c r="B23" s="390" t="s">
        <v>1530</v>
      </c>
      <c r="C23" s="391"/>
      <c r="D23" s="392"/>
      <c r="E23" s="391"/>
      <c r="F23" s="391"/>
      <c r="G23" s="391"/>
      <c r="H23" s="391"/>
      <c r="I23" s="391"/>
      <c r="J23" s="391"/>
      <c r="K23" s="391"/>
      <c r="L23" s="391"/>
      <c r="M23" s="391"/>
      <c r="N23" s="391"/>
      <c r="O23" s="391"/>
      <c r="P23" s="391"/>
      <c r="Q23" s="393"/>
      <c r="R23" s="1307" t="s">
        <v>1438</v>
      </c>
      <c r="S23" s="1307"/>
      <c r="T23" s="1307" t="s">
        <v>1531</v>
      </c>
      <c r="U23" s="1307"/>
      <c r="V23" s="1307"/>
      <c r="W23" s="392" t="s">
        <v>1532</v>
      </c>
      <c r="X23" s="386"/>
      <c r="Y23" s="389"/>
      <c r="Z23" s="1303" t="s">
        <v>1532</v>
      </c>
      <c r="AA23" s="1303"/>
      <c r="AB23" s="1303"/>
      <c r="AC23" s="1303"/>
      <c r="AD23" s="1304" t="s">
        <v>1531</v>
      </c>
      <c r="AE23" s="1304"/>
      <c r="AF23" s="1304"/>
      <c r="AG23" s="1304" t="s">
        <v>1533</v>
      </c>
      <c r="AH23" s="1304"/>
      <c r="AI23" s="1304"/>
      <c r="AJ23" s="1304"/>
      <c r="AK23" s="1308" t="s">
        <v>1534</v>
      </c>
      <c r="AL23" s="1308"/>
      <c r="AM23" s="1308"/>
      <c r="AN23" s="1308"/>
      <c r="AO23" s="1308"/>
      <c r="AP23" s="1304" t="s">
        <v>1535</v>
      </c>
      <c r="AQ23" s="1304"/>
      <c r="AR23" s="1304"/>
      <c r="AS23" s="1304"/>
      <c r="AT23" s="1304"/>
      <c r="AU23" s="1304" t="s">
        <v>1536</v>
      </c>
      <c r="AV23" s="1304"/>
      <c r="AW23" s="1304"/>
      <c r="AX23" s="1304"/>
      <c r="AY23" s="1304"/>
      <c r="AZ23" s="1309" t="s">
        <v>1534</v>
      </c>
      <c r="BA23" s="1309"/>
      <c r="BB23" s="1309"/>
      <c r="BC23" s="1309"/>
      <c r="BD23" s="1304" t="s">
        <v>1535</v>
      </c>
      <c r="BE23" s="1304"/>
      <c r="BF23" s="1304"/>
      <c r="BG23" s="1304"/>
      <c r="BH23" s="1304"/>
      <c r="BI23" s="1304" t="s">
        <v>1537</v>
      </c>
      <c r="BJ23" s="1304"/>
      <c r="BK23" s="1304"/>
      <c r="BL23" s="1304"/>
      <c r="BM23" s="1304"/>
      <c r="BN23" s="1306" t="s">
        <v>1538</v>
      </c>
      <c r="BO23" s="1306"/>
      <c r="BP23" s="1306"/>
      <c r="BQ23" s="355"/>
      <c r="BR23" s="355"/>
      <c r="BS23" s="355"/>
      <c r="BT23" s="355"/>
      <c r="BU23" s="355"/>
      <c r="BV23" s="355"/>
      <c r="BW23" s="355"/>
      <c r="BX23" s="355"/>
      <c r="BY23" s="355"/>
      <c r="BZ23" s="355"/>
      <c r="CA23" s="355"/>
      <c r="CB23" s="355"/>
      <c r="CC23" s="355"/>
    </row>
    <row r="24" spans="1:81" s="361" customFormat="1" ht="12.75" customHeight="1">
      <c r="A24" s="355"/>
      <c r="B24" s="394" t="s">
        <v>1539</v>
      </c>
      <c r="C24" s="395"/>
      <c r="D24" s="1304" t="s">
        <v>1540</v>
      </c>
      <c r="E24" s="1304"/>
      <c r="F24" s="1304"/>
      <c r="G24" s="1304"/>
      <c r="H24" s="1304"/>
      <c r="I24" s="1304"/>
      <c r="J24" s="1304"/>
      <c r="K24" s="1304"/>
      <c r="L24" s="1304"/>
      <c r="M24" s="1304"/>
      <c r="N24" s="1304"/>
      <c r="O24" s="1304"/>
      <c r="P24" s="1304"/>
      <c r="Q24" s="1304"/>
      <c r="R24" s="1307"/>
      <c r="S24" s="1307"/>
      <c r="T24" s="1304"/>
      <c r="U24" s="1304"/>
      <c r="V24" s="1304"/>
      <c r="W24" s="392" t="s">
        <v>1541</v>
      </c>
      <c r="X24" s="386"/>
      <c r="Y24" s="389"/>
      <c r="Z24" s="1304" t="s">
        <v>1542</v>
      </c>
      <c r="AA24" s="1304"/>
      <c r="AB24" s="1304"/>
      <c r="AC24" s="1304"/>
      <c r="AD24" s="1304" t="s">
        <v>1543</v>
      </c>
      <c r="AE24" s="1304"/>
      <c r="AF24" s="1304"/>
      <c r="AG24" s="1304" t="s">
        <v>1543</v>
      </c>
      <c r="AH24" s="1304"/>
      <c r="AI24" s="1304"/>
      <c r="AJ24" s="1304"/>
      <c r="AK24" s="1304" t="s">
        <v>1544</v>
      </c>
      <c r="AL24" s="1304"/>
      <c r="AM24" s="1304"/>
      <c r="AN24" s="1304"/>
      <c r="AO24" s="1304"/>
      <c r="AP24" s="1304" t="s">
        <v>1545</v>
      </c>
      <c r="AQ24" s="1304"/>
      <c r="AR24" s="1304"/>
      <c r="AS24" s="1304"/>
      <c r="AT24" s="1304"/>
      <c r="AU24" s="1304" t="s">
        <v>1546</v>
      </c>
      <c r="AV24" s="1304"/>
      <c r="AW24" s="1304"/>
      <c r="AX24" s="1304"/>
      <c r="AY24" s="1304"/>
      <c r="AZ24" s="1309" t="s">
        <v>1547</v>
      </c>
      <c r="BA24" s="1309"/>
      <c r="BB24" s="1309"/>
      <c r="BC24" s="1309"/>
      <c r="BD24" s="1304" t="s">
        <v>1548</v>
      </c>
      <c r="BE24" s="1304"/>
      <c r="BF24" s="1304"/>
      <c r="BG24" s="1304"/>
      <c r="BH24" s="1304"/>
      <c r="BI24" s="1304" t="s">
        <v>1548</v>
      </c>
      <c r="BJ24" s="1304"/>
      <c r="BK24" s="1304"/>
      <c r="BL24" s="1304"/>
      <c r="BM24" s="1304"/>
      <c r="BN24" s="1306"/>
      <c r="BO24" s="1306"/>
      <c r="BP24" s="1306"/>
      <c r="BQ24" s="355"/>
      <c r="BR24" s="355"/>
      <c r="BS24" s="355"/>
      <c r="BT24" s="355"/>
      <c r="BU24" s="355"/>
      <c r="BV24" s="355"/>
      <c r="BW24" s="355"/>
      <c r="BX24" s="355"/>
      <c r="BY24" s="355"/>
      <c r="BZ24" s="355"/>
      <c r="CA24" s="355"/>
      <c r="CB24" s="355"/>
      <c r="CC24" s="355"/>
    </row>
    <row r="25" spans="1:81" s="361" customFormat="1" ht="12.75" customHeight="1">
      <c r="A25" s="362"/>
      <c r="B25" s="1310" t="e">
        <f>'PLANILHA '!#REF!</f>
        <v>#REF!</v>
      </c>
      <c r="C25" s="1310"/>
      <c r="D25" s="1311" t="e">
        <f>'PLANILHA '!#REF!</f>
        <v>#REF!</v>
      </c>
      <c r="E25" s="1311"/>
      <c r="F25" s="1311"/>
      <c r="G25" s="1311"/>
      <c r="H25" s="1311"/>
      <c r="I25" s="1311"/>
      <c r="J25" s="1311"/>
      <c r="K25" s="1311"/>
      <c r="L25" s="1311"/>
      <c r="M25" s="1311"/>
      <c r="N25" s="1311"/>
      <c r="O25" s="1311"/>
      <c r="P25" s="1311"/>
      <c r="Q25" s="1311"/>
      <c r="R25" s="1312" t="e">
        <f>'PLANILHA '!#REF!</f>
        <v>#REF!</v>
      </c>
      <c r="S25" s="1312"/>
      <c r="T25" s="1313" t="e">
        <f>'PLANILHA '!#REF!</f>
        <v>#REF!</v>
      </c>
      <c r="U25" s="1313"/>
      <c r="V25" s="1313"/>
      <c r="W25" s="1313" t="e">
        <f>'PLANILHA '!#REF!</f>
        <v>#REF!</v>
      </c>
      <c r="X25" s="1313"/>
      <c r="Y25" s="1313"/>
      <c r="Z25" s="1314"/>
      <c r="AA25" s="1314"/>
      <c r="AB25" s="1314"/>
      <c r="AC25" s="1314"/>
      <c r="AD25" s="1315"/>
      <c r="AE25" s="1315"/>
      <c r="AF25" s="1315"/>
      <c r="AG25" s="1316"/>
      <c r="AH25" s="1316"/>
      <c r="AI25" s="1316"/>
      <c r="AJ25" s="1316"/>
      <c r="AK25" s="1315" t="e">
        <f>'PLANILHA '!#REF!</f>
        <v>#REF!</v>
      </c>
      <c r="AL25" s="1315"/>
      <c r="AM25" s="1315"/>
      <c r="AN25" s="1315"/>
      <c r="AO25" s="1315"/>
      <c r="AP25" s="1317" t="e">
        <f>'PLANILHA '!#REF!</f>
        <v>#REF!</v>
      </c>
      <c r="AQ25" s="1317"/>
      <c r="AR25" s="1317"/>
      <c r="AS25" s="1317"/>
      <c r="AT25" s="1317"/>
      <c r="AU25" s="1316"/>
      <c r="AV25" s="1316"/>
      <c r="AW25" s="1316"/>
      <c r="AX25" s="1316"/>
      <c r="AY25" s="1316"/>
      <c r="AZ25" s="1316"/>
      <c r="BA25" s="1316"/>
      <c r="BB25" s="1316"/>
      <c r="BC25" s="1316"/>
      <c r="BD25" s="1316"/>
      <c r="BE25" s="1316"/>
      <c r="BF25" s="1316"/>
      <c r="BG25" s="1316"/>
      <c r="BH25" s="1316"/>
      <c r="BI25" s="1316"/>
      <c r="BJ25" s="1316"/>
      <c r="BK25" s="1316"/>
      <c r="BL25" s="1316"/>
      <c r="BM25" s="1316"/>
      <c r="BN25" s="1318"/>
      <c r="BO25" s="1318"/>
      <c r="BP25" s="1318"/>
    </row>
    <row r="26" spans="1:81" s="361" customFormat="1" ht="12.75" customHeight="1">
      <c r="A26" s="355"/>
      <c r="B26" s="1310" t="e">
        <f>'PLANILHA '!#REF!</f>
        <v>#REF!</v>
      </c>
      <c r="C26" s="1310"/>
      <c r="D26" s="1311" t="e">
        <f>'PLANILHA '!#REF!</f>
        <v>#REF!</v>
      </c>
      <c r="E26" s="1311"/>
      <c r="F26" s="1311"/>
      <c r="G26" s="1311"/>
      <c r="H26" s="1311"/>
      <c r="I26" s="1311"/>
      <c r="J26" s="1311"/>
      <c r="K26" s="1311"/>
      <c r="L26" s="1311"/>
      <c r="M26" s="1311"/>
      <c r="N26" s="1311"/>
      <c r="O26" s="1311"/>
      <c r="P26" s="1311"/>
      <c r="Q26" s="1311"/>
      <c r="R26" s="1312" t="e">
        <f>'PLANILHA '!#REF!</f>
        <v>#REF!</v>
      </c>
      <c r="S26" s="1312"/>
      <c r="T26" s="1313" t="e">
        <f>'PLANILHA '!#REF!</f>
        <v>#REF!</v>
      </c>
      <c r="U26" s="1313"/>
      <c r="V26" s="1313"/>
      <c r="W26" s="1313" t="e">
        <f>'PLANILHA '!#REF!</f>
        <v>#REF!</v>
      </c>
      <c r="X26" s="1313"/>
      <c r="Y26" s="1313"/>
      <c r="Z26" s="1314"/>
      <c r="AA26" s="1314"/>
      <c r="AB26" s="1314"/>
      <c r="AC26" s="1314"/>
      <c r="AD26" s="1315"/>
      <c r="AE26" s="1315"/>
      <c r="AF26" s="1315"/>
      <c r="AG26" s="1319"/>
      <c r="AH26" s="1319"/>
      <c r="AI26" s="1319"/>
      <c r="AJ26" s="1319"/>
      <c r="AK26" s="1315" t="e">
        <f>'PLANILHA '!#REF!</f>
        <v>#REF!</v>
      </c>
      <c r="AL26" s="1315"/>
      <c r="AM26" s="1315"/>
      <c r="AN26" s="1315"/>
      <c r="AO26" s="1315"/>
      <c r="AP26" s="1317" t="e">
        <f>'PLANILHA '!#REF!</f>
        <v>#REF!</v>
      </c>
      <c r="AQ26" s="1317"/>
      <c r="AR26" s="1317"/>
      <c r="AS26" s="1317"/>
      <c r="AT26" s="1317"/>
      <c r="AU26" s="1316"/>
      <c r="AV26" s="1316"/>
      <c r="AW26" s="1316"/>
      <c r="AX26" s="1316"/>
      <c r="AY26" s="1316"/>
      <c r="AZ26" s="1316"/>
      <c r="BA26" s="1316"/>
      <c r="BB26" s="1316"/>
      <c r="BC26" s="1316"/>
      <c r="BD26" s="1316"/>
      <c r="BE26" s="1316"/>
      <c r="BF26" s="1316"/>
      <c r="BG26" s="1316"/>
      <c r="BH26" s="1316"/>
      <c r="BI26" s="1316"/>
      <c r="BJ26" s="1316"/>
      <c r="BK26" s="1316"/>
      <c r="BL26" s="1316"/>
      <c r="BM26" s="1316"/>
      <c r="BN26" s="1318"/>
      <c r="BO26" s="1318"/>
      <c r="BP26" s="1318"/>
    </row>
    <row r="27" spans="1:81" s="361" customFormat="1" ht="12.75" customHeight="1">
      <c r="A27" s="355"/>
      <c r="B27" s="1310" t="e">
        <f>'PLANILHA '!#REF!</f>
        <v>#REF!</v>
      </c>
      <c r="C27" s="1310"/>
      <c r="D27" s="1311"/>
      <c r="E27" s="1311"/>
      <c r="F27" s="1311"/>
      <c r="G27" s="1311"/>
      <c r="H27" s="1311"/>
      <c r="I27" s="1311"/>
      <c r="J27" s="1311"/>
      <c r="K27" s="1311"/>
      <c r="L27" s="1311"/>
      <c r="M27" s="1311"/>
      <c r="N27" s="1311"/>
      <c r="O27" s="1311"/>
      <c r="P27" s="1311"/>
      <c r="Q27" s="1311"/>
      <c r="R27" s="1312" t="e">
        <f>'PLANILHA '!#REF!</f>
        <v>#REF!</v>
      </c>
      <c r="S27" s="1312"/>
      <c r="T27" s="1313" t="e">
        <f>'PLANILHA '!#REF!</f>
        <v>#REF!</v>
      </c>
      <c r="U27" s="1313"/>
      <c r="V27" s="1313"/>
      <c r="W27" s="1313" t="e">
        <f>'PLANILHA '!#REF!</f>
        <v>#REF!</v>
      </c>
      <c r="X27" s="1313"/>
      <c r="Y27" s="1313"/>
      <c r="Z27" s="1320"/>
      <c r="AA27" s="1320"/>
      <c r="AB27" s="1320"/>
      <c r="AC27" s="1320"/>
      <c r="AD27" s="1315"/>
      <c r="AE27" s="1315"/>
      <c r="AF27" s="1315"/>
      <c r="AG27" s="1321" t="e">
        <f>ROUND(W27*AD27,2)</f>
        <v>#REF!</v>
      </c>
      <c r="AH27" s="1321"/>
      <c r="AI27" s="1321"/>
      <c r="AJ27" s="1321"/>
      <c r="AK27" s="1315" t="e">
        <f>'PLANILHA '!#REF!</f>
        <v>#REF!</v>
      </c>
      <c r="AL27" s="1315"/>
      <c r="AM27" s="1315"/>
      <c r="AN27" s="1315"/>
      <c r="AO27" s="1315"/>
      <c r="AP27" s="1317" t="e">
        <f>'PLANILHA '!#REF!</f>
        <v>#REF!</v>
      </c>
      <c r="AQ27" s="1317"/>
      <c r="AR27" s="1317"/>
      <c r="AS27" s="1317"/>
      <c r="AT27" s="1317"/>
      <c r="AU27" s="1322" t="e">
        <f>AK27+AP27</f>
        <v>#REF!</v>
      </c>
      <c r="AV27" s="1322"/>
      <c r="AW27" s="1322"/>
      <c r="AX27" s="1322"/>
      <c r="AY27" s="1322"/>
      <c r="AZ27" s="1323" t="e">
        <f t="shared" ref="AZ27:AZ57" si="0">$W27*AK27</f>
        <v>#REF!</v>
      </c>
      <c r="BA27" s="1323"/>
      <c r="BB27" s="1323"/>
      <c r="BC27" s="1323"/>
      <c r="BD27" s="1323" t="e">
        <f t="shared" ref="BD27:BD58" si="1">$W27*AP27</f>
        <v>#REF!</v>
      </c>
      <c r="BE27" s="1323"/>
      <c r="BF27" s="1323"/>
      <c r="BG27" s="1323"/>
      <c r="BH27" s="1323"/>
      <c r="BI27" s="1323" t="e">
        <f t="shared" ref="BI27:BI58" si="2">ROUND(AZ27+BD27,2)</f>
        <v>#REF!</v>
      </c>
      <c r="BJ27" s="1323"/>
      <c r="BK27" s="1323"/>
      <c r="BL27" s="1323"/>
      <c r="BM27" s="1323"/>
      <c r="BN27" s="1324" t="str">
        <f>IF(AD27&lt;&gt;"",AG27/Z27,"")</f>
        <v/>
      </c>
      <c r="BO27" s="1324"/>
      <c r="BP27" s="1324"/>
      <c r="BQ27" s="361" t="s">
        <v>1549</v>
      </c>
    </row>
    <row r="28" spans="1:81" s="361" customFormat="1" ht="12.75" customHeight="1">
      <c r="A28" s="355"/>
      <c r="B28" s="1310" t="e">
        <f>'PLANILHA '!#REF!</f>
        <v>#REF!</v>
      </c>
      <c r="C28" s="1310"/>
      <c r="D28" s="1311" t="e">
        <f>'PLANILHA '!#REF!</f>
        <v>#REF!</v>
      </c>
      <c r="E28" s="1311"/>
      <c r="F28" s="1311"/>
      <c r="G28" s="1311"/>
      <c r="H28" s="1311"/>
      <c r="I28" s="1311"/>
      <c r="J28" s="1311"/>
      <c r="K28" s="1311"/>
      <c r="L28" s="1311"/>
      <c r="M28" s="1311"/>
      <c r="N28" s="1311"/>
      <c r="O28" s="1311"/>
      <c r="P28" s="1311"/>
      <c r="Q28" s="1311"/>
      <c r="R28" s="1312" t="e">
        <f>'PLANILHA '!#REF!</f>
        <v>#REF!</v>
      </c>
      <c r="S28" s="1312"/>
      <c r="T28" s="1313" t="e">
        <f>'PLANILHA '!#REF!</f>
        <v>#REF!</v>
      </c>
      <c r="U28" s="1313"/>
      <c r="V28" s="1313"/>
      <c r="W28" s="1313" t="e">
        <f>'PLANILHA '!#REF!</f>
        <v>#REF!</v>
      </c>
      <c r="X28" s="1313"/>
      <c r="Y28" s="1313"/>
      <c r="Z28" s="1320"/>
      <c r="AA28" s="1320"/>
      <c r="AB28" s="1320"/>
      <c r="AC28" s="1320"/>
      <c r="AD28" s="1315"/>
      <c r="AE28" s="1315"/>
      <c r="AF28" s="1315"/>
      <c r="AG28" s="1321" t="e">
        <f>ROUND(W28*AD28,2)</f>
        <v>#REF!</v>
      </c>
      <c r="AH28" s="1321"/>
      <c r="AI28" s="1321"/>
      <c r="AJ28" s="1321"/>
      <c r="AK28" s="1315" t="e">
        <f>'PLANILHA '!#REF!</f>
        <v>#REF!</v>
      </c>
      <c r="AL28" s="1315"/>
      <c r="AM28" s="1315"/>
      <c r="AN28" s="1315"/>
      <c r="AO28" s="1315"/>
      <c r="AP28" s="1317" t="e">
        <f>'PLANILHA '!#REF!</f>
        <v>#REF!</v>
      </c>
      <c r="AQ28" s="1317"/>
      <c r="AR28" s="1317"/>
      <c r="AS28" s="1317"/>
      <c r="AT28" s="1317"/>
      <c r="AU28" s="1322" t="e">
        <f>AK28+AP28</f>
        <v>#REF!</v>
      </c>
      <c r="AV28" s="1322"/>
      <c r="AW28" s="1322"/>
      <c r="AX28" s="1322"/>
      <c r="AY28" s="1322"/>
      <c r="AZ28" s="1323" t="e">
        <f t="shared" si="0"/>
        <v>#REF!</v>
      </c>
      <c r="BA28" s="1323"/>
      <c r="BB28" s="1323"/>
      <c r="BC28" s="1323"/>
      <c r="BD28" s="1323" t="e">
        <f t="shared" si="1"/>
        <v>#REF!</v>
      </c>
      <c r="BE28" s="1323"/>
      <c r="BF28" s="1323"/>
      <c r="BG28" s="1323"/>
      <c r="BH28" s="1323"/>
      <c r="BI28" s="1323" t="e">
        <f t="shared" si="2"/>
        <v>#REF!</v>
      </c>
      <c r="BJ28" s="1323"/>
      <c r="BK28" s="1323"/>
      <c r="BL28" s="1323"/>
      <c r="BM28" s="1323"/>
      <c r="BN28" s="1324" t="str">
        <f>IF(AD28&lt;&gt;"",AG28/Z28,"")</f>
        <v/>
      </c>
      <c r="BO28" s="1324"/>
      <c r="BP28" s="1324"/>
    </row>
    <row r="29" spans="1:81" s="361" customFormat="1" ht="12.75" customHeight="1">
      <c r="A29" s="355"/>
      <c r="B29" s="1310" t="e">
        <f>'PLANILHA '!#REF!</f>
        <v>#REF!</v>
      </c>
      <c r="C29" s="1310"/>
      <c r="D29" s="1311" t="e">
        <f>'PLANILHA '!#REF!</f>
        <v>#REF!</v>
      </c>
      <c r="E29" s="1311"/>
      <c r="F29" s="1311"/>
      <c r="G29" s="1311"/>
      <c r="H29" s="1311"/>
      <c r="I29" s="1311"/>
      <c r="J29" s="1311"/>
      <c r="K29" s="1311"/>
      <c r="L29" s="1311"/>
      <c r="M29" s="1311"/>
      <c r="N29" s="1311"/>
      <c r="O29" s="1311"/>
      <c r="P29" s="1311"/>
      <c r="Q29" s="1311"/>
      <c r="R29" s="1312" t="e">
        <f>'PLANILHA '!#REF!</f>
        <v>#REF!</v>
      </c>
      <c r="S29" s="1312"/>
      <c r="T29" s="1313" t="e">
        <f>'PLANILHA '!#REF!</f>
        <v>#REF!</v>
      </c>
      <c r="U29" s="1313"/>
      <c r="V29" s="1313"/>
      <c r="W29" s="1313" t="e">
        <f>'PLANILHA '!#REF!</f>
        <v>#REF!</v>
      </c>
      <c r="X29" s="1313"/>
      <c r="Y29" s="1313"/>
      <c r="Z29" s="1320"/>
      <c r="AA29" s="1320"/>
      <c r="AB29" s="1320"/>
      <c r="AC29" s="1320"/>
      <c r="AD29" s="1315"/>
      <c r="AE29" s="1315"/>
      <c r="AF29" s="1315"/>
      <c r="AG29" s="1321" t="e">
        <f>ROUND(W29*AD29,2)</f>
        <v>#REF!</v>
      </c>
      <c r="AH29" s="1321"/>
      <c r="AI29" s="1321"/>
      <c r="AJ29" s="1321"/>
      <c r="AK29" s="1315" t="e">
        <f>'PLANILHA '!#REF!</f>
        <v>#REF!</v>
      </c>
      <c r="AL29" s="1315"/>
      <c r="AM29" s="1315"/>
      <c r="AN29" s="1315"/>
      <c r="AO29" s="1315"/>
      <c r="AP29" s="1317" t="e">
        <f>'PLANILHA '!#REF!</f>
        <v>#REF!</v>
      </c>
      <c r="AQ29" s="1317"/>
      <c r="AR29" s="1317"/>
      <c r="AS29" s="1317"/>
      <c r="AT29" s="1317"/>
      <c r="AU29" s="1322" t="e">
        <f>AK29+AP29</f>
        <v>#REF!</v>
      </c>
      <c r="AV29" s="1322"/>
      <c r="AW29" s="1322"/>
      <c r="AX29" s="1322"/>
      <c r="AY29" s="1322"/>
      <c r="AZ29" s="1323" t="e">
        <f t="shared" si="0"/>
        <v>#REF!</v>
      </c>
      <c r="BA29" s="1323"/>
      <c r="BB29" s="1323"/>
      <c r="BC29" s="1323"/>
      <c r="BD29" s="1323" t="e">
        <f t="shared" si="1"/>
        <v>#REF!</v>
      </c>
      <c r="BE29" s="1323"/>
      <c r="BF29" s="1323"/>
      <c r="BG29" s="1323"/>
      <c r="BH29" s="1323"/>
      <c r="BI29" s="1323" t="e">
        <f t="shared" si="2"/>
        <v>#REF!</v>
      </c>
      <c r="BJ29" s="1323"/>
      <c r="BK29" s="1323"/>
      <c r="BL29" s="1323"/>
      <c r="BM29" s="1323"/>
      <c r="BN29" s="1324" t="str">
        <f>IF(AD29&lt;&gt;"",AG29/Z29,"")</f>
        <v/>
      </c>
      <c r="BO29" s="1324"/>
      <c r="BP29" s="1324"/>
    </row>
    <row r="30" spans="1:81" s="361" customFormat="1" ht="12.75" customHeight="1">
      <c r="A30" s="355"/>
      <c r="B30" s="1310" t="e">
        <f>'PLANILHA '!#REF!</f>
        <v>#REF!</v>
      </c>
      <c r="C30" s="1310"/>
      <c r="D30" s="1311" t="e">
        <f>'PLANILHA '!#REF!</f>
        <v>#REF!</v>
      </c>
      <c r="E30" s="1311"/>
      <c r="F30" s="1311"/>
      <c r="G30" s="1311"/>
      <c r="H30" s="1311"/>
      <c r="I30" s="1311"/>
      <c r="J30" s="1311"/>
      <c r="K30" s="1311"/>
      <c r="L30" s="1311"/>
      <c r="M30" s="1311"/>
      <c r="N30" s="1311"/>
      <c r="O30" s="1311"/>
      <c r="P30" s="1311"/>
      <c r="Q30" s="1311"/>
      <c r="R30" s="1312" t="e">
        <f>'PLANILHA '!#REF!</f>
        <v>#REF!</v>
      </c>
      <c r="S30" s="1312"/>
      <c r="T30" s="1313" t="e">
        <f>'PLANILHA '!#REF!</f>
        <v>#REF!</v>
      </c>
      <c r="U30" s="1313"/>
      <c r="V30" s="1313"/>
      <c r="W30" s="1313" t="e">
        <f>'PLANILHA '!#REF!</f>
        <v>#REF!</v>
      </c>
      <c r="X30" s="1313"/>
      <c r="Y30" s="1313"/>
      <c r="Z30" s="1320"/>
      <c r="AA30" s="1320"/>
      <c r="AB30" s="1320"/>
      <c r="AC30" s="1320"/>
      <c r="AD30" s="1315"/>
      <c r="AE30" s="1315"/>
      <c r="AF30" s="1315"/>
      <c r="AG30" s="1321" t="e">
        <f>ROUND(W30*AD30,2)</f>
        <v>#REF!</v>
      </c>
      <c r="AH30" s="1321"/>
      <c r="AI30" s="1321"/>
      <c r="AJ30" s="1321"/>
      <c r="AK30" s="1315" t="e">
        <f>'PLANILHA '!#REF!</f>
        <v>#REF!</v>
      </c>
      <c r="AL30" s="1315"/>
      <c r="AM30" s="1315"/>
      <c r="AN30" s="1315"/>
      <c r="AO30" s="1315"/>
      <c r="AP30" s="1317" t="e">
        <f>'PLANILHA '!#REF!</f>
        <v>#REF!</v>
      </c>
      <c r="AQ30" s="1317"/>
      <c r="AR30" s="1317"/>
      <c r="AS30" s="1317"/>
      <c r="AT30" s="1317"/>
      <c r="AU30" s="1322" t="e">
        <f>AK30+AP30</f>
        <v>#REF!</v>
      </c>
      <c r="AV30" s="1322"/>
      <c r="AW30" s="1322"/>
      <c r="AX30" s="1322"/>
      <c r="AY30" s="1322"/>
      <c r="AZ30" s="1323" t="e">
        <f t="shared" si="0"/>
        <v>#REF!</v>
      </c>
      <c r="BA30" s="1323"/>
      <c r="BB30" s="1323"/>
      <c r="BC30" s="1323"/>
      <c r="BD30" s="1323" t="e">
        <f t="shared" si="1"/>
        <v>#REF!</v>
      </c>
      <c r="BE30" s="1323"/>
      <c r="BF30" s="1323"/>
      <c r="BG30" s="1323"/>
      <c r="BH30" s="1323"/>
      <c r="BI30" s="1323" t="e">
        <f t="shared" si="2"/>
        <v>#REF!</v>
      </c>
      <c r="BJ30" s="1323"/>
      <c r="BK30" s="1323"/>
      <c r="BL30" s="1323"/>
      <c r="BM30" s="1323"/>
      <c r="BN30" s="1324" t="str">
        <f>IF(AD30&lt;&gt;"",AG30/Z30,"")</f>
        <v/>
      </c>
      <c r="BO30" s="1324"/>
      <c r="BP30" s="1324"/>
    </row>
    <row r="31" spans="1:81" s="361" customFormat="1" ht="12.75" customHeight="1">
      <c r="A31" s="355"/>
      <c r="B31" s="1310" t="e">
        <f>'PLANILHA '!#REF!</f>
        <v>#REF!</v>
      </c>
      <c r="C31" s="1310"/>
      <c r="D31" s="1311" t="e">
        <f>'PLANILHA '!#REF!</f>
        <v>#REF!</v>
      </c>
      <c r="E31" s="1311"/>
      <c r="F31" s="1311"/>
      <c r="G31" s="1311"/>
      <c r="H31" s="1311"/>
      <c r="I31" s="1311"/>
      <c r="J31" s="1311"/>
      <c r="K31" s="1311"/>
      <c r="L31" s="1311"/>
      <c r="M31" s="1311"/>
      <c r="N31" s="1311"/>
      <c r="O31" s="1311"/>
      <c r="P31" s="1311"/>
      <c r="Q31" s="1311"/>
      <c r="R31" s="1312" t="e">
        <f>'PLANILHA '!#REF!</f>
        <v>#REF!</v>
      </c>
      <c r="S31" s="1312"/>
      <c r="T31" s="1313" t="e">
        <f>'PLANILHA '!#REF!</f>
        <v>#REF!</v>
      </c>
      <c r="U31" s="1313"/>
      <c r="V31" s="1313"/>
      <c r="W31" s="1313" t="e">
        <f>'PLANILHA '!#REF!</f>
        <v>#REF!</v>
      </c>
      <c r="X31" s="1313"/>
      <c r="Y31" s="1313"/>
      <c r="Z31" s="1320"/>
      <c r="AA31" s="1320"/>
      <c r="AB31" s="1320"/>
      <c r="AC31" s="1320"/>
      <c r="AD31" s="1315"/>
      <c r="AE31" s="1315"/>
      <c r="AF31" s="1315"/>
      <c r="AG31" s="1321"/>
      <c r="AH31" s="1321"/>
      <c r="AI31" s="1321"/>
      <c r="AJ31" s="1321"/>
      <c r="AK31" s="1315" t="e">
        <f>'PLANILHA '!#REF!</f>
        <v>#REF!</v>
      </c>
      <c r="AL31" s="1315"/>
      <c r="AM31" s="1315"/>
      <c r="AN31" s="1315"/>
      <c r="AO31" s="1315"/>
      <c r="AP31" s="1317" t="e">
        <f>'PLANILHA '!#REF!</f>
        <v>#REF!</v>
      </c>
      <c r="AQ31" s="1317"/>
      <c r="AR31" s="1317"/>
      <c r="AS31" s="1317"/>
      <c r="AT31" s="1317"/>
      <c r="AU31" s="1322"/>
      <c r="AV31" s="1322"/>
      <c r="AW31" s="1322"/>
      <c r="AX31" s="1322"/>
      <c r="AY31" s="1322"/>
      <c r="AZ31" s="1323" t="e">
        <f t="shared" si="0"/>
        <v>#REF!</v>
      </c>
      <c r="BA31" s="1323"/>
      <c r="BB31" s="1323"/>
      <c r="BC31" s="1323"/>
      <c r="BD31" s="1323" t="e">
        <f t="shared" si="1"/>
        <v>#REF!</v>
      </c>
      <c r="BE31" s="1323"/>
      <c r="BF31" s="1323"/>
      <c r="BG31" s="1323"/>
      <c r="BH31" s="1323"/>
      <c r="BI31" s="1323" t="e">
        <f t="shared" si="2"/>
        <v>#REF!</v>
      </c>
      <c r="BJ31" s="1323"/>
      <c r="BK31" s="1323"/>
      <c r="BL31" s="1323"/>
      <c r="BM31" s="1323"/>
      <c r="BN31" s="1324"/>
      <c r="BO31" s="1324"/>
      <c r="BP31" s="1324"/>
    </row>
    <row r="32" spans="1:81" s="361" customFormat="1" ht="12.75" customHeight="1">
      <c r="A32" s="355"/>
      <c r="B32" s="1310" t="e">
        <f>'PLANILHA '!#REF!</f>
        <v>#REF!</v>
      </c>
      <c r="C32" s="1310"/>
      <c r="D32" s="1311" t="e">
        <f>'PLANILHA '!#REF!</f>
        <v>#REF!</v>
      </c>
      <c r="E32" s="1311"/>
      <c r="F32" s="1311"/>
      <c r="G32" s="1311"/>
      <c r="H32" s="1311"/>
      <c r="I32" s="1311"/>
      <c r="J32" s="1311"/>
      <c r="K32" s="1311"/>
      <c r="L32" s="1311"/>
      <c r="M32" s="1311"/>
      <c r="N32" s="1311"/>
      <c r="O32" s="1311"/>
      <c r="P32" s="1311"/>
      <c r="Q32" s="1311"/>
      <c r="R32" s="1312" t="e">
        <f>'PLANILHA '!#REF!</f>
        <v>#REF!</v>
      </c>
      <c r="S32" s="1312"/>
      <c r="T32" s="1313" t="e">
        <f>'PLANILHA '!#REF!</f>
        <v>#REF!</v>
      </c>
      <c r="U32" s="1313"/>
      <c r="V32" s="1313"/>
      <c r="W32" s="1313" t="e">
        <f>'PLANILHA '!#REF!</f>
        <v>#REF!</v>
      </c>
      <c r="X32" s="1313"/>
      <c r="Y32" s="1313"/>
      <c r="Z32" s="1320"/>
      <c r="AA32" s="1320"/>
      <c r="AB32" s="1320"/>
      <c r="AC32" s="1320"/>
      <c r="AD32" s="1315"/>
      <c r="AE32" s="1315"/>
      <c r="AF32" s="1315"/>
      <c r="AG32" s="1321" t="e">
        <f>ROUND(W32*AD32,2)</f>
        <v>#REF!</v>
      </c>
      <c r="AH32" s="1321"/>
      <c r="AI32" s="1321"/>
      <c r="AJ32" s="1321"/>
      <c r="AK32" s="1315" t="e">
        <f>'PLANILHA '!#REF!</f>
        <v>#REF!</v>
      </c>
      <c r="AL32" s="1315"/>
      <c r="AM32" s="1315"/>
      <c r="AN32" s="1315"/>
      <c r="AO32" s="1315"/>
      <c r="AP32" s="1317" t="e">
        <f>'PLANILHA '!#REF!</f>
        <v>#REF!</v>
      </c>
      <c r="AQ32" s="1317"/>
      <c r="AR32" s="1317"/>
      <c r="AS32" s="1317"/>
      <c r="AT32" s="1317"/>
      <c r="AU32" s="1322" t="e">
        <f>AK32+AP32</f>
        <v>#REF!</v>
      </c>
      <c r="AV32" s="1322"/>
      <c r="AW32" s="1322"/>
      <c r="AX32" s="1322"/>
      <c r="AY32" s="1322"/>
      <c r="AZ32" s="1323" t="e">
        <f t="shared" si="0"/>
        <v>#REF!</v>
      </c>
      <c r="BA32" s="1323"/>
      <c r="BB32" s="1323"/>
      <c r="BC32" s="1323"/>
      <c r="BD32" s="1323" t="e">
        <f t="shared" si="1"/>
        <v>#REF!</v>
      </c>
      <c r="BE32" s="1323"/>
      <c r="BF32" s="1323"/>
      <c r="BG32" s="1323"/>
      <c r="BH32" s="1323"/>
      <c r="BI32" s="1323" t="e">
        <f t="shared" si="2"/>
        <v>#REF!</v>
      </c>
      <c r="BJ32" s="1323"/>
      <c r="BK32" s="1323"/>
      <c r="BL32" s="1323"/>
      <c r="BM32" s="1323"/>
      <c r="BN32" s="1324" t="str">
        <f>IF(AD32&lt;&gt;"",AG32/Z32,"")</f>
        <v/>
      </c>
      <c r="BO32" s="1324"/>
      <c r="BP32" s="1324"/>
    </row>
    <row r="33" spans="1:68" s="361" customFormat="1" ht="12.75" customHeight="1">
      <c r="A33" s="355"/>
      <c r="B33" s="1310" t="e">
        <f>'PLANILHA '!#REF!</f>
        <v>#REF!</v>
      </c>
      <c r="C33" s="1310"/>
      <c r="D33" s="1311" t="e">
        <f>'PLANILHA '!#REF!</f>
        <v>#REF!</v>
      </c>
      <c r="E33" s="1311"/>
      <c r="F33" s="1311"/>
      <c r="G33" s="1311"/>
      <c r="H33" s="1311"/>
      <c r="I33" s="1311"/>
      <c r="J33" s="1311"/>
      <c r="K33" s="1311"/>
      <c r="L33" s="1311"/>
      <c r="M33" s="1311"/>
      <c r="N33" s="1311"/>
      <c r="O33" s="1311"/>
      <c r="P33" s="1311"/>
      <c r="Q33" s="1311"/>
      <c r="R33" s="1312" t="e">
        <f>'PLANILHA '!#REF!</f>
        <v>#REF!</v>
      </c>
      <c r="S33" s="1312"/>
      <c r="T33" s="1313" t="e">
        <f>'PLANILHA '!#REF!</f>
        <v>#REF!</v>
      </c>
      <c r="U33" s="1313"/>
      <c r="V33" s="1313"/>
      <c r="W33" s="1313" t="e">
        <f>'PLANILHA '!#REF!</f>
        <v>#REF!</v>
      </c>
      <c r="X33" s="1313"/>
      <c r="Y33" s="1313"/>
      <c r="Z33" s="1320"/>
      <c r="AA33" s="1320"/>
      <c r="AB33" s="1320"/>
      <c r="AC33" s="1320"/>
      <c r="AD33" s="1315"/>
      <c r="AE33" s="1315"/>
      <c r="AF33" s="1315"/>
      <c r="AG33" s="1321" t="e">
        <f>ROUND(W33*AD33,2)</f>
        <v>#REF!</v>
      </c>
      <c r="AH33" s="1321"/>
      <c r="AI33" s="1321"/>
      <c r="AJ33" s="1321"/>
      <c r="AK33" s="1315" t="e">
        <f>'PLANILHA '!#REF!</f>
        <v>#REF!</v>
      </c>
      <c r="AL33" s="1315"/>
      <c r="AM33" s="1315"/>
      <c r="AN33" s="1315"/>
      <c r="AO33" s="1315"/>
      <c r="AP33" s="1317" t="e">
        <f>'PLANILHA '!#REF!</f>
        <v>#REF!</v>
      </c>
      <c r="AQ33" s="1317"/>
      <c r="AR33" s="1317"/>
      <c r="AS33" s="1317"/>
      <c r="AT33" s="1317"/>
      <c r="AU33" s="1322" t="e">
        <f>AK33+AP33</f>
        <v>#REF!</v>
      </c>
      <c r="AV33" s="1322"/>
      <c r="AW33" s="1322"/>
      <c r="AX33" s="1322"/>
      <c r="AY33" s="1322"/>
      <c r="AZ33" s="1323" t="e">
        <f t="shared" si="0"/>
        <v>#REF!</v>
      </c>
      <c r="BA33" s="1323"/>
      <c r="BB33" s="1323"/>
      <c r="BC33" s="1323"/>
      <c r="BD33" s="1323" t="e">
        <f t="shared" si="1"/>
        <v>#REF!</v>
      </c>
      <c r="BE33" s="1323"/>
      <c r="BF33" s="1323"/>
      <c r="BG33" s="1323"/>
      <c r="BH33" s="1323"/>
      <c r="BI33" s="1323" t="e">
        <f t="shared" si="2"/>
        <v>#REF!</v>
      </c>
      <c r="BJ33" s="1323"/>
      <c r="BK33" s="1323"/>
      <c r="BL33" s="1323"/>
      <c r="BM33" s="1323"/>
      <c r="BN33" s="1324" t="str">
        <f>IF(AD33&lt;&gt;"",AG33/Z33,"")</f>
        <v/>
      </c>
      <c r="BO33" s="1324"/>
      <c r="BP33" s="1324"/>
    </row>
    <row r="34" spans="1:68" s="361" customFormat="1" ht="12.75" customHeight="1">
      <c r="A34" s="355"/>
      <c r="B34" s="1310" t="e">
        <f>'PLANILHA '!#REF!</f>
        <v>#REF!</v>
      </c>
      <c r="C34" s="1310"/>
      <c r="D34" s="1311" t="e">
        <f>'PLANILHA '!#REF!</f>
        <v>#REF!</v>
      </c>
      <c r="E34" s="1311"/>
      <c r="F34" s="1311"/>
      <c r="G34" s="1311"/>
      <c r="H34" s="1311"/>
      <c r="I34" s="1311"/>
      <c r="J34" s="1311"/>
      <c r="K34" s="1311"/>
      <c r="L34" s="1311"/>
      <c r="M34" s="1311"/>
      <c r="N34" s="1311"/>
      <c r="O34" s="1311"/>
      <c r="P34" s="1311"/>
      <c r="Q34" s="1311"/>
      <c r="R34" s="1312" t="e">
        <f>'PLANILHA '!#REF!</f>
        <v>#REF!</v>
      </c>
      <c r="S34" s="1312"/>
      <c r="T34" s="1313" t="e">
        <f>'PLANILHA '!#REF!</f>
        <v>#REF!</v>
      </c>
      <c r="U34" s="1313"/>
      <c r="V34" s="1313"/>
      <c r="W34" s="1313" t="e">
        <f>'PLANILHA '!#REF!</f>
        <v>#REF!</v>
      </c>
      <c r="X34" s="1313"/>
      <c r="Y34" s="1313"/>
      <c r="Z34" s="1320"/>
      <c r="AA34" s="1320"/>
      <c r="AB34" s="1320"/>
      <c r="AC34" s="1320"/>
      <c r="AD34" s="1315"/>
      <c r="AE34" s="1315"/>
      <c r="AF34" s="1315"/>
      <c r="AG34" s="1321" t="e">
        <f>ROUND(W34*AD34,2)</f>
        <v>#REF!</v>
      </c>
      <c r="AH34" s="1321"/>
      <c r="AI34" s="1321"/>
      <c r="AJ34" s="1321"/>
      <c r="AK34" s="1315" t="e">
        <f>'PLANILHA '!#REF!</f>
        <v>#REF!</v>
      </c>
      <c r="AL34" s="1315"/>
      <c r="AM34" s="1315"/>
      <c r="AN34" s="1315"/>
      <c r="AO34" s="1315"/>
      <c r="AP34" s="1317" t="e">
        <f>'PLANILHA '!#REF!</f>
        <v>#REF!</v>
      </c>
      <c r="AQ34" s="1317"/>
      <c r="AR34" s="1317"/>
      <c r="AS34" s="1317"/>
      <c r="AT34" s="1317"/>
      <c r="AU34" s="1322" t="e">
        <f>AK34+AP34</f>
        <v>#REF!</v>
      </c>
      <c r="AV34" s="1322"/>
      <c r="AW34" s="1322"/>
      <c r="AX34" s="1322"/>
      <c r="AY34" s="1322"/>
      <c r="AZ34" s="1323" t="e">
        <f t="shared" si="0"/>
        <v>#REF!</v>
      </c>
      <c r="BA34" s="1323"/>
      <c r="BB34" s="1323"/>
      <c r="BC34" s="1323"/>
      <c r="BD34" s="1323" t="e">
        <f t="shared" si="1"/>
        <v>#REF!</v>
      </c>
      <c r="BE34" s="1323"/>
      <c r="BF34" s="1323"/>
      <c r="BG34" s="1323"/>
      <c r="BH34" s="1323"/>
      <c r="BI34" s="1323" t="e">
        <f t="shared" si="2"/>
        <v>#REF!</v>
      </c>
      <c r="BJ34" s="1323"/>
      <c r="BK34" s="1323"/>
      <c r="BL34" s="1323"/>
      <c r="BM34" s="1323"/>
      <c r="BN34" s="1324" t="str">
        <f>IF(AD34&lt;&gt;"",AG34/Z34,"")</f>
        <v/>
      </c>
      <c r="BO34" s="1324"/>
      <c r="BP34" s="1324"/>
    </row>
    <row r="35" spans="1:68" s="361" customFormat="1" ht="12.75" customHeight="1">
      <c r="A35" s="355"/>
      <c r="B35" s="1310" t="e">
        <f>'PLANILHA '!#REF!</f>
        <v>#REF!</v>
      </c>
      <c r="C35" s="1310"/>
      <c r="D35" s="1311" t="e">
        <f>'PLANILHA '!#REF!</f>
        <v>#REF!</v>
      </c>
      <c r="E35" s="1311"/>
      <c r="F35" s="1311"/>
      <c r="G35" s="1311"/>
      <c r="H35" s="1311"/>
      <c r="I35" s="1311"/>
      <c r="J35" s="1311"/>
      <c r="K35" s="1311"/>
      <c r="L35" s="1311"/>
      <c r="M35" s="1311"/>
      <c r="N35" s="1311"/>
      <c r="O35" s="1311"/>
      <c r="P35" s="1311"/>
      <c r="Q35" s="1311"/>
      <c r="R35" s="1312" t="e">
        <f>'PLANILHA '!#REF!</f>
        <v>#REF!</v>
      </c>
      <c r="S35" s="1312"/>
      <c r="T35" s="1313" t="e">
        <f>'PLANILHA '!#REF!</f>
        <v>#REF!</v>
      </c>
      <c r="U35" s="1313"/>
      <c r="V35" s="1313"/>
      <c r="W35" s="1313" t="e">
        <f>'PLANILHA '!#REF!</f>
        <v>#REF!</v>
      </c>
      <c r="X35" s="1313"/>
      <c r="Y35" s="1313"/>
      <c r="Z35" s="1320"/>
      <c r="AA35" s="1320"/>
      <c r="AB35" s="1320"/>
      <c r="AC35" s="1320"/>
      <c r="AD35" s="1315"/>
      <c r="AE35" s="1315"/>
      <c r="AF35" s="1315"/>
      <c r="AG35" s="1321" t="e">
        <f>ROUND(W35*AD35,2)</f>
        <v>#REF!</v>
      </c>
      <c r="AH35" s="1321"/>
      <c r="AI35" s="1321"/>
      <c r="AJ35" s="1321"/>
      <c r="AK35" s="1315" t="e">
        <f>'PLANILHA '!#REF!</f>
        <v>#REF!</v>
      </c>
      <c r="AL35" s="1315"/>
      <c r="AM35" s="1315"/>
      <c r="AN35" s="1315"/>
      <c r="AO35" s="1315"/>
      <c r="AP35" s="1317" t="e">
        <f>'PLANILHA '!#REF!</f>
        <v>#REF!</v>
      </c>
      <c r="AQ35" s="1317"/>
      <c r="AR35" s="1317"/>
      <c r="AS35" s="1317"/>
      <c r="AT35" s="1317"/>
      <c r="AU35" s="1322" t="e">
        <f>AK35+AP35</f>
        <v>#REF!</v>
      </c>
      <c r="AV35" s="1322"/>
      <c r="AW35" s="1322"/>
      <c r="AX35" s="1322"/>
      <c r="AY35" s="1322"/>
      <c r="AZ35" s="1323" t="e">
        <f t="shared" si="0"/>
        <v>#REF!</v>
      </c>
      <c r="BA35" s="1323"/>
      <c r="BB35" s="1323"/>
      <c r="BC35" s="1323"/>
      <c r="BD35" s="1323" t="e">
        <f t="shared" si="1"/>
        <v>#REF!</v>
      </c>
      <c r="BE35" s="1323"/>
      <c r="BF35" s="1323"/>
      <c r="BG35" s="1323"/>
      <c r="BH35" s="1323"/>
      <c r="BI35" s="1323" t="e">
        <f t="shared" si="2"/>
        <v>#REF!</v>
      </c>
      <c r="BJ35" s="1323"/>
      <c r="BK35" s="1323"/>
      <c r="BL35" s="1323"/>
      <c r="BM35" s="1323"/>
      <c r="BN35" s="1324" t="str">
        <f>IF(AD35&lt;&gt;"",AG35/Z35,"")</f>
        <v/>
      </c>
      <c r="BO35" s="1324"/>
      <c r="BP35" s="1324"/>
    </row>
    <row r="36" spans="1:68" s="361" customFormat="1" ht="12.75" customHeight="1">
      <c r="A36" s="355"/>
      <c r="B36" s="1310" t="e">
        <f>'PLANILHA '!#REF!</f>
        <v>#REF!</v>
      </c>
      <c r="C36" s="1310"/>
      <c r="D36" s="1311" t="e">
        <f>'PLANILHA '!#REF!</f>
        <v>#REF!</v>
      </c>
      <c r="E36" s="1311"/>
      <c r="F36" s="1311"/>
      <c r="G36" s="1311"/>
      <c r="H36" s="1311"/>
      <c r="I36" s="1311"/>
      <c r="J36" s="1311"/>
      <c r="K36" s="1311"/>
      <c r="L36" s="1311"/>
      <c r="M36" s="1311"/>
      <c r="N36" s="1311"/>
      <c r="O36" s="1311"/>
      <c r="P36" s="1311"/>
      <c r="Q36" s="1311"/>
      <c r="R36" s="1312" t="e">
        <f>'PLANILHA '!#REF!</f>
        <v>#REF!</v>
      </c>
      <c r="S36" s="1312"/>
      <c r="T36" s="1313" t="e">
        <f>'PLANILHA '!#REF!</f>
        <v>#REF!</v>
      </c>
      <c r="U36" s="1313"/>
      <c r="V36" s="1313"/>
      <c r="W36" s="1313" t="e">
        <f>'PLANILHA '!#REF!</f>
        <v>#REF!</v>
      </c>
      <c r="X36" s="1313"/>
      <c r="Y36" s="1313"/>
      <c r="Z36" s="1325"/>
      <c r="AA36" s="1325"/>
      <c r="AB36" s="1325"/>
      <c r="AC36" s="1325"/>
      <c r="AD36" s="1315"/>
      <c r="AE36" s="1315"/>
      <c r="AF36" s="1315"/>
      <c r="AG36" s="1321" t="e">
        <f>ROUND(W36*AD36,2)</f>
        <v>#REF!</v>
      </c>
      <c r="AH36" s="1321"/>
      <c r="AI36" s="1321"/>
      <c r="AJ36" s="1321"/>
      <c r="AK36" s="396"/>
      <c r="AL36" s="397"/>
      <c r="AM36" s="397"/>
      <c r="AN36" s="397"/>
      <c r="AO36" s="398"/>
      <c r="AP36" s="1317" t="e">
        <f>'PLANILHA '!#REF!</f>
        <v>#REF!</v>
      </c>
      <c r="AQ36" s="1317"/>
      <c r="AR36" s="1317"/>
      <c r="AS36" s="1317"/>
      <c r="AT36" s="1317"/>
      <c r="AU36" s="399"/>
      <c r="AV36" s="400"/>
      <c r="AW36" s="400"/>
      <c r="AX36" s="400"/>
      <c r="AY36" s="401"/>
      <c r="AZ36" s="1323" t="e">
        <f t="shared" si="0"/>
        <v>#REF!</v>
      </c>
      <c r="BA36" s="1323"/>
      <c r="BB36" s="1323"/>
      <c r="BC36" s="1323"/>
      <c r="BD36" s="1323" t="e">
        <f t="shared" si="1"/>
        <v>#REF!</v>
      </c>
      <c r="BE36" s="1323"/>
      <c r="BF36" s="1323"/>
      <c r="BG36" s="1323"/>
      <c r="BH36" s="1323"/>
      <c r="BI36" s="1323" t="e">
        <f t="shared" si="2"/>
        <v>#REF!</v>
      </c>
      <c r="BJ36" s="1323"/>
      <c r="BK36" s="1323"/>
      <c r="BL36" s="1323"/>
      <c r="BM36" s="1323"/>
      <c r="BN36" s="402"/>
      <c r="BO36" s="403"/>
      <c r="BP36" s="404"/>
    </row>
    <row r="37" spans="1:68" s="361" customFormat="1" ht="12.75" customHeight="1">
      <c r="A37" s="355"/>
      <c r="B37" s="1310" t="e">
        <f>'PLANILHA '!#REF!</f>
        <v>#REF!</v>
      </c>
      <c r="C37" s="1310"/>
      <c r="D37" s="1311"/>
      <c r="E37" s="1311"/>
      <c r="F37" s="1311"/>
      <c r="G37" s="1311"/>
      <c r="H37" s="1311"/>
      <c r="I37" s="1311"/>
      <c r="J37" s="1311"/>
      <c r="K37" s="1311"/>
      <c r="L37" s="1311"/>
      <c r="M37" s="1311"/>
      <c r="N37" s="1311"/>
      <c r="O37" s="1311"/>
      <c r="P37" s="1311"/>
      <c r="Q37" s="1311"/>
      <c r="R37" s="1312" t="e">
        <f>'PLANILHA '!#REF!</f>
        <v>#REF!</v>
      </c>
      <c r="S37" s="1312"/>
      <c r="T37" s="1313" t="e">
        <f>'PLANILHA '!#REF!</f>
        <v>#REF!</v>
      </c>
      <c r="U37" s="1313"/>
      <c r="V37" s="1313"/>
      <c r="W37" s="1313" t="e">
        <f>'PLANILHA '!#REF!</f>
        <v>#REF!</v>
      </c>
      <c r="X37" s="1313"/>
      <c r="Y37" s="1313"/>
      <c r="Z37" s="1320"/>
      <c r="AA37" s="1320"/>
      <c r="AB37" s="1320"/>
      <c r="AC37" s="1320"/>
      <c r="AD37" s="1315"/>
      <c r="AE37" s="1315"/>
      <c r="AF37" s="1315"/>
      <c r="AG37" s="1316"/>
      <c r="AH37" s="1316"/>
      <c r="AI37" s="1316"/>
      <c r="AJ37" s="1316"/>
      <c r="AK37" s="1315"/>
      <c r="AL37" s="1315"/>
      <c r="AM37" s="1315"/>
      <c r="AN37" s="1315"/>
      <c r="AO37" s="1315"/>
      <c r="AP37" s="1317" t="e">
        <f>'PLANILHA '!#REF!</f>
        <v>#REF!</v>
      </c>
      <c r="AQ37" s="1317"/>
      <c r="AR37" s="1317"/>
      <c r="AS37" s="1317"/>
      <c r="AT37" s="1317"/>
      <c r="AU37" s="1316"/>
      <c r="AV37" s="1316"/>
      <c r="AW37" s="1316"/>
      <c r="AX37" s="1316"/>
      <c r="AY37" s="1316"/>
      <c r="AZ37" s="1323" t="e">
        <f t="shared" si="0"/>
        <v>#REF!</v>
      </c>
      <c r="BA37" s="1323"/>
      <c r="BB37" s="1323"/>
      <c r="BC37" s="1323"/>
      <c r="BD37" s="1323" t="e">
        <f t="shared" si="1"/>
        <v>#REF!</v>
      </c>
      <c r="BE37" s="1323"/>
      <c r="BF37" s="1323"/>
      <c r="BG37" s="1323"/>
      <c r="BH37" s="1323"/>
      <c r="BI37" s="1323" t="e">
        <f t="shared" si="2"/>
        <v>#REF!</v>
      </c>
      <c r="BJ37" s="1323"/>
      <c r="BK37" s="1323"/>
      <c r="BL37" s="1323"/>
      <c r="BM37" s="1323"/>
      <c r="BN37" s="1318"/>
      <c r="BO37" s="1318"/>
      <c r="BP37" s="1318"/>
    </row>
    <row r="38" spans="1:68" s="361" customFormat="1" ht="12.75" customHeight="1">
      <c r="A38" s="355"/>
      <c r="B38" s="1310" t="e">
        <f>'PLANILHA '!#REF!</f>
        <v>#REF!</v>
      </c>
      <c r="C38" s="1310"/>
      <c r="D38" s="1311" t="e">
        <f>'PLANILHA '!#REF!</f>
        <v>#REF!</v>
      </c>
      <c r="E38" s="1311"/>
      <c r="F38" s="1311"/>
      <c r="G38" s="1311"/>
      <c r="H38" s="1311"/>
      <c r="I38" s="1311"/>
      <c r="J38" s="1311"/>
      <c r="K38" s="1311"/>
      <c r="L38" s="1311"/>
      <c r="M38" s="1311"/>
      <c r="N38" s="1311"/>
      <c r="O38" s="1311"/>
      <c r="P38" s="1311"/>
      <c r="Q38" s="1311"/>
      <c r="R38" s="1312" t="e">
        <f>'PLANILHA '!#REF!</f>
        <v>#REF!</v>
      </c>
      <c r="S38" s="1312"/>
      <c r="T38" s="1313" t="e">
        <f>'PLANILHA '!#REF!</f>
        <v>#REF!</v>
      </c>
      <c r="U38" s="1313"/>
      <c r="V38" s="1313"/>
      <c r="W38" s="1313" t="e">
        <f>'PLANILHA '!#REF!</f>
        <v>#REF!</v>
      </c>
      <c r="X38" s="1313"/>
      <c r="Y38" s="1313"/>
      <c r="Z38" s="1320"/>
      <c r="AA38" s="1320"/>
      <c r="AB38" s="1320"/>
      <c r="AC38" s="1320"/>
      <c r="AD38" s="1315"/>
      <c r="AE38" s="1315"/>
      <c r="AF38" s="1315"/>
      <c r="AG38" s="1321" t="e">
        <f>ROUND(W38*AD38,2)</f>
        <v>#REF!</v>
      </c>
      <c r="AH38" s="1321"/>
      <c r="AI38" s="1321"/>
      <c r="AJ38" s="1321"/>
      <c r="AK38" s="1326"/>
      <c r="AL38" s="1326"/>
      <c r="AM38" s="1326"/>
      <c r="AN38" s="1326"/>
      <c r="AO38" s="1326"/>
      <c r="AP38" s="1317" t="e">
        <f>'PLANILHA '!#REF!</f>
        <v>#REF!</v>
      </c>
      <c r="AQ38" s="1317"/>
      <c r="AR38" s="1317"/>
      <c r="AS38" s="1317"/>
      <c r="AT38" s="1317"/>
      <c r="AU38" s="1322" t="e">
        <f>AK38+AP38</f>
        <v>#REF!</v>
      </c>
      <c r="AV38" s="1322"/>
      <c r="AW38" s="1322"/>
      <c r="AX38" s="1322"/>
      <c r="AY38" s="1322"/>
      <c r="AZ38" s="1323" t="e">
        <f t="shared" si="0"/>
        <v>#REF!</v>
      </c>
      <c r="BA38" s="1323"/>
      <c r="BB38" s="1323"/>
      <c r="BC38" s="1323"/>
      <c r="BD38" s="1323" t="e">
        <f t="shared" si="1"/>
        <v>#REF!</v>
      </c>
      <c r="BE38" s="1323"/>
      <c r="BF38" s="1323"/>
      <c r="BG38" s="1323"/>
      <c r="BH38" s="1323"/>
      <c r="BI38" s="1323" t="e">
        <f t="shared" si="2"/>
        <v>#REF!</v>
      </c>
      <c r="BJ38" s="1323"/>
      <c r="BK38" s="1323"/>
      <c r="BL38" s="1323"/>
      <c r="BM38" s="1323"/>
      <c r="BN38" s="1324" t="str">
        <f>IF(AD38&lt;&gt;"",AG38/Z38,"")</f>
        <v/>
      </c>
      <c r="BO38" s="1324"/>
      <c r="BP38" s="1324"/>
    </row>
    <row r="39" spans="1:68" s="361" customFormat="1" ht="12.75" customHeight="1">
      <c r="A39" s="355"/>
      <c r="B39" s="1310" t="e">
        <f>'PLANILHA '!#REF!</f>
        <v>#REF!</v>
      </c>
      <c r="C39" s="1310"/>
      <c r="D39" s="1311" t="e">
        <f>'PLANILHA '!#REF!</f>
        <v>#REF!</v>
      </c>
      <c r="E39" s="1311"/>
      <c r="F39" s="1311"/>
      <c r="G39" s="1311"/>
      <c r="H39" s="1311"/>
      <c r="I39" s="1311"/>
      <c r="J39" s="1311"/>
      <c r="K39" s="1311"/>
      <c r="L39" s="1311"/>
      <c r="M39" s="1311"/>
      <c r="N39" s="1311"/>
      <c r="O39" s="1311"/>
      <c r="P39" s="1311"/>
      <c r="Q39" s="1311"/>
      <c r="R39" s="1312" t="e">
        <f>'PLANILHA '!#REF!</f>
        <v>#REF!</v>
      </c>
      <c r="S39" s="1312"/>
      <c r="T39" s="1313" t="e">
        <f>'PLANILHA '!#REF!</f>
        <v>#REF!</v>
      </c>
      <c r="U39" s="1313"/>
      <c r="V39" s="1313"/>
      <c r="W39" s="1313" t="e">
        <f>'PLANILHA '!#REF!</f>
        <v>#REF!</v>
      </c>
      <c r="X39" s="1313"/>
      <c r="Y39" s="1313"/>
      <c r="Z39" s="1320"/>
      <c r="AA39" s="1320"/>
      <c r="AB39" s="1320"/>
      <c r="AC39" s="1320"/>
      <c r="AD39" s="1315"/>
      <c r="AE39" s="1315"/>
      <c r="AF39" s="1315"/>
      <c r="AG39" s="1321" t="e">
        <f>ROUND(W39*AD39,2)</f>
        <v>#REF!</v>
      </c>
      <c r="AH39" s="1321"/>
      <c r="AI39" s="1321"/>
      <c r="AJ39" s="1321"/>
      <c r="AK39" s="1327"/>
      <c r="AL39" s="1327"/>
      <c r="AM39" s="1327"/>
      <c r="AN39" s="1327"/>
      <c r="AO39" s="1327"/>
      <c r="AP39" s="1317" t="e">
        <f>'PLANILHA '!#REF!</f>
        <v>#REF!</v>
      </c>
      <c r="AQ39" s="1317"/>
      <c r="AR39" s="1317"/>
      <c r="AS39" s="1317"/>
      <c r="AT39" s="1317"/>
      <c r="AU39" s="1322" t="e">
        <f>AK39+AP39</f>
        <v>#REF!</v>
      </c>
      <c r="AV39" s="1322"/>
      <c r="AW39" s="1322"/>
      <c r="AX39" s="1322"/>
      <c r="AY39" s="1322"/>
      <c r="AZ39" s="1323" t="e">
        <f t="shared" si="0"/>
        <v>#REF!</v>
      </c>
      <c r="BA39" s="1323"/>
      <c r="BB39" s="1323"/>
      <c r="BC39" s="1323"/>
      <c r="BD39" s="1323" t="e">
        <f t="shared" si="1"/>
        <v>#REF!</v>
      </c>
      <c r="BE39" s="1323"/>
      <c r="BF39" s="1323"/>
      <c r="BG39" s="1323"/>
      <c r="BH39" s="1323"/>
      <c r="BI39" s="1323" t="e">
        <f t="shared" si="2"/>
        <v>#REF!</v>
      </c>
      <c r="BJ39" s="1323"/>
      <c r="BK39" s="1323"/>
      <c r="BL39" s="1323"/>
      <c r="BM39" s="1323"/>
      <c r="BN39" s="1318"/>
      <c r="BO39" s="1318"/>
      <c r="BP39" s="1318"/>
    </row>
    <row r="40" spans="1:68" s="361" customFormat="1" ht="12.75" customHeight="1">
      <c r="A40" s="355"/>
      <c r="B40" s="1310" t="e">
        <f>'PLANILHA '!#REF!</f>
        <v>#REF!</v>
      </c>
      <c r="C40" s="1310"/>
      <c r="D40" s="1311" t="e">
        <f>'PLANILHA '!#REF!</f>
        <v>#REF!</v>
      </c>
      <c r="E40" s="1311"/>
      <c r="F40" s="1311"/>
      <c r="G40" s="1311"/>
      <c r="H40" s="1311"/>
      <c r="I40" s="1311"/>
      <c r="J40" s="1311"/>
      <c r="K40" s="1311"/>
      <c r="L40" s="1311"/>
      <c r="M40" s="1311"/>
      <c r="N40" s="1311"/>
      <c r="O40" s="1311"/>
      <c r="P40" s="1311"/>
      <c r="Q40" s="1311"/>
      <c r="R40" s="1312" t="e">
        <f>'PLANILHA '!#REF!</f>
        <v>#REF!</v>
      </c>
      <c r="S40" s="1312"/>
      <c r="T40" s="1313" t="e">
        <f>'PLANILHA '!#REF!</f>
        <v>#REF!</v>
      </c>
      <c r="U40" s="1313"/>
      <c r="V40" s="1313"/>
      <c r="W40" s="1313" t="e">
        <f>'PLANILHA '!#REF!</f>
        <v>#REF!</v>
      </c>
      <c r="X40" s="1313"/>
      <c r="Y40" s="1313"/>
      <c r="Z40" s="1320"/>
      <c r="AA40" s="1320"/>
      <c r="AB40" s="1320"/>
      <c r="AC40" s="1320"/>
      <c r="AD40" s="1315"/>
      <c r="AE40" s="1315"/>
      <c r="AF40" s="1315"/>
      <c r="AG40" s="1321" t="e">
        <f>ROUND(W40*AD40,2)</f>
        <v>#REF!</v>
      </c>
      <c r="AH40" s="1321"/>
      <c r="AI40" s="1321"/>
      <c r="AJ40" s="1321"/>
      <c r="AK40" s="1327"/>
      <c r="AL40" s="1327"/>
      <c r="AM40" s="1327"/>
      <c r="AN40" s="1327"/>
      <c r="AO40" s="1327"/>
      <c r="AP40" s="1317" t="e">
        <f>'PLANILHA '!#REF!</f>
        <v>#REF!</v>
      </c>
      <c r="AQ40" s="1317"/>
      <c r="AR40" s="1317"/>
      <c r="AS40" s="1317"/>
      <c r="AT40" s="1317"/>
      <c r="AU40" s="1322" t="e">
        <f>AK40+AP40</f>
        <v>#REF!</v>
      </c>
      <c r="AV40" s="1322"/>
      <c r="AW40" s="1322"/>
      <c r="AX40" s="1322"/>
      <c r="AY40" s="1322"/>
      <c r="AZ40" s="1323" t="e">
        <f t="shared" si="0"/>
        <v>#REF!</v>
      </c>
      <c r="BA40" s="1323"/>
      <c r="BB40" s="1323"/>
      <c r="BC40" s="1323"/>
      <c r="BD40" s="1323" t="e">
        <f t="shared" si="1"/>
        <v>#REF!</v>
      </c>
      <c r="BE40" s="1323"/>
      <c r="BF40" s="1323"/>
      <c r="BG40" s="1323"/>
      <c r="BH40" s="1323"/>
      <c r="BI40" s="1323" t="e">
        <f t="shared" si="2"/>
        <v>#REF!</v>
      </c>
      <c r="BJ40" s="1323"/>
      <c r="BK40" s="1323"/>
      <c r="BL40" s="1323"/>
      <c r="BM40" s="1323"/>
      <c r="BN40" s="1318" t="s">
        <v>1550</v>
      </c>
      <c r="BO40" s="1318"/>
      <c r="BP40" s="1318"/>
    </row>
    <row r="41" spans="1:68" s="361" customFormat="1" ht="12.75" customHeight="1">
      <c r="A41" s="355"/>
      <c r="B41" s="1310" t="e">
        <f>'PLANILHA '!#REF!</f>
        <v>#REF!</v>
      </c>
      <c r="C41" s="1310"/>
      <c r="D41" s="1311" t="e">
        <f>'PLANILHA '!#REF!</f>
        <v>#REF!</v>
      </c>
      <c r="E41" s="1311"/>
      <c r="F41" s="1311"/>
      <c r="G41" s="1311"/>
      <c r="H41" s="1311"/>
      <c r="I41" s="1311"/>
      <c r="J41" s="1311"/>
      <c r="K41" s="1311"/>
      <c r="L41" s="1311"/>
      <c r="M41" s="1311"/>
      <c r="N41" s="1311"/>
      <c r="O41" s="1311"/>
      <c r="P41" s="1311"/>
      <c r="Q41" s="1311"/>
      <c r="R41" s="1312" t="e">
        <f>'PLANILHA '!#REF!</f>
        <v>#REF!</v>
      </c>
      <c r="S41" s="1312"/>
      <c r="T41" s="1313" t="e">
        <f>'PLANILHA '!#REF!</f>
        <v>#REF!</v>
      </c>
      <c r="U41" s="1313"/>
      <c r="V41" s="1313"/>
      <c r="W41" s="1313" t="e">
        <f>'PLANILHA '!#REF!</f>
        <v>#REF!</v>
      </c>
      <c r="X41" s="1313"/>
      <c r="Y41" s="1313"/>
      <c r="Z41" s="1320"/>
      <c r="AA41" s="1320"/>
      <c r="AB41" s="1320"/>
      <c r="AC41" s="1320"/>
      <c r="AD41" s="1315"/>
      <c r="AE41" s="1315"/>
      <c r="AF41" s="1315"/>
      <c r="AG41" s="1321" t="e">
        <f>ROUND(W41*AD41,2)</f>
        <v>#REF!</v>
      </c>
      <c r="AH41" s="1321"/>
      <c r="AI41" s="1321"/>
      <c r="AJ41" s="1321"/>
      <c r="AK41" s="1327"/>
      <c r="AL41" s="1327"/>
      <c r="AM41" s="1327"/>
      <c r="AN41" s="1327"/>
      <c r="AO41" s="1327"/>
      <c r="AP41" s="1317" t="e">
        <f>'PLANILHA '!#REF!</f>
        <v>#REF!</v>
      </c>
      <c r="AQ41" s="1317"/>
      <c r="AR41" s="1317"/>
      <c r="AS41" s="1317"/>
      <c r="AT41" s="1317"/>
      <c r="AU41" s="1322" t="e">
        <f>AK41+AP41</f>
        <v>#REF!</v>
      </c>
      <c r="AV41" s="1322"/>
      <c r="AW41" s="1322"/>
      <c r="AX41" s="1322"/>
      <c r="AY41" s="1322"/>
      <c r="AZ41" s="1323" t="e">
        <f t="shared" si="0"/>
        <v>#REF!</v>
      </c>
      <c r="BA41" s="1323"/>
      <c r="BB41" s="1323"/>
      <c r="BC41" s="1323"/>
      <c r="BD41" s="1323" t="e">
        <f t="shared" si="1"/>
        <v>#REF!</v>
      </c>
      <c r="BE41" s="1323"/>
      <c r="BF41" s="1323"/>
      <c r="BG41" s="1323"/>
      <c r="BH41" s="1323"/>
      <c r="BI41" s="1323" t="e">
        <f t="shared" si="2"/>
        <v>#REF!</v>
      </c>
      <c r="BJ41" s="1323"/>
      <c r="BK41" s="1323"/>
      <c r="BL41" s="1323"/>
      <c r="BM41" s="1323"/>
      <c r="BN41" s="1318"/>
      <c r="BO41" s="1318"/>
      <c r="BP41" s="1318"/>
    </row>
    <row r="42" spans="1:68" s="361" customFormat="1" ht="12.75" customHeight="1">
      <c r="A42" s="355"/>
      <c r="B42" s="1310" t="e">
        <f>'PLANILHA '!#REF!</f>
        <v>#REF!</v>
      </c>
      <c r="C42" s="1310"/>
      <c r="D42" s="1311" t="e">
        <f>'PLANILHA '!#REF!</f>
        <v>#REF!</v>
      </c>
      <c r="E42" s="1311"/>
      <c r="F42" s="1311"/>
      <c r="G42" s="1311"/>
      <c r="H42" s="1311"/>
      <c r="I42" s="1311"/>
      <c r="J42" s="1311"/>
      <c r="K42" s="1311"/>
      <c r="L42" s="1311"/>
      <c r="M42" s="1311"/>
      <c r="N42" s="1311"/>
      <c r="O42" s="1311"/>
      <c r="P42" s="1311"/>
      <c r="Q42" s="1311"/>
      <c r="R42" s="1312" t="e">
        <f>'PLANILHA '!#REF!</f>
        <v>#REF!</v>
      </c>
      <c r="S42" s="1312"/>
      <c r="T42" s="1313" t="e">
        <f>'PLANILHA '!#REF!</f>
        <v>#REF!</v>
      </c>
      <c r="U42" s="1313"/>
      <c r="V42" s="1313"/>
      <c r="W42" s="1313" t="e">
        <f>'PLANILHA '!#REF!</f>
        <v>#REF!</v>
      </c>
      <c r="X42" s="1313"/>
      <c r="Y42" s="1313"/>
      <c r="Z42" s="1325"/>
      <c r="AA42" s="1325"/>
      <c r="AB42" s="1325"/>
      <c r="AC42" s="1325"/>
      <c r="AD42" s="1315"/>
      <c r="AE42" s="1315"/>
      <c r="AF42" s="1315"/>
      <c r="AG42" s="1316"/>
      <c r="AH42" s="1316"/>
      <c r="AI42" s="1316"/>
      <c r="AJ42" s="1316"/>
      <c r="AK42" s="1315"/>
      <c r="AL42" s="1315"/>
      <c r="AM42" s="1315"/>
      <c r="AN42" s="1315"/>
      <c r="AO42" s="1315"/>
      <c r="AP42" s="1317" t="e">
        <f>'PLANILHA '!#REF!</f>
        <v>#REF!</v>
      </c>
      <c r="AQ42" s="1317"/>
      <c r="AR42" s="1317"/>
      <c r="AS42" s="1317"/>
      <c r="AT42" s="1317"/>
      <c r="AU42" s="1322" t="e">
        <f>AK42+AP42</f>
        <v>#REF!</v>
      </c>
      <c r="AV42" s="1322"/>
      <c r="AW42" s="1322"/>
      <c r="AX42" s="1322"/>
      <c r="AY42" s="1322"/>
      <c r="AZ42" s="1323" t="e">
        <f t="shared" si="0"/>
        <v>#REF!</v>
      </c>
      <c r="BA42" s="1323"/>
      <c r="BB42" s="1323"/>
      <c r="BC42" s="1323"/>
      <c r="BD42" s="1323" t="e">
        <f t="shared" si="1"/>
        <v>#REF!</v>
      </c>
      <c r="BE42" s="1323"/>
      <c r="BF42" s="1323"/>
      <c r="BG42" s="1323"/>
      <c r="BH42" s="1323"/>
      <c r="BI42" s="1323" t="e">
        <f t="shared" si="2"/>
        <v>#REF!</v>
      </c>
      <c r="BJ42" s="1323"/>
      <c r="BK42" s="1323"/>
      <c r="BL42" s="1323"/>
      <c r="BM42" s="1323"/>
      <c r="BN42" s="1318"/>
      <c r="BO42" s="1318"/>
      <c r="BP42" s="1318"/>
    </row>
    <row r="43" spans="1:68" s="361" customFormat="1" ht="12.75" customHeight="1">
      <c r="A43" s="355"/>
      <c r="B43" s="1310" t="e">
        <f>'PLANILHA '!#REF!</f>
        <v>#REF!</v>
      </c>
      <c r="C43" s="1310"/>
      <c r="D43" s="1311"/>
      <c r="E43" s="1311"/>
      <c r="F43" s="1311"/>
      <c r="G43" s="1311"/>
      <c r="H43" s="1311"/>
      <c r="I43" s="1311"/>
      <c r="J43" s="1311"/>
      <c r="K43" s="1311"/>
      <c r="L43" s="1311"/>
      <c r="M43" s="1311"/>
      <c r="N43" s="1311"/>
      <c r="O43" s="1311"/>
      <c r="P43" s="1311"/>
      <c r="Q43" s="1311"/>
      <c r="R43" s="1312" t="e">
        <f>'PLANILHA '!#REF!</f>
        <v>#REF!</v>
      </c>
      <c r="S43" s="1312"/>
      <c r="T43" s="1313" t="e">
        <f>'PLANILHA '!#REF!</f>
        <v>#REF!</v>
      </c>
      <c r="U43" s="1313"/>
      <c r="V43" s="1313"/>
      <c r="W43" s="1313" t="e">
        <f>'PLANILHA '!#REF!</f>
        <v>#REF!</v>
      </c>
      <c r="X43" s="1313"/>
      <c r="Y43" s="1313"/>
      <c r="Z43" s="1320"/>
      <c r="AA43" s="1320"/>
      <c r="AB43" s="1320"/>
      <c r="AC43" s="1320"/>
      <c r="AD43" s="1315"/>
      <c r="AE43" s="1315"/>
      <c r="AF43" s="1315"/>
      <c r="AG43" s="1321"/>
      <c r="AH43" s="1321"/>
      <c r="AI43" s="1321"/>
      <c r="AJ43" s="1321"/>
      <c r="AK43" s="1328"/>
      <c r="AL43" s="1328"/>
      <c r="AM43" s="1328"/>
      <c r="AN43" s="1328"/>
      <c r="AO43" s="1328"/>
      <c r="AP43" s="1317" t="e">
        <f>'PLANILHA '!#REF!</f>
        <v>#REF!</v>
      </c>
      <c r="AQ43" s="1317"/>
      <c r="AR43" s="1317"/>
      <c r="AS43" s="1317"/>
      <c r="AT43" s="1317"/>
      <c r="AU43" s="1322"/>
      <c r="AV43" s="1322"/>
      <c r="AW43" s="1322"/>
      <c r="AX43" s="1322"/>
      <c r="AY43" s="1322"/>
      <c r="AZ43" s="1323" t="e">
        <f t="shared" si="0"/>
        <v>#REF!</v>
      </c>
      <c r="BA43" s="1323"/>
      <c r="BB43" s="1323"/>
      <c r="BC43" s="1323"/>
      <c r="BD43" s="1323" t="e">
        <f t="shared" si="1"/>
        <v>#REF!</v>
      </c>
      <c r="BE43" s="1323"/>
      <c r="BF43" s="1323"/>
      <c r="BG43" s="1323"/>
      <c r="BH43" s="1323"/>
      <c r="BI43" s="1323" t="e">
        <f t="shared" si="2"/>
        <v>#REF!</v>
      </c>
      <c r="BJ43" s="1323"/>
      <c r="BK43" s="1323"/>
      <c r="BL43" s="1323"/>
      <c r="BM43" s="1323"/>
      <c r="BN43" s="1318"/>
      <c r="BO43" s="1318"/>
      <c r="BP43" s="1318"/>
    </row>
    <row r="44" spans="1:68" s="361" customFormat="1" ht="12.75" customHeight="1">
      <c r="A44" s="355"/>
      <c r="B44" s="1310">
        <f>'PLANILHA '!A14</f>
        <v>1</v>
      </c>
      <c r="C44" s="1310"/>
      <c r="D44" s="1311" t="str">
        <f>'PLANILHA '!D14</f>
        <v>SERVIÇOS INICIAIS/ DEMOLIÇÕES</v>
      </c>
      <c r="E44" s="1311"/>
      <c r="F44" s="1311"/>
      <c r="G44" s="1311"/>
      <c r="H44" s="1311"/>
      <c r="I44" s="1311"/>
      <c r="J44" s="1311"/>
      <c r="K44" s="1311"/>
      <c r="L44" s="1311"/>
      <c r="M44" s="1311"/>
      <c r="N44" s="1311"/>
      <c r="O44" s="1311"/>
      <c r="P44" s="1311"/>
      <c r="Q44" s="1311"/>
      <c r="R44" s="1312">
        <f>'PLANILHA '!E14</f>
        <v>0</v>
      </c>
      <c r="S44" s="1312"/>
      <c r="T44" s="1313">
        <f>'PLANILHA '!G14</f>
        <v>0</v>
      </c>
      <c r="U44" s="1313"/>
      <c r="V44" s="1313"/>
      <c r="W44" s="1329">
        <f>'PLANILHA '!F14</f>
        <v>0</v>
      </c>
      <c r="X44" s="1329"/>
      <c r="Y44" s="1329"/>
      <c r="Z44" s="1320"/>
      <c r="AA44" s="1320"/>
      <c r="AB44" s="1320"/>
      <c r="AC44" s="1320"/>
      <c r="AD44" s="1315"/>
      <c r="AE44" s="1315"/>
      <c r="AF44" s="1315"/>
      <c r="AG44" s="1321">
        <f t="shared" ref="AG44:AG50" si="3">ROUND(W44*AD44,2)</f>
        <v>0</v>
      </c>
      <c r="AH44" s="1321"/>
      <c r="AI44" s="1321"/>
      <c r="AJ44" s="1321"/>
      <c r="AK44" s="1327"/>
      <c r="AL44" s="1327"/>
      <c r="AM44" s="1327"/>
      <c r="AN44" s="1327"/>
      <c r="AO44" s="1327"/>
      <c r="AP44" s="1317" t="e">
        <f>'PLANILHA '!#REF!</f>
        <v>#REF!</v>
      </c>
      <c r="AQ44" s="1317"/>
      <c r="AR44" s="1317"/>
      <c r="AS44" s="1317"/>
      <c r="AT44" s="1317"/>
      <c r="AU44" s="1322" t="e">
        <f>AK44+AP44</f>
        <v>#REF!</v>
      </c>
      <c r="AV44" s="1322"/>
      <c r="AW44" s="1322"/>
      <c r="AX44" s="1322"/>
      <c r="AY44" s="1322"/>
      <c r="AZ44" s="1323">
        <f t="shared" si="0"/>
        <v>0</v>
      </c>
      <c r="BA44" s="1323"/>
      <c r="BB44" s="1323"/>
      <c r="BC44" s="1323"/>
      <c r="BD44" s="1323" t="e">
        <f t="shared" si="1"/>
        <v>#REF!</v>
      </c>
      <c r="BE44" s="1323"/>
      <c r="BF44" s="1323"/>
      <c r="BG44" s="1323"/>
      <c r="BH44" s="1323"/>
      <c r="BI44" s="1323" t="e">
        <f t="shared" si="2"/>
        <v>#REF!</v>
      </c>
      <c r="BJ44" s="1323"/>
      <c r="BK44" s="1323"/>
      <c r="BL44" s="1323"/>
      <c r="BM44" s="1323"/>
      <c r="BN44" s="1318"/>
      <c r="BO44" s="1318"/>
      <c r="BP44" s="1318"/>
    </row>
    <row r="45" spans="1:68" s="361" customFormat="1" ht="12.75" customHeight="1">
      <c r="A45" s="355"/>
      <c r="B45" s="1310" t="e">
        <f>'PLANILHA '!#REF!</f>
        <v>#REF!</v>
      </c>
      <c r="C45" s="1310"/>
      <c r="D45" s="1311" t="e">
        <f>'PLANILHA '!#REF!</f>
        <v>#REF!</v>
      </c>
      <c r="E45" s="1311"/>
      <c r="F45" s="1311"/>
      <c r="G45" s="1311"/>
      <c r="H45" s="1311"/>
      <c r="I45" s="1311"/>
      <c r="J45" s="1311"/>
      <c r="K45" s="1311"/>
      <c r="L45" s="1311"/>
      <c r="M45" s="1311"/>
      <c r="N45" s="1311"/>
      <c r="O45" s="1311"/>
      <c r="P45" s="1311"/>
      <c r="Q45" s="1311"/>
      <c r="R45" s="1312" t="e">
        <f>'PLANILHA '!#REF!</f>
        <v>#REF!</v>
      </c>
      <c r="S45" s="1312"/>
      <c r="T45" s="1313" t="e">
        <f>'PLANILHA '!#REF!</f>
        <v>#REF!</v>
      </c>
      <c r="U45" s="1313"/>
      <c r="V45" s="1313"/>
      <c r="W45" s="1313" t="e">
        <f>'PLANILHA '!#REF!</f>
        <v>#REF!</v>
      </c>
      <c r="X45" s="1313"/>
      <c r="Y45" s="1313"/>
      <c r="Z45" s="1320"/>
      <c r="AA45" s="1320"/>
      <c r="AB45" s="1320"/>
      <c r="AC45" s="1320"/>
      <c r="AD45" s="1315"/>
      <c r="AE45" s="1315"/>
      <c r="AF45" s="1315"/>
      <c r="AG45" s="1321" t="e">
        <f t="shared" si="3"/>
        <v>#REF!</v>
      </c>
      <c r="AH45" s="1321"/>
      <c r="AI45" s="1321"/>
      <c r="AJ45" s="1321"/>
      <c r="AK45" s="1328"/>
      <c r="AL45" s="1328"/>
      <c r="AM45" s="1328"/>
      <c r="AN45" s="1328"/>
      <c r="AO45" s="1328"/>
      <c r="AP45" s="1317" t="e">
        <f>'PLANILHA '!#REF!</f>
        <v>#REF!</v>
      </c>
      <c r="AQ45" s="1317"/>
      <c r="AR45" s="1317"/>
      <c r="AS45" s="1317"/>
      <c r="AT45" s="1317"/>
      <c r="AU45" s="1322" t="e">
        <f>AK45+AP45</f>
        <v>#REF!</v>
      </c>
      <c r="AV45" s="1322"/>
      <c r="AW45" s="1322"/>
      <c r="AX45" s="1322"/>
      <c r="AY45" s="1322"/>
      <c r="AZ45" s="1323" t="e">
        <f t="shared" si="0"/>
        <v>#REF!</v>
      </c>
      <c r="BA45" s="1323"/>
      <c r="BB45" s="1323"/>
      <c r="BC45" s="1323"/>
      <c r="BD45" s="1323" t="e">
        <f t="shared" si="1"/>
        <v>#REF!</v>
      </c>
      <c r="BE45" s="1323"/>
      <c r="BF45" s="1323"/>
      <c r="BG45" s="1323"/>
      <c r="BH45" s="1323"/>
      <c r="BI45" s="1323" t="e">
        <f t="shared" si="2"/>
        <v>#REF!</v>
      </c>
      <c r="BJ45" s="1323"/>
      <c r="BK45" s="1323"/>
      <c r="BL45" s="1323"/>
      <c r="BM45" s="1323"/>
      <c r="BN45" s="1318"/>
      <c r="BO45" s="1318"/>
      <c r="BP45" s="1318"/>
    </row>
    <row r="46" spans="1:68" s="361" customFormat="1" ht="12.75" customHeight="1">
      <c r="A46" s="355"/>
      <c r="B46" s="1310" t="str">
        <f>'PLANILHA '!A15</f>
        <v>1.1</v>
      </c>
      <c r="C46" s="1310"/>
      <c r="D46" s="1311" t="str">
        <f>'PLANILHA '!D15</f>
        <v>Retirada de telhamento perfil e material qualquer, exceto barro</v>
      </c>
      <c r="E46" s="1311"/>
      <c r="F46" s="1311"/>
      <c r="G46" s="1311"/>
      <c r="H46" s="1311"/>
      <c r="I46" s="1311"/>
      <c r="J46" s="1311"/>
      <c r="K46" s="1311"/>
      <c r="L46" s="1311"/>
      <c r="M46" s="1311"/>
      <c r="N46" s="1311"/>
      <c r="O46" s="1311"/>
      <c r="P46" s="1311"/>
      <c r="Q46" s="1311"/>
      <c r="R46" s="1312" t="str">
        <f>'PLANILHA '!E15</f>
        <v>m2</v>
      </c>
      <c r="S46" s="1312"/>
      <c r="T46" s="1330">
        <f>'PLANILHA '!G15</f>
        <v>288</v>
      </c>
      <c r="U46" s="1330"/>
      <c r="V46" s="1330"/>
      <c r="W46" s="1329">
        <f>'PLANILHA '!F15</f>
        <v>5.46</v>
      </c>
      <c r="X46" s="1329"/>
      <c r="Y46" s="1329"/>
      <c r="Z46" s="1320"/>
      <c r="AA46" s="1320"/>
      <c r="AB46" s="1320"/>
      <c r="AC46" s="1320"/>
      <c r="AD46" s="1315"/>
      <c r="AE46" s="1315"/>
      <c r="AF46" s="1315"/>
      <c r="AG46" s="1321">
        <f t="shared" si="3"/>
        <v>0</v>
      </c>
      <c r="AH46" s="1321"/>
      <c r="AI46" s="1321"/>
      <c r="AJ46" s="1321"/>
      <c r="AK46" s="1327"/>
      <c r="AL46" s="1327"/>
      <c r="AM46" s="1327"/>
      <c r="AN46" s="1327"/>
      <c r="AO46" s="1327"/>
      <c r="AP46" s="1317" t="e">
        <f>'PLANILHA '!#REF!</f>
        <v>#REF!</v>
      </c>
      <c r="AQ46" s="1317"/>
      <c r="AR46" s="1317"/>
      <c r="AS46" s="1317"/>
      <c r="AT46" s="1317"/>
      <c r="AU46" s="1322" t="e">
        <f>AK46+AP46</f>
        <v>#REF!</v>
      </c>
      <c r="AV46" s="1322"/>
      <c r="AW46" s="1322"/>
      <c r="AX46" s="1322"/>
      <c r="AY46" s="1322"/>
      <c r="AZ46" s="1323">
        <f t="shared" si="0"/>
        <v>0</v>
      </c>
      <c r="BA46" s="1323"/>
      <c r="BB46" s="1323"/>
      <c r="BC46" s="1323"/>
      <c r="BD46" s="1323" t="e">
        <f t="shared" si="1"/>
        <v>#REF!</v>
      </c>
      <c r="BE46" s="1323"/>
      <c r="BF46" s="1323"/>
      <c r="BG46" s="1323"/>
      <c r="BH46" s="1323"/>
      <c r="BI46" s="1323" t="e">
        <f t="shared" si="2"/>
        <v>#REF!</v>
      </c>
      <c r="BJ46" s="1323"/>
      <c r="BK46" s="1323"/>
      <c r="BL46" s="1323"/>
      <c r="BM46" s="1323"/>
      <c r="BN46" s="1318"/>
      <c r="BO46" s="1318"/>
      <c r="BP46" s="1318"/>
    </row>
    <row r="47" spans="1:68" s="361" customFormat="1" ht="12.75" customHeight="1">
      <c r="A47" s="355"/>
      <c r="B47" s="1310" t="e">
        <f>'PLANILHA '!#REF!</f>
        <v>#REF!</v>
      </c>
      <c r="C47" s="1310"/>
      <c r="D47" s="1311" t="e">
        <f>'PLANILHA '!#REF!</f>
        <v>#REF!</v>
      </c>
      <c r="E47" s="1311"/>
      <c r="F47" s="1311"/>
      <c r="G47" s="1311"/>
      <c r="H47" s="1311"/>
      <c r="I47" s="1311"/>
      <c r="J47" s="1311"/>
      <c r="K47" s="1311"/>
      <c r="L47" s="1311"/>
      <c r="M47" s="1311"/>
      <c r="N47" s="1311"/>
      <c r="O47" s="1311"/>
      <c r="P47" s="1311"/>
      <c r="Q47" s="1311"/>
      <c r="R47" s="1312" t="e">
        <f>'PLANILHA '!#REF!</f>
        <v>#REF!</v>
      </c>
      <c r="S47" s="1312"/>
      <c r="T47" s="1313" t="e">
        <f>'PLANILHA '!#REF!</f>
        <v>#REF!</v>
      </c>
      <c r="U47" s="1313"/>
      <c r="V47" s="1313"/>
      <c r="W47" s="1313" t="e">
        <f>'PLANILHA '!#REF!</f>
        <v>#REF!</v>
      </c>
      <c r="X47" s="1313"/>
      <c r="Y47" s="1313"/>
      <c r="Z47" s="1320"/>
      <c r="AA47" s="1320"/>
      <c r="AB47" s="1320"/>
      <c r="AC47" s="1320"/>
      <c r="AD47" s="1315"/>
      <c r="AE47" s="1315"/>
      <c r="AF47" s="1315"/>
      <c r="AG47" s="1321" t="e">
        <f t="shared" si="3"/>
        <v>#REF!</v>
      </c>
      <c r="AH47" s="1321"/>
      <c r="AI47" s="1321"/>
      <c r="AJ47" s="1321"/>
      <c r="AK47" s="1327"/>
      <c r="AL47" s="1327"/>
      <c r="AM47" s="1327"/>
      <c r="AN47" s="1327"/>
      <c r="AO47" s="1327"/>
      <c r="AP47" s="1317" t="e">
        <f>'PLANILHA '!#REF!</f>
        <v>#REF!</v>
      </c>
      <c r="AQ47" s="1317"/>
      <c r="AR47" s="1317"/>
      <c r="AS47" s="1317"/>
      <c r="AT47" s="1317"/>
      <c r="AU47" s="1322" t="e">
        <f>AK47+AP47</f>
        <v>#REF!</v>
      </c>
      <c r="AV47" s="1322"/>
      <c r="AW47" s="1322"/>
      <c r="AX47" s="1322"/>
      <c r="AY47" s="1322"/>
      <c r="AZ47" s="1323" t="e">
        <f t="shared" si="0"/>
        <v>#REF!</v>
      </c>
      <c r="BA47" s="1323"/>
      <c r="BB47" s="1323"/>
      <c r="BC47" s="1323"/>
      <c r="BD47" s="1323" t="e">
        <f t="shared" si="1"/>
        <v>#REF!</v>
      </c>
      <c r="BE47" s="1323"/>
      <c r="BF47" s="1323"/>
      <c r="BG47" s="1323"/>
      <c r="BH47" s="1323"/>
      <c r="BI47" s="1323" t="e">
        <f t="shared" si="2"/>
        <v>#REF!</v>
      </c>
      <c r="BJ47" s="1323"/>
      <c r="BK47" s="1323"/>
      <c r="BL47" s="1323"/>
      <c r="BM47" s="1323"/>
      <c r="BN47" s="1318"/>
      <c r="BO47" s="1318"/>
      <c r="BP47" s="1318"/>
    </row>
    <row r="48" spans="1:68" s="361" customFormat="1" ht="12.75" customHeight="1">
      <c r="A48" s="355"/>
      <c r="B48" s="1310" t="e">
        <f>'PLANILHA '!#REF!</f>
        <v>#REF!</v>
      </c>
      <c r="C48" s="1310"/>
      <c r="D48" s="1311" t="e">
        <f>'PLANILHA '!#REF!</f>
        <v>#REF!</v>
      </c>
      <c r="E48" s="1311"/>
      <c r="F48" s="1311"/>
      <c r="G48" s="1311"/>
      <c r="H48" s="1311"/>
      <c r="I48" s="1311"/>
      <c r="J48" s="1311"/>
      <c r="K48" s="1311"/>
      <c r="L48" s="1311"/>
      <c r="M48" s="1311"/>
      <c r="N48" s="1311"/>
      <c r="O48" s="1311"/>
      <c r="P48" s="1311"/>
      <c r="Q48" s="1311"/>
      <c r="R48" s="1312" t="e">
        <f>'PLANILHA '!#REF!</f>
        <v>#REF!</v>
      </c>
      <c r="S48" s="1312"/>
      <c r="T48" s="1313" t="e">
        <f>'PLANILHA '!#REF!</f>
        <v>#REF!</v>
      </c>
      <c r="U48" s="1313"/>
      <c r="V48" s="1313"/>
      <c r="W48" s="1313" t="e">
        <f>'PLANILHA '!#REF!</f>
        <v>#REF!</v>
      </c>
      <c r="X48" s="1313"/>
      <c r="Y48" s="1313"/>
      <c r="Z48" s="1320"/>
      <c r="AA48" s="1320"/>
      <c r="AB48" s="1320"/>
      <c r="AC48" s="1320"/>
      <c r="AD48" s="1315"/>
      <c r="AE48" s="1315"/>
      <c r="AF48" s="1315"/>
      <c r="AG48" s="1321" t="e">
        <f t="shared" si="3"/>
        <v>#REF!</v>
      </c>
      <c r="AH48" s="1321"/>
      <c r="AI48" s="1321"/>
      <c r="AJ48" s="1321"/>
      <c r="AK48" s="1315"/>
      <c r="AL48" s="1315"/>
      <c r="AM48" s="1315"/>
      <c r="AN48" s="1315"/>
      <c r="AO48" s="1315"/>
      <c r="AP48" s="1317" t="e">
        <f>'PLANILHA '!#REF!</f>
        <v>#REF!</v>
      </c>
      <c r="AQ48" s="1317"/>
      <c r="AR48" s="1317"/>
      <c r="AS48" s="1317"/>
      <c r="AT48" s="1317"/>
      <c r="AU48" s="1322" t="e">
        <f>AK48+AP48</f>
        <v>#REF!</v>
      </c>
      <c r="AV48" s="1322"/>
      <c r="AW48" s="1322"/>
      <c r="AX48" s="1322"/>
      <c r="AY48" s="1322"/>
      <c r="AZ48" s="1323" t="e">
        <f t="shared" si="0"/>
        <v>#REF!</v>
      </c>
      <c r="BA48" s="1323"/>
      <c r="BB48" s="1323"/>
      <c r="BC48" s="1323"/>
      <c r="BD48" s="1323" t="e">
        <f t="shared" si="1"/>
        <v>#REF!</v>
      </c>
      <c r="BE48" s="1323"/>
      <c r="BF48" s="1323"/>
      <c r="BG48" s="1323"/>
      <c r="BH48" s="1323"/>
      <c r="BI48" s="1323" t="e">
        <f t="shared" si="2"/>
        <v>#REF!</v>
      </c>
      <c r="BJ48" s="1323"/>
      <c r="BK48" s="1323"/>
      <c r="BL48" s="1323"/>
      <c r="BM48" s="1323"/>
      <c r="BN48" s="1318"/>
      <c r="BO48" s="1318"/>
      <c r="BP48" s="1318"/>
    </row>
    <row r="49" spans="1:68" s="361" customFormat="1" ht="12.75" customHeight="1">
      <c r="A49" s="355"/>
      <c r="B49" s="1310" t="e">
        <f>'PLANILHA '!#REF!</f>
        <v>#REF!</v>
      </c>
      <c r="C49" s="1310"/>
      <c r="D49" s="1311" t="e">
        <f>'PLANILHA '!#REF!</f>
        <v>#REF!</v>
      </c>
      <c r="E49" s="1311"/>
      <c r="F49" s="1311"/>
      <c r="G49" s="1311"/>
      <c r="H49" s="1311"/>
      <c r="I49" s="1311"/>
      <c r="J49" s="1311"/>
      <c r="K49" s="1311"/>
      <c r="L49" s="1311"/>
      <c r="M49" s="1311"/>
      <c r="N49" s="1311"/>
      <c r="O49" s="1311"/>
      <c r="P49" s="1311"/>
      <c r="Q49" s="1311"/>
      <c r="R49" s="1312" t="e">
        <f>'PLANILHA '!#REF!</f>
        <v>#REF!</v>
      </c>
      <c r="S49" s="1312"/>
      <c r="T49" s="1313" t="e">
        <f>'PLANILHA '!#REF!</f>
        <v>#REF!</v>
      </c>
      <c r="U49" s="1313"/>
      <c r="V49" s="1313"/>
      <c r="W49" s="1313" t="e">
        <f>'PLANILHA '!#REF!</f>
        <v>#REF!</v>
      </c>
      <c r="X49" s="1313"/>
      <c r="Y49" s="1313"/>
      <c r="Z49" s="1320"/>
      <c r="AA49" s="1320"/>
      <c r="AB49" s="1320"/>
      <c r="AC49" s="1320"/>
      <c r="AD49" s="1315"/>
      <c r="AE49" s="1315"/>
      <c r="AF49" s="1315"/>
      <c r="AG49" s="1321" t="e">
        <f t="shared" si="3"/>
        <v>#REF!</v>
      </c>
      <c r="AH49" s="1321"/>
      <c r="AI49" s="1321"/>
      <c r="AJ49" s="1321"/>
      <c r="AK49" s="1315"/>
      <c r="AL49" s="1315"/>
      <c r="AM49" s="1315"/>
      <c r="AN49" s="1315"/>
      <c r="AO49" s="1315"/>
      <c r="AP49" s="1317" t="e">
        <f>'PLANILHA '!#REF!</f>
        <v>#REF!</v>
      </c>
      <c r="AQ49" s="1317"/>
      <c r="AR49" s="1317"/>
      <c r="AS49" s="1317"/>
      <c r="AT49" s="1317"/>
      <c r="AU49" s="1316"/>
      <c r="AV49" s="1316"/>
      <c r="AW49" s="1316"/>
      <c r="AX49" s="1316"/>
      <c r="AY49" s="1316"/>
      <c r="AZ49" s="1323" t="e">
        <f t="shared" si="0"/>
        <v>#REF!</v>
      </c>
      <c r="BA49" s="1323"/>
      <c r="BB49" s="1323"/>
      <c r="BC49" s="1323"/>
      <c r="BD49" s="1323" t="e">
        <f t="shared" si="1"/>
        <v>#REF!</v>
      </c>
      <c r="BE49" s="1323"/>
      <c r="BF49" s="1323"/>
      <c r="BG49" s="1323"/>
      <c r="BH49" s="1323"/>
      <c r="BI49" s="1323" t="e">
        <f t="shared" si="2"/>
        <v>#REF!</v>
      </c>
      <c r="BJ49" s="1323"/>
      <c r="BK49" s="1323"/>
      <c r="BL49" s="1323"/>
      <c r="BM49" s="1323"/>
      <c r="BN49" s="1318"/>
      <c r="BO49" s="1318"/>
      <c r="BP49" s="1318"/>
    </row>
    <row r="50" spans="1:68" s="361" customFormat="1" ht="12.75" customHeight="1">
      <c r="A50" s="355"/>
      <c r="B50" s="1310" t="e">
        <f>'PLANILHA '!#REF!</f>
        <v>#REF!</v>
      </c>
      <c r="C50" s="1310"/>
      <c r="D50" s="1311" t="e">
        <f>'PLANILHA '!#REF!</f>
        <v>#REF!</v>
      </c>
      <c r="E50" s="1311"/>
      <c r="F50" s="1311"/>
      <c r="G50" s="1311"/>
      <c r="H50" s="1311"/>
      <c r="I50" s="1311"/>
      <c r="J50" s="1311"/>
      <c r="K50" s="1311"/>
      <c r="L50" s="1311"/>
      <c r="M50" s="1311"/>
      <c r="N50" s="1311"/>
      <c r="O50" s="1311"/>
      <c r="P50" s="1311"/>
      <c r="Q50" s="1311"/>
      <c r="R50" s="1312" t="e">
        <f>'PLANILHA '!#REF!</f>
        <v>#REF!</v>
      </c>
      <c r="S50" s="1312"/>
      <c r="T50" s="1313" t="e">
        <f>'PLANILHA '!#REF!</f>
        <v>#REF!</v>
      </c>
      <c r="U50" s="1313"/>
      <c r="V50" s="1313"/>
      <c r="W50" s="1313" t="e">
        <f>'PLANILHA '!#REF!</f>
        <v>#REF!</v>
      </c>
      <c r="X50" s="1313"/>
      <c r="Y50" s="1313"/>
      <c r="Z50" s="1320"/>
      <c r="AA50" s="1320"/>
      <c r="AB50" s="1320"/>
      <c r="AC50" s="1320"/>
      <c r="AD50" s="1315"/>
      <c r="AE50" s="1315"/>
      <c r="AF50" s="1315"/>
      <c r="AG50" s="1321" t="e">
        <f t="shared" si="3"/>
        <v>#REF!</v>
      </c>
      <c r="AH50" s="1321"/>
      <c r="AI50" s="1321"/>
      <c r="AJ50" s="1321"/>
      <c r="AK50" s="1326"/>
      <c r="AL50" s="1326"/>
      <c r="AM50" s="1326"/>
      <c r="AN50" s="1326"/>
      <c r="AO50" s="1326"/>
      <c r="AP50" s="1317" t="e">
        <f>'PLANILHA '!#REF!</f>
        <v>#REF!</v>
      </c>
      <c r="AQ50" s="1317"/>
      <c r="AR50" s="1317"/>
      <c r="AS50" s="1317"/>
      <c r="AT50" s="1317"/>
      <c r="AU50" s="1322" t="e">
        <f>AK50+AP50</f>
        <v>#REF!</v>
      </c>
      <c r="AV50" s="1322"/>
      <c r="AW50" s="1322"/>
      <c r="AX50" s="1322"/>
      <c r="AY50" s="1322"/>
      <c r="AZ50" s="1323" t="e">
        <f t="shared" si="0"/>
        <v>#REF!</v>
      </c>
      <c r="BA50" s="1323"/>
      <c r="BB50" s="1323"/>
      <c r="BC50" s="1323"/>
      <c r="BD50" s="1323" t="e">
        <f t="shared" si="1"/>
        <v>#REF!</v>
      </c>
      <c r="BE50" s="1323"/>
      <c r="BF50" s="1323"/>
      <c r="BG50" s="1323"/>
      <c r="BH50" s="1323"/>
      <c r="BI50" s="1323" t="e">
        <f t="shared" si="2"/>
        <v>#REF!</v>
      </c>
      <c r="BJ50" s="1323"/>
      <c r="BK50" s="1323"/>
      <c r="BL50" s="1323"/>
      <c r="BM50" s="1323"/>
      <c r="BN50" s="1324" t="str">
        <f>IF(AD50&lt;&gt;"",AG50/Z50,"")</f>
        <v/>
      </c>
      <c r="BO50" s="1324"/>
      <c r="BP50" s="1324"/>
    </row>
    <row r="51" spans="1:68" s="361" customFormat="1" ht="12.75" customHeight="1">
      <c r="A51" s="355"/>
      <c r="B51" s="1310">
        <f>'PLANILHA '!A22</f>
        <v>0</v>
      </c>
      <c r="C51" s="1310"/>
      <c r="D51" s="1311"/>
      <c r="E51" s="1311"/>
      <c r="F51" s="1311"/>
      <c r="G51" s="1311"/>
      <c r="H51" s="1311"/>
      <c r="I51" s="1311"/>
      <c r="J51" s="1311"/>
      <c r="K51" s="1311"/>
      <c r="L51" s="1311"/>
      <c r="M51" s="1311"/>
      <c r="N51" s="1311"/>
      <c r="O51" s="1311"/>
      <c r="P51" s="1311"/>
      <c r="Q51" s="1311"/>
      <c r="R51" s="1312">
        <f>'PLANILHA '!E22</f>
        <v>0</v>
      </c>
      <c r="S51" s="1312"/>
      <c r="T51" s="1313">
        <f>'PLANILHA '!G22</f>
        <v>0</v>
      </c>
      <c r="U51" s="1313"/>
      <c r="V51" s="1313"/>
      <c r="W51" s="1329">
        <f>'PLANILHA '!F22</f>
        <v>0</v>
      </c>
      <c r="X51" s="1329"/>
      <c r="Y51" s="1329"/>
      <c r="Z51" s="1320"/>
      <c r="AA51" s="1320"/>
      <c r="AB51" s="1320"/>
      <c r="AC51" s="1320"/>
      <c r="AD51" s="1315"/>
      <c r="AE51" s="1315"/>
      <c r="AF51" s="1315"/>
      <c r="AG51" s="1321" t="e">
        <f>ROUND(W50*AD50,2)</f>
        <v>#REF!</v>
      </c>
      <c r="AH51" s="1321"/>
      <c r="AI51" s="1321"/>
      <c r="AJ51" s="1321"/>
      <c r="AK51" s="1328"/>
      <c r="AL51" s="1328"/>
      <c r="AM51" s="1328"/>
      <c r="AN51" s="1328"/>
      <c r="AO51" s="1328"/>
      <c r="AP51" s="1317" t="e">
        <f>'PLANILHA '!#REF!</f>
        <v>#REF!</v>
      </c>
      <c r="AQ51" s="1317"/>
      <c r="AR51" s="1317"/>
      <c r="AS51" s="1317"/>
      <c r="AT51" s="1317"/>
      <c r="AU51" s="1322" t="e">
        <f>AK51+AP51</f>
        <v>#REF!</v>
      </c>
      <c r="AV51" s="1322"/>
      <c r="AW51" s="1322"/>
      <c r="AX51" s="1322"/>
      <c r="AY51" s="1322"/>
      <c r="AZ51" s="1323">
        <f t="shared" si="0"/>
        <v>0</v>
      </c>
      <c r="BA51" s="1323"/>
      <c r="BB51" s="1323"/>
      <c r="BC51" s="1323"/>
      <c r="BD51" s="1323" t="e">
        <f t="shared" si="1"/>
        <v>#REF!</v>
      </c>
      <c r="BE51" s="1323"/>
      <c r="BF51" s="1323"/>
      <c r="BG51" s="1323"/>
      <c r="BH51" s="1323"/>
      <c r="BI51" s="1323" t="e">
        <f t="shared" si="2"/>
        <v>#REF!</v>
      </c>
      <c r="BJ51" s="1323"/>
      <c r="BK51" s="1323"/>
      <c r="BL51" s="1323"/>
      <c r="BM51" s="1323"/>
      <c r="BN51" s="1318"/>
      <c r="BO51" s="1318"/>
      <c r="BP51" s="1318"/>
    </row>
    <row r="52" spans="1:68" s="361" customFormat="1" ht="12.75" customHeight="1">
      <c r="A52" s="355"/>
      <c r="B52" s="1310" t="e">
        <f>'PLANILHA '!#REF!</f>
        <v>#REF!</v>
      </c>
      <c r="C52" s="1310"/>
      <c r="D52" s="1311" t="e">
        <f>'PLANILHA '!#REF!</f>
        <v>#REF!</v>
      </c>
      <c r="E52" s="1311"/>
      <c r="F52" s="1311"/>
      <c r="G52" s="1311"/>
      <c r="H52" s="1311"/>
      <c r="I52" s="1311"/>
      <c r="J52" s="1311"/>
      <c r="K52" s="1311"/>
      <c r="L52" s="1311"/>
      <c r="M52" s="1311"/>
      <c r="N52" s="1311"/>
      <c r="O52" s="1311"/>
      <c r="P52" s="1311"/>
      <c r="Q52" s="1311"/>
      <c r="R52" s="1312" t="e">
        <f>'PLANILHA '!#REF!</f>
        <v>#REF!</v>
      </c>
      <c r="S52" s="1312"/>
      <c r="T52" s="1313" t="e">
        <f>'PLANILHA '!#REF!</f>
        <v>#REF!</v>
      </c>
      <c r="U52" s="1313"/>
      <c r="V52" s="1313"/>
      <c r="W52" s="1313" t="e">
        <f>'PLANILHA '!#REF!</f>
        <v>#REF!</v>
      </c>
      <c r="X52" s="1313"/>
      <c r="Y52" s="1313"/>
      <c r="Z52" s="1325"/>
      <c r="AA52" s="1325"/>
      <c r="AB52" s="1325"/>
      <c r="AC52" s="1325"/>
      <c r="AD52" s="1315"/>
      <c r="AE52" s="1315"/>
      <c r="AF52" s="1315"/>
      <c r="AG52" s="1321"/>
      <c r="AH52" s="1321"/>
      <c r="AI52" s="1321"/>
      <c r="AJ52" s="1321"/>
      <c r="AK52" s="396"/>
      <c r="AL52" s="397"/>
      <c r="AM52" s="397"/>
      <c r="AN52" s="397"/>
      <c r="AO52" s="398"/>
      <c r="AP52" s="1317" t="e">
        <f>'PLANILHA '!#REF!</f>
        <v>#REF!</v>
      </c>
      <c r="AQ52" s="1317"/>
      <c r="AR52" s="1317"/>
      <c r="AS52" s="1317"/>
      <c r="AT52" s="1317"/>
      <c r="AU52" s="399"/>
      <c r="AV52" s="400"/>
      <c r="AW52" s="400"/>
      <c r="AX52" s="400"/>
      <c r="AY52" s="401"/>
      <c r="AZ52" s="1323" t="e">
        <f t="shared" si="0"/>
        <v>#REF!</v>
      </c>
      <c r="BA52" s="1323"/>
      <c r="BB52" s="1323"/>
      <c r="BC52" s="1323"/>
      <c r="BD52" s="1323" t="e">
        <f t="shared" si="1"/>
        <v>#REF!</v>
      </c>
      <c r="BE52" s="1323"/>
      <c r="BF52" s="1323"/>
      <c r="BG52" s="1323"/>
      <c r="BH52" s="1323"/>
      <c r="BI52" s="1323" t="e">
        <f t="shared" si="2"/>
        <v>#REF!</v>
      </c>
      <c r="BJ52" s="1323"/>
      <c r="BK52" s="1323"/>
      <c r="BL52" s="1323"/>
      <c r="BM52" s="1323"/>
      <c r="BN52" s="402"/>
      <c r="BO52" s="403"/>
      <c r="BP52" s="404"/>
    </row>
    <row r="53" spans="1:68" s="361" customFormat="1" ht="12.75" customHeight="1">
      <c r="A53" s="355"/>
      <c r="B53" s="1310" t="e">
        <f>'PLANILHA '!#REF!</f>
        <v>#REF!</v>
      </c>
      <c r="C53" s="1310"/>
      <c r="D53" s="1311" t="e">
        <f>'PLANILHA '!#REF!</f>
        <v>#REF!</v>
      </c>
      <c r="E53" s="1311"/>
      <c r="F53" s="1311"/>
      <c r="G53" s="1311"/>
      <c r="H53" s="1311"/>
      <c r="I53" s="1311"/>
      <c r="J53" s="1311"/>
      <c r="K53" s="1311"/>
      <c r="L53" s="1311"/>
      <c r="M53" s="1311"/>
      <c r="N53" s="1311"/>
      <c r="O53" s="1311"/>
      <c r="P53" s="1311"/>
      <c r="Q53" s="1311"/>
      <c r="R53" s="1312" t="e">
        <f>'PLANILHA '!#REF!</f>
        <v>#REF!</v>
      </c>
      <c r="S53" s="1312"/>
      <c r="T53" s="1313" t="e">
        <f>'PLANILHA '!#REF!</f>
        <v>#REF!</v>
      </c>
      <c r="U53" s="1313"/>
      <c r="V53" s="1313"/>
      <c r="W53" s="1313" t="e">
        <f>'PLANILHA '!#REF!</f>
        <v>#REF!</v>
      </c>
      <c r="X53" s="1313"/>
      <c r="Y53" s="1313"/>
      <c r="Z53" s="1320"/>
      <c r="AA53" s="1320"/>
      <c r="AB53" s="1320"/>
      <c r="AC53" s="1320"/>
      <c r="AD53" s="1315"/>
      <c r="AE53" s="1315"/>
      <c r="AF53" s="1315"/>
      <c r="AG53" s="1316"/>
      <c r="AH53" s="1316"/>
      <c r="AI53" s="1316"/>
      <c r="AJ53" s="1316"/>
      <c r="AK53" s="1315"/>
      <c r="AL53" s="1315"/>
      <c r="AM53" s="1315"/>
      <c r="AN53" s="1315"/>
      <c r="AO53" s="1315"/>
      <c r="AP53" s="1317" t="e">
        <f>'PLANILHA '!#REF!</f>
        <v>#REF!</v>
      </c>
      <c r="AQ53" s="1317"/>
      <c r="AR53" s="1317"/>
      <c r="AS53" s="1317"/>
      <c r="AT53" s="1317"/>
      <c r="AU53" s="1316"/>
      <c r="AV53" s="1316"/>
      <c r="AW53" s="1316"/>
      <c r="AX53" s="1316"/>
      <c r="AY53" s="1316"/>
      <c r="AZ53" s="1323" t="e">
        <f t="shared" si="0"/>
        <v>#REF!</v>
      </c>
      <c r="BA53" s="1323"/>
      <c r="BB53" s="1323"/>
      <c r="BC53" s="1323"/>
      <c r="BD53" s="1323" t="e">
        <f t="shared" si="1"/>
        <v>#REF!</v>
      </c>
      <c r="BE53" s="1323"/>
      <c r="BF53" s="1323"/>
      <c r="BG53" s="1323"/>
      <c r="BH53" s="1323"/>
      <c r="BI53" s="1323" t="e">
        <f t="shared" si="2"/>
        <v>#REF!</v>
      </c>
      <c r="BJ53" s="1323"/>
      <c r="BK53" s="1323"/>
      <c r="BL53" s="1323"/>
      <c r="BM53" s="1323"/>
      <c r="BN53" s="1318"/>
      <c r="BO53" s="1318"/>
      <c r="BP53" s="1318"/>
    </row>
    <row r="54" spans="1:68" s="361" customFormat="1" ht="12.75" customHeight="1">
      <c r="A54" s="355"/>
      <c r="B54" s="1310" t="e">
        <f>'PLANILHA '!#REF!</f>
        <v>#REF!</v>
      </c>
      <c r="C54" s="1310"/>
      <c r="D54" s="1311" t="e">
        <f>'PLANILHA '!#REF!</f>
        <v>#REF!</v>
      </c>
      <c r="E54" s="1311"/>
      <c r="F54" s="1311"/>
      <c r="G54" s="1311"/>
      <c r="H54" s="1311"/>
      <c r="I54" s="1311"/>
      <c r="J54" s="1311"/>
      <c r="K54" s="1311"/>
      <c r="L54" s="1311"/>
      <c r="M54" s="1311"/>
      <c r="N54" s="1311"/>
      <c r="O54" s="1311"/>
      <c r="P54" s="1311"/>
      <c r="Q54" s="1311"/>
      <c r="R54" s="1312" t="e">
        <f>'PLANILHA '!#REF!</f>
        <v>#REF!</v>
      </c>
      <c r="S54" s="1312"/>
      <c r="T54" s="1313" t="e">
        <f>'PLANILHA '!#REF!</f>
        <v>#REF!</v>
      </c>
      <c r="U54" s="1313"/>
      <c r="V54" s="1313"/>
      <c r="W54" s="1313" t="e">
        <f>'PLANILHA '!#REF!</f>
        <v>#REF!</v>
      </c>
      <c r="X54" s="1313"/>
      <c r="Y54" s="1313"/>
      <c r="Z54" s="1320"/>
      <c r="AA54" s="1320"/>
      <c r="AB54" s="1320"/>
      <c r="AC54" s="1320"/>
      <c r="AD54" s="1315"/>
      <c r="AE54" s="1315"/>
      <c r="AF54" s="1315"/>
      <c r="AG54" s="1321"/>
      <c r="AH54" s="1321"/>
      <c r="AI54" s="1321"/>
      <c r="AJ54" s="1321"/>
      <c r="AK54" s="1326"/>
      <c r="AL54" s="1326"/>
      <c r="AM54" s="1326"/>
      <c r="AN54" s="1326"/>
      <c r="AO54" s="1326"/>
      <c r="AP54" s="1317" t="e">
        <f>'PLANILHA '!#REF!</f>
        <v>#REF!</v>
      </c>
      <c r="AQ54" s="1317"/>
      <c r="AR54" s="1317"/>
      <c r="AS54" s="1317"/>
      <c r="AT54" s="1317"/>
      <c r="AU54" s="1322"/>
      <c r="AV54" s="1322"/>
      <c r="AW54" s="1322"/>
      <c r="AX54" s="1322"/>
      <c r="AY54" s="1322"/>
      <c r="AZ54" s="1323" t="e">
        <f t="shared" si="0"/>
        <v>#REF!</v>
      </c>
      <c r="BA54" s="1323"/>
      <c r="BB54" s="1323"/>
      <c r="BC54" s="1323"/>
      <c r="BD54" s="1323" t="e">
        <f t="shared" si="1"/>
        <v>#REF!</v>
      </c>
      <c r="BE54" s="1323"/>
      <c r="BF54" s="1323"/>
      <c r="BG54" s="1323"/>
      <c r="BH54" s="1323"/>
      <c r="BI54" s="1323" t="e">
        <f t="shared" si="2"/>
        <v>#REF!</v>
      </c>
      <c r="BJ54" s="1323"/>
      <c r="BK54" s="1323"/>
      <c r="BL54" s="1323"/>
      <c r="BM54" s="1323"/>
      <c r="BN54" s="1324"/>
      <c r="BO54" s="1324"/>
      <c r="BP54" s="1324"/>
    </row>
    <row r="55" spans="1:68" s="361" customFormat="1" ht="12.75" customHeight="1">
      <c r="A55" s="355"/>
      <c r="B55" s="1310" t="e">
        <f>'PLANILHA '!#REF!</f>
        <v>#REF!</v>
      </c>
      <c r="C55" s="1310"/>
      <c r="D55" s="1311" t="e">
        <f>'PLANILHA '!#REF!</f>
        <v>#REF!</v>
      </c>
      <c r="E55" s="1311"/>
      <c r="F55" s="1311"/>
      <c r="G55" s="1311"/>
      <c r="H55" s="1311"/>
      <c r="I55" s="1311"/>
      <c r="J55" s="1311"/>
      <c r="K55" s="1311"/>
      <c r="L55" s="1311"/>
      <c r="M55" s="1311"/>
      <c r="N55" s="1311"/>
      <c r="O55" s="1311"/>
      <c r="P55" s="1311"/>
      <c r="Q55" s="1311"/>
      <c r="R55" s="1312" t="e">
        <f>'PLANILHA '!#REF!</f>
        <v>#REF!</v>
      </c>
      <c r="S55" s="1312"/>
      <c r="T55" s="1313" t="e">
        <f>'PLANILHA '!#REF!</f>
        <v>#REF!</v>
      </c>
      <c r="U55" s="1313"/>
      <c r="V55" s="1313"/>
      <c r="W55" s="1313" t="e">
        <f>'PLANILHA '!#REF!</f>
        <v>#REF!</v>
      </c>
      <c r="X55" s="1313"/>
      <c r="Y55" s="1313"/>
      <c r="Z55" s="1320"/>
      <c r="AA55" s="1320"/>
      <c r="AB55" s="1320"/>
      <c r="AC55" s="1320"/>
      <c r="AD55" s="1315"/>
      <c r="AE55" s="1315"/>
      <c r="AF55" s="1315"/>
      <c r="AG55" s="1321" t="e">
        <f>ROUND(W55*AD55,2)</f>
        <v>#REF!</v>
      </c>
      <c r="AH55" s="1321"/>
      <c r="AI55" s="1321"/>
      <c r="AJ55" s="1321"/>
      <c r="AK55" s="1315"/>
      <c r="AL55" s="1315"/>
      <c r="AM55" s="1315"/>
      <c r="AN55" s="1315"/>
      <c r="AO55" s="1315"/>
      <c r="AP55" s="1317" t="e">
        <f>'PLANILHA '!#REF!</f>
        <v>#REF!</v>
      </c>
      <c r="AQ55" s="1317"/>
      <c r="AR55" s="1317"/>
      <c r="AS55" s="1317"/>
      <c r="AT55" s="1317"/>
      <c r="AU55" s="1316"/>
      <c r="AV55" s="1316"/>
      <c r="AW55" s="1316"/>
      <c r="AX55" s="1316"/>
      <c r="AY55" s="1316"/>
      <c r="AZ55" s="1323" t="e">
        <f t="shared" si="0"/>
        <v>#REF!</v>
      </c>
      <c r="BA55" s="1323"/>
      <c r="BB55" s="1323"/>
      <c r="BC55" s="1323"/>
      <c r="BD55" s="1323" t="e">
        <f t="shared" si="1"/>
        <v>#REF!</v>
      </c>
      <c r="BE55" s="1323"/>
      <c r="BF55" s="1323"/>
      <c r="BG55" s="1323"/>
      <c r="BH55" s="1323"/>
      <c r="BI55" s="1323" t="e">
        <f t="shared" si="2"/>
        <v>#REF!</v>
      </c>
      <c r="BJ55" s="1323"/>
      <c r="BK55" s="1323"/>
      <c r="BL55" s="1323"/>
      <c r="BM55" s="1323"/>
      <c r="BN55" s="1318"/>
      <c r="BO55" s="1318"/>
      <c r="BP55" s="1318"/>
    </row>
    <row r="56" spans="1:68" s="361" customFormat="1" ht="12.75" customHeight="1">
      <c r="A56" s="355"/>
      <c r="B56" s="1310" t="e">
        <f>'PLANILHA '!#REF!</f>
        <v>#REF!</v>
      </c>
      <c r="C56" s="1310"/>
      <c r="D56" s="1311" t="e">
        <f>'PLANILHA '!#REF!</f>
        <v>#REF!</v>
      </c>
      <c r="E56" s="1311"/>
      <c r="F56" s="1311"/>
      <c r="G56" s="1311"/>
      <c r="H56" s="1311"/>
      <c r="I56" s="1311"/>
      <c r="J56" s="1311"/>
      <c r="K56" s="1311"/>
      <c r="L56" s="1311"/>
      <c r="M56" s="1311"/>
      <c r="N56" s="1311"/>
      <c r="O56" s="1311"/>
      <c r="P56" s="1311"/>
      <c r="Q56" s="1311"/>
      <c r="R56" s="1312" t="e">
        <f>'PLANILHA '!#REF!</f>
        <v>#REF!</v>
      </c>
      <c r="S56" s="1312"/>
      <c r="T56" s="1313" t="e">
        <f>'PLANILHA '!#REF!</f>
        <v>#REF!</v>
      </c>
      <c r="U56" s="1313"/>
      <c r="V56" s="1313"/>
      <c r="W56" s="1313" t="e">
        <f>'PLANILHA '!#REF!</f>
        <v>#REF!</v>
      </c>
      <c r="X56" s="1313"/>
      <c r="Y56" s="1313"/>
      <c r="Z56" s="1320"/>
      <c r="AA56" s="1320"/>
      <c r="AB56" s="1320"/>
      <c r="AC56" s="1320"/>
      <c r="AD56" s="1315"/>
      <c r="AE56" s="1315"/>
      <c r="AF56" s="1315"/>
      <c r="AG56" s="1321"/>
      <c r="AH56" s="1321"/>
      <c r="AI56" s="1321"/>
      <c r="AJ56" s="1321"/>
      <c r="AK56" s="1327"/>
      <c r="AL56" s="1327"/>
      <c r="AM56" s="1327"/>
      <c r="AN56" s="1327"/>
      <c r="AO56" s="1327"/>
      <c r="AP56" s="1317" t="e">
        <f>'PLANILHA '!#REF!</f>
        <v>#REF!</v>
      </c>
      <c r="AQ56" s="1317"/>
      <c r="AR56" s="1317"/>
      <c r="AS56" s="1317"/>
      <c r="AT56" s="1317"/>
      <c r="AU56" s="1322"/>
      <c r="AV56" s="1322"/>
      <c r="AW56" s="1322"/>
      <c r="AX56" s="1322"/>
      <c r="AY56" s="1322"/>
      <c r="AZ56" s="1323" t="e">
        <f t="shared" si="0"/>
        <v>#REF!</v>
      </c>
      <c r="BA56" s="1323"/>
      <c r="BB56" s="1323"/>
      <c r="BC56" s="1323"/>
      <c r="BD56" s="1323" t="e">
        <f t="shared" si="1"/>
        <v>#REF!</v>
      </c>
      <c r="BE56" s="1323"/>
      <c r="BF56" s="1323"/>
      <c r="BG56" s="1323"/>
      <c r="BH56" s="1323"/>
      <c r="BI56" s="1323" t="e">
        <f t="shared" si="2"/>
        <v>#REF!</v>
      </c>
      <c r="BJ56" s="1323"/>
      <c r="BK56" s="1323"/>
      <c r="BL56" s="1323"/>
      <c r="BM56" s="1323"/>
      <c r="BN56" s="1324"/>
      <c r="BO56" s="1324"/>
      <c r="BP56" s="1324"/>
    </row>
    <row r="57" spans="1:68" s="361" customFormat="1" ht="12.75" customHeight="1">
      <c r="A57" s="355"/>
      <c r="B57" s="1310" t="e">
        <f>'PLANILHA '!#REF!</f>
        <v>#REF!</v>
      </c>
      <c r="C57" s="1310"/>
      <c r="D57" s="1311" t="e">
        <f>'PLANILHA '!#REF!</f>
        <v>#REF!</v>
      </c>
      <c r="E57" s="1311"/>
      <c r="F57" s="1311"/>
      <c r="G57" s="1311"/>
      <c r="H57" s="1311"/>
      <c r="I57" s="1311"/>
      <c r="J57" s="1311"/>
      <c r="K57" s="1311"/>
      <c r="L57" s="1311"/>
      <c r="M57" s="1311"/>
      <c r="N57" s="1311"/>
      <c r="O57" s="1311"/>
      <c r="P57" s="1311"/>
      <c r="Q57" s="1311"/>
      <c r="R57" s="1312" t="e">
        <f>'PLANILHA '!#REF!</f>
        <v>#REF!</v>
      </c>
      <c r="S57" s="1312"/>
      <c r="T57" s="1313" t="e">
        <f>'PLANILHA '!#REF!</f>
        <v>#REF!</v>
      </c>
      <c r="U57" s="1313"/>
      <c r="V57" s="1313"/>
      <c r="W57" s="1313" t="e">
        <f>'PLANILHA '!#REF!</f>
        <v>#REF!</v>
      </c>
      <c r="X57" s="1313"/>
      <c r="Y57" s="1313"/>
      <c r="Z57" s="1320"/>
      <c r="AA57" s="1320"/>
      <c r="AB57" s="1320"/>
      <c r="AC57" s="1320"/>
      <c r="AD57" s="1315"/>
      <c r="AE57" s="1315"/>
      <c r="AF57" s="1315"/>
      <c r="AG57" s="1321" t="e">
        <f>ROUND(W57*AD57,2)</f>
        <v>#REF!</v>
      </c>
      <c r="AH57" s="1321"/>
      <c r="AI57" s="1321"/>
      <c r="AJ57" s="1321"/>
      <c r="AK57" s="1315"/>
      <c r="AL57" s="1315"/>
      <c r="AM57" s="1315"/>
      <c r="AN57" s="1315"/>
      <c r="AO57" s="1315"/>
      <c r="AP57" s="1317" t="e">
        <f>'PLANILHA '!#REF!</f>
        <v>#REF!</v>
      </c>
      <c r="AQ57" s="1317"/>
      <c r="AR57" s="1317"/>
      <c r="AS57" s="1317"/>
      <c r="AT57" s="1317"/>
      <c r="AU57" s="1322" t="e">
        <f>AK57+AP57</f>
        <v>#REF!</v>
      </c>
      <c r="AV57" s="1322"/>
      <c r="AW57" s="1322"/>
      <c r="AX57" s="1322"/>
      <c r="AY57" s="1322"/>
      <c r="AZ57" s="1323" t="e">
        <f t="shared" si="0"/>
        <v>#REF!</v>
      </c>
      <c r="BA57" s="1323"/>
      <c r="BB57" s="1323"/>
      <c r="BC57" s="1323"/>
      <c r="BD57" s="1323" t="e">
        <f t="shared" si="1"/>
        <v>#REF!</v>
      </c>
      <c r="BE57" s="1323"/>
      <c r="BF57" s="1323"/>
      <c r="BG57" s="1323"/>
      <c r="BH57" s="1323"/>
      <c r="BI57" s="1323" t="e">
        <f t="shared" si="2"/>
        <v>#REF!</v>
      </c>
      <c r="BJ57" s="1323"/>
      <c r="BK57" s="1323"/>
      <c r="BL57" s="1323"/>
      <c r="BM57" s="1323"/>
      <c r="BN57" s="1318"/>
      <c r="BO57" s="1318"/>
      <c r="BP57" s="1318"/>
    </row>
    <row r="58" spans="1:68" s="361" customFormat="1" ht="12.75" customHeight="1">
      <c r="A58" s="355"/>
      <c r="B58" s="1310" t="e">
        <f>'PLANILHA '!#REF!</f>
        <v>#REF!</v>
      </c>
      <c r="C58" s="1310"/>
      <c r="D58" s="1311" t="e">
        <f>'PLANILHA '!#REF!</f>
        <v>#REF!</v>
      </c>
      <c r="E58" s="1311"/>
      <c r="F58" s="1311"/>
      <c r="G58" s="1311"/>
      <c r="H58" s="1311"/>
      <c r="I58" s="1311"/>
      <c r="J58" s="1311"/>
      <c r="K58" s="1311"/>
      <c r="L58" s="1311"/>
      <c r="M58" s="1311"/>
      <c r="N58" s="1311"/>
      <c r="O58" s="1311"/>
      <c r="P58" s="1311"/>
      <c r="Q58" s="1311"/>
      <c r="R58" s="1312" t="e">
        <f>'PLANILHA '!#REF!</f>
        <v>#REF!</v>
      </c>
      <c r="S58" s="1312"/>
      <c r="T58" s="1313" t="e">
        <f>'PLANILHA '!#REF!</f>
        <v>#REF!</v>
      </c>
      <c r="U58" s="1313"/>
      <c r="V58" s="1313"/>
      <c r="W58" s="1313" t="e">
        <f>'PLANILHA '!#REF!</f>
        <v>#REF!</v>
      </c>
      <c r="X58" s="1313"/>
      <c r="Y58" s="1313"/>
      <c r="Z58" s="1325"/>
      <c r="AA58" s="1325"/>
      <c r="AB58" s="1325"/>
      <c r="AC58" s="1325"/>
      <c r="AD58" s="1315"/>
      <c r="AE58" s="1315"/>
      <c r="AF58" s="1315"/>
      <c r="AG58" s="1321" t="e">
        <f>ROUND(W58*AD58,2)</f>
        <v>#REF!</v>
      </c>
      <c r="AH58" s="1321"/>
      <c r="AI58" s="1321"/>
      <c r="AJ58" s="1321"/>
      <c r="AK58" s="396"/>
      <c r="AL58" s="397"/>
      <c r="AM58" s="397"/>
      <c r="AN58" s="397"/>
      <c r="AO58" s="398"/>
      <c r="AP58" s="1317" t="e">
        <f>'PLANILHA '!#REF!</f>
        <v>#REF!</v>
      </c>
      <c r="AQ58" s="1317"/>
      <c r="AR58" s="1317"/>
      <c r="AS58" s="1317"/>
      <c r="AT58" s="1317"/>
      <c r="AU58" s="399"/>
      <c r="AV58" s="400"/>
      <c r="AW58" s="400"/>
      <c r="AX58" s="400"/>
      <c r="AY58" s="401"/>
      <c r="AZ58" s="1331" t="e">
        <f>SUM(AZ55:BC57)</f>
        <v>#REF!</v>
      </c>
      <c r="BA58" s="1331"/>
      <c r="BB58" s="1331"/>
      <c r="BC58" s="1331"/>
      <c r="BD58" s="1323" t="e">
        <f t="shared" si="1"/>
        <v>#REF!</v>
      </c>
      <c r="BE58" s="1323"/>
      <c r="BF58" s="1323"/>
      <c r="BG58" s="1323"/>
      <c r="BH58" s="1323"/>
      <c r="BI58" s="1323" t="e">
        <f t="shared" si="2"/>
        <v>#REF!</v>
      </c>
      <c r="BJ58" s="1323"/>
      <c r="BK58" s="1323"/>
      <c r="BL58" s="1323"/>
      <c r="BM58" s="1323"/>
      <c r="BN58" s="402"/>
      <c r="BO58" s="403"/>
      <c r="BP58" s="404"/>
    </row>
    <row r="59" spans="1:68" s="361" customFormat="1" ht="12.75" customHeight="1">
      <c r="A59" s="355"/>
      <c r="B59" s="1310" t="e">
        <f>'PLANILHA '!#REF!</f>
        <v>#REF!</v>
      </c>
      <c r="C59" s="1310"/>
      <c r="D59" s="1311" t="e">
        <f>'PLANILHA '!#REF!</f>
        <v>#REF!</v>
      </c>
      <c r="E59" s="1311"/>
      <c r="F59" s="1311"/>
      <c r="G59" s="1311"/>
      <c r="H59" s="1311"/>
      <c r="I59" s="1311"/>
      <c r="J59" s="1311"/>
      <c r="K59" s="1311"/>
      <c r="L59" s="1311"/>
      <c r="M59" s="1311"/>
      <c r="N59" s="1311"/>
      <c r="O59" s="1311"/>
      <c r="P59" s="1311"/>
      <c r="Q59" s="1311"/>
      <c r="R59" s="1312" t="e">
        <f>'PLANILHA '!#REF!</f>
        <v>#REF!</v>
      </c>
      <c r="S59" s="1312"/>
      <c r="T59" s="1313" t="e">
        <f>'PLANILHA '!#REF!</f>
        <v>#REF!</v>
      </c>
      <c r="U59" s="1313"/>
      <c r="V59" s="1313"/>
      <c r="W59" s="1313" t="e">
        <f>'PLANILHA '!#REF!</f>
        <v>#REF!</v>
      </c>
      <c r="X59" s="1313"/>
      <c r="Y59" s="1313"/>
      <c r="Z59" s="1320"/>
      <c r="AA59" s="1320"/>
      <c r="AB59" s="1320"/>
      <c r="AC59" s="1320"/>
      <c r="AD59" s="1315"/>
      <c r="AE59" s="1315"/>
      <c r="AF59" s="1315"/>
      <c r="AG59" s="1316"/>
      <c r="AH59" s="1316"/>
      <c r="AI59" s="1316"/>
      <c r="AJ59" s="1316"/>
      <c r="AK59" s="1315"/>
      <c r="AL59" s="1315"/>
      <c r="AM59" s="1315"/>
      <c r="AN59" s="1315"/>
      <c r="AO59" s="1315"/>
      <c r="AP59" s="1317" t="e">
        <f>'PLANILHA '!#REF!</f>
        <v>#REF!</v>
      </c>
      <c r="AQ59" s="1317"/>
      <c r="AR59" s="1317"/>
      <c r="AS59" s="1317"/>
      <c r="AT59" s="1317"/>
      <c r="AU59" s="1316"/>
      <c r="AV59" s="1316"/>
      <c r="AW59" s="1316"/>
      <c r="AX59" s="1316"/>
      <c r="AY59" s="1316"/>
      <c r="AZ59" s="1316"/>
      <c r="BA59" s="1316"/>
      <c r="BB59" s="1316"/>
      <c r="BC59" s="1316"/>
      <c r="BD59" s="1332"/>
      <c r="BE59" s="1332"/>
      <c r="BF59" s="1332"/>
      <c r="BG59" s="1332"/>
      <c r="BH59" s="1332"/>
      <c r="BI59" s="1323">
        <f t="shared" ref="BI59:BI90" si="4">ROUND(AZ59+BD59,2)</f>
        <v>0</v>
      </c>
      <c r="BJ59" s="1323"/>
      <c r="BK59" s="1323"/>
      <c r="BL59" s="1323"/>
      <c r="BM59" s="1323"/>
      <c r="BN59" s="1318"/>
      <c r="BO59" s="1318"/>
      <c r="BP59" s="1318"/>
    </row>
    <row r="60" spans="1:68" s="361" customFormat="1" ht="12.75" customHeight="1">
      <c r="A60" s="355"/>
      <c r="B60" s="1310" t="e">
        <f>'PLANILHA '!#REF!</f>
        <v>#REF!</v>
      </c>
      <c r="C60" s="1310"/>
      <c r="D60" s="1311" t="e">
        <f>'PLANILHA '!#REF!</f>
        <v>#REF!</v>
      </c>
      <c r="E60" s="1311"/>
      <c r="F60" s="1311"/>
      <c r="G60" s="1311"/>
      <c r="H60" s="1311"/>
      <c r="I60" s="1311"/>
      <c r="J60" s="1311"/>
      <c r="K60" s="1311"/>
      <c r="L60" s="1311"/>
      <c r="M60" s="1311"/>
      <c r="N60" s="1311"/>
      <c r="O60" s="1311"/>
      <c r="P60" s="1311"/>
      <c r="Q60" s="1311"/>
      <c r="R60" s="1312" t="e">
        <f>'PLANILHA '!#REF!</f>
        <v>#REF!</v>
      </c>
      <c r="S60" s="1312"/>
      <c r="T60" s="1313" t="e">
        <f>'PLANILHA '!#REF!</f>
        <v>#REF!</v>
      </c>
      <c r="U60" s="1313"/>
      <c r="V60" s="1313"/>
      <c r="W60" s="1313" t="e">
        <f>'PLANILHA '!#REF!</f>
        <v>#REF!</v>
      </c>
      <c r="X60" s="1313"/>
      <c r="Y60" s="1313"/>
      <c r="Z60" s="1320"/>
      <c r="AA60" s="1320"/>
      <c r="AB60" s="1320"/>
      <c r="AC60" s="1320"/>
      <c r="AD60" s="1315"/>
      <c r="AE60" s="1315"/>
      <c r="AF60" s="1315"/>
      <c r="AG60" s="1321" t="e">
        <f t="shared" ref="AG60:AG66" si="5">ROUND(W60*AD60,2)</f>
        <v>#REF!</v>
      </c>
      <c r="AH60" s="1321"/>
      <c r="AI60" s="1321"/>
      <c r="AJ60" s="1321"/>
      <c r="AK60" s="1315"/>
      <c r="AL60" s="1315"/>
      <c r="AM60" s="1315"/>
      <c r="AN60" s="1315"/>
      <c r="AO60" s="1315"/>
      <c r="AP60" s="1317" t="e">
        <f>'PLANILHA '!#REF!</f>
        <v>#REF!</v>
      </c>
      <c r="AQ60" s="1317"/>
      <c r="AR60" s="1317"/>
      <c r="AS60" s="1317"/>
      <c r="AT60" s="1317"/>
      <c r="AU60" s="1316"/>
      <c r="AV60" s="1316"/>
      <c r="AW60" s="1316"/>
      <c r="AX60" s="1316"/>
      <c r="AY60" s="1316"/>
      <c r="AZ60" s="1323" t="e">
        <f t="shared" ref="AZ60:AZ65" si="6">$W60*AK60</f>
        <v>#REF!</v>
      </c>
      <c r="BA60" s="1323"/>
      <c r="BB60" s="1323"/>
      <c r="BC60" s="1323"/>
      <c r="BD60" s="1323" t="e">
        <f t="shared" ref="BD60:BD91" si="7">$W60*AP60</f>
        <v>#REF!</v>
      </c>
      <c r="BE60" s="1323"/>
      <c r="BF60" s="1323"/>
      <c r="BG60" s="1323"/>
      <c r="BH60" s="1323"/>
      <c r="BI60" s="1323" t="e">
        <f t="shared" si="4"/>
        <v>#REF!</v>
      </c>
      <c r="BJ60" s="1323"/>
      <c r="BK60" s="1323"/>
      <c r="BL60" s="1323"/>
      <c r="BM60" s="1323"/>
      <c r="BN60" s="1318"/>
      <c r="BO60" s="1318"/>
      <c r="BP60" s="1318"/>
    </row>
    <row r="61" spans="1:68" s="361" customFormat="1" ht="12.75" customHeight="1">
      <c r="A61" s="355"/>
      <c r="B61" s="1310" t="e">
        <f>'PLANILHA '!#REF!</f>
        <v>#REF!</v>
      </c>
      <c r="C61" s="1310"/>
      <c r="D61" s="1311" t="e">
        <f>'PLANILHA '!#REF!</f>
        <v>#REF!</v>
      </c>
      <c r="E61" s="1311"/>
      <c r="F61" s="1311"/>
      <c r="G61" s="1311"/>
      <c r="H61" s="1311"/>
      <c r="I61" s="1311"/>
      <c r="J61" s="1311"/>
      <c r="K61" s="1311"/>
      <c r="L61" s="1311"/>
      <c r="M61" s="1311"/>
      <c r="N61" s="1311"/>
      <c r="O61" s="1311"/>
      <c r="P61" s="1311"/>
      <c r="Q61" s="1311"/>
      <c r="R61" s="1312" t="e">
        <f>'PLANILHA '!#REF!</f>
        <v>#REF!</v>
      </c>
      <c r="S61" s="1312"/>
      <c r="T61" s="1313" t="e">
        <f>'PLANILHA '!#REF!</f>
        <v>#REF!</v>
      </c>
      <c r="U61" s="1313"/>
      <c r="V61" s="1313"/>
      <c r="W61" s="1313" t="e">
        <f>'PLANILHA '!#REF!</f>
        <v>#REF!</v>
      </c>
      <c r="X61" s="1313"/>
      <c r="Y61" s="1313"/>
      <c r="Z61" s="1320"/>
      <c r="AA61" s="1320"/>
      <c r="AB61" s="1320"/>
      <c r="AC61" s="1320"/>
      <c r="AD61" s="1315"/>
      <c r="AE61" s="1315"/>
      <c r="AF61" s="1315"/>
      <c r="AG61" s="1321" t="e">
        <f t="shared" si="5"/>
        <v>#REF!</v>
      </c>
      <c r="AH61" s="1321"/>
      <c r="AI61" s="1321"/>
      <c r="AJ61" s="1321"/>
      <c r="AK61" s="1326"/>
      <c r="AL61" s="1326"/>
      <c r="AM61" s="1326"/>
      <c r="AN61" s="1326"/>
      <c r="AO61" s="1326"/>
      <c r="AP61" s="1317" t="e">
        <f>'PLANILHA '!#REF!</f>
        <v>#REF!</v>
      </c>
      <c r="AQ61" s="1317"/>
      <c r="AR61" s="1317"/>
      <c r="AS61" s="1317"/>
      <c r="AT61" s="1317"/>
      <c r="AU61" s="1322" t="e">
        <f>AK61+AP61</f>
        <v>#REF!</v>
      </c>
      <c r="AV61" s="1322"/>
      <c r="AW61" s="1322"/>
      <c r="AX61" s="1322"/>
      <c r="AY61" s="1322"/>
      <c r="AZ61" s="1323" t="e">
        <f t="shared" si="6"/>
        <v>#REF!</v>
      </c>
      <c r="BA61" s="1323"/>
      <c r="BB61" s="1323"/>
      <c r="BC61" s="1323"/>
      <c r="BD61" s="1323" t="e">
        <f t="shared" si="7"/>
        <v>#REF!</v>
      </c>
      <c r="BE61" s="1323"/>
      <c r="BF61" s="1323"/>
      <c r="BG61" s="1323"/>
      <c r="BH61" s="1323"/>
      <c r="BI61" s="1323" t="e">
        <f t="shared" si="4"/>
        <v>#REF!</v>
      </c>
      <c r="BJ61" s="1323"/>
      <c r="BK61" s="1323"/>
      <c r="BL61" s="1323"/>
      <c r="BM61" s="1323"/>
      <c r="BN61" s="1324" t="str">
        <f>IF(AD61&lt;&gt;"",AG61/Z61,"")</f>
        <v/>
      </c>
      <c r="BO61" s="1324"/>
      <c r="BP61" s="1324"/>
    </row>
    <row r="62" spans="1:68" s="361" customFormat="1" ht="12.75" customHeight="1">
      <c r="A62" s="355"/>
      <c r="B62" s="1310" t="e">
        <f>'PLANILHA '!#REF!</f>
        <v>#REF!</v>
      </c>
      <c r="C62" s="1310"/>
      <c r="D62" s="1311" t="e">
        <f>'PLANILHA '!#REF!</f>
        <v>#REF!</v>
      </c>
      <c r="E62" s="1311"/>
      <c r="F62" s="1311"/>
      <c r="G62" s="1311"/>
      <c r="H62" s="1311"/>
      <c r="I62" s="1311"/>
      <c r="J62" s="1311"/>
      <c r="K62" s="1311"/>
      <c r="L62" s="1311"/>
      <c r="M62" s="1311"/>
      <c r="N62" s="1311"/>
      <c r="O62" s="1311"/>
      <c r="P62" s="1311"/>
      <c r="Q62" s="1311"/>
      <c r="R62" s="1312" t="e">
        <f>'PLANILHA '!#REF!</f>
        <v>#REF!</v>
      </c>
      <c r="S62" s="1312"/>
      <c r="T62" s="1313" t="e">
        <f>'PLANILHA '!#REF!</f>
        <v>#REF!</v>
      </c>
      <c r="U62" s="1313"/>
      <c r="V62" s="1313"/>
      <c r="W62" s="1313" t="e">
        <f>'PLANILHA '!#REF!</f>
        <v>#REF!</v>
      </c>
      <c r="X62" s="1313"/>
      <c r="Y62" s="1313"/>
      <c r="Z62" s="1320"/>
      <c r="AA62" s="1320"/>
      <c r="AB62" s="1320"/>
      <c r="AC62" s="1320"/>
      <c r="AD62" s="1315"/>
      <c r="AE62" s="1315"/>
      <c r="AF62" s="1315"/>
      <c r="AG62" s="1321" t="e">
        <f t="shared" si="5"/>
        <v>#REF!</v>
      </c>
      <c r="AH62" s="1321"/>
      <c r="AI62" s="1321"/>
      <c r="AJ62" s="1321"/>
      <c r="AK62" s="1315"/>
      <c r="AL62" s="1315"/>
      <c r="AM62" s="1315"/>
      <c r="AN62" s="1315"/>
      <c r="AO62" s="1315"/>
      <c r="AP62" s="1317" t="e">
        <f>'PLANILHA '!#REF!</f>
        <v>#REF!</v>
      </c>
      <c r="AQ62" s="1317"/>
      <c r="AR62" s="1317"/>
      <c r="AS62" s="1317"/>
      <c r="AT62" s="1317"/>
      <c r="AU62" s="1316"/>
      <c r="AV62" s="1316"/>
      <c r="AW62" s="1316"/>
      <c r="AX62" s="1316"/>
      <c r="AY62" s="1316"/>
      <c r="AZ62" s="1323" t="e">
        <f t="shared" si="6"/>
        <v>#REF!</v>
      </c>
      <c r="BA62" s="1323"/>
      <c r="BB62" s="1323"/>
      <c r="BC62" s="1323"/>
      <c r="BD62" s="1323" t="e">
        <f t="shared" si="7"/>
        <v>#REF!</v>
      </c>
      <c r="BE62" s="1323"/>
      <c r="BF62" s="1323"/>
      <c r="BG62" s="1323"/>
      <c r="BH62" s="1323"/>
      <c r="BI62" s="1323" t="e">
        <f t="shared" si="4"/>
        <v>#REF!</v>
      </c>
      <c r="BJ62" s="1323"/>
      <c r="BK62" s="1323"/>
      <c r="BL62" s="1323"/>
      <c r="BM62" s="1323"/>
      <c r="BN62" s="1318"/>
      <c r="BO62" s="1318"/>
      <c r="BP62" s="1318"/>
    </row>
    <row r="63" spans="1:68" s="361" customFormat="1" ht="12.75" customHeight="1">
      <c r="A63" s="355"/>
      <c r="B63" s="1310" t="e">
        <f>'PLANILHA '!#REF!</f>
        <v>#REF!</v>
      </c>
      <c r="C63" s="1310"/>
      <c r="D63" s="1311"/>
      <c r="E63" s="1311"/>
      <c r="F63" s="1311"/>
      <c r="G63" s="1311"/>
      <c r="H63" s="1311"/>
      <c r="I63" s="1311"/>
      <c r="J63" s="1311"/>
      <c r="K63" s="1311"/>
      <c r="L63" s="1311"/>
      <c r="M63" s="1311"/>
      <c r="N63" s="1311"/>
      <c r="O63" s="1311"/>
      <c r="P63" s="1311"/>
      <c r="Q63" s="1311"/>
      <c r="R63" s="1312" t="e">
        <f>'PLANILHA '!#REF!</f>
        <v>#REF!</v>
      </c>
      <c r="S63" s="1312"/>
      <c r="T63" s="1313" t="e">
        <f>'PLANILHA '!#REF!</f>
        <v>#REF!</v>
      </c>
      <c r="U63" s="1313"/>
      <c r="V63" s="1313"/>
      <c r="W63" s="1313" t="e">
        <f>'PLANILHA '!#REF!</f>
        <v>#REF!</v>
      </c>
      <c r="X63" s="1313"/>
      <c r="Y63" s="1313"/>
      <c r="Z63" s="1320"/>
      <c r="AA63" s="1320"/>
      <c r="AB63" s="1320"/>
      <c r="AC63" s="1320"/>
      <c r="AD63" s="1315"/>
      <c r="AE63" s="1315"/>
      <c r="AF63" s="1315"/>
      <c r="AG63" s="1321" t="e">
        <f t="shared" si="5"/>
        <v>#REF!</v>
      </c>
      <c r="AH63" s="1321"/>
      <c r="AI63" s="1321"/>
      <c r="AJ63" s="1321"/>
      <c r="AK63" s="1315"/>
      <c r="AL63" s="1315"/>
      <c r="AM63" s="1315"/>
      <c r="AN63" s="1315"/>
      <c r="AO63" s="1315"/>
      <c r="AP63" s="1317" t="e">
        <f>'PLANILHA '!#REF!</f>
        <v>#REF!</v>
      </c>
      <c r="AQ63" s="1317"/>
      <c r="AR63" s="1317"/>
      <c r="AS63" s="1317"/>
      <c r="AT63" s="1317"/>
      <c r="AU63" s="1322" t="e">
        <f>AK63+AP63</f>
        <v>#REF!</v>
      </c>
      <c r="AV63" s="1322"/>
      <c r="AW63" s="1322"/>
      <c r="AX63" s="1322"/>
      <c r="AY63" s="1322"/>
      <c r="AZ63" s="1323" t="e">
        <f t="shared" si="6"/>
        <v>#REF!</v>
      </c>
      <c r="BA63" s="1323"/>
      <c r="BB63" s="1323"/>
      <c r="BC63" s="1323"/>
      <c r="BD63" s="1323" t="e">
        <f t="shared" si="7"/>
        <v>#REF!</v>
      </c>
      <c r="BE63" s="1323"/>
      <c r="BF63" s="1323"/>
      <c r="BG63" s="1323"/>
      <c r="BH63" s="1323"/>
      <c r="BI63" s="1323" t="e">
        <f t="shared" si="4"/>
        <v>#REF!</v>
      </c>
      <c r="BJ63" s="1323"/>
      <c r="BK63" s="1323"/>
      <c r="BL63" s="1323"/>
      <c r="BM63" s="1323"/>
      <c r="BN63" s="1318"/>
      <c r="BO63" s="1318"/>
      <c r="BP63" s="1318"/>
    </row>
    <row r="64" spans="1:68" s="361" customFormat="1" ht="12.75" customHeight="1">
      <c r="A64" s="355"/>
      <c r="B64" s="1310">
        <f>'PLANILHA '!A27</f>
        <v>3</v>
      </c>
      <c r="C64" s="1310"/>
      <c r="D64" s="1311" t="str">
        <f>'PLANILHA '!D27</f>
        <v>COBERTURA</v>
      </c>
      <c r="E64" s="1311"/>
      <c r="F64" s="1311"/>
      <c r="G64" s="1311"/>
      <c r="H64" s="1311"/>
      <c r="I64" s="1311"/>
      <c r="J64" s="1311"/>
      <c r="K64" s="1311"/>
      <c r="L64" s="1311"/>
      <c r="M64" s="1311"/>
      <c r="N64" s="1311"/>
      <c r="O64" s="1311"/>
      <c r="P64" s="1311"/>
      <c r="Q64" s="1311"/>
      <c r="R64" s="1312">
        <f>'PLANILHA '!E27</f>
        <v>0</v>
      </c>
      <c r="S64" s="1312"/>
      <c r="T64" s="1313">
        <f>'PLANILHA '!G27</f>
        <v>0</v>
      </c>
      <c r="U64" s="1313"/>
      <c r="V64" s="1313"/>
      <c r="W64" s="1329">
        <f>'PLANILHA '!F27</f>
        <v>0</v>
      </c>
      <c r="X64" s="1329"/>
      <c r="Y64" s="1329"/>
      <c r="Z64" s="1320"/>
      <c r="AA64" s="1320"/>
      <c r="AB64" s="1320"/>
      <c r="AC64" s="1320"/>
      <c r="AD64" s="1315"/>
      <c r="AE64" s="1315"/>
      <c r="AF64" s="1315"/>
      <c r="AG64" s="1321">
        <f t="shared" si="5"/>
        <v>0</v>
      </c>
      <c r="AH64" s="1321"/>
      <c r="AI64" s="1321"/>
      <c r="AJ64" s="1321"/>
      <c r="AK64" s="1315"/>
      <c r="AL64" s="1315"/>
      <c r="AM64" s="1315"/>
      <c r="AN64" s="1315"/>
      <c r="AO64" s="1315"/>
      <c r="AP64" s="1317" t="e">
        <f>'PLANILHA '!#REF!</f>
        <v>#REF!</v>
      </c>
      <c r="AQ64" s="1317"/>
      <c r="AR64" s="1317"/>
      <c r="AS64" s="1317"/>
      <c r="AT64" s="1317"/>
      <c r="AU64" s="1322" t="e">
        <f>AK64+AP64</f>
        <v>#REF!</v>
      </c>
      <c r="AV64" s="1322"/>
      <c r="AW64" s="1322"/>
      <c r="AX64" s="1322"/>
      <c r="AY64" s="1322"/>
      <c r="AZ64" s="1323">
        <f t="shared" si="6"/>
        <v>0</v>
      </c>
      <c r="BA64" s="1323"/>
      <c r="BB64" s="1323"/>
      <c r="BC64" s="1323"/>
      <c r="BD64" s="1323" t="e">
        <f t="shared" si="7"/>
        <v>#REF!</v>
      </c>
      <c r="BE64" s="1323"/>
      <c r="BF64" s="1323"/>
      <c r="BG64" s="1323"/>
      <c r="BH64" s="1323"/>
      <c r="BI64" s="1323" t="e">
        <f t="shared" si="4"/>
        <v>#REF!</v>
      </c>
      <c r="BJ64" s="1323"/>
      <c r="BK64" s="1323"/>
      <c r="BL64" s="1323"/>
      <c r="BM64" s="1323"/>
      <c r="BN64" s="1318"/>
      <c r="BO64" s="1318"/>
      <c r="BP64" s="1318"/>
    </row>
    <row r="65" spans="1:68" s="361" customFormat="1" ht="12.75" customHeight="1">
      <c r="A65" s="355"/>
      <c r="B65" s="1310" t="str">
        <f>'PLANILHA '!A28</f>
        <v>3.1</v>
      </c>
      <c r="C65" s="1310"/>
      <c r="D65" s="1311" t="str">
        <f>'PLANILHA '!D28</f>
        <v>Fornecimento e montagem de estrutura em aço ASTM-A36, sem pintura ( Perfil UDC 127 x 50 x 17 x 3mm )</v>
      </c>
      <c r="E65" s="1311"/>
      <c r="F65" s="1311"/>
      <c r="G65" s="1311"/>
      <c r="H65" s="1311"/>
      <c r="I65" s="1311"/>
      <c r="J65" s="1311"/>
      <c r="K65" s="1311"/>
      <c r="L65" s="1311"/>
      <c r="M65" s="1311"/>
      <c r="N65" s="1311"/>
      <c r="O65" s="1311"/>
      <c r="P65" s="1311"/>
      <c r="Q65" s="1311"/>
      <c r="R65" s="1312" t="str">
        <f>'PLANILHA '!E28</f>
        <v>KG</v>
      </c>
      <c r="S65" s="1312"/>
      <c r="T65" s="1330">
        <f>'PLANILHA '!G28</f>
        <v>1188.6000000000001</v>
      </c>
      <c r="U65" s="1330"/>
      <c r="V65" s="1330"/>
      <c r="W65" s="1329">
        <f>'PLANILHA '!F28</f>
        <v>14.16</v>
      </c>
      <c r="X65" s="1329"/>
      <c r="Y65" s="1329"/>
      <c r="Z65" s="1320"/>
      <c r="AA65" s="1320"/>
      <c r="AB65" s="1320"/>
      <c r="AC65" s="1320"/>
      <c r="AD65" s="1315"/>
      <c r="AE65" s="1315"/>
      <c r="AF65" s="1315"/>
      <c r="AG65" s="1321">
        <f t="shared" si="5"/>
        <v>0</v>
      </c>
      <c r="AH65" s="1321"/>
      <c r="AI65" s="1321"/>
      <c r="AJ65" s="1321"/>
      <c r="AK65" s="1315"/>
      <c r="AL65" s="1315"/>
      <c r="AM65" s="1315"/>
      <c r="AN65" s="1315"/>
      <c r="AO65" s="1315"/>
      <c r="AP65" s="1317" t="e">
        <f>'PLANILHA '!#REF!</f>
        <v>#REF!</v>
      </c>
      <c r="AQ65" s="1317"/>
      <c r="AR65" s="1317"/>
      <c r="AS65" s="1317"/>
      <c r="AT65" s="1317"/>
      <c r="AU65" s="1322" t="e">
        <f>AK65+AP65</f>
        <v>#REF!</v>
      </c>
      <c r="AV65" s="1322"/>
      <c r="AW65" s="1322"/>
      <c r="AX65" s="1322"/>
      <c r="AY65" s="1322"/>
      <c r="AZ65" s="1323">
        <f t="shared" si="6"/>
        <v>0</v>
      </c>
      <c r="BA65" s="1323"/>
      <c r="BB65" s="1323"/>
      <c r="BC65" s="1323"/>
      <c r="BD65" s="1323" t="e">
        <f t="shared" si="7"/>
        <v>#REF!</v>
      </c>
      <c r="BE65" s="1323"/>
      <c r="BF65" s="1323"/>
      <c r="BG65" s="1323"/>
      <c r="BH65" s="1323"/>
      <c r="BI65" s="1323" t="e">
        <f t="shared" si="4"/>
        <v>#REF!</v>
      </c>
      <c r="BJ65" s="1323"/>
      <c r="BK65" s="1323"/>
      <c r="BL65" s="1323"/>
      <c r="BM65" s="1323"/>
      <c r="BN65" s="1318"/>
      <c r="BO65" s="1318"/>
      <c r="BP65" s="1318"/>
    </row>
    <row r="66" spans="1:68" s="361" customFormat="1" ht="12.75" customHeight="1">
      <c r="A66" s="355"/>
      <c r="B66" s="1310" t="str">
        <f>'PLANILHA '!A29</f>
        <v>3.2</v>
      </c>
      <c r="C66" s="1310"/>
      <c r="D66" s="1311" t="str">
        <f>'PLANILHA '!D29</f>
        <v>Telhamento em chapa de aço com pintura poliéster, tipo sanduíche, espessura de 0,50 mm, com poliestireno expandido</v>
      </c>
      <c r="E66" s="1311"/>
      <c r="F66" s="1311"/>
      <c r="G66" s="1311"/>
      <c r="H66" s="1311"/>
      <c r="I66" s="1311"/>
      <c r="J66" s="1311"/>
      <c r="K66" s="1311"/>
      <c r="L66" s="1311"/>
      <c r="M66" s="1311"/>
      <c r="N66" s="1311"/>
      <c r="O66" s="1311"/>
      <c r="P66" s="1311"/>
      <c r="Q66" s="1311"/>
      <c r="R66" s="1312" t="str">
        <f>'PLANILHA '!E29</f>
        <v>m²</v>
      </c>
      <c r="S66" s="1312"/>
      <c r="T66" s="1330">
        <f>'PLANILHA '!G29</f>
        <v>288</v>
      </c>
      <c r="U66" s="1330"/>
      <c r="V66" s="1330"/>
      <c r="W66" s="1329">
        <f>'PLANILHA '!F29</f>
        <v>99.48</v>
      </c>
      <c r="X66" s="1329"/>
      <c r="Y66" s="1329"/>
      <c r="Z66" s="1320"/>
      <c r="AA66" s="1320"/>
      <c r="AB66" s="1320"/>
      <c r="AC66" s="1320"/>
      <c r="AD66" s="1315"/>
      <c r="AE66" s="1315"/>
      <c r="AF66" s="1315"/>
      <c r="AG66" s="1321">
        <f t="shared" si="5"/>
        <v>0</v>
      </c>
      <c r="AH66" s="1321"/>
      <c r="AI66" s="1321"/>
      <c r="AJ66" s="1321"/>
      <c r="AK66" s="1315"/>
      <c r="AL66" s="1315"/>
      <c r="AM66" s="1315"/>
      <c r="AN66" s="1315"/>
      <c r="AO66" s="1315"/>
      <c r="AP66" s="1317" t="e">
        <f>'PLANILHA '!#REF!</f>
        <v>#REF!</v>
      </c>
      <c r="AQ66" s="1317"/>
      <c r="AR66" s="1317"/>
      <c r="AS66" s="1317"/>
      <c r="AT66" s="1317"/>
      <c r="AU66" s="1322"/>
      <c r="AV66" s="1322"/>
      <c r="AW66" s="1322"/>
      <c r="AX66" s="1322"/>
      <c r="AY66" s="1322"/>
      <c r="AZ66" s="1323" t="e">
        <f t="shared" ref="AZ66:AZ97" si="8">SUM(AZ60:BC65)</f>
        <v>#REF!</v>
      </c>
      <c r="BA66" s="1323"/>
      <c r="BB66" s="1323"/>
      <c r="BC66" s="1323"/>
      <c r="BD66" s="1323" t="e">
        <f t="shared" si="7"/>
        <v>#REF!</v>
      </c>
      <c r="BE66" s="1323"/>
      <c r="BF66" s="1323"/>
      <c r="BG66" s="1323"/>
      <c r="BH66" s="1323"/>
      <c r="BI66" s="1323" t="e">
        <f t="shared" si="4"/>
        <v>#REF!</v>
      </c>
      <c r="BJ66" s="1323"/>
      <c r="BK66" s="1323"/>
      <c r="BL66" s="1323"/>
      <c r="BM66" s="1323"/>
      <c r="BN66" s="1318"/>
      <c r="BO66" s="1318"/>
      <c r="BP66" s="1318"/>
    </row>
    <row r="67" spans="1:68" s="361" customFormat="1" ht="12.75" customHeight="1">
      <c r="A67" s="355"/>
      <c r="B67" s="1310" t="e">
        <f>'PLANILHA '!#REF!</f>
        <v>#REF!</v>
      </c>
      <c r="C67" s="1310"/>
      <c r="D67" s="1311" t="e">
        <f>'PLANILHA '!#REF!</f>
        <v>#REF!</v>
      </c>
      <c r="E67" s="1311"/>
      <c r="F67" s="1311"/>
      <c r="G67" s="1311"/>
      <c r="H67" s="1311"/>
      <c r="I67" s="1311"/>
      <c r="J67" s="1311"/>
      <c r="K67" s="1311"/>
      <c r="L67" s="1311"/>
      <c r="M67" s="1311"/>
      <c r="N67" s="1311"/>
      <c r="O67" s="1311"/>
      <c r="P67" s="1311"/>
      <c r="Q67" s="1311"/>
      <c r="R67" s="1312" t="e">
        <f>'PLANILHA '!#REF!</f>
        <v>#REF!</v>
      </c>
      <c r="S67" s="1312"/>
      <c r="T67" s="1313" t="e">
        <f>'PLANILHA '!#REF!</f>
        <v>#REF!</v>
      </c>
      <c r="U67" s="1313"/>
      <c r="V67" s="1313"/>
      <c r="W67" s="1313" t="e">
        <f>'PLANILHA '!#REF!</f>
        <v>#REF!</v>
      </c>
      <c r="X67" s="1313"/>
      <c r="Y67" s="1313"/>
      <c r="Z67" s="1320"/>
      <c r="AA67" s="1320"/>
      <c r="AB67" s="1320"/>
      <c r="AC67" s="1320"/>
      <c r="AD67" s="1315"/>
      <c r="AE67" s="1315"/>
      <c r="AF67" s="1315"/>
      <c r="AG67" s="1316"/>
      <c r="AH67" s="1316"/>
      <c r="AI67" s="1316"/>
      <c r="AJ67" s="1316"/>
      <c r="AK67" s="1315"/>
      <c r="AL67" s="1315"/>
      <c r="AM67" s="1315"/>
      <c r="AN67" s="1315"/>
      <c r="AO67" s="1315"/>
      <c r="AP67" s="1317" t="e">
        <f>'PLANILHA '!#REF!</f>
        <v>#REF!</v>
      </c>
      <c r="AQ67" s="1317"/>
      <c r="AR67" s="1317"/>
      <c r="AS67" s="1317"/>
      <c r="AT67" s="1317"/>
      <c r="AU67" s="1316"/>
      <c r="AV67" s="1316"/>
      <c r="AW67" s="1316"/>
      <c r="AX67" s="1316"/>
      <c r="AY67" s="1316"/>
      <c r="AZ67" s="1323" t="e">
        <f t="shared" si="8"/>
        <v>#REF!</v>
      </c>
      <c r="BA67" s="1323"/>
      <c r="BB67" s="1323"/>
      <c r="BC67" s="1323"/>
      <c r="BD67" s="1323" t="e">
        <f t="shared" si="7"/>
        <v>#REF!</v>
      </c>
      <c r="BE67" s="1323"/>
      <c r="BF67" s="1323"/>
      <c r="BG67" s="1323"/>
      <c r="BH67" s="1323"/>
      <c r="BI67" s="1323" t="e">
        <f t="shared" si="4"/>
        <v>#REF!</v>
      </c>
      <c r="BJ67" s="1323"/>
      <c r="BK67" s="1323"/>
      <c r="BL67" s="1323"/>
      <c r="BM67" s="1323"/>
      <c r="BN67" s="1318"/>
      <c r="BO67" s="1318"/>
      <c r="BP67" s="1318"/>
    </row>
    <row r="68" spans="1:68" s="361" customFormat="1" ht="12.75" customHeight="1">
      <c r="A68" s="355"/>
      <c r="B68" s="1310" t="str">
        <f>'PLANILHA '!A30</f>
        <v>3.3</v>
      </c>
      <c r="C68" s="1310"/>
      <c r="D68" s="1311" t="str">
        <f>'PLANILHA '!D30</f>
        <v>Calha, rufo, afins em chapa galvanizada nº 24 - corte 0,33 m</v>
      </c>
      <c r="E68" s="1311"/>
      <c r="F68" s="1311"/>
      <c r="G68" s="1311"/>
      <c r="H68" s="1311"/>
      <c r="I68" s="1311"/>
      <c r="J68" s="1311"/>
      <c r="K68" s="1311"/>
      <c r="L68" s="1311"/>
      <c r="M68" s="1311"/>
      <c r="N68" s="1311"/>
      <c r="O68" s="1311"/>
      <c r="P68" s="1311"/>
      <c r="Q68" s="1311"/>
      <c r="R68" s="1312" t="str">
        <f>'PLANILHA '!E30</f>
        <v>m</v>
      </c>
      <c r="S68" s="1312"/>
      <c r="T68" s="1330">
        <f>'PLANILHA '!G30</f>
        <v>76</v>
      </c>
      <c r="U68" s="1330"/>
      <c r="V68" s="1330"/>
      <c r="W68" s="1329">
        <f>'PLANILHA '!F30</f>
        <v>62.42</v>
      </c>
      <c r="X68" s="1329"/>
      <c r="Y68" s="1329"/>
      <c r="Z68" s="1320"/>
      <c r="AA68" s="1320"/>
      <c r="AB68" s="1320"/>
      <c r="AC68" s="1320"/>
      <c r="AD68" s="1315"/>
      <c r="AE68" s="1315"/>
      <c r="AF68" s="1315"/>
      <c r="AG68" s="1321"/>
      <c r="AH68" s="1321"/>
      <c r="AI68" s="1321"/>
      <c r="AJ68" s="1321"/>
      <c r="AK68" s="1326"/>
      <c r="AL68" s="1326"/>
      <c r="AM68" s="1326"/>
      <c r="AN68" s="1326"/>
      <c r="AO68" s="1326"/>
      <c r="AP68" s="1317" t="e">
        <f>'PLANILHA '!#REF!</f>
        <v>#REF!</v>
      </c>
      <c r="AQ68" s="1317"/>
      <c r="AR68" s="1317"/>
      <c r="AS68" s="1317"/>
      <c r="AT68" s="1317"/>
      <c r="AU68" s="1322"/>
      <c r="AV68" s="1322"/>
      <c r="AW68" s="1322"/>
      <c r="AX68" s="1322"/>
      <c r="AY68" s="1322"/>
      <c r="AZ68" s="1323" t="e">
        <f t="shared" si="8"/>
        <v>#REF!</v>
      </c>
      <c r="BA68" s="1323"/>
      <c r="BB68" s="1323"/>
      <c r="BC68" s="1323"/>
      <c r="BD68" s="1323" t="e">
        <f t="shared" si="7"/>
        <v>#REF!</v>
      </c>
      <c r="BE68" s="1323"/>
      <c r="BF68" s="1323"/>
      <c r="BG68" s="1323"/>
      <c r="BH68" s="1323"/>
      <c r="BI68" s="1323" t="e">
        <f t="shared" si="4"/>
        <v>#REF!</v>
      </c>
      <c r="BJ68" s="1323"/>
      <c r="BK68" s="1323"/>
      <c r="BL68" s="1323"/>
      <c r="BM68" s="1323"/>
      <c r="BN68" s="1324" t="str">
        <f>IF(AD68&lt;&gt;"",AG68/Z68,"")</f>
        <v/>
      </c>
      <c r="BO68" s="1324"/>
      <c r="BP68" s="1324"/>
    </row>
    <row r="69" spans="1:68" s="361" customFormat="1" ht="12.75" customHeight="1">
      <c r="A69" s="355"/>
      <c r="B69" s="1310" t="e">
        <f>'PLANILHA '!#REF!</f>
        <v>#REF!</v>
      </c>
      <c r="C69" s="1310"/>
      <c r="D69" s="1311" t="e">
        <f>'PLANILHA '!#REF!</f>
        <v>#REF!</v>
      </c>
      <c r="E69" s="1311"/>
      <c r="F69" s="1311"/>
      <c r="G69" s="1311"/>
      <c r="H69" s="1311"/>
      <c r="I69" s="1311"/>
      <c r="J69" s="1311"/>
      <c r="K69" s="1311"/>
      <c r="L69" s="1311"/>
      <c r="M69" s="1311"/>
      <c r="N69" s="1311"/>
      <c r="O69" s="1311"/>
      <c r="P69" s="1311"/>
      <c r="Q69" s="1311"/>
      <c r="R69" s="1312" t="e">
        <f>'PLANILHA '!#REF!</f>
        <v>#REF!</v>
      </c>
      <c r="S69" s="1312"/>
      <c r="T69" s="1313" t="e">
        <f>'PLANILHA '!#REF!</f>
        <v>#REF!</v>
      </c>
      <c r="U69" s="1313"/>
      <c r="V69" s="1313"/>
      <c r="W69" s="1313" t="e">
        <f>'PLANILHA '!#REF!</f>
        <v>#REF!</v>
      </c>
      <c r="X69" s="1313"/>
      <c r="Y69" s="1313"/>
      <c r="Z69" s="1320"/>
      <c r="AA69" s="1320"/>
      <c r="AB69" s="1320"/>
      <c r="AC69" s="1320"/>
      <c r="AD69" s="1315"/>
      <c r="AE69" s="1315"/>
      <c r="AF69" s="1315"/>
      <c r="AG69" s="1321" t="e">
        <f>ROUND(W69*AD69,2)</f>
        <v>#REF!</v>
      </c>
      <c r="AH69" s="1321"/>
      <c r="AI69" s="1321"/>
      <c r="AJ69" s="1321"/>
      <c r="AK69" s="1327"/>
      <c r="AL69" s="1327"/>
      <c r="AM69" s="1327"/>
      <c r="AN69" s="1327"/>
      <c r="AO69" s="1327"/>
      <c r="AP69" s="1317" t="e">
        <f>'PLANILHA '!#REF!</f>
        <v>#REF!</v>
      </c>
      <c r="AQ69" s="1317"/>
      <c r="AR69" s="1317"/>
      <c r="AS69" s="1317"/>
      <c r="AT69" s="1317"/>
      <c r="AU69" s="1322" t="e">
        <f>AK69+AP69</f>
        <v>#REF!</v>
      </c>
      <c r="AV69" s="1322"/>
      <c r="AW69" s="1322"/>
      <c r="AX69" s="1322"/>
      <c r="AY69" s="1322"/>
      <c r="AZ69" s="1323" t="e">
        <f t="shared" si="8"/>
        <v>#REF!</v>
      </c>
      <c r="BA69" s="1323"/>
      <c r="BB69" s="1323"/>
      <c r="BC69" s="1323"/>
      <c r="BD69" s="1323" t="e">
        <f t="shared" si="7"/>
        <v>#REF!</v>
      </c>
      <c r="BE69" s="1323"/>
      <c r="BF69" s="1323"/>
      <c r="BG69" s="1323"/>
      <c r="BH69" s="1323"/>
      <c r="BI69" s="1323" t="e">
        <f t="shared" si="4"/>
        <v>#REF!</v>
      </c>
      <c r="BJ69" s="1323"/>
      <c r="BK69" s="1323"/>
      <c r="BL69" s="1323"/>
      <c r="BM69" s="1323"/>
      <c r="BN69" s="1318"/>
      <c r="BO69" s="1318"/>
      <c r="BP69" s="1318"/>
    </row>
    <row r="70" spans="1:68" s="361" customFormat="1" ht="12.75" customHeight="1">
      <c r="A70" s="355"/>
      <c r="B70" s="1310" t="e">
        <f>'PLANILHA '!#REF!</f>
        <v>#REF!</v>
      </c>
      <c r="C70" s="1310"/>
      <c r="D70" s="1311" t="e">
        <f>'PLANILHA '!#REF!</f>
        <v>#REF!</v>
      </c>
      <c r="E70" s="1311"/>
      <c r="F70" s="1311"/>
      <c r="G70" s="1311"/>
      <c r="H70" s="1311"/>
      <c r="I70" s="1311"/>
      <c r="J70" s="1311"/>
      <c r="K70" s="1311"/>
      <c r="L70" s="1311"/>
      <c r="M70" s="1311"/>
      <c r="N70" s="1311"/>
      <c r="O70" s="1311"/>
      <c r="P70" s="1311"/>
      <c r="Q70" s="1311"/>
      <c r="R70" s="1312" t="e">
        <f>'PLANILHA '!#REF!</f>
        <v>#REF!</v>
      </c>
      <c r="S70" s="1312"/>
      <c r="T70" s="1313" t="e">
        <f>'PLANILHA '!#REF!</f>
        <v>#REF!</v>
      </c>
      <c r="U70" s="1313"/>
      <c r="V70" s="1313"/>
      <c r="W70" s="1313" t="e">
        <f>'PLANILHA '!#REF!</f>
        <v>#REF!</v>
      </c>
      <c r="X70" s="1313"/>
      <c r="Y70" s="1313"/>
      <c r="Z70" s="1320"/>
      <c r="AA70" s="1320"/>
      <c r="AB70" s="1320"/>
      <c r="AC70" s="1320"/>
      <c r="AD70" s="1315"/>
      <c r="AE70" s="1315"/>
      <c r="AF70" s="1315"/>
      <c r="AG70" s="1321" t="e">
        <f>ROUND(W70*AD70,2)</f>
        <v>#REF!</v>
      </c>
      <c r="AH70" s="1321"/>
      <c r="AI70" s="1321"/>
      <c r="AJ70" s="1321"/>
      <c r="AK70" s="1327"/>
      <c r="AL70" s="1327"/>
      <c r="AM70" s="1327"/>
      <c r="AN70" s="1327"/>
      <c r="AO70" s="1327"/>
      <c r="AP70" s="1317" t="e">
        <f>'PLANILHA '!#REF!</f>
        <v>#REF!</v>
      </c>
      <c r="AQ70" s="1317"/>
      <c r="AR70" s="1317"/>
      <c r="AS70" s="1317"/>
      <c r="AT70" s="1317"/>
      <c r="AU70" s="1322" t="e">
        <f>AK70+AP70</f>
        <v>#REF!</v>
      </c>
      <c r="AV70" s="1322"/>
      <c r="AW70" s="1322"/>
      <c r="AX70" s="1322"/>
      <c r="AY70" s="1322"/>
      <c r="AZ70" s="1323" t="e">
        <f t="shared" si="8"/>
        <v>#REF!</v>
      </c>
      <c r="BA70" s="1323"/>
      <c r="BB70" s="1323"/>
      <c r="BC70" s="1323"/>
      <c r="BD70" s="1323" t="e">
        <f t="shared" si="7"/>
        <v>#REF!</v>
      </c>
      <c r="BE70" s="1323"/>
      <c r="BF70" s="1323"/>
      <c r="BG70" s="1323"/>
      <c r="BH70" s="1323"/>
      <c r="BI70" s="1323" t="e">
        <f t="shared" si="4"/>
        <v>#REF!</v>
      </c>
      <c r="BJ70" s="1323"/>
      <c r="BK70" s="1323"/>
      <c r="BL70" s="1323"/>
      <c r="BM70" s="1323"/>
      <c r="BN70" s="1318"/>
      <c r="BO70" s="1318"/>
      <c r="BP70" s="1318"/>
    </row>
    <row r="71" spans="1:68" s="361" customFormat="1" ht="12.75" customHeight="1">
      <c r="A71" s="355"/>
      <c r="B71" s="1310" t="e">
        <f>'PLANILHA '!#REF!</f>
        <v>#REF!</v>
      </c>
      <c r="C71" s="1310"/>
      <c r="D71" s="1311" t="e">
        <f>'PLANILHA '!#REF!</f>
        <v>#REF!</v>
      </c>
      <c r="E71" s="1311"/>
      <c r="F71" s="1311"/>
      <c r="G71" s="1311"/>
      <c r="H71" s="1311"/>
      <c r="I71" s="1311"/>
      <c r="J71" s="1311"/>
      <c r="K71" s="1311"/>
      <c r="L71" s="1311"/>
      <c r="M71" s="1311"/>
      <c r="N71" s="1311"/>
      <c r="O71" s="1311"/>
      <c r="P71" s="1311"/>
      <c r="Q71" s="1311"/>
      <c r="R71" s="1312" t="e">
        <f>'PLANILHA '!#REF!</f>
        <v>#REF!</v>
      </c>
      <c r="S71" s="1312"/>
      <c r="T71" s="1313" t="e">
        <f>'PLANILHA '!#REF!</f>
        <v>#REF!</v>
      </c>
      <c r="U71" s="1313"/>
      <c r="V71" s="1313"/>
      <c r="W71" s="1313" t="e">
        <f>'PLANILHA '!#REF!</f>
        <v>#REF!</v>
      </c>
      <c r="X71" s="1313"/>
      <c r="Y71" s="1313"/>
      <c r="Z71" s="1320"/>
      <c r="AA71" s="1320"/>
      <c r="AB71" s="1320"/>
      <c r="AC71" s="1320"/>
      <c r="AD71" s="1315"/>
      <c r="AE71" s="1315"/>
      <c r="AF71" s="1315"/>
      <c r="AG71" s="1316"/>
      <c r="AH71" s="1316"/>
      <c r="AI71" s="1316"/>
      <c r="AJ71" s="1316"/>
      <c r="AK71" s="1315"/>
      <c r="AL71" s="1315"/>
      <c r="AM71" s="1315"/>
      <c r="AN71" s="1315"/>
      <c r="AO71" s="1315"/>
      <c r="AP71" s="1317" t="e">
        <f>'PLANILHA '!#REF!</f>
        <v>#REF!</v>
      </c>
      <c r="AQ71" s="1317"/>
      <c r="AR71" s="1317"/>
      <c r="AS71" s="1317"/>
      <c r="AT71" s="1317"/>
      <c r="AU71" s="1316"/>
      <c r="AV71" s="1316"/>
      <c r="AW71" s="1316"/>
      <c r="AX71" s="1316"/>
      <c r="AY71" s="1316"/>
      <c r="AZ71" s="1323" t="e">
        <f t="shared" si="8"/>
        <v>#REF!</v>
      </c>
      <c r="BA71" s="1323"/>
      <c r="BB71" s="1323"/>
      <c r="BC71" s="1323"/>
      <c r="BD71" s="1323" t="e">
        <f t="shared" si="7"/>
        <v>#REF!</v>
      </c>
      <c r="BE71" s="1323"/>
      <c r="BF71" s="1323"/>
      <c r="BG71" s="1323"/>
      <c r="BH71" s="1323"/>
      <c r="BI71" s="1323" t="e">
        <f t="shared" si="4"/>
        <v>#REF!</v>
      </c>
      <c r="BJ71" s="1323"/>
      <c r="BK71" s="1323"/>
      <c r="BL71" s="1323"/>
      <c r="BM71" s="1323"/>
      <c r="BN71" s="1318"/>
      <c r="BO71" s="1318"/>
      <c r="BP71" s="1318"/>
    </row>
    <row r="72" spans="1:68" s="361" customFormat="1" ht="12.75" customHeight="1">
      <c r="A72" s="355"/>
      <c r="B72" s="1310" t="e">
        <f>'PLANILHA '!#REF!</f>
        <v>#REF!</v>
      </c>
      <c r="C72" s="1310"/>
      <c r="D72" s="1311" t="e">
        <f>'PLANILHA '!#REF!</f>
        <v>#REF!</v>
      </c>
      <c r="E72" s="1311"/>
      <c r="F72" s="1311"/>
      <c r="G72" s="1311"/>
      <c r="H72" s="1311"/>
      <c r="I72" s="1311"/>
      <c r="J72" s="1311"/>
      <c r="K72" s="1311"/>
      <c r="L72" s="1311"/>
      <c r="M72" s="1311"/>
      <c r="N72" s="1311"/>
      <c r="O72" s="1311"/>
      <c r="P72" s="1311"/>
      <c r="Q72" s="1311"/>
      <c r="R72" s="1312" t="e">
        <f>'PLANILHA '!#REF!</f>
        <v>#REF!</v>
      </c>
      <c r="S72" s="1312"/>
      <c r="T72" s="1313" t="e">
        <f>'PLANILHA '!#REF!</f>
        <v>#REF!</v>
      </c>
      <c r="U72" s="1313"/>
      <c r="V72" s="1313"/>
      <c r="W72" s="1313" t="e">
        <f>'PLANILHA '!#REF!</f>
        <v>#REF!</v>
      </c>
      <c r="X72" s="1313"/>
      <c r="Y72" s="1313"/>
      <c r="Z72" s="1320"/>
      <c r="AA72" s="1320"/>
      <c r="AB72" s="1320"/>
      <c r="AC72" s="1320"/>
      <c r="AD72" s="1315"/>
      <c r="AE72" s="1315"/>
      <c r="AF72" s="1315"/>
      <c r="AG72" s="1321" t="e">
        <f>ROUND(W72*AD72,2)</f>
        <v>#REF!</v>
      </c>
      <c r="AH72" s="1321"/>
      <c r="AI72" s="1321"/>
      <c r="AJ72" s="1321"/>
      <c r="AK72" s="1326"/>
      <c r="AL72" s="1326"/>
      <c r="AM72" s="1326"/>
      <c r="AN72" s="1326"/>
      <c r="AO72" s="1326"/>
      <c r="AP72" s="1317" t="e">
        <f>'PLANILHA '!#REF!</f>
        <v>#REF!</v>
      </c>
      <c r="AQ72" s="1317"/>
      <c r="AR72" s="1317"/>
      <c r="AS72" s="1317"/>
      <c r="AT72" s="1317"/>
      <c r="AU72" s="1322" t="e">
        <f>AK72+AP72</f>
        <v>#REF!</v>
      </c>
      <c r="AV72" s="1322"/>
      <c r="AW72" s="1322"/>
      <c r="AX72" s="1322"/>
      <c r="AY72" s="1322"/>
      <c r="AZ72" s="1323" t="e">
        <f t="shared" si="8"/>
        <v>#REF!</v>
      </c>
      <c r="BA72" s="1323"/>
      <c r="BB72" s="1323"/>
      <c r="BC72" s="1323"/>
      <c r="BD72" s="1323" t="e">
        <f t="shared" si="7"/>
        <v>#REF!</v>
      </c>
      <c r="BE72" s="1323"/>
      <c r="BF72" s="1323"/>
      <c r="BG72" s="1323"/>
      <c r="BH72" s="1323"/>
      <c r="BI72" s="1323" t="e">
        <f t="shared" si="4"/>
        <v>#REF!</v>
      </c>
      <c r="BJ72" s="1323"/>
      <c r="BK72" s="1323"/>
      <c r="BL72" s="1323"/>
      <c r="BM72" s="1323"/>
      <c r="BN72" s="1324" t="str">
        <f>IF(AD72&lt;&gt;"",AG72/Z72,"")</f>
        <v/>
      </c>
      <c r="BO72" s="1324"/>
      <c r="BP72" s="1324"/>
    </row>
    <row r="73" spans="1:68" s="361" customFormat="1" ht="12.75" customHeight="1">
      <c r="A73" s="355"/>
      <c r="B73" s="1310" t="e">
        <f>'PLANILHA '!#REF!</f>
        <v>#REF!</v>
      </c>
      <c r="C73" s="1310"/>
      <c r="D73" s="1311" t="e">
        <f>'PLANILHA '!#REF!</f>
        <v>#REF!</v>
      </c>
      <c r="E73" s="1311"/>
      <c r="F73" s="1311"/>
      <c r="G73" s="1311"/>
      <c r="H73" s="1311"/>
      <c r="I73" s="1311"/>
      <c r="J73" s="1311"/>
      <c r="K73" s="1311"/>
      <c r="L73" s="1311"/>
      <c r="M73" s="1311"/>
      <c r="N73" s="1311"/>
      <c r="O73" s="1311"/>
      <c r="P73" s="1311"/>
      <c r="Q73" s="1311"/>
      <c r="R73" s="1312" t="e">
        <f>'PLANILHA '!#REF!</f>
        <v>#REF!</v>
      </c>
      <c r="S73" s="1312"/>
      <c r="T73" s="1313" t="e">
        <f>'PLANILHA '!#REF!</f>
        <v>#REF!</v>
      </c>
      <c r="U73" s="1313"/>
      <c r="V73" s="1313"/>
      <c r="W73" s="1313" t="e">
        <f>'PLANILHA '!#REF!</f>
        <v>#REF!</v>
      </c>
      <c r="X73" s="1313"/>
      <c r="Y73" s="1313"/>
      <c r="Z73" s="1320"/>
      <c r="AA73" s="1320"/>
      <c r="AB73" s="1320"/>
      <c r="AC73" s="1320"/>
      <c r="AD73" s="1315"/>
      <c r="AE73" s="1315"/>
      <c r="AF73" s="1315"/>
      <c r="AG73" s="1321" t="e">
        <f>ROUND(W73*AD73,2)</f>
        <v>#REF!</v>
      </c>
      <c r="AH73" s="1321"/>
      <c r="AI73" s="1321"/>
      <c r="AJ73" s="1321"/>
      <c r="AK73" s="1315"/>
      <c r="AL73" s="1315"/>
      <c r="AM73" s="1315"/>
      <c r="AN73" s="1315"/>
      <c r="AO73" s="1315"/>
      <c r="AP73" s="1317" t="e">
        <f>'PLANILHA '!#REF!</f>
        <v>#REF!</v>
      </c>
      <c r="AQ73" s="1317"/>
      <c r="AR73" s="1317"/>
      <c r="AS73" s="1317"/>
      <c r="AT73" s="1317"/>
      <c r="AU73" s="1322" t="e">
        <f>AK73+AP73</f>
        <v>#REF!</v>
      </c>
      <c r="AV73" s="1322"/>
      <c r="AW73" s="1322"/>
      <c r="AX73" s="1322"/>
      <c r="AY73" s="1322"/>
      <c r="AZ73" s="1323" t="e">
        <f t="shared" si="8"/>
        <v>#REF!</v>
      </c>
      <c r="BA73" s="1323"/>
      <c r="BB73" s="1323"/>
      <c r="BC73" s="1323"/>
      <c r="BD73" s="1323" t="e">
        <f t="shared" si="7"/>
        <v>#REF!</v>
      </c>
      <c r="BE73" s="1323"/>
      <c r="BF73" s="1323"/>
      <c r="BG73" s="1323"/>
      <c r="BH73" s="1323"/>
      <c r="BI73" s="1323" t="e">
        <f t="shared" si="4"/>
        <v>#REF!</v>
      </c>
      <c r="BJ73" s="1323"/>
      <c r="BK73" s="1323"/>
      <c r="BL73" s="1323"/>
      <c r="BM73" s="1323"/>
      <c r="BN73" s="1318"/>
      <c r="BO73" s="1318"/>
      <c r="BP73" s="1318"/>
    </row>
    <row r="74" spans="1:68" s="361" customFormat="1" ht="12.75" customHeight="1">
      <c r="A74" s="355"/>
      <c r="B74" s="1310">
        <f>'PLANILHA '!A33</f>
        <v>0</v>
      </c>
      <c r="C74" s="1310"/>
      <c r="D74" s="1311"/>
      <c r="E74" s="1311"/>
      <c r="F74" s="1311"/>
      <c r="G74" s="1311"/>
      <c r="H74" s="1311"/>
      <c r="I74" s="1311"/>
      <c r="J74" s="1311"/>
      <c r="K74" s="1311"/>
      <c r="L74" s="1311"/>
      <c r="M74" s="1311"/>
      <c r="N74" s="1311"/>
      <c r="O74" s="1311"/>
      <c r="P74" s="1311"/>
      <c r="Q74" s="1311"/>
      <c r="R74" s="1312">
        <f>'PLANILHA '!E33</f>
        <v>0</v>
      </c>
      <c r="S74" s="1312"/>
      <c r="T74" s="1313">
        <f>'PLANILHA '!G33</f>
        <v>0</v>
      </c>
      <c r="U74" s="1313"/>
      <c r="V74" s="1313"/>
      <c r="W74" s="1329">
        <f>'PLANILHA '!F33</f>
        <v>0</v>
      </c>
      <c r="X74" s="1329"/>
      <c r="Y74" s="1329"/>
      <c r="Z74" s="1320"/>
      <c r="AA74" s="1320"/>
      <c r="AB74" s="1320"/>
      <c r="AC74" s="1320"/>
      <c r="AD74" s="1315"/>
      <c r="AE74" s="1315"/>
      <c r="AF74" s="1315"/>
      <c r="AG74" s="1316"/>
      <c r="AH74" s="1316"/>
      <c r="AI74" s="1316"/>
      <c r="AJ74" s="1316"/>
      <c r="AK74" s="1315"/>
      <c r="AL74" s="1315"/>
      <c r="AM74" s="1315"/>
      <c r="AN74" s="1315"/>
      <c r="AO74" s="1315"/>
      <c r="AP74" s="1317" t="e">
        <f>'PLANILHA '!#REF!</f>
        <v>#REF!</v>
      </c>
      <c r="AQ74" s="1317"/>
      <c r="AR74" s="1317"/>
      <c r="AS74" s="1317"/>
      <c r="AT74" s="1317"/>
      <c r="AU74" s="1322"/>
      <c r="AV74" s="1322"/>
      <c r="AW74" s="1322"/>
      <c r="AX74" s="1322"/>
      <c r="AY74" s="1322"/>
      <c r="AZ74" s="1323" t="e">
        <f t="shared" si="8"/>
        <v>#REF!</v>
      </c>
      <c r="BA74" s="1323"/>
      <c r="BB74" s="1323"/>
      <c r="BC74" s="1323"/>
      <c r="BD74" s="1323" t="e">
        <f t="shared" si="7"/>
        <v>#REF!</v>
      </c>
      <c r="BE74" s="1323"/>
      <c r="BF74" s="1323"/>
      <c r="BG74" s="1323"/>
      <c r="BH74" s="1323"/>
      <c r="BI74" s="1323" t="e">
        <f t="shared" si="4"/>
        <v>#REF!</v>
      </c>
      <c r="BJ74" s="1323"/>
      <c r="BK74" s="1323"/>
      <c r="BL74" s="1323"/>
      <c r="BM74" s="1323"/>
      <c r="BN74" s="1318"/>
      <c r="BO74" s="1318"/>
      <c r="BP74" s="1318"/>
    </row>
    <row r="75" spans="1:68" s="361" customFormat="1" ht="12.75" customHeight="1">
      <c r="A75" s="355"/>
      <c r="B75" s="1310" t="e">
        <f>'PLANILHA '!#REF!</f>
        <v>#REF!</v>
      </c>
      <c r="C75" s="1310"/>
      <c r="D75" s="1311" t="e">
        <f>'PLANILHA '!#REF!</f>
        <v>#REF!</v>
      </c>
      <c r="E75" s="1311"/>
      <c r="F75" s="1311"/>
      <c r="G75" s="1311"/>
      <c r="H75" s="1311"/>
      <c r="I75" s="1311"/>
      <c r="J75" s="1311"/>
      <c r="K75" s="1311"/>
      <c r="L75" s="1311"/>
      <c r="M75" s="1311"/>
      <c r="N75" s="1311"/>
      <c r="O75" s="1311"/>
      <c r="P75" s="1311"/>
      <c r="Q75" s="1311"/>
      <c r="R75" s="1312" t="e">
        <f>'PLANILHA '!#REF!</f>
        <v>#REF!</v>
      </c>
      <c r="S75" s="1312"/>
      <c r="T75" s="1313" t="e">
        <f>'PLANILHA '!#REF!</f>
        <v>#REF!</v>
      </c>
      <c r="U75" s="1313"/>
      <c r="V75" s="1313"/>
      <c r="W75" s="1313" t="e">
        <f>'PLANILHA '!#REF!</f>
        <v>#REF!</v>
      </c>
      <c r="X75" s="1313"/>
      <c r="Y75" s="1313"/>
      <c r="Z75" s="1320"/>
      <c r="AA75" s="1320"/>
      <c r="AB75" s="1320"/>
      <c r="AC75" s="1320"/>
      <c r="AD75" s="1315"/>
      <c r="AE75" s="1315"/>
      <c r="AF75" s="1315"/>
      <c r="AG75" s="1321" t="e">
        <f>ROUND(W75*AD75,2)</f>
        <v>#REF!</v>
      </c>
      <c r="AH75" s="1321"/>
      <c r="AI75" s="1321"/>
      <c r="AJ75" s="1321"/>
      <c r="AK75" s="1315"/>
      <c r="AL75" s="1315"/>
      <c r="AM75" s="1315"/>
      <c r="AN75" s="1315"/>
      <c r="AO75" s="1315"/>
      <c r="AP75" s="1317" t="e">
        <f>'PLANILHA '!#REF!</f>
        <v>#REF!</v>
      </c>
      <c r="AQ75" s="1317"/>
      <c r="AR75" s="1317"/>
      <c r="AS75" s="1317"/>
      <c r="AT75" s="1317"/>
      <c r="AU75" s="1322" t="e">
        <f>AK75+AP75</f>
        <v>#REF!</v>
      </c>
      <c r="AV75" s="1322"/>
      <c r="AW75" s="1322"/>
      <c r="AX75" s="1322"/>
      <c r="AY75" s="1322"/>
      <c r="AZ75" s="1323" t="e">
        <f t="shared" si="8"/>
        <v>#REF!</v>
      </c>
      <c r="BA75" s="1323"/>
      <c r="BB75" s="1323"/>
      <c r="BC75" s="1323"/>
      <c r="BD75" s="1323" t="e">
        <f t="shared" si="7"/>
        <v>#REF!</v>
      </c>
      <c r="BE75" s="1323"/>
      <c r="BF75" s="1323"/>
      <c r="BG75" s="1323"/>
      <c r="BH75" s="1323"/>
      <c r="BI75" s="1323" t="e">
        <f t="shared" si="4"/>
        <v>#REF!</v>
      </c>
      <c r="BJ75" s="1323"/>
      <c r="BK75" s="1323"/>
      <c r="BL75" s="1323"/>
      <c r="BM75" s="1323"/>
      <c r="BN75" s="1318"/>
      <c r="BO75" s="1318"/>
      <c r="BP75" s="1318"/>
    </row>
    <row r="76" spans="1:68" s="361" customFormat="1" ht="12.75" customHeight="1">
      <c r="A76" s="355"/>
      <c r="B76" s="1310" t="e">
        <f>'PLANILHA '!#REF!</f>
        <v>#REF!</v>
      </c>
      <c r="C76" s="1310"/>
      <c r="D76" s="1311" t="e">
        <f>'PLANILHA '!#REF!</f>
        <v>#REF!</v>
      </c>
      <c r="E76" s="1311"/>
      <c r="F76" s="1311"/>
      <c r="G76" s="1311"/>
      <c r="H76" s="1311"/>
      <c r="I76" s="1311"/>
      <c r="J76" s="1311"/>
      <c r="K76" s="1311"/>
      <c r="L76" s="1311"/>
      <c r="M76" s="1311"/>
      <c r="N76" s="1311"/>
      <c r="O76" s="1311"/>
      <c r="P76" s="1311"/>
      <c r="Q76" s="1311"/>
      <c r="R76" s="1312" t="e">
        <f>'PLANILHA '!#REF!</f>
        <v>#REF!</v>
      </c>
      <c r="S76" s="1312"/>
      <c r="T76" s="1313" t="e">
        <f>'PLANILHA '!#REF!</f>
        <v>#REF!</v>
      </c>
      <c r="U76" s="1313"/>
      <c r="V76" s="1313"/>
      <c r="W76" s="1313" t="e">
        <f>'PLANILHA '!#REF!</f>
        <v>#REF!</v>
      </c>
      <c r="X76" s="1313"/>
      <c r="Y76" s="1313"/>
      <c r="Z76" s="1320"/>
      <c r="AA76" s="1320"/>
      <c r="AB76" s="1320"/>
      <c r="AC76" s="1320"/>
      <c r="AD76" s="1315"/>
      <c r="AE76" s="1315"/>
      <c r="AF76" s="1315"/>
      <c r="AG76" s="1321" t="e">
        <f>ROUND(W76*AD76,2)</f>
        <v>#REF!</v>
      </c>
      <c r="AH76" s="1321"/>
      <c r="AI76" s="1321"/>
      <c r="AJ76" s="1321"/>
      <c r="AK76" s="1315"/>
      <c r="AL76" s="1315"/>
      <c r="AM76" s="1315"/>
      <c r="AN76" s="1315"/>
      <c r="AO76" s="1315"/>
      <c r="AP76" s="1317" t="e">
        <f>'PLANILHA '!#REF!</f>
        <v>#REF!</v>
      </c>
      <c r="AQ76" s="1317"/>
      <c r="AR76" s="1317"/>
      <c r="AS76" s="1317"/>
      <c r="AT76" s="1317"/>
      <c r="AU76" s="1322" t="e">
        <f>AK76+AP76</f>
        <v>#REF!</v>
      </c>
      <c r="AV76" s="1322"/>
      <c r="AW76" s="1322"/>
      <c r="AX76" s="1322"/>
      <c r="AY76" s="1322"/>
      <c r="AZ76" s="1323" t="e">
        <f t="shared" si="8"/>
        <v>#REF!</v>
      </c>
      <c r="BA76" s="1323"/>
      <c r="BB76" s="1323"/>
      <c r="BC76" s="1323"/>
      <c r="BD76" s="1323" t="e">
        <f t="shared" si="7"/>
        <v>#REF!</v>
      </c>
      <c r="BE76" s="1323"/>
      <c r="BF76" s="1323"/>
      <c r="BG76" s="1323"/>
      <c r="BH76" s="1323"/>
      <c r="BI76" s="1323" t="e">
        <f t="shared" si="4"/>
        <v>#REF!</v>
      </c>
      <c r="BJ76" s="1323"/>
      <c r="BK76" s="1323"/>
      <c r="BL76" s="1323"/>
      <c r="BM76" s="1323"/>
      <c r="BN76" s="1318"/>
      <c r="BO76" s="1318"/>
      <c r="BP76" s="1318"/>
    </row>
    <row r="77" spans="1:68" s="361" customFormat="1" ht="12.75" customHeight="1">
      <c r="A77" s="355"/>
      <c r="B77" s="1310" t="e">
        <f>'PLANILHA '!#REF!</f>
        <v>#REF!</v>
      </c>
      <c r="C77" s="1310"/>
      <c r="D77" s="1311" t="e">
        <f>'PLANILHA '!#REF!</f>
        <v>#REF!</v>
      </c>
      <c r="E77" s="1311"/>
      <c r="F77" s="1311"/>
      <c r="G77" s="1311"/>
      <c r="H77" s="1311"/>
      <c r="I77" s="1311"/>
      <c r="J77" s="1311"/>
      <c r="K77" s="1311"/>
      <c r="L77" s="1311"/>
      <c r="M77" s="1311"/>
      <c r="N77" s="1311"/>
      <c r="O77" s="1311"/>
      <c r="P77" s="1311"/>
      <c r="Q77" s="1311"/>
      <c r="R77" s="1312" t="e">
        <f>'PLANILHA '!#REF!</f>
        <v>#REF!</v>
      </c>
      <c r="S77" s="1312"/>
      <c r="T77" s="1313" t="e">
        <f>'PLANILHA '!#REF!</f>
        <v>#REF!</v>
      </c>
      <c r="U77" s="1313"/>
      <c r="V77" s="1313"/>
      <c r="W77" s="1313" t="e">
        <f>'PLANILHA '!#REF!</f>
        <v>#REF!</v>
      </c>
      <c r="X77" s="1313"/>
      <c r="Y77" s="1313"/>
      <c r="Z77" s="1320"/>
      <c r="AA77" s="1320"/>
      <c r="AB77" s="1320"/>
      <c r="AC77" s="1320"/>
      <c r="AD77" s="1315"/>
      <c r="AE77" s="1315"/>
      <c r="AF77" s="1315"/>
      <c r="AG77" s="1321" t="e">
        <f>ROUND(W77*AD77,2)</f>
        <v>#REF!</v>
      </c>
      <c r="AH77" s="1321"/>
      <c r="AI77" s="1321"/>
      <c r="AJ77" s="1321"/>
      <c r="AK77" s="1315"/>
      <c r="AL77" s="1315"/>
      <c r="AM77" s="1315"/>
      <c r="AN77" s="1315"/>
      <c r="AO77" s="1315"/>
      <c r="AP77" s="1317" t="e">
        <f>'PLANILHA '!#REF!</f>
        <v>#REF!</v>
      </c>
      <c r="AQ77" s="1317"/>
      <c r="AR77" s="1317"/>
      <c r="AS77" s="1317"/>
      <c r="AT77" s="1317"/>
      <c r="AU77" s="1322" t="e">
        <f>AK77+AP77</f>
        <v>#REF!</v>
      </c>
      <c r="AV77" s="1322"/>
      <c r="AW77" s="1322"/>
      <c r="AX77" s="1322"/>
      <c r="AY77" s="1322"/>
      <c r="AZ77" s="1323" t="e">
        <f t="shared" si="8"/>
        <v>#REF!</v>
      </c>
      <c r="BA77" s="1323"/>
      <c r="BB77" s="1323"/>
      <c r="BC77" s="1323"/>
      <c r="BD77" s="1323" t="e">
        <f t="shared" si="7"/>
        <v>#REF!</v>
      </c>
      <c r="BE77" s="1323"/>
      <c r="BF77" s="1323"/>
      <c r="BG77" s="1323"/>
      <c r="BH77" s="1323"/>
      <c r="BI77" s="1323" t="e">
        <f t="shared" si="4"/>
        <v>#REF!</v>
      </c>
      <c r="BJ77" s="1323"/>
      <c r="BK77" s="1323"/>
      <c r="BL77" s="1323"/>
      <c r="BM77" s="1323"/>
      <c r="BN77" s="1318"/>
      <c r="BO77" s="1318"/>
      <c r="BP77" s="1318"/>
    </row>
    <row r="78" spans="1:68" s="361" customFormat="1" ht="12.75" customHeight="1">
      <c r="A78" s="355"/>
      <c r="B78" s="1310" t="e">
        <f>'PLANILHA '!#REF!</f>
        <v>#REF!</v>
      </c>
      <c r="C78" s="1310"/>
      <c r="D78" s="1311" t="e">
        <f>'PLANILHA '!#REF!</f>
        <v>#REF!</v>
      </c>
      <c r="E78" s="1311"/>
      <c r="F78" s="1311"/>
      <c r="G78" s="1311"/>
      <c r="H78" s="1311"/>
      <c r="I78" s="1311"/>
      <c r="J78" s="1311"/>
      <c r="K78" s="1311"/>
      <c r="L78" s="1311"/>
      <c r="M78" s="1311"/>
      <c r="N78" s="1311"/>
      <c r="O78" s="1311"/>
      <c r="P78" s="1311"/>
      <c r="Q78" s="1311"/>
      <c r="R78" s="1312" t="e">
        <f>'PLANILHA '!#REF!</f>
        <v>#REF!</v>
      </c>
      <c r="S78" s="1312"/>
      <c r="T78" s="1313" t="e">
        <f>'PLANILHA '!#REF!</f>
        <v>#REF!</v>
      </c>
      <c r="U78" s="1313"/>
      <c r="V78" s="1313"/>
      <c r="W78" s="1313" t="e">
        <f>'PLANILHA '!#REF!</f>
        <v>#REF!</v>
      </c>
      <c r="X78" s="1313"/>
      <c r="Y78" s="1313"/>
      <c r="Z78" s="1320"/>
      <c r="AA78" s="1320"/>
      <c r="AB78" s="1320"/>
      <c r="AC78" s="1320"/>
      <c r="AD78" s="1315"/>
      <c r="AE78" s="1315"/>
      <c r="AF78" s="1315"/>
      <c r="AG78" s="1321" t="e">
        <f>ROUND(W78*AD78,2)</f>
        <v>#REF!</v>
      </c>
      <c r="AH78" s="1321"/>
      <c r="AI78" s="1321"/>
      <c r="AJ78" s="1321"/>
      <c r="AK78" s="1315"/>
      <c r="AL78" s="1315"/>
      <c r="AM78" s="1315"/>
      <c r="AN78" s="1315"/>
      <c r="AO78" s="1315"/>
      <c r="AP78" s="1317" t="e">
        <f>'PLANILHA '!#REF!</f>
        <v>#REF!</v>
      </c>
      <c r="AQ78" s="1317"/>
      <c r="AR78" s="1317"/>
      <c r="AS78" s="1317"/>
      <c r="AT78" s="1317"/>
      <c r="AU78" s="1322" t="e">
        <f>AK78+AP78</f>
        <v>#REF!</v>
      </c>
      <c r="AV78" s="1322"/>
      <c r="AW78" s="1322"/>
      <c r="AX78" s="1322"/>
      <c r="AY78" s="1322"/>
      <c r="AZ78" s="1323" t="e">
        <f t="shared" si="8"/>
        <v>#REF!</v>
      </c>
      <c r="BA78" s="1323"/>
      <c r="BB78" s="1323"/>
      <c r="BC78" s="1323"/>
      <c r="BD78" s="1323" t="e">
        <f t="shared" si="7"/>
        <v>#REF!</v>
      </c>
      <c r="BE78" s="1323"/>
      <c r="BF78" s="1323"/>
      <c r="BG78" s="1323"/>
      <c r="BH78" s="1323"/>
      <c r="BI78" s="1323" t="e">
        <f t="shared" si="4"/>
        <v>#REF!</v>
      </c>
      <c r="BJ78" s="1323"/>
      <c r="BK78" s="1323"/>
      <c r="BL78" s="1323"/>
      <c r="BM78" s="1323"/>
      <c r="BN78" s="1318"/>
      <c r="BO78" s="1318"/>
      <c r="BP78" s="1318"/>
    </row>
    <row r="79" spans="1:68" s="361" customFormat="1" ht="12.75" customHeight="1">
      <c r="A79" s="355"/>
      <c r="B79" s="1310" t="e">
        <f>'PLANILHA '!#REF!</f>
        <v>#REF!</v>
      </c>
      <c r="C79" s="1310"/>
      <c r="D79" s="1311" t="e">
        <f>'PLANILHA '!#REF!</f>
        <v>#REF!</v>
      </c>
      <c r="E79" s="1311"/>
      <c r="F79" s="1311"/>
      <c r="G79" s="1311"/>
      <c r="H79" s="1311"/>
      <c r="I79" s="1311"/>
      <c r="J79" s="1311"/>
      <c r="K79" s="1311"/>
      <c r="L79" s="1311"/>
      <c r="M79" s="1311"/>
      <c r="N79" s="1311"/>
      <c r="O79" s="1311"/>
      <c r="P79" s="1311"/>
      <c r="Q79" s="1311"/>
      <c r="R79" s="1312" t="e">
        <f>'PLANILHA '!#REF!</f>
        <v>#REF!</v>
      </c>
      <c r="S79" s="1312"/>
      <c r="T79" s="1313" t="e">
        <f>'PLANILHA '!#REF!</f>
        <v>#REF!</v>
      </c>
      <c r="U79" s="1313"/>
      <c r="V79" s="1313"/>
      <c r="W79" s="1313" t="e">
        <f>'PLANILHA '!#REF!</f>
        <v>#REF!</v>
      </c>
      <c r="X79" s="1313"/>
      <c r="Y79" s="1313"/>
      <c r="Z79" s="1320"/>
      <c r="AA79" s="1320"/>
      <c r="AB79" s="1320"/>
      <c r="AC79" s="1320"/>
      <c r="AD79" s="1315"/>
      <c r="AE79" s="1315"/>
      <c r="AF79" s="1315"/>
      <c r="AG79" s="1321" t="e">
        <f>ROUND(W79*AD79,2)</f>
        <v>#REF!</v>
      </c>
      <c r="AH79" s="1321"/>
      <c r="AI79" s="1321"/>
      <c r="AJ79" s="1321"/>
      <c r="AK79" s="1315"/>
      <c r="AL79" s="1315"/>
      <c r="AM79" s="1315"/>
      <c r="AN79" s="1315"/>
      <c r="AO79" s="1315"/>
      <c r="AP79" s="1317" t="e">
        <f>'PLANILHA '!#REF!</f>
        <v>#REF!</v>
      </c>
      <c r="AQ79" s="1317"/>
      <c r="AR79" s="1317"/>
      <c r="AS79" s="1317"/>
      <c r="AT79" s="1317"/>
      <c r="AU79" s="1322" t="e">
        <f>AK79+AP79</f>
        <v>#REF!</v>
      </c>
      <c r="AV79" s="1322"/>
      <c r="AW79" s="1322"/>
      <c r="AX79" s="1322"/>
      <c r="AY79" s="1322"/>
      <c r="AZ79" s="1323" t="e">
        <f t="shared" si="8"/>
        <v>#REF!</v>
      </c>
      <c r="BA79" s="1323"/>
      <c r="BB79" s="1323"/>
      <c r="BC79" s="1323"/>
      <c r="BD79" s="1323" t="e">
        <f t="shared" si="7"/>
        <v>#REF!</v>
      </c>
      <c r="BE79" s="1323"/>
      <c r="BF79" s="1323"/>
      <c r="BG79" s="1323"/>
      <c r="BH79" s="1323"/>
      <c r="BI79" s="1323" t="e">
        <f t="shared" si="4"/>
        <v>#REF!</v>
      </c>
      <c r="BJ79" s="1323"/>
      <c r="BK79" s="1323"/>
      <c r="BL79" s="1323"/>
      <c r="BM79" s="1323"/>
      <c r="BN79" s="1318"/>
      <c r="BO79" s="1318"/>
      <c r="BP79" s="1318"/>
    </row>
    <row r="80" spans="1:68" s="361" customFormat="1" ht="12.75" customHeight="1">
      <c r="A80" s="355"/>
      <c r="B80" s="1310" t="e">
        <f>'PLANILHA '!#REF!</f>
        <v>#REF!</v>
      </c>
      <c r="C80" s="1310"/>
      <c r="D80" s="1311" t="e">
        <f>'PLANILHA '!#REF!</f>
        <v>#REF!</v>
      </c>
      <c r="E80" s="1311"/>
      <c r="F80" s="1311"/>
      <c r="G80" s="1311"/>
      <c r="H80" s="1311"/>
      <c r="I80" s="1311"/>
      <c r="J80" s="1311"/>
      <c r="K80" s="1311"/>
      <c r="L80" s="1311"/>
      <c r="M80" s="1311"/>
      <c r="N80" s="1311"/>
      <c r="O80" s="1311"/>
      <c r="P80" s="1311"/>
      <c r="Q80" s="1311"/>
      <c r="R80" s="1312" t="e">
        <f>'PLANILHA '!#REF!</f>
        <v>#REF!</v>
      </c>
      <c r="S80" s="1312"/>
      <c r="T80" s="1313" t="e">
        <f>'PLANILHA '!#REF!</f>
        <v>#REF!</v>
      </c>
      <c r="U80" s="1313"/>
      <c r="V80" s="1313"/>
      <c r="W80" s="1313" t="e">
        <f>'PLANILHA '!#REF!</f>
        <v>#REF!</v>
      </c>
      <c r="X80" s="1313"/>
      <c r="Y80" s="1313"/>
      <c r="Z80" s="1325"/>
      <c r="AA80" s="1325"/>
      <c r="AB80" s="1325"/>
      <c r="AC80" s="1325"/>
      <c r="AD80" s="1315"/>
      <c r="AE80" s="1315"/>
      <c r="AF80" s="1315"/>
      <c r="AG80" s="1321"/>
      <c r="AH80" s="1321"/>
      <c r="AI80" s="1321"/>
      <c r="AJ80" s="1321"/>
      <c r="AK80" s="396"/>
      <c r="AL80" s="397"/>
      <c r="AM80" s="397"/>
      <c r="AN80" s="397"/>
      <c r="AO80" s="398"/>
      <c r="AP80" s="1317" t="e">
        <f>'PLANILHA '!#REF!</f>
        <v>#REF!</v>
      </c>
      <c r="AQ80" s="1317"/>
      <c r="AR80" s="1317"/>
      <c r="AS80" s="1317"/>
      <c r="AT80" s="1317"/>
      <c r="AU80" s="399"/>
      <c r="AV80" s="400"/>
      <c r="AW80" s="400"/>
      <c r="AX80" s="400"/>
      <c r="AY80" s="401"/>
      <c r="AZ80" s="1323" t="e">
        <f t="shared" si="8"/>
        <v>#REF!</v>
      </c>
      <c r="BA80" s="1323"/>
      <c r="BB80" s="1323"/>
      <c r="BC80" s="1323"/>
      <c r="BD80" s="1323" t="e">
        <f t="shared" si="7"/>
        <v>#REF!</v>
      </c>
      <c r="BE80" s="1323"/>
      <c r="BF80" s="1323"/>
      <c r="BG80" s="1323"/>
      <c r="BH80" s="1323"/>
      <c r="BI80" s="1323" t="e">
        <f t="shared" si="4"/>
        <v>#REF!</v>
      </c>
      <c r="BJ80" s="1323"/>
      <c r="BK80" s="1323"/>
      <c r="BL80" s="1323"/>
      <c r="BM80" s="1323"/>
      <c r="BN80" s="402"/>
      <c r="BO80" s="403"/>
      <c r="BP80" s="404"/>
    </row>
    <row r="81" spans="1:68" s="361" customFormat="1" ht="12.75" customHeight="1">
      <c r="A81" s="355"/>
      <c r="B81" s="1310" t="e">
        <f>'PLANILHA '!#REF!</f>
        <v>#REF!</v>
      </c>
      <c r="C81" s="1310"/>
      <c r="D81" s="1311" t="e">
        <f>'PLANILHA '!#REF!</f>
        <v>#REF!</v>
      </c>
      <c r="E81" s="1311"/>
      <c r="F81" s="1311"/>
      <c r="G81" s="1311"/>
      <c r="H81" s="1311"/>
      <c r="I81" s="1311"/>
      <c r="J81" s="1311"/>
      <c r="K81" s="1311"/>
      <c r="L81" s="1311"/>
      <c r="M81" s="1311"/>
      <c r="N81" s="1311"/>
      <c r="O81" s="1311"/>
      <c r="P81" s="1311"/>
      <c r="Q81" s="1311"/>
      <c r="R81" s="1312" t="e">
        <f>'PLANILHA '!#REF!</f>
        <v>#REF!</v>
      </c>
      <c r="S81" s="1312"/>
      <c r="T81" s="1313" t="e">
        <f>'PLANILHA '!#REF!</f>
        <v>#REF!</v>
      </c>
      <c r="U81" s="1313"/>
      <c r="V81" s="1313"/>
      <c r="W81" s="1313" t="e">
        <f>'PLANILHA '!#REF!</f>
        <v>#REF!</v>
      </c>
      <c r="X81" s="1313"/>
      <c r="Y81" s="1313"/>
      <c r="Z81" s="1320"/>
      <c r="AA81" s="1320"/>
      <c r="AB81" s="1320"/>
      <c r="AC81" s="1320"/>
      <c r="AD81" s="1315"/>
      <c r="AE81" s="1315"/>
      <c r="AF81" s="1315"/>
      <c r="AG81" s="1316"/>
      <c r="AH81" s="1316"/>
      <c r="AI81" s="1316"/>
      <c r="AJ81" s="1316"/>
      <c r="AK81" s="1315"/>
      <c r="AL81" s="1315"/>
      <c r="AM81" s="1315"/>
      <c r="AN81" s="1315"/>
      <c r="AO81" s="1315"/>
      <c r="AP81" s="1317" t="e">
        <f>'PLANILHA '!#REF!</f>
        <v>#REF!</v>
      </c>
      <c r="AQ81" s="1317"/>
      <c r="AR81" s="1317"/>
      <c r="AS81" s="1317"/>
      <c r="AT81" s="1317"/>
      <c r="AU81" s="1316"/>
      <c r="AV81" s="1316"/>
      <c r="AW81" s="1316"/>
      <c r="AX81" s="1316"/>
      <c r="AY81" s="1316"/>
      <c r="AZ81" s="1323" t="e">
        <f t="shared" si="8"/>
        <v>#REF!</v>
      </c>
      <c r="BA81" s="1323"/>
      <c r="BB81" s="1323"/>
      <c r="BC81" s="1323"/>
      <c r="BD81" s="1323" t="e">
        <f t="shared" si="7"/>
        <v>#REF!</v>
      </c>
      <c r="BE81" s="1323"/>
      <c r="BF81" s="1323"/>
      <c r="BG81" s="1323"/>
      <c r="BH81" s="1323"/>
      <c r="BI81" s="1323" t="e">
        <f t="shared" si="4"/>
        <v>#REF!</v>
      </c>
      <c r="BJ81" s="1323"/>
      <c r="BK81" s="1323"/>
      <c r="BL81" s="1323"/>
      <c r="BM81" s="1323"/>
      <c r="BN81" s="1318"/>
      <c r="BO81" s="1318"/>
      <c r="BP81" s="1318"/>
    </row>
    <row r="82" spans="1:68" s="361" customFormat="1" ht="12.75" customHeight="1">
      <c r="A82" s="355"/>
      <c r="B82" s="1310" t="e">
        <f>'PLANILHA '!#REF!</f>
        <v>#REF!</v>
      </c>
      <c r="C82" s="1310"/>
      <c r="D82" s="1311"/>
      <c r="E82" s="1311"/>
      <c r="F82" s="1311"/>
      <c r="G82" s="1311"/>
      <c r="H82" s="1311"/>
      <c r="I82" s="1311"/>
      <c r="J82" s="1311"/>
      <c r="K82" s="1311"/>
      <c r="L82" s="1311"/>
      <c r="M82" s="1311"/>
      <c r="N82" s="1311"/>
      <c r="O82" s="1311"/>
      <c r="P82" s="1311"/>
      <c r="Q82" s="1311"/>
      <c r="R82" s="1312" t="e">
        <f>'PLANILHA '!#REF!</f>
        <v>#REF!</v>
      </c>
      <c r="S82" s="1312"/>
      <c r="T82" s="1313" t="e">
        <f>'PLANILHA '!#REF!</f>
        <v>#REF!</v>
      </c>
      <c r="U82" s="1313"/>
      <c r="V82" s="1313"/>
      <c r="W82" s="1313" t="e">
        <f>'PLANILHA '!#REF!</f>
        <v>#REF!</v>
      </c>
      <c r="X82" s="1313"/>
      <c r="Y82" s="1313"/>
      <c r="Z82" s="1320"/>
      <c r="AA82" s="1320"/>
      <c r="AB82" s="1320"/>
      <c r="AC82" s="1320"/>
      <c r="AD82" s="1315"/>
      <c r="AE82" s="1315"/>
      <c r="AF82" s="1315"/>
      <c r="AG82" s="1321" t="e">
        <f>ROUND(W82*AD82,2)</f>
        <v>#REF!</v>
      </c>
      <c r="AH82" s="1321"/>
      <c r="AI82" s="1321"/>
      <c r="AJ82" s="1321"/>
      <c r="AK82" s="1315"/>
      <c r="AL82" s="1315"/>
      <c r="AM82" s="1315"/>
      <c r="AN82" s="1315"/>
      <c r="AO82" s="1315"/>
      <c r="AP82" s="1317" t="e">
        <f>'PLANILHA '!#REF!</f>
        <v>#REF!</v>
      </c>
      <c r="AQ82" s="1317"/>
      <c r="AR82" s="1317"/>
      <c r="AS82" s="1317"/>
      <c r="AT82" s="1317"/>
      <c r="AU82" s="1322" t="e">
        <f>AK82+AP82</f>
        <v>#REF!</v>
      </c>
      <c r="AV82" s="1322"/>
      <c r="AW82" s="1322"/>
      <c r="AX82" s="1322"/>
      <c r="AY82" s="1322"/>
      <c r="AZ82" s="1323" t="e">
        <f t="shared" si="8"/>
        <v>#REF!</v>
      </c>
      <c r="BA82" s="1323"/>
      <c r="BB82" s="1323"/>
      <c r="BC82" s="1323"/>
      <c r="BD82" s="1323" t="e">
        <f t="shared" si="7"/>
        <v>#REF!</v>
      </c>
      <c r="BE82" s="1323"/>
      <c r="BF82" s="1323"/>
      <c r="BG82" s="1323"/>
      <c r="BH82" s="1323"/>
      <c r="BI82" s="1323" t="e">
        <f t="shared" si="4"/>
        <v>#REF!</v>
      </c>
      <c r="BJ82" s="1323"/>
      <c r="BK82" s="1323"/>
      <c r="BL82" s="1323"/>
      <c r="BM82" s="1323"/>
      <c r="BN82" s="1318"/>
      <c r="BO82" s="1318"/>
      <c r="BP82" s="1318"/>
    </row>
    <row r="83" spans="1:68" s="361" customFormat="1" ht="12.75" customHeight="1">
      <c r="A83" s="355"/>
      <c r="B83" s="1310">
        <f>'PLANILHA '!A34</f>
        <v>4</v>
      </c>
      <c r="C83" s="1310"/>
      <c r="D83" s="1311" t="str">
        <f>'PLANILHA '!D34</f>
        <v>REVESTIMENTOS</v>
      </c>
      <c r="E83" s="1311"/>
      <c r="F83" s="1311"/>
      <c r="G83" s="1311"/>
      <c r="H83" s="1311"/>
      <c r="I83" s="1311"/>
      <c r="J83" s="1311"/>
      <c r="K83" s="1311"/>
      <c r="L83" s="1311"/>
      <c r="M83" s="1311"/>
      <c r="N83" s="1311"/>
      <c r="O83" s="1311"/>
      <c r="P83" s="1311"/>
      <c r="Q83" s="1311"/>
      <c r="R83" s="1312">
        <f>'PLANILHA '!E34</f>
        <v>0</v>
      </c>
      <c r="S83" s="1312"/>
      <c r="T83" s="1313">
        <f>'PLANILHA '!G34</f>
        <v>0</v>
      </c>
      <c r="U83" s="1313"/>
      <c r="V83" s="1313"/>
      <c r="W83" s="1329">
        <f>'PLANILHA '!F34</f>
        <v>0</v>
      </c>
      <c r="X83" s="1329"/>
      <c r="Y83" s="1329"/>
      <c r="Z83" s="1320"/>
      <c r="AA83" s="1320"/>
      <c r="AB83" s="1320"/>
      <c r="AC83" s="1320"/>
      <c r="AD83" s="1315"/>
      <c r="AE83" s="1315"/>
      <c r="AF83" s="1315"/>
      <c r="AG83" s="1321">
        <f>ROUND(W83*AD83,2)</f>
        <v>0</v>
      </c>
      <c r="AH83" s="1321"/>
      <c r="AI83" s="1321"/>
      <c r="AJ83" s="1321"/>
      <c r="AK83" s="1315"/>
      <c r="AL83" s="1315"/>
      <c r="AM83" s="1315"/>
      <c r="AN83" s="1315"/>
      <c r="AO83" s="1315"/>
      <c r="AP83" s="1317" t="e">
        <f>'PLANILHA '!#REF!</f>
        <v>#REF!</v>
      </c>
      <c r="AQ83" s="1317"/>
      <c r="AR83" s="1317"/>
      <c r="AS83" s="1317"/>
      <c r="AT83" s="1317"/>
      <c r="AU83" s="1322" t="e">
        <f>AK83+AP83</f>
        <v>#REF!</v>
      </c>
      <c r="AV83" s="1322"/>
      <c r="AW83" s="1322"/>
      <c r="AX83" s="1322"/>
      <c r="AY83" s="1322"/>
      <c r="AZ83" s="1323" t="e">
        <f t="shared" si="8"/>
        <v>#REF!</v>
      </c>
      <c r="BA83" s="1323"/>
      <c r="BB83" s="1323"/>
      <c r="BC83" s="1323"/>
      <c r="BD83" s="1323" t="e">
        <f t="shared" si="7"/>
        <v>#REF!</v>
      </c>
      <c r="BE83" s="1323"/>
      <c r="BF83" s="1323"/>
      <c r="BG83" s="1323"/>
      <c r="BH83" s="1323"/>
      <c r="BI83" s="1323" t="e">
        <f t="shared" si="4"/>
        <v>#REF!</v>
      </c>
      <c r="BJ83" s="1323"/>
      <c r="BK83" s="1323"/>
      <c r="BL83" s="1323"/>
      <c r="BM83" s="1323"/>
      <c r="BN83" s="1318"/>
      <c r="BO83" s="1318"/>
      <c r="BP83" s="1318"/>
    </row>
    <row r="84" spans="1:68" s="361" customFormat="1" ht="12.75" customHeight="1">
      <c r="A84" s="355"/>
      <c r="B84" s="1310" t="e">
        <f>'PLANILHA '!#REF!</f>
        <v>#REF!</v>
      </c>
      <c r="C84" s="1310"/>
      <c r="D84" s="1311" t="e">
        <f>'PLANILHA '!#REF!</f>
        <v>#REF!</v>
      </c>
      <c r="E84" s="1311"/>
      <c r="F84" s="1311"/>
      <c r="G84" s="1311"/>
      <c r="H84" s="1311"/>
      <c r="I84" s="1311"/>
      <c r="J84" s="1311"/>
      <c r="K84" s="1311"/>
      <c r="L84" s="1311"/>
      <c r="M84" s="1311"/>
      <c r="N84" s="1311"/>
      <c r="O84" s="1311"/>
      <c r="P84" s="1311"/>
      <c r="Q84" s="1311"/>
      <c r="R84" s="1312" t="e">
        <f>'PLANILHA '!#REF!</f>
        <v>#REF!</v>
      </c>
      <c r="S84" s="1312"/>
      <c r="T84" s="1313" t="e">
        <f>'PLANILHA '!#REF!</f>
        <v>#REF!</v>
      </c>
      <c r="U84" s="1313"/>
      <c r="V84" s="1313"/>
      <c r="W84" s="1313" t="e">
        <f>'PLANILHA '!#REF!</f>
        <v>#REF!</v>
      </c>
      <c r="X84" s="1313"/>
      <c r="Y84" s="1313"/>
      <c r="Z84" s="1320"/>
      <c r="AA84" s="1320"/>
      <c r="AB84" s="1320"/>
      <c r="AC84" s="1320"/>
      <c r="AD84" s="1315"/>
      <c r="AE84" s="1315"/>
      <c r="AF84" s="1315"/>
      <c r="AG84" s="1321" t="e">
        <f>ROUND(W84*AD84,2)</f>
        <v>#REF!</v>
      </c>
      <c r="AH84" s="1321"/>
      <c r="AI84" s="1321"/>
      <c r="AJ84" s="1321"/>
      <c r="AK84" s="1315"/>
      <c r="AL84" s="1315"/>
      <c r="AM84" s="1315"/>
      <c r="AN84" s="1315"/>
      <c r="AO84" s="1315"/>
      <c r="AP84" s="1317" t="e">
        <f>'PLANILHA '!#REF!</f>
        <v>#REF!</v>
      </c>
      <c r="AQ84" s="1317"/>
      <c r="AR84" s="1317"/>
      <c r="AS84" s="1317"/>
      <c r="AT84" s="1317"/>
      <c r="AU84" s="1322" t="e">
        <f>AK84+AP84</f>
        <v>#REF!</v>
      </c>
      <c r="AV84" s="1322"/>
      <c r="AW84" s="1322"/>
      <c r="AX84" s="1322"/>
      <c r="AY84" s="1322"/>
      <c r="AZ84" s="1323" t="e">
        <f t="shared" si="8"/>
        <v>#REF!</v>
      </c>
      <c r="BA84" s="1323"/>
      <c r="BB84" s="1323"/>
      <c r="BC84" s="1323"/>
      <c r="BD84" s="1323" t="e">
        <f t="shared" si="7"/>
        <v>#REF!</v>
      </c>
      <c r="BE84" s="1323"/>
      <c r="BF84" s="1323"/>
      <c r="BG84" s="1323"/>
      <c r="BH84" s="1323"/>
      <c r="BI84" s="1323" t="e">
        <f t="shared" si="4"/>
        <v>#REF!</v>
      </c>
      <c r="BJ84" s="1323"/>
      <c r="BK84" s="1323"/>
      <c r="BL84" s="1323"/>
      <c r="BM84" s="1323"/>
      <c r="BN84" s="1318"/>
      <c r="BO84" s="1318"/>
      <c r="BP84" s="1318"/>
    </row>
    <row r="85" spans="1:68" s="361" customFormat="1" ht="12.75" customHeight="1">
      <c r="A85" s="355"/>
      <c r="B85" s="1310" t="e">
        <f>'PLANILHA '!#REF!</f>
        <v>#REF!</v>
      </c>
      <c r="C85" s="1310"/>
      <c r="D85" s="1311" t="e">
        <f>'PLANILHA '!#REF!</f>
        <v>#REF!</v>
      </c>
      <c r="E85" s="1311"/>
      <c r="F85" s="1311"/>
      <c r="G85" s="1311"/>
      <c r="H85" s="1311"/>
      <c r="I85" s="1311"/>
      <c r="J85" s="1311"/>
      <c r="K85" s="1311"/>
      <c r="L85" s="1311"/>
      <c r="M85" s="1311"/>
      <c r="N85" s="1311"/>
      <c r="O85" s="1311"/>
      <c r="P85" s="1311"/>
      <c r="Q85" s="1311"/>
      <c r="R85" s="1312" t="e">
        <f>'PLANILHA '!#REF!</f>
        <v>#REF!</v>
      </c>
      <c r="S85" s="1312"/>
      <c r="T85" s="1313" t="e">
        <f>'PLANILHA '!#REF!</f>
        <v>#REF!</v>
      </c>
      <c r="U85" s="1313"/>
      <c r="V85" s="1313"/>
      <c r="W85" s="1313" t="e">
        <f>'PLANILHA '!#REF!</f>
        <v>#REF!</v>
      </c>
      <c r="X85" s="1313"/>
      <c r="Y85" s="1313"/>
      <c r="Z85" s="1320"/>
      <c r="AA85" s="1320"/>
      <c r="AB85" s="1320"/>
      <c r="AC85" s="1320"/>
      <c r="AD85" s="1315"/>
      <c r="AE85" s="1315"/>
      <c r="AF85" s="1315"/>
      <c r="AG85" s="1321" t="e">
        <f>ROUND(W85*AD85,2)</f>
        <v>#REF!</v>
      </c>
      <c r="AH85" s="1321"/>
      <c r="AI85" s="1321"/>
      <c r="AJ85" s="1321"/>
      <c r="AK85" s="1315"/>
      <c r="AL85" s="1315"/>
      <c r="AM85" s="1315"/>
      <c r="AN85" s="1315"/>
      <c r="AO85" s="1315"/>
      <c r="AP85" s="1317" t="e">
        <f>'PLANILHA '!#REF!</f>
        <v>#REF!</v>
      </c>
      <c r="AQ85" s="1317"/>
      <c r="AR85" s="1317"/>
      <c r="AS85" s="1317"/>
      <c r="AT85" s="1317"/>
      <c r="AU85" s="1322" t="e">
        <f>AK85+AP85</f>
        <v>#REF!</v>
      </c>
      <c r="AV85" s="1322"/>
      <c r="AW85" s="1322"/>
      <c r="AX85" s="1322"/>
      <c r="AY85" s="1322"/>
      <c r="AZ85" s="1323" t="e">
        <f t="shared" si="8"/>
        <v>#REF!</v>
      </c>
      <c r="BA85" s="1323"/>
      <c r="BB85" s="1323"/>
      <c r="BC85" s="1323"/>
      <c r="BD85" s="1323" t="e">
        <f t="shared" si="7"/>
        <v>#REF!</v>
      </c>
      <c r="BE85" s="1323"/>
      <c r="BF85" s="1323"/>
      <c r="BG85" s="1323"/>
      <c r="BH85" s="1323"/>
      <c r="BI85" s="1323" t="e">
        <f t="shared" si="4"/>
        <v>#REF!</v>
      </c>
      <c r="BJ85" s="1323"/>
      <c r="BK85" s="1323"/>
      <c r="BL85" s="1323"/>
      <c r="BM85" s="1323"/>
      <c r="BN85" s="1318"/>
      <c r="BO85" s="1318"/>
      <c r="BP85" s="1318"/>
    </row>
    <row r="86" spans="1:68" s="361" customFormat="1" ht="12.75" customHeight="1">
      <c r="A86" s="355"/>
      <c r="B86" s="1310" t="str">
        <f>'PLANILHA '!A35</f>
        <v>4.1</v>
      </c>
      <c r="C86" s="1310"/>
      <c r="D86" s="1311" t="str">
        <f>'PLANILHA '!D35</f>
        <v>Chapisco</v>
      </c>
      <c r="E86" s="1311"/>
      <c r="F86" s="1311"/>
      <c r="G86" s="1311"/>
      <c r="H86" s="1311"/>
      <c r="I86" s="1311"/>
      <c r="J86" s="1311"/>
      <c r="K86" s="1311"/>
      <c r="L86" s="1311"/>
      <c r="M86" s="1311"/>
      <c r="N86" s="1311"/>
      <c r="O86" s="1311"/>
      <c r="P86" s="1311"/>
      <c r="Q86" s="1311"/>
      <c r="R86" s="1312" t="str">
        <f>'PLANILHA '!E35</f>
        <v>m2</v>
      </c>
      <c r="S86" s="1312"/>
      <c r="T86" s="1330">
        <f>'PLANILHA '!G35</f>
        <v>156.88</v>
      </c>
      <c r="U86" s="1330"/>
      <c r="V86" s="1330"/>
      <c r="W86" s="1329">
        <f>'PLANILHA '!F35</f>
        <v>4.66</v>
      </c>
      <c r="X86" s="1329"/>
      <c r="Y86" s="1329"/>
      <c r="Z86" s="1325"/>
      <c r="AA86" s="1325"/>
      <c r="AB86" s="1325"/>
      <c r="AC86" s="1325"/>
      <c r="AD86" s="1315"/>
      <c r="AE86" s="1315"/>
      <c r="AF86" s="1315"/>
      <c r="AG86" s="1321"/>
      <c r="AH86" s="1321"/>
      <c r="AI86" s="1321"/>
      <c r="AJ86" s="1321"/>
      <c r="AK86" s="396"/>
      <c r="AL86" s="397"/>
      <c r="AM86" s="397"/>
      <c r="AN86" s="397"/>
      <c r="AO86" s="398"/>
      <c r="AP86" s="1317" t="e">
        <f>'PLANILHA '!#REF!</f>
        <v>#REF!</v>
      </c>
      <c r="AQ86" s="1317"/>
      <c r="AR86" s="1317"/>
      <c r="AS86" s="1317"/>
      <c r="AT86" s="1317"/>
      <c r="AU86" s="399"/>
      <c r="AV86" s="400"/>
      <c r="AW86" s="400"/>
      <c r="AX86" s="400"/>
      <c r="AY86" s="401"/>
      <c r="AZ86" s="1323" t="e">
        <f t="shared" si="8"/>
        <v>#REF!</v>
      </c>
      <c r="BA86" s="1323"/>
      <c r="BB86" s="1323"/>
      <c r="BC86" s="1323"/>
      <c r="BD86" s="1323" t="e">
        <f t="shared" si="7"/>
        <v>#REF!</v>
      </c>
      <c r="BE86" s="1323"/>
      <c r="BF86" s="1323"/>
      <c r="BG86" s="1323"/>
      <c r="BH86" s="1323"/>
      <c r="BI86" s="1323" t="e">
        <f t="shared" si="4"/>
        <v>#REF!</v>
      </c>
      <c r="BJ86" s="1323"/>
      <c r="BK86" s="1323"/>
      <c r="BL86" s="1323"/>
      <c r="BM86" s="1323"/>
      <c r="BN86" s="402"/>
      <c r="BO86" s="403"/>
      <c r="BP86" s="404"/>
    </row>
    <row r="87" spans="1:68" s="361" customFormat="1" ht="12.75" customHeight="1">
      <c r="A87" s="355"/>
      <c r="B87" s="1310" t="str">
        <f>'PLANILHA '!A36</f>
        <v>4.2</v>
      </c>
      <c r="C87" s="1310"/>
      <c r="D87" s="1311" t="str">
        <f>'PLANILHA '!D36</f>
        <v>Emboço comum</v>
      </c>
      <c r="E87" s="1311"/>
      <c r="F87" s="1311"/>
      <c r="G87" s="1311"/>
      <c r="H87" s="1311"/>
      <c r="I87" s="1311"/>
      <c r="J87" s="1311"/>
      <c r="K87" s="1311"/>
      <c r="L87" s="1311"/>
      <c r="M87" s="1311"/>
      <c r="N87" s="1311"/>
      <c r="O87" s="1311"/>
      <c r="P87" s="1311"/>
      <c r="Q87" s="1311"/>
      <c r="R87" s="1312" t="str">
        <f>'PLANILHA '!E36</f>
        <v>m2</v>
      </c>
      <c r="S87" s="1312"/>
      <c r="T87" s="1330">
        <f>'PLANILHA '!G36</f>
        <v>156.88</v>
      </c>
      <c r="U87" s="1330"/>
      <c r="V87" s="1330"/>
      <c r="W87" s="1329">
        <f>'PLANILHA '!F36</f>
        <v>14.04</v>
      </c>
      <c r="X87" s="1329"/>
      <c r="Y87" s="1329"/>
      <c r="Z87" s="1320"/>
      <c r="AA87" s="1320"/>
      <c r="AB87" s="1320"/>
      <c r="AC87" s="1320"/>
      <c r="AD87" s="1315"/>
      <c r="AE87" s="1315"/>
      <c r="AF87" s="1315"/>
      <c r="AG87" s="1316"/>
      <c r="AH87" s="1316"/>
      <c r="AI87" s="1316"/>
      <c r="AJ87" s="1316"/>
      <c r="AK87" s="1315"/>
      <c r="AL87" s="1315"/>
      <c r="AM87" s="1315"/>
      <c r="AN87" s="1315"/>
      <c r="AO87" s="1315"/>
      <c r="AP87" s="1317" t="e">
        <f>'PLANILHA '!#REF!</f>
        <v>#REF!</v>
      </c>
      <c r="AQ87" s="1317"/>
      <c r="AR87" s="1317"/>
      <c r="AS87" s="1317"/>
      <c r="AT87" s="1317"/>
      <c r="AU87" s="1316"/>
      <c r="AV87" s="1316"/>
      <c r="AW87" s="1316"/>
      <c r="AX87" s="1316"/>
      <c r="AY87" s="1316"/>
      <c r="AZ87" s="1323" t="e">
        <f t="shared" si="8"/>
        <v>#REF!</v>
      </c>
      <c r="BA87" s="1323"/>
      <c r="BB87" s="1323"/>
      <c r="BC87" s="1323"/>
      <c r="BD87" s="1323" t="e">
        <f t="shared" si="7"/>
        <v>#REF!</v>
      </c>
      <c r="BE87" s="1323"/>
      <c r="BF87" s="1323"/>
      <c r="BG87" s="1323"/>
      <c r="BH87" s="1323"/>
      <c r="BI87" s="1323" t="e">
        <f t="shared" si="4"/>
        <v>#REF!</v>
      </c>
      <c r="BJ87" s="1323"/>
      <c r="BK87" s="1323"/>
      <c r="BL87" s="1323"/>
      <c r="BM87" s="1323"/>
      <c r="BN87" s="1318"/>
      <c r="BO87" s="1318"/>
      <c r="BP87" s="1318"/>
    </row>
    <row r="88" spans="1:68" s="361" customFormat="1" ht="12.75" customHeight="1">
      <c r="A88" s="355"/>
      <c r="B88" s="1310">
        <f>'PLANILHA '!A38</f>
        <v>0</v>
      </c>
      <c r="C88" s="1310"/>
      <c r="D88" s="1311" t="str">
        <f>'PLANILHA '!D38</f>
        <v>Subtotal</v>
      </c>
      <c r="E88" s="1311"/>
      <c r="F88" s="1311"/>
      <c r="G88" s="1311"/>
      <c r="H88" s="1311"/>
      <c r="I88" s="1311"/>
      <c r="J88" s="1311"/>
      <c r="K88" s="1311"/>
      <c r="L88" s="1311"/>
      <c r="M88" s="1311"/>
      <c r="N88" s="1311"/>
      <c r="O88" s="1311"/>
      <c r="P88" s="1311"/>
      <c r="Q88" s="1311"/>
      <c r="R88" s="1312">
        <f>'PLANILHA '!E38</f>
        <v>0</v>
      </c>
      <c r="S88" s="1312"/>
      <c r="T88" s="1313">
        <f>'PLANILHA '!G38</f>
        <v>0</v>
      </c>
      <c r="U88" s="1313"/>
      <c r="V88" s="1313"/>
      <c r="W88" s="1329">
        <f>'PLANILHA '!F38</f>
        <v>0</v>
      </c>
      <c r="X88" s="1329"/>
      <c r="Y88" s="1329"/>
      <c r="Z88" s="1320"/>
      <c r="AA88" s="1320"/>
      <c r="AB88" s="1320"/>
      <c r="AC88" s="1320"/>
      <c r="AD88" s="1315"/>
      <c r="AE88" s="1315"/>
      <c r="AF88" s="1315"/>
      <c r="AG88" s="1321">
        <f t="shared" ref="AG88:AG93" si="9">ROUND(W88*AD88,2)</f>
        <v>0</v>
      </c>
      <c r="AH88" s="1321"/>
      <c r="AI88" s="1321"/>
      <c r="AJ88" s="1321"/>
      <c r="AK88" s="1315"/>
      <c r="AL88" s="1315"/>
      <c r="AM88" s="1315"/>
      <c r="AN88" s="1315"/>
      <c r="AO88" s="1315"/>
      <c r="AP88" s="1317" t="e">
        <f>'PLANILHA '!#REF!</f>
        <v>#REF!</v>
      </c>
      <c r="AQ88" s="1317"/>
      <c r="AR88" s="1317"/>
      <c r="AS88" s="1317"/>
      <c r="AT88" s="1317"/>
      <c r="AU88" s="1322" t="e">
        <f t="shared" ref="AU88:AU93" si="10">AK88+AP88</f>
        <v>#REF!</v>
      </c>
      <c r="AV88" s="1322"/>
      <c r="AW88" s="1322"/>
      <c r="AX88" s="1322"/>
      <c r="AY88" s="1322"/>
      <c r="AZ88" s="1323" t="e">
        <f t="shared" si="8"/>
        <v>#REF!</v>
      </c>
      <c r="BA88" s="1323"/>
      <c r="BB88" s="1323"/>
      <c r="BC88" s="1323"/>
      <c r="BD88" s="1323" t="e">
        <f t="shared" si="7"/>
        <v>#REF!</v>
      </c>
      <c r="BE88" s="1323"/>
      <c r="BF88" s="1323"/>
      <c r="BG88" s="1323"/>
      <c r="BH88" s="1323"/>
      <c r="BI88" s="1323" t="e">
        <f t="shared" si="4"/>
        <v>#REF!</v>
      </c>
      <c r="BJ88" s="1323"/>
      <c r="BK88" s="1323"/>
      <c r="BL88" s="1323"/>
      <c r="BM88" s="1323"/>
      <c r="BN88" s="1318"/>
      <c r="BO88" s="1318"/>
      <c r="BP88" s="1318"/>
    </row>
    <row r="89" spans="1:68" s="361" customFormat="1" ht="12.75" customHeight="1">
      <c r="A89" s="355"/>
      <c r="B89" s="1310" t="e">
        <f>'PLANILHA '!#REF!</f>
        <v>#REF!</v>
      </c>
      <c r="C89" s="1310"/>
      <c r="D89" s="1311" t="e">
        <f>'PLANILHA '!#REF!</f>
        <v>#REF!</v>
      </c>
      <c r="E89" s="1311"/>
      <c r="F89" s="1311"/>
      <c r="G89" s="1311"/>
      <c r="H89" s="1311"/>
      <c r="I89" s="1311"/>
      <c r="J89" s="1311"/>
      <c r="K89" s="1311"/>
      <c r="L89" s="1311"/>
      <c r="M89" s="1311"/>
      <c r="N89" s="1311"/>
      <c r="O89" s="1311"/>
      <c r="P89" s="1311"/>
      <c r="Q89" s="1311"/>
      <c r="R89" s="1312" t="e">
        <f>'PLANILHA '!#REF!</f>
        <v>#REF!</v>
      </c>
      <c r="S89" s="1312"/>
      <c r="T89" s="1313" t="e">
        <f>'PLANILHA '!#REF!</f>
        <v>#REF!</v>
      </c>
      <c r="U89" s="1313"/>
      <c r="V89" s="1313"/>
      <c r="W89" s="1313" t="e">
        <f>'PLANILHA '!#REF!</f>
        <v>#REF!</v>
      </c>
      <c r="X89" s="1313"/>
      <c r="Y89" s="1313"/>
      <c r="Z89" s="1320"/>
      <c r="AA89" s="1320"/>
      <c r="AB89" s="1320"/>
      <c r="AC89" s="1320"/>
      <c r="AD89" s="1315"/>
      <c r="AE89" s="1315"/>
      <c r="AF89" s="1315"/>
      <c r="AG89" s="1321" t="e">
        <f t="shared" si="9"/>
        <v>#REF!</v>
      </c>
      <c r="AH89" s="1321"/>
      <c r="AI89" s="1321"/>
      <c r="AJ89" s="1321"/>
      <c r="AK89" s="1315"/>
      <c r="AL89" s="1315"/>
      <c r="AM89" s="1315"/>
      <c r="AN89" s="1315"/>
      <c r="AO89" s="1315"/>
      <c r="AP89" s="1317" t="e">
        <f>'PLANILHA '!#REF!</f>
        <v>#REF!</v>
      </c>
      <c r="AQ89" s="1317"/>
      <c r="AR89" s="1317"/>
      <c r="AS89" s="1317"/>
      <c r="AT89" s="1317"/>
      <c r="AU89" s="1322" t="e">
        <f t="shared" si="10"/>
        <v>#REF!</v>
      </c>
      <c r="AV89" s="1322"/>
      <c r="AW89" s="1322"/>
      <c r="AX89" s="1322"/>
      <c r="AY89" s="1322"/>
      <c r="AZ89" s="1323" t="e">
        <f t="shared" si="8"/>
        <v>#REF!</v>
      </c>
      <c r="BA89" s="1323"/>
      <c r="BB89" s="1323"/>
      <c r="BC89" s="1323"/>
      <c r="BD89" s="1323" t="e">
        <f t="shared" si="7"/>
        <v>#REF!</v>
      </c>
      <c r="BE89" s="1323"/>
      <c r="BF89" s="1323"/>
      <c r="BG89" s="1323"/>
      <c r="BH89" s="1323"/>
      <c r="BI89" s="1323" t="e">
        <f t="shared" si="4"/>
        <v>#REF!</v>
      </c>
      <c r="BJ89" s="1323"/>
      <c r="BK89" s="1323"/>
      <c r="BL89" s="1323"/>
      <c r="BM89" s="1323"/>
      <c r="BN89" s="1318"/>
      <c r="BO89" s="1318"/>
      <c r="BP89" s="1318"/>
    </row>
    <row r="90" spans="1:68" s="361" customFormat="1" ht="12.75" customHeight="1">
      <c r="A90" s="355"/>
      <c r="B90" s="1310" t="e">
        <f>'PLANILHA '!#REF!</f>
        <v>#REF!</v>
      </c>
      <c r="C90" s="1310"/>
      <c r="D90" s="1311" t="e">
        <f>'PLANILHA '!#REF!</f>
        <v>#REF!</v>
      </c>
      <c r="E90" s="1311"/>
      <c r="F90" s="1311"/>
      <c r="G90" s="1311"/>
      <c r="H90" s="1311"/>
      <c r="I90" s="1311"/>
      <c r="J90" s="1311"/>
      <c r="K90" s="1311"/>
      <c r="L90" s="1311"/>
      <c r="M90" s="1311"/>
      <c r="N90" s="1311"/>
      <c r="O90" s="1311"/>
      <c r="P90" s="1311"/>
      <c r="Q90" s="1311"/>
      <c r="R90" s="1312" t="e">
        <f>'PLANILHA '!#REF!</f>
        <v>#REF!</v>
      </c>
      <c r="S90" s="1312"/>
      <c r="T90" s="1313" t="e">
        <f>'PLANILHA '!#REF!</f>
        <v>#REF!</v>
      </c>
      <c r="U90" s="1313"/>
      <c r="V90" s="1313"/>
      <c r="W90" s="1313" t="e">
        <f>'PLANILHA '!#REF!</f>
        <v>#REF!</v>
      </c>
      <c r="X90" s="1313"/>
      <c r="Y90" s="1313"/>
      <c r="Z90" s="1320"/>
      <c r="AA90" s="1320"/>
      <c r="AB90" s="1320"/>
      <c r="AC90" s="1320"/>
      <c r="AD90" s="1315"/>
      <c r="AE90" s="1315"/>
      <c r="AF90" s="1315"/>
      <c r="AG90" s="1321" t="e">
        <f t="shared" si="9"/>
        <v>#REF!</v>
      </c>
      <c r="AH90" s="1321"/>
      <c r="AI90" s="1321"/>
      <c r="AJ90" s="1321"/>
      <c r="AK90" s="1315"/>
      <c r="AL90" s="1315"/>
      <c r="AM90" s="1315"/>
      <c r="AN90" s="1315"/>
      <c r="AO90" s="1315"/>
      <c r="AP90" s="1317" t="e">
        <f>'PLANILHA '!#REF!</f>
        <v>#REF!</v>
      </c>
      <c r="AQ90" s="1317"/>
      <c r="AR90" s="1317"/>
      <c r="AS90" s="1317"/>
      <c r="AT90" s="1317"/>
      <c r="AU90" s="1322" t="e">
        <f t="shared" si="10"/>
        <v>#REF!</v>
      </c>
      <c r="AV90" s="1322"/>
      <c r="AW90" s="1322"/>
      <c r="AX90" s="1322"/>
      <c r="AY90" s="1322"/>
      <c r="AZ90" s="1323" t="e">
        <f t="shared" si="8"/>
        <v>#REF!</v>
      </c>
      <c r="BA90" s="1323"/>
      <c r="BB90" s="1323"/>
      <c r="BC90" s="1323"/>
      <c r="BD90" s="1323" t="e">
        <f t="shared" si="7"/>
        <v>#REF!</v>
      </c>
      <c r="BE90" s="1323"/>
      <c r="BF90" s="1323"/>
      <c r="BG90" s="1323"/>
      <c r="BH90" s="1323"/>
      <c r="BI90" s="1323" t="e">
        <f t="shared" si="4"/>
        <v>#REF!</v>
      </c>
      <c r="BJ90" s="1323"/>
      <c r="BK90" s="1323"/>
      <c r="BL90" s="1323"/>
      <c r="BM90" s="1323"/>
      <c r="BN90" s="1318"/>
      <c r="BO90" s="1318"/>
      <c r="BP90" s="1318"/>
    </row>
    <row r="91" spans="1:68" s="361" customFormat="1" ht="12.75" customHeight="1">
      <c r="A91" s="355"/>
      <c r="B91" s="1310" t="e">
        <f>'PLANILHA '!#REF!</f>
        <v>#REF!</v>
      </c>
      <c r="C91" s="1310"/>
      <c r="D91" s="1311" t="e">
        <f>'PLANILHA '!#REF!</f>
        <v>#REF!</v>
      </c>
      <c r="E91" s="1311"/>
      <c r="F91" s="1311"/>
      <c r="G91" s="1311"/>
      <c r="H91" s="1311"/>
      <c r="I91" s="1311"/>
      <c r="J91" s="1311"/>
      <c r="K91" s="1311"/>
      <c r="L91" s="1311"/>
      <c r="M91" s="1311"/>
      <c r="N91" s="1311"/>
      <c r="O91" s="1311"/>
      <c r="P91" s="1311"/>
      <c r="Q91" s="1311"/>
      <c r="R91" s="1312" t="e">
        <f>'PLANILHA '!#REF!</f>
        <v>#REF!</v>
      </c>
      <c r="S91" s="1312"/>
      <c r="T91" s="1313" t="e">
        <f>'PLANILHA '!#REF!</f>
        <v>#REF!</v>
      </c>
      <c r="U91" s="1313"/>
      <c r="V91" s="1313"/>
      <c r="W91" s="1313" t="e">
        <f>'PLANILHA '!#REF!</f>
        <v>#REF!</v>
      </c>
      <c r="X91" s="1313"/>
      <c r="Y91" s="1313"/>
      <c r="Z91" s="1320"/>
      <c r="AA91" s="1320"/>
      <c r="AB91" s="1320"/>
      <c r="AC91" s="1320"/>
      <c r="AD91" s="1315"/>
      <c r="AE91" s="1315"/>
      <c r="AF91" s="1315"/>
      <c r="AG91" s="1321" t="e">
        <f t="shared" si="9"/>
        <v>#REF!</v>
      </c>
      <c r="AH91" s="1321"/>
      <c r="AI91" s="1321"/>
      <c r="AJ91" s="1321"/>
      <c r="AK91" s="1315"/>
      <c r="AL91" s="1315"/>
      <c r="AM91" s="1315"/>
      <c r="AN91" s="1315"/>
      <c r="AO91" s="1315"/>
      <c r="AP91" s="1317" t="e">
        <f>'PLANILHA '!#REF!</f>
        <v>#REF!</v>
      </c>
      <c r="AQ91" s="1317"/>
      <c r="AR91" s="1317"/>
      <c r="AS91" s="1317"/>
      <c r="AT91" s="1317"/>
      <c r="AU91" s="1322" t="e">
        <f t="shared" si="10"/>
        <v>#REF!</v>
      </c>
      <c r="AV91" s="1322"/>
      <c r="AW91" s="1322"/>
      <c r="AX91" s="1322"/>
      <c r="AY91" s="1322"/>
      <c r="AZ91" s="1323" t="e">
        <f t="shared" si="8"/>
        <v>#REF!</v>
      </c>
      <c r="BA91" s="1323"/>
      <c r="BB91" s="1323"/>
      <c r="BC91" s="1323"/>
      <c r="BD91" s="1323" t="e">
        <f t="shared" si="7"/>
        <v>#REF!</v>
      </c>
      <c r="BE91" s="1323"/>
      <c r="BF91" s="1323"/>
      <c r="BG91" s="1323"/>
      <c r="BH91" s="1323"/>
      <c r="BI91" s="1323" t="e">
        <f t="shared" ref="BI91:BI122" si="11">ROUND(AZ91+BD91,2)</f>
        <v>#REF!</v>
      </c>
      <c r="BJ91" s="1323"/>
      <c r="BK91" s="1323"/>
      <c r="BL91" s="1323"/>
      <c r="BM91" s="1323"/>
      <c r="BN91" s="1318"/>
      <c r="BO91" s="1318"/>
      <c r="BP91" s="1318"/>
    </row>
    <row r="92" spans="1:68" s="361" customFormat="1" ht="12.75" customHeight="1">
      <c r="A92" s="355"/>
      <c r="B92" s="1310" t="e">
        <f>'PLANILHA '!#REF!</f>
        <v>#REF!</v>
      </c>
      <c r="C92" s="1310"/>
      <c r="D92" s="1311"/>
      <c r="E92" s="1311"/>
      <c r="F92" s="1311"/>
      <c r="G92" s="1311"/>
      <c r="H92" s="1311"/>
      <c r="I92" s="1311"/>
      <c r="J92" s="1311"/>
      <c r="K92" s="1311"/>
      <c r="L92" s="1311"/>
      <c r="M92" s="1311"/>
      <c r="N92" s="1311"/>
      <c r="O92" s="1311"/>
      <c r="P92" s="1311"/>
      <c r="Q92" s="1311"/>
      <c r="R92" s="1312" t="e">
        <f>'PLANILHA '!#REF!</f>
        <v>#REF!</v>
      </c>
      <c r="S92" s="1312"/>
      <c r="T92" s="1313" t="e">
        <f>'PLANILHA '!#REF!</f>
        <v>#REF!</v>
      </c>
      <c r="U92" s="1313"/>
      <c r="V92" s="1313"/>
      <c r="W92" s="1313" t="e">
        <f>'PLANILHA '!#REF!</f>
        <v>#REF!</v>
      </c>
      <c r="X92" s="1313"/>
      <c r="Y92" s="1313"/>
      <c r="Z92" s="1320"/>
      <c r="AA92" s="1320"/>
      <c r="AB92" s="1320"/>
      <c r="AC92" s="1320"/>
      <c r="AD92" s="1315"/>
      <c r="AE92" s="1315"/>
      <c r="AF92" s="1315"/>
      <c r="AG92" s="1321" t="e">
        <f t="shared" si="9"/>
        <v>#REF!</v>
      </c>
      <c r="AH92" s="1321"/>
      <c r="AI92" s="1321"/>
      <c r="AJ92" s="1321"/>
      <c r="AK92" s="1315"/>
      <c r="AL92" s="1315"/>
      <c r="AM92" s="1315"/>
      <c r="AN92" s="1315"/>
      <c r="AO92" s="1315"/>
      <c r="AP92" s="1317" t="e">
        <f>'PLANILHA '!#REF!</f>
        <v>#REF!</v>
      </c>
      <c r="AQ92" s="1317"/>
      <c r="AR92" s="1317"/>
      <c r="AS92" s="1317"/>
      <c r="AT92" s="1317"/>
      <c r="AU92" s="1322" t="e">
        <f t="shared" si="10"/>
        <v>#REF!</v>
      </c>
      <c r="AV92" s="1322"/>
      <c r="AW92" s="1322"/>
      <c r="AX92" s="1322"/>
      <c r="AY92" s="1322"/>
      <c r="AZ92" s="1323" t="e">
        <f t="shared" si="8"/>
        <v>#REF!</v>
      </c>
      <c r="BA92" s="1323"/>
      <c r="BB92" s="1323"/>
      <c r="BC92" s="1323"/>
      <c r="BD92" s="1323" t="e">
        <f t="shared" ref="BD92:BD123" si="12">$W92*AP92</f>
        <v>#REF!</v>
      </c>
      <c r="BE92" s="1323"/>
      <c r="BF92" s="1323"/>
      <c r="BG92" s="1323"/>
      <c r="BH92" s="1323"/>
      <c r="BI92" s="1323" t="e">
        <f t="shared" si="11"/>
        <v>#REF!</v>
      </c>
      <c r="BJ92" s="1323"/>
      <c r="BK92" s="1323"/>
      <c r="BL92" s="1323"/>
      <c r="BM92" s="1323"/>
      <c r="BN92" s="1318"/>
      <c r="BO92" s="1318"/>
      <c r="BP92" s="1318"/>
    </row>
    <row r="93" spans="1:68" s="361" customFormat="1" ht="12.75" customHeight="1">
      <c r="A93" s="355"/>
      <c r="B93" s="1310" t="e">
        <f>'PLANILHA '!#REF!</f>
        <v>#REF!</v>
      </c>
      <c r="C93" s="1310"/>
      <c r="D93" s="1311" t="e">
        <f>'PLANILHA '!#REF!</f>
        <v>#REF!</v>
      </c>
      <c r="E93" s="1311"/>
      <c r="F93" s="1311"/>
      <c r="G93" s="1311"/>
      <c r="H93" s="1311"/>
      <c r="I93" s="1311"/>
      <c r="J93" s="1311"/>
      <c r="K93" s="1311"/>
      <c r="L93" s="1311"/>
      <c r="M93" s="1311"/>
      <c r="N93" s="1311"/>
      <c r="O93" s="1311"/>
      <c r="P93" s="1311"/>
      <c r="Q93" s="1311"/>
      <c r="R93" s="1312" t="e">
        <f>'PLANILHA '!#REF!</f>
        <v>#REF!</v>
      </c>
      <c r="S93" s="1312"/>
      <c r="T93" s="1313" t="e">
        <f>'PLANILHA '!#REF!</f>
        <v>#REF!</v>
      </c>
      <c r="U93" s="1313"/>
      <c r="V93" s="1313"/>
      <c r="W93" s="1313" t="e">
        <f>'PLANILHA '!#REF!</f>
        <v>#REF!</v>
      </c>
      <c r="X93" s="1313"/>
      <c r="Y93" s="1313"/>
      <c r="Z93" s="1320"/>
      <c r="AA93" s="1320"/>
      <c r="AB93" s="1320"/>
      <c r="AC93" s="1320"/>
      <c r="AD93" s="1315"/>
      <c r="AE93" s="1315"/>
      <c r="AF93" s="1315"/>
      <c r="AG93" s="1321" t="e">
        <f t="shared" si="9"/>
        <v>#REF!</v>
      </c>
      <c r="AH93" s="1321"/>
      <c r="AI93" s="1321"/>
      <c r="AJ93" s="1321"/>
      <c r="AK93" s="1315"/>
      <c r="AL93" s="1315"/>
      <c r="AM93" s="1315"/>
      <c r="AN93" s="1315"/>
      <c r="AO93" s="1315"/>
      <c r="AP93" s="1317" t="e">
        <f>'PLANILHA '!#REF!</f>
        <v>#REF!</v>
      </c>
      <c r="AQ93" s="1317"/>
      <c r="AR93" s="1317"/>
      <c r="AS93" s="1317"/>
      <c r="AT93" s="1317"/>
      <c r="AU93" s="1322" t="e">
        <f t="shared" si="10"/>
        <v>#REF!</v>
      </c>
      <c r="AV93" s="1322"/>
      <c r="AW93" s="1322"/>
      <c r="AX93" s="1322"/>
      <c r="AY93" s="1322"/>
      <c r="AZ93" s="1323" t="e">
        <f t="shared" si="8"/>
        <v>#REF!</v>
      </c>
      <c r="BA93" s="1323"/>
      <c r="BB93" s="1323"/>
      <c r="BC93" s="1323"/>
      <c r="BD93" s="1323" t="e">
        <f t="shared" si="12"/>
        <v>#REF!</v>
      </c>
      <c r="BE93" s="1323"/>
      <c r="BF93" s="1323"/>
      <c r="BG93" s="1323"/>
      <c r="BH93" s="1323"/>
      <c r="BI93" s="1323" t="e">
        <f t="shared" si="11"/>
        <v>#REF!</v>
      </c>
      <c r="BJ93" s="1323"/>
      <c r="BK93" s="1323"/>
      <c r="BL93" s="1323"/>
      <c r="BM93" s="1323"/>
      <c r="BN93" s="1318"/>
      <c r="BO93" s="1318"/>
      <c r="BP93" s="1318"/>
    </row>
    <row r="94" spans="1:68" s="361" customFormat="1" ht="12.75" customHeight="1">
      <c r="A94" s="355"/>
      <c r="B94" s="1310" t="e">
        <f>'PLANILHA '!#REF!</f>
        <v>#REF!</v>
      </c>
      <c r="C94" s="1310"/>
      <c r="D94" s="1311" t="e">
        <f>'PLANILHA '!#REF!</f>
        <v>#REF!</v>
      </c>
      <c r="E94" s="1311"/>
      <c r="F94" s="1311"/>
      <c r="G94" s="1311"/>
      <c r="H94" s="1311"/>
      <c r="I94" s="1311"/>
      <c r="J94" s="1311"/>
      <c r="K94" s="1311"/>
      <c r="L94" s="1311"/>
      <c r="M94" s="1311"/>
      <c r="N94" s="1311"/>
      <c r="O94" s="1311"/>
      <c r="P94" s="1311"/>
      <c r="Q94" s="1311"/>
      <c r="R94" s="1312" t="e">
        <f>'PLANILHA '!#REF!</f>
        <v>#REF!</v>
      </c>
      <c r="S94" s="1312"/>
      <c r="T94" s="1313" t="e">
        <f>'PLANILHA '!#REF!</f>
        <v>#REF!</v>
      </c>
      <c r="U94" s="1313"/>
      <c r="V94" s="1313"/>
      <c r="W94" s="1313" t="e">
        <f>'PLANILHA '!#REF!</f>
        <v>#REF!</v>
      </c>
      <c r="X94" s="1313"/>
      <c r="Y94" s="1313"/>
      <c r="Z94" s="1320"/>
      <c r="AA94" s="1320"/>
      <c r="AB94" s="1320"/>
      <c r="AC94" s="1320"/>
      <c r="AD94" s="1315"/>
      <c r="AE94" s="1315"/>
      <c r="AF94" s="1315"/>
      <c r="AG94" s="1321"/>
      <c r="AH94" s="1321"/>
      <c r="AI94" s="1321"/>
      <c r="AJ94" s="1321"/>
      <c r="AK94" s="1327"/>
      <c r="AL94" s="1327"/>
      <c r="AM94" s="1327"/>
      <c r="AN94" s="1327"/>
      <c r="AO94" s="1327"/>
      <c r="AP94" s="1317" t="e">
        <f>'PLANILHA '!#REF!</f>
        <v>#REF!</v>
      </c>
      <c r="AQ94" s="1317"/>
      <c r="AR94" s="1317"/>
      <c r="AS94" s="1317"/>
      <c r="AT94" s="1317"/>
      <c r="AU94" s="1322"/>
      <c r="AV94" s="1322"/>
      <c r="AW94" s="1322"/>
      <c r="AX94" s="1322"/>
      <c r="AY94" s="1322"/>
      <c r="AZ94" s="1323" t="e">
        <f t="shared" si="8"/>
        <v>#REF!</v>
      </c>
      <c r="BA94" s="1323"/>
      <c r="BB94" s="1323"/>
      <c r="BC94" s="1323"/>
      <c r="BD94" s="1323" t="e">
        <f t="shared" si="12"/>
        <v>#REF!</v>
      </c>
      <c r="BE94" s="1323"/>
      <c r="BF94" s="1323"/>
      <c r="BG94" s="1323"/>
      <c r="BH94" s="1323"/>
      <c r="BI94" s="1323" t="e">
        <f t="shared" si="11"/>
        <v>#REF!</v>
      </c>
      <c r="BJ94" s="1323"/>
      <c r="BK94" s="1323"/>
      <c r="BL94" s="1323"/>
      <c r="BM94" s="1323"/>
      <c r="BN94" s="1324"/>
      <c r="BO94" s="1324"/>
      <c r="BP94" s="1324"/>
    </row>
    <row r="95" spans="1:68" s="361" customFormat="1" ht="12.75" customHeight="1">
      <c r="A95" s="355"/>
      <c r="B95" s="1310" t="e">
        <f>'PLANILHA '!#REF!</f>
        <v>#REF!</v>
      </c>
      <c r="C95" s="1310"/>
      <c r="D95" s="1311" t="e">
        <f>'PLANILHA '!#REF!</f>
        <v>#REF!</v>
      </c>
      <c r="E95" s="1311"/>
      <c r="F95" s="1311"/>
      <c r="G95" s="1311"/>
      <c r="H95" s="1311"/>
      <c r="I95" s="1311"/>
      <c r="J95" s="1311"/>
      <c r="K95" s="1311"/>
      <c r="L95" s="1311"/>
      <c r="M95" s="1311"/>
      <c r="N95" s="1311"/>
      <c r="O95" s="1311"/>
      <c r="P95" s="1311"/>
      <c r="Q95" s="1311"/>
      <c r="R95" s="1312" t="e">
        <f>'PLANILHA '!#REF!</f>
        <v>#REF!</v>
      </c>
      <c r="S95" s="1312"/>
      <c r="T95" s="1313" t="e">
        <f>'PLANILHA '!#REF!</f>
        <v>#REF!</v>
      </c>
      <c r="U95" s="1313"/>
      <c r="V95" s="1313"/>
      <c r="W95" s="1313" t="e">
        <f>'PLANILHA '!#REF!</f>
        <v>#REF!</v>
      </c>
      <c r="X95" s="1313"/>
      <c r="Y95" s="1313"/>
      <c r="Z95" s="1320"/>
      <c r="AA95" s="1320"/>
      <c r="AB95" s="1320"/>
      <c r="AC95" s="1320"/>
      <c r="AD95" s="1315"/>
      <c r="AE95" s="1315"/>
      <c r="AF95" s="1315"/>
      <c r="AG95" s="1321"/>
      <c r="AH95" s="1321"/>
      <c r="AI95" s="1321"/>
      <c r="AJ95" s="1321"/>
      <c r="AK95" s="1327"/>
      <c r="AL95" s="1327"/>
      <c r="AM95" s="1327"/>
      <c r="AN95" s="1327"/>
      <c r="AO95" s="1327"/>
      <c r="AP95" s="1317" t="e">
        <f>'PLANILHA '!#REF!</f>
        <v>#REF!</v>
      </c>
      <c r="AQ95" s="1317"/>
      <c r="AR95" s="1317"/>
      <c r="AS95" s="1317"/>
      <c r="AT95" s="1317"/>
      <c r="AU95" s="1322"/>
      <c r="AV95" s="1322"/>
      <c r="AW95" s="1322"/>
      <c r="AX95" s="1322"/>
      <c r="AY95" s="1322"/>
      <c r="AZ95" s="1323" t="e">
        <f t="shared" si="8"/>
        <v>#REF!</v>
      </c>
      <c r="BA95" s="1323"/>
      <c r="BB95" s="1323"/>
      <c r="BC95" s="1323"/>
      <c r="BD95" s="1323" t="e">
        <f t="shared" si="12"/>
        <v>#REF!</v>
      </c>
      <c r="BE95" s="1323"/>
      <c r="BF95" s="1323"/>
      <c r="BG95" s="1323"/>
      <c r="BH95" s="1323"/>
      <c r="BI95" s="1323" t="e">
        <f t="shared" si="11"/>
        <v>#REF!</v>
      </c>
      <c r="BJ95" s="1323"/>
      <c r="BK95" s="1323"/>
      <c r="BL95" s="1323"/>
      <c r="BM95" s="1323"/>
      <c r="BN95" s="1324"/>
      <c r="BO95" s="1324"/>
      <c r="BP95" s="1324"/>
    </row>
    <row r="96" spans="1:68" s="361" customFormat="1" ht="12.75" customHeight="1">
      <c r="A96" s="355"/>
      <c r="B96" s="1310" t="e">
        <f>'PLANILHA '!#REF!</f>
        <v>#REF!</v>
      </c>
      <c r="C96" s="1310"/>
      <c r="D96" s="1311" t="e">
        <f>'PLANILHA '!#REF!</f>
        <v>#REF!</v>
      </c>
      <c r="E96" s="1311"/>
      <c r="F96" s="1311"/>
      <c r="G96" s="1311"/>
      <c r="H96" s="1311"/>
      <c r="I96" s="1311"/>
      <c r="J96" s="1311"/>
      <c r="K96" s="1311"/>
      <c r="L96" s="1311"/>
      <c r="M96" s="1311"/>
      <c r="N96" s="1311"/>
      <c r="O96" s="1311"/>
      <c r="P96" s="1311"/>
      <c r="Q96" s="1311"/>
      <c r="R96" s="1312" t="e">
        <f>'PLANILHA '!#REF!</f>
        <v>#REF!</v>
      </c>
      <c r="S96" s="1312"/>
      <c r="T96" s="1313" t="e">
        <f>'PLANILHA '!#REF!</f>
        <v>#REF!</v>
      </c>
      <c r="U96" s="1313"/>
      <c r="V96" s="1313"/>
      <c r="W96" s="1313" t="e">
        <f>'PLANILHA '!#REF!</f>
        <v>#REF!</v>
      </c>
      <c r="X96" s="1313"/>
      <c r="Y96" s="1313"/>
      <c r="Z96" s="1320"/>
      <c r="AA96" s="1320"/>
      <c r="AB96" s="1320"/>
      <c r="AC96" s="1320"/>
      <c r="AD96" s="1315"/>
      <c r="AE96" s="1315"/>
      <c r="AF96" s="1315"/>
      <c r="AG96" s="1321"/>
      <c r="AH96" s="1321"/>
      <c r="AI96" s="1321"/>
      <c r="AJ96" s="1321"/>
      <c r="AK96" s="1327"/>
      <c r="AL96" s="1327"/>
      <c r="AM96" s="1327"/>
      <c r="AN96" s="1327"/>
      <c r="AO96" s="1327"/>
      <c r="AP96" s="1317" t="e">
        <f>'PLANILHA '!#REF!</f>
        <v>#REF!</v>
      </c>
      <c r="AQ96" s="1317"/>
      <c r="AR96" s="1317"/>
      <c r="AS96" s="1317"/>
      <c r="AT96" s="1317"/>
      <c r="AU96" s="1322"/>
      <c r="AV96" s="1322"/>
      <c r="AW96" s="1322"/>
      <c r="AX96" s="1322"/>
      <c r="AY96" s="1322"/>
      <c r="AZ96" s="1323" t="e">
        <f t="shared" si="8"/>
        <v>#REF!</v>
      </c>
      <c r="BA96" s="1323"/>
      <c r="BB96" s="1323"/>
      <c r="BC96" s="1323"/>
      <c r="BD96" s="1323" t="e">
        <f t="shared" si="12"/>
        <v>#REF!</v>
      </c>
      <c r="BE96" s="1323"/>
      <c r="BF96" s="1323"/>
      <c r="BG96" s="1323"/>
      <c r="BH96" s="1323"/>
      <c r="BI96" s="1323" t="e">
        <f t="shared" si="11"/>
        <v>#REF!</v>
      </c>
      <c r="BJ96" s="1323"/>
      <c r="BK96" s="1323"/>
      <c r="BL96" s="1323"/>
      <c r="BM96" s="1323"/>
      <c r="BN96" s="1324"/>
      <c r="BO96" s="1324"/>
      <c r="BP96" s="1324"/>
    </row>
    <row r="97" spans="1:68" s="361" customFormat="1" ht="12.75" customHeight="1">
      <c r="A97" s="355"/>
      <c r="B97" s="1310" t="e">
        <f>'PLANILHA '!#REF!</f>
        <v>#REF!</v>
      </c>
      <c r="C97" s="1310"/>
      <c r="D97" s="1311" t="e">
        <f>'PLANILHA '!#REF!</f>
        <v>#REF!</v>
      </c>
      <c r="E97" s="1311"/>
      <c r="F97" s="1311"/>
      <c r="G97" s="1311"/>
      <c r="H97" s="1311"/>
      <c r="I97" s="1311"/>
      <c r="J97" s="1311"/>
      <c r="K97" s="1311"/>
      <c r="L97" s="1311"/>
      <c r="M97" s="1311"/>
      <c r="N97" s="1311"/>
      <c r="O97" s="1311"/>
      <c r="P97" s="1311"/>
      <c r="Q97" s="1311"/>
      <c r="R97" s="1312" t="e">
        <f>'PLANILHA '!#REF!</f>
        <v>#REF!</v>
      </c>
      <c r="S97" s="1312"/>
      <c r="T97" s="1313" t="e">
        <f>'PLANILHA '!#REF!</f>
        <v>#REF!</v>
      </c>
      <c r="U97" s="1313"/>
      <c r="V97" s="1313"/>
      <c r="W97" s="1313" t="e">
        <f>'PLANILHA '!#REF!</f>
        <v>#REF!</v>
      </c>
      <c r="X97" s="1313"/>
      <c r="Y97" s="1313"/>
      <c r="Z97" s="1320"/>
      <c r="AA97" s="1320"/>
      <c r="AB97" s="1320"/>
      <c r="AC97" s="1320"/>
      <c r="AD97" s="1315"/>
      <c r="AE97" s="1315"/>
      <c r="AF97" s="1315"/>
      <c r="AG97" s="1321"/>
      <c r="AH97" s="1321"/>
      <c r="AI97" s="1321"/>
      <c r="AJ97" s="1321"/>
      <c r="AK97" s="1327"/>
      <c r="AL97" s="1327"/>
      <c r="AM97" s="1327"/>
      <c r="AN97" s="1327"/>
      <c r="AO97" s="1327"/>
      <c r="AP97" s="1317" t="e">
        <f>'PLANILHA '!#REF!</f>
        <v>#REF!</v>
      </c>
      <c r="AQ97" s="1317"/>
      <c r="AR97" s="1317"/>
      <c r="AS97" s="1317"/>
      <c r="AT97" s="1317"/>
      <c r="AU97" s="1322"/>
      <c r="AV97" s="1322"/>
      <c r="AW97" s="1322"/>
      <c r="AX97" s="1322"/>
      <c r="AY97" s="1322"/>
      <c r="AZ97" s="1323" t="e">
        <f t="shared" si="8"/>
        <v>#REF!</v>
      </c>
      <c r="BA97" s="1323"/>
      <c r="BB97" s="1323"/>
      <c r="BC97" s="1323"/>
      <c r="BD97" s="1323" t="e">
        <f t="shared" si="12"/>
        <v>#REF!</v>
      </c>
      <c r="BE97" s="1323"/>
      <c r="BF97" s="1323"/>
      <c r="BG97" s="1323"/>
      <c r="BH97" s="1323"/>
      <c r="BI97" s="1323" t="e">
        <f t="shared" si="11"/>
        <v>#REF!</v>
      </c>
      <c r="BJ97" s="1323"/>
      <c r="BK97" s="1323"/>
      <c r="BL97" s="1323"/>
      <c r="BM97" s="1323"/>
      <c r="BN97" s="1324"/>
      <c r="BO97" s="1324"/>
      <c r="BP97" s="1324"/>
    </row>
    <row r="98" spans="1:68" s="361" customFormat="1" ht="12.75" customHeight="1">
      <c r="A98" s="355"/>
      <c r="B98" s="1310" t="e">
        <f>'PLANILHA '!#REF!</f>
        <v>#REF!</v>
      </c>
      <c r="C98" s="1310"/>
      <c r="D98" s="1311" t="e">
        <f>'PLANILHA '!#REF!</f>
        <v>#REF!</v>
      </c>
      <c r="E98" s="1311"/>
      <c r="F98" s="1311"/>
      <c r="G98" s="1311"/>
      <c r="H98" s="1311"/>
      <c r="I98" s="1311"/>
      <c r="J98" s="1311"/>
      <c r="K98" s="1311"/>
      <c r="L98" s="1311"/>
      <c r="M98" s="1311"/>
      <c r="N98" s="1311"/>
      <c r="O98" s="1311"/>
      <c r="P98" s="1311"/>
      <c r="Q98" s="1311"/>
      <c r="R98" s="1312" t="e">
        <f>'PLANILHA '!#REF!</f>
        <v>#REF!</v>
      </c>
      <c r="S98" s="1312"/>
      <c r="T98" s="1313" t="e">
        <f>'PLANILHA '!#REF!</f>
        <v>#REF!</v>
      </c>
      <c r="U98" s="1313"/>
      <c r="V98" s="1313"/>
      <c r="W98" s="1313" t="e">
        <f>'PLANILHA '!#REF!</f>
        <v>#REF!</v>
      </c>
      <c r="X98" s="1313"/>
      <c r="Y98" s="1313"/>
      <c r="Z98" s="1320"/>
      <c r="AA98" s="1320"/>
      <c r="AB98" s="1320"/>
      <c r="AC98" s="1320"/>
      <c r="AD98" s="1315"/>
      <c r="AE98" s="1315"/>
      <c r="AF98" s="1315"/>
      <c r="AG98" s="1321"/>
      <c r="AH98" s="1321"/>
      <c r="AI98" s="1321"/>
      <c r="AJ98" s="1321"/>
      <c r="AK98" s="1327"/>
      <c r="AL98" s="1327"/>
      <c r="AM98" s="1327"/>
      <c r="AN98" s="1327"/>
      <c r="AO98" s="1327"/>
      <c r="AP98" s="1317" t="e">
        <f>'PLANILHA '!#REF!</f>
        <v>#REF!</v>
      </c>
      <c r="AQ98" s="1317"/>
      <c r="AR98" s="1317"/>
      <c r="AS98" s="1317"/>
      <c r="AT98" s="1317"/>
      <c r="AU98" s="1322"/>
      <c r="AV98" s="1322"/>
      <c r="AW98" s="1322"/>
      <c r="AX98" s="1322"/>
      <c r="AY98" s="1322"/>
      <c r="AZ98" s="1323" t="e">
        <f t="shared" ref="AZ98:AZ129" si="13">SUM(AZ92:BC97)</f>
        <v>#REF!</v>
      </c>
      <c r="BA98" s="1323"/>
      <c r="BB98" s="1323"/>
      <c r="BC98" s="1323"/>
      <c r="BD98" s="1323" t="e">
        <f t="shared" si="12"/>
        <v>#REF!</v>
      </c>
      <c r="BE98" s="1323"/>
      <c r="BF98" s="1323"/>
      <c r="BG98" s="1323"/>
      <c r="BH98" s="1323"/>
      <c r="BI98" s="1323" t="e">
        <f t="shared" si="11"/>
        <v>#REF!</v>
      </c>
      <c r="BJ98" s="1323"/>
      <c r="BK98" s="1323"/>
      <c r="BL98" s="1323"/>
      <c r="BM98" s="1323"/>
      <c r="BN98" s="1324"/>
      <c r="BO98" s="1324"/>
      <c r="BP98" s="1324"/>
    </row>
    <row r="99" spans="1:68" s="361" customFormat="1" ht="12.75" customHeight="1">
      <c r="A99" s="355"/>
      <c r="B99" s="1310" t="e">
        <f>'PLANILHA '!#REF!</f>
        <v>#REF!</v>
      </c>
      <c r="C99" s="1310"/>
      <c r="D99" s="1311" t="e">
        <f>'PLANILHA '!#REF!</f>
        <v>#REF!</v>
      </c>
      <c r="E99" s="1311"/>
      <c r="F99" s="1311"/>
      <c r="G99" s="1311"/>
      <c r="H99" s="1311"/>
      <c r="I99" s="1311"/>
      <c r="J99" s="1311"/>
      <c r="K99" s="1311"/>
      <c r="L99" s="1311"/>
      <c r="M99" s="1311"/>
      <c r="N99" s="1311"/>
      <c r="O99" s="1311"/>
      <c r="P99" s="1311"/>
      <c r="Q99" s="1311"/>
      <c r="R99" s="1312" t="e">
        <f>'PLANILHA '!#REF!</f>
        <v>#REF!</v>
      </c>
      <c r="S99" s="1312"/>
      <c r="T99" s="1313" t="e">
        <f>'PLANILHA '!#REF!</f>
        <v>#REF!</v>
      </c>
      <c r="U99" s="1313"/>
      <c r="V99" s="1313"/>
      <c r="W99" s="1313" t="e">
        <f>'PLANILHA '!#REF!</f>
        <v>#REF!</v>
      </c>
      <c r="X99" s="1313"/>
      <c r="Y99" s="1313"/>
      <c r="Z99" s="1320"/>
      <c r="AA99" s="1320"/>
      <c r="AB99" s="1320"/>
      <c r="AC99" s="1320"/>
      <c r="AD99" s="1315"/>
      <c r="AE99" s="1315"/>
      <c r="AF99" s="1315"/>
      <c r="AG99" s="1321"/>
      <c r="AH99" s="1321"/>
      <c r="AI99" s="1321"/>
      <c r="AJ99" s="1321"/>
      <c r="AK99" s="1327"/>
      <c r="AL99" s="1327"/>
      <c r="AM99" s="1327"/>
      <c r="AN99" s="1327"/>
      <c r="AO99" s="1327"/>
      <c r="AP99" s="1317" t="e">
        <f>'PLANILHA '!#REF!</f>
        <v>#REF!</v>
      </c>
      <c r="AQ99" s="1317"/>
      <c r="AR99" s="1317"/>
      <c r="AS99" s="1317"/>
      <c r="AT99" s="1317"/>
      <c r="AU99" s="1322"/>
      <c r="AV99" s="1322"/>
      <c r="AW99" s="1322"/>
      <c r="AX99" s="1322"/>
      <c r="AY99" s="1322"/>
      <c r="AZ99" s="1323" t="e">
        <f t="shared" si="13"/>
        <v>#REF!</v>
      </c>
      <c r="BA99" s="1323"/>
      <c r="BB99" s="1323"/>
      <c r="BC99" s="1323"/>
      <c r="BD99" s="1323" t="e">
        <f t="shared" si="12"/>
        <v>#REF!</v>
      </c>
      <c r="BE99" s="1323"/>
      <c r="BF99" s="1323"/>
      <c r="BG99" s="1323"/>
      <c r="BH99" s="1323"/>
      <c r="BI99" s="1323" t="e">
        <f t="shared" si="11"/>
        <v>#REF!</v>
      </c>
      <c r="BJ99" s="1323"/>
      <c r="BK99" s="1323"/>
      <c r="BL99" s="1323"/>
      <c r="BM99" s="1323"/>
      <c r="BN99" s="1324"/>
      <c r="BO99" s="1324"/>
      <c r="BP99" s="1324"/>
    </row>
    <row r="100" spans="1:68" s="361" customFormat="1" ht="12.75" customHeight="1">
      <c r="A100" s="355"/>
      <c r="B100" s="1310" t="e">
        <f>'PLANILHA '!#REF!</f>
        <v>#REF!</v>
      </c>
      <c r="C100" s="1310"/>
      <c r="D100" s="1311" t="e">
        <f>'PLANILHA '!#REF!</f>
        <v>#REF!</v>
      </c>
      <c r="E100" s="1311"/>
      <c r="F100" s="1311"/>
      <c r="G100" s="1311"/>
      <c r="H100" s="1311"/>
      <c r="I100" s="1311"/>
      <c r="J100" s="1311"/>
      <c r="K100" s="1311"/>
      <c r="L100" s="1311"/>
      <c r="M100" s="1311"/>
      <c r="N100" s="1311"/>
      <c r="O100" s="1311"/>
      <c r="P100" s="1311"/>
      <c r="Q100" s="1311"/>
      <c r="R100" s="1312" t="e">
        <f>'PLANILHA '!#REF!</f>
        <v>#REF!</v>
      </c>
      <c r="S100" s="1312"/>
      <c r="T100" s="1313" t="e">
        <f>'PLANILHA '!#REF!</f>
        <v>#REF!</v>
      </c>
      <c r="U100" s="1313"/>
      <c r="V100" s="1313"/>
      <c r="W100" s="1313" t="e">
        <f>'PLANILHA '!#REF!</f>
        <v>#REF!</v>
      </c>
      <c r="X100" s="1313"/>
      <c r="Y100" s="1313"/>
      <c r="Z100" s="1320"/>
      <c r="AA100" s="1320"/>
      <c r="AB100" s="1320"/>
      <c r="AC100" s="1320"/>
      <c r="AD100" s="1315"/>
      <c r="AE100" s="1315"/>
      <c r="AF100" s="1315"/>
      <c r="AG100" s="1321"/>
      <c r="AH100" s="1321"/>
      <c r="AI100" s="1321"/>
      <c r="AJ100" s="1321"/>
      <c r="AK100" s="1327"/>
      <c r="AL100" s="1327"/>
      <c r="AM100" s="1327"/>
      <c r="AN100" s="1327"/>
      <c r="AO100" s="1327"/>
      <c r="AP100" s="1317" t="e">
        <f>'PLANILHA '!#REF!</f>
        <v>#REF!</v>
      </c>
      <c r="AQ100" s="1317"/>
      <c r="AR100" s="1317"/>
      <c r="AS100" s="1317"/>
      <c r="AT100" s="1317"/>
      <c r="AU100" s="1322"/>
      <c r="AV100" s="1322"/>
      <c r="AW100" s="1322"/>
      <c r="AX100" s="1322"/>
      <c r="AY100" s="1322"/>
      <c r="AZ100" s="1323" t="e">
        <f t="shared" si="13"/>
        <v>#REF!</v>
      </c>
      <c r="BA100" s="1323"/>
      <c r="BB100" s="1323"/>
      <c r="BC100" s="1323"/>
      <c r="BD100" s="1323" t="e">
        <f t="shared" si="12"/>
        <v>#REF!</v>
      </c>
      <c r="BE100" s="1323"/>
      <c r="BF100" s="1323"/>
      <c r="BG100" s="1323"/>
      <c r="BH100" s="1323"/>
      <c r="BI100" s="1323" t="e">
        <f t="shared" si="11"/>
        <v>#REF!</v>
      </c>
      <c r="BJ100" s="1323"/>
      <c r="BK100" s="1323"/>
      <c r="BL100" s="1323"/>
      <c r="BM100" s="1323"/>
      <c r="BN100" s="1324"/>
      <c r="BO100" s="1324"/>
      <c r="BP100" s="1324"/>
    </row>
    <row r="101" spans="1:68" s="361" customFormat="1" ht="12.75" customHeight="1">
      <c r="A101" s="355"/>
      <c r="B101" s="1310" t="e">
        <f>'PLANILHA '!#REF!</f>
        <v>#REF!</v>
      </c>
      <c r="C101" s="1310"/>
      <c r="D101" s="1311" t="e">
        <f>'PLANILHA '!#REF!</f>
        <v>#REF!</v>
      </c>
      <c r="E101" s="1311"/>
      <c r="F101" s="1311"/>
      <c r="G101" s="1311"/>
      <c r="H101" s="1311"/>
      <c r="I101" s="1311"/>
      <c r="J101" s="1311"/>
      <c r="K101" s="1311"/>
      <c r="L101" s="1311"/>
      <c r="M101" s="1311"/>
      <c r="N101" s="1311"/>
      <c r="O101" s="1311"/>
      <c r="P101" s="1311"/>
      <c r="Q101" s="1311"/>
      <c r="R101" s="1312" t="e">
        <f>'PLANILHA '!#REF!</f>
        <v>#REF!</v>
      </c>
      <c r="S101" s="1312"/>
      <c r="T101" s="1313" t="e">
        <f>'PLANILHA '!#REF!</f>
        <v>#REF!</v>
      </c>
      <c r="U101" s="1313"/>
      <c r="V101" s="1313"/>
      <c r="W101" s="1313" t="e">
        <f>'PLANILHA '!#REF!</f>
        <v>#REF!</v>
      </c>
      <c r="X101" s="1313"/>
      <c r="Y101" s="1313"/>
      <c r="Z101" s="1320"/>
      <c r="AA101" s="1320"/>
      <c r="AB101" s="1320"/>
      <c r="AC101" s="1320"/>
      <c r="AD101" s="1315"/>
      <c r="AE101" s="1315"/>
      <c r="AF101" s="1315"/>
      <c r="AG101" s="1321"/>
      <c r="AH101" s="1321"/>
      <c r="AI101" s="1321"/>
      <c r="AJ101" s="1321"/>
      <c r="AK101" s="1327"/>
      <c r="AL101" s="1327"/>
      <c r="AM101" s="1327"/>
      <c r="AN101" s="1327"/>
      <c r="AO101" s="1327"/>
      <c r="AP101" s="1317" t="e">
        <f>'PLANILHA '!#REF!</f>
        <v>#REF!</v>
      </c>
      <c r="AQ101" s="1317"/>
      <c r="AR101" s="1317"/>
      <c r="AS101" s="1317"/>
      <c r="AT101" s="1317"/>
      <c r="AU101" s="1322"/>
      <c r="AV101" s="1322"/>
      <c r="AW101" s="1322"/>
      <c r="AX101" s="1322"/>
      <c r="AY101" s="1322"/>
      <c r="AZ101" s="1323" t="e">
        <f t="shared" si="13"/>
        <v>#REF!</v>
      </c>
      <c r="BA101" s="1323"/>
      <c r="BB101" s="1323"/>
      <c r="BC101" s="1323"/>
      <c r="BD101" s="1323" t="e">
        <f t="shared" si="12"/>
        <v>#REF!</v>
      </c>
      <c r="BE101" s="1323"/>
      <c r="BF101" s="1323"/>
      <c r="BG101" s="1323"/>
      <c r="BH101" s="1323"/>
      <c r="BI101" s="1323" t="e">
        <f t="shared" si="11"/>
        <v>#REF!</v>
      </c>
      <c r="BJ101" s="1323"/>
      <c r="BK101" s="1323"/>
      <c r="BL101" s="1323"/>
      <c r="BM101" s="1323"/>
      <c r="BN101" s="1324"/>
      <c r="BO101" s="1324"/>
      <c r="BP101" s="1324"/>
    </row>
    <row r="102" spans="1:68" s="361" customFormat="1" ht="12.75" customHeight="1">
      <c r="A102" s="355"/>
      <c r="B102" s="1310" t="e">
        <f>'PLANILHA '!#REF!</f>
        <v>#REF!</v>
      </c>
      <c r="C102" s="1310"/>
      <c r="D102" s="1311"/>
      <c r="E102" s="1311"/>
      <c r="F102" s="1311"/>
      <c r="G102" s="1311"/>
      <c r="H102" s="1311"/>
      <c r="I102" s="1311"/>
      <c r="J102" s="1311"/>
      <c r="K102" s="1311"/>
      <c r="L102" s="1311"/>
      <c r="M102" s="1311"/>
      <c r="N102" s="1311"/>
      <c r="O102" s="1311"/>
      <c r="P102" s="1311"/>
      <c r="Q102" s="1311"/>
      <c r="R102" s="1312" t="e">
        <f>'PLANILHA '!#REF!</f>
        <v>#REF!</v>
      </c>
      <c r="S102" s="1312"/>
      <c r="T102" s="1313" t="e">
        <f>'PLANILHA '!#REF!</f>
        <v>#REF!</v>
      </c>
      <c r="U102" s="1313"/>
      <c r="V102" s="1313"/>
      <c r="W102" s="1313" t="e">
        <f>'PLANILHA '!#REF!</f>
        <v>#REF!</v>
      </c>
      <c r="X102" s="1313"/>
      <c r="Y102" s="1313"/>
      <c r="Z102" s="1320"/>
      <c r="AA102" s="1320"/>
      <c r="AB102" s="1320"/>
      <c r="AC102" s="1320"/>
      <c r="AD102" s="1315"/>
      <c r="AE102" s="1315"/>
      <c r="AF102" s="1315"/>
      <c r="AG102" s="1321"/>
      <c r="AH102" s="1321"/>
      <c r="AI102" s="1321"/>
      <c r="AJ102" s="1321"/>
      <c r="AK102" s="1327"/>
      <c r="AL102" s="1327"/>
      <c r="AM102" s="1327"/>
      <c r="AN102" s="1327"/>
      <c r="AO102" s="1327"/>
      <c r="AP102" s="1317" t="e">
        <f>'PLANILHA '!#REF!</f>
        <v>#REF!</v>
      </c>
      <c r="AQ102" s="1317"/>
      <c r="AR102" s="1317"/>
      <c r="AS102" s="1317"/>
      <c r="AT102" s="1317"/>
      <c r="AU102" s="1322"/>
      <c r="AV102" s="1322"/>
      <c r="AW102" s="1322"/>
      <c r="AX102" s="1322"/>
      <c r="AY102" s="1322"/>
      <c r="AZ102" s="1323" t="e">
        <f t="shared" si="13"/>
        <v>#REF!</v>
      </c>
      <c r="BA102" s="1323"/>
      <c r="BB102" s="1323"/>
      <c r="BC102" s="1323"/>
      <c r="BD102" s="1323" t="e">
        <f t="shared" si="12"/>
        <v>#REF!</v>
      </c>
      <c r="BE102" s="1323"/>
      <c r="BF102" s="1323"/>
      <c r="BG102" s="1323"/>
      <c r="BH102" s="1323"/>
      <c r="BI102" s="1323" t="e">
        <f t="shared" si="11"/>
        <v>#REF!</v>
      </c>
      <c r="BJ102" s="1323"/>
      <c r="BK102" s="1323"/>
      <c r="BL102" s="1323"/>
      <c r="BM102" s="1323"/>
      <c r="BN102" s="1324"/>
      <c r="BO102" s="1324"/>
      <c r="BP102" s="1324"/>
    </row>
    <row r="103" spans="1:68" s="361" customFormat="1" ht="12.75" customHeight="1">
      <c r="A103" s="355"/>
      <c r="B103" s="1310" t="e">
        <f>'PLANILHA '!#REF!</f>
        <v>#REF!</v>
      </c>
      <c r="C103" s="1310"/>
      <c r="D103" s="1311" t="e">
        <f>'PLANILHA '!#REF!</f>
        <v>#REF!</v>
      </c>
      <c r="E103" s="1311"/>
      <c r="F103" s="1311"/>
      <c r="G103" s="1311"/>
      <c r="H103" s="1311"/>
      <c r="I103" s="1311"/>
      <c r="J103" s="1311"/>
      <c r="K103" s="1311"/>
      <c r="L103" s="1311"/>
      <c r="M103" s="1311"/>
      <c r="N103" s="1311"/>
      <c r="O103" s="1311"/>
      <c r="P103" s="1311"/>
      <c r="Q103" s="1311"/>
      <c r="R103" s="1312" t="e">
        <f>'PLANILHA '!#REF!</f>
        <v>#REF!</v>
      </c>
      <c r="S103" s="1312"/>
      <c r="T103" s="1313" t="e">
        <f>'PLANILHA '!#REF!</f>
        <v>#REF!</v>
      </c>
      <c r="U103" s="1313"/>
      <c r="V103" s="1313"/>
      <c r="W103" s="1313" t="e">
        <f>'PLANILHA '!#REF!</f>
        <v>#REF!</v>
      </c>
      <c r="X103" s="1313"/>
      <c r="Y103" s="1313"/>
      <c r="Z103" s="1320"/>
      <c r="AA103" s="1320"/>
      <c r="AB103" s="1320"/>
      <c r="AC103" s="1320"/>
      <c r="AD103" s="1315"/>
      <c r="AE103" s="1315"/>
      <c r="AF103" s="1315"/>
      <c r="AG103" s="1321"/>
      <c r="AH103" s="1321"/>
      <c r="AI103" s="1321"/>
      <c r="AJ103" s="1321"/>
      <c r="AK103" s="1327"/>
      <c r="AL103" s="1327"/>
      <c r="AM103" s="1327"/>
      <c r="AN103" s="1327"/>
      <c r="AO103" s="1327"/>
      <c r="AP103" s="1317" t="e">
        <f>'PLANILHA '!#REF!</f>
        <v>#REF!</v>
      </c>
      <c r="AQ103" s="1317"/>
      <c r="AR103" s="1317"/>
      <c r="AS103" s="1317"/>
      <c r="AT103" s="1317"/>
      <c r="AU103" s="1322"/>
      <c r="AV103" s="1322"/>
      <c r="AW103" s="1322"/>
      <c r="AX103" s="1322"/>
      <c r="AY103" s="1322"/>
      <c r="AZ103" s="1323" t="e">
        <f t="shared" si="13"/>
        <v>#REF!</v>
      </c>
      <c r="BA103" s="1323"/>
      <c r="BB103" s="1323"/>
      <c r="BC103" s="1323"/>
      <c r="BD103" s="1323" t="e">
        <f t="shared" si="12"/>
        <v>#REF!</v>
      </c>
      <c r="BE103" s="1323"/>
      <c r="BF103" s="1323"/>
      <c r="BG103" s="1323"/>
      <c r="BH103" s="1323"/>
      <c r="BI103" s="1323" t="e">
        <f t="shared" si="11"/>
        <v>#REF!</v>
      </c>
      <c r="BJ103" s="1323"/>
      <c r="BK103" s="1323"/>
      <c r="BL103" s="1323"/>
      <c r="BM103" s="1323"/>
      <c r="BN103" s="1324"/>
      <c r="BO103" s="1324"/>
      <c r="BP103" s="1324"/>
    </row>
    <row r="104" spans="1:68" s="361" customFormat="1" ht="12.75" customHeight="1">
      <c r="A104" s="355"/>
      <c r="B104" s="1310" t="e">
        <f>'PLANILHA '!#REF!</f>
        <v>#REF!</v>
      </c>
      <c r="C104" s="1310"/>
      <c r="D104" s="1311" t="e">
        <f>'PLANILHA '!#REF!</f>
        <v>#REF!</v>
      </c>
      <c r="E104" s="1311"/>
      <c r="F104" s="1311"/>
      <c r="G104" s="1311"/>
      <c r="H104" s="1311"/>
      <c r="I104" s="1311"/>
      <c r="J104" s="1311"/>
      <c r="K104" s="1311"/>
      <c r="L104" s="1311"/>
      <c r="M104" s="1311"/>
      <c r="N104" s="1311"/>
      <c r="O104" s="1311"/>
      <c r="P104" s="1311"/>
      <c r="Q104" s="1311"/>
      <c r="R104" s="1312" t="e">
        <f>'PLANILHA '!#REF!</f>
        <v>#REF!</v>
      </c>
      <c r="S104" s="1312"/>
      <c r="T104" s="1313" t="e">
        <f>'PLANILHA '!#REF!</f>
        <v>#REF!</v>
      </c>
      <c r="U104" s="1313"/>
      <c r="V104" s="1313"/>
      <c r="W104" s="1313" t="e">
        <f>'PLANILHA '!#REF!</f>
        <v>#REF!</v>
      </c>
      <c r="X104" s="1313"/>
      <c r="Y104" s="1313"/>
      <c r="Z104" s="1320"/>
      <c r="AA104" s="1320"/>
      <c r="AB104" s="1320"/>
      <c r="AC104" s="1320"/>
      <c r="AD104" s="1315"/>
      <c r="AE104" s="1315"/>
      <c r="AF104" s="1315"/>
      <c r="AG104" s="1321"/>
      <c r="AH104" s="1321"/>
      <c r="AI104" s="1321"/>
      <c r="AJ104" s="1321"/>
      <c r="AK104" s="1327"/>
      <c r="AL104" s="1327"/>
      <c r="AM104" s="1327"/>
      <c r="AN104" s="1327"/>
      <c r="AO104" s="1327"/>
      <c r="AP104" s="1317" t="e">
        <f>'PLANILHA '!#REF!</f>
        <v>#REF!</v>
      </c>
      <c r="AQ104" s="1317"/>
      <c r="AR104" s="1317"/>
      <c r="AS104" s="1317"/>
      <c r="AT104" s="1317"/>
      <c r="AU104" s="1322"/>
      <c r="AV104" s="1322"/>
      <c r="AW104" s="1322"/>
      <c r="AX104" s="1322"/>
      <c r="AY104" s="1322"/>
      <c r="AZ104" s="1323" t="e">
        <f t="shared" si="13"/>
        <v>#REF!</v>
      </c>
      <c r="BA104" s="1323"/>
      <c r="BB104" s="1323"/>
      <c r="BC104" s="1323"/>
      <c r="BD104" s="1323" t="e">
        <f t="shared" si="12"/>
        <v>#REF!</v>
      </c>
      <c r="BE104" s="1323"/>
      <c r="BF104" s="1323"/>
      <c r="BG104" s="1323"/>
      <c r="BH104" s="1323"/>
      <c r="BI104" s="1323" t="e">
        <f t="shared" si="11"/>
        <v>#REF!</v>
      </c>
      <c r="BJ104" s="1323"/>
      <c r="BK104" s="1323"/>
      <c r="BL104" s="1323"/>
      <c r="BM104" s="1323"/>
      <c r="BN104" s="1324"/>
      <c r="BO104" s="1324"/>
      <c r="BP104" s="1324"/>
    </row>
    <row r="105" spans="1:68" s="361" customFormat="1" ht="12.75" customHeight="1">
      <c r="A105" s="355"/>
      <c r="B105" s="1310" t="e">
        <f>'PLANILHA '!#REF!</f>
        <v>#REF!</v>
      </c>
      <c r="C105" s="1310"/>
      <c r="D105" s="1311" t="e">
        <f>'PLANILHA '!#REF!</f>
        <v>#REF!</v>
      </c>
      <c r="E105" s="1311"/>
      <c r="F105" s="1311"/>
      <c r="G105" s="1311"/>
      <c r="H105" s="1311"/>
      <c r="I105" s="1311"/>
      <c r="J105" s="1311"/>
      <c r="K105" s="1311"/>
      <c r="L105" s="1311"/>
      <c r="M105" s="1311"/>
      <c r="N105" s="1311"/>
      <c r="O105" s="1311"/>
      <c r="P105" s="1311"/>
      <c r="Q105" s="1311"/>
      <c r="R105" s="1312" t="e">
        <f>'PLANILHA '!#REF!</f>
        <v>#REF!</v>
      </c>
      <c r="S105" s="1312"/>
      <c r="T105" s="1313" t="e">
        <f>'PLANILHA '!#REF!</f>
        <v>#REF!</v>
      </c>
      <c r="U105" s="1313"/>
      <c r="V105" s="1313"/>
      <c r="W105" s="1313" t="e">
        <f>'PLANILHA '!#REF!</f>
        <v>#REF!</v>
      </c>
      <c r="X105" s="1313"/>
      <c r="Y105" s="1313"/>
      <c r="Z105" s="1320"/>
      <c r="AA105" s="1320"/>
      <c r="AB105" s="1320"/>
      <c r="AC105" s="1320"/>
      <c r="AD105" s="1315"/>
      <c r="AE105" s="1315"/>
      <c r="AF105" s="1315"/>
      <c r="AG105" s="1321"/>
      <c r="AH105" s="1321"/>
      <c r="AI105" s="1321"/>
      <c r="AJ105" s="1321"/>
      <c r="AK105" s="1327"/>
      <c r="AL105" s="1327"/>
      <c r="AM105" s="1327"/>
      <c r="AN105" s="1327"/>
      <c r="AO105" s="1327"/>
      <c r="AP105" s="1317" t="e">
        <f>'PLANILHA '!#REF!</f>
        <v>#REF!</v>
      </c>
      <c r="AQ105" s="1317"/>
      <c r="AR105" s="1317"/>
      <c r="AS105" s="1317"/>
      <c r="AT105" s="1317"/>
      <c r="AU105" s="1322"/>
      <c r="AV105" s="1322"/>
      <c r="AW105" s="1322"/>
      <c r="AX105" s="1322"/>
      <c r="AY105" s="1322"/>
      <c r="AZ105" s="1323" t="e">
        <f t="shared" si="13"/>
        <v>#REF!</v>
      </c>
      <c r="BA105" s="1323"/>
      <c r="BB105" s="1323"/>
      <c r="BC105" s="1323"/>
      <c r="BD105" s="1323" t="e">
        <f t="shared" si="12"/>
        <v>#REF!</v>
      </c>
      <c r="BE105" s="1323"/>
      <c r="BF105" s="1323"/>
      <c r="BG105" s="1323"/>
      <c r="BH105" s="1323"/>
      <c r="BI105" s="1323" t="e">
        <f t="shared" si="11"/>
        <v>#REF!</v>
      </c>
      <c r="BJ105" s="1323"/>
      <c r="BK105" s="1323"/>
      <c r="BL105" s="1323"/>
      <c r="BM105" s="1323"/>
      <c r="BN105" s="1324"/>
      <c r="BO105" s="1324"/>
      <c r="BP105" s="1324"/>
    </row>
    <row r="106" spans="1:68" s="361" customFormat="1" ht="12.75" customHeight="1">
      <c r="A106" s="355"/>
      <c r="B106" s="1310" t="e">
        <f>'PLANILHA '!#REF!</f>
        <v>#REF!</v>
      </c>
      <c r="C106" s="1310"/>
      <c r="D106" s="1311" t="e">
        <f>'PLANILHA '!#REF!</f>
        <v>#REF!</v>
      </c>
      <c r="E106" s="1311"/>
      <c r="F106" s="1311"/>
      <c r="G106" s="1311"/>
      <c r="H106" s="1311"/>
      <c r="I106" s="1311"/>
      <c r="J106" s="1311"/>
      <c r="K106" s="1311"/>
      <c r="L106" s="1311"/>
      <c r="M106" s="1311"/>
      <c r="N106" s="1311"/>
      <c r="O106" s="1311"/>
      <c r="P106" s="1311"/>
      <c r="Q106" s="1311"/>
      <c r="R106" s="1312" t="e">
        <f>'PLANILHA '!#REF!</f>
        <v>#REF!</v>
      </c>
      <c r="S106" s="1312"/>
      <c r="T106" s="1313" t="e">
        <f>'PLANILHA '!#REF!</f>
        <v>#REF!</v>
      </c>
      <c r="U106" s="1313"/>
      <c r="V106" s="1313"/>
      <c r="W106" s="1313" t="e">
        <f>'PLANILHA '!#REF!</f>
        <v>#REF!</v>
      </c>
      <c r="X106" s="1313"/>
      <c r="Y106" s="1313"/>
      <c r="Z106" s="1320"/>
      <c r="AA106" s="1320"/>
      <c r="AB106" s="1320"/>
      <c r="AC106" s="1320"/>
      <c r="AD106" s="1315"/>
      <c r="AE106" s="1315"/>
      <c r="AF106" s="1315"/>
      <c r="AG106" s="1321"/>
      <c r="AH106" s="1321"/>
      <c r="AI106" s="1321"/>
      <c r="AJ106" s="1321"/>
      <c r="AK106" s="1327"/>
      <c r="AL106" s="1327"/>
      <c r="AM106" s="1327"/>
      <c r="AN106" s="1327"/>
      <c r="AO106" s="1327"/>
      <c r="AP106" s="1317" t="e">
        <f>'PLANILHA '!#REF!</f>
        <v>#REF!</v>
      </c>
      <c r="AQ106" s="1317"/>
      <c r="AR106" s="1317"/>
      <c r="AS106" s="1317"/>
      <c r="AT106" s="1317"/>
      <c r="AU106" s="1322"/>
      <c r="AV106" s="1322"/>
      <c r="AW106" s="1322"/>
      <c r="AX106" s="1322"/>
      <c r="AY106" s="1322"/>
      <c r="AZ106" s="1323" t="e">
        <f t="shared" si="13"/>
        <v>#REF!</v>
      </c>
      <c r="BA106" s="1323"/>
      <c r="BB106" s="1323"/>
      <c r="BC106" s="1323"/>
      <c r="BD106" s="1323" t="e">
        <f t="shared" si="12"/>
        <v>#REF!</v>
      </c>
      <c r="BE106" s="1323"/>
      <c r="BF106" s="1323"/>
      <c r="BG106" s="1323"/>
      <c r="BH106" s="1323"/>
      <c r="BI106" s="1323" t="e">
        <f t="shared" si="11"/>
        <v>#REF!</v>
      </c>
      <c r="BJ106" s="1323"/>
      <c r="BK106" s="1323"/>
      <c r="BL106" s="1323"/>
      <c r="BM106" s="1323"/>
      <c r="BN106" s="1324"/>
      <c r="BO106" s="1324"/>
      <c r="BP106" s="1324"/>
    </row>
    <row r="107" spans="1:68" s="361" customFormat="1" ht="12.75" customHeight="1">
      <c r="A107" s="355"/>
      <c r="B107" s="1310" t="e">
        <f>'PLANILHA '!#REF!</f>
        <v>#REF!</v>
      </c>
      <c r="C107" s="1310"/>
      <c r="D107" s="1311" t="e">
        <f>'PLANILHA '!#REF!</f>
        <v>#REF!</v>
      </c>
      <c r="E107" s="1311"/>
      <c r="F107" s="1311"/>
      <c r="G107" s="1311"/>
      <c r="H107" s="1311"/>
      <c r="I107" s="1311"/>
      <c r="J107" s="1311"/>
      <c r="K107" s="1311"/>
      <c r="L107" s="1311"/>
      <c r="M107" s="1311"/>
      <c r="N107" s="1311"/>
      <c r="O107" s="1311"/>
      <c r="P107" s="1311"/>
      <c r="Q107" s="1311"/>
      <c r="R107" s="1312" t="e">
        <f>'PLANILHA '!#REF!</f>
        <v>#REF!</v>
      </c>
      <c r="S107" s="1312"/>
      <c r="T107" s="1313" t="e">
        <f>'PLANILHA '!#REF!</f>
        <v>#REF!</v>
      </c>
      <c r="U107" s="1313"/>
      <c r="V107" s="1313"/>
      <c r="W107" s="1313" t="e">
        <f>'PLANILHA '!#REF!</f>
        <v>#REF!</v>
      </c>
      <c r="X107" s="1313"/>
      <c r="Y107" s="1313"/>
      <c r="Z107" s="1320"/>
      <c r="AA107" s="1320"/>
      <c r="AB107" s="1320"/>
      <c r="AC107" s="1320"/>
      <c r="AD107" s="1315"/>
      <c r="AE107" s="1315"/>
      <c r="AF107" s="1315"/>
      <c r="AG107" s="1321"/>
      <c r="AH107" s="1321"/>
      <c r="AI107" s="1321"/>
      <c r="AJ107" s="1321"/>
      <c r="AK107" s="1327"/>
      <c r="AL107" s="1327"/>
      <c r="AM107" s="1327"/>
      <c r="AN107" s="1327"/>
      <c r="AO107" s="1327"/>
      <c r="AP107" s="1317" t="e">
        <f>'PLANILHA '!#REF!</f>
        <v>#REF!</v>
      </c>
      <c r="AQ107" s="1317"/>
      <c r="AR107" s="1317"/>
      <c r="AS107" s="1317"/>
      <c r="AT107" s="1317"/>
      <c r="AU107" s="1322"/>
      <c r="AV107" s="1322"/>
      <c r="AW107" s="1322"/>
      <c r="AX107" s="1322"/>
      <c r="AY107" s="1322"/>
      <c r="AZ107" s="1323" t="e">
        <f t="shared" si="13"/>
        <v>#REF!</v>
      </c>
      <c r="BA107" s="1323"/>
      <c r="BB107" s="1323"/>
      <c r="BC107" s="1323"/>
      <c r="BD107" s="1323" t="e">
        <f t="shared" si="12"/>
        <v>#REF!</v>
      </c>
      <c r="BE107" s="1323"/>
      <c r="BF107" s="1323"/>
      <c r="BG107" s="1323"/>
      <c r="BH107" s="1323"/>
      <c r="BI107" s="1323" t="e">
        <f t="shared" si="11"/>
        <v>#REF!</v>
      </c>
      <c r="BJ107" s="1323"/>
      <c r="BK107" s="1323"/>
      <c r="BL107" s="1323"/>
      <c r="BM107" s="1323"/>
      <c r="BN107" s="1324"/>
      <c r="BO107" s="1324"/>
      <c r="BP107" s="1324"/>
    </row>
    <row r="108" spans="1:68" s="361" customFormat="1" ht="12.75" customHeight="1">
      <c r="A108" s="355"/>
      <c r="B108" s="1310" t="e">
        <f>'PLANILHA '!#REF!</f>
        <v>#REF!</v>
      </c>
      <c r="C108" s="1310"/>
      <c r="D108" s="1311" t="e">
        <f>'PLANILHA '!#REF!</f>
        <v>#REF!</v>
      </c>
      <c r="E108" s="1311"/>
      <c r="F108" s="1311"/>
      <c r="G108" s="1311"/>
      <c r="H108" s="1311"/>
      <c r="I108" s="1311"/>
      <c r="J108" s="1311"/>
      <c r="K108" s="1311"/>
      <c r="L108" s="1311"/>
      <c r="M108" s="1311"/>
      <c r="N108" s="1311"/>
      <c r="O108" s="1311"/>
      <c r="P108" s="1311"/>
      <c r="Q108" s="1311"/>
      <c r="R108" s="1312" t="e">
        <f>'PLANILHA '!#REF!</f>
        <v>#REF!</v>
      </c>
      <c r="S108" s="1312"/>
      <c r="T108" s="1313" t="e">
        <f>'PLANILHA '!#REF!</f>
        <v>#REF!</v>
      </c>
      <c r="U108" s="1313"/>
      <c r="V108" s="1313"/>
      <c r="W108" s="1313" t="e">
        <f>'PLANILHA '!#REF!</f>
        <v>#REF!</v>
      </c>
      <c r="X108" s="1313"/>
      <c r="Y108" s="1313"/>
      <c r="Z108" s="1320"/>
      <c r="AA108" s="1320"/>
      <c r="AB108" s="1320"/>
      <c r="AC108" s="1320"/>
      <c r="AD108" s="1315"/>
      <c r="AE108" s="1315"/>
      <c r="AF108" s="1315"/>
      <c r="AG108" s="1321"/>
      <c r="AH108" s="1321"/>
      <c r="AI108" s="1321"/>
      <c r="AJ108" s="1321"/>
      <c r="AK108" s="1327"/>
      <c r="AL108" s="1327"/>
      <c r="AM108" s="1327"/>
      <c r="AN108" s="1327"/>
      <c r="AO108" s="1327"/>
      <c r="AP108" s="1317" t="e">
        <f>'PLANILHA '!#REF!</f>
        <v>#REF!</v>
      </c>
      <c r="AQ108" s="1317"/>
      <c r="AR108" s="1317"/>
      <c r="AS108" s="1317"/>
      <c r="AT108" s="1317"/>
      <c r="AU108" s="1322"/>
      <c r="AV108" s="1322"/>
      <c r="AW108" s="1322"/>
      <c r="AX108" s="1322"/>
      <c r="AY108" s="1322"/>
      <c r="AZ108" s="1323" t="e">
        <f t="shared" si="13"/>
        <v>#REF!</v>
      </c>
      <c r="BA108" s="1323"/>
      <c r="BB108" s="1323"/>
      <c r="BC108" s="1323"/>
      <c r="BD108" s="1323" t="e">
        <f t="shared" si="12"/>
        <v>#REF!</v>
      </c>
      <c r="BE108" s="1323"/>
      <c r="BF108" s="1323"/>
      <c r="BG108" s="1323"/>
      <c r="BH108" s="1323"/>
      <c r="BI108" s="1323" t="e">
        <f t="shared" si="11"/>
        <v>#REF!</v>
      </c>
      <c r="BJ108" s="1323"/>
      <c r="BK108" s="1323"/>
      <c r="BL108" s="1323"/>
      <c r="BM108" s="1323"/>
      <c r="BN108" s="1324"/>
      <c r="BO108" s="1324"/>
      <c r="BP108" s="1324"/>
    </row>
    <row r="109" spans="1:68" s="361" customFormat="1" ht="12.75" customHeight="1">
      <c r="A109" s="355"/>
      <c r="B109" s="1310" t="e">
        <f>'PLANILHA '!#REF!</f>
        <v>#REF!</v>
      </c>
      <c r="C109" s="1310"/>
      <c r="D109" s="1311" t="e">
        <f>'PLANILHA '!#REF!</f>
        <v>#REF!</v>
      </c>
      <c r="E109" s="1311"/>
      <c r="F109" s="1311"/>
      <c r="G109" s="1311"/>
      <c r="H109" s="1311"/>
      <c r="I109" s="1311"/>
      <c r="J109" s="1311"/>
      <c r="K109" s="1311"/>
      <c r="L109" s="1311"/>
      <c r="M109" s="1311"/>
      <c r="N109" s="1311"/>
      <c r="O109" s="1311"/>
      <c r="P109" s="1311"/>
      <c r="Q109" s="1311"/>
      <c r="R109" s="1312" t="e">
        <f>'PLANILHA '!#REF!</f>
        <v>#REF!</v>
      </c>
      <c r="S109" s="1312"/>
      <c r="T109" s="1313" t="e">
        <f>'PLANILHA '!#REF!</f>
        <v>#REF!</v>
      </c>
      <c r="U109" s="1313"/>
      <c r="V109" s="1313"/>
      <c r="W109" s="1313" t="e">
        <f>'PLANILHA '!#REF!</f>
        <v>#REF!</v>
      </c>
      <c r="X109" s="1313"/>
      <c r="Y109" s="1313"/>
      <c r="Z109" s="1320"/>
      <c r="AA109" s="1320"/>
      <c r="AB109" s="1320"/>
      <c r="AC109" s="1320"/>
      <c r="AD109" s="1315"/>
      <c r="AE109" s="1315"/>
      <c r="AF109" s="1315"/>
      <c r="AG109" s="1321"/>
      <c r="AH109" s="1321"/>
      <c r="AI109" s="1321"/>
      <c r="AJ109" s="1321"/>
      <c r="AK109" s="1327"/>
      <c r="AL109" s="1327"/>
      <c r="AM109" s="1327"/>
      <c r="AN109" s="1327"/>
      <c r="AO109" s="1327"/>
      <c r="AP109" s="1317" t="e">
        <f>'PLANILHA '!#REF!</f>
        <v>#REF!</v>
      </c>
      <c r="AQ109" s="1317"/>
      <c r="AR109" s="1317"/>
      <c r="AS109" s="1317"/>
      <c r="AT109" s="1317"/>
      <c r="AU109" s="1322"/>
      <c r="AV109" s="1322"/>
      <c r="AW109" s="1322"/>
      <c r="AX109" s="1322"/>
      <c r="AY109" s="1322"/>
      <c r="AZ109" s="1323" t="e">
        <f t="shared" si="13"/>
        <v>#REF!</v>
      </c>
      <c r="BA109" s="1323"/>
      <c r="BB109" s="1323"/>
      <c r="BC109" s="1323"/>
      <c r="BD109" s="1323" t="e">
        <f t="shared" si="12"/>
        <v>#REF!</v>
      </c>
      <c r="BE109" s="1323"/>
      <c r="BF109" s="1323"/>
      <c r="BG109" s="1323"/>
      <c r="BH109" s="1323"/>
      <c r="BI109" s="1323" t="e">
        <f t="shared" si="11"/>
        <v>#REF!</v>
      </c>
      <c r="BJ109" s="1323"/>
      <c r="BK109" s="1323"/>
      <c r="BL109" s="1323"/>
      <c r="BM109" s="1323"/>
      <c r="BN109" s="1324"/>
      <c r="BO109" s="1324"/>
      <c r="BP109" s="1324"/>
    </row>
    <row r="110" spans="1:68" s="361" customFormat="1" ht="12.75" customHeight="1">
      <c r="A110" s="355"/>
      <c r="B110" s="1310" t="e">
        <f>'PLANILHA '!#REF!</f>
        <v>#REF!</v>
      </c>
      <c r="C110" s="1310"/>
      <c r="D110" s="1311" t="e">
        <f>'PLANILHA '!#REF!</f>
        <v>#REF!</v>
      </c>
      <c r="E110" s="1311"/>
      <c r="F110" s="1311"/>
      <c r="G110" s="1311"/>
      <c r="H110" s="1311"/>
      <c r="I110" s="1311"/>
      <c r="J110" s="1311"/>
      <c r="K110" s="1311"/>
      <c r="L110" s="1311"/>
      <c r="M110" s="1311"/>
      <c r="N110" s="1311"/>
      <c r="O110" s="1311"/>
      <c r="P110" s="1311"/>
      <c r="Q110" s="1311"/>
      <c r="R110" s="1312" t="e">
        <f>'PLANILHA '!#REF!</f>
        <v>#REF!</v>
      </c>
      <c r="S110" s="1312"/>
      <c r="T110" s="1313" t="e">
        <f>'PLANILHA '!#REF!</f>
        <v>#REF!</v>
      </c>
      <c r="U110" s="1313"/>
      <c r="V110" s="1313"/>
      <c r="W110" s="1313" t="e">
        <f>'PLANILHA '!#REF!</f>
        <v>#REF!</v>
      </c>
      <c r="X110" s="1313"/>
      <c r="Y110" s="1313"/>
      <c r="Z110" s="1320"/>
      <c r="AA110" s="1320"/>
      <c r="AB110" s="1320"/>
      <c r="AC110" s="1320"/>
      <c r="AD110" s="1315"/>
      <c r="AE110" s="1315"/>
      <c r="AF110" s="1315"/>
      <c r="AG110" s="1321"/>
      <c r="AH110" s="1321"/>
      <c r="AI110" s="1321"/>
      <c r="AJ110" s="1321"/>
      <c r="AK110" s="1327"/>
      <c r="AL110" s="1327"/>
      <c r="AM110" s="1327"/>
      <c r="AN110" s="1327"/>
      <c r="AO110" s="1327"/>
      <c r="AP110" s="1317" t="e">
        <f>'PLANILHA '!#REF!</f>
        <v>#REF!</v>
      </c>
      <c r="AQ110" s="1317"/>
      <c r="AR110" s="1317"/>
      <c r="AS110" s="1317"/>
      <c r="AT110" s="1317"/>
      <c r="AU110" s="1322"/>
      <c r="AV110" s="1322"/>
      <c r="AW110" s="1322"/>
      <c r="AX110" s="1322"/>
      <c r="AY110" s="1322"/>
      <c r="AZ110" s="1323" t="e">
        <f t="shared" si="13"/>
        <v>#REF!</v>
      </c>
      <c r="BA110" s="1323"/>
      <c r="BB110" s="1323"/>
      <c r="BC110" s="1323"/>
      <c r="BD110" s="1323" t="e">
        <f t="shared" si="12"/>
        <v>#REF!</v>
      </c>
      <c r="BE110" s="1323"/>
      <c r="BF110" s="1323"/>
      <c r="BG110" s="1323"/>
      <c r="BH110" s="1323"/>
      <c r="BI110" s="1323" t="e">
        <f t="shared" si="11"/>
        <v>#REF!</v>
      </c>
      <c r="BJ110" s="1323"/>
      <c r="BK110" s="1323"/>
      <c r="BL110" s="1323"/>
      <c r="BM110" s="1323"/>
      <c r="BN110" s="1324"/>
      <c r="BO110" s="1324"/>
      <c r="BP110" s="1324"/>
    </row>
    <row r="111" spans="1:68" s="361" customFormat="1" ht="12.75" customHeight="1">
      <c r="A111" s="355"/>
      <c r="B111" s="1310" t="e">
        <f>'PLANILHA '!#REF!</f>
        <v>#REF!</v>
      </c>
      <c r="C111" s="1310"/>
      <c r="D111" s="1311"/>
      <c r="E111" s="1311"/>
      <c r="F111" s="1311"/>
      <c r="G111" s="1311"/>
      <c r="H111" s="1311"/>
      <c r="I111" s="1311"/>
      <c r="J111" s="1311"/>
      <c r="K111" s="1311"/>
      <c r="L111" s="1311"/>
      <c r="M111" s="1311"/>
      <c r="N111" s="1311"/>
      <c r="O111" s="1311"/>
      <c r="P111" s="1311"/>
      <c r="Q111" s="1311"/>
      <c r="R111" s="1312" t="e">
        <f>'PLANILHA '!#REF!</f>
        <v>#REF!</v>
      </c>
      <c r="S111" s="1312"/>
      <c r="T111" s="1313" t="e">
        <f>'PLANILHA '!#REF!</f>
        <v>#REF!</v>
      </c>
      <c r="U111" s="1313"/>
      <c r="V111" s="1313"/>
      <c r="W111" s="1313" t="e">
        <f>'PLANILHA '!#REF!</f>
        <v>#REF!</v>
      </c>
      <c r="X111" s="1313"/>
      <c r="Y111" s="1313"/>
      <c r="Z111" s="1320"/>
      <c r="AA111" s="1320"/>
      <c r="AB111" s="1320"/>
      <c r="AC111" s="1320"/>
      <c r="AD111" s="1315"/>
      <c r="AE111" s="1315"/>
      <c r="AF111" s="1315"/>
      <c r="AG111" s="1321"/>
      <c r="AH111" s="1321"/>
      <c r="AI111" s="1321"/>
      <c r="AJ111" s="1321"/>
      <c r="AK111" s="1327"/>
      <c r="AL111" s="1327"/>
      <c r="AM111" s="1327"/>
      <c r="AN111" s="1327"/>
      <c r="AO111" s="1327"/>
      <c r="AP111" s="1317" t="e">
        <f>'PLANILHA '!#REF!</f>
        <v>#REF!</v>
      </c>
      <c r="AQ111" s="1317"/>
      <c r="AR111" s="1317"/>
      <c r="AS111" s="1317"/>
      <c r="AT111" s="1317"/>
      <c r="AU111" s="1322"/>
      <c r="AV111" s="1322"/>
      <c r="AW111" s="1322"/>
      <c r="AX111" s="1322"/>
      <c r="AY111" s="1322"/>
      <c r="AZ111" s="1323" t="e">
        <f t="shared" si="13"/>
        <v>#REF!</v>
      </c>
      <c r="BA111" s="1323"/>
      <c r="BB111" s="1323"/>
      <c r="BC111" s="1323"/>
      <c r="BD111" s="1323" t="e">
        <f t="shared" si="12"/>
        <v>#REF!</v>
      </c>
      <c r="BE111" s="1323"/>
      <c r="BF111" s="1323"/>
      <c r="BG111" s="1323"/>
      <c r="BH111" s="1323"/>
      <c r="BI111" s="1323" t="e">
        <f t="shared" si="11"/>
        <v>#REF!</v>
      </c>
      <c r="BJ111" s="1323"/>
      <c r="BK111" s="1323"/>
      <c r="BL111" s="1323"/>
      <c r="BM111" s="1323"/>
      <c r="BN111" s="1324"/>
      <c r="BO111" s="1324"/>
      <c r="BP111" s="1324"/>
    </row>
    <row r="112" spans="1:68" s="361" customFormat="1" ht="12.75" customHeight="1">
      <c r="A112" s="355"/>
      <c r="B112" s="1310">
        <f>'PLANILHA '!A57</f>
        <v>8</v>
      </c>
      <c r="C112" s="1310"/>
      <c r="D112" s="1311" t="str">
        <f>'PLANILHA '!D57</f>
        <v>Aparelhos e Louças</v>
      </c>
      <c r="E112" s="1311"/>
      <c r="F112" s="1311"/>
      <c r="G112" s="1311"/>
      <c r="H112" s="1311"/>
      <c r="I112" s="1311"/>
      <c r="J112" s="1311"/>
      <c r="K112" s="1311"/>
      <c r="L112" s="1311"/>
      <c r="M112" s="1311"/>
      <c r="N112" s="1311"/>
      <c r="O112" s="1311"/>
      <c r="P112" s="1311"/>
      <c r="Q112" s="1311"/>
      <c r="R112" s="1312">
        <f>'PLANILHA '!E57</f>
        <v>0</v>
      </c>
      <c r="S112" s="1312"/>
      <c r="T112" s="1313">
        <f>'PLANILHA '!G57</f>
        <v>0</v>
      </c>
      <c r="U112" s="1313"/>
      <c r="V112" s="1313"/>
      <c r="W112" s="1329">
        <f>'PLANILHA '!F57</f>
        <v>0</v>
      </c>
      <c r="X112" s="1329"/>
      <c r="Y112" s="1329"/>
      <c r="Z112" s="1320"/>
      <c r="AA112" s="1320"/>
      <c r="AB112" s="1320"/>
      <c r="AC112" s="1320"/>
      <c r="AD112" s="1315"/>
      <c r="AE112" s="1315"/>
      <c r="AF112" s="1315"/>
      <c r="AG112" s="1321"/>
      <c r="AH112" s="1321"/>
      <c r="AI112" s="1321"/>
      <c r="AJ112" s="1321"/>
      <c r="AK112" s="1327"/>
      <c r="AL112" s="1327"/>
      <c r="AM112" s="1327"/>
      <c r="AN112" s="1327"/>
      <c r="AO112" s="1327"/>
      <c r="AP112" s="1317" t="e">
        <f>'PLANILHA '!#REF!</f>
        <v>#REF!</v>
      </c>
      <c r="AQ112" s="1317"/>
      <c r="AR112" s="1317"/>
      <c r="AS112" s="1317"/>
      <c r="AT112" s="1317"/>
      <c r="AU112" s="1322"/>
      <c r="AV112" s="1322"/>
      <c r="AW112" s="1322"/>
      <c r="AX112" s="1322"/>
      <c r="AY112" s="1322"/>
      <c r="AZ112" s="1323" t="e">
        <f t="shared" si="13"/>
        <v>#REF!</v>
      </c>
      <c r="BA112" s="1323"/>
      <c r="BB112" s="1323"/>
      <c r="BC112" s="1323"/>
      <c r="BD112" s="1323" t="e">
        <f t="shared" si="12"/>
        <v>#REF!</v>
      </c>
      <c r="BE112" s="1323"/>
      <c r="BF112" s="1323"/>
      <c r="BG112" s="1323"/>
      <c r="BH112" s="1323"/>
      <c r="BI112" s="1323" t="e">
        <f t="shared" si="11"/>
        <v>#REF!</v>
      </c>
      <c r="BJ112" s="1323"/>
      <c r="BK112" s="1323"/>
      <c r="BL112" s="1323"/>
      <c r="BM112" s="1323"/>
      <c r="BN112" s="1324"/>
      <c r="BO112" s="1324"/>
      <c r="BP112" s="1324"/>
    </row>
    <row r="113" spans="1:68" s="361" customFormat="1" ht="12.75" customHeight="1">
      <c r="A113" s="355"/>
      <c r="B113" s="1310" t="str">
        <f>'PLANILHA '!A58</f>
        <v>8.1</v>
      </c>
      <c r="C113" s="1310"/>
      <c r="D113" s="1311" t="str">
        <f>'PLANILHA '!D58</f>
        <v>Lavatório de louça com coluna</v>
      </c>
      <c r="E113" s="1311"/>
      <c r="F113" s="1311"/>
      <c r="G113" s="1311"/>
      <c r="H113" s="1311"/>
      <c r="I113" s="1311"/>
      <c r="J113" s="1311"/>
      <c r="K113" s="1311"/>
      <c r="L113" s="1311"/>
      <c r="M113" s="1311"/>
      <c r="N113" s="1311"/>
      <c r="O113" s="1311"/>
      <c r="P113" s="1311"/>
      <c r="Q113" s="1311"/>
      <c r="R113" s="1312" t="str">
        <f>'PLANILHA '!E58</f>
        <v>Unid</v>
      </c>
      <c r="S113" s="1312"/>
      <c r="T113" s="1330">
        <f>'PLANILHA '!G58</f>
        <v>1</v>
      </c>
      <c r="U113" s="1330"/>
      <c r="V113" s="1330"/>
      <c r="W113" s="1329">
        <f>'PLANILHA '!F58</f>
        <v>208.81</v>
      </c>
      <c r="X113" s="1329"/>
      <c r="Y113" s="1329"/>
      <c r="Z113" s="1320"/>
      <c r="AA113" s="1320"/>
      <c r="AB113" s="1320"/>
      <c r="AC113" s="1320"/>
      <c r="AD113" s="1315"/>
      <c r="AE113" s="1315"/>
      <c r="AF113" s="1315"/>
      <c r="AG113" s="1321"/>
      <c r="AH113" s="1321"/>
      <c r="AI113" s="1321"/>
      <c r="AJ113" s="1321"/>
      <c r="AK113" s="1327"/>
      <c r="AL113" s="1327"/>
      <c r="AM113" s="1327"/>
      <c r="AN113" s="1327"/>
      <c r="AO113" s="1327"/>
      <c r="AP113" s="1317" t="e">
        <f>'PLANILHA '!#REF!</f>
        <v>#REF!</v>
      </c>
      <c r="AQ113" s="1317"/>
      <c r="AR113" s="1317"/>
      <c r="AS113" s="1317"/>
      <c r="AT113" s="1317"/>
      <c r="AU113" s="1322"/>
      <c r="AV113" s="1322"/>
      <c r="AW113" s="1322"/>
      <c r="AX113" s="1322"/>
      <c r="AY113" s="1322"/>
      <c r="AZ113" s="1323" t="e">
        <f t="shared" si="13"/>
        <v>#REF!</v>
      </c>
      <c r="BA113" s="1323"/>
      <c r="BB113" s="1323"/>
      <c r="BC113" s="1323"/>
      <c r="BD113" s="1323" t="e">
        <f t="shared" si="12"/>
        <v>#REF!</v>
      </c>
      <c r="BE113" s="1323"/>
      <c r="BF113" s="1323"/>
      <c r="BG113" s="1323"/>
      <c r="BH113" s="1323"/>
      <c r="BI113" s="1323" t="e">
        <f t="shared" si="11"/>
        <v>#REF!</v>
      </c>
      <c r="BJ113" s="1323"/>
      <c r="BK113" s="1323"/>
      <c r="BL113" s="1323"/>
      <c r="BM113" s="1323"/>
      <c r="BN113" s="1324"/>
      <c r="BO113" s="1324"/>
      <c r="BP113" s="1324"/>
    </row>
    <row r="114" spans="1:68" s="361" customFormat="1" ht="12.75" customHeight="1">
      <c r="A114" s="355"/>
      <c r="B114" s="1310" t="str">
        <f>'PLANILHA '!A59</f>
        <v>8.2</v>
      </c>
      <c r="C114" s="1310"/>
      <c r="D114" s="1311">
        <f>'PLANILHA '!D59</f>
        <v>0</v>
      </c>
      <c r="E114" s="1311"/>
      <c r="F114" s="1311"/>
      <c r="G114" s="1311"/>
      <c r="H114" s="1311"/>
      <c r="I114" s="1311"/>
      <c r="J114" s="1311"/>
      <c r="K114" s="1311"/>
      <c r="L114" s="1311"/>
      <c r="M114" s="1311"/>
      <c r="N114" s="1311"/>
      <c r="O114" s="1311"/>
      <c r="P114" s="1311"/>
      <c r="Q114" s="1311"/>
      <c r="R114" s="1312">
        <f>'PLANILHA '!E59</f>
        <v>0</v>
      </c>
      <c r="S114" s="1312"/>
      <c r="T114" s="1330">
        <f>'PLANILHA '!G59</f>
        <v>0</v>
      </c>
      <c r="U114" s="1330"/>
      <c r="V114" s="1330"/>
      <c r="W114" s="1329">
        <f>'PLANILHA '!F59</f>
        <v>0</v>
      </c>
      <c r="X114" s="1329"/>
      <c r="Y114" s="1329"/>
      <c r="Z114" s="1320"/>
      <c r="AA114" s="1320"/>
      <c r="AB114" s="1320"/>
      <c r="AC114" s="1320"/>
      <c r="AD114" s="1315"/>
      <c r="AE114" s="1315"/>
      <c r="AF114" s="1315"/>
      <c r="AG114" s="1321"/>
      <c r="AH114" s="1321"/>
      <c r="AI114" s="1321"/>
      <c r="AJ114" s="1321"/>
      <c r="AK114" s="1327"/>
      <c r="AL114" s="1327"/>
      <c r="AM114" s="1327"/>
      <c r="AN114" s="1327"/>
      <c r="AO114" s="1327"/>
      <c r="AP114" s="1317" t="e">
        <f>'PLANILHA '!#REF!</f>
        <v>#REF!</v>
      </c>
      <c r="AQ114" s="1317"/>
      <c r="AR114" s="1317"/>
      <c r="AS114" s="1317"/>
      <c r="AT114" s="1317"/>
      <c r="AU114" s="1322"/>
      <c r="AV114" s="1322"/>
      <c r="AW114" s="1322"/>
      <c r="AX114" s="1322"/>
      <c r="AY114" s="1322"/>
      <c r="AZ114" s="1323" t="e">
        <f t="shared" si="13"/>
        <v>#REF!</v>
      </c>
      <c r="BA114" s="1323"/>
      <c r="BB114" s="1323"/>
      <c r="BC114" s="1323"/>
      <c r="BD114" s="1323" t="e">
        <f t="shared" si="12"/>
        <v>#REF!</v>
      </c>
      <c r="BE114" s="1323"/>
      <c r="BF114" s="1323"/>
      <c r="BG114" s="1323"/>
      <c r="BH114" s="1323"/>
      <c r="BI114" s="1323" t="e">
        <f t="shared" si="11"/>
        <v>#REF!</v>
      </c>
      <c r="BJ114" s="1323"/>
      <c r="BK114" s="1323"/>
      <c r="BL114" s="1323"/>
      <c r="BM114" s="1323"/>
      <c r="BN114" s="1324"/>
      <c r="BO114" s="1324"/>
      <c r="BP114" s="1324"/>
    </row>
    <row r="115" spans="1:68" s="361" customFormat="1" ht="12.75" customHeight="1">
      <c r="A115" s="355"/>
      <c r="B115" s="1310" t="e">
        <f>'PLANILHA '!#REF!</f>
        <v>#REF!</v>
      </c>
      <c r="C115" s="1310"/>
      <c r="D115" s="1311" t="e">
        <f>'PLANILHA '!#REF!</f>
        <v>#REF!</v>
      </c>
      <c r="E115" s="1311"/>
      <c r="F115" s="1311"/>
      <c r="G115" s="1311"/>
      <c r="H115" s="1311"/>
      <c r="I115" s="1311"/>
      <c r="J115" s="1311"/>
      <c r="K115" s="1311"/>
      <c r="L115" s="1311"/>
      <c r="M115" s="1311"/>
      <c r="N115" s="1311"/>
      <c r="O115" s="1311"/>
      <c r="P115" s="1311"/>
      <c r="Q115" s="1311"/>
      <c r="R115" s="1312" t="e">
        <f>'PLANILHA '!#REF!</f>
        <v>#REF!</v>
      </c>
      <c r="S115" s="1312"/>
      <c r="T115" s="1313" t="e">
        <f>'PLANILHA '!#REF!</f>
        <v>#REF!</v>
      </c>
      <c r="U115" s="1313"/>
      <c r="V115" s="1313"/>
      <c r="W115" s="1313" t="e">
        <f>'PLANILHA '!#REF!</f>
        <v>#REF!</v>
      </c>
      <c r="X115" s="1313"/>
      <c r="Y115" s="1313"/>
      <c r="Z115" s="1320"/>
      <c r="AA115" s="1320"/>
      <c r="AB115" s="1320"/>
      <c r="AC115" s="1320"/>
      <c r="AD115" s="1315"/>
      <c r="AE115" s="1315"/>
      <c r="AF115" s="1315"/>
      <c r="AG115" s="1321"/>
      <c r="AH115" s="1321"/>
      <c r="AI115" s="1321"/>
      <c r="AJ115" s="1321"/>
      <c r="AK115" s="1327"/>
      <c r="AL115" s="1327"/>
      <c r="AM115" s="1327"/>
      <c r="AN115" s="1327"/>
      <c r="AO115" s="1327"/>
      <c r="AP115" s="1317" t="e">
        <f>'PLANILHA '!#REF!</f>
        <v>#REF!</v>
      </c>
      <c r="AQ115" s="1317"/>
      <c r="AR115" s="1317"/>
      <c r="AS115" s="1317"/>
      <c r="AT115" s="1317"/>
      <c r="AU115" s="1322"/>
      <c r="AV115" s="1322"/>
      <c r="AW115" s="1322"/>
      <c r="AX115" s="1322"/>
      <c r="AY115" s="1322"/>
      <c r="AZ115" s="1323" t="e">
        <f t="shared" si="13"/>
        <v>#REF!</v>
      </c>
      <c r="BA115" s="1323"/>
      <c r="BB115" s="1323"/>
      <c r="BC115" s="1323"/>
      <c r="BD115" s="1323" t="e">
        <f t="shared" si="12"/>
        <v>#REF!</v>
      </c>
      <c r="BE115" s="1323"/>
      <c r="BF115" s="1323"/>
      <c r="BG115" s="1323"/>
      <c r="BH115" s="1323"/>
      <c r="BI115" s="1323" t="e">
        <f t="shared" si="11"/>
        <v>#REF!</v>
      </c>
      <c r="BJ115" s="1323"/>
      <c r="BK115" s="1323"/>
      <c r="BL115" s="1323"/>
      <c r="BM115" s="1323"/>
      <c r="BN115" s="1324"/>
      <c r="BO115" s="1324"/>
      <c r="BP115" s="1324"/>
    </row>
    <row r="116" spans="1:68" s="361" customFormat="1" ht="12.75" customHeight="1">
      <c r="A116" s="355"/>
      <c r="B116" s="1310">
        <f>'PLANILHA '!A60</f>
        <v>0</v>
      </c>
      <c r="C116" s="1310"/>
      <c r="D116" s="1311"/>
      <c r="E116" s="1311"/>
      <c r="F116" s="1311"/>
      <c r="G116" s="1311"/>
      <c r="H116" s="1311"/>
      <c r="I116" s="1311"/>
      <c r="J116" s="1311"/>
      <c r="K116" s="1311"/>
      <c r="L116" s="1311"/>
      <c r="M116" s="1311"/>
      <c r="N116" s="1311"/>
      <c r="O116" s="1311"/>
      <c r="P116" s="1311"/>
      <c r="Q116" s="1311"/>
      <c r="R116" s="1312">
        <f>'PLANILHA '!E60</f>
        <v>0</v>
      </c>
      <c r="S116" s="1312"/>
      <c r="T116" s="1313">
        <f>'PLANILHA '!G60</f>
        <v>0</v>
      </c>
      <c r="U116" s="1313"/>
      <c r="V116" s="1313"/>
      <c r="W116" s="1329">
        <f>'PLANILHA '!F60</f>
        <v>0</v>
      </c>
      <c r="X116" s="1329"/>
      <c r="Y116" s="1329"/>
      <c r="Z116" s="1320"/>
      <c r="AA116" s="1320"/>
      <c r="AB116" s="1320"/>
      <c r="AC116" s="1320"/>
      <c r="AD116" s="1315"/>
      <c r="AE116" s="1315"/>
      <c r="AF116" s="1315"/>
      <c r="AG116" s="1321"/>
      <c r="AH116" s="1321"/>
      <c r="AI116" s="1321"/>
      <c r="AJ116" s="1321"/>
      <c r="AK116" s="1327"/>
      <c r="AL116" s="1327"/>
      <c r="AM116" s="1327"/>
      <c r="AN116" s="1327"/>
      <c r="AO116" s="1327"/>
      <c r="AP116" s="1317" t="e">
        <f>'PLANILHA '!#REF!</f>
        <v>#REF!</v>
      </c>
      <c r="AQ116" s="1317"/>
      <c r="AR116" s="1317"/>
      <c r="AS116" s="1317"/>
      <c r="AT116" s="1317"/>
      <c r="AU116" s="1322"/>
      <c r="AV116" s="1322"/>
      <c r="AW116" s="1322"/>
      <c r="AX116" s="1322"/>
      <c r="AY116" s="1322"/>
      <c r="AZ116" s="1323" t="e">
        <f t="shared" si="13"/>
        <v>#REF!</v>
      </c>
      <c r="BA116" s="1323"/>
      <c r="BB116" s="1323"/>
      <c r="BC116" s="1323"/>
      <c r="BD116" s="1323" t="e">
        <f t="shared" si="12"/>
        <v>#REF!</v>
      </c>
      <c r="BE116" s="1323"/>
      <c r="BF116" s="1323"/>
      <c r="BG116" s="1323"/>
      <c r="BH116" s="1323"/>
      <c r="BI116" s="1323" t="e">
        <f t="shared" si="11"/>
        <v>#REF!</v>
      </c>
      <c r="BJ116" s="1323"/>
      <c r="BK116" s="1323"/>
      <c r="BL116" s="1323"/>
      <c r="BM116" s="1323"/>
      <c r="BN116" s="1324"/>
      <c r="BO116" s="1324"/>
      <c r="BP116" s="1324"/>
    </row>
    <row r="117" spans="1:68" s="361" customFormat="1" ht="12.75" customHeight="1">
      <c r="A117" s="355"/>
      <c r="B117" s="1310" t="e">
        <f>'PLANILHA '!#REF!</f>
        <v>#REF!</v>
      </c>
      <c r="C117" s="1310"/>
      <c r="D117" s="1311" t="e">
        <f>'PLANILHA '!#REF!</f>
        <v>#REF!</v>
      </c>
      <c r="E117" s="1311"/>
      <c r="F117" s="1311"/>
      <c r="G117" s="1311"/>
      <c r="H117" s="1311"/>
      <c r="I117" s="1311"/>
      <c r="J117" s="1311"/>
      <c r="K117" s="1311"/>
      <c r="L117" s="1311"/>
      <c r="M117" s="1311"/>
      <c r="N117" s="1311"/>
      <c r="O117" s="1311"/>
      <c r="P117" s="1311"/>
      <c r="Q117" s="1311"/>
      <c r="R117" s="1312" t="e">
        <f>'PLANILHA '!#REF!</f>
        <v>#REF!</v>
      </c>
      <c r="S117" s="1312"/>
      <c r="T117" s="1313" t="e">
        <f>'PLANILHA '!#REF!</f>
        <v>#REF!</v>
      </c>
      <c r="U117" s="1313"/>
      <c r="V117" s="1313"/>
      <c r="W117" s="1313" t="e">
        <f>'PLANILHA '!#REF!</f>
        <v>#REF!</v>
      </c>
      <c r="X117" s="1313"/>
      <c r="Y117" s="1313"/>
      <c r="Z117" s="1320"/>
      <c r="AA117" s="1320"/>
      <c r="AB117" s="1320"/>
      <c r="AC117" s="1320"/>
      <c r="AD117" s="1315"/>
      <c r="AE117" s="1315"/>
      <c r="AF117" s="1315"/>
      <c r="AG117" s="1321"/>
      <c r="AH117" s="1321"/>
      <c r="AI117" s="1321"/>
      <c r="AJ117" s="1321"/>
      <c r="AK117" s="1327"/>
      <c r="AL117" s="1327"/>
      <c r="AM117" s="1327"/>
      <c r="AN117" s="1327"/>
      <c r="AO117" s="1327"/>
      <c r="AP117" s="1317" t="e">
        <f>'PLANILHA '!#REF!</f>
        <v>#REF!</v>
      </c>
      <c r="AQ117" s="1317"/>
      <c r="AR117" s="1317"/>
      <c r="AS117" s="1317"/>
      <c r="AT117" s="1317"/>
      <c r="AU117" s="1322"/>
      <c r="AV117" s="1322"/>
      <c r="AW117" s="1322"/>
      <c r="AX117" s="1322"/>
      <c r="AY117" s="1322"/>
      <c r="AZ117" s="1323" t="e">
        <f t="shared" si="13"/>
        <v>#REF!</v>
      </c>
      <c r="BA117" s="1323"/>
      <c r="BB117" s="1323"/>
      <c r="BC117" s="1323"/>
      <c r="BD117" s="1323" t="e">
        <f t="shared" si="12"/>
        <v>#REF!</v>
      </c>
      <c r="BE117" s="1323"/>
      <c r="BF117" s="1323"/>
      <c r="BG117" s="1323"/>
      <c r="BH117" s="1323"/>
      <c r="BI117" s="1323" t="e">
        <f t="shared" si="11"/>
        <v>#REF!</v>
      </c>
      <c r="BJ117" s="1323"/>
      <c r="BK117" s="1323"/>
      <c r="BL117" s="1323"/>
      <c r="BM117" s="1323"/>
      <c r="BN117" s="1324"/>
      <c r="BO117" s="1324"/>
      <c r="BP117" s="1324"/>
    </row>
    <row r="118" spans="1:68" s="361" customFormat="1" ht="12.75" customHeight="1">
      <c r="A118" s="355"/>
      <c r="B118" s="1310" t="e">
        <f>'PLANILHA '!#REF!</f>
        <v>#REF!</v>
      </c>
      <c r="C118" s="1310"/>
      <c r="D118" s="1311" t="e">
        <f>'PLANILHA '!#REF!</f>
        <v>#REF!</v>
      </c>
      <c r="E118" s="1311"/>
      <c r="F118" s="1311"/>
      <c r="G118" s="1311"/>
      <c r="H118" s="1311"/>
      <c r="I118" s="1311"/>
      <c r="J118" s="1311"/>
      <c r="K118" s="1311"/>
      <c r="L118" s="1311"/>
      <c r="M118" s="1311"/>
      <c r="N118" s="1311"/>
      <c r="O118" s="1311"/>
      <c r="P118" s="1311"/>
      <c r="Q118" s="1311"/>
      <c r="R118" s="1312" t="e">
        <f>'PLANILHA '!#REF!</f>
        <v>#REF!</v>
      </c>
      <c r="S118" s="1312"/>
      <c r="T118" s="1313" t="e">
        <f>'PLANILHA '!#REF!</f>
        <v>#REF!</v>
      </c>
      <c r="U118" s="1313"/>
      <c r="V118" s="1313"/>
      <c r="W118" s="1313" t="e">
        <f>'PLANILHA '!#REF!</f>
        <v>#REF!</v>
      </c>
      <c r="X118" s="1313"/>
      <c r="Y118" s="1313"/>
      <c r="Z118" s="1320"/>
      <c r="AA118" s="1320"/>
      <c r="AB118" s="1320"/>
      <c r="AC118" s="1320"/>
      <c r="AD118" s="1315"/>
      <c r="AE118" s="1315"/>
      <c r="AF118" s="1315"/>
      <c r="AG118" s="1321"/>
      <c r="AH118" s="1321"/>
      <c r="AI118" s="1321"/>
      <c r="AJ118" s="1321"/>
      <c r="AK118" s="1327"/>
      <c r="AL118" s="1327"/>
      <c r="AM118" s="1327"/>
      <c r="AN118" s="1327"/>
      <c r="AO118" s="1327"/>
      <c r="AP118" s="1317" t="e">
        <f>'PLANILHA '!#REF!</f>
        <v>#REF!</v>
      </c>
      <c r="AQ118" s="1317"/>
      <c r="AR118" s="1317"/>
      <c r="AS118" s="1317"/>
      <c r="AT118" s="1317"/>
      <c r="AU118" s="1322"/>
      <c r="AV118" s="1322"/>
      <c r="AW118" s="1322"/>
      <c r="AX118" s="1322"/>
      <c r="AY118" s="1322"/>
      <c r="AZ118" s="1323" t="e">
        <f t="shared" si="13"/>
        <v>#REF!</v>
      </c>
      <c r="BA118" s="1323"/>
      <c r="BB118" s="1323"/>
      <c r="BC118" s="1323"/>
      <c r="BD118" s="1323" t="e">
        <f t="shared" si="12"/>
        <v>#REF!</v>
      </c>
      <c r="BE118" s="1323"/>
      <c r="BF118" s="1323"/>
      <c r="BG118" s="1323"/>
      <c r="BH118" s="1323"/>
      <c r="BI118" s="1323" t="e">
        <f t="shared" si="11"/>
        <v>#REF!</v>
      </c>
      <c r="BJ118" s="1323"/>
      <c r="BK118" s="1323"/>
      <c r="BL118" s="1323"/>
      <c r="BM118" s="1323"/>
      <c r="BN118" s="1324"/>
      <c r="BO118" s="1324"/>
      <c r="BP118" s="1324"/>
    </row>
    <row r="119" spans="1:68" s="361" customFormat="1" ht="12.75" customHeight="1">
      <c r="A119" s="355"/>
      <c r="B119" s="1310" t="e">
        <f>'PLANILHA '!#REF!</f>
        <v>#REF!</v>
      </c>
      <c r="C119" s="1310"/>
      <c r="D119" s="1311" t="e">
        <f>'PLANILHA '!#REF!</f>
        <v>#REF!</v>
      </c>
      <c r="E119" s="1311"/>
      <c r="F119" s="1311"/>
      <c r="G119" s="1311"/>
      <c r="H119" s="1311"/>
      <c r="I119" s="1311"/>
      <c r="J119" s="1311"/>
      <c r="K119" s="1311"/>
      <c r="L119" s="1311"/>
      <c r="M119" s="1311"/>
      <c r="N119" s="1311"/>
      <c r="O119" s="1311"/>
      <c r="P119" s="1311"/>
      <c r="Q119" s="1311"/>
      <c r="R119" s="1312" t="e">
        <f>'PLANILHA '!#REF!</f>
        <v>#REF!</v>
      </c>
      <c r="S119" s="1312"/>
      <c r="T119" s="1313" t="e">
        <f>'PLANILHA '!#REF!</f>
        <v>#REF!</v>
      </c>
      <c r="U119" s="1313"/>
      <c r="V119" s="1313"/>
      <c r="W119" s="1313" t="e">
        <f>'PLANILHA '!#REF!</f>
        <v>#REF!</v>
      </c>
      <c r="X119" s="1313"/>
      <c r="Y119" s="1313"/>
      <c r="Z119" s="1320"/>
      <c r="AA119" s="1320"/>
      <c r="AB119" s="1320"/>
      <c r="AC119" s="1320"/>
      <c r="AD119" s="1315"/>
      <c r="AE119" s="1315"/>
      <c r="AF119" s="1315"/>
      <c r="AG119" s="1321"/>
      <c r="AH119" s="1321"/>
      <c r="AI119" s="1321"/>
      <c r="AJ119" s="1321"/>
      <c r="AK119" s="1327"/>
      <c r="AL119" s="1327"/>
      <c r="AM119" s="1327"/>
      <c r="AN119" s="1327"/>
      <c r="AO119" s="1327"/>
      <c r="AP119" s="1317" t="e">
        <f>'PLANILHA '!#REF!</f>
        <v>#REF!</v>
      </c>
      <c r="AQ119" s="1317"/>
      <c r="AR119" s="1317"/>
      <c r="AS119" s="1317"/>
      <c r="AT119" s="1317"/>
      <c r="AU119" s="1322"/>
      <c r="AV119" s="1322"/>
      <c r="AW119" s="1322"/>
      <c r="AX119" s="1322"/>
      <c r="AY119" s="1322"/>
      <c r="AZ119" s="1323" t="e">
        <f t="shared" si="13"/>
        <v>#REF!</v>
      </c>
      <c r="BA119" s="1323"/>
      <c r="BB119" s="1323"/>
      <c r="BC119" s="1323"/>
      <c r="BD119" s="1323" t="e">
        <f t="shared" si="12"/>
        <v>#REF!</v>
      </c>
      <c r="BE119" s="1323"/>
      <c r="BF119" s="1323"/>
      <c r="BG119" s="1323"/>
      <c r="BH119" s="1323"/>
      <c r="BI119" s="1323" t="e">
        <f t="shared" si="11"/>
        <v>#REF!</v>
      </c>
      <c r="BJ119" s="1323"/>
      <c r="BK119" s="1323"/>
      <c r="BL119" s="1323"/>
      <c r="BM119" s="1323"/>
      <c r="BN119" s="1324"/>
      <c r="BO119" s="1324"/>
      <c r="BP119" s="1324"/>
    </row>
    <row r="120" spans="1:68" s="361" customFormat="1" ht="12.75" customHeight="1">
      <c r="A120" s="355"/>
      <c r="B120" s="1310" t="e">
        <f>'PLANILHA '!#REF!</f>
        <v>#REF!</v>
      </c>
      <c r="C120" s="1310"/>
      <c r="D120" s="1311" t="e">
        <f>'PLANILHA '!#REF!</f>
        <v>#REF!</v>
      </c>
      <c r="E120" s="1311"/>
      <c r="F120" s="1311"/>
      <c r="G120" s="1311"/>
      <c r="H120" s="1311"/>
      <c r="I120" s="1311"/>
      <c r="J120" s="1311"/>
      <c r="K120" s="1311"/>
      <c r="L120" s="1311"/>
      <c r="M120" s="1311"/>
      <c r="N120" s="1311"/>
      <c r="O120" s="1311"/>
      <c r="P120" s="1311"/>
      <c r="Q120" s="1311"/>
      <c r="R120" s="1312" t="e">
        <f>'PLANILHA '!#REF!</f>
        <v>#REF!</v>
      </c>
      <c r="S120" s="1312"/>
      <c r="T120" s="1313" t="e">
        <f>'PLANILHA '!#REF!</f>
        <v>#REF!</v>
      </c>
      <c r="U120" s="1313"/>
      <c r="V120" s="1313"/>
      <c r="W120" s="1313" t="e">
        <f>'PLANILHA '!#REF!</f>
        <v>#REF!</v>
      </c>
      <c r="X120" s="1313"/>
      <c r="Y120" s="1313"/>
      <c r="Z120" s="1320"/>
      <c r="AA120" s="1320"/>
      <c r="AB120" s="1320"/>
      <c r="AC120" s="1320"/>
      <c r="AD120" s="1315"/>
      <c r="AE120" s="1315"/>
      <c r="AF120" s="1315"/>
      <c r="AG120" s="1321"/>
      <c r="AH120" s="1321"/>
      <c r="AI120" s="1321"/>
      <c r="AJ120" s="1321"/>
      <c r="AK120" s="1327"/>
      <c r="AL120" s="1327"/>
      <c r="AM120" s="1327"/>
      <c r="AN120" s="1327"/>
      <c r="AO120" s="1327"/>
      <c r="AP120" s="1317" t="e">
        <f>'PLANILHA '!#REF!</f>
        <v>#REF!</v>
      </c>
      <c r="AQ120" s="1317"/>
      <c r="AR120" s="1317"/>
      <c r="AS120" s="1317"/>
      <c r="AT120" s="1317"/>
      <c r="AU120" s="1322"/>
      <c r="AV120" s="1322"/>
      <c r="AW120" s="1322"/>
      <c r="AX120" s="1322"/>
      <c r="AY120" s="1322"/>
      <c r="AZ120" s="1323" t="e">
        <f t="shared" si="13"/>
        <v>#REF!</v>
      </c>
      <c r="BA120" s="1323"/>
      <c r="BB120" s="1323"/>
      <c r="BC120" s="1323"/>
      <c r="BD120" s="1323" t="e">
        <f t="shared" si="12"/>
        <v>#REF!</v>
      </c>
      <c r="BE120" s="1323"/>
      <c r="BF120" s="1323"/>
      <c r="BG120" s="1323"/>
      <c r="BH120" s="1323"/>
      <c r="BI120" s="1323" t="e">
        <f t="shared" si="11"/>
        <v>#REF!</v>
      </c>
      <c r="BJ120" s="1323"/>
      <c r="BK120" s="1323"/>
      <c r="BL120" s="1323"/>
      <c r="BM120" s="1323"/>
      <c r="BN120" s="1324"/>
      <c r="BO120" s="1324"/>
      <c r="BP120" s="1324"/>
    </row>
    <row r="121" spans="1:68" s="361" customFormat="1" ht="12.75" customHeight="1">
      <c r="A121" s="355"/>
      <c r="B121" s="1310" t="e">
        <f>'PLANILHA '!#REF!</f>
        <v>#REF!</v>
      </c>
      <c r="C121" s="1310"/>
      <c r="D121" s="1311" t="e">
        <f>'PLANILHA '!#REF!</f>
        <v>#REF!</v>
      </c>
      <c r="E121" s="1311"/>
      <c r="F121" s="1311"/>
      <c r="G121" s="1311"/>
      <c r="H121" s="1311"/>
      <c r="I121" s="1311"/>
      <c r="J121" s="1311"/>
      <c r="K121" s="1311"/>
      <c r="L121" s="1311"/>
      <c r="M121" s="1311"/>
      <c r="N121" s="1311"/>
      <c r="O121" s="1311"/>
      <c r="P121" s="1311"/>
      <c r="Q121" s="1311"/>
      <c r="R121" s="1312" t="e">
        <f>'PLANILHA '!#REF!</f>
        <v>#REF!</v>
      </c>
      <c r="S121" s="1312"/>
      <c r="T121" s="1313" t="e">
        <f>'PLANILHA '!#REF!</f>
        <v>#REF!</v>
      </c>
      <c r="U121" s="1313"/>
      <c r="V121" s="1313"/>
      <c r="W121" s="1313" t="e">
        <f>'PLANILHA '!#REF!</f>
        <v>#REF!</v>
      </c>
      <c r="X121" s="1313"/>
      <c r="Y121" s="1313"/>
      <c r="Z121" s="1320"/>
      <c r="AA121" s="1320"/>
      <c r="AB121" s="1320"/>
      <c r="AC121" s="1320"/>
      <c r="AD121" s="1315"/>
      <c r="AE121" s="1315"/>
      <c r="AF121" s="1315"/>
      <c r="AG121" s="1321"/>
      <c r="AH121" s="1321"/>
      <c r="AI121" s="1321"/>
      <c r="AJ121" s="1321"/>
      <c r="AK121" s="1327"/>
      <c r="AL121" s="1327"/>
      <c r="AM121" s="1327"/>
      <c r="AN121" s="1327"/>
      <c r="AO121" s="1327"/>
      <c r="AP121" s="1317" t="e">
        <f>'PLANILHA '!#REF!</f>
        <v>#REF!</v>
      </c>
      <c r="AQ121" s="1317"/>
      <c r="AR121" s="1317"/>
      <c r="AS121" s="1317"/>
      <c r="AT121" s="1317"/>
      <c r="AU121" s="1322"/>
      <c r="AV121" s="1322"/>
      <c r="AW121" s="1322"/>
      <c r="AX121" s="1322"/>
      <c r="AY121" s="1322"/>
      <c r="AZ121" s="1323" t="e">
        <f t="shared" si="13"/>
        <v>#REF!</v>
      </c>
      <c r="BA121" s="1323"/>
      <c r="BB121" s="1323"/>
      <c r="BC121" s="1323"/>
      <c r="BD121" s="1323" t="e">
        <f t="shared" si="12"/>
        <v>#REF!</v>
      </c>
      <c r="BE121" s="1323"/>
      <c r="BF121" s="1323"/>
      <c r="BG121" s="1323"/>
      <c r="BH121" s="1323"/>
      <c r="BI121" s="1323" t="e">
        <f t="shared" si="11"/>
        <v>#REF!</v>
      </c>
      <c r="BJ121" s="1323"/>
      <c r="BK121" s="1323"/>
      <c r="BL121" s="1323"/>
      <c r="BM121" s="1323"/>
      <c r="BN121" s="1324"/>
      <c r="BO121" s="1324"/>
      <c r="BP121" s="1324"/>
    </row>
    <row r="122" spans="1:68" s="361" customFormat="1" ht="12.75" customHeight="1">
      <c r="A122" s="355"/>
      <c r="B122" s="1310" t="e">
        <f>'PLANILHA '!#REF!</f>
        <v>#REF!</v>
      </c>
      <c r="C122" s="1310"/>
      <c r="D122" s="1311" t="e">
        <f>'PLANILHA '!#REF!</f>
        <v>#REF!</v>
      </c>
      <c r="E122" s="1311"/>
      <c r="F122" s="1311"/>
      <c r="G122" s="1311"/>
      <c r="H122" s="1311"/>
      <c r="I122" s="1311"/>
      <c r="J122" s="1311"/>
      <c r="K122" s="1311"/>
      <c r="L122" s="1311"/>
      <c r="M122" s="1311"/>
      <c r="N122" s="1311"/>
      <c r="O122" s="1311"/>
      <c r="P122" s="1311"/>
      <c r="Q122" s="1311"/>
      <c r="R122" s="1312" t="e">
        <f>'PLANILHA '!#REF!</f>
        <v>#REF!</v>
      </c>
      <c r="S122" s="1312"/>
      <c r="T122" s="1313" t="e">
        <f>'PLANILHA '!#REF!</f>
        <v>#REF!</v>
      </c>
      <c r="U122" s="1313"/>
      <c r="V122" s="1313"/>
      <c r="W122" s="1313" t="e">
        <f>'PLANILHA '!#REF!</f>
        <v>#REF!</v>
      </c>
      <c r="X122" s="1313"/>
      <c r="Y122" s="1313"/>
      <c r="Z122" s="1320"/>
      <c r="AA122" s="1320"/>
      <c r="AB122" s="1320"/>
      <c r="AC122" s="1320"/>
      <c r="AD122" s="1315"/>
      <c r="AE122" s="1315"/>
      <c r="AF122" s="1315"/>
      <c r="AG122" s="1321" t="e">
        <f>ROUND(W122*AD122,2)</f>
        <v>#REF!</v>
      </c>
      <c r="AH122" s="1321"/>
      <c r="AI122" s="1321"/>
      <c r="AJ122" s="1321"/>
      <c r="AK122" s="1315"/>
      <c r="AL122" s="1315"/>
      <c r="AM122" s="1315"/>
      <c r="AN122" s="1315"/>
      <c r="AO122" s="1315"/>
      <c r="AP122" s="1317" t="e">
        <f>'PLANILHA '!#REF!</f>
        <v>#REF!</v>
      </c>
      <c r="AQ122" s="1317"/>
      <c r="AR122" s="1317"/>
      <c r="AS122" s="1317"/>
      <c r="AT122" s="1317"/>
      <c r="AU122" s="1322" t="e">
        <f>AK122+AP122</f>
        <v>#REF!</v>
      </c>
      <c r="AV122" s="1322"/>
      <c r="AW122" s="1322"/>
      <c r="AX122" s="1322"/>
      <c r="AY122" s="1322"/>
      <c r="AZ122" s="1323" t="e">
        <f t="shared" si="13"/>
        <v>#REF!</v>
      </c>
      <c r="BA122" s="1323"/>
      <c r="BB122" s="1323"/>
      <c r="BC122" s="1323"/>
      <c r="BD122" s="1323" t="e">
        <f t="shared" si="12"/>
        <v>#REF!</v>
      </c>
      <c r="BE122" s="1323"/>
      <c r="BF122" s="1323"/>
      <c r="BG122" s="1323"/>
      <c r="BH122" s="1323"/>
      <c r="BI122" s="1323" t="e">
        <f t="shared" si="11"/>
        <v>#REF!</v>
      </c>
      <c r="BJ122" s="1323"/>
      <c r="BK122" s="1323"/>
      <c r="BL122" s="1323"/>
      <c r="BM122" s="1323"/>
      <c r="BN122" s="1318"/>
      <c r="BO122" s="1318"/>
      <c r="BP122" s="1318"/>
    </row>
    <row r="123" spans="1:68" s="361" customFormat="1" ht="12.75" customHeight="1">
      <c r="A123" s="355"/>
      <c r="B123" s="1310" t="e">
        <f>'PLANILHA '!#REF!</f>
        <v>#REF!</v>
      </c>
      <c r="C123" s="1310"/>
      <c r="D123" s="1311" t="e">
        <f>'PLANILHA '!#REF!</f>
        <v>#REF!</v>
      </c>
      <c r="E123" s="1311"/>
      <c r="F123" s="1311"/>
      <c r="G123" s="1311"/>
      <c r="H123" s="1311"/>
      <c r="I123" s="1311"/>
      <c r="J123" s="1311"/>
      <c r="K123" s="1311"/>
      <c r="L123" s="1311"/>
      <c r="M123" s="1311"/>
      <c r="N123" s="1311"/>
      <c r="O123" s="1311"/>
      <c r="P123" s="1311"/>
      <c r="Q123" s="1311"/>
      <c r="R123" s="1312" t="e">
        <f>'PLANILHA '!#REF!</f>
        <v>#REF!</v>
      </c>
      <c r="S123" s="1312"/>
      <c r="T123" s="1313" t="e">
        <f>'PLANILHA '!#REF!</f>
        <v>#REF!</v>
      </c>
      <c r="U123" s="1313"/>
      <c r="V123" s="1313"/>
      <c r="W123" s="1313" t="e">
        <f>'PLANILHA '!#REF!</f>
        <v>#REF!</v>
      </c>
      <c r="X123" s="1313"/>
      <c r="Y123" s="1313"/>
      <c r="Z123" s="1325"/>
      <c r="AA123" s="1325"/>
      <c r="AB123" s="1325"/>
      <c r="AC123" s="1325"/>
      <c r="AD123" s="1333"/>
      <c r="AE123" s="1333"/>
      <c r="AF123" s="1333"/>
      <c r="AG123" s="1321"/>
      <c r="AH123" s="1321"/>
      <c r="AI123" s="1321"/>
      <c r="AJ123" s="1321"/>
      <c r="AK123" s="396"/>
      <c r="AL123" s="397"/>
      <c r="AM123" s="397"/>
      <c r="AN123" s="397"/>
      <c r="AO123" s="398"/>
      <c r="AP123" s="1317" t="e">
        <f>'PLANILHA '!#REF!</f>
        <v>#REF!</v>
      </c>
      <c r="AQ123" s="1317"/>
      <c r="AR123" s="1317"/>
      <c r="AS123" s="1317"/>
      <c r="AT123" s="1317"/>
      <c r="AU123" s="399"/>
      <c r="AV123" s="400"/>
      <c r="AW123" s="400"/>
      <c r="AX123" s="400"/>
      <c r="AY123" s="401"/>
      <c r="AZ123" s="1323" t="e">
        <f t="shared" si="13"/>
        <v>#REF!</v>
      </c>
      <c r="BA123" s="1323"/>
      <c r="BB123" s="1323"/>
      <c r="BC123" s="1323"/>
      <c r="BD123" s="1323" t="e">
        <f t="shared" si="12"/>
        <v>#REF!</v>
      </c>
      <c r="BE123" s="1323"/>
      <c r="BF123" s="1323"/>
      <c r="BG123" s="1323"/>
      <c r="BH123" s="1323"/>
      <c r="BI123" s="1323" t="e">
        <f t="shared" ref="BI123:BI155" si="14">ROUND(AZ123+BD123,2)</f>
        <v>#REF!</v>
      </c>
      <c r="BJ123" s="1323"/>
      <c r="BK123" s="1323"/>
      <c r="BL123" s="1323"/>
      <c r="BM123" s="1323"/>
      <c r="BN123" s="402"/>
      <c r="BO123" s="403"/>
      <c r="BP123" s="404"/>
    </row>
    <row r="124" spans="1:68" s="361" customFormat="1" ht="12.75" customHeight="1">
      <c r="A124" s="355"/>
      <c r="B124" s="1310" t="e">
        <f>'PLANILHA '!#REF!</f>
        <v>#REF!</v>
      </c>
      <c r="C124" s="1310"/>
      <c r="D124" s="1311" t="e">
        <f>'PLANILHA '!#REF!</f>
        <v>#REF!</v>
      </c>
      <c r="E124" s="1311"/>
      <c r="F124" s="1311"/>
      <c r="G124" s="1311"/>
      <c r="H124" s="1311"/>
      <c r="I124" s="1311"/>
      <c r="J124" s="1311"/>
      <c r="K124" s="1311"/>
      <c r="L124" s="1311"/>
      <c r="M124" s="1311"/>
      <c r="N124" s="1311"/>
      <c r="O124" s="1311"/>
      <c r="P124" s="1311"/>
      <c r="Q124" s="1311"/>
      <c r="R124" s="1312" t="e">
        <f>'PLANILHA '!#REF!</f>
        <v>#REF!</v>
      </c>
      <c r="S124" s="1312"/>
      <c r="T124" s="1313" t="e">
        <f>'PLANILHA '!#REF!</f>
        <v>#REF!</v>
      </c>
      <c r="U124" s="1313"/>
      <c r="V124" s="1313"/>
      <c r="W124" s="1313" t="e">
        <f>'PLANILHA '!#REF!</f>
        <v>#REF!</v>
      </c>
      <c r="X124" s="1313"/>
      <c r="Y124" s="1313"/>
      <c r="Z124" s="1320"/>
      <c r="AA124" s="1320"/>
      <c r="AB124" s="1320"/>
      <c r="AC124" s="1320"/>
      <c r="AD124" s="1315"/>
      <c r="AE124" s="1315"/>
      <c r="AF124" s="1315"/>
      <c r="AG124" s="1316"/>
      <c r="AH124" s="1316"/>
      <c r="AI124" s="1316"/>
      <c r="AJ124" s="1316"/>
      <c r="AK124" s="1315"/>
      <c r="AL124" s="1315"/>
      <c r="AM124" s="1315"/>
      <c r="AN124" s="1315"/>
      <c r="AO124" s="1315"/>
      <c r="AP124" s="1317" t="e">
        <f>'PLANILHA '!#REF!</f>
        <v>#REF!</v>
      </c>
      <c r="AQ124" s="1317"/>
      <c r="AR124" s="1317"/>
      <c r="AS124" s="1317"/>
      <c r="AT124" s="1317"/>
      <c r="AU124" s="1316"/>
      <c r="AV124" s="1316"/>
      <c r="AW124" s="1316"/>
      <c r="AX124" s="1316"/>
      <c r="AY124" s="1316"/>
      <c r="AZ124" s="1323" t="e">
        <f t="shared" si="13"/>
        <v>#REF!</v>
      </c>
      <c r="BA124" s="1323"/>
      <c r="BB124" s="1323"/>
      <c r="BC124" s="1323"/>
      <c r="BD124" s="1323" t="e">
        <f t="shared" ref="BD124:BD155" si="15">$W124*AP124</f>
        <v>#REF!</v>
      </c>
      <c r="BE124" s="1323"/>
      <c r="BF124" s="1323"/>
      <c r="BG124" s="1323"/>
      <c r="BH124" s="1323"/>
      <c r="BI124" s="1323" t="e">
        <f t="shared" si="14"/>
        <v>#REF!</v>
      </c>
      <c r="BJ124" s="1323"/>
      <c r="BK124" s="1323"/>
      <c r="BL124" s="1323"/>
      <c r="BM124" s="1323"/>
      <c r="BN124" s="1318"/>
      <c r="BO124" s="1318"/>
      <c r="BP124" s="1318"/>
    </row>
    <row r="125" spans="1:68" s="361" customFormat="1" ht="12.75" customHeight="1">
      <c r="A125" s="355"/>
      <c r="B125" s="1310" t="e">
        <f>'PLANILHA '!#REF!</f>
        <v>#REF!</v>
      </c>
      <c r="C125" s="1310"/>
      <c r="D125" s="1311" t="e">
        <f>'PLANILHA '!#REF!</f>
        <v>#REF!</v>
      </c>
      <c r="E125" s="1311"/>
      <c r="F125" s="1311"/>
      <c r="G125" s="1311"/>
      <c r="H125" s="1311"/>
      <c r="I125" s="1311"/>
      <c r="J125" s="1311"/>
      <c r="K125" s="1311"/>
      <c r="L125" s="1311"/>
      <c r="M125" s="1311"/>
      <c r="N125" s="1311"/>
      <c r="O125" s="1311"/>
      <c r="P125" s="1311"/>
      <c r="Q125" s="1311"/>
      <c r="R125" s="1312" t="e">
        <f>'PLANILHA '!#REF!</f>
        <v>#REF!</v>
      </c>
      <c r="S125" s="1312"/>
      <c r="T125" s="1313" t="e">
        <f>'PLANILHA '!#REF!</f>
        <v>#REF!</v>
      </c>
      <c r="U125" s="1313"/>
      <c r="V125" s="1313"/>
      <c r="W125" s="1313" t="e">
        <f>'PLANILHA '!#REF!</f>
        <v>#REF!</v>
      </c>
      <c r="X125" s="1313"/>
      <c r="Y125" s="1313"/>
      <c r="Z125" s="1320"/>
      <c r="AA125" s="1320"/>
      <c r="AB125" s="1320"/>
      <c r="AC125" s="1320"/>
      <c r="AD125" s="1315"/>
      <c r="AE125" s="1315"/>
      <c r="AF125" s="1315"/>
      <c r="AG125" s="1321" t="e">
        <f t="shared" ref="AG125:AG156" si="16">ROUND(W125*AD125,2)</f>
        <v>#REF!</v>
      </c>
      <c r="AH125" s="1321"/>
      <c r="AI125" s="1321"/>
      <c r="AJ125" s="1321"/>
      <c r="AK125" s="1315"/>
      <c r="AL125" s="1315"/>
      <c r="AM125" s="1315"/>
      <c r="AN125" s="1315"/>
      <c r="AO125" s="1315"/>
      <c r="AP125" s="1317" t="e">
        <f>'PLANILHA '!#REF!</f>
        <v>#REF!</v>
      </c>
      <c r="AQ125" s="1317"/>
      <c r="AR125" s="1317"/>
      <c r="AS125" s="1317"/>
      <c r="AT125" s="1317"/>
      <c r="AU125" s="1322" t="e">
        <f t="shared" ref="AU125:AU155" si="17">AK125+AP125</f>
        <v>#REF!</v>
      </c>
      <c r="AV125" s="1322"/>
      <c r="AW125" s="1322"/>
      <c r="AX125" s="1322"/>
      <c r="AY125" s="1322"/>
      <c r="AZ125" s="1323" t="e">
        <f t="shared" si="13"/>
        <v>#REF!</v>
      </c>
      <c r="BA125" s="1323"/>
      <c r="BB125" s="1323"/>
      <c r="BC125" s="1323"/>
      <c r="BD125" s="1323" t="e">
        <f t="shared" si="15"/>
        <v>#REF!</v>
      </c>
      <c r="BE125" s="1323"/>
      <c r="BF125" s="1323"/>
      <c r="BG125" s="1323"/>
      <c r="BH125" s="1323"/>
      <c r="BI125" s="1323" t="e">
        <f t="shared" si="14"/>
        <v>#REF!</v>
      </c>
      <c r="BJ125" s="1323"/>
      <c r="BK125" s="1323"/>
      <c r="BL125" s="1323"/>
      <c r="BM125" s="1323"/>
      <c r="BN125" s="1318"/>
      <c r="BO125" s="1318"/>
      <c r="BP125" s="1318"/>
    </row>
    <row r="126" spans="1:68" s="361" customFormat="1" ht="12.75" customHeight="1">
      <c r="A126" s="355"/>
      <c r="B126" s="1310" t="e">
        <f>'PLANILHA '!#REF!</f>
        <v>#REF!</v>
      </c>
      <c r="C126" s="1310"/>
      <c r="D126" s="1311" t="e">
        <f>'PLANILHA '!#REF!</f>
        <v>#REF!</v>
      </c>
      <c r="E126" s="1311"/>
      <c r="F126" s="1311"/>
      <c r="G126" s="1311"/>
      <c r="H126" s="1311"/>
      <c r="I126" s="1311"/>
      <c r="J126" s="1311"/>
      <c r="K126" s="1311"/>
      <c r="L126" s="1311"/>
      <c r="M126" s="1311"/>
      <c r="N126" s="1311"/>
      <c r="O126" s="1311"/>
      <c r="P126" s="1311"/>
      <c r="Q126" s="1311"/>
      <c r="R126" s="1312" t="e">
        <f>'PLANILHA '!#REF!</f>
        <v>#REF!</v>
      </c>
      <c r="S126" s="1312"/>
      <c r="T126" s="1313" t="e">
        <f>'PLANILHA '!#REF!</f>
        <v>#REF!</v>
      </c>
      <c r="U126" s="1313"/>
      <c r="V126" s="1313"/>
      <c r="W126" s="1313" t="e">
        <f>'PLANILHA '!#REF!</f>
        <v>#REF!</v>
      </c>
      <c r="X126" s="1313"/>
      <c r="Y126" s="1313"/>
      <c r="Z126" s="1320"/>
      <c r="AA126" s="1320"/>
      <c r="AB126" s="1320"/>
      <c r="AC126" s="1320"/>
      <c r="AD126" s="1315"/>
      <c r="AE126" s="1315"/>
      <c r="AF126" s="1315"/>
      <c r="AG126" s="1321" t="e">
        <f t="shared" si="16"/>
        <v>#REF!</v>
      </c>
      <c r="AH126" s="1321"/>
      <c r="AI126" s="1321"/>
      <c r="AJ126" s="1321"/>
      <c r="AK126" s="1315"/>
      <c r="AL126" s="1315"/>
      <c r="AM126" s="1315"/>
      <c r="AN126" s="1315"/>
      <c r="AO126" s="1315"/>
      <c r="AP126" s="1317" t="e">
        <f>'PLANILHA '!#REF!</f>
        <v>#REF!</v>
      </c>
      <c r="AQ126" s="1317"/>
      <c r="AR126" s="1317"/>
      <c r="AS126" s="1317"/>
      <c r="AT126" s="1317"/>
      <c r="AU126" s="1322" t="e">
        <f t="shared" si="17"/>
        <v>#REF!</v>
      </c>
      <c r="AV126" s="1322"/>
      <c r="AW126" s="1322"/>
      <c r="AX126" s="1322"/>
      <c r="AY126" s="1322"/>
      <c r="AZ126" s="1323" t="e">
        <f t="shared" si="13"/>
        <v>#REF!</v>
      </c>
      <c r="BA126" s="1323"/>
      <c r="BB126" s="1323"/>
      <c r="BC126" s="1323"/>
      <c r="BD126" s="1323" t="e">
        <f t="shared" si="15"/>
        <v>#REF!</v>
      </c>
      <c r="BE126" s="1323"/>
      <c r="BF126" s="1323"/>
      <c r="BG126" s="1323"/>
      <c r="BH126" s="1323"/>
      <c r="BI126" s="1323" t="e">
        <f t="shared" si="14"/>
        <v>#REF!</v>
      </c>
      <c r="BJ126" s="1323"/>
      <c r="BK126" s="1323"/>
      <c r="BL126" s="1323"/>
      <c r="BM126" s="1323"/>
      <c r="BN126" s="1318"/>
      <c r="BO126" s="1318"/>
      <c r="BP126" s="1318"/>
    </row>
    <row r="127" spans="1:68" s="361" customFormat="1" ht="12.75" customHeight="1">
      <c r="A127" s="355"/>
      <c r="B127" s="1310" t="e">
        <f>'PLANILHA '!#REF!</f>
        <v>#REF!</v>
      </c>
      <c r="C127" s="1310"/>
      <c r="D127" s="1311" t="e">
        <f>'PLANILHA '!#REF!</f>
        <v>#REF!</v>
      </c>
      <c r="E127" s="1311"/>
      <c r="F127" s="1311"/>
      <c r="G127" s="1311"/>
      <c r="H127" s="1311"/>
      <c r="I127" s="1311"/>
      <c r="J127" s="1311"/>
      <c r="K127" s="1311"/>
      <c r="L127" s="1311"/>
      <c r="M127" s="1311"/>
      <c r="N127" s="1311"/>
      <c r="O127" s="1311"/>
      <c r="P127" s="1311"/>
      <c r="Q127" s="1311"/>
      <c r="R127" s="1312" t="e">
        <f>'PLANILHA '!#REF!</f>
        <v>#REF!</v>
      </c>
      <c r="S127" s="1312"/>
      <c r="T127" s="1313" t="e">
        <f>'PLANILHA '!#REF!</f>
        <v>#REF!</v>
      </c>
      <c r="U127" s="1313"/>
      <c r="V127" s="1313"/>
      <c r="W127" s="1313" t="e">
        <f>'PLANILHA '!#REF!</f>
        <v>#REF!</v>
      </c>
      <c r="X127" s="1313"/>
      <c r="Y127" s="1313"/>
      <c r="Z127" s="1320"/>
      <c r="AA127" s="1320"/>
      <c r="AB127" s="1320"/>
      <c r="AC127" s="1320"/>
      <c r="AD127" s="1315"/>
      <c r="AE127" s="1315"/>
      <c r="AF127" s="1315"/>
      <c r="AG127" s="1321" t="e">
        <f t="shared" si="16"/>
        <v>#REF!</v>
      </c>
      <c r="AH127" s="1321"/>
      <c r="AI127" s="1321"/>
      <c r="AJ127" s="1321"/>
      <c r="AK127" s="1315"/>
      <c r="AL127" s="1315"/>
      <c r="AM127" s="1315"/>
      <c r="AN127" s="1315"/>
      <c r="AO127" s="1315"/>
      <c r="AP127" s="1317" t="e">
        <f>'PLANILHA '!#REF!</f>
        <v>#REF!</v>
      </c>
      <c r="AQ127" s="1317"/>
      <c r="AR127" s="1317"/>
      <c r="AS127" s="1317"/>
      <c r="AT127" s="1317"/>
      <c r="AU127" s="1322" t="e">
        <f t="shared" si="17"/>
        <v>#REF!</v>
      </c>
      <c r="AV127" s="1322"/>
      <c r="AW127" s="1322"/>
      <c r="AX127" s="1322"/>
      <c r="AY127" s="1322"/>
      <c r="AZ127" s="1323" t="e">
        <f t="shared" si="13"/>
        <v>#REF!</v>
      </c>
      <c r="BA127" s="1323"/>
      <c r="BB127" s="1323"/>
      <c r="BC127" s="1323"/>
      <c r="BD127" s="1323" t="e">
        <f t="shared" si="15"/>
        <v>#REF!</v>
      </c>
      <c r="BE127" s="1323"/>
      <c r="BF127" s="1323"/>
      <c r="BG127" s="1323"/>
      <c r="BH127" s="1323"/>
      <c r="BI127" s="1323" t="e">
        <f t="shared" si="14"/>
        <v>#REF!</v>
      </c>
      <c r="BJ127" s="1323"/>
      <c r="BK127" s="1323"/>
      <c r="BL127" s="1323"/>
      <c r="BM127" s="1323"/>
      <c r="BN127" s="1318"/>
      <c r="BO127" s="1318"/>
      <c r="BP127" s="1318"/>
    </row>
    <row r="128" spans="1:68" s="361" customFormat="1" ht="12.75" customHeight="1">
      <c r="A128" s="355"/>
      <c r="B128" s="1310" t="e">
        <f>'PLANILHA '!#REF!</f>
        <v>#REF!</v>
      </c>
      <c r="C128" s="1310"/>
      <c r="D128" s="1311" t="e">
        <f>'PLANILHA '!#REF!</f>
        <v>#REF!</v>
      </c>
      <c r="E128" s="1311"/>
      <c r="F128" s="1311"/>
      <c r="G128" s="1311"/>
      <c r="H128" s="1311"/>
      <c r="I128" s="1311"/>
      <c r="J128" s="1311"/>
      <c r="K128" s="1311"/>
      <c r="L128" s="1311"/>
      <c r="M128" s="1311"/>
      <c r="N128" s="1311"/>
      <c r="O128" s="1311"/>
      <c r="P128" s="1311"/>
      <c r="Q128" s="1311"/>
      <c r="R128" s="1312" t="e">
        <f>'PLANILHA '!#REF!</f>
        <v>#REF!</v>
      </c>
      <c r="S128" s="1312"/>
      <c r="T128" s="1313" t="e">
        <f>'PLANILHA '!#REF!</f>
        <v>#REF!</v>
      </c>
      <c r="U128" s="1313"/>
      <c r="V128" s="1313"/>
      <c r="W128" s="1313" t="e">
        <f>'PLANILHA '!#REF!</f>
        <v>#REF!</v>
      </c>
      <c r="X128" s="1313"/>
      <c r="Y128" s="1313"/>
      <c r="Z128" s="1320"/>
      <c r="AA128" s="1320"/>
      <c r="AB128" s="1320"/>
      <c r="AC128" s="1320"/>
      <c r="AD128" s="1315"/>
      <c r="AE128" s="1315"/>
      <c r="AF128" s="1315"/>
      <c r="AG128" s="1321" t="e">
        <f t="shared" si="16"/>
        <v>#REF!</v>
      </c>
      <c r="AH128" s="1321"/>
      <c r="AI128" s="1321"/>
      <c r="AJ128" s="1321"/>
      <c r="AK128" s="1315"/>
      <c r="AL128" s="1315"/>
      <c r="AM128" s="1315"/>
      <c r="AN128" s="1315"/>
      <c r="AO128" s="1315"/>
      <c r="AP128" s="1317" t="e">
        <f>'PLANILHA '!#REF!</f>
        <v>#REF!</v>
      </c>
      <c r="AQ128" s="1317"/>
      <c r="AR128" s="1317"/>
      <c r="AS128" s="1317"/>
      <c r="AT128" s="1317"/>
      <c r="AU128" s="1322" t="e">
        <f t="shared" si="17"/>
        <v>#REF!</v>
      </c>
      <c r="AV128" s="1322"/>
      <c r="AW128" s="1322"/>
      <c r="AX128" s="1322"/>
      <c r="AY128" s="1322"/>
      <c r="AZ128" s="1323" t="e">
        <f t="shared" si="13"/>
        <v>#REF!</v>
      </c>
      <c r="BA128" s="1323"/>
      <c r="BB128" s="1323"/>
      <c r="BC128" s="1323"/>
      <c r="BD128" s="1323" t="e">
        <f t="shared" si="15"/>
        <v>#REF!</v>
      </c>
      <c r="BE128" s="1323"/>
      <c r="BF128" s="1323"/>
      <c r="BG128" s="1323"/>
      <c r="BH128" s="1323"/>
      <c r="BI128" s="1323" t="e">
        <f t="shared" si="14"/>
        <v>#REF!</v>
      </c>
      <c r="BJ128" s="1323"/>
      <c r="BK128" s="1323"/>
      <c r="BL128" s="1323"/>
      <c r="BM128" s="1323"/>
      <c r="BN128" s="1318"/>
      <c r="BO128" s="1318"/>
      <c r="BP128" s="1318"/>
    </row>
    <row r="129" spans="1:68" s="361" customFormat="1" ht="12.75" customHeight="1">
      <c r="A129" s="355"/>
      <c r="B129" s="1310" t="e">
        <f>'PLANILHA '!#REF!</f>
        <v>#REF!</v>
      </c>
      <c r="C129" s="1310"/>
      <c r="D129" s="1311" t="e">
        <f>'PLANILHA '!#REF!</f>
        <v>#REF!</v>
      </c>
      <c r="E129" s="1311"/>
      <c r="F129" s="1311"/>
      <c r="G129" s="1311"/>
      <c r="H129" s="1311"/>
      <c r="I129" s="1311"/>
      <c r="J129" s="1311"/>
      <c r="K129" s="1311"/>
      <c r="L129" s="1311"/>
      <c r="M129" s="1311"/>
      <c r="N129" s="1311"/>
      <c r="O129" s="1311"/>
      <c r="P129" s="1311"/>
      <c r="Q129" s="1311"/>
      <c r="R129" s="1312" t="e">
        <f>'PLANILHA '!#REF!</f>
        <v>#REF!</v>
      </c>
      <c r="S129" s="1312"/>
      <c r="T129" s="1313" t="e">
        <f>'PLANILHA '!#REF!</f>
        <v>#REF!</v>
      </c>
      <c r="U129" s="1313"/>
      <c r="V129" s="1313"/>
      <c r="W129" s="1313" t="e">
        <f>'PLANILHA '!#REF!</f>
        <v>#REF!</v>
      </c>
      <c r="X129" s="1313"/>
      <c r="Y129" s="1313"/>
      <c r="Z129" s="1320"/>
      <c r="AA129" s="1320"/>
      <c r="AB129" s="1320"/>
      <c r="AC129" s="1320"/>
      <c r="AD129" s="1315"/>
      <c r="AE129" s="1315"/>
      <c r="AF129" s="1315"/>
      <c r="AG129" s="1321" t="e">
        <f t="shared" si="16"/>
        <v>#REF!</v>
      </c>
      <c r="AH129" s="1321"/>
      <c r="AI129" s="1321"/>
      <c r="AJ129" s="1321"/>
      <c r="AK129" s="1315"/>
      <c r="AL129" s="1315"/>
      <c r="AM129" s="1315"/>
      <c r="AN129" s="1315"/>
      <c r="AO129" s="1315"/>
      <c r="AP129" s="1317" t="e">
        <f>'PLANILHA '!#REF!</f>
        <v>#REF!</v>
      </c>
      <c r="AQ129" s="1317"/>
      <c r="AR129" s="1317"/>
      <c r="AS129" s="1317"/>
      <c r="AT129" s="1317"/>
      <c r="AU129" s="1322" t="e">
        <f t="shared" si="17"/>
        <v>#REF!</v>
      </c>
      <c r="AV129" s="1322"/>
      <c r="AW129" s="1322"/>
      <c r="AX129" s="1322"/>
      <c r="AY129" s="1322"/>
      <c r="AZ129" s="1323" t="e">
        <f t="shared" si="13"/>
        <v>#REF!</v>
      </c>
      <c r="BA129" s="1323"/>
      <c r="BB129" s="1323"/>
      <c r="BC129" s="1323"/>
      <c r="BD129" s="1323" t="e">
        <f t="shared" si="15"/>
        <v>#REF!</v>
      </c>
      <c r="BE129" s="1323"/>
      <c r="BF129" s="1323"/>
      <c r="BG129" s="1323"/>
      <c r="BH129" s="1323"/>
      <c r="BI129" s="1323" t="e">
        <f t="shared" si="14"/>
        <v>#REF!</v>
      </c>
      <c r="BJ129" s="1323"/>
      <c r="BK129" s="1323"/>
      <c r="BL129" s="1323"/>
      <c r="BM129" s="1323"/>
      <c r="BN129" s="1318"/>
      <c r="BO129" s="1318"/>
      <c r="BP129" s="1318"/>
    </row>
    <row r="130" spans="1:68" s="361" customFormat="1" ht="12.75" customHeight="1">
      <c r="A130" s="355"/>
      <c r="B130" s="1310" t="e">
        <f>'PLANILHA '!#REF!</f>
        <v>#REF!</v>
      </c>
      <c r="C130" s="1310"/>
      <c r="D130" s="1311" t="e">
        <f>'PLANILHA '!#REF!</f>
        <v>#REF!</v>
      </c>
      <c r="E130" s="1311"/>
      <c r="F130" s="1311"/>
      <c r="G130" s="1311"/>
      <c r="H130" s="1311"/>
      <c r="I130" s="1311"/>
      <c r="J130" s="1311"/>
      <c r="K130" s="1311"/>
      <c r="L130" s="1311"/>
      <c r="M130" s="1311"/>
      <c r="N130" s="1311"/>
      <c r="O130" s="1311"/>
      <c r="P130" s="1311"/>
      <c r="Q130" s="1311"/>
      <c r="R130" s="1312" t="e">
        <f>'PLANILHA '!#REF!</f>
        <v>#REF!</v>
      </c>
      <c r="S130" s="1312"/>
      <c r="T130" s="1313" t="e">
        <f>'PLANILHA '!#REF!</f>
        <v>#REF!</v>
      </c>
      <c r="U130" s="1313"/>
      <c r="V130" s="1313"/>
      <c r="W130" s="1313" t="e">
        <f>'PLANILHA '!#REF!</f>
        <v>#REF!</v>
      </c>
      <c r="X130" s="1313"/>
      <c r="Y130" s="1313"/>
      <c r="Z130" s="1320"/>
      <c r="AA130" s="1320"/>
      <c r="AB130" s="1320"/>
      <c r="AC130" s="1320"/>
      <c r="AD130" s="1315"/>
      <c r="AE130" s="1315"/>
      <c r="AF130" s="1315"/>
      <c r="AG130" s="1321" t="e">
        <f t="shared" si="16"/>
        <v>#REF!</v>
      </c>
      <c r="AH130" s="1321"/>
      <c r="AI130" s="1321"/>
      <c r="AJ130" s="1321"/>
      <c r="AK130" s="1315"/>
      <c r="AL130" s="1315"/>
      <c r="AM130" s="1315"/>
      <c r="AN130" s="1315"/>
      <c r="AO130" s="1315"/>
      <c r="AP130" s="1317" t="e">
        <f>'PLANILHA '!#REF!</f>
        <v>#REF!</v>
      </c>
      <c r="AQ130" s="1317"/>
      <c r="AR130" s="1317"/>
      <c r="AS130" s="1317"/>
      <c r="AT130" s="1317"/>
      <c r="AU130" s="1322" t="e">
        <f t="shared" si="17"/>
        <v>#REF!</v>
      </c>
      <c r="AV130" s="1322"/>
      <c r="AW130" s="1322"/>
      <c r="AX130" s="1322"/>
      <c r="AY130" s="1322"/>
      <c r="AZ130" s="1323" t="e">
        <f t="shared" ref="AZ130:AZ161" si="18">SUM(AZ124:BC129)</f>
        <v>#REF!</v>
      </c>
      <c r="BA130" s="1323"/>
      <c r="BB130" s="1323"/>
      <c r="BC130" s="1323"/>
      <c r="BD130" s="1323" t="e">
        <f t="shared" si="15"/>
        <v>#REF!</v>
      </c>
      <c r="BE130" s="1323"/>
      <c r="BF130" s="1323"/>
      <c r="BG130" s="1323"/>
      <c r="BH130" s="1323"/>
      <c r="BI130" s="1323" t="e">
        <f t="shared" si="14"/>
        <v>#REF!</v>
      </c>
      <c r="BJ130" s="1323"/>
      <c r="BK130" s="1323"/>
      <c r="BL130" s="1323"/>
      <c r="BM130" s="1323"/>
      <c r="BN130" s="1318"/>
      <c r="BO130" s="1318"/>
      <c r="BP130" s="1318"/>
    </row>
    <row r="131" spans="1:68" s="361" customFormat="1" ht="12.75" customHeight="1">
      <c r="A131" s="355"/>
      <c r="B131" s="1310" t="e">
        <f>'PLANILHA '!#REF!</f>
        <v>#REF!</v>
      </c>
      <c r="C131" s="1310"/>
      <c r="D131" s="1311" t="e">
        <f>'PLANILHA '!#REF!</f>
        <v>#REF!</v>
      </c>
      <c r="E131" s="1311"/>
      <c r="F131" s="1311"/>
      <c r="G131" s="1311"/>
      <c r="H131" s="1311"/>
      <c r="I131" s="1311"/>
      <c r="J131" s="1311"/>
      <c r="K131" s="1311"/>
      <c r="L131" s="1311"/>
      <c r="M131" s="1311"/>
      <c r="N131" s="1311"/>
      <c r="O131" s="1311"/>
      <c r="P131" s="1311"/>
      <c r="Q131" s="1311"/>
      <c r="R131" s="1312" t="e">
        <f>'PLANILHA '!#REF!</f>
        <v>#REF!</v>
      </c>
      <c r="S131" s="1312"/>
      <c r="T131" s="1313" t="e">
        <f>'PLANILHA '!#REF!</f>
        <v>#REF!</v>
      </c>
      <c r="U131" s="1313"/>
      <c r="V131" s="1313"/>
      <c r="W131" s="1313" t="e">
        <f>'PLANILHA '!#REF!</f>
        <v>#REF!</v>
      </c>
      <c r="X131" s="1313"/>
      <c r="Y131" s="1313"/>
      <c r="Z131" s="1320"/>
      <c r="AA131" s="1320"/>
      <c r="AB131" s="1320"/>
      <c r="AC131" s="1320"/>
      <c r="AD131" s="1315"/>
      <c r="AE131" s="1315"/>
      <c r="AF131" s="1315"/>
      <c r="AG131" s="1321" t="e">
        <f t="shared" si="16"/>
        <v>#REF!</v>
      </c>
      <c r="AH131" s="1321"/>
      <c r="AI131" s="1321"/>
      <c r="AJ131" s="1321"/>
      <c r="AK131" s="1315"/>
      <c r="AL131" s="1315"/>
      <c r="AM131" s="1315"/>
      <c r="AN131" s="1315"/>
      <c r="AO131" s="1315"/>
      <c r="AP131" s="1317" t="e">
        <f>'PLANILHA '!#REF!</f>
        <v>#REF!</v>
      </c>
      <c r="AQ131" s="1317"/>
      <c r="AR131" s="1317"/>
      <c r="AS131" s="1317"/>
      <c r="AT131" s="1317"/>
      <c r="AU131" s="1322" t="e">
        <f t="shared" si="17"/>
        <v>#REF!</v>
      </c>
      <c r="AV131" s="1322"/>
      <c r="AW131" s="1322"/>
      <c r="AX131" s="1322"/>
      <c r="AY131" s="1322"/>
      <c r="AZ131" s="1323" t="e">
        <f t="shared" si="18"/>
        <v>#REF!</v>
      </c>
      <c r="BA131" s="1323"/>
      <c r="BB131" s="1323"/>
      <c r="BC131" s="1323"/>
      <c r="BD131" s="1323" t="e">
        <f t="shared" si="15"/>
        <v>#REF!</v>
      </c>
      <c r="BE131" s="1323"/>
      <c r="BF131" s="1323"/>
      <c r="BG131" s="1323"/>
      <c r="BH131" s="1323"/>
      <c r="BI131" s="1323" t="e">
        <f t="shared" si="14"/>
        <v>#REF!</v>
      </c>
      <c r="BJ131" s="1323"/>
      <c r="BK131" s="1323"/>
      <c r="BL131" s="1323"/>
      <c r="BM131" s="1323"/>
      <c r="BN131" s="1318"/>
      <c r="BO131" s="1318"/>
      <c r="BP131" s="1318"/>
    </row>
    <row r="132" spans="1:68" s="361" customFormat="1" ht="12.75" customHeight="1">
      <c r="A132" s="355"/>
      <c r="B132" s="1310" t="e">
        <f>'PLANILHA '!#REF!</f>
        <v>#REF!</v>
      </c>
      <c r="C132" s="1310"/>
      <c r="D132" s="1311" t="e">
        <f>'PLANILHA '!#REF!</f>
        <v>#REF!</v>
      </c>
      <c r="E132" s="1311"/>
      <c r="F132" s="1311"/>
      <c r="G132" s="1311"/>
      <c r="H132" s="1311"/>
      <c r="I132" s="1311"/>
      <c r="J132" s="1311"/>
      <c r="K132" s="1311"/>
      <c r="L132" s="1311"/>
      <c r="M132" s="1311"/>
      <c r="N132" s="1311"/>
      <c r="O132" s="1311"/>
      <c r="P132" s="1311"/>
      <c r="Q132" s="1311"/>
      <c r="R132" s="1312" t="e">
        <f>'PLANILHA '!#REF!</f>
        <v>#REF!</v>
      </c>
      <c r="S132" s="1312"/>
      <c r="T132" s="1313" t="e">
        <f>'PLANILHA '!#REF!</f>
        <v>#REF!</v>
      </c>
      <c r="U132" s="1313"/>
      <c r="V132" s="1313"/>
      <c r="W132" s="1313" t="e">
        <f>'PLANILHA '!#REF!</f>
        <v>#REF!</v>
      </c>
      <c r="X132" s="1313"/>
      <c r="Y132" s="1313"/>
      <c r="Z132" s="1320"/>
      <c r="AA132" s="1320"/>
      <c r="AB132" s="1320"/>
      <c r="AC132" s="1320"/>
      <c r="AD132" s="1315"/>
      <c r="AE132" s="1315"/>
      <c r="AF132" s="1315"/>
      <c r="AG132" s="1321" t="e">
        <f t="shared" si="16"/>
        <v>#REF!</v>
      </c>
      <c r="AH132" s="1321"/>
      <c r="AI132" s="1321"/>
      <c r="AJ132" s="1321"/>
      <c r="AK132" s="1315"/>
      <c r="AL132" s="1315"/>
      <c r="AM132" s="1315"/>
      <c r="AN132" s="1315"/>
      <c r="AO132" s="1315"/>
      <c r="AP132" s="1317" t="e">
        <f>'PLANILHA '!#REF!</f>
        <v>#REF!</v>
      </c>
      <c r="AQ132" s="1317"/>
      <c r="AR132" s="1317"/>
      <c r="AS132" s="1317"/>
      <c r="AT132" s="1317"/>
      <c r="AU132" s="1322" t="e">
        <f t="shared" si="17"/>
        <v>#REF!</v>
      </c>
      <c r="AV132" s="1322"/>
      <c r="AW132" s="1322"/>
      <c r="AX132" s="1322"/>
      <c r="AY132" s="1322"/>
      <c r="AZ132" s="1323" t="e">
        <f t="shared" si="18"/>
        <v>#REF!</v>
      </c>
      <c r="BA132" s="1323"/>
      <c r="BB132" s="1323"/>
      <c r="BC132" s="1323"/>
      <c r="BD132" s="1323" t="e">
        <f t="shared" si="15"/>
        <v>#REF!</v>
      </c>
      <c r="BE132" s="1323"/>
      <c r="BF132" s="1323"/>
      <c r="BG132" s="1323"/>
      <c r="BH132" s="1323"/>
      <c r="BI132" s="1323" t="e">
        <f t="shared" si="14"/>
        <v>#REF!</v>
      </c>
      <c r="BJ132" s="1323"/>
      <c r="BK132" s="1323"/>
      <c r="BL132" s="1323"/>
      <c r="BM132" s="1323"/>
      <c r="BN132" s="1318"/>
      <c r="BO132" s="1318"/>
      <c r="BP132" s="1318"/>
    </row>
    <row r="133" spans="1:68" s="361" customFormat="1" ht="12.75" customHeight="1">
      <c r="A133" s="355"/>
      <c r="B133" s="1310" t="e">
        <f>'PLANILHA '!#REF!</f>
        <v>#REF!</v>
      </c>
      <c r="C133" s="1310"/>
      <c r="D133" s="1311" t="e">
        <f>'PLANILHA '!#REF!</f>
        <v>#REF!</v>
      </c>
      <c r="E133" s="1311"/>
      <c r="F133" s="1311"/>
      <c r="G133" s="1311"/>
      <c r="H133" s="1311"/>
      <c r="I133" s="1311"/>
      <c r="J133" s="1311"/>
      <c r="K133" s="1311"/>
      <c r="L133" s="1311"/>
      <c r="M133" s="1311"/>
      <c r="N133" s="1311"/>
      <c r="O133" s="1311"/>
      <c r="P133" s="1311"/>
      <c r="Q133" s="1311"/>
      <c r="R133" s="1312" t="e">
        <f>'PLANILHA '!#REF!</f>
        <v>#REF!</v>
      </c>
      <c r="S133" s="1312"/>
      <c r="T133" s="1313" t="e">
        <f>'PLANILHA '!#REF!</f>
        <v>#REF!</v>
      </c>
      <c r="U133" s="1313"/>
      <c r="V133" s="1313"/>
      <c r="W133" s="1313" t="e">
        <f>'PLANILHA '!#REF!</f>
        <v>#REF!</v>
      </c>
      <c r="X133" s="1313"/>
      <c r="Y133" s="1313"/>
      <c r="Z133" s="1320"/>
      <c r="AA133" s="1320"/>
      <c r="AB133" s="1320"/>
      <c r="AC133" s="1320"/>
      <c r="AD133" s="1315"/>
      <c r="AE133" s="1315"/>
      <c r="AF133" s="1315"/>
      <c r="AG133" s="1321" t="e">
        <f t="shared" si="16"/>
        <v>#REF!</v>
      </c>
      <c r="AH133" s="1321"/>
      <c r="AI133" s="1321"/>
      <c r="AJ133" s="1321"/>
      <c r="AK133" s="1315"/>
      <c r="AL133" s="1315"/>
      <c r="AM133" s="1315"/>
      <c r="AN133" s="1315"/>
      <c r="AO133" s="1315"/>
      <c r="AP133" s="1317" t="e">
        <f>'PLANILHA '!#REF!</f>
        <v>#REF!</v>
      </c>
      <c r="AQ133" s="1317"/>
      <c r="AR133" s="1317"/>
      <c r="AS133" s="1317"/>
      <c r="AT133" s="1317"/>
      <c r="AU133" s="1322" t="e">
        <f t="shared" si="17"/>
        <v>#REF!</v>
      </c>
      <c r="AV133" s="1322"/>
      <c r="AW133" s="1322"/>
      <c r="AX133" s="1322"/>
      <c r="AY133" s="1322"/>
      <c r="AZ133" s="1323" t="e">
        <f t="shared" ref="AZ133:AZ155" si="19">$W133*AK133</f>
        <v>#REF!</v>
      </c>
      <c r="BA133" s="1323"/>
      <c r="BB133" s="1323"/>
      <c r="BC133" s="1323"/>
      <c r="BD133" s="1323" t="e">
        <f t="shared" si="15"/>
        <v>#REF!</v>
      </c>
      <c r="BE133" s="1323"/>
      <c r="BF133" s="1323"/>
      <c r="BG133" s="1323"/>
      <c r="BH133" s="1323"/>
      <c r="BI133" s="1323" t="e">
        <f t="shared" si="14"/>
        <v>#REF!</v>
      </c>
      <c r="BJ133" s="1323"/>
      <c r="BK133" s="1323"/>
      <c r="BL133" s="1323"/>
      <c r="BM133" s="1323"/>
      <c r="BN133" s="1318"/>
      <c r="BO133" s="1318"/>
      <c r="BP133" s="1318"/>
    </row>
    <row r="134" spans="1:68" s="361" customFormat="1" ht="12.75" customHeight="1">
      <c r="A134" s="355"/>
      <c r="B134" s="1310" t="e">
        <f>'PLANILHA '!#REF!</f>
        <v>#REF!</v>
      </c>
      <c r="C134" s="1310"/>
      <c r="D134" s="1311" t="e">
        <f>'PLANILHA '!#REF!</f>
        <v>#REF!</v>
      </c>
      <c r="E134" s="1311"/>
      <c r="F134" s="1311"/>
      <c r="G134" s="1311"/>
      <c r="H134" s="1311"/>
      <c r="I134" s="1311"/>
      <c r="J134" s="1311"/>
      <c r="K134" s="1311"/>
      <c r="L134" s="1311"/>
      <c r="M134" s="1311"/>
      <c r="N134" s="1311"/>
      <c r="O134" s="1311"/>
      <c r="P134" s="1311"/>
      <c r="Q134" s="1311"/>
      <c r="R134" s="1312" t="e">
        <f>'PLANILHA '!#REF!</f>
        <v>#REF!</v>
      </c>
      <c r="S134" s="1312"/>
      <c r="T134" s="1313" t="e">
        <f>'PLANILHA '!#REF!</f>
        <v>#REF!</v>
      </c>
      <c r="U134" s="1313"/>
      <c r="V134" s="1313"/>
      <c r="W134" s="1313" t="e">
        <f>'PLANILHA '!#REF!</f>
        <v>#REF!</v>
      </c>
      <c r="X134" s="1313"/>
      <c r="Y134" s="1313"/>
      <c r="Z134" s="1320"/>
      <c r="AA134" s="1320"/>
      <c r="AB134" s="1320"/>
      <c r="AC134" s="1320"/>
      <c r="AD134" s="1315"/>
      <c r="AE134" s="1315"/>
      <c r="AF134" s="1315"/>
      <c r="AG134" s="1321" t="e">
        <f t="shared" si="16"/>
        <v>#REF!</v>
      </c>
      <c r="AH134" s="1321"/>
      <c r="AI134" s="1321"/>
      <c r="AJ134" s="1321"/>
      <c r="AK134" s="1315"/>
      <c r="AL134" s="1315"/>
      <c r="AM134" s="1315"/>
      <c r="AN134" s="1315"/>
      <c r="AO134" s="1315"/>
      <c r="AP134" s="1317" t="e">
        <f>'PLANILHA '!#REF!</f>
        <v>#REF!</v>
      </c>
      <c r="AQ134" s="1317"/>
      <c r="AR134" s="1317"/>
      <c r="AS134" s="1317"/>
      <c r="AT134" s="1317"/>
      <c r="AU134" s="1322" t="e">
        <f t="shared" si="17"/>
        <v>#REF!</v>
      </c>
      <c r="AV134" s="1322"/>
      <c r="AW134" s="1322"/>
      <c r="AX134" s="1322"/>
      <c r="AY134" s="1322"/>
      <c r="AZ134" s="1323" t="e">
        <f t="shared" si="19"/>
        <v>#REF!</v>
      </c>
      <c r="BA134" s="1323"/>
      <c r="BB134" s="1323"/>
      <c r="BC134" s="1323"/>
      <c r="BD134" s="1323" t="e">
        <f t="shared" si="15"/>
        <v>#REF!</v>
      </c>
      <c r="BE134" s="1323"/>
      <c r="BF134" s="1323"/>
      <c r="BG134" s="1323"/>
      <c r="BH134" s="1323"/>
      <c r="BI134" s="1323" t="e">
        <f t="shared" si="14"/>
        <v>#REF!</v>
      </c>
      <c r="BJ134" s="1323"/>
      <c r="BK134" s="1323"/>
      <c r="BL134" s="1323"/>
      <c r="BM134" s="1323"/>
      <c r="BN134" s="1318"/>
      <c r="BO134" s="1318"/>
      <c r="BP134" s="1318"/>
    </row>
    <row r="135" spans="1:68" s="361" customFormat="1" ht="12.75" customHeight="1">
      <c r="A135" s="355"/>
      <c r="B135" s="1310" t="e">
        <f>'PLANILHA '!#REF!</f>
        <v>#REF!</v>
      </c>
      <c r="C135" s="1310"/>
      <c r="D135" s="1311" t="e">
        <f>'PLANILHA '!#REF!</f>
        <v>#REF!</v>
      </c>
      <c r="E135" s="1311"/>
      <c r="F135" s="1311"/>
      <c r="G135" s="1311"/>
      <c r="H135" s="1311"/>
      <c r="I135" s="1311"/>
      <c r="J135" s="1311"/>
      <c r="K135" s="1311"/>
      <c r="L135" s="1311"/>
      <c r="M135" s="1311"/>
      <c r="N135" s="1311"/>
      <c r="O135" s="1311"/>
      <c r="P135" s="1311"/>
      <c r="Q135" s="1311"/>
      <c r="R135" s="1312" t="e">
        <f>'PLANILHA '!#REF!</f>
        <v>#REF!</v>
      </c>
      <c r="S135" s="1312"/>
      <c r="T135" s="1313" t="e">
        <f>'PLANILHA '!#REF!</f>
        <v>#REF!</v>
      </c>
      <c r="U135" s="1313"/>
      <c r="V135" s="1313"/>
      <c r="W135" s="1313" t="e">
        <f>'PLANILHA '!#REF!</f>
        <v>#REF!</v>
      </c>
      <c r="X135" s="1313"/>
      <c r="Y135" s="1313"/>
      <c r="Z135" s="1320"/>
      <c r="AA135" s="1320"/>
      <c r="AB135" s="1320"/>
      <c r="AC135" s="1320"/>
      <c r="AD135" s="1315"/>
      <c r="AE135" s="1315"/>
      <c r="AF135" s="1315"/>
      <c r="AG135" s="1321" t="e">
        <f t="shared" si="16"/>
        <v>#REF!</v>
      </c>
      <c r="AH135" s="1321"/>
      <c r="AI135" s="1321"/>
      <c r="AJ135" s="1321"/>
      <c r="AK135" s="1315"/>
      <c r="AL135" s="1315"/>
      <c r="AM135" s="1315"/>
      <c r="AN135" s="1315"/>
      <c r="AO135" s="1315"/>
      <c r="AP135" s="1317" t="e">
        <f>'PLANILHA '!#REF!</f>
        <v>#REF!</v>
      </c>
      <c r="AQ135" s="1317"/>
      <c r="AR135" s="1317"/>
      <c r="AS135" s="1317"/>
      <c r="AT135" s="1317"/>
      <c r="AU135" s="1322" t="e">
        <f t="shared" si="17"/>
        <v>#REF!</v>
      </c>
      <c r="AV135" s="1322"/>
      <c r="AW135" s="1322"/>
      <c r="AX135" s="1322"/>
      <c r="AY135" s="1322"/>
      <c r="AZ135" s="1323" t="e">
        <f t="shared" si="19"/>
        <v>#REF!</v>
      </c>
      <c r="BA135" s="1323"/>
      <c r="BB135" s="1323"/>
      <c r="BC135" s="1323"/>
      <c r="BD135" s="1323" t="e">
        <f t="shared" si="15"/>
        <v>#REF!</v>
      </c>
      <c r="BE135" s="1323"/>
      <c r="BF135" s="1323"/>
      <c r="BG135" s="1323"/>
      <c r="BH135" s="1323"/>
      <c r="BI135" s="1323" t="e">
        <f t="shared" si="14"/>
        <v>#REF!</v>
      </c>
      <c r="BJ135" s="1323"/>
      <c r="BK135" s="1323"/>
      <c r="BL135" s="1323"/>
      <c r="BM135" s="1323"/>
      <c r="BN135" s="1318"/>
      <c r="BO135" s="1318"/>
      <c r="BP135" s="1318"/>
    </row>
    <row r="136" spans="1:68" s="361" customFormat="1" ht="12.75" customHeight="1">
      <c r="A136" s="355"/>
      <c r="B136" s="1310" t="e">
        <f>'PLANILHA '!#REF!</f>
        <v>#REF!</v>
      </c>
      <c r="C136" s="1310"/>
      <c r="D136" s="1311" t="e">
        <f>'PLANILHA '!#REF!</f>
        <v>#REF!</v>
      </c>
      <c r="E136" s="1311"/>
      <c r="F136" s="1311"/>
      <c r="G136" s="1311"/>
      <c r="H136" s="1311"/>
      <c r="I136" s="1311"/>
      <c r="J136" s="1311"/>
      <c r="K136" s="1311"/>
      <c r="L136" s="1311"/>
      <c r="M136" s="1311"/>
      <c r="N136" s="1311"/>
      <c r="O136" s="1311"/>
      <c r="P136" s="1311"/>
      <c r="Q136" s="1311"/>
      <c r="R136" s="1312" t="e">
        <f>'PLANILHA '!#REF!</f>
        <v>#REF!</v>
      </c>
      <c r="S136" s="1312"/>
      <c r="T136" s="1313" t="e">
        <f>'PLANILHA '!#REF!</f>
        <v>#REF!</v>
      </c>
      <c r="U136" s="1313"/>
      <c r="V136" s="1313"/>
      <c r="W136" s="1313" t="e">
        <f>'PLANILHA '!#REF!</f>
        <v>#REF!</v>
      </c>
      <c r="X136" s="1313"/>
      <c r="Y136" s="1313"/>
      <c r="Z136" s="1320"/>
      <c r="AA136" s="1320"/>
      <c r="AB136" s="1320"/>
      <c r="AC136" s="1320"/>
      <c r="AD136" s="1315"/>
      <c r="AE136" s="1315"/>
      <c r="AF136" s="1315"/>
      <c r="AG136" s="1321" t="e">
        <f t="shared" si="16"/>
        <v>#REF!</v>
      </c>
      <c r="AH136" s="1321"/>
      <c r="AI136" s="1321"/>
      <c r="AJ136" s="1321"/>
      <c r="AK136" s="1315"/>
      <c r="AL136" s="1315"/>
      <c r="AM136" s="1315"/>
      <c r="AN136" s="1315"/>
      <c r="AO136" s="1315"/>
      <c r="AP136" s="1317" t="e">
        <f>'PLANILHA '!#REF!</f>
        <v>#REF!</v>
      </c>
      <c r="AQ136" s="1317"/>
      <c r="AR136" s="1317"/>
      <c r="AS136" s="1317"/>
      <c r="AT136" s="1317"/>
      <c r="AU136" s="1322" t="e">
        <f t="shared" si="17"/>
        <v>#REF!</v>
      </c>
      <c r="AV136" s="1322"/>
      <c r="AW136" s="1322"/>
      <c r="AX136" s="1322"/>
      <c r="AY136" s="1322"/>
      <c r="AZ136" s="1323" t="e">
        <f t="shared" si="19"/>
        <v>#REF!</v>
      </c>
      <c r="BA136" s="1323"/>
      <c r="BB136" s="1323"/>
      <c r="BC136" s="1323"/>
      <c r="BD136" s="1323" t="e">
        <f t="shared" si="15"/>
        <v>#REF!</v>
      </c>
      <c r="BE136" s="1323"/>
      <c r="BF136" s="1323"/>
      <c r="BG136" s="1323"/>
      <c r="BH136" s="1323"/>
      <c r="BI136" s="1323" t="e">
        <f t="shared" si="14"/>
        <v>#REF!</v>
      </c>
      <c r="BJ136" s="1323"/>
      <c r="BK136" s="1323"/>
      <c r="BL136" s="1323"/>
      <c r="BM136" s="1323"/>
      <c r="BN136" s="1318"/>
      <c r="BO136" s="1318"/>
      <c r="BP136" s="1318"/>
    </row>
    <row r="137" spans="1:68" s="361" customFormat="1" ht="12.75" customHeight="1">
      <c r="A137" s="355"/>
      <c r="B137" s="1310" t="e">
        <f>'PLANILHA '!#REF!</f>
        <v>#REF!</v>
      </c>
      <c r="C137" s="1310"/>
      <c r="D137" s="1311" t="e">
        <f>'PLANILHA '!#REF!</f>
        <v>#REF!</v>
      </c>
      <c r="E137" s="1311"/>
      <c r="F137" s="1311"/>
      <c r="G137" s="1311"/>
      <c r="H137" s="1311"/>
      <c r="I137" s="1311"/>
      <c r="J137" s="1311"/>
      <c r="K137" s="1311"/>
      <c r="L137" s="1311"/>
      <c r="M137" s="1311"/>
      <c r="N137" s="1311"/>
      <c r="O137" s="1311"/>
      <c r="P137" s="1311"/>
      <c r="Q137" s="1311"/>
      <c r="R137" s="1312" t="e">
        <f>'PLANILHA '!#REF!</f>
        <v>#REF!</v>
      </c>
      <c r="S137" s="1312"/>
      <c r="T137" s="1313" t="e">
        <f>'PLANILHA '!#REF!</f>
        <v>#REF!</v>
      </c>
      <c r="U137" s="1313"/>
      <c r="V137" s="1313"/>
      <c r="W137" s="1313" t="e">
        <f>'PLANILHA '!#REF!</f>
        <v>#REF!</v>
      </c>
      <c r="X137" s="1313"/>
      <c r="Y137" s="1313"/>
      <c r="Z137" s="1320"/>
      <c r="AA137" s="1320"/>
      <c r="AB137" s="1320"/>
      <c r="AC137" s="1320"/>
      <c r="AD137" s="1315"/>
      <c r="AE137" s="1315"/>
      <c r="AF137" s="1315"/>
      <c r="AG137" s="1321" t="e">
        <f t="shared" si="16"/>
        <v>#REF!</v>
      </c>
      <c r="AH137" s="1321"/>
      <c r="AI137" s="1321"/>
      <c r="AJ137" s="1321"/>
      <c r="AK137" s="1315"/>
      <c r="AL137" s="1315"/>
      <c r="AM137" s="1315"/>
      <c r="AN137" s="1315"/>
      <c r="AO137" s="1315"/>
      <c r="AP137" s="1317" t="e">
        <f>'PLANILHA '!#REF!</f>
        <v>#REF!</v>
      </c>
      <c r="AQ137" s="1317"/>
      <c r="AR137" s="1317"/>
      <c r="AS137" s="1317"/>
      <c r="AT137" s="1317"/>
      <c r="AU137" s="1322" t="e">
        <f t="shared" si="17"/>
        <v>#REF!</v>
      </c>
      <c r="AV137" s="1322"/>
      <c r="AW137" s="1322"/>
      <c r="AX137" s="1322"/>
      <c r="AY137" s="1322"/>
      <c r="AZ137" s="1323" t="e">
        <f t="shared" si="19"/>
        <v>#REF!</v>
      </c>
      <c r="BA137" s="1323"/>
      <c r="BB137" s="1323"/>
      <c r="BC137" s="1323"/>
      <c r="BD137" s="1323" t="e">
        <f t="shared" si="15"/>
        <v>#REF!</v>
      </c>
      <c r="BE137" s="1323"/>
      <c r="BF137" s="1323"/>
      <c r="BG137" s="1323"/>
      <c r="BH137" s="1323"/>
      <c r="BI137" s="1323" t="e">
        <f t="shared" si="14"/>
        <v>#REF!</v>
      </c>
      <c r="BJ137" s="1323"/>
      <c r="BK137" s="1323"/>
      <c r="BL137" s="1323"/>
      <c r="BM137" s="1323"/>
      <c r="BN137" s="1318"/>
      <c r="BO137" s="1318"/>
      <c r="BP137" s="1318"/>
    </row>
    <row r="138" spans="1:68" s="361" customFormat="1" ht="12.75" customHeight="1">
      <c r="A138" s="355"/>
      <c r="B138" s="1310" t="e">
        <f>'PLANILHA '!#REF!</f>
        <v>#REF!</v>
      </c>
      <c r="C138" s="1310"/>
      <c r="D138" s="1311" t="e">
        <f>'PLANILHA '!#REF!</f>
        <v>#REF!</v>
      </c>
      <c r="E138" s="1311"/>
      <c r="F138" s="1311"/>
      <c r="G138" s="1311"/>
      <c r="H138" s="1311"/>
      <c r="I138" s="1311"/>
      <c r="J138" s="1311"/>
      <c r="K138" s="1311"/>
      <c r="L138" s="1311"/>
      <c r="M138" s="1311"/>
      <c r="N138" s="1311"/>
      <c r="O138" s="1311"/>
      <c r="P138" s="1311"/>
      <c r="Q138" s="1311"/>
      <c r="R138" s="1312" t="e">
        <f>'PLANILHA '!#REF!</f>
        <v>#REF!</v>
      </c>
      <c r="S138" s="1312"/>
      <c r="T138" s="1313" t="e">
        <f>'PLANILHA '!#REF!</f>
        <v>#REF!</v>
      </c>
      <c r="U138" s="1313"/>
      <c r="V138" s="1313"/>
      <c r="W138" s="1313" t="e">
        <f>'PLANILHA '!#REF!</f>
        <v>#REF!</v>
      </c>
      <c r="X138" s="1313"/>
      <c r="Y138" s="1313"/>
      <c r="Z138" s="1320"/>
      <c r="AA138" s="1320"/>
      <c r="AB138" s="1320"/>
      <c r="AC138" s="1320"/>
      <c r="AD138" s="1315"/>
      <c r="AE138" s="1315"/>
      <c r="AF138" s="1315"/>
      <c r="AG138" s="1321" t="e">
        <f t="shared" si="16"/>
        <v>#REF!</v>
      </c>
      <c r="AH138" s="1321"/>
      <c r="AI138" s="1321"/>
      <c r="AJ138" s="1321"/>
      <c r="AK138" s="1315"/>
      <c r="AL138" s="1315"/>
      <c r="AM138" s="1315"/>
      <c r="AN138" s="1315"/>
      <c r="AO138" s="1315"/>
      <c r="AP138" s="1317" t="e">
        <f>'PLANILHA '!#REF!</f>
        <v>#REF!</v>
      </c>
      <c r="AQ138" s="1317"/>
      <c r="AR138" s="1317"/>
      <c r="AS138" s="1317"/>
      <c r="AT138" s="1317"/>
      <c r="AU138" s="1322" t="e">
        <f t="shared" si="17"/>
        <v>#REF!</v>
      </c>
      <c r="AV138" s="1322"/>
      <c r="AW138" s="1322"/>
      <c r="AX138" s="1322"/>
      <c r="AY138" s="1322"/>
      <c r="AZ138" s="1323" t="e">
        <f t="shared" si="19"/>
        <v>#REF!</v>
      </c>
      <c r="BA138" s="1323"/>
      <c r="BB138" s="1323"/>
      <c r="BC138" s="1323"/>
      <c r="BD138" s="1323" t="e">
        <f t="shared" si="15"/>
        <v>#REF!</v>
      </c>
      <c r="BE138" s="1323"/>
      <c r="BF138" s="1323"/>
      <c r="BG138" s="1323"/>
      <c r="BH138" s="1323"/>
      <c r="BI138" s="1323" t="e">
        <f t="shared" si="14"/>
        <v>#REF!</v>
      </c>
      <c r="BJ138" s="1323"/>
      <c r="BK138" s="1323"/>
      <c r="BL138" s="1323"/>
      <c r="BM138" s="1323"/>
      <c r="BN138" s="1318"/>
      <c r="BO138" s="1318"/>
      <c r="BP138" s="1318"/>
    </row>
    <row r="139" spans="1:68" s="361" customFormat="1" ht="12.75" customHeight="1">
      <c r="A139" s="355"/>
      <c r="B139" s="1310" t="e">
        <f>'PLANILHA '!#REF!</f>
        <v>#REF!</v>
      </c>
      <c r="C139" s="1310"/>
      <c r="D139" s="1311" t="e">
        <f>'PLANILHA '!#REF!</f>
        <v>#REF!</v>
      </c>
      <c r="E139" s="1311"/>
      <c r="F139" s="1311"/>
      <c r="G139" s="1311"/>
      <c r="H139" s="1311"/>
      <c r="I139" s="1311"/>
      <c r="J139" s="1311"/>
      <c r="K139" s="1311"/>
      <c r="L139" s="1311"/>
      <c r="M139" s="1311"/>
      <c r="N139" s="1311"/>
      <c r="O139" s="1311"/>
      <c r="P139" s="1311"/>
      <c r="Q139" s="1311"/>
      <c r="R139" s="1312" t="e">
        <f>'PLANILHA '!#REF!</f>
        <v>#REF!</v>
      </c>
      <c r="S139" s="1312"/>
      <c r="T139" s="1313" t="e">
        <f>'PLANILHA '!#REF!</f>
        <v>#REF!</v>
      </c>
      <c r="U139" s="1313"/>
      <c r="V139" s="1313"/>
      <c r="W139" s="1313" t="e">
        <f>'PLANILHA '!#REF!</f>
        <v>#REF!</v>
      </c>
      <c r="X139" s="1313"/>
      <c r="Y139" s="1313"/>
      <c r="Z139" s="1320"/>
      <c r="AA139" s="1320"/>
      <c r="AB139" s="1320"/>
      <c r="AC139" s="1320"/>
      <c r="AD139" s="1315"/>
      <c r="AE139" s="1315"/>
      <c r="AF139" s="1315"/>
      <c r="AG139" s="1321" t="e">
        <f t="shared" si="16"/>
        <v>#REF!</v>
      </c>
      <c r="AH139" s="1321"/>
      <c r="AI139" s="1321"/>
      <c r="AJ139" s="1321"/>
      <c r="AK139" s="1315"/>
      <c r="AL139" s="1315"/>
      <c r="AM139" s="1315"/>
      <c r="AN139" s="1315"/>
      <c r="AO139" s="1315"/>
      <c r="AP139" s="1317" t="e">
        <f>'PLANILHA '!#REF!</f>
        <v>#REF!</v>
      </c>
      <c r="AQ139" s="1317"/>
      <c r="AR139" s="1317"/>
      <c r="AS139" s="1317"/>
      <c r="AT139" s="1317"/>
      <c r="AU139" s="1322" t="e">
        <f t="shared" si="17"/>
        <v>#REF!</v>
      </c>
      <c r="AV139" s="1322"/>
      <c r="AW139" s="1322"/>
      <c r="AX139" s="1322"/>
      <c r="AY139" s="1322"/>
      <c r="AZ139" s="1323" t="e">
        <f t="shared" si="19"/>
        <v>#REF!</v>
      </c>
      <c r="BA139" s="1323"/>
      <c r="BB139" s="1323"/>
      <c r="BC139" s="1323"/>
      <c r="BD139" s="1323" t="e">
        <f t="shared" si="15"/>
        <v>#REF!</v>
      </c>
      <c r="BE139" s="1323"/>
      <c r="BF139" s="1323"/>
      <c r="BG139" s="1323"/>
      <c r="BH139" s="1323"/>
      <c r="BI139" s="1323" t="e">
        <f t="shared" si="14"/>
        <v>#REF!</v>
      </c>
      <c r="BJ139" s="1323"/>
      <c r="BK139" s="1323"/>
      <c r="BL139" s="1323"/>
      <c r="BM139" s="1323"/>
      <c r="BN139" s="1318"/>
      <c r="BO139" s="1318"/>
      <c r="BP139" s="1318"/>
    </row>
    <row r="140" spans="1:68" s="361" customFormat="1" ht="12.75" customHeight="1">
      <c r="A140" s="355"/>
      <c r="B140" s="1310" t="e">
        <f>'PLANILHA '!#REF!</f>
        <v>#REF!</v>
      </c>
      <c r="C140" s="1310"/>
      <c r="D140" s="1311" t="e">
        <f>'PLANILHA '!#REF!</f>
        <v>#REF!</v>
      </c>
      <c r="E140" s="1311"/>
      <c r="F140" s="1311"/>
      <c r="G140" s="1311"/>
      <c r="H140" s="1311"/>
      <c r="I140" s="1311"/>
      <c r="J140" s="1311"/>
      <c r="K140" s="1311"/>
      <c r="L140" s="1311"/>
      <c r="M140" s="1311"/>
      <c r="N140" s="1311"/>
      <c r="O140" s="1311"/>
      <c r="P140" s="1311"/>
      <c r="Q140" s="1311"/>
      <c r="R140" s="1312" t="e">
        <f>'PLANILHA '!#REF!</f>
        <v>#REF!</v>
      </c>
      <c r="S140" s="1312"/>
      <c r="T140" s="1313" t="e">
        <f>'PLANILHA '!#REF!</f>
        <v>#REF!</v>
      </c>
      <c r="U140" s="1313"/>
      <c r="V140" s="1313"/>
      <c r="W140" s="1313" t="e">
        <f>'PLANILHA '!#REF!</f>
        <v>#REF!</v>
      </c>
      <c r="X140" s="1313"/>
      <c r="Y140" s="1313"/>
      <c r="Z140" s="1320"/>
      <c r="AA140" s="1320"/>
      <c r="AB140" s="1320"/>
      <c r="AC140" s="1320"/>
      <c r="AD140" s="1315"/>
      <c r="AE140" s="1315"/>
      <c r="AF140" s="1315"/>
      <c r="AG140" s="1321" t="e">
        <f t="shared" si="16"/>
        <v>#REF!</v>
      </c>
      <c r="AH140" s="1321"/>
      <c r="AI140" s="1321"/>
      <c r="AJ140" s="1321"/>
      <c r="AK140" s="1315"/>
      <c r="AL140" s="1315"/>
      <c r="AM140" s="1315"/>
      <c r="AN140" s="1315"/>
      <c r="AO140" s="1315"/>
      <c r="AP140" s="1317" t="e">
        <f>'PLANILHA '!#REF!</f>
        <v>#REF!</v>
      </c>
      <c r="AQ140" s="1317"/>
      <c r="AR140" s="1317"/>
      <c r="AS140" s="1317"/>
      <c r="AT140" s="1317"/>
      <c r="AU140" s="1322" t="e">
        <f t="shared" si="17"/>
        <v>#REF!</v>
      </c>
      <c r="AV140" s="1322"/>
      <c r="AW140" s="1322"/>
      <c r="AX140" s="1322"/>
      <c r="AY140" s="1322"/>
      <c r="AZ140" s="1323" t="e">
        <f t="shared" si="19"/>
        <v>#REF!</v>
      </c>
      <c r="BA140" s="1323"/>
      <c r="BB140" s="1323"/>
      <c r="BC140" s="1323"/>
      <c r="BD140" s="1323" t="e">
        <f t="shared" si="15"/>
        <v>#REF!</v>
      </c>
      <c r="BE140" s="1323"/>
      <c r="BF140" s="1323"/>
      <c r="BG140" s="1323"/>
      <c r="BH140" s="1323"/>
      <c r="BI140" s="1323" t="e">
        <f t="shared" si="14"/>
        <v>#REF!</v>
      </c>
      <c r="BJ140" s="1323"/>
      <c r="BK140" s="1323"/>
      <c r="BL140" s="1323"/>
      <c r="BM140" s="1323"/>
      <c r="BN140" s="1318"/>
      <c r="BO140" s="1318"/>
      <c r="BP140" s="1318"/>
    </row>
    <row r="141" spans="1:68" s="361" customFormat="1" ht="12.75" customHeight="1">
      <c r="A141" s="355"/>
      <c r="B141" s="1310" t="e">
        <f>'PLANILHA '!#REF!</f>
        <v>#REF!</v>
      </c>
      <c r="C141" s="1310"/>
      <c r="D141" s="1311" t="e">
        <f>'PLANILHA '!#REF!</f>
        <v>#REF!</v>
      </c>
      <c r="E141" s="1311"/>
      <c r="F141" s="1311"/>
      <c r="G141" s="1311"/>
      <c r="H141" s="1311"/>
      <c r="I141" s="1311"/>
      <c r="J141" s="1311"/>
      <c r="K141" s="1311"/>
      <c r="L141" s="1311"/>
      <c r="M141" s="1311"/>
      <c r="N141" s="1311"/>
      <c r="O141" s="1311"/>
      <c r="P141" s="1311"/>
      <c r="Q141" s="1311"/>
      <c r="R141" s="1312" t="e">
        <f>'PLANILHA '!#REF!</f>
        <v>#REF!</v>
      </c>
      <c r="S141" s="1312"/>
      <c r="T141" s="1313" t="e">
        <f>'PLANILHA '!#REF!</f>
        <v>#REF!</v>
      </c>
      <c r="U141" s="1313"/>
      <c r="V141" s="1313"/>
      <c r="W141" s="1313" t="e">
        <f>'PLANILHA '!#REF!</f>
        <v>#REF!</v>
      </c>
      <c r="X141" s="1313"/>
      <c r="Y141" s="1313"/>
      <c r="Z141" s="1320"/>
      <c r="AA141" s="1320"/>
      <c r="AB141" s="1320"/>
      <c r="AC141" s="1320"/>
      <c r="AD141" s="1315"/>
      <c r="AE141" s="1315"/>
      <c r="AF141" s="1315"/>
      <c r="AG141" s="1321" t="e">
        <f t="shared" si="16"/>
        <v>#REF!</v>
      </c>
      <c r="AH141" s="1321"/>
      <c r="AI141" s="1321"/>
      <c r="AJ141" s="1321"/>
      <c r="AK141" s="1315"/>
      <c r="AL141" s="1315"/>
      <c r="AM141" s="1315"/>
      <c r="AN141" s="1315"/>
      <c r="AO141" s="1315"/>
      <c r="AP141" s="1317" t="e">
        <f>'PLANILHA '!#REF!</f>
        <v>#REF!</v>
      </c>
      <c r="AQ141" s="1317"/>
      <c r="AR141" s="1317"/>
      <c r="AS141" s="1317"/>
      <c r="AT141" s="1317"/>
      <c r="AU141" s="1322" t="e">
        <f t="shared" si="17"/>
        <v>#REF!</v>
      </c>
      <c r="AV141" s="1322"/>
      <c r="AW141" s="1322"/>
      <c r="AX141" s="1322"/>
      <c r="AY141" s="1322"/>
      <c r="AZ141" s="1323" t="e">
        <f t="shared" si="19"/>
        <v>#REF!</v>
      </c>
      <c r="BA141" s="1323"/>
      <c r="BB141" s="1323"/>
      <c r="BC141" s="1323"/>
      <c r="BD141" s="1323" t="e">
        <f t="shared" si="15"/>
        <v>#REF!</v>
      </c>
      <c r="BE141" s="1323"/>
      <c r="BF141" s="1323"/>
      <c r="BG141" s="1323"/>
      <c r="BH141" s="1323"/>
      <c r="BI141" s="1323" t="e">
        <f t="shared" si="14"/>
        <v>#REF!</v>
      </c>
      <c r="BJ141" s="1323"/>
      <c r="BK141" s="1323"/>
      <c r="BL141" s="1323"/>
      <c r="BM141" s="1323"/>
      <c r="BN141" s="1318"/>
      <c r="BO141" s="1318"/>
      <c r="BP141" s="1318"/>
    </row>
    <row r="142" spans="1:68" s="361" customFormat="1" ht="12.75" customHeight="1">
      <c r="A142" s="355"/>
      <c r="B142" s="1310" t="e">
        <f>'PLANILHA '!#REF!</f>
        <v>#REF!</v>
      </c>
      <c r="C142" s="1310"/>
      <c r="D142" s="1311" t="e">
        <f>'PLANILHA '!#REF!</f>
        <v>#REF!</v>
      </c>
      <c r="E142" s="1311"/>
      <c r="F142" s="1311"/>
      <c r="G142" s="1311"/>
      <c r="H142" s="1311"/>
      <c r="I142" s="1311"/>
      <c r="J142" s="1311"/>
      <c r="K142" s="1311"/>
      <c r="L142" s="1311"/>
      <c r="M142" s="1311"/>
      <c r="N142" s="1311"/>
      <c r="O142" s="1311"/>
      <c r="P142" s="1311"/>
      <c r="Q142" s="1311"/>
      <c r="R142" s="1312" t="e">
        <f>'PLANILHA '!#REF!</f>
        <v>#REF!</v>
      </c>
      <c r="S142" s="1312"/>
      <c r="T142" s="1313" t="e">
        <f>'PLANILHA '!#REF!</f>
        <v>#REF!</v>
      </c>
      <c r="U142" s="1313"/>
      <c r="V142" s="1313"/>
      <c r="W142" s="1313" t="e">
        <f>'PLANILHA '!#REF!</f>
        <v>#REF!</v>
      </c>
      <c r="X142" s="1313"/>
      <c r="Y142" s="1313"/>
      <c r="Z142" s="1320"/>
      <c r="AA142" s="1320"/>
      <c r="AB142" s="1320"/>
      <c r="AC142" s="1320"/>
      <c r="AD142" s="1315"/>
      <c r="AE142" s="1315"/>
      <c r="AF142" s="1315"/>
      <c r="AG142" s="1321" t="e">
        <f t="shared" si="16"/>
        <v>#REF!</v>
      </c>
      <c r="AH142" s="1321"/>
      <c r="AI142" s="1321"/>
      <c r="AJ142" s="1321"/>
      <c r="AK142" s="1315"/>
      <c r="AL142" s="1315"/>
      <c r="AM142" s="1315"/>
      <c r="AN142" s="1315"/>
      <c r="AO142" s="1315"/>
      <c r="AP142" s="1317" t="e">
        <f>'PLANILHA '!#REF!</f>
        <v>#REF!</v>
      </c>
      <c r="AQ142" s="1317"/>
      <c r="AR142" s="1317"/>
      <c r="AS142" s="1317"/>
      <c r="AT142" s="1317"/>
      <c r="AU142" s="1322" t="e">
        <f t="shared" si="17"/>
        <v>#REF!</v>
      </c>
      <c r="AV142" s="1322"/>
      <c r="AW142" s="1322"/>
      <c r="AX142" s="1322"/>
      <c r="AY142" s="1322"/>
      <c r="AZ142" s="1323" t="e">
        <f t="shared" si="19"/>
        <v>#REF!</v>
      </c>
      <c r="BA142" s="1323"/>
      <c r="BB142" s="1323"/>
      <c r="BC142" s="1323"/>
      <c r="BD142" s="1323" t="e">
        <f t="shared" si="15"/>
        <v>#REF!</v>
      </c>
      <c r="BE142" s="1323"/>
      <c r="BF142" s="1323"/>
      <c r="BG142" s="1323"/>
      <c r="BH142" s="1323"/>
      <c r="BI142" s="1323" t="e">
        <f t="shared" si="14"/>
        <v>#REF!</v>
      </c>
      <c r="BJ142" s="1323"/>
      <c r="BK142" s="1323"/>
      <c r="BL142" s="1323"/>
      <c r="BM142" s="1323"/>
      <c r="BN142" s="1318"/>
      <c r="BO142" s="1318"/>
      <c r="BP142" s="1318"/>
    </row>
    <row r="143" spans="1:68" s="361" customFormat="1" ht="12.75" customHeight="1">
      <c r="A143" s="355"/>
      <c r="B143" s="1310" t="e">
        <f>'PLANILHA '!#REF!</f>
        <v>#REF!</v>
      </c>
      <c r="C143" s="1310"/>
      <c r="D143" s="1311" t="e">
        <f>'PLANILHA '!#REF!</f>
        <v>#REF!</v>
      </c>
      <c r="E143" s="1311"/>
      <c r="F143" s="1311"/>
      <c r="G143" s="1311"/>
      <c r="H143" s="1311"/>
      <c r="I143" s="1311"/>
      <c r="J143" s="1311"/>
      <c r="K143" s="1311"/>
      <c r="L143" s="1311"/>
      <c r="M143" s="1311"/>
      <c r="N143" s="1311"/>
      <c r="O143" s="1311"/>
      <c r="P143" s="1311"/>
      <c r="Q143" s="1311"/>
      <c r="R143" s="1312" t="e">
        <f>'PLANILHA '!#REF!</f>
        <v>#REF!</v>
      </c>
      <c r="S143" s="1312"/>
      <c r="T143" s="1313" t="e">
        <f>'PLANILHA '!#REF!</f>
        <v>#REF!</v>
      </c>
      <c r="U143" s="1313"/>
      <c r="V143" s="1313"/>
      <c r="W143" s="1313" t="e">
        <f>'PLANILHA '!#REF!</f>
        <v>#REF!</v>
      </c>
      <c r="X143" s="1313"/>
      <c r="Y143" s="1313"/>
      <c r="Z143" s="1320"/>
      <c r="AA143" s="1320"/>
      <c r="AB143" s="1320"/>
      <c r="AC143" s="1320"/>
      <c r="AD143" s="1315"/>
      <c r="AE143" s="1315"/>
      <c r="AF143" s="1315"/>
      <c r="AG143" s="1321" t="e">
        <f t="shared" si="16"/>
        <v>#REF!</v>
      </c>
      <c r="AH143" s="1321"/>
      <c r="AI143" s="1321"/>
      <c r="AJ143" s="1321"/>
      <c r="AK143" s="1315"/>
      <c r="AL143" s="1315"/>
      <c r="AM143" s="1315"/>
      <c r="AN143" s="1315"/>
      <c r="AO143" s="1315"/>
      <c r="AP143" s="1317" t="e">
        <f>'PLANILHA '!#REF!</f>
        <v>#REF!</v>
      </c>
      <c r="AQ143" s="1317"/>
      <c r="AR143" s="1317"/>
      <c r="AS143" s="1317"/>
      <c r="AT143" s="1317"/>
      <c r="AU143" s="1322" t="e">
        <f t="shared" si="17"/>
        <v>#REF!</v>
      </c>
      <c r="AV143" s="1322"/>
      <c r="AW143" s="1322"/>
      <c r="AX143" s="1322"/>
      <c r="AY143" s="1322"/>
      <c r="AZ143" s="1323" t="e">
        <f t="shared" si="19"/>
        <v>#REF!</v>
      </c>
      <c r="BA143" s="1323"/>
      <c r="BB143" s="1323"/>
      <c r="BC143" s="1323"/>
      <c r="BD143" s="1323" t="e">
        <f t="shared" si="15"/>
        <v>#REF!</v>
      </c>
      <c r="BE143" s="1323"/>
      <c r="BF143" s="1323"/>
      <c r="BG143" s="1323"/>
      <c r="BH143" s="1323"/>
      <c r="BI143" s="1323" t="e">
        <f t="shared" si="14"/>
        <v>#REF!</v>
      </c>
      <c r="BJ143" s="1323"/>
      <c r="BK143" s="1323"/>
      <c r="BL143" s="1323"/>
      <c r="BM143" s="1323"/>
      <c r="BN143" s="1318"/>
      <c r="BO143" s="1318"/>
      <c r="BP143" s="1318"/>
    </row>
    <row r="144" spans="1:68" s="361" customFormat="1" ht="12.75" customHeight="1">
      <c r="A144" s="355"/>
      <c r="B144" s="1310" t="e">
        <f>'PLANILHA '!#REF!</f>
        <v>#REF!</v>
      </c>
      <c r="C144" s="1310"/>
      <c r="D144" s="1311" t="e">
        <f>'PLANILHA '!#REF!</f>
        <v>#REF!</v>
      </c>
      <c r="E144" s="1311"/>
      <c r="F144" s="1311"/>
      <c r="G144" s="1311"/>
      <c r="H144" s="1311"/>
      <c r="I144" s="1311"/>
      <c r="J144" s="1311"/>
      <c r="K144" s="1311"/>
      <c r="L144" s="1311"/>
      <c r="M144" s="1311"/>
      <c r="N144" s="1311"/>
      <c r="O144" s="1311"/>
      <c r="P144" s="1311"/>
      <c r="Q144" s="1311"/>
      <c r="R144" s="1312" t="e">
        <f>'PLANILHA '!#REF!</f>
        <v>#REF!</v>
      </c>
      <c r="S144" s="1312"/>
      <c r="T144" s="1313" t="e">
        <f>'PLANILHA '!#REF!</f>
        <v>#REF!</v>
      </c>
      <c r="U144" s="1313"/>
      <c r="V144" s="1313"/>
      <c r="W144" s="1313" t="e">
        <f>'PLANILHA '!#REF!</f>
        <v>#REF!</v>
      </c>
      <c r="X144" s="1313"/>
      <c r="Y144" s="1313"/>
      <c r="Z144" s="1320"/>
      <c r="AA144" s="1320"/>
      <c r="AB144" s="1320"/>
      <c r="AC144" s="1320"/>
      <c r="AD144" s="1315"/>
      <c r="AE144" s="1315"/>
      <c r="AF144" s="1315"/>
      <c r="AG144" s="1321" t="e">
        <f t="shared" si="16"/>
        <v>#REF!</v>
      </c>
      <c r="AH144" s="1321"/>
      <c r="AI144" s="1321"/>
      <c r="AJ144" s="1321"/>
      <c r="AK144" s="1315"/>
      <c r="AL144" s="1315"/>
      <c r="AM144" s="1315"/>
      <c r="AN144" s="1315"/>
      <c r="AO144" s="1315"/>
      <c r="AP144" s="1317" t="e">
        <f>'PLANILHA '!#REF!</f>
        <v>#REF!</v>
      </c>
      <c r="AQ144" s="1317"/>
      <c r="AR144" s="1317"/>
      <c r="AS144" s="1317"/>
      <c r="AT144" s="1317"/>
      <c r="AU144" s="1322" t="e">
        <f t="shared" si="17"/>
        <v>#REF!</v>
      </c>
      <c r="AV144" s="1322"/>
      <c r="AW144" s="1322"/>
      <c r="AX144" s="1322"/>
      <c r="AY144" s="1322"/>
      <c r="AZ144" s="1323" t="e">
        <f t="shared" si="19"/>
        <v>#REF!</v>
      </c>
      <c r="BA144" s="1323"/>
      <c r="BB144" s="1323"/>
      <c r="BC144" s="1323"/>
      <c r="BD144" s="1323" t="e">
        <f t="shared" si="15"/>
        <v>#REF!</v>
      </c>
      <c r="BE144" s="1323"/>
      <c r="BF144" s="1323"/>
      <c r="BG144" s="1323"/>
      <c r="BH144" s="1323"/>
      <c r="BI144" s="1323" t="e">
        <f t="shared" si="14"/>
        <v>#REF!</v>
      </c>
      <c r="BJ144" s="1323"/>
      <c r="BK144" s="1323"/>
      <c r="BL144" s="1323"/>
      <c r="BM144" s="1323"/>
      <c r="BN144" s="1318"/>
      <c r="BO144" s="1318"/>
      <c r="BP144" s="1318"/>
    </row>
    <row r="145" spans="1:68" s="361" customFormat="1" ht="12.75" customHeight="1">
      <c r="A145" s="355"/>
      <c r="B145" s="1310" t="e">
        <f>'PLANILHA '!#REF!</f>
        <v>#REF!</v>
      </c>
      <c r="C145" s="1310"/>
      <c r="D145" s="1311" t="e">
        <f>'PLANILHA '!#REF!</f>
        <v>#REF!</v>
      </c>
      <c r="E145" s="1311"/>
      <c r="F145" s="1311"/>
      <c r="G145" s="1311"/>
      <c r="H145" s="1311"/>
      <c r="I145" s="1311"/>
      <c r="J145" s="1311"/>
      <c r="K145" s="1311"/>
      <c r="L145" s="1311"/>
      <c r="M145" s="1311"/>
      <c r="N145" s="1311"/>
      <c r="O145" s="1311"/>
      <c r="P145" s="1311"/>
      <c r="Q145" s="1311"/>
      <c r="R145" s="1312" t="e">
        <f>'PLANILHA '!#REF!</f>
        <v>#REF!</v>
      </c>
      <c r="S145" s="1312"/>
      <c r="T145" s="1313" t="e">
        <f>'PLANILHA '!#REF!</f>
        <v>#REF!</v>
      </c>
      <c r="U145" s="1313"/>
      <c r="V145" s="1313"/>
      <c r="W145" s="1313" t="e">
        <f>'PLANILHA '!#REF!</f>
        <v>#REF!</v>
      </c>
      <c r="X145" s="1313"/>
      <c r="Y145" s="1313"/>
      <c r="Z145" s="1320"/>
      <c r="AA145" s="1320"/>
      <c r="AB145" s="1320"/>
      <c r="AC145" s="1320"/>
      <c r="AD145" s="1315"/>
      <c r="AE145" s="1315"/>
      <c r="AF145" s="1315"/>
      <c r="AG145" s="1321" t="e">
        <f t="shared" si="16"/>
        <v>#REF!</v>
      </c>
      <c r="AH145" s="1321"/>
      <c r="AI145" s="1321"/>
      <c r="AJ145" s="1321"/>
      <c r="AK145" s="1315"/>
      <c r="AL145" s="1315"/>
      <c r="AM145" s="1315"/>
      <c r="AN145" s="1315"/>
      <c r="AO145" s="1315"/>
      <c r="AP145" s="1317" t="e">
        <f>'PLANILHA '!#REF!</f>
        <v>#REF!</v>
      </c>
      <c r="AQ145" s="1317"/>
      <c r="AR145" s="1317"/>
      <c r="AS145" s="1317"/>
      <c r="AT145" s="1317"/>
      <c r="AU145" s="1322" t="e">
        <f t="shared" si="17"/>
        <v>#REF!</v>
      </c>
      <c r="AV145" s="1322"/>
      <c r="AW145" s="1322"/>
      <c r="AX145" s="1322"/>
      <c r="AY145" s="1322"/>
      <c r="AZ145" s="1323" t="e">
        <f t="shared" si="19"/>
        <v>#REF!</v>
      </c>
      <c r="BA145" s="1323"/>
      <c r="BB145" s="1323"/>
      <c r="BC145" s="1323"/>
      <c r="BD145" s="1323" t="e">
        <f t="shared" si="15"/>
        <v>#REF!</v>
      </c>
      <c r="BE145" s="1323"/>
      <c r="BF145" s="1323"/>
      <c r="BG145" s="1323"/>
      <c r="BH145" s="1323"/>
      <c r="BI145" s="1323" t="e">
        <f t="shared" si="14"/>
        <v>#REF!</v>
      </c>
      <c r="BJ145" s="1323"/>
      <c r="BK145" s="1323"/>
      <c r="BL145" s="1323"/>
      <c r="BM145" s="1323"/>
      <c r="BN145" s="1318"/>
      <c r="BO145" s="1318"/>
      <c r="BP145" s="1318"/>
    </row>
    <row r="146" spans="1:68" s="361" customFormat="1" ht="12.75" customHeight="1">
      <c r="A146" s="355"/>
      <c r="B146" s="1310" t="e">
        <f>'PLANILHA '!#REF!</f>
        <v>#REF!</v>
      </c>
      <c r="C146" s="1310"/>
      <c r="D146" s="1311" t="e">
        <f>'PLANILHA '!#REF!</f>
        <v>#REF!</v>
      </c>
      <c r="E146" s="1311"/>
      <c r="F146" s="1311"/>
      <c r="G146" s="1311"/>
      <c r="H146" s="1311"/>
      <c r="I146" s="1311"/>
      <c r="J146" s="1311"/>
      <c r="K146" s="1311"/>
      <c r="L146" s="1311"/>
      <c r="M146" s="1311"/>
      <c r="N146" s="1311"/>
      <c r="O146" s="1311"/>
      <c r="P146" s="1311"/>
      <c r="Q146" s="1311"/>
      <c r="R146" s="1312" t="e">
        <f>'PLANILHA '!#REF!</f>
        <v>#REF!</v>
      </c>
      <c r="S146" s="1312"/>
      <c r="T146" s="1313" t="e">
        <f>'PLANILHA '!#REF!</f>
        <v>#REF!</v>
      </c>
      <c r="U146" s="1313"/>
      <c r="V146" s="1313"/>
      <c r="W146" s="1313" t="e">
        <f>'PLANILHA '!#REF!</f>
        <v>#REF!</v>
      </c>
      <c r="X146" s="1313"/>
      <c r="Y146" s="1313"/>
      <c r="Z146" s="1320"/>
      <c r="AA146" s="1320"/>
      <c r="AB146" s="1320"/>
      <c r="AC146" s="1320"/>
      <c r="AD146" s="1315"/>
      <c r="AE146" s="1315"/>
      <c r="AF146" s="1315"/>
      <c r="AG146" s="1321" t="e">
        <f t="shared" si="16"/>
        <v>#REF!</v>
      </c>
      <c r="AH146" s="1321"/>
      <c r="AI146" s="1321"/>
      <c r="AJ146" s="1321"/>
      <c r="AK146" s="1315"/>
      <c r="AL146" s="1315"/>
      <c r="AM146" s="1315"/>
      <c r="AN146" s="1315"/>
      <c r="AO146" s="1315"/>
      <c r="AP146" s="1317" t="e">
        <f>'PLANILHA '!#REF!</f>
        <v>#REF!</v>
      </c>
      <c r="AQ146" s="1317"/>
      <c r="AR146" s="1317"/>
      <c r="AS146" s="1317"/>
      <c r="AT146" s="1317"/>
      <c r="AU146" s="1322" t="e">
        <f t="shared" si="17"/>
        <v>#REF!</v>
      </c>
      <c r="AV146" s="1322"/>
      <c r="AW146" s="1322"/>
      <c r="AX146" s="1322"/>
      <c r="AY146" s="1322"/>
      <c r="AZ146" s="1323" t="e">
        <f t="shared" si="19"/>
        <v>#REF!</v>
      </c>
      <c r="BA146" s="1323"/>
      <c r="BB146" s="1323"/>
      <c r="BC146" s="1323"/>
      <c r="BD146" s="1323" t="e">
        <f t="shared" si="15"/>
        <v>#REF!</v>
      </c>
      <c r="BE146" s="1323"/>
      <c r="BF146" s="1323"/>
      <c r="BG146" s="1323"/>
      <c r="BH146" s="1323"/>
      <c r="BI146" s="1323" t="e">
        <f t="shared" si="14"/>
        <v>#REF!</v>
      </c>
      <c r="BJ146" s="1323"/>
      <c r="BK146" s="1323"/>
      <c r="BL146" s="1323"/>
      <c r="BM146" s="1323"/>
      <c r="BN146" s="1318"/>
      <c r="BO146" s="1318"/>
      <c r="BP146" s="1318"/>
    </row>
    <row r="147" spans="1:68" s="361" customFormat="1" ht="12.75" customHeight="1">
      <c r="A147" s="355"/>
      <c r="B147" s="1310" t="e">
        <f>'PLANILHA '!#REF!</f>
        <v>#REF!</v>
      </c>
      <c r="C147" s="1310"/>
      <c r="D147" s="1311" t="e">
        <f>'PLANILHA '!#REF!</f>
        <v>#REF!</v>
      </c>
      <c r="E147" s="1311"/>
      <c r="F147" s="1311"/>
      <c r="G147" s="1311"/>
      <c r="H147" s="1311"/>
      <c r="I147" s="1311"/>
      <c r="J147" s="1311"/>
      <c r="K147" s="1311"/>
      <c r="L147" s="1311"/>
      <c r="M147" s="1311"/>
      <c r="N147" s="1311"/>
      <c r="O147" s="1311"/>
      <c r="P147" s="1311"/>
      <c r="Q147" s="1311"/>
      <c r="R147" s="1312" t="e">
        <f>'PLANILHA '!#REF!</f>
        <v>#REF!</v>
      </c>
      <c r="S147" s="1312"/>
      <c r="T147" s="1313" t="e">
        <f>'PLANILHA '!#REF!</f>
        <v>#REF!</v>
      </c>
      <c r="U147" s="1313"/>
      <c r="V147" s="1313"/>
      <c r="W147" s="1313" t="e">
        <f>'PLANILHA '!#REF!</f>
        <v>#REF!</v>
      </c>
      <c r="X147" s="1313"/>
      <c r="Y147" s="1313"/>
      <c r="Z147" s="1320"/>
      <c r="AA147" s="1320"/>
      <c r="AB147" s="1320"/>
      <c r="AC147" s="1320"/>
      <c r="AD147" s="1315"/>
      <c r="AE147" s="1315"/>
      <c r="AF147" s="1315"/>
      <c r="AG147" s="1321" t="e">
        <f t="shared" si="16"/>
        <v>#REF!</v>
      </c>
      <c r="AH147" s="1321"/>
      <c r="AI147" s="1321"/>
      <c r="AJ147" s="1321"/>
      <c r="AK147" s="1315"/>
      <c r="AL147" s="1315"/>
      <c r="AM147" s="1315"/>
      <c r="AN147" s="1315"/>
      <c r="AO147" s="1315"/>
      <c r="AP147" s="1317" t="e">
        <f>'PLANILHA '!#REF!</f>
        <v>#REF!</v>
      </c>
      <c r="AQ147" s="1317"/>
      <c r="AR147" s="1317"/>
      <c r="AS147" s="1317"/>
      <c r="AT147" s="1317"/>
      <c r="AU147" s="1322" t="e">
        <f t="shared" si="17"/>
        <v>#REF!</v>
      </c>
      <c r="AV147" s="1322"/>
      <c r="AW147" s="1322"/>
      <c r="AX147" s="1322"/>
      <c r="AY147" s="1322"/>
      <c r="AZ147" s="1323" t="e">
        <f t="shared" si="19"/>
        <v>#REF!</v>
      </c>
      <c r="BA147" s="1323"/>
      <c r="BB147" s="1323"/>
      <c r="BC147" s="1323"/>
      <c r="BD147" s="1323" t="e">
        <f t="shared" si="15"/>
        <v>#REF!</v>
      </c>
      <c r="BE147" s="1323"/>
      <c r="BF147" s="1323"/>
      <c r="BG147" s="1323"/>
      <c r="BH147" s="1323"/>
      <c r="BI147" s="1323" t="e">
        <f t="shared" si="14"/>
        <v>#REF!</v>
      </c>
      <c r="BJ147" s="1323"/>
      <c r="BK147" s="1323"/>
      <c r="BL147" s="1323"/>
      <c r="BM147" s="1323"/>
      <c r="BN147" s="1318"/>
      <c r="BO147" s="1318"/>
      <c r="BP147" s="1318"/>
    </row>
    <row r="148" spans="1:68" s="361" customFormat="1" ht="12.75" customHeight="1">
      <c r="A148" s="355"/>
      <c r="B148" s="1310" t="e">
        <f>'PLANILHA '!#REF!</f>
        <v>#REF!</v>
      </c>
      <c r="C148" s="1310"/>
      <c r="D148" s="1311" t="e">
        <f>'PLANILHA '!#REF!</f>
        <v>#REF!</v>
      </c>
      <c r="E148" s="1311"/>
      <c r="F148" s="1311"/>
      <c r="G148" s="1311"/>
      <c r="H148" s="1311"/>
      <c r="I148" s="1311"/>
      <c r="J148" s="1311"/>
      <c r="K148" s="1311"/>
      <c r="L148" s="1311"/>
      <c r="M148" s="1311"/>
      <c r="N148" s="1311"/>
      <c r="O148" s="1311"/>
      <c r="P148" s="1311"/>
      <c r="Q148" s="1311"/>
      <c r="R148" s="1312" t="e">
        <f>'PLANILHA '!#REF!</f>
        <v>#REF!</v>
      </c>
      <c r="S148" s="1312"/>
      <c r="T148" s="1313" t="e">
        <f>'PLANILHA '!#REF!</f>
        <v>#REF!</v>
      </c>
      <c r="U148" s="1313"/>
      <c r="V148" s="1313"/>
      <c r="W148" s="1313" t="e">
        <f>'PLANILHA '!#REF!</f>
        <v>#REF!</v>
      </c>
      <c r="X148" s="1313"/>
      <c r="Y148" s="1313"/>
      <c r="Z148" s="1320"/>
      <c r="AA148" s="1320"/>
      <c r="AB148" s="1320"/>
      <c r="AC148" s="1320"/>
      <c r="AD148" s="1315"/>
      <c r="AE148" s="1315"/>
      <c r="AF148" s="1315"/>
      <c r="AG148" s="1321" t="e">
        <f t="shared" si="16"/>
        <v>#REF!</v>
      </c>
      <c r="AH148" s="1321"/>
      <c r="AI148" s="1321"/>
      <c r="AJ148" s="1321"/>
      <c r="AK148" s="1315"/>
      <c r="AL148" s="1315"/>
      <c r="AM148" s="1315"/>
      <c r="AN148" s="1315"/>
      <c r="AO148" s="1315"/>
      <c r="AP148" s="1317" t="e">
        <f>'PLANILHA '!#REF!</f>
        <v>#REF!</v>
      </c>
      <c r="AQ148" s="1317"/>
      <c r="AR148" s="1317"/>
      <c r="AS148" s="1317"/>
      <c r="AT148" s="1317"/>
      <c r="AU148" s="1322" t="e">
        <f t="shared" si="17"/>
        <v>#REF!</v>
      </c>
      <c r="AV148" s="1322"/>
      <c r="AW148" s="1322"/>
      <c r="AX148" s="1322"/>
      <c r="AY148" s="1322"/>
      <c r="AZ148" s="1323" t="e">
        <f t="shared" si="19"/>
        <v>#REF!</v>
      </c>
      <c r="BA148" s="1323"/>
      <c r="BB148" s="1323"/>
      <c r="BC148" s="1323"/>
      <c r="BD148" s="1323" t="e">
        <f t="shared" si="15"/>
        <v>#REF!</v>
      </c>
      <c r="BE148" s="1323"/>
      <c r="BF148" s="1323"/>
      <c r="BG148" s="1323"/>
      <c r="BH148" s="1323"/>
      <c r="BI148" s="1323" t="e">
        <f t="shared" si="14"/>
        <v>#REF!</v>
      </c>
      <c r="BJ148" s="1323"/>
      <c r="BK148" s="1323"/>
      <c r="BL148" s="1323"/>
      <c r="BM148" s="1323"/>
      <c r="BN148" s="1318"/>
      <c r="BO148" s="1318"/>
      <c r="BP148" s="1318"/>
    </row>
    <row r="149" spans="1:68" s="361" customFormat="1" ht="12.75" customHeight="1">
      <c r="A149" s="355"/>
      <c r="B149" s="1310" t="e">
        <f>'PLANILHA '!#REF!</f>
        <v>#REF!</v>
      </c>
      <c r="C149" s="1310"/>
      <c r="D149" s="1311" t="e">
        <f>'PLANILHA '!#REF!</f>
        <v>#REF!</v>
      </c>
      <c r="E149" s="1311"/>
      <c r="F149" s="1311"/>
      <c r="G149" s="1311"/>
      <c r="H149" s="1311"/>
      <c r="I149" s="1311"/>
      <c r="J149" s="1311"/>
      <c r="K149" s="1311"/>
      <c r="L149" s="1311"/>
      <c r="M149" s="1311"/>
      <c r="N149" s="1311"/>
      <c r="O149" s="1311"/>
      <c r="P149" s="1311"/>
      <c r="Q149" s="1311"/>
      <c r="R149" s="1312" t="e">
        <f>'PLANILHA '!#REF!</f>
        <v>#REF!</v>
      </c>
      <c r="S149" s="1312"/>
      <c r="T149" s="1313" t="e">
        <f>'PLANILHA '!#REF!</f>
        <v>#REF!</v>
      </c>
      <c r="U149" s="1313"/>
      <c r="V149" s="1313"/>
      <c r="W149" s="1313" t="e">
        <f>'PLANILHA '!#REF!</f>
        <v>#REF!</v>
      </c>
      <c r="X149" s="1313"/>
      <c r="Y149" s="1313"/>
      <c r="Z149" s="1320"/>
      <c r="AA149" s="1320"/>
      <c r="AB149" s="1320"/>
      <c r="AC149" s="1320"/>
      <c r="AD149" s="1315"/>
      <c r="AE149" s="1315"/>
      <c r="AF149" s="1315"/>
      <c r="AG149" s="1321" t="e">
        <f t="shared" si="16"/>
        <v>#REF!</v>
      </c>
      <c r="AH149" s="1321"/>
      <c r="AI149" s="1321"/>
      <c r="AJ149" s="1321"/>
      <c r="AK149" s="1315"/>
      <c r="AL149" s="1315"/>
      <c r="AM149" s="1315"/>
      <c r="AN149" s="1315"/>
      <c r="AO149" s="1315"/>
      <c r="AP149" s="1317" t="e">
        <f>'PLANILHA '!#REF!</f>
        <v>#REF!</v>
      </c>
      <c r="AQ149" s="1317"/>
      <c r="AR149" s="1317"/>
      <c r="AS149" s="1317"/>
      <c r="AT149" s="1317"/>
      <c r="AU149" s="1322" t="e">
        <f t="shared" si="17"/>
        <v>#REF!</v>
      </c>
      <c r="AV149" s="1322"/>
      <c r="AW149" s="1322"/>
      <c r="AX149" s="1322"/>
      <c r="AY149" s="1322"/>
      <c r="AZ149" s="1323" t="e">
        <f t="shared" si="19"/>
        <v>#REF!</v>
      </c>
      <c r="BA149" s="1323"/>
      <c r="BB149" s="1323"/>
      <c r="BC149" s="1323"/>
      <c r="BD149" s="1323" t="e">
        <f t="shared" si="15"/>
        <v>#REF!</v>
      </c>
      <c r="BE149" s="1323"/>
      <c r="BF149" s="1323"/>
      <c r="BG149" s="1323"/>
      <c r="BH149" s="1323"/>
      <c r="BI149" s="1323" t="e">
        <f t="shared" si="14"/>
        <v>#REF!</v>
      </c>
      <c r="BJ149" s="1323"/>
      <c r="BK149" s="1323"/>
      <c r="BL149" s="1323"/>
      <c r="BM149" s="1323"/>
      <c r="BN149" s="1318"/>
      <c r="BO149" s="1318"/>
      <c r="BP149" s="1318"/>
    </row>
    <row r="150" spans="1:68" s="361" customFormat="1" ht="12.75" customHeight="1">
      <c r="A150" s="355"/>
      <c r="B150" s="1310" t="e">
        <f>'PLANILHA '!#REF!</f>
        <v>#REF!</v>
      </c>
      <c r="C150" s="1310"/>
      <c r="D150" s="1311" t="e">
        <f>'PLANILHA '!#REF!</f>
        <v>#REF!</v>
      </c>
      <c r="E150" s="1311"/>
      <c r="F150" s="1311"/>
      <c r="G150" s="1311"/>
      <c r="H150" s="1311"/>
      <c r="I150" s="1311"/>
      <c r="J150" s="1311"/>
      <c r="K150" s="1311"/>
      <c r="L150" s="1311"/>
      <c r="M150" s="1311"/>
      <c r="N150" s="1311"/>
      <c r="O150" s="1311"/>
      <c r="P150" s="1311"/>
      <c r="Q150" s="1311"/>
      <c r="R150" s="1312" t="e">
        <f>'PLANILHA '!#REF!</f>
        <v>#REF!</v>
      </c>
      <c r="S150" s="1312"/>
      <c r="T150" s="1313" t="e">
        <f>'PLANILHA '!#REF!</f>
        <v>#REF!</v>
      </c>
      <c r="U150" s="1313"/>
      <c r="V150" s="1313"/>
      <c r="W150" s="1313" t="e">
        <f>'PLANILHA '!#REF!</f>
        <v>#REF!</v>
      </c>
      <c r="X150" s="1313"/>
      <c r="Y150" s="1313"/>
      <c r="Z150" s="1320"/>
      <c r="AA150" s="1320"/>
      <c r="AB150" s="1320"/>
      <c r="AC150" s="1320"/>
      <c r="AD150" s="1315"/>
      <c r="AE150" s="1315"/>
      <c r="AF150" s="1315"/>
      <c r="AG150" s="1321" t="e">
        <f t="shared" si="16"/>
        <v>#REF!</v>
      </c>
      <c r="AH150" s="1321"/>
      <c r="AI150" s="1321"/>
      <c r="AJ150" s="1321"/>
      <c r="AK150" s="1315"/>
      <c r="AL150" s="1315"/>
      <c r="AM150" s="1315"/>
      <c r="AN150" s="1315"/>
      <c r="AO150" s="1315"/>
      <c r="AP150" s="1317" t="e">
        <f>'PLANILHA '!#REF!</f>
        <v>#REF!</v>
      </c>
      <c r="AQ150" s="1317"/>
      <c r="AR150" s="1317"/>
      <c r="AS150" s="1317"/>
      <c r="AT150" s="1317"/>
      <c r="AU150" s="1322" t="e">
        <f t="shared" si="17"/>
        <v>#REF!</v>
      </c>
      <c r="AV150" s="1322"/>
      <c r="AW150" s="1322"/>
      <c r="AX150" s="1322"/>
      <c r="AY150" s="1322"/>
      <c r="AZ150" s="1323" t="e">
        <f t="shared" si="19"/>
        <v>#REF!</v>
      </c>
      <c r="BA150" s="1323"/>
      <c r="BB150" s="1323"/>
      <c r="BC150" s="1323"/>
      <c r="BD150" s="1323" t="e">
        <f t="shared" si="15"/>
        <v>#REF!</v>
      </c>
      <c r="BE150" s="1323"/>
      <c r="BF150" s="1323"/>
      <c r="BG150" s="1323"/>
      <c r="BH150" s="1323"/>
      <c r="BI150" s="1323" t="e">
        <f t="shared" si="14"/>
        <v>#REF!</v>
      </c>
      <c r="BJ150" s="1323"/>
      <c r="BK150" s="1323"/>
      <c r="BL150" s="1323"/>
      <c r="BM150" s="1323"/>
      <c r="BN150" s="1318"/>
      <c r="BO150" s="1318"/>
      <c r="BP150" s="1318"/>
    </row>
    <row r="151" spans="1:68" s="361" customFormat="1" ht="12.75" customHeight="1">
      <c r="A151" s="355"/>
      <c r="B151" s="1310" t="e">
        <f>'PLANILHA '!#REF!</f>
        <v>#REF!</v>
      </c>
      <c r="C151" s="1310"/>
      <c r="D151" s="1311" t="e">
        <f>'PLANILHA '!#REF!</f>
        <v>#REF!</v>
      </c>
      <c r="E151" s="1311"/>
      <c r="F151" s="1311"/>
      <c r="G151" s="1311"/>
      <c r="H151" s="1311"/>
      <c r="I151" s="1311"/>
      <c r="J151" s="1311"/>
      <c r="K151" s="1311"/>
      <c r="L151" s="1311"/>
      <c r="M151" s="1311"/>
      <c r="N151" s="1311"/>
      <c r="O151" s="1311"/>
      <c r="P151" s="1311"/>
      <c r="Q151" s="1311"/>
      <c r="R151" s="1312" t="e">
        <f>'PLANILHA '!#REF!</f>
        <v>#REF!</v>
      </c>
      <c r="S151" s="1312"/>
      <c r="T151" s="1313" t="e">
        <f>'PLANILHA '!#REF!</f>
        <v>#REF!</v>
      </c>
      <c r="U151" s="1313"/>
      <c r="V151" s="1313"/>
      <c r="W151" s="1313" t="e">
        <f>'PLANILHA '!#REF!</f>
        <v>#REF!</v>
      </c>
      <c r="X151" s="1313"/>
      <c r="Y151" s="1313"/>
      <c r="Z151" s="1320"/>
      <c r="AA151" s="1320"/>
      <c r="AB151" s="1320"/>
      <c r="AC151" s="1320"/>
      <c r="AD151" s="1315"/>
      <c r="AE151" s="1315"/>
      <c r="AF151" s="1315"/>
      <c r="AG151" s="1321" t="e">
        <f t="shared" si="16"/>
        <v>#REF!</v>
      </c>
      <c r="AH151" s="1321"/>
      <c r="AI151" s="1321"/>
      <c r="AJ151" s="1321"/>
      <c r="AK151" s="1315"/>
      <c r="AL151" s="1315"/>
      <c r="AM151" s="1315"/>
      <c r="AN151" s="1315"/>
      <c r="AO151" s="1315"/>
      <c r="AP151" s="1317" t="e">
        <f>'PLANILHA '!#REF!</f>
        <v>#REF!</v>
      </c>
      <c r="AQ151" s="1317"/>
      <c r="AR151" s="1317"/>
      <c r="AS151" s="1317"/>
      <c r="AT151" s="1317"/>
      <c r="AU151" s="1322" t="e">
        <f t="shared" si="17"/>
        <v>#REF!</v>
      </c>
      <c r="AV151" s="1322"/>
      <c r="AW151" s="1322"/>
      <c r="AX151" s="1322"/>
      <c r="AY151" s="1322"/>
      <c r="AZ151" s="1323" t="e">
        <f t="shared" si="19"/>
        <v>#REF!</v>
      </c>
      <c r="BA151" s="1323"/>
      <c r="BB151" s="1323"/>
      <c r="BC151" s="1323"/>
      <c r="BD151" s="1323" t="e">
        <f t="shared" si="15"/>
        <v>#REF!</v>
      </c>
      <c r="BE151" s="1323"/>
      <c r="BF151" s="1323"/>
      <c r="BG151" s="1323"/>
      <c r="BH151" s="1323"/>
      <c r="BI151" s="1323" t="e">
        <f t="shared" si="14"/>
        <v>#REF!</v>
      </c>
      <c r="BJ151" s="1323"/>
      <c r="BK151" s="1323"/>
      <c r="BL151" s="1323"/>
      <c r="BM151" s="1323"/>
      <c r="BN151" s="1318"/>
      <c r="BO151" s="1318"/>
      <c r="BP151" s="1318"/>
    </row>
    <row r="152" spans="1:68" s="361" customFormat="1" ht="12.75" customHeight="1">
      <c r="A152" s="355"/>
      <c r="B152" s="1310" t="e">
        <f>'PLANILHA '!#REF!</f>
        <v>#REF!</v>
      </c>
      <c r="C152" s="1310"/>
      <c r="D152" s="1311" t="e">
        <f>'PLANILHA '!#REF!</f>
        <v>#REF!</v>
      </c>
      <c r="E152" s="1311"/>
      <c r="F152" s="1311"/>
      <c r="G152" s="1311"/>
      <c r="H152" s="1311"/>
      <c r="I152" s="1311"/>
      <c r="J152" s="1311"/>
      <c r="K152" s="1311"/>
      <c r="L152" s="1311"/>
      <c r="M152" s="1311"/>
      <c r="N152" s="1311"/>
      <c r="O152" s="1311"/>
      <c r="P152" s="1311"/>
      <c r="Q152" s="1311"/>
      <c r="R152" s="1312" t="e">
        <f>'PLANILHA '!#REF!</f>
        <v>#REF!</v>
      </c>
      <c r="S152" s="1312"/>
      <c r="T152" s="1313" t="e">
        <f>'PLANILHA '!#REF!</f>
        <v>#REF!</v>
      </c>
      <c r="U152" s="1313"/>
      <c r="V152" s="1313"/>
      <c r="W152" s="1313" t="e">
        <f>'PLANILHA '!#REF!</f>
        <v>#REF!</v>
      </c>
      <c r="X152" s="1313"/>
      <c r="Y152" s="1313"/>
      <c r="Z152" s="1320"/>
      <c r="AA152" s="1320"/>
      <c r="AB152" s="1320"/>
      <c r="AC152" s="1320"/>
      <c r="AD152" s="1315"/>
      <c r="AE152" s="1315"/>
      <c r="AF152" s="1315"/>
      <c r="AG152" s="1321" t="e">
        <f t="shared" si="16"/>
        <v>#REF!</v>
      </c>
      <c r="AH152" s="1321"/>
      <c r="AI152" s="1321"/>
      <c r="AJ152" s="1321"/>
      <c r="AK152" s="1315"/>
      <c r="AL152" s="1315"/>
      <c r="AM152" s="1315"/>
      <c r="AN152" s="1315"/>
      <c r="AO152" s="1315"/>
      <c r="AP152" s="1317" t="e">
        <f>'PLANILHA '!#REF!</f>
        <v>#REF!</v>
      </c>
      <c r="AQ152" s="1317"/>
      <c r="AR152" s="1317"/>
      <c r="AS152" s="1317"/>
      <c r="AT152" s="1317"/>
      <c r="AU152" s="1322" t="e">
        <f t="shared" si="17"/>
        <v>#REF!</v>
      </c>
      <c r="AV152" s="1322"/>
      <c r="AW152" s="1322"/>
      <c r="AX152" s="1322"/>
      <c r="AY152" s="1322"/>
      <c r="AZ152" s="1323" t="e">
        <f t="shared" si="19"/>
        <v>#REF!</v>
      </c>
      <c r="BA152" s="1323"/>
      <c r="BB152" s="1323"/>
      <c r="BC152" s="1323"/>
      <c r="BD152" s="1323" t="e">
        <f t="shared" si="15"/>
        <v>#REF!</v>
      </c>
      <c r="BE152" s="1323"/>
      <c r="BF152" s="1323"/>
      <c r="BG152" s="1323"/>
      <c r="BH152" s="1323"/>
      <c r="BI152" s="1323" t="e">
        <f t="shared" si="14"/>
        <v>#REF!</v>
      </c>
      <c r="BJ152" s="1323"/>
      <c r="BK152" s="1323"/>
      <c r="BL152" s="1323"/>
      <c r="BM152" s="1323"/>
      <c r="BN152" s="1318"/>
      <c r="BO152" s="1318"/>
      <c r="BP152" s="1318"/>
    </row>
    <row r="153" spans="1:68" s="361" customFormat="1" ht="12.75" customHeight="1">
      <c r="A153" s="355"/>
      <c r="B153" s="1310" t="e">
        <f>'PLANILHA '!#REF!</f>
        <v>#REF!</v>
      </c>
      <c r="C153" s="1310"/>
      <c r="D153" s="1311" t="e">
        <f>'PLANILHA '!#REF!</f>
        <v>#REF!</v>
      </c>
      <c r="E153" s="1311"/>
      <c r="F153" s="1311"/>
      <c r="G153" s="1311"/>
      <c r="H153" s="1311"/>
      <c r="I153" s="1311"/>
      <c r="J153" s="1311"/>
      <c r="K153" s="1311"/>
      <c r="L153" s="1311"/>
      <c r="M153" s="1311"/>
      <c r="N153" s="1311"/>
      <c r="O153" s="1311"/>
      <c r="P153" s="1311"/>
      <c r="Q153" s="1311"/>
      <c r="R153" s="1312" t="e">
        <f>'PLANILHA '!#REF!</f>
        <v>#REF!</v>
      </c>
      <c r="S153" s="1312"/>
      <c r="T153" s="1313" t="e">
        <f>'PLANILHA '!#REF!</f>
        <v>#REF!</v>
      </c>
      <c r="U153" s="1313"/>
      <c r="V153" s="1313"/>
      <c r="W153" s="1313" t="e">
        <f>'PLANILHA '!#REF!</f>
        <v>#REF!</v>
      </c>
      <c r="X153" s="1313"/>
      <c r="Y153" s="1313"/>
      <c r="Z153" s="1320"/>
      <c r="AA153" s="1320"/>
      <c r="AB153" s="1320"/>
      <c r="AC153" s="1320"/>
      <c r="AD153" s="1315"/>
      <c r="AE153" s="1315"/>
      <c r="AF153" s="1315"/>
      <c r="AG153" s="1321" t="e">
        <f t="shared" si="16"/>
        <v>#REF!</v>
      </c>
      <c r="AH153" s="1321"/>
      <c r="AI153" s="1321"/>
      <c r="AJ153" s="1321"/>
      <c r="AK153" s="1315"/>
      <c r="AL153" s="1315"/>
      <c r="AM153" s="1315"/>
      <c r="AN153" s="1315"/>
      <c r="AO153" s="1315"/>
      <c r="AP153" s="1317" t="e">
        <f>'PLANILHA '!#REF!</f>
        <v>#REF!</v>
      </c>
      <c r="AQ153" s="1317"/>
      <c r="AR153" s="1317"/>
      <c r="AS153" s="1317"/>
      <c r="AT153" s="1317"/>
      <c r="AU153" s="1322" t="e">
        <f t="shared" si="17"/>
        <v>#REF!</v>
      </c>
      <c r="AV153" s="1322"/>
      <c r="AW153" s="1322"/>
      <c r="AX153" s="1322"/>
      <c r="AY153" s="1322"/>
      <c r="AZ153" s="1323" t="e">
        <f t="shared" si="19"/>
        <v>#REF!</v>
      </c>
      <c r="BA153" s="1323"/>
      <c r="BB153" s="1323"/>
      <c r="BC153" s="1323"/>
      <c r="BD153" s="1323" t="e">
        <f t="shared" si="15"/>
        <v>#REF!</v>
      </c>
      <c r="BE153" s="1323"/>
      <c r="BF153" s="1323"/>
      <c r="BG153" s="1323"/>
      <c r="BH153" s="1323"/>
      <c r="BI153" s="1323" t="e">
        <f t="shared" si="14"/>
        <v>#REF!</v>
      </c>
      <c r="BJ153" s="1323"/>
      <c r="BK153" s="1323"/>
      <c r="BL153" s="1323"/>
      <c r="BM153" s="1323"/>
      <c r="BN153" s="1318"/>
      <c r="BO153" s="1318"/>
      <c r="BP153" s="1318"/>
    </row>
    <row r="154" spans="1:68" s="361" customFormat="1" ht="12.75" customHeight="1">
      <c r="A154" s="355"/>
      <c r="B154" s="1310" t="e">
        <f>'PLANILHA '!#REF!</f>
        <v>#REF!</v>
      </c>
      <c r="C154" s="1310"/>
      <c r="D154" s="1311" t="e">
        <f>'PLANILHA '!#REF!</f>
        <v>#REF!</v>
      </c>
      <c r="E154" s="1311"/>
      <c r="F154" s="1311"/>
      <c r="G154" s="1311"/>
      <c r="H154" s="1311"/>
      <c r="I154" s="1311"/>
      <c r="J154" s="1311"/>
      <c r="K154" s="1311"/>
      <c r="L154" s="1311"/>
      <c r="M154" s="1311"/>
      <c r="N154" s="1311"/>
      <c r="O154" s="1311"/>
      <c r="P154" s="1311"/>
      <c r="Q154" s="1311"/>
      <c r="R154" s="1312" t="e">
        <f>'PLANILHA '!#REF!</f>
        <v>#REF!</v>
      </c>
      <c r="S154" s="1312"/>
      <c r="T154" s="1313" t="e">
        <f>'PLANILHA '!#REF!</f>
        <v>#REF!</v>
      </c>
      <c r="U154" s="1313"/>
      <c r="V154" s="1313"/>
      <c r="W154" s="1313" t="e">
        <f>'PLANILHA '!#REF!</f>
        <v>#REF!</v>
      </c>
      <c r="X154" s="1313"/>
      <c r="Y154" s="1313"/>
      <c r="Z154" s="1320"/>
      <c r="AA154" s="1320"/>
      <c r="AB154" s="1320"/>
      <c r="AC154" s="1320"/>
      <c r="AD154" s="1315"/>
      <c r="AE154" s="1315"/>
      <c r="AF154" s="1315"/>
      <c r="AG154" s="1321" t="e">
        <f t="shared" si="16"/>
        <v>#REF!</v>
      </c>
      <c r="AH154" s="1321"/>
      <c r="AI154" s="1321"/>
      <c r="AJ154" s="1321"/>
      <c r="AK154" s="1315"/>
      <c r="AL154" s="1315"/>
      <c r="AM154" s="1315"/>
      <c r="AN154" s="1315"/>
      <c r="AO154" s="1315"/>
      <c r="AP154" s="1317" t="e">
        <f>'PLANILHA '!#REF!</f>
        <v>#REF!</v>
      </c>
      <c r="AQ154" s="1317"/>
      <c r="AR154" s="1317"/>
      <c r="AS154" s="1317"/>
      <c r="AT154" s="1317"/>
      <c r="AU154" s="1322" t="e">
        <f t="shared" si="17"/>
        <v>#REF!</v>
      </c>
      <c r="AV154" s="1322"/>
      <c r="AW154" s="1322"/>
      <c r="AX154" s="1322"/>
      <c r="AY154" s="1322"/>
      <c r="AZ154" s="1323" t="e">
        <f t="shared" si="19"/>
        <v>#REF!</v>
      </c>
      <c r="BA154" s="1323"/>
      <c r="BB154" s="1323"/>
      <c r="BC154" s="1323"/>
      <c r="BD154" s="1323" t="e">
        <f t="shared" si="15"/>
        <v>#REF!</v>
      </c>
      <c r="BE154" s="1323"/>
      <c r="BF154" s="1323"/>
      <c r="BG154" s="1323"/>
      <c r="BH154" s="1323"/>
      <c r="BI154" s="1323" t="e">
        <f t="shared" si="14"/>
        <v>#REF!</v>
      </c>
      <c r="BJ154" s="1323"/>
      <c r="BK154" s="1323"/>
      <c r="BL154" s="1323"/>
      <c r="BM154" s="1323"/>
      <c r="BN154" s="1318"/>
      <c r="BO154" s="1318"/>
      <c r="BP154" s="1318"/>
    </row>
    <row r="155" spans="1:68" s="361" customFormat="1" ht="12.75" customHeight="1">
      <c r="A155" s="355"/>
      <c r="B155" s="1310" t="e">
        <f>'PLANILHA '!#REF!</f>
        <v>#REF!</v>
      </c>
      <c r="C155" s="1310"/>
      <c r="D155" s="1311" t="e">
        <f>'PLANILHA '!#REF!</f>
        <v>#REF!</v>
      </c>
      <c r="E155" s="1311"/>
      <c r="F155" s="1311"/>
      <c r="G155" s="1311"/>
      <c r="H155" s="1311"/>
      <c r="I155" s="1311"/>
      <c r="J155" s="1311"/>
      <c r="K155" s="1311"/>
      <c r="L155" s="1311"/>
      <c r="M155" s="1311"/>
      <c r="N155" s="1311"/>
      <c r="O155" s="1311"/>
      <c r="P155" s="1311"/>
      <c r="Q155" s="1311"/>
      <c r="R155" s="1312" t="e">
        <f>'PLANILHA '!#REF!</f>
        <v>#REF!</v>
      </c>
      <c r="S155" s="1312"/>
      <c r="T155" s="1313" t="e">
        <f>'PLANILHA '!#REF!</f>
        <v>#REF!</v>
      </c>
      <c r="U155" s="1313"/>
      <c r="V155" s="1313"/>
      <c r="W155" s="1313" t="e">
        <f>'PLANILHA '!#REF!</f>
        <v>#REF!</v>
      </c>
      <c r="X155" s="1313"/>
      <c r="Y155" s="1313"/>
      <c r="Z155" s="1320"/>
      <c r="AA155" s="1320"/>
      <c r="AB155" s="1320"/>
      <c r="AC155" s="1320"/>
      <c r="AD155" s="1315"/>
      <c r="AE155" s="1315"/>
      <c r="AF155" s="1315"/>
      <c r="AG155" s="1321" t="e">
        <f t="shared" si="16"/>
        <v>#REF!</v>
      </c>
      <c r="AH155" s="1321"/>
      <c r="AI155" s="1321"/>
      <c r="AJ155" s="1321"/>
      <c r="AK155" s="1315"/>
      <c r="AL155" s="1315"/>
      <c r="AM155" s="1315"/>
      <c r="AN155" s="1315"/>
      <c r="AO155" s="1315"/>
      <c r="AP155" s="1317" t="e">
        <f>'PLANILHA '!#REF!</f>
        <v>#REF!</v>
      </c>
      <c r="AQ155" s="1317"/>
      <c r="AR155" s="1317"/>
      <c r="AS155" s="1317"/>
      <c r="AT155" s="1317"/>
      <c r="AU155" s="1322" t="e">
        <f t="shared" si="17"/>
        <v>#REF!</v>
      </c>
      <c r="AV155" s="1322"/>
      <c r="AW155" s="1322"/>
      <c r="AX155" s="1322"/>
      <c r="AY155" s="1322"/>
      <c r="AZ155" s="1323" t="e">
        <f t="shared" si="19"/>
        <v>#REF!</v>
      </c>
      <c r="BA155" s="1323"/>
      <c r="BB155" s="1323"/>
      <c r="BC155" s="1323"/>
      <c r="BD155" s="1323" t="e">
        <f t="shared" si="15"/>
        <v>#REF!</v>
      </c>
      <c r="BE155" s="1323"/>
      <c r="BF155" s="1323"/>
      <c r="BG155" s="1323"/>
      <c r="BH155" s="1323"/>
      <c r="BI155" s="1323" t="e">
        <f t="shared" si="14"/>
        <v>#REF!</v>
      </c>
      <c r="BJ155" s="1323"/>
      <c r="BK155" s="1323"/>
      <c r="BL155" s="1323"/>
      <c r="BM155" s="1323"/>
      <c r="BN155" s="1318"/>
      <c r="BO155" s="1318"/>
      <c r="BP155" s="1318"/>
    </row>
    <row r="156" spans="1:68" s="361" customFormat="1" ht="12.75" customHeight="1">
      <c r="A156" s="355"/>
      <c r="B156" s="1310" t="e">
        <f>'PLANILHA '!#REF!</f>
        <v>#REF!</v>
      </c>
      <c r="C156" s="1310"/>
      <c r="D156" s="1311" t="e">
        <f>'PLANILHA '!#REF!</f>
        <v>#REF!</v>
      </c>
      <c r="E156" s="1311"/>
      <c r="F156" s="1311"/>
      <c r="G156" s="1311"/>
      <c r="H156" s="1311"/>
      <c r="I156" s="1311"/>
      <c r="J156" s="1311"/>
      <c r="K156" s="1311"/>
      <c r="L156" s="1311"/>
      <c r="M156" s="1311"/>
      <c r="N156" s="1311"/>
      <c r="O156" s="1311"/>
      <c r="P156" s="1311"/>
      <c r="Q156" s="1311"/>
      <c r="R156" s="1312" t="e">
        <f>'PLANILHA '!#REF!</f>
        <v>#REF!</v>
      </c>
      <c r="S156" s="1312"/>
      <c r="T156" s="1313" t="e">
        <f>'PLANILHA '!#REF!</f>
        <v>#REF!</v>
      </c>
      <c r="U156" s="1313"/>
      <c r="V156" s="1313"/>
      <c r="W156" s="1313" t="e">
        <f>'PLANILHA '!#REF!</f>
        <v>#REF!</v>
      </c>
      <c r="X156" s="1313"/>
      <c r="Y156" s="1313"/>
      <c r="Z156" s="1325"/>
      <c r="AA156" s="1325"/>
      <c r="AB156" s="1325"/>
      <c r="AC156" s="1325"/>
      <c r="AD156" s="1333"/>
      <c r="AE156" s="1333"/>
      <c r="AF156" s="1333"/>
      <c r="AG156" s="1321" t="e">
        <f t="shared" si="16"/>
        <v>#REF!</v>
      </c>
      <c r="AH156" s="1321"/>
      <c r="AI156" s="1321"/>
      <c r="AJ156" s="1321"/>
      <c r="AK156" s="396"/>
      <c r="AL156" s="397"/>
      <c r="AM156" s="397"/>
      <c r="AN156" s="397"/>
      <c r="AO156" s="398"/>
      <c r="AP156" s="1317" t="e">
        <f>'PLANILHA '!#REF!</f>
        <v>#REF!</v>
      </c>
      <c r="AQ156" s="1317"/>
      <c r="AR156" s="1317"/>
      <c r="AS156" s="1317"/>
      <c r="AT156" s="1317"/>
      <c r="AU156" s="399"/>
      <c r="AV156" s="400"/>
      <c r="AW156" s="400"/>
      <c r="AX156" s="400"/>
      <c r="AY156" s="401"/>
      <c r="AZ156" s="1331" t="e">
        <f>SUM(AZ125:BC155)</f>
        <v>#REF!</v>
      </c>
      <c r="BA156" s="1331"/>
      <c r="BB156" s="1331"/>
      <c r="BC156" s="1331"/>
      <c r="BD156" s="1331"/>
      <c r="BE156" s="1331"/>
      <c r="BF156" s="1331"/>
      <c r="BG156" s="1331"/>
      <c r="BH156" s="1331"/>
      <c r="BI156" s="1331" t="e">
        <f>SUM(BI125:BM155)</f>
        <v>#REF!</v>
      </c>
      <c r="BJ156" s="1331"/>
      <c r="BK156" s="1331"/>
      <c r="BL156" s="1331"/>
      <c r="BM156" s="1331"/>
      <c r="BN156" s="402"/>
      <c r="BO156" s="403"/>
      <c r="BP156" s="404"/>
    </row>
    <row r="157" spans="1:68" s="361" customFormat="1" ht="12.75" customHeight="1">
      <c r="A157" s="355"/>
      <c r="B157" s="1310" t="e">
        <f>'PLANILHA '!#REF!</f>
        <v>#REF!</v>
      </c>
      <c r="C157" s="1310"/>
      <c r="D157" s="1311" t="e">
        <f>'PLANILHA '!#REF!</f>
        <v>#REF!</v>
      </c>
      <c r="E157" s="1311"/>
      <c r="F157" s="1311"/>
      <c r="G157" s="1311"/>
      <c r="H157" s="1311"/>
      <c r="I157" s="1311"/>
      <c r="J157" s="1311"/>
      <c r="K157" s="1311"/>
      <c r="L157" s="1311"/>
      <c r="M157" s="1311"/>
      <c r="N157" s="1311"/>
      <c r="O157" s="1311"/>
      <c r="P157" s="1311"/>
      <c r="Q157" s="1311"/>
      <c r="R157" s="1312" t="e">
        <f>'PLANILHA '!#REF!</f>
        <v>#REF!</v>
      </c>
      <c r="S157" s="1312"/>
      <c r="T157" s="1313" t="e">
        <f>'PLANILHA '!#REF!</f>
        <v>#REF!</v>
      </c>
      <c r="U157" s="1313"/>
      <c r="V157" s="1313"/>
      <c r="W157" s="1313" t="e">
        <f>'PLANILHA '!#REF!</f>
        <v>#REF!</v>
      </c>
      <c r="X157" s="1313"/>
      <c r="Y157" s="1313"/>
      <c r="Z157" s="1320"/>
      <c r="AA157" s="1320"/>
      <c r="AB157" s="1320"/>
      <c r="AC157" s="1320"/>
      <c r="AD157" s="1315"/>
      <c r="AE157" s="1315"/>
      <c r="AF157" s="1315"/>
      <c r="AG157" s="1316"/>
      <c r="AH157" s="1316"/>
      <c r="AI157" s="1316"/>
      <c r="AJ157" s="1316"/>
      <c r="AK157" s="1315"/>
      <c r="AL157" s="1315"/>
      <c r="AM157" s="1315"/>
      <c r="AN157" s="1315"/>
      <c r="AO157" s="1315"/>
      <c r="AP157" s="1317" t="e">
        <f>'PLANILHA '!#REF!</f>
        <v>#REF!</v>
      </c>
      <c r="AQ157" s="1317"/>
      <c r="AR157" s="1317"/>
      <c r="AS157" s="1317"/>
      <c r="AT157" s="1317"/>
      <c r="AU157" s="1316"/>
      <c r="AV157" s="1316"/>
      <c r="AW157" s="1316"/>
      <c r="AX157" s="1316"/>
      <c r="AY157" s="1316"/>
      <c r="AZ157" s="1316"/>
      <c r="BA157" s="1316"/>
      <c r="BB157" s="1316"/>
      <c r="BC157" s="1316"/>
      <c r="BD157" s="1316"/>
      <c r="BE157" s="1316"/>
      <c r="BF157" s="1316"/>
      <c r="BG157" s="1316"/>
      <c r="BH157" s="1316"/>
      <c r="BI157" s="1316"/>
      <c r="BJ157" s="1316"/>
      <c r="BK157" s="1316"/>
      <c r="BL157" s="1316"/>
      <c r="BM157" s="1316"/>
      <c r="BN157" s="1318"/>
      <c r="BO157" s="1318"/>
      <c r="BP157" s="1318"/>
    </row>
    <row r="158" spans="1:68" s="361" customFormat="1" ht="12.75" customHeight="1">
      <c r="A158" s="355"/>
      <c r="B158" s="1310" t="e">
        <f>'PLANILHA '!#REF!</f>
        <v>#REF!</v>
      </c>
      <c r="C158" s="1310"/>
      <c r="D158" s="1311" t="e">
        <f>'PLANILHA '!#REF!</f>
        <v>#REF!</v>
      </c>
      <c r="E158" s="1311"/>
      <c r="F158" s="1311"/>
      <c r="G158" s="1311"/>
      <c r="H158" s="1311"/>
      <c r="I158" s="1311"/>
      <c r="J158" s="1311"/>
      <c r="K158" s="1311"/>
      <c r="L158" s="1311"/>
      <c r="M158" s="1311"/>
      <c r="N158" s="1311"/>
      <c r="O158" s="1311"/>
      <c r="P158" s="1311"/>
      <c r="Q158" s="1311"/>
      <c r="R158" s="1312" t="e">
        <f>'PLANILHA '!#REF!</f>
        <v>#REF!</v>
      </c>
      <c r="S158" s="1312"/>
      <c r="T158" s="1313" t="e">
        <f>'PLANILHA '!#REF!</f>
        <v>#REF!</v>
      </c>
      <c r="U158" s="1313"/>
      <c r="V158" s="1313"/>
      <c r="W158" s="1313" t="e">
        <f>'PLANILHA '!#REF!</f>
        <v>#REF!</v>
      </c>
      <c r="X158" s="1313"/>
      <c r="Y158" s="1313"/>
      <c r="Z158" s="1320"/>
      <c r="AA158" s="1320"/>
      <c r="AB158" s="1320"/>
      <c r="AC158" s="1320"/>
      <c r="AD158" s="1333"/>
      <c r="AE158" s="1333"/>
      <c r="AF158" s="1333"/>
      <c r="AG158" s="1321" t="e">
        <f>ROUND(W158*AD158,2)</f>
        <v>#REF!</v>
      </c>
      <c r="AH158" s="1321"/>
      <c r="AI158" s="1321"/>
      <c r="AJ158" s="1321"/>
      <c r="AK158" s="1326"/>
      <c r="AL158" s="1326"/>
      <c r="AM158" s="1326"/>
      <c r="AN158" s="1326"/>
      <c r="AO158" s="1326"/>
      <c r="AP158" s="1317" t="e">
        <f>'PLANILHA '!#REF!</f>
        <v>#REF!</v>
      </c>
      <c r="AQ158" s="1317"/>
      <c r="AR158" s="1317"/>
      <c r="AS158" s="1317"/>
      <c r="AT158" s="1317"/>
      <c r="AU158" s="1322" t="e">
        <f>AK158+AP158</f>
        <v>#REF!</v>
      </c>
      <c r="AV158" s="1322"/>
      <c r="AW158" s="1322"/>
      <c r="AX158" s="1322"/>
      <c r="AY158" s="1322"/>
      <c r="AZ158" s="1323" t="e">
        <f>$W158*AK158</f>
        <v>#REF!</v>
      </c>
      <c r="BA158" s="1323"/>
      <c r="BB158" s="1323"/>
      <c r="BC158" s="1323"/>
      <c r="BD158" s="1323" t="e">
        <f>$W158*AP158</f>
        <v>#REF!</v>
      </c>
      <c r="BE158" s="1323"/>
      <c r="BF158" s="1323"/>
      <c r="BG158" s="1323"/>
      <c r="BH158" s="1323"/>
      <c r="BI158" s="1323" t="e">
        <f>ROUND(AZ158+BD158,2)</f>
        <v>#REF!</v>
      </c>
      <c r="BJ158" s="1323"/>
      <c r="BK158" s="1323"/>
      <c r="BL158" s="1323"/>
      <c r="BM158" s="1323"/>
      <c r="BN158" s="1324" t="str">
        <f>IF(AD158&lt;&gt;"",AG158/Z158,"")</f>
        <v/>
      </c>
      <c r="BO158" s="1324"/>
      <c r="BP158" s="1324"/>
    </row>
    <row r="159" spans="1:68" s="361" customFormat="1" ht="12.75" customHeight="1">
      <c r="A159" s="355"/>
      <c r="B159" s="1310" t="e">
        <f>'PLANILHA '!#REF!</f>
        <v>#REF!</v>
      </c>
      <c r="C159" s="1310"/>
      <c r="D159" s="1311" t="e">
        <f>'PLANILHA '!#REF!</f>
        <v>#REF!</v>
      </c>
      <c r="E159" s="1311"/>
      <c r="F159" s="1311"/>
      <c r="G159" s="1311"/>
      <c r="H159" s="1311"/>
      <c r="I159" s="1311"/>
      <c r="J159" s="1311"/>
      <c r="K159" s="1311"/>
      <c r="L159" s="1311"/>
      <c r="M159" s="1311"/>
      <c r="N159" s="1311"/>
      <c r="O159" s="1311"/>
      <c r="P159" s="1311"/>
      <c r="Q159" s="1311"/>
      <c r="R159" s="1312" t="e">
        <f>'PLANILHA '!#REF!</f>
        <v>#REF!</v>
      </c>
      <c r="S159" s="1312"/>
      <c r="T159" s="1313" t="e">
        <f>'PLANILHA '!#REF!</f>
        <v>#REF!</v>
      </c>
      <c r="U159" s="1313"/>
      <c r="V159" s="1313"/>
      <c r="W159" s="1313" t="e">
        <f>'PLANILHA '!#REF!</f>
        <v>#REF!</v>
      </c>
      <c r="X159" s="1313"/>
      <c r="Y159" s="1313"/>
      <c r="Z159" s="1320"/>
      <c r="AA159" s="1320"/>
      <c r="AB159" s="1320"/>
      <c r="AC159" s="1320"/>
      <c r="AD159" s="1333"/>
      <c r="AE159" s="1333"/>
      <c r="AF159" s="1333"/>
      <c r="AG159" s="1321" t="e">
        <f>ROUND(W159*AD159,2)</f>
        <v>#REF!</v>
      </c>
      <c r="AH159" s="1321"/>
      <c r="AI159" s="1321"/>
      <c r="AJ159" s="1321"/>
      <c r="AK159" s="1326"/>
      <c r="AL159" s="1326"/>
      <c r="AM159" s="1326"/>
      <c r="AN159" s="1326"/>
      <c r="AO159" s="1326"/>
      <c r="AP159" s="1317" t="e">
        <f>'PLANILHA '!#REF!</f>
        <v>#REF!</v>
      </c>
      <c r="AQ159" s="1317"/>
      <c r="AR159" s="1317"/>
      <c r="AS159" s="1317"/>
      <c r="AT159" s="1317"/>
      <c r="AU159" s="1322" t="e">
        <f>AK159+AP159</f>
        <v>#REF!</v>
      </c>
      <c r="AV159" s="1322"/>
      <c r="AW159" s="1322"/>
      <c r="AX159" s="1322"/>
      <c r="AY159" s="1322"/>
      <c r="AZ159" s="1323" t="e">
        <f>$W159*AK159</f>
        <v>#REF!</v>
      </c>
      <c r="BA159" s="1323"/>
      <c r="BB159" s="1323"/>
      <c r="BC159" s="1323"/>
      <c r="BD159" s="1323" t="e">
        <f>$W159*AP159</f>
        <v>#REF!</v>
      </c>
      <c r="BE159" s="1323"/>
      <c r="BF159" s="1323"/>
      <c r="BG159" s="1323"/>
      <c r="BH159" s="1323"/>
      <c r="BI159" s="1323" t="e">
        <f>ROUND(AZ159+BD159,2)</f>
        <v>#REF!</v>
      </c>
      <c r="BJ159" s="1323"/>
      <c r="BK159" s="1323"/>
      <c r="BL159" s="1323"/>
      <c r="BM159" s="1323"/>
      <c r="BN159" s="1324" t="str">
        <f>IF(AD159&lt;&gt;"",AG159/Z159,"")</f>
        <v/>
      </c>
      <c r="BO159" s="1324"/>
      <c r="BP159" s="1324"/>
    </row>
    <row r="160" spans="1:68" s="361" customFormat="1" ht="12.75" customHeight="1">
      <c r="A160" s="355"/>
      <c r="B160" s="1310" t="e">
        <f>'PLANILHA '!#REF!</f>
        <v>#REF!</v>
      </c>
      <c r="C160" s="1310"/>
      <c r="D160" s="1311" t="e">
        <f>'PLANILHA '!#REF!</f>
        <v>#REF!</v>
      </c>
      <c r="E160" s="1311"/>
      <c r="F160" s="1311"/>
      <c r="G160" s="1311"/>
      <c r="H160" s="1311"/>
      <c r="I160" s="1311"/>
      <c r="J160" s="1311"/>
      <c r="K160" s="1311"/>
      <c r="L160" s="1311"/>
      <c r="M160" s="1311"/>
      <c r="N160" s="1311"/>
      <c r="O160" s="1311"/>
      <c r="P160" s="1311"/>
      <c r="Q160" s="1311"/>
      <c r="R160" s="1312" t="e">
        <f>'PLANILHA '!#REF!</f>
        <v>#REF!</v>
      </c>
      <c r="S160" s="1312"/>
      <c r="T160" s="1313" t="e">
        <f>'PLANILHA '!#REF!</f>
        <v>#REF!</v>
      </c>
      <c r="U160" s="1313"/>
      <c r="V160" s="1313"/>
      <c r="W160" s="1313" t="e">
        <f>'PLANILHA '!#REF!</f>
        <v>#REF!</v>
      </c>
      <c r="X160" s="1313"/>
      <c r="Y160" s="1313"/>
      <c r="Z160" s="1320"/>
      <c r="AA160" s="1320"/>
      <c r="AB160" s="1320"/>
      <c r="AC160" s="1320"/>
      <c r="AD160" s="1333"/>
      <c r="AE160" s="1333"/>
      <c r="AF160" s="1333"/>
      <c r="AG160" s="1321" t="e">
        <f>ROUND(W160*AD160,2)</f>
        <v>#REF!</v>
      </c>
      <c r="AH160" s="1321"/>
      <c r="AI160" s="1321"/>
      <c r="AJ160" s="1321"/>
      <c r="AK160" s="1326"/>
      <c r="AL160" s="1326"/>
      <c r="AM160" s="1326"/>
      <c r="AN160" s="1326"/>
      <c r="AO160" s="1326"/>
      <c r="AP160" s="1317" t="e">
        <f>'PLANILHA '!#REF!</f>
        <v>#REF!</v>
      </c>
      <c r="AQ160" s="1317"/>
      <c r="AR160" s="1317"/>
      <c r="AS160" s="1317"/>
      <c r="AT160" s="1317"/>
      <c r="AU160" s="1322" t="e">
        <f>AK160+AP160</f>
        <v>#REF!</v>
      </c>
      <c r="AV160" s="1322"/>
      <c r="AW160" s="1322"/>
      <c r="AX160" s="1322"/>
      <c r="AY160" s="1322"/>
      <c r="AZ160" s="1323" t="e">
        <f>$W160*AK160</f>
        <v>#REF!</v>
      </c>
      <c r="BA160" s="1323"/>
      <c r="BB160" s="1323"/>
      <c r="BC160" s="1323"/>
      <c r="BD160" s="1323" t="e">
        <f>$W160*AP160</f>
        <v>#REF!</v>
      </c>
      <c r="BE160" s="1323"/>
      <c r="BF160" s="1323"/>
      <c r="BG160" s="1323"/>
      <c r="BH160" s="1323"/>
      <c r="BI160" s="1323" t="e">
        <f>ROUND(AZ160+BD160,2)</f>
        <v>#REF!</v>
      </c>
      <c r="BJ160" s="1323"/>
      <c r="BK160" s="1323"/>
      <c r="BL160" s="1323"/>
      <c r="BM160" s="1323"/>
      <c r="BN160" s="1324" t="str">
        <f>IF(AD160&lt;&gt;"",AG160/Z160,"")</f>
        <v/>
      </c>
      <c r="BO160" s="1324"/>
      <c r="BP160" s="1324"/>
    </row>
    <row r="161" spans="1:68" s="361" customFormat="1" ht="12.75" customHeight="1">
      <c r="A161" s="355"/>
      <c r="B161" s="1310" t="e">
        <f>'PLANILHA '!#REF!</f>
        <v>#REF!</v>
      </c>
      <c r="C161" s="1310"/>
      <c r="D161" s="1311" t="e">
        <f>'PLANILHA '!#REF!</f>
        <v>#REF!</v>
      </c>
      <c r="E161" s="1311"/>
      <c r="F161" s="1311"/>
      <c r="G161" s="1311"/>
      <c r="H161" s="1311"/>
      <c r="I161" s="1311"/>
      <c r="J161" s="1311"/>
      <c r="K161" s="1311"/>
      <c r="L161" s="1311"/>
      <c r="M161" s="1311"/>
      <c r="N161" s="1311"/>
      <c r="O161" s="1311"/>
      <c r="P161" s="1311"/>
      <c r="Q161" s="1311"/>
      <c r="R161" s="1312" t="e">
        <f>'PLANILHA '!#REF!</f>
        <v>#REF!</v>
      </c>
      <c r="S161" s="1312"/>
      <c r="T161" s="1313" t="e">
        <f>'PLANILHA '!#REF!</f>
        <v>#REF!</v>
      </c>
      <c r="U161" s="1313"/>
      <c r="V161" s="1313"/>
      <c r="W161" s="1313" t="e">
        <f>'PLANILHA '!#REF!</f>
        <v>#REF!</v>
      </c>
      <c r="X161" s="1313"/>
      <c r="Y161" s="1313"/>
      <c r="Z161" s="1325"/>
      <c r="AA161" s="1325"/>
      <c r="AB161" s="1325"/>
      <c r="AC161" s="1325"/>
      <c r="AD161" s="1333"/>
      <c r="AE161" s="1333"/>
      <c r="AF161" s="1333"/>
      <c r="AG161" s="1321" t="e">
        <f>ROUND(W161*AD161,2)</f>
        <v>#REF!</v>
      </c>
      <c r="AH161" s="1321"/>
      <c r="AI161" s="1321"/>
      <c r="AJ161" s="1321"/>
      <c r="AK161" s="396"/>
      <c r="AL161" s="397"/>
      <c r="AM161" s="397"/>
      <c r="AN161" s="397"/>
      <c r="AO161" s="398"/>
      <c r="AP161" s="1317" t="e">
        <f>'PLANILHA '!#REF!</f>
        <v>#REF!</v>
      </c>
      <c r="AQ161" s="1317"/>
      <c r="AR161" s="1317"/>
      <c r="AS161" s="1317"/>
      <c r="AT161" s="1317"/>
      <c r="AU161" s="399"/>
      <c r="AV161" s="400"/>
      <c r="AW161" s="400"/>
      <c r="AX161" s="400"/>
      <c r="AY161" s="401"/>
      <c r="AZ161" s="1331" t="e">
        <f>SUM(#REF!)</f>
        <v>#REF!</v>
      </c>
      <c r="BA161" s="1331"/>
      <c r="BB161" s="1331"/>
      <c r="BC161" s="1331"/>
      <c r="BD161" s="1323" t="e">
        <f>$W160*AP160</f>
        <v>#REF!</v>
      </c>
      <c r="BE161" s="1323"/>
      <c r="BF161" s="1323"/>
      <c r="BG161" s="1323"/>
      <c r="BH161" s="1323"/>
      <c r="BI161" s="1331" t="e">
        <f>SUM(#REF!)</f>
        <v>#REF!</v>
      </c>
      <c r="BJ161" s="1331"/>
      <c r="BK161" s="1331"/>
      <c r="BL161" s="1331"/>
      <c r="BM161" s="1331"/>
      <c r="BN161" s="402"/>
      <c r="BO161" s="403"/>
      <c r="BP161" s="404"/>
    </row>
    <row r="162" spans="1:68" s="361" customFormat="1" ht="12.75" customHeight="1">
      <c r="A162" s="355"/>
      <c r="B162" s="1310" t="e">
        <f>'PLANILHA '!#REF!</f>
        <v>#REF!</v>
      </c>
      <c r="C162" s="1310"/>
      <c r="D162" s="1311" t="e">
        <f>'PLANILHA '!#REF!</f>
        <v>#REF!</v>
      </c>
      <c r="E162" s="1311"/>
      <c r="F162" s="1311"/>
      <c r="G162" s="1311"/>
      <c r="H162" s="1311"/>
      <c r="I162" s="1311"/>
      <c r="J162" s="1311"/>
      <c r="K162" s="1311"/>
      <c r="L162" s="1311"/>
      <c r="M162" s="1311"/>
      <c r="N162" s="1311"/>
      <c r="O162" s="1311"/>
      <c r="P162" s="1311"/>
      <c r="Q162" s="1311"/>
      <c r="R162" s="1312" t="e">
        <f>'PLANILHA '!#REF!</f>
        <v>#REF!</v>
      </c>
      <c r="S162" s="1312"/>
      <c r="T162" s="1313" t="e">
        <f>'PLANILHA '!#REF!</f>
        <v>#REF!</v>
      </c>
      <c r="U162" s="1313"/>
      <c r="V162" s="1313"/>
      <c r="W162" s="1313" t="e">
        <f>'PLANILHA '!#REF!</f>
        <v>#REF!</v>
      </c>
      <c r="X162" s="1313"/>
      <c r="Y162" s="1313"/>
      <c r="Z162" s="1320"/>
      <c r="AA162" s="1320"/>
      <c r="AB162" s="1320"/>
      <c r="AC162" s="1320"/>
      <c r="AD162" s="1315"/>
      <c r="AE162" s="1315"/>
      <c r="AF162" s="1315"/>
      <c r="AG162" s="1316"/>
      <c r="AH162" s="1316"/>
      <c r="AI162" s="1316"/>
      <c r="AJ162" s="1316"/>
      <c r="AK162" s="1315"/>
      <c r="AL162" s="1315"/>
      <c r="AM162" s="1315"/>
      <c r="AN162" s="1315"/>
      <c r="AO162" s="1315"/>
      <c r="AP162" s="1317" t="e">
        <f>'PLANILHA '!#REF!</f>
        <v>#REF!</v>
      </c>
      <c r="AQ162" s="1317"/>
      <c r="AR162" s="1317"/>
      <c r="AS162" s="1317"/>
      <c r="AT162" s="1317"/>
      <c r="AU162" s="1316"/>
      <c r="AV162" s="1316"/>
      <c r="AW162" s="1316"/>
      <c r="AX162" s="1316"/>
      <c r="AY162" s="1316"/>
      <c r="AZ162" s="1316"/>
      <c r="BA162" s="1316"/>
      <c r="BB162" s="1316"/>
      <c r="BC162" s="1316"/>
      <c r="BD162" s="1316"/>
      <c r="BE162" s="1316"/>
      <c r="BF162" s="1316"/>
      <c r="BG162" s="1316"/>
      <c r="BH162" s="1316"/>
      <c r="BI162" s="1316"/>
      <c r="BJ162" s="1316"/>
      <c r="BK162" s="1316"/>
      <c r="BL162" s="1316"/>
      <c r="BM162" s="1316"/>
      <c r="BN162" s="1318"/>
      <c r="BO162" s="1318"/>
      <c r="BP162" s="1318"/>
    </row>
    <row r="163" spans="1:68" s="361" customFormat="1" ht="12.75" customHeight="1">
      <c r="A163" s="355"/>
      <c r="B163" s="1310" t="e">
        <f>'PLANILHA '!#REF!</f>
        <v>#REF!</v>
      </c>
      <c r="C163" s="1310"/>
      <c r="D163" s="1311" t="e">
        <f>'PLANILHA '!#REF!</f>
        <v>#REF!</v>
      </c>
      <c r="E163" s="1311"/>
      <c r="F163" s="1311"/>
      <c r="G163" s="1311"/>
      <c r="H163" s="1311"/>
      <c r="I163" s="1311"/>
      <c r="J163" s="1311"/>
      <c r="K163" s="1311"/>
      <c r="L163" s="1311"/>
      <c r="M163" s="1311"/>
      <c r="N163" s="1311"/>
      <c r="O163" s="1311"/>
      <c r="P163" s="1311"/>
      <c r="Q163" s="1311"/>
      <c r="R163" s="1312" t="e">
        <f>'PLANILHA '!#REF!</f>
        <v>#REF!</v>
      </c>
      <c r="S163" s="1312"/>
      <c r="T163" s="1313" t="e">
        <f>'PLANILHA '!#REF!</f>
        <v>#REF!</v>
      </c>
      <c r="U163" s="1313"/>
      <c r="V163" s="1313"/>
      <c r="W163" s="1313" t="e">
        <f>'PLANILHA '!#REF!</f>
        <v>#REF!</v>
      </c>
      <c r="X163" s="1313"/>
      <c r="Y163" s="1313"/>
      <c r="Z163" s="1320"/>
      <c r="AA163" s="1320"/>
      <c r="AB163" s="1320"/>
      <c r="AC163" s="1320"/>
      <c r="AD163" s="1333"/>
      <c r="AE163" s="1333"/>
      <c r="AF163" s="1333"/>
      <c r="AG163" s="1321" t="e">
        <f>ROUND(W163*AD163,2)</f>
        <v>#REF!</v>
      </c>
      <c r="AH163" s="1321"/>
      <c r="AI163" s="1321"/>
      <c r="AJ163" s="1321"/>
      <c r="AK163" s="1326"/>
      <c r="AL163" s="1326"/>
      <c r="AM163" s="1326"/>
      <c r="AN163" s="1326"/>
      <c r="AO163" s="1326"/>
      <c r="AP163" s="1317" t="e">
        <f>'PLANILHA '!#REF!</f>
        <v>#REF!</v>
      </c>
      <c r="AQ163" s="1317"/>
      <c r="AR163" s="1317"/>
      <c r="AS163" s="1317"/>
      <c r="AT163" s="1317"/>
      <c r="AU163" s="1322" t="e">
        <f>AK163+AP163</f>
        <v>#REF!</v>
      </c>
      <c r="AV163" s="1322"/>
      <c r="AW163" s="1322"/>
      <c r="AX163" s="1322"/>
      <c r="AY163" s="1322"/>
      <c r="AZ163" s="1323" t="e">
        <f>$W163*AK163</f>
        <v>#REF!</v>
      </c>
      <c r="BA163" s="1323"/>
      <c r="BB163" s="1323"/>
      <c r="BC163" s="1323"/>
      <c r="BD163" s="1323" t="e">
        <f>$W163*AP163</f>
        <v>#REF!</v>
      </c>
      <c r="BE163" s="1323"/>
      <c r="BF163" s="1323"/>
      <c r="BG163" s="1323"/>
      <c r="BH163" s="1323"/>
      <c r="BI163" s="1323" t="e">
        <f>ROUND(AZ163+BD163,2)</f>
        <v>#REF!</v>
      </c>
      <c r="BJ163" s="1323"/>
      <c r="BK163" s="1323"/>
      <c r="BL163" s="1323"/>
      <c r="BM163" s="1323"/>
      <c r="BN163" s="1324" t="str">
        <f>IF(AD163&lt;&gt;"",AG163/Z163,"")</f>
        <v/>
      </c>
      <c r="BO163" s="1324"/>
      <c r="BP163" s="1324"/>
    </row>
    <row r="164" spans="1:68" s="361" customFormat="1" ht="12.75" customHeight="1">
      <c r="A164" s="355"/>
      <c r="B164" s="1310" t="e">
        <f>'PLANILHA '!#REF!</f>
        <v>#REF!</v>
      </c>
      <c r="C164" s="1310"/>
      <c r="D164" s="1311" t="e">
        <f>'PLANILHA '!#REF!</f>
        <v>#REF!</v>
      </c>
      <c r="E164" s="1311"/>
      <c r="F164" s="1311"/>
      <c r="G164" s="1311"/>
      <c r="H164" s="1311"/>
      <c r="I164" s="1311"/>
      <c r="J164" s="1311"/>
      <c r="K164" s="1311"/>
      <c r="L164" s="1311"/>
      <c r="M164" s="1311"/>
      <c r="N164" s="1311"/>
      <c r="O164" s="1311"/>
      <c r="P164" s="1311"/>
      <c r="Q164" s="1311"/>
      <c r="R164" s="1312" t="e">
        <f>'PLANILHA '!#REF!</f>
        <v>#REF!</v>
      </c>
      <c r="S164" s="1312"/>
      <c r="T164" s="1313" t="e">
        <f>'PLANILHA '!#REF!</f>
        <v>#REF!</v>
      </c>
      <c r="U164" s="1313"/>
      <c r="V164" s="1313"/>
      <c r="W164" s="1313" t="e">
        <f>'PLANILHA '!#REF!</f>
        <v>#REF!</v>
      </c>
      <c r="X164" s="1313"/>
      <c r="Y164" s="1313"/>
      <c r="Z164" s="1320"/>
      <c r="AA164" s="1320"/>
      <c r="AB164" s="1320"/>
      <c r="AC164" s="1320"/>
      <c r="AD164" s="1315"/>
      <c r="AE164" s="1315"/>
      <c r="AF164" s="1315"/>
      <c r="AG164" s="1321" t="e">
        <f>ROUND(W164*AD164,2)</f>
        <v>#REF!</v>
      </c>
      <c r="AH164" s="1321"/>
      <c r="AI164" s="1321"/>
      <c r="AJ164" s="1321"/>
      <c r="AK164" s="1327"/>
      <c r="AL164" s="1327"/>
      <c r="AM164" s="1327"/>
      <c r="AN164" s="1327"/>
      <c r="AO164" s="1327"/>
      <c r="AP164" s="1317" t="e">
        <f>'PLANILHA '!#REF!</f>
        <v>#REF!</v>
      </c>
      <c r="AQ164" s="1317"/>
      <c r="AR164" s="1317"/>
      <c r="AS164" s="1317"/>
      <c r="AT164" s="1317"/>
      <c r="AU164" s="1322" t="e">
        <f>AK164+AP164</f>
        <v>#REF!</v>
      </c>
      <c r="AV164" s="1322"/>
      <c r="AW164" s="1322"/>
      <c r="AX164" s="1322"/>
      <c r="AY164" s="1322"/>
      <c r="AZ164" s="1323" t="e">
        <f>$W164*AK164</f>
        <v>#REF!</v>
      </c>
      <c r="BA164" s="1323"/>
      <c r="BB164" s="1323"/>
      <c r="BC164" s="1323"/>
      <c r="BD164" s="1323" t="e">
        <f>$W164*AP164</f>
        <v>#REF!</v>
      </c>
      <c r="BE164" s="1323"/>
      <c r="BF164" s="1323"/>
      <c r="BG164" s="1323"/>
      <c r="BH164" s="1323"/>
      <c r="BI164" s="1323" t="e">
        <f>ROUND(AZ164+BD164,2)</f>
        <v>#REF!</v>
      </c>
      <c r="BJ164" s="1323"/>
      <c r="BK164" s="1323"/>
      <c r="BL164" s="1323"/>
      <c r="BM164" s="1323"/>
      <c r="BN164" s="1318"/>
      <c r="BO164" s="1318"/>
      <c r="BP164" s="1318"/>
    </row>
    <row r="165" spans="1:68" s="361" customFormat="1" ht="12.75" customHeight="1">
      <c r="A165" s="355"/>
      <c r="B165" s="1310" t="e">
        <f>'PLANILHA '!#REF!</f>
        <v>#REF!</v>
      </c>
      <c r="C165" s="1310"/>
      <c r="D165" s="1311" t="e">
        <f>'PLANILHA '!#REF!</f>
        <v>#REF!</v>
      </c>
      <c r="E165" s="1311"/>
      <c r="F165" s="1311"/>
      <c r="G165" s="1311"/>
      <c r="H165" s="1311"/>
      <c r="I165" s="1311"/>
      <c r="J165" s="1311"/>
      <c r="K165" s="1311"/>
      <c r="L165" s="1311"/>
      <c r="M165" s="1311"/>
      <c r="N165" s="1311"/>
      <c r="O165" s="1311"/>
      <c r="P165" s="1311"/>
      <c r="Q165" s="1311"/>
      <c r="R165" s="1312" t="e">
        <f>'PLANILHA '!#REF!</f>
        <v>#REF!</v>
      </c>
      <c r="S165" s="1312"/>
      <c r="T165" s="1313" t="e">
        <f>'PLANILHA '!#REF!</f>
        <v>#REF!</v>
      </c>
      <c r="U165" s="1313"/>
      <c r="V165" s="1313"/>
      <c r="W165" s="1313" t="e">
        <f>'PLANILHA '!#REF!</f>
        <v>#REF!</v>
      </c>
      <c r="X165" s="1313"/>
      <c r="Y165" s="1313"/>
      <c r="Z165" s="1320"/>
      <c r="AA165" s="1320"/>
      <c r="AB165" s="1320"/>
      <c r="AC165" s="1320"/>
      <c r="AD165" s="1315"/>
      <c r="AE165" s="1315"/>
      <c r="AF165" s="1315"/>
      <c r="AG165" s="1321" t="e">
        <f>ROUND(W165*AD165,2)</f>
        <v>#REF!</v>
      </c>
      <c r="AH165" s="1321"/>
      <c r="AI165" s="1321"/>
      <c r="AJ165" s="1321"/>
      <c r="AK165" s="1327"/>
      <c r="AL165" s="1327"/>
      <c r="AM165" s="1327"/>
      <c r="AN165" s="1327"/>
      <c r="AO165" s="1327"/>
      <c r="AP165" s="1317" t="e">
        <f>'PLANILHA '!#REF!</f>
        <v>#REF!</v>
      </c>
      <c r="AQ165" s="1317"/>
      <c r="AR165" s="1317"/>
      <c r="AS165" s="1317"/>
      <c r="AT165" s="1317"/>
      <c r="AU165" s="1322" t="e">
        <f>AK165+AP165</f>
        <v>#REF!</v>
      </c>
      <c r="AV165" s="1322"/>
      <c r="AW165" s="1322"/>
      <c r="AX165" s="1322"/>
      <c r="AY165" s="1322"/>
      <c r="AZ165" s="1323" t="e">
        <f>$W165*AK165</f>
        <v>#REF!</v>
      </c>
      <c r="BA165" s="1323"/>
      <c r="BB165" s="1323"/>
      <c r="BC165" s="1323"/>
      <c r="BD165" s="1323" t="e">
        <f>$W165*AP165</f>
        <v>#REF!</v>
      </c>
      <c r="BE165" s="1323"/>
      <c r="BF165" s="1323"/>
      <c r="BG165" s="1323"/>
      <c r="BH165" s="1323"/>
      <c r="BI165" s="1323" t="e">
        <f>ROUND(AZ165+BD165,2)</f>
        <v>#REF!</v>
      </c>
      <c r="BJ165" s="1323"/>
      <c r="BK165" s="1323"/>
      <c r="BL165" s="1323"/>
      <c r="BM165" s="1323"/>
      <c r="BN165" s="1318" t="s">
        <v>1550</v>
      </c>
      <c r="BO165" s="1318"/>
      <c r="BP165" s="1318"/>
    </row>
    <row r="166" spans="1:68" s="361" customFormat="1" ht="12.75" customHeight="1">
      <c r="A166" s="355"/>
      <c r="B166" s="1310" t="e">
        <f>'PLANILHA '!#REF!</f>
        <v>#REF!</v>
      </c>
      <c r="C166" s="1310"/>
      <c r="D166" s="1311" t="e">
        <f>'PLANILHA '!#REF!</f>
        <v>#REF!</v>
      </c>
      <c r="E166" s="1311"/>
      <c r="F166" s="1311"/>
      <c r="G166" s="1311"/>
      <c r="H166" s="1311"/>
      <c r="I166" s="1311"/>
      <c r="J166" s="1311"/>
      <c r="K166" s="1311"/>
      <c r="L166" s="1311"/>
      <c r="M166" s="1311"/>
      <c r="N166" s="1311"/>
      <c r="O166" s="1311"/>
      <c r="P166" s="1311"/>
      <c r="Q166" s="1311"/>
      <c r="R166" s="1312" t="e">
        <f>'PLANILHA '!#REF!</f>
        <v>#REF!</v>
      </c>
      <c r="S166" s="1312"/>
      <c r="T166" s="1313" t="e">
        <f>'PLANILHA '!#REF!</f>
        <v>#REF!</v>
      </c>
      <c r="U166" s="1313"/>
      <c r="V166" s="1313"/>
      <c r="W166" s="1313" t="e">
        <f>'PLANILHA '!#REF!</f>
        <v>#REF!</v>
      </c>
      <c r="X166" s="1313"/>
      <c r="Y166" s="1313"/>
      <c r="Z166" s="1320"/>
      <c r="AA166" s="1320"/>
      <c r="AB166" s="1320"/>
      <c r="AC166" s="1320"/>
      <c r="AD166" s="1315"/>
      <c r="AE166" s="1315"/>
      <c r="AF166" s="1315"/>
      <c r="AG166" s="1321" t="e">
        <f>ROUND(W166*AD166,2)</f>
        <v>#REF!</v>
      </c>
      <c r="AH166" s="1321"/>
      <c r="AI166" s="1321"/>
      <c r="AJ166" s="1321"/>
      <c r="AK166" s="1327"/>
      <c r="AL166" s="1327"/>
      <c r="AM166" s="1327"/>
      <c r="AN166" s="1327"/>
      <c r="AO166" s="1327"/>
      <c r="AP166" s="1317" t="e">
        <f>'PLANILHA '!#REF!</f>
        <v>#REF!</v>
      </c>
      <c r="AQ166" s="1317"/>
      <c r="AR166" s="1317"/>
      <c r="AS166" s="1317"/>
      <c r="AT166" s="1317"/>
      <c r="AU166" s="1322" t="e">
        <f>AK166+AP166</f>
        <v>#REF!</v>
      </c>
      <c r="AV166" s="1322"/>
      <c r="AW166" s="1322"/>
      <c r="AX166" s="1322"/>
      <c r="AY166" s="1322"/>
      <c r="AZ166" s="1323" t="e">
        <f>$W166*AK166</f>
        <v>#REF!</v>
      </c>
      <c r="BA166" s="1323"/>
      <c r="BB166" s="1323"/>
      <c r="BC166" s="1323"/>
      <c r="BD166" s="1323" t="e">
        <f>$W166*AP166</f>
        <v>#REF!</v>
      </c>
      <c r="BE166" s="1323"/>
      <c r="BF166" s="1323"/>
      <c r="BG166" s="1323"/>
      <c r="BH166" s="1323"/>
      <c r="BI166" s="1323" t="e">
        <f>ROUND(AZ166+BD166,2)</f>
        <v>#REF!</v>
      </c>
      <c r="BJ166" s="1323"/>
      <c r="BK166" s="1323"/>
      <c r="BL166" s="1323"/>
      <c r="BM166" s="1323"/>
      <c r="BN166" s="1318"/>
      <c r="BO166" s="1318"/>
      <c r="BP166" s="1318"/>
    </row>
    <row r="167" spans="1:68" s="361" customFormat="1" ht="12.75" customHeight="1">
      <c r="A167" s="355"/>
      <c r="B167" s="1310" t="e">
        <f>'PLANILHA '!#REF!</f>
        <v>#REF!</v>
      </c>
      <c r="C167" s="1310"/>
      <c r="D167" s="1311" t="e">
        <f>'PLANILHA '!#REF!</f>
        <v>#REF!</v>
      </c>
      <c r="E167" s="1311"/>
      <c r="F167" s="1311"/>
      <c r="G167" s="1311"/>
      <c r="H167" s="1311"/>
      <c r="I167" s="1311"/>
      <c r="J167" s="1311"/>
      <c r="K167" s="1311"/>
      <c r="L167" s="1311"/>
      <c r="M167" s="1311"/>
      <c r="N167" s="1311"/>
      <c r="O167" s="1311"/>
      <c r="P167" s="1311"/>
      <c r="Q167" s="1311"/>
      <c r="R167" s="1312" t="e">
        <f>'PLANILHA '!#REF!</f>
        <v>#REF!</v>
      </c>
      <c r="S167" s="1312"/>
      <c r="T167" s="1313" t="e">
        <f>'PLANILHA '!#REF!</f>
        <v>#REF!</v>
      </c>
      <c r="U167" s="1313"/>
      <c r="V167" s="1313"/>
      <c r="W167" s="1313" t="e">
        <f>'PLANILHA '!#REF!</f>
        <v>#REF!</v>
      </c>
      <c r="X167" s="1313"/>
      <c r="Y167" s="1313"/>
      <c r="Z167" s="1325"/>
      <c r="AA167" s="1325"/>
      <c r="AB167" s="1325"/>
      <c r="AC167" s="1325"/>
      <c r="AD167" s="1315"/>
      <c r="AE167" s="1315"/>
      <c r="AF167" s="1315"/>
      <c r="AG167" s="1316"/>
      <c r="AH167" s="1316"/>
      <c r="AI167" s="1316"/>
      <c r="AJ167" s="1316"/>
      <c r="AK167" s="1315"/>
      <c r="AL167" s="1315"/>
      <c r="AM167" s="1315"/>
      <c r="AN167" s="1315"/>
      <c r="AO167" s="1315"/>
      <c r="AP167" s="1317" t="e">
        <f>'PLANILHA '!#REF!</f>
        <v>#REF!</v>
      </c>
      <c r="AQ167" s="1317"/>
      <c r="AR167" s="1317"/>
      <c r="AS167" s="1317"/>
      <c r="AT167" s="1317"/>
      <c r="AU167" s="1322" t="e">
        <f>AK167+AP167</f>
        <v>#REF!</v>
      </c>
      <c r="AV167" s="1322"/>
      <c r="AW167" s="1322"/>
      <c r="AX167" s="1322"/>
      <c r="AY167" s="1322"/>
      <c r="AZ167" s="1331" t="e">
        <f>SUM(AZ163:BC166)</f>
        <v>#REF!</v>
      </c>
      <c r="BA167" s="1331"/>
      <c r="BB167" s="1331"/>
      <c r="BC167" s="1331"/>
      <c r="BD167" s="1323" t="e">
        <f>$W167*AP167</f>
        <v>#REF!</v>
      </c>
      <c r="BE167" s="1323"/>
      <c r="BF167" s="1323"/>
      <c r="BG167" s="1323"/>
      <c r="BH167" s="1323"/>
      <c r="BI167" s="1331" t="e">
        <f>SUM(BI163:BM166)</f>
        <v>#REF!</v>
      </c>
      <c r="BJ167" s="1331"/>
      <c r="BK167" s="1331"/>
      <c r="BL167" s="1331"/>
      <c r="BM167" s="1331"/>
      <c r="BN167" s="1318"/>
      <c r="BO167" s="1318"/>
      <c r="BP167" s="1318"/>
    </row>
    <row r="168" spans="1:68" s="361" customFormat="1" ht="12.75" customHeight="1">
      <c r="A168" s="355"/>
      <c r="B168" s="1310" t="e">
        <f>'PLANILHA '!#REF!</f>
        <v>#REF!</v>
      </c>
      <c r="C168" s="1310"/>
      <c r="D168" s="1311" t="e">
        <f>'PLANILHA '!#REF!</f>
        <v>#REF!</v>
      </c>
      <c r="E168" s="1311"/>
      <c r="F168" s="1311"/>
      <c r="G168" s="1311"/>
      <c r="H168" s="1311"/>
      <c r="I168" s="1311"/>
      <c r="J168" s="1311"/>
      <c r="K168" s="1311"/>
      <c r="L168" s="1311"/>
      <c r="M168" s="1311"/>
      <c r="N168" s="1311"/>
      <c r="O168" s="1311"/>
      <c r="P168" s="1311"/>
      <c r="Q168" s="1311"/>
      <c r="R168" s="1312" t="e">
        <f>'PLANILHA '!#REF!</f>
        <v>#REF!</v>
      </c>
      <c r="S168" s="1312"/>
      <c r="T168" s="1313" t="e">
        <f>'PLANILHA '!#REF!</f>
        <v>#REF!</v>
      </c>
      <c r="U168" s="1313"/>
      <c r="V168" s="1313"/>
      <c r="W168" s="1313" t="e">
        <f>'PLANILHA '!#REF!</f>
        <v>#REF!</v>
      </c>
      <c r="X168" s="1313"/>
      <c r="Y168" s="1313"/>
      <c r="Z168" s="1320"/>
      <c r="AA168" s="1320"/>
      <c r="AB168" s="1320"/>
      <c r="AC168" s="1320"/>
      <c r="AD168" s="1315"/>
      <c r="AE168" s="1315"/>
      <c r="AF168" s="1315"/>
      <c r="AG168" s="1321"/>
      <c r="AH168" s="1321"/>
      <c r="AI168" s="1321"/>
      <c r="AJ168" s="1321"/>
      <c r="AK168" s="1328"/>
      <c r="AL168" s="1328"/>
      <c r="AM168" s="1328"/>
      <c r="AN168" s="1328"/>
      <c r="AO168" s="1328"/>
      <c r="AP168" s="1317" t="e">
        <f>'PLANILHA '!#REF!</f>
        <v>#REF!</v>
      </c>
      <c r="AQ168" s="1317"/>
      <c r="AR168" s="1317"/>
      <c r="AS168" s="1317"/>
      <c r="AT168" s="1317"/>
      <c r="AU168" s="1322"/>
      <c r="AV168" s="1322"/>
      <c r="AW168" s="1322"/>
      <c r="AX168" s="1322"/>
      <c r="AY168" s="1322"/>
      <c r="AZ168" s="1323"/>
      <c r="BA168" s="1323"/>
      <c r="BB168" s="1323"/>
      <c r="BC168" s="1323"/>
      <c r="BD168" s="1323"/>
      <c r="BE168" s="1323"/>
      <c r="BF168" s="1323"/>
      <c r="BG168" s="1323"/>
      <c r="BH168" s="1323"/>
      <c r="BI168" s="1323"/>
      <c r="BJ168" s="1323"/>
      <c r="BK168" s="1323"/>
      <c r="BL168" s="1323"/>
      <c r="BM168" s="1323"/>
      <c r="BN168" s="1318"/>
      <c r="BO168" s="1318"/>
      <c r="BP168" s="1318"/>
    </row>
    <row r="169" spans="1:68" s="361" customFormat="1" ht="12.75" customHeight="1">
      <c r="A169" s="355"/>
      <c r="B169" s="1310" t="e">
        <f>'PLANILHA '!#REF!</f>
        <v>#REF!</v>
      </c>
      <c r="C169" s="1310"/>
      <c r="D169" s="1311" t="e">
        <f>'PLANILHA '!#REF!</f>
        <v>#REF!</v>
      </c>
      <c r="E169" s="1311"/>
      <c r="F169" s="1311"/>
      <c r="G169" s="1311"/>
      <c r="H169" s="1311"/>
      <c r="I169" s="1311"/>
      <c r="J169" s="1311"/>
      <c r="K169" s="1311"/>
      <c r="L169" s="1311"/>
      <c r="M169" s="1311"/>
      <c r="N169" s="1311"/>
      <c r="O169" s="1311"/>
      <c r="P169" s="1311"/>
      <c r="Q169" s="1311"/>
      <c r="R169" s="1312" t="e">
        <f>'PLANILHA '!#REF!</f>
        <v>#REF!</v>
      </c>
      <c r="S169" s="1312"/>
      <c r="T169" s="1313" t="e">
        <f>'PLANILHA '!#REF!</f>
        <v>#REF!</v>
      </c>
      <c r="U169" s="1313"/>
      <c r="V169" s="1313"/>
      <c r="W169" s="1313" t="e">
        <f>'PLANILHA '!#REF!</f>
        <v>#REF!</v>
      </c>
      <c r="X169" s="1313"/>
      <c r="Y169" s="1313"/>
      <c r="Z169" s="1320"/>
      <c r="AA169" s="1320"/>
      <c r="AB169" s="1320"/>
      <c r="AC169" s="1320"/>
      <c r="AD169" s="1315"/>
      <c r="AE169" s="1315"/>
      <c r="AF169" s="1315"/>
      <c r="AG169" s="1321" t="e">
        <f t="shared" ref="AG169:AG175" si="20">ROUND(W169*AD169,2)</f>
        <v>#REF!</v>
      </c>
      <c r="AH169" s="1321"/>
      <c r="AI169" s="1321"/>
      <c r="AJ169" s="1321"/>
      <c r="AK169" s="1327"/>
      <c r="AL169" s="1327"/>
      <c r="AM169" s="1327"/>
      <c r="AN169" s="1327"/>
      <c r="AO169" s="1327"/>
      <c r="AP169" s="1317" t="e">
        <f>'PLANILHA '!#REF!</f>
        <v>#REF!</v>
      </c>
      <c r="AQ169" s="1317"/>
      <c r="AR169" s="1317"/>
      <c r="AS169" s="1317"/>
      <c r="AT169" s="1317"/>
      <c r="AU169" s="1322" t="e">
        <f>AK169+AP169</f>
        <v>#REF!</v>
      </c>
      <c r="AV169" s="1322"/>
      <c r="AW169" s="1322"/>
      <c r="AX169" s="1322"/>
      <c r="AY169" s="1322"/>
      <c r="AZ169" s="1323" t="e">
        <f t="shared" ref="AZ169:AZ176" si="21">$W169*AK169</f>
        <v>#REF!</v>
      </c>
      <c r="BA169" s="1323"/>
      <c r="BB169" s="1323"/>
      <c r="BC169" s="1323"/>
      <c r="BD169" s="1323" t="e">
        <f t="shared" ref="BD169:BD176" si="22">$W169*AP169</f>
        <v>#REF!</v>
      </c>
      <c r="BE169" s="1323"/>
      <c r="BF169" s="1323"/>
      <c r="BG169" s="1323"/>
      <c r="BH169" s="1323"/>
      <c r="BI169" s="1323" t="e">
        <f t="shared" ref="BI169:BI176" si="23">ROUND(AZ169+BD169,2)</f>
        <v>#REF!</v>
      </c>
      <c r="BJ169" s="1323"/>
      <c r="BK169" s="1323"/>
      <c r="BL169" s="1323"/>
      <c r="BM169" s="1323"/>
      <c r="BN169" s="1318"/>
      <c r="BO169" s="1318"/>
      <c r="BP169" s="1318"/>
    </row>
    <row r="170" spans="1:68" s="361" customFormat="1" ht="12.75" customHeight="1">
      <c r="A170" s="355"/>
      <c r="B170" s="1310" t="e">
        <f>'PLANILHA '!#REF!</f>
        <v>#REF!</v>
      </c>
      <c r="C170" s="1310"/>
      <c r="D170" s="1311" t="e">
        <f>'PLANILHA '!#REF!</f>
        <v>#REF!</v>
      </c>
      <c r="E170" s="1311"/>
      <c r="F170" s="1311"/>
      <c r="G170" s="1311"/>
      <c r="H170" s="1311"/>
      <c r="I170" s="1311"/>
      <c r="J170" s="1311"/>
      <c r="K170" s="1311"/>
      <c r="L170" s="1311"/>
      <c r="M170" s="1311"/>
      <c r="N170" s="1311"/>
      <c r="O170" s="1311"/>
      <c r="P170" s="1311"/>
      <c r="Q170" s="1311"/>
      <c r="R170" s="1312" t="e">
        <f>'PLANILHA '!#REF!</f>
        <v>#REF!</v>
      </c>
      <c r="S170" s="1312"/>
      <c r="T170" s="1313" t="e">
        <f>'PLANILHA '!#REF!</f>
        <v>#REF!</v>
      </c>
      <c r="U170" s="1313"/>
      <c r="V170" s="1313"/>
      <c r="W170" s="1313" t="e">
        <f>'PLANILHA '!#REF!</f>
        <v>#REF!</v>
      </c>
      <c r="X170" s="1313"/>
      <c r="Y170" s="1313"/>
      <c r="Z170" s="1320"/>
      <c r="AA170" s="1320"/>
      <c r="AB170" s="1320"/>
      <c r="AC170" s="1320"/>
      <c r="AD170" s="1315"/>
      <c r="AE170" s="1315"/>
      <c r="AF170" s="1315"/>
      <c r="AG170" s="1321" t="e">
        <f t="shared" si="20"/>
        <v>#REF!</v>
      </c>
      <c r="AH170" s="1321"/>
      <c r="AI170" s="1321"/>
      <c r="AJ170" s="1321"/>
      <c r="AK170" s="1328"/>
      <c r="AL170" s="1328"/>
      <c r="AM170" s="1328"/>
      <c r="AN170" s="1328"/>
      <c r="AO170" s="1328"/>
      <c r="AP170" s="1317" t="e">
        <f>'PLANILHA '!#REF!</f>
        <v>#REF!</v>
      </c>
      <c r="AQ170" s="1317"/>
      <c r="AR170" s="1317"/>
      <c r="AS170" s="1317"/>
      <c r="AT170" s="1317"/>
      <c r="AU170" s="1322" t="e">
        <f>AK170+AP170</f>
        <v>#REF!</v>
      </c>
      <c r="AV170" s="1322"/>
      <c r="AW170" s="1322"/>
      <c r="AX170" s="1322"/>
      <c r="AY170" s="1322"/>
      <c r="AZ170" s="1323" t="e">
        <f t="shared" si="21"/>
        <v>#REF!</v>
      </c>
      <c r="BA170" s="1323"/>
      <c r="BB170" s="1323"/>
      <c r="BC170" s="1323"/>
      <c r="BD170" s="1323" t="e">
        <f t="shared" si="22"/>
        <v>#REF!</v>
      </c>
      <c r="BE170" s="1323"/>
      <c r="BF170" s="1323"/>
      <c r="BG170" s="1323"/>
      <c r="BH170" s="1323"/>
      <c r="BI170" s="1323" t="e">
        <f t="shared" si="23"/>
        <v>#REF!</v>
      </c>
      <c r="BJ170" s="1323"/>
      <c r="BK170" s="1323"/>
      <c r="BL170" s="1323"/>
      <c r="BM170" s="1323"/>
      <c r="BN170" s="1318"/>
      <c r="BO170" s="1318"/>
      <c r="BP170" s="1318"/>
    </row>
    <row r="171" spans="1:68" s="361" customFormat="1" ht="12.75" customHeight="1">
      <c r="A171" s="355"/>
      <c r="B171" s="1310" t="e">
        <f>'PLANILHA '!#REF!</f>
        <v>#REF!</v>
      </c>
      <c r="C171" s="1310"/>
      <c r="D171" s="1311" t="e">
        <f>'PLANILHA '!#REF!</f>
        <v>#REF!</v>
      </c>
      <c r="E171" s="1311"/>
      <c r="F171" s="1311"/>
      <c r="G171" s="1311"/>
      <c r="H171" s="1311"/>
      <c r="I171" s="1311"/>
      <c r="J171" s="1311"/>
      <c r="K171" s="1311"/>
      <c r="L171" s="1311"/>
      <c r="M171" s="1311"/>
      <c r="N171" s="1311"/>
      <c r="O171" s="1311"/>
      <c r="P171" s="1311"/>
      <c r="Q171" s="1311"/>
      <c r="R171" s="1312" t="e">
        <f>'PLANILHA '!#REF!</f>
        <v>#REF!</v>
      </c>
      <c r="S171" s="1312"/>
      <c r="T171" s="1313" t="e">
        <f>'PLANILHA '!#REF!</f>
        <v>#REF!</v>
      </c>
      <c r="U171" s="1313"/>
      <c r="V171" s="1313"/>
      <c r="W171" s="1313" t="e">
        <f>'PLANILHA '!#REF!</f>
        <v>#REF!</v>
      </c>
      <c r="X171" s="1313"/>
      <c r="Y171" s="1313"/>
      <c r="Z171" s="1320"/>
      <c r="AA171" s="1320"/>
      <c r="AB171" s="1320"/>
      <c r="AC171" s="1320"/>
      <c r="AD171" s="1315"/>
      <c r="AE171" s="1315"/>
      <c r="AF171" s="1315"/>
      <c r="AG171" s="1321" t="e">
        <f t="shared" si="20"/>
        <v>#REF!</v>
      </c>
      <c r="AH171" s="1321"/>
      <c r="AI171" s="1321"/>
      <c r="AJ171" s="1321"/>
      <c r="AK171" s="1327"/>
      <c r="AL171" s="1327"/>
      <c r="AM171" s="1327"/>
      <c r="AN171" s="1327"/>
      <c r="AO171" s="1327"/>
      <c r="AP171" s="1317" t="e">
        <f>'PLANILHA '!#REF!</f>
        <v>#REF!</v>
      </c>
      <c r="AQ171" s="1317"/>
      <c r="AR171" s="1317"/>
      <c r="AS171" s="1317"/>
      <c r="AT171" s="1317"/>
      <c r="AU171" s="1322" t="e">
        <f>AK171+AP171</f>
        <v>#REF!</v>
      </c>
      <c r="AV171" s="1322"/>
      <c r="AW171" s="1322"/>
      <c r="AX171" s="1322"/>
      <c r="AY171" s="1322"/>
      <c r="AZ171" s="1323" t="e">
        <f t="shared" si="21"/>
        <v>#REF!</v>
      </c>
      <c r="BA171" s="1323"/>
      <c r="BB171" s="1323"/>
      <c r="BC171" s="1323"/>
      <c r="BD171" s="1323" t="e">
        <f t="shared" si="22"/>
        <v>#REF!</v>
      </c>
      <c r="BE171" s="1323"/>
      <c r="BF171" s="1323"/>
      <c r="BG171" s="1323"/>
      <c r="BH171" s="1323"/>
      <c r="BI171" s="1323" t="e">
        <f t="shared" si="23"/>
        <v>#REF!</v>
      </c>
      <c r="BJ171" s="1323"/>
      <c r="BK171" s="1323"/>
      <c r="BL171" s="1323"/>
      <c r="BM171" s="1323"/>
      <c r="BN171" s="1318"/>
      <c r="BO171" s="1318"/>
      <c r="BP171" s="1318"/>
    </row>
    <row r="172" spans="1:68" s="361" customFormat="1" ht="12.75" customHeight="1">
      <c r="A172" s="355"/>
      <c r="B172" s="1310" t="e">
        <f>'PLANILHA '!#REF!</f>
        <v>#REF!</v>
      </c>
      <c r="C172" s="1310"/>
      <c r="D172" s="1311" t="e">
        <f>'PLANILHA '!#REF!</f>
        <v>#REF!</v>
      </c>
      <c r="E172" s="1311"/>
      <c r="F172" s="1311"/>
      <c r="G172" s="1311"/>
      <c r="H172" s="1311"/>
      <c r="I172" s="1311"/>
      <c r="J172" s="1311"/>
      <c r="K172" s="1311"/>
      <c r="L172" s="1311"/>
      <c r="M172" s="1311"/>
      <c r="N172" s="1311"/>
      <c r="O172" s="1311"/>
      <c r="P172" s="1311"/>
      <c r="Q172" s="1311"/>
      <c r="R172" s="1312" t="e">
        <f>'PLANILHA '!#REF!</f>
        <v>#REF!</v>
      </c>
      <c r="S172" s="1312"/>
      <c r="T172" s="1313" t="e">
        <f>'PLANILHA '!#REF!</f>
        <v>#REF!</v>
      </c>
      <c r="U172" s="1313"/>
      <c r="V172" s="1313"/>
      <c r="W172" s="1313" t="e">
        <f>'PLANILHA '!#REF!</f>
        <v>#REF!</v>
      </c>
      <c r="X172" s="1313"/>
      <c r="Y172" s="1313"/>
      <c r="Z172" s="1320"/>
      <c r="AA172" s="1320"/>
      <c r="AB172" s="1320"/>
      <c r="AC172" s="1320"/>
      <c r="AD172" s="1315"/>
      <c r="AE172" s="1315"/>
      <c r="AF172" s="1315"/>
      <c r="AG172" s="1321" t="e">
        <f t="shared" si="20"/>
        <v>#REF!</v>
      </c>
      <c r="AH172" s="1321"/>
      <c r="AI172" s="1321"/>
      <c r="AJ172" s="1321"/>
      <c r="AK172" s="1327"/>
      <c r="AL172" s="1327"/>
      <c r="AM172" s="1327"/>
      <c r="AN172" s="1327"/>
      <c r="AO172" s="1327"/>
      <c r="AP172" s="1317" t="e">
        <f>'PLANILHA '!#REF!</f>
        <v>#REF!</v>
      </c>
      <c r="AQ172" s="1317"/>
      <c r="AR172" s="1317"/>
      <c r="AS172" s="1317"/>
      <c r="AT172" s="1317"/>
      <c r="AU172" s="1322" t="e">
        <f>AK172+AP172</f>
        <v>#REF!</v>
      </c>
      <c r="AV172" s="1322"/>
      <c r="AW172" s="1322"/>
      <c r="AX172" s="1322"/>
      <c r="AY172" s="1322"/>
      <c r="AZ172" s="1323" t="e">
        <f t="shared" si="21"/>
        <v>#REF!</v>
      </c>
      <c r="BA172" s="1323"/>
      <c r="BB172" s="1323"/>
      <c r="BC172" s="1323"/>
      <c r="BD172" s="1323" t="e">
        <f t="shared" si="22"/>
        <v>#REF!</v>
      </c>
      <c r="BE172" s="1323"/>
      <c r="BF172" s="1323"/>
      <c r="BG172" s="1323"/>
      <c r="BH172" s="1323"/>
      <c r="BI172" s="1323" t="e">
        <f t="shared" si="23"/>
        <v>#REF!</v>
      </c>
      <c r="BJ172" s="1323"/>
      <c r="BK172" s="1323"/>
      <c r="BL172" s="1323"/>
      <c r="BM172" s="1323"/>
      <c r="BN172" s="1318"/>
      <c r="BO172" s="1318"/>
      <c r="BP172" s="1318"/>
    </row>
    <row r="173" spans="1:68" s="361" customFormat="1" ht="12.75" customHeight="1">
      <c r="A173" s="355"/>
      <c r="B173" s="1310" t="e">
        <f>'PLANILHA '!#REF!</f>
        <v>#REF!</v>
      </c>
      <c r="C173" s="1310"/>
      <c r="D173" s="1311" t="e">
        <f>'PLANILHA '!#REF!</f>
        <v>#REF!</v>
      </c>
      <c r="E173" s="1311"/>
      <c r="F173" s="1311"/>
      <c r="G173" s="1311"/>
      <c r="H173" s="1311"/>
      <c r="I173" s="1311"/>
      <c r="J173" s="1311"/>
      <c r="K173" s="1311"/>
      <c r="L173" s="1311"/>
      <c r="M173" s="1311"/>
      <c r="N173" s="1311"/>
      <c r="O173" s="1311"/>
      <c r="P173" s="1311"/>
      <c r="Q173" s="1311"/>
      <c r="R173" s="1312" t="e">
        <f>'PLANILHA '!#REF!</f>
        <v>#REF!</v>
      </c>
      <c r="S173" s="1312"/>
      <c r="T173" s="1313" t="e">
        <f>'PLANILHA '!#REF!</f>
        <v>#REF!</v>
      </c>
      <c r="U173" s="1313"/>
      <c r="V173" s="1313"/>
      <c r="W173" s="1313" t="e">
        <f>'PLANILHA '!#REF!</f>
        <v>#REF!</v>
      </c>
      <c r="X173" s="1313"/>
      <c r="Y173" s="1313"/>
      <c r="Z173" s="1320"/>
      <c r="AA173" s="1320"/>
      <c r="AB173" s="1320"/>
      <c r="AC173" s="1320"/>
      <c r="AD173" s="1315"/>
      <c r="AE173" s="1315"/>
      <c r="AF173" s="1315"/>
      <c r="AG173" s="1321" t="e">
        <f t="shared" si="20"/>
        <v>#REF!</v>
      </c>
      <c r="AH173" s="1321"/>
      <c r="AI173" s="1321"/>
      <c r="AJ173" s="1321"/>
      <c r="AK173" s="1315"/>
      <c r="AL173" s="1315"/>
      <c r="AM173" s="1315"/>
      <c r="AN173" s="1315"/>
      <c r="AO173" s="1315"/>
      <c r="AP173" s="1317" t="e">
        <f>'PLANILHA '!#REF!</f>
        <v>#REF!</v>
      </c>
      <c r="AQ173" s="1317"/>
      <c r="AR173" s="1317"/>
      <c r="AS173" s="1317"/>
      <c r="AT173" s="1317"/>
      <c r="AU173" s="1322" t="e">
        <f>AK173+AP173</f>
        <v>#REF!</v>
      </c>
      <c r="AV173" s="1322"/>
      <c r="AW173" s="1322"/>
      <c r="AX173" s="1322"/>
      <c r="AY173" s="1322"/>
      <c r="AZ173" s="1323" t="e">
        <f t="shared" si="21"/>
        <v>#REF!</v>
      </c>
      <c r="BA173" s="1323"/>
      <c r="BB173" s="1323"/>
      <c r="BC173" s="1323"/>
      <c r="BD173" s="1323" t="e">
        <f t="shared" si="22"/>
        <v>#REF!</v>
      </c>
      <c r="BE173" s="1323"/>
      <c r="BF173" s="1323"/>
      <c r="BG173" s="1323"/>
      <c r="BH173" s="1323"/>
      <c r="BI173" s="1323" t="e">
        <f t="shared" si="23"/>
        <v>#REF!</v>
      </c>
      <c r="BJ173" s="1323"/>
      <c r="BK173" s="1323"/>
      <c r="BL173" s="1323"/>
      <c r="BM173" s="1323"/>
      <c r="BN173" s="1318"/>
      <c r="BO173" s="1318"/>
      <c r="BP173" s="1318"/>
    </row>
    <row r="174" spans="1:68" s="361" customFormat="1" ht="12.75" customHeight="1">
      <c r="A174" s="355"/>
      <c r="B174" s="1310" t="e">
        <f>'PLANILHA '!#REF!</f>
        <v>#REF!</v>
      </c>
      <c r="C174" s="1310"/>
      <c r="D174" s="1311" t="e">
        <f>'PLANILHA '!#REF!</f>
        <v>#REF!</v>
      </c>
      <c r="E174" s="1311"/>
      <c r="F174" s="1311"/>
      <c r="G174" s="1311"/>
      <c r="H174" s="1311"/>
      <c r="I174" s="1311"/>
      <c r="J174" s="1311"/>
      <c r="K174" s="1311"/>
      <c r="L174" s="1311"/>
      <c r="M174" s="1311"/>
      <c r="N174" s="1311"/>
      <c r="O174" s="1311"/>
      <c r="P174" s="1311"/>
      <c r="Q174" s="1311"/>
      <c r="R174" s="1312" t="e">
        <f>'PLANILHA '!#REF!</f>
        <v>#REF!</v>
      </c>
      <c r="S174" s="1312"/>
      <c r="T174" s="1313" t="e">
        <f>'PLANILHA '!#REF!</f>
        <v>#REF!</v>
      </c>
      <c r="U174" s="1313"/>
      <c r="V174" s="1313"/>
      <c r="W174" s="1313" t="e">
        <f>'PLANILHA '!#REF!</f>
        <v>#REF!</v>
      </c>
      <c r="X174" s="1313"/>
      <c r="Y174" s="1313"/>
      <c r="Z174" s="1320"/>
      <c r="AA174" s="1320"/>
      <c r="AB174" s="1320"/>
      <c r="AC174" s="1320"/>
      <c r="AD174" s="1315"/>
      <c r="AE174" s="1315"/>
      <c r="AF174" s="1315"/>
      <c r="AG174" s="1321" t="e">
        <f t="shared" si="20"/>
        <v>#REF!</v>
      </c>
      <c r="AH174" s="1321"/>
      <c r="AI174" s="1321"/>
      <c r="AJ174" s="1321"/>
      <c r="AK174" s="1315"/>
      <c r="AL174" s="1315"/>
      <c r="AM174" s="1315"/>
      <c r="AN174" s="1315"/>
      <c r="AO174" s="1315"/>
      <c r="AP174" s="1317" t="e">
        <f>'PLANILHA '!#REF!</f>
        <v>#REF!</v>
      </c>
      <c r="AQ174" s="1317"/>
      <c r="AR174" s="1317"/>
      <c r="AS174" s="1317"/>
      <c r="AT174" s="1317"/>
      <c r="AU174" s="1316"/>
      <c r="AV174" s="1316"/>
      <c r="AW174" s="1316"/>
      <c r="AX174" s="1316"/>
      <c r="AY174" s="1316"/>
      <c r="AZ174" s="1323" t="e">
        <f t="shared" si="21"/>
        <v>#REF!</v>
      </c>
      <c r="BA174" s="1323"/>
      <c r="BB174" s="1323"/>
      <c r="BC174" s="1323"/>
      <c r="BD174" s="1323" t="e">
        <f t="shared" si="22"/>
        <v>#REF!</v>
      </c>
      <c r="BE174" s="1323"/>
      <c r="BF174" s="1323"/>
      <c r="BG174" s="1323"/>
      <c r="BH174" s="1323"/>
      <c r="BI174" s="1323" t="e">
        <f t="shared" si="23"/>
        <v>#REF!</v>
      </c>
      <c r="BJ174" s="1323"/>
      <c r="BK174" s="1323"/>
      <c r="BL174" s="1323"/>
      <c r="BM174" s="1323"/>
      <c r="BN174" s="1318"/>
      <c r="BO174" s="1318"/>
      <c r="BP174" s="1318"/>
    </row>
    <row r="175" spans="1:68" s="361" customFormat="1" ht="12.75" customHeight="1">
      <c r="A175" s="355"/>
      <c r="B175" s="1310" t="e">
        <f>'PLANILHA '!#REF!</f>
        <v>#REF!</v>
      </c>
      <c r="C175" s="1310"/>
      <c r="D175" s="1311" t="e">
        <f>'PLANILHA '!#REF!</f>
        <v>#REF!</v>
      </c>
      <c r="E175" s="1311"/>
      <c r="F175" s="1311"/>
      <c r="G175" s="1311"/>
      <c r="H175" s="1311"/>
      <c r="I175" s="1311"/>
      <c r="J175" s="1311"/>
      <c r="K175" s="1311"/>
      <c r="L175" s="1311"/>
      <c r="M175" s="1311"/>
      <c r="N175" s="1311"/>
      <c r="O175" s="1311"/>
      <c r="P175" s="1311"/>
      <c r="Q175" s="1311"/>
      <c r="R175" s="1312" t="e">
        <f>'PLANILHA '!#REF!</f>
        <v>#REF!</v>
      </c>
      <c r="S175" s="1312"/>
      <c r="T175" s="1313" t="e">
        <f>'PLANILHA '!#REF!</f>
        <v>#REF!</v>
      </c>
      <c r="U175" s="1313"/>
      <c r="V175" s="1313"/>
      <c r="W175" s="1313" t="e">
        <f>'PLANILHA '!#REF!</f>
        <v>#REF!</v>
      </c>
      <c r="X175" s="1313"/>
      <c r="Y175" s="1313"/>
      <c r="Z175" s="1320"/>
      <c r="AA175" s="1320"/>
      <c r="AB175" s="1320"/>
      <c r="AC175" s="1320"/>
      <c r="AD175" s="1333"/>
      <c r="AE175" s="1333"/>
      <c r="AF175" s="1333"/>
      <c r="AG175" s="1321" t="e">
        <f t="shared" si="20"/>
        <v>#REF!</v>
      </c>
      <c r="AH175" s="1321"/>
      <c r="AI175" s="1321"/>
      <c r="AJ175" s="1321"/>
      <c r="AK175" s="1326"/>
      <c r="AL175" s="1326"/>
      <c r="AM175" s="1326"/>
      <c r="AN175" s="1326"/>
      <c r="AO175" s="1326"/>
      <c r="AP175" s="1317" t="e">
        <f>'PLANILHA '!#REF!</f>
        <v>#REF!</v>
      </c>
      <c r="AQ175" s="1317"/>
      <c r="AR175" s="1317"/>
      <c r="AS175" s="1317"/>
      <c r="AT175" s="1317"/>
      <c r="AU175" s="1322" t="e">
        <f>AK175+AP175</f>
        <v>#REF!</v>
      </c>
      <c r="AV175" s="1322"/>
      <c r="AW175" s="1322"/>
      <c r="AX175" s="1322"/>
      <c r="AY175" s="1322"/>
      <c r="AZ175" s="1323" t="e">
        <f t="shared" si="21"/>
        <v>#REF!</v>
      </c>
      <c r="BA175" s="1323"/>
      <c r="BB175" s="1323"/>
      <c r="BC175" s="1323"/>
      <c r="BD175" s="1323" t="e">
        <f t="shared" si="22"/>
        <v>#REF!</v>
      </c>
      <c r="BE175" s="1323"/>
      <c r="BF175" s="1323"/>
      <c r="BG175" s="1323"/>
      <c r="BH175" s="1323"/>
      <c r="BI175" s="1323" t="e">
        <f t="shared" si="23"/>
        <v>#REF!</v>
      </c>
      <c r="BJ175" s="1323"/>
      <c r="BK175" s="1323"/>
      <c r="BL175" s="1323"/>
      <c r="BM175" s="1323"/>
      <c r="BN175" s="1324" t="str">
        <f>IF(AD175&lt;&gt;"",AG175/Z175,"")</f>
        <v/>
      </c>
      <c r="BO175" s="1324"/>
      <c r="BP175" s="1324"/>
    </row>
    <row r="176" spans="1:68" s="361" customFormat="1" ht="12.75" customHeight="1">
      <c r="A176" s="355"/>
      <c r="B176" s="1310" t="e">
        <f>'PLANILHA '!#REF!</f>
        <v>#REF!</v>
      </c>
      <c r="C176" s="1310"/>
      <c r="D176" s="1311" t="e">
        <f>'PLANILHA '!#REF!</f>
        <v>#REF!</v>
      </c>
      <c r="E176" s="1311"/>
      <c r="F176" s="1311"/>
      <c r="G176" s="1311"/>
      <c r="H176" s="1311"/>
      <c r="I176" s="1311"/>
      <c r="J176" s="1311"/>
      <c r="K176" s="1311"/>
      <c r="L176" s="1311"/>
      <c r="M176" s="1311"/>
      <c r="N176" s="1311"/>
      <c r="O176" s="1311"/>
      <c r="P176" s="1311"/>
      <c r="Q176" s="1311"/>
      <c r="R176" s="1312" t="e">
        <f>'PLANILHA '!#REF!</f>
        <v>#REF!</v>
      </c>
      <c r="S176" s="1312"/>
      <c r="T176" s="1313" t="e">
        <f>'PLANILHA '!#REF!</f>
        <v>#REF!</v>
      </c>
      <c r="U176" s="1313"/>
      <c r="V176" s="1313"/>
      <c r="W176" s="1313" t="e">
        <f>'PLANILHA '!#REF!</f>
        <v>#REF!</v>
      </c>
      <c r="X176" s="1313"/>
      <c r="Y176" s="1313"/>
      <c r="Z176" s="1320"/>
      <c r="AA176" s="1320"/>
      <c r="AB176" s="1320"/>
      <c r="AC176" s="1320"/>
      <c r="AD176" s="1315"/>
      <c r="AE176" s="1315"/>
      <c r="AF176" s="1315"/>
      <c r="AG176" s="1321" t="e">
        <f>ROUND(W175*AD175,2)</f>
        <v>#REF!</v>
      </c>
      <c r="AH176" s="1321"/>
      <c r="AI176" s="1321"/>
      <c r="AJ176" s="1321"/>
      <c r="AK176" s="1328"/>
      <c r="AL176" s="1328"/>
      <c r="AM176" s="1328"/>
      <c r="AN176" s="1328"/>
      <c r="AO176" s="1328"/>
      <c r="AP176" s="1317" t="e">
        <f>'PLANILHA '!#REF!</f>
        <v>#REF!</v>
      </c>
      <c r="AQ176" s="1317"/>
      <c r="AR176" s="1317"/>
      <c r="AS176" s="1317"/>
      <c r="AT176" s="1317"/>
      <c r="AU176" s="1322" t="e">
        <f>AK176+AP176</f>
        <v>#REF!</v>
      </c>
      <c r="AV176" s="1322"/>
      <c r="AW176" s="1322"/>
      <c r="AX176" s="1322"/>
      <c r="AY176" s="1322"/>
      <c r="AZ176" s="1323" t="e">
        <f t="shared" si="21"/>
        <v>#REF!</v>
      </c>
      <c r="BA176" s="1323"/>
      <c r="BB176" s="1323"/>
      <c r="BC176" s="1323"/>
      <c r="BD176" s="1323" t="e">
        <f t="shared" si="22"/>
        <v>#REF!</v>
      </c>
      <c r="BE176" s="1323"/>
      <c r="BF176" s="1323"/>
      <c r="BG176" s="1323"/>
      <c r="BH176" s="1323"/>
      <c r="BI176" s="1323" t="e">
        <f t="shared" si="23"/>
        <v>#REF!</v>
      </c>
      <c r="BJ176" s="1323"/>
      <c r="BK176" s="1323"/>
      <c r="BL176" s="1323"/>
      <c r="BM176" s="1323"/>
      <c r="BN176" s="1318"/>
      <c r="BO176" s="1318"/>
      <c r="BP176" s="1318"/>
    </row>
    <row r="177" spans="1:68" s="361" customFormat="1" ht="12.75" customHeight="1">
      <c r="A177" s="355"/>
      <c r="B177" s="1310" t="e">
        <f>'PLANILHA '!#REF!</f>
        <v>#REF!</v>
      </c>
      <c r="C177" s="1310"/>
      <c r="D177" s="1311" t="e">
        <f>'PLANILHA '!#REF!</f>
        <v>#REF!</v>
      </c>
      <c r="E177" s="1311"/>
      <c r="F177" s="1311"/>
      <c r="G177" s="1311"/>
      <c r="H177" s="1311"/>
      <c r="I177" s="1311"/>
      <c r="J177" s="1311"/>
      <c r="K177" s="1311"/>
      <c r="L177" s="1311"/>
      <c r="M177" s="1311"/>
      <c r="N177" s="1311"/>
      <c r="O177" s="1311"/>
      <c r="P177" s="1311"/>
      <c r="Q177" s="1311"/>
      <c r="R177" s="1312" t="e">
        <f>'PLANILHA '!#REF!</f>
        <v>#REF!</v>
      </c>
      <c r="S177" s="1312"/>
      <c r="T177" s="1313" t="e">
        <f>'PLANILHA '!#REF!</f>
        <v>#REF!</v>
      </c>
      <c r="U177" s="1313"/>
      <c r="V177" s="1313"/>
      <c r="W177" s="1313" t="e">
        <f>'PLANILHA '!#REF!</f>
        <v>#REF!</v>
      </c>
      <c r="X177" s="1313"/>
      <c r="Y177" s="1313"/>
      <c r="Z177" s="1325"/>
      <c r="AA177" s="1325"/>
      <c r="AB177" s="1325"/>
      <c r="AC177" s="1325"/>
      <c r="AD177" s="1333"/>
      <c r="AE177" s="1333"/>
      <c r="AF177" s="1333"/>
      <c r="AG177" s="1321"/>
      <c r="AH177" s="1321"/>
      <c r="AI177" s="1321"/>
      <c r="AJ177" s="1321"/>
      <c r="AK177" s="396"/>
      <c r="AL177" s="397"/>
      <c r="AM177" s="397"/>
      <c r="AN177" s="397"/>
      <c r="AO177" s="398"/>
      <c r="AP177" s="1317" t="e">
        <f>'PLANILHA '!#REF!</f>
        <v>#REF!</v>
      </c>
      <c r="AQ177" s="1317"/>
      <c r="AR177" s="1317"/>
      <c r="AS177" s="1317"/>
      <c r="AT177" s="1317"/>
      <c r="AU177" s="399"/>
      <c r="AV177" s="400"/>
      <c r="AW177" s="400"/>
      <c r="AX177" s="400"/>
      <c r="AY177" s="401"/>
      <c r="AZ177" s="1331" t="e">
        <f>SUM(AZ169:BC176)</f>
        <v>#REF!</v>
      </c>
      <c r="BA177" s="1331"/>
      <c r="BB177" s="1331"/>
      <c r="BC177" s="1331"/>
      <c r="BD177" s="1331"/>
      <c r="BE177" s="1331"/>
      <c r="BF177" s="1331"/>
      <c r="BG177" s="1331"/>
      <c r="BH177" s="1331"/>
      <c r="BI177" s="1331" t="e">
        <f>SUM(BI169:BM176)</f>
        <v>#REF!</v>
      </c>
      <c r="BJ177" s="1331"/>
      <c r="BK177" s="1331"/>
      <c r="BL177" s="1331"/>
      <c r="BM177" s="1331"/>
      <c r="BN177" s="402"/>
      <c r="BO177" s="403"/>
      <c r="BP177" s="404"/>
    </row>
    <row r="178" spans="1:68" s="361" customFormat="1" ht="12.75" customHeight="1">
      <c r="A178" s="355"/>
      <c r="B178" s="1310" t="e">
        <f>'PLANILHA '!#REF!</f>
        <v>#REF!</v>
      </c>
      <c r="C178" s="1310"/>
      <c r="D178" s="1311" t="e">
        <f>'PLANILHA '!#REF!</f>
        <v>#REF!</v>
      </c>
      <c r="E178" s="1311"/>
      <c r="F178" s="1311"/>
      <c r="G178" s="1311"/>
      <c r="H178" s="1311"/>
      <c r="I178" s="1311"/>
      <c r="J178" s="1311"/>
      <c r="K178" s="1311"/>
      <c r="L178" s="1311"/>
      <c r="M178" s="1311"/>
      <c r="N178" s="1311"/>
      <c r="O178" s="1311"/>
      <c r="P178" s="1311"/>
      <c r="Q178" s="1311"/>
      <c r="R178" s="1312" t="e">
        <f>'PLANILHA '!#REF!</f>
        <v>#REF!</v>
      </c>
      <c r="S178" s="1312"/>
      <c r="T178" s="1313" t="e">
        <f>'PLANILHA '!#REF!</f>
        <v>#REF!</v>
      </c>
      <c r="U178" s="1313"/>
      <c r="V178" s="1313"/>
      <c r="W178" s="1313" t="e">
        <f>'PLANILHA '!#REF!</f>
        <v>#REF!</v>
      </c>
      <c r="X178" s="1313"/>
      <c r="Y178" s="1313"/>
      <c r="Z178" s="1320"/>
      <c r="AA178" s="1320"/>
      <c r="AB178" s="1320"/>
      <c r="AC178" s="1320"/>
      <c r="AD178" s="1315"/>
      <c r="AE178" s="1315"/>
      <c r="AF178" s="1315"/>
      <c r="AG178" s="1316"/>
      <c r="AH178" s="1316"/>
      <c r="AI178" s="1316"/>
      <c r="AJ178" s="1316"/>
      <c r="AK178" s="1315"/>
      <c r="AL178" s="1315"/>
      <c r="AM178" s="1315"/>
      <c r="AN178" s="1315"/>
      <c r="AO178" s="1315"/>
      <c r="AP178" s="1317" t="e">
        <f>'PLANILHA '!#REF!</f>
        <v>#REF!</v>
      </c>
      <c r="AQ178" s="1317"/>
      <c r="AR178" s="1317"/>
      <c r="AS178" s="1317"/>
      <c r="AT178" s="1317"/>
      <c r="AU178" s="1316"/>
      <c r="AV178" s="1316"/>
      <c r="AW178" s="1316"/>
      <c r="AX178" s="1316"/>
      <c r="AY178" s="1316"/>
      <c r="AZ178" s="1316"/>
      <c r="BA178" s="1316"/>
      <c r="BB178" s="1316"/>
      <c r="BC178" s="1316"/>
      <c r="BD178" s="1316"/>
      <c r="BE178" s="1316"/>
      <c r="BF178" s="1316"/>
      <c r="BG178" s="1316"/>
      <c r="BH178" s="1316"/>
      <c r="BI178" s="1316"/>
      <c r="BJ178" s="1316"/>
      <c r="BK178" s="1316"/>
      <c r="BL178" s="1316"/>
      <c r="BM178" s="1316"/>
      <c r="BN178" s="1318"/>
      <c r="BO178" s="1318"/>
      <c r="BP178" s="1318"/>
    </row>
    <row r="179" spans="1:68" s="361" customFormat="1" ht="12.75" customHeight="1">
      <c r="A179" s="355"/>
      <c r="B179" s="1310" t="e">
        <f>'PLANILHA '!#REF!</f>
        <v>#REF!</v>
      </c>
      <c r="C179" s="1310"/>
      <c r="D179" s="1311" t="e">
        <f>'PLANILHA '!#REF!</f>
        <v>#REF!</v>
      </c>
      <c r="E179" s="1311"/>
      <c r="F179" s="1311"/>
      <c r="G179" s="1311"/>
      <c r="H179" s="1311"/>
      <c r="I179" s="1311"/>
      <c r="J179" s="1311"/>
      <c r="K179" s="1311"/>
      <c r="L179" s="1311"/>
      <c r="M179" s="1311"/>
      <c r="N179" s="1311"/>
      <c r="O179" s="1311"/>
      <c r="P179" s="1311"/>
      <c r="Q179" s="1311"/>
      <c r="R179" s="1312" t="e">
        <f>'PLANILHA '!#REF!</f>
        <v>#REF!</v>
      </c>
      <c r="S179" s="1312"/>
      <c r="T179" s="1313" t="e">
        <f>'PLANILHA '!#REF!</f>
        <v>#REF!</v>
      </c>
      <c r="U179" s="1313"/>
      <c r="V179" s="1313"/>
      <c r="W179" s="1313" t="e">
        <f>'PLANILHA '!#REF!</f>
        <v>#REF!</v>
      </c>
      <c r="X179" s="1313"/>
      <c r="Y179" s="1313"/>
      <c r="Z179" s="1320"/>
      <c r="AA179" s="1320"/>
      <c r="AB179" s="1320"/>
      <c r="AC179" s="1320"/>
      <c r="AD179" s="1333"/>
      <c r="AE179" s="1333"/>
      <c r="AF179" s="1333"/>
      <c r="AG179" s="1321"/>
      <c r="AH179" s="1321"/>
      <c r="AI179" s="1321"/>
      <c r="AJ179" s="1321"/>
      <c r="AK179" s="1326"/>
      <c r="AL179" s="1326"/>
      <c r="AM179" s="1326"/>
      <c r="AN179" s="1326"/>
      <c r="AO179" s="1326"/>
      <c r="AP179" s="1317" t="e">
        <f>'PLANILHA '!#REF!</f>
        <v>#REF!</v>
      </c>
      <c r="AQ179" s="1317"/>
      <c r="AR179" s="1317"/>
      <c r="AS179" s="1317"/>
      <c r="AT179" s="1317"/>
      <c r="AU179" s="1322"/>
      <c r="AV179" s="1322"/>
      <c r="AW179" s="1322"/>
      <c r="AX179" s="1322"/>
      <c r="AY179" s="1322"/>
      <c r="AZ179" s="1323"/>
      <c r="BA179" s="1323"/>
      <c r="BB179" s="1323"/>
      <c r="BC179" s="1323"/>
      <c r="BD179" s="1323"/>
      <c r="BE179" s="1323"/>
      <c r="BF179" s="1323"/>
      <c r="BG179" s="1323"/>
      <c r="BH179" s="1323"/>
      <c r="BI179" s="1323"/>
      <c r="BJ179" s="1323"/>
      <c r="BK179" s="1323"/>
      <c r="BL179" s="1323"/>
      <c r="BM179" s="1323"/>
      <c r="BN179" s="1324"/>
      <c r="BO179" s="1324"/>
      <c r="BP179" s="1324"/>
    </row>
    <row r="180" spans="1:68" s="361" customFormat="1" ht="12.75" customHeight="1">
      <c r="A180" s="355"/>
      <c r="B180" s="1310" t="e">
        <f>'PLANILHA '!#REF!</f>
        <v>#REF!</v>
      </c>
      <c r="C180" s="1310"/>
      <c r="D180" s="1311" t="e">
        <f>'PLANILHA '!#REF!</f>
        <v>#REF!</v>
      </c>
      <c r="E180" s="1311"/>
      <c r="F180" s="1311"/>
      <c r="G180" s="1311"/>
      <c r="H180" s="1311"/>
      <c r="I180" s="1311"/>
      <c r="J180" s="1311"/>
      <c r="K180" s="1311"/>
      <c r="L180" s="1311"/>
      <c r="M180" s="1311"/>
      <c r="N180" s="1311"/>
      <c r="O180" s="1311"/>
      <c r="P180" s="1311"/>
      <c r="Q180" s="1311"/>
      <c r="R180" s="1312" t="e">
        <f>'PLANILHA '!#REF!</f>
        <v>#REF!</v>
      </c>
      <c r="S180" s="1312"/>
      <c r="T180" s="1313" t="e">
        <f>'PLANILHA '!#REF!</f>
        <v>#REF!</v>
      </c>
      <c r="U180" s="1313"/>
      <c r="V180" s="1313"/>
      <c r="W180" s="1313" t="e">
        <f>'PLANILHA '!#REF!</f>
        <v>#REF!</v>
      </c>
      <c r="X180" s="1313"/>
      <c r="Y180" s="1313"/>
      <c r="Z180" s="1320"/>
      <c r="AA180" s="1320"/>
      <c r="AB180" s="1320"/>
      <c r="AC180" s="1320"/>
      <c r="AD180" s="1315"/>
      <c r="AE180" s="1315"/>
      <c r="AF180" s="1315"/>
      <c r="AG180" s="1321" t="e">
        <f>ROUND(W180*AD180,2)</f>
        <v>#REF!</v>
      </c>
      <c r="AH180" s="1321"/>
      <c r="AI180" s="1321"/>
      <c r="AJ180" s="1321"/>
      <c r="AK180" s="1315"/>
      <c r="AL180" s="1315"/>
      <c r="AM180" s="1315"/>
      <c r="AN180" s="1315"/>
      <c r="AO180" s="1315"/>
      <c r="AP180" s="1317" t="e">
        <f>'PLANILHA '!#REF!</f>
        <v>#REF!</v>
      </c>
      <c r="AQ180" s="1317"/>
      <c r="AR180" s="1317"/>
      <c r="AS180" s="1317"/>
      <c r="AT180" s="1317"/>
      <c r="AU180" s="1316"/>
      <c r="AV180" s="1316"/>
      <c r="AW180" s="1316"/>
      <c r="AX180" s="1316"/>
      <c r="AY180" s="1316"/>
      <c r="AZ180" s="1323" t="e">
        <f>$W180*AK180</f>
        <v>#REF!</v>
      </c>
      <c r="BA180" s="1323"/>
      <c r="BB180" s="1323"/>
      <c r="BC180" s="1323"/>
      <c r="BD180" s="1323" t="e">
        <f>$W180*AP180</f>
        <v>#REF!</v>
      </c>
      <c r="BE180" s="1323"/>
      <c r="BF180" s="1323"/>
      <c r="BG180" s="1323"/>
      <c r="BH180" s="1323"/>
      <c r="BI180" s="1323" t="e">
        <f>ROUND(AZ180+BD180,2)</f>
        <v>#REF!</v>
      </c>
      <c r="BJ180" s="1323"/>
      <c r="BK180" s="1323"/>
      <c r="BL180" s="1323"/>
      <c r="BM180" s="1323"/>
      <c r="BN180" s="1318"/>
      <c r="BO180" s="1318"/>
      <c r="BP180" s="1318"/>
    </row>
    <row r="181" spans="1:68" s="361" customFormat="1" ht="12.75" customHeight="1">
      <c r="A181" s="355"/>
      <c r="B181" s="1310" t="e">
        <f>'PLANILHA '!#REF!</f>
        <v>#REF!</v>
      </c>
      <c r="C181" s="1310"/>
      <c r="D181" s="1311" t="e">
        <f>'PLANILHA '!#REF!</f>
        <v>#REF!</v>
      </c>
      <c r="E181" s="1311"/>
      <c r="F181" s="1311"/>
      <c r="G181" s="1311"/>
      <c r="H181" s="1311"/>
      <c r="I181" s="1311"/>
      <c r="J181" s="1311"/>
      <c r="K181" s="1311"/>
      <c r="L181" s="1311"/>
      <c r="M181" s="1311"/>
      <c r="N181" s="1311"/>
      <c r="O181" s="1311"/>
      <c r="P181" s="1311"/>
      <c r="Q181" s="1311"/>
      <c r="R181" s="1312" t="e">
        <f>'PLANILHA '!#REF!</f>
        <v>#REF!</v>
      </c>
      <c r="S181" s="1312"/>
      <c r="T181" s="1313" t="e">
        <f>'PLANILHA '!#REF!</f>
        <v>#REF!</v>
      </c>
      <c r="U181" s="1313"/>
      <c r="V181" s="1313"/>
      <c r="W181" s="1313" t="e">
        <f>'PLANILHA '!#REF!</f>
        <v>#REF!</v>
      </c>
      <c r="X181" s="1313"/>
      <c r="Y181" s="1313"/>
      <c r="Z181" s="1320"/>
      <c r="AA181" s="1320"/>
      <c r="AB181" s="1320"/>
      <c r="AC181" s="1320"/>
      <c r="AD181" s="1315"/>
      <c r="AE181" s="1315"/>
      <c r="AF181" s="1315"/>
      <c r="AG181" s="1321"/>
      <c r="AH181" s="1321"/>
      <c r="AI181" s="1321"/>
      <c r="AJ181" s="1321"/>
      <c r="AK181" s="1327"/>
      <c r="AL181" s="1327"/>
      <c r="AM181" s="1327"/>
      <c r="AN181" s="1327"/>
      <c r="AO181" s="1327"/>
      <c r="AP181" s="1317" t="e">
        <f>'PLANILHA '!#REF!</f>
        <v>#REF!</v>
      </c>
      <c r="AQ181" s="1317"/>
      <c r="AR181" s="1317"/>
      <c r="AS181" s="1317"/>
      <c r="AT181" s="1317"/>
      <c r="AU181" s="1322"/>
      <c r="AV181" s="1322"/>
      <c r="AW181" s="1322"/>
      <c r="AX181" s="1322"/>
      <c r="AY181" s="1322"/>
      <c r="AZ181" s="1323"/>
      <c r="BA181" s="1323"/>
      <c r="BB181" s="1323"/>
      <c r="BC181" s="1323"/>
      <c r="BD181" s="1323"/>
      <c r="BE181" s="1323"/>
      <c r="BF181" s="1323"/>
      <c r="BG181" s="1323"/>
      <c r="BH181" s="1323"/>
      <c r="BI181" s="1323"/>
      <c r="BJ181" s="1323"/>
      <c r="BK181" s="1323"/>
      <c r="BL181" s="1323"/>
      <c r="BM181" s="1323"/>
      <c r="BN181" s="1324"/>
      <c r="BO181" s="1324"/>
      <c r="BP181" s="1324"/>
    </row>
    <row r="182" spans="1:68" s="361" customFormat="1" ht="12.75" customHeight="1">
      <c r="A182" s="355"/>
      <c r="B182" s="1310" t="e">
        <f>'PLANILHA '!#REF!</f>
        <v>#REF!</v>
      </c>
      <c r="C182" s="1310"/>
      <c r="D182" s="1311" t="e">
        <f>'PLANILHA '!#REF!</f>
        <v>#REF!</v>
      </c>
      <c r="E182" s="1311"/>
      <c r="F182" s="1311"/>
      <c r="G182" s="1311"/>
      <c r="H182" s="1311"/>
      <c r="I182" s="1311"/>
      <c r="J182" s="1311"/>
      <c r="K182" s="1311"/>
      <c r="L182" s="1311"/>
      <c r="M182" s="1311"/>
      <c r="N182" s="1311"/>
      <c r="O182" s="1311"/>
      <c r="P182" s="1311"/>
      <c r="Q182" s="1311"/>
      <c r="R182" s="1312" t="e">
        <f>'PLANILHA '!#REF!</f>
        <v>#REF!</v>
      </c>
      <c r="S182" s="1312"/>
      <c r="T182" s="1313" t="e">
        <f>'PLANILHA '!#REF!</f>
        <v>#REF!</v>
      </c>
      <c r="U182" s="1313"/>
      <c r="V182" s="1313"/>
      <c r="W182" s="1313" t="e">
        <f>'PLANILHA '!#REF!</f>
        <v>#REF!</v>
      </c>
      <c r="X182" s="1313"/>
      <c r="Y182" s="1313"/>
      <c r="Z182" s="1320"/>
      <c r="AA182" s="1320"/>
      <c r="AB182" s="1320"/>
      <c r="AC182" s="1320"/>
      <c r="AD182" s="1315"/>
      <c r="AE182" s="1315"/>
      <c r="AF182" s="1315"/>
      <c r="AG182" s="1321" t="e">
        <f>ROUND(W182*AD182,2)</f>
        <v>#REF!</v>
      </c>
      <c r="AH182" s="1321"/>
      <c r="AI182" s="1321"/>
      <c r="AJ182" s="1321"/>
      <c r="AK182" s="1315"/>
      <c r="AL182" s="1315"/>
      <c r="AM182" s="1315"/>
      <c r="AN182" s="1315"/>
      <c r="AO182" s="1315"/>
      <c r="AP182" s="1317" t="e">
        <f>'PLANILHA '!#REF!</f>
        <v>#REF!</v>
      </c>
      <c r="AQ182" s="1317"/>
      <c r="AR182" s="1317"/>
      <c r="AS182" s="1317"/>
      <c r="AT182" s="1317"/>
      <c r="AU182" s="1322" t="e">
        <f>AK182+AP182</f>
        <v>#REF!</v>
      </c>
      <c r="AV182" s="1322"/>
      <c r="AW182" s="1322"/>
      <c r="AX182" s="1322"/>
      <c r="AY182" s="1322"/>
      <c r="AZ182" s="1323" t="e">
        <f>$W182*AK182</f>
        <v>#REF!</v>
      </c>
      <c r="BA182" s="1323"/>
      <c r="BB182" s="1323"/>
      <c r="BC182" s="1323"/>
      <c r="BD182" s="1323" t="e">
        <f>$W182*AP182</f>
        <v>#REF!</v>
      </c>
      <c r="BE182" s="1323"/>
      <c r="BF182" s="1323"/>
      <c r="BG182" s="1323"/>
      <c r="BH182" s="1323"/>
      <c r="BI182" s="1323" t="e">
        <f>ROUND(AZ182+BD182,2)</f>
        <v>#REF!</v>
      </c>
      <c r="BJ182" s="1323"/>
      <c r="BK182" s="1323"/>
      <c r="BL182" s="1323"/>
      <c r="BM182" s="1323"/>
      <c r="BN182" s="1318"/>
      <c r="BO182" s="1318"/>
      <c r="BP182" s="1318"/>
    </row>
    <row r="183" spans="1:68" s="361" customFormat="1" ht="12.75" customHeight="1">
      <c r="A183" s="355"/>
      <c r="B183" s="1310" t="e">
        <f>'PLANILHA '!#REF!</f>
        <v>#REF!</v>
      </c>
      <c r="C183" s="1310"/>
      <c r="D183" s="1311" t="e">
        <f>'PLANILHA '!#REF!</f>
        <v>#REF!</v>
      </c>
      <c r="E183" s="1311"/>
      <c r="F183" s="1311"/>
      <c r="G183" s="1311"/>
      <c r="H183" s="1311"/>
      <c r="I183" s="1311"/>
      <c r="J183" s="1311"/>
      <c r="K183" s="1311"/>
      <c r="L183" s="1311"/>
      <c r="M183" s="1311"/>
      <c r="N183" s="1311"/>
      <c r="O183" s="1311"/>
      <c r="P183" s="1311"/>
      <c r="Q183" s="1311"/>
      <c r="R183" s="1312" t="e">
        <f>'PLANILHA '!#REF!</f>
        <v>#REF!</v>
      </c>
      <c r="S183" s="1312"/>
      <c r="T183" s="1313" t="e">
        <f>'PLANILHA '!#REF!</f>
        <v>#REF!</v>
      </c>
      <c r="U183" s="1313"/>
      <c r="V183" s="1313"/>
      <c r="W183" s="1313" t="e">
        <f>'PLANILHA '!#REF!</f>
        <v>#REF!</v>
      </c>
      <c r="X183" s="1313"/>
      <c r="Y183" s="1313"/>
      <c r="Z183" s="1325"/>
      <c r="AA183" s="1325"/>
      <c r="AB183" s="1325"/>
      <c r="AC183" s="1325"/>
      <c r="AD183" s="1333"/>
      <c r="AE183" s="1333"/>
      <c r="AF183" s="1333"/>
      <c r="AG183" s="1321" t="e">
        <f>ROUND(W183*AD183,2)</f>
        <v>#REF!</v>
      </c>
      <c r="AH183" s="1321"/>
      <c r="AI183" s="1321"/>
      <c r="AJ183" s="1321"/>
      <c r="AK183" s="396"/>
      <c r="AL183" s="397"/>
      <c r="AM183" s="397"/>
      <c r="AN183" s="397"/>
      <c r="AO183" s="398"/>
      <c r="AP183" s="1317" t="e">
        <f>'PLANILHA '!#REF!</f>
        <v>#REF!</v>
      </c>
      <c r="AQ183" s="1317"/>
      <c r="AR183" s="1317"/>
      <c r="AS183" s="1317"/>
      <c r="AT183" s="1317"/>
      <c r="AU183" s="399"/>
      <c r="AV183" s="400"/>
      <c r="AW183" s="400"/>
      <c r="AX183" s="400"/>
      <c r="AY183" s="401"/>
      <c r="AZ183" s="1331" t="e">
        <f>SUM(AZ180:BC182)</f>
        <v>#REF!</v>
      </c>
      <c r="BA183" s="1331"/>
      <c r="BB183" s="1331"/>
      <c r="BC183" s="1331"/>
      <c r="BD183" s="1331" t="e">
        <f>SUM(BD179:BH182)</f>
        <v>#REF!</v>
      </c>
      <c r="BE183" s="1331"/>
      <c r="BF183" s="1331"/>
      <c r="BG183" s="1331"/>
      <c r="BH183" s="1331"/>
      <c r="BI183" s="1331" t="e">
        <f>SUM(BI180:BM182)</f>
        <v>#REF!</v>
      </c>
      <c r="BJ183" s="1331"/>
      <c r="BK183" s="1331"/>
      <c r="BL183" s="1331"/>
      <c r="BM183" s="1331"/>
      <c r="BN183" s="402"/>
      <c r="BO183" s="403"/>
      <c r="BP183" s="404"/>
    </row>
    <row r="184" spans="1:68" s="361" customFormat="1" ht="12.75" customHeight="1">
      <c r="A184" s="355"/>
      <c r="B184" s="1310" t="e">
        <f>'PLANILHA '!#REF!</f>
        <v>#REF!</v>
      </c>
      <c r="C184" s="1310"/>
      <c r="D184" s="1311" t="e">
        <f>'PLANILHA '!#REF!</f>
        <v>#REF!</v>
      </c>
      <c r="E184" s="1311"/>
      <c r="F184" s="1311"/>
      <c r="G184" s="1311"/>
      <c r="H184" s="1311"/>
      <c r="I184" s="1311"/>
      <c r="J184" s="1311"/>
      <c r="K184" s="1311"/>
      <c r="L184" s="1311"/>
      <c r="M184" s="1311"/>
      <c r="N184" s="1311"/>
      <c r="O184" s="1311"/>
      <c r="P184" s="1311"/>
      <c r="Q184" s="1311"/>
      <c r="R184" s="1312" t="e">
        <f>'PLANILHA '!#REF!</f>
        <v>#REF!</v>
      </c>
      <c r="S184" s="1312"/>
      <c r="T184" s="1313" t="e">
        <f>'PLANILHA '!#REF!</f>
        <v>#REF!</v>
      </c>
      <c r="U184" s="1313"/>
      <c r="V184" s="1313"/>
      <c r="W184" s="1313" t="e">
        <f>'PLANILHA '!#REF!</f>
        <v>#REF!</v>
      </c>
      <c r="X184" s="1313"/>
      <c r="Y184" s="1313"/>
      <c r="Z184" s="1320"/>
      <c r="AA184" s="1320"/>
      <c r="AB184" s="1320"/>
      <c r="AC184" s="1320"/>
      <c r="AD184" s="1315"/>
      <c r="AE184" s="1315"/>
      <c r="AF184" s="1315"/>
      <c r="AG184" s="1316"/>
      <c r="AH184" s="1316"/>
      <c r="AI184" s="1316"/>
      <c r="AJ184" s="1316"/>
      <c r="AK184" s="1315"/>
      <c r="AL184" s="1315"/>
      <c r="AM184" s="1315"/>
      <c r="AN184" s="1315"/>
      <c r="AO184" s="1315"/>
      <c r="AP184" s="1317" t="e">
        <f>'PLANILHA '!#REF!</f>
        <v>#REF!</v>
      </c>
      <c r="AQ184" s="1317"/>
      <c r="AR184" s="1317"/>
      <c r="AS184" s="1317"/>
      <c r="AT184" s="1317"/>
      <c r="AU184" s="1316"/>
      <c r="AV184" s="1316"/>
      <c r="AW184" s="1316"/>
      <c r="AX184" s="1316"/>
      <c r="AY184" s="1316"/>
      <c r="AZ184" s="1316"/>
      <c r="BA184" s="1316"/>
      <c r="BB184" s="1316"/>
      <c r="BC184" s="1316"/>
      <c r="BD184" s="1332"/>
      <c r="BE184" s="1332"/>
      <c r="BF184" s="1332"/>
      <c r="BG184" s="1332"/>
      <c r="BH184" s="1332"/>
      <c r="BI184" s="1316"/>
      <c r="BJ184" s="1316"/>
      <c r="BK184" s="1316"/>
      <c r="BL184" s="1316"/>
      <c r="BM184" s="1316"/>
      <c r="BN184" s="1318"/>
      <c r="BO184" s="1318"/>
      <c r="BP184" s="1318"/>
    </row>
    <row r="185" spans="1:68" s="361" customFormat="1" ht="12.75" customHeight="1">
      <c r="A185" s="355"/>
      <c r="B185" s="1310" t="e">
        <f>'PLANILHA '!#REF!</f>
        <v>#REF!</v>
      </c>
      <c r="C185" s="1310"/>
      <c r="D185" s="1311" t="e">
        <f>'PLANILHA '!#REF!</f>
        <v>#REF!</v>
      </c>
      <c r="E185" s="1311"/>
      <c r="F185" s="1311"/>
      <c r="G185" s="1311"/>
      <c r="H185" s="1311"/>
      <c r="I185" s="1311"/>
      <c r="J185" s="1311"/>
      <c r="K185" s="1311"/>
      <c r="L185" s="1311"/>
      <c r="M185" s="1311"/>
      <c r="N185" s="1311"/>
      <c r="O185" s="1311"/>
      <c r="P185" s="1311"/>
      <c r="Q185" s="1311"/>
      <c r="R185" s="1312" t="e">
        <f>'PLANILHA '!#REF!</f>
        <v>#REF!</v>
      </c>
      <c r="S185" s="1312"/>
      <c r="T185" s="1313" t="e">
        <f>'PLANILHA '!#REF!</f>
        <v>#REF!</v>
      </c>
      <c r="U185" s="1313"/>
      <c r="V185" s="1313"/>
      <c r="W185" s="1313" t="e">
        <f>'PLANILHA '!#REF!</f>
        <v>#REF!</v>
      </c>
      <c r="X185" s="1313"/>
      <c r="Y185" s="1313"/>
      <c r="Z185" s="1320"/>
      <c r="AA185" s="1320"/>
      <c r="AB185" s="1320"/>
      <c r="AC185" s="1320"/>
      <c r="AD185" s="1315"/>
      <c r="AE185" s="1315"/>
      <c r="AF185" s="1315"/>
      <c r="AG185" s="1321" t="e">
        <f t="shared" ref="AG185:AG191" si="24">ROUND(W185*AD185,2)</f>
        <v>#REF!</v>
      </c>
      <c r="AH185" s="1321"/>
      <c r="AI185" s="1321"/>
      <c r="AJ185" s="1321"/>
      <c r="AK185" s="1315"/>
      <c r="AL185" s="1315"/>
      <c r="AM185" s="1315"/>
      <c r="AN185" s="1315"/>
      <c r="AO185" s="1315"/>
      <c r="AP185" s="1317" t="e">
        <f>'PLANILHA '!#REF!</f>
        <v>#REF!</v>
      </c>
      <c r="AQ185" s="1317"/>
      <c r="AR185" s="1317"/>
      <c r="AS185" s="1317"/>
      <c r="AT185" s="1317"/>
      <c r="AU185" s="1316"/>
      <c r="AV185" s="1316"/>
      <c r="AW185" s="1316"/>
      <c r="AX185" s="1316"/>
      <c r="AY185" s="1316"/>
      <c r="AZ185" s="1323" t="e">
        <f t="shared" ref="AZ185:AZ190" si="25">$W185*AK185</f>
        <v>#REF!</v>
      </c>
      <c r="BA185" s="1323"/>
      <c r="BB185" s="1323"/>
      <c r="BC185" s="1323"/>
      <c r="BD185" s="1323" t="e">
        <f t="shared" ref="BD185:BD190" si="26">$W185*AP185</f>
        <v>#REF!</v>
      </c>
      <c r="BE185" s="1323"/>
      <c r="BF185" s="1323"/>
      <c r="BG185" s="1323"/>
      <c r="BH185" s="1323"/>
      <c r="BI185" s="1316"/>
      <c r="BJ185" s="1316"/>
      <c r="BK185" s="1316"/>
      <c r="BL185" s="1316"/>
      <c r="BM185" s="1316"/>
      <c r="BN185" s="1318"/>
      <c r="BO185" s="1318"/>
      <c r="BP185" s="1318"/>
    </row>
    <row r="186" spans="1:68" s="361" customFormat="1" ht="12.75" customHeight="1">
      <c r="A186" s="355"/>
      <c r="B186" s="1310" t="e">
        <f>'PLANILHA '!#REF!</f>
        <v>#REF!</v>
      </c>
      <c r="C186" s="1310"/>
      <c r="D186" s="1311" t="e">
        <f>'PLANILHA '!#REF!</f>
        <v>#REF!</v>
      </c>
      <c r="E186" s="1311"/>
      <c r="F186" s="1311"/>
      <c r="G186" s="1311"/>
      <c r="H186" s="1311"/>
      <c r="I186" s="1311"/>
      <c r="J186" s="1311"/>
      <c r="K186" s="1311"/>
      <c r="L186" s="1311"/>
      <c r="M186" s="1311"/>
      <c r="N186" s="1311"/>
      <c r="O186" s="1311"/>
      <c r="P186" s="1311"/>
      <c r="Q186" s="1311"/>
      <c r="R186" s="1312" t="e">
        <f>'PLANILHA '!#REF!</f>
        <v>#REF!</v>
      </c>
      <c r="S186" s="1312"/>
      <c r="T186" s="1313" t="e">
        <f>'PLANILHA '!#REF!</f>
        <v>#REF!</v>
      </c>
      <c r="U186" s="1313"/>
      <c r="V186" s="1313"/>
      <c r="W186" s="1313" t="e">
        <f>'PLANILHA '!#REF!</f>
        <v>#REF!</v>
      </c>
      <c r="X186" s="1313"/>
      <c r="Y186" s="1313"/>
      <c r="Z186" s="1320"/>
      <c r="AA186" s="1320"/>
      <c r="AB186" s="1320"/>
      <c r="AC186" s="1320"/>
      <c r="AD186" s="1333"/>
      <c r="AE186" s="1333"/>
      <c r="AF186" s="1333"/>
      <c r="AG186" s="1321" t="e">
        <f t="shared" si="24"/>
        <v>#REF!</v>
      </c>
      <c r="AH186" s="1321"/>
      <c r="AI186" s="1321"/>
      <c r="AJ186" s="1321"/>
      <c r="AK186" s="1326"/>
      <c r="AL186" s="1326"/>
      <c r="AM186" s="1326"/>
      <c r="AN186" s="1326"/>
      <c r="AO186" s="1326"/>
      <c r="AP186" s="1317" t="e">
        <f>'PLANILHA '!#REF!</f>
        <v>#REF!</v>
      </c>
      <c r="AQ186" s="1317"/>
      <c r="AR186" s="1317"/>
      <c r="AS186" s="1317"/>
      <c r="AT186" s="1317"/>
      <c r="AU186" s="1322" t="e">
        <f>AK186+AP186</f>
        <v>#REF!</v>
      </c>
      <c r="AV186" s="1322"/>
      <c r="AW186" s="1322"/>
      <c r="AX186" s="1322"/>
      <c r="AY186" s="1322"/>
      <c r="AZ186" s="1323" t="e">
        <f t="shared" si="25"/>
        <v>#REF!</v>
      </c>
      <c r="BA186" s="1323"/>
      <c r="BB186" s="1323"/>
      <c r="BC186" s="1323"/>
      <c r="BD186" s="1323" t="e">
        <f t="shared" si="26"/>
        <v>#REF!</v>
      </c>
      <c r="BE186" s="1323"/>
      <c r="BF186" s="1323"/>
      <c r="BG186" s="1323"/>
      <c r="BH186" s="1323"/>
      <c r="BI186" s="1323" t="e">
        <f>ROUND(AZ186+BD186,2)</f>
        <v>#REF!</v>
      </c>
      <c r="BJ186" s="1323"/>
      <c r="BK186" s="1323"/>
      <c r="BL186" s="1323"/>
      <c r="BM186" s="1323"/>
      <c r="BN186" s="1324" t="str">
        <f>IF(AD186&lt;&gt;"",AG186/Z186,"")</f>
        <v/>
      </c>
      <c r="BO186" s="1324"/>
      <c r="BP186" s="1324"/>
    </row>
    <row r="187" spans="1:68" s="361" customFormat="1" ht="12.75" customHeight="1">
      <c r="A187" s="355"/>
      <c r="B187" s="1310" t="e">
        <f>'PLANILHA '!#REF!</f>
        <v>#REF!</v>
      </c>
      <c r="C187" s="1310"/>
      <c r="D187" s="1311" t="e">
        <f>'PLANILHA '!#REF!</f>
        <v>#REF!</v>
      </c>
      <c r="E187" s="1311"/>
      <c r="F187" s="1311"/>
      <c r="G187" s="1311"/>
      <c r="H187" s="1311"/>
      <c r="I187" s="1311"/>
      <c r="J187" s="1311"/>
      <c r="K187" s="1311"/>
      <c r="L187" s="1311"/>
      <c r="M187" s="1311"/>
      <c r="N187" s="1311"/>
      <c r="O187" s="1311"/>
      <c r="P187" s="1311"/>
      <c r="Q187" s="1311"/>
      <c r="R187" s="1312" t="e">
        <f>'PLANILHA '!#REF!</f>
        <v>#REF!</v>
      </c>
      <c r="S187" s="1312"/>
      <c r="T187" s="1313" t="e">
        <f>'PLANILHA '!#REF!</f>
        <v>#REF!</v>
      </c>
      <c r="U187" s="1313"/>
      <c r="V187" s="1313"/>
      <c r="W187" s="1313" t="e">
        <f>'PLANILHA '!#REF!</f>
        <v>#REF!</v>
      </c>
      <c r="X187" s="1313"/>
      <c r="Y187" s="1313"/>
      <c r="Z187" s="1320"/>
      <c r="AA187" s="1320"/>
      <c r="AB187" s="1320"/>
      <c r="AC187" s="1320"/>
      <c r="AD187" s="1315"/>
      <c r="AE187" s="1315"/>
      <c r="AF187" s="1315"/>
      <c r="AG187" s="1321" t="e">
        <f t="shared" si="24"/>
        <v>#REF!</v>
      </c>
      <c r="AH187" s="1321"/>
      <c r="AI187" s="1321"/>
      <c r="AJ187" s="1321"/>
      <c r="AK187" s="1315"/>
      <c r="AL187" s="1315"/>
      <c r="AM187" s="1315"/>
      <c r="AN187" s="1315"/>
      <c r="AO187" s="1315"/>
      <c r="AP187" s="1317" t="e">
        <f>'PLANILHA '!#REF!</f>
        <v>#REF!</v>
      </c>
      <c r="AQ187" s="1317"/>
      <c r="AR187" s="1317"/>
      <c r="AS187" s="1317"/>
      <c r="AT187" s="1317"/>
      <c r="AU187" s="1316"/>
      <c r="AV187" s="1316"/>
      <c r="AW187" s="1316"/>
      <c r="AX187" s="1316"/>
      <c r="AY187" s="1316"/>
      <c r="AZ187" s="1323" t="e">
        <f t="shared" si="25"/>
        <v>#REF!</v>
      </c>
      <c r="BA187" s="1323"/>
      <c r="BB187" s="1323"/>
      <c r="BC187" s="1323"/>
      <c r="BD187" s="1323" t="e">
        <f t="shared" si="26"/>
        <v>#REF!</v>
      </c>
      <c r="BE187" s="1323"/>
      <c r="BF187" s="1323"/>
      <c r="BG187" s="1323"/>
      <c r="BH187" s="1323"/>
      <c r="BI187" s="1323" t="e">
        <f>ROUND(AZ187+BD187,2)</f>
        <v>#REF!</v>
      </c>
      <c r="BJ187" s="1323"/>
      <c r="BK187" s="1323"/>
      <c r="BL187" s="1323"/>
      <c r="BM187" s="1323"/>
      <c r="BN187" s="1318"/>
      <c r="BO187" s="1318"/>
      <c r="BP187" s="1318"/>
    </row>
    <row r="188" spans="1:68" s="361" customFormat="1" ht="12.75" customHeight="1">
      <c r="A188" s="355"/>
      <c r="B188" s="1310" t="e">
        <f>'PLANILHA '!#REF!</f>
        <v>#REF!</v>
      </c>
      <c r="C188" s="1310"/>
      <c r="D188" s="1311" t="e">
        <f>'PLANILHA '!#REF!</f>
        <v>#REF!</v>
      </c>
      <c r="E188" s="1311"/>
      <c r="F188" s="1311"/>
      <c r="G188" s="1311"/>
      <c r="H188" s="1311"/>
      <c r="I188" s="1311"/>
      <c r="J188" s="1311"/>
      <c r="K188" s="1311"/>
      <c r="L188" s="1311"/>
      <c r="M188" s="1311"/>
      <c r="N188" s="1311"/>
      <c r="O188" s="1311"/>
      <c r="P188" s="1311"/>
      <c r="Q188" s="1311"/>
      <c r="R188" s="1312" t="e">
        <f>'PLANILHA '!#REF!</f>
        <v>#REF!</v>
      </c>
      <c r="S188" s="1312"/>
      <c r="T188" s="1313" t="e">
        <f>'PLANILHA '!#REF!</f>
        <v>#REF!</v>
      </c>
      <c r="U188" s="1313"/>
      <c r="V188" s="1313"/>
      <c r="W188" s="1313" t="e">
        <f>'PLANILHA '!#REF!</f>
        <v>#REF!</v>
      </c>
      <c r="X188" s="1313"/>
      <c r="Y188" s="1313"/>
      <c r="Z188" s="1320"/>
      <c r="AA188" s="1320"/>
      <c r="AB188" s="1320"/>
      <c r="AC188" s="1320"/>
      <c r="AD188" s="1315"/>
      <c r="AE188" s="1315"/>
      <c r="AF188" s="1315"/>
      <c r="AG188" s="1321" t="e">
        <f t="shared" si="24"/>
        <v>#REF!</v>
      </c>
      <c r="AH188" s="1321"/>
      <c r="AI188" s="1321"/>
      <c r="AJ188" s="1321"/>
      <c r="AK188" s="1315"/>
      <c r="AL188" s="1315"/>
      <c r="AM188" s="1315"/>
      <c r="AN188" s="1315"/>
      <c r="AO188" s="1315"/>
      <c r="AP188" s="1317" t="e">
        <f>'PLANILHA '!#REF!</f>
        <v>#REF!</v>
      </c>
      <c r="AQ188" s="1317"/>
      <c r="AR188" s="1317"/>
      <c r="AS188" s="1317"/>
      <c r="AT188" s="1317"/>
      <c r="AU188" s="1322" t="e">
        <f>AK188+AP188</f>
        <v>#REF!</v>
      </c>
      <c r="AV188" s="1322"/>
      <c r="AW188" s="1322"/>
      <c r="AX188" s="1322"/>
      <c r="AY188" s="1322"/>
      <c r="AZ188" s="1323" t="e">
        <f t="shared" si="25"/>
        <v>#REF!</v>
      </c>
      <c r="BA188" s="1323"/>
      <c r="BB188" s="1323"/>
      <c r="BC188" s="1323"/>
      <c r="BD188" s="1323" t="e">
        <f t="shared" si="26"/>
        <v>#REF!</v>
      </c>
      <c r="BE188" s="1323"/>
      <c r="BF188" s="1323"/>
      <c r="BG188" s="1323"/>
      <c r="BH188" s="1323"/>
      <c r="BI188" s="1323" t="e">
        <f>ROUND(AZ188+BD188,2)</f>
        <v>#REF!</v>
      </c>
      <c r="BJ188" s="1323"/>
      <c r="BK188" s="1323"/>
      <c r="BL188" s="1323"/>
      <c r="BM188" s="1323"/>
      <c r="BN188" s="1318"/>
      <c r="BO188" s="1318"/>
      <c r="BP188" s="1318"/>
    </row>
    <row r="189" spans="1:68" s="361" customFormat="1" ht="12.75" customHeight="1">
      <c r="A189" s="355"/>
      <c r="B189" s="1310" t="e">
        <f>'PLANILHA '!#REF!</f>
        <v>#REF!</v>
      </c>
      <c r="C189" s="1310"/>
      <c r="D189" s="1311" t="e">
        <f>'PLANILHA '!#REF!</f>
        <v>#REF!</v>
      </c>
      <c r="E189" s="1311"/>
      <c r="F189" s="1311"/>
      <c r="G189" s="1311"/>
      <c r="H189" s="1311"/>
      <c r="I189" s="1311"/>
      <c r="J189" s="1311"/>
      <c r="K189" s="1311"/>
      <c r="L189" s="1311"/>
      <c r="M189" s="1311"/>
      <c r="N189" s="1311"/>
      <c r="O189" s="1311"/>
      <c r="P189" s="1311"/>
      <c r="Q189" s="1311"/>
      <c r="R189" s="1312" t="e">
        <f>'PLANILHA '!#REF!</f>
        <v>#REF!</v>
      </c>
      <c r="S189" s="1312"/>
      <c r="T189" s="1313" t="e">
        <f>'PLANILHA '!#REF!</f>
        <v>#REF!</v>
      </c>
      <c r="U189" s="1313"/>
      <c r="V189" s="1313"/>
      <c r="W189" s="1313" t="e">
        <f>'PLANILHA '!#REF!</f>
        <v>#REF!</v>
      </c>
      <c r="X189" s="1313"/>
      <c r="Y189" s="1313"/>
      <c r="Z189" s="1320"/>
      <c r="AA189" s="1320"/>
      <c r="AB189" s="1320"/>
      <c r="AC189" s="1320"/>
      <c r="AD189" s="1315"/>
      <c r="AE189" s="1315"/>
      <c r="AF189" s="1315"/>
      <c r="AG189" s="1321" t="e">
        <f t="shared" si="24"/>
        <v>#REF!</v>
      </c>
      <c r="AH189" s="1321"/>
      <c r="AI189" s="1321"/>
      <c r="AJ189" s="1321"/>
      <c r="AK189" s="1315"/>
      <c r="AL189" s="1315"/>
      <c r="AM189" s="1315"/>
      <c r="AN189" s="1315"/>
      <c r="AO189" s="1315"/>
      <c r="AP189" s="1317" t="e">
        <f>'PLANILHA '!#REF!</f>
        <v>#REF!</v>
      </c>
      <c r="AQ189" s="1317"/>
      <c r="AR189" s="1317"/>
      <c r="AS189" s="1317"/>
      <c r="AT189" s="1317"/>
      <c r="AU189" s="1322" t="e">
        <f>AK189+AP189</f>
        <v>#REF!</v>
      </c>
      <c r="AV189" s="1322"/>
      <c r="AW189" s="1322"/>
      <c r="AX189" s="1322"/>
      <c r="AY189" s="1322"/>
      <c r="AZ189" s="1323" t="e">
        <f t="shared" si="25"/>
        <v>#REF!</v>
      </c>
      <c r="BA189" s="1323"/>
      <c r="BB189" s="1323"/>
      <c r="BC189" s="1323"/>
      <c r="BD189" s="1323" t="e">
        <f t="shared" si="26"/>
        <v>#REF!</v>
      </c>
      <c r="BE189" s="1323"/>
      <c r="BF189" s="1323"/>
      <c r="BG189" s="1323"/>
      <c r="BH189" s="1323"/>
      <c r="BI189" s="1323" t="e">
        <f>ROUND(AZ189+BD189,2)</f>
        <v>#REF!</v>
      </c>
      <c r="BJ189" s="1323"/>
      <c r="BK189" s="1323"/>
      <c r="BL189" s="1323"/>
      <c r="BM189" s="1323"/>
      <c r="BN189" s="1318"/>
      <c r="BO189" s="1318"/>
      <c r="BP189" s="1318"/>
    </row>
    <row r="190" spans="1:68" s="361" customFormat="1" ht="12.75" customHeight="1">
      <c r="A190" s="355"/>
      <c r="B190" s="1310" t="e">
        <f>'PLANILHA '!#REF!</f>
        <v>#REF!</v>
      </c>
      <c r="C190" s="1310"/>
      <c r="D190" s="1311" t="e">
        <f>'PLANILHA '!#REF!</f>
        <v>#REF!</v>
      </c>
      <c r="E190" s="1311"/>
      <c r="F190" s="1311"/>
      <c r="G190" s="1311"/>
      <c r="H190" s="1311"/>
      <c r="I190" s="1311"/>
      <c r="J190" s="1311"/>
      <c r="K190" s="1311"/>
      <c r="L190" s="1311"/>
      <c r="M190" s="1311"/>
      <c r="N190" s="1311"/>
      <c r="O190" s="1311"/>
      <c r="P190" s="1311"/>
      <c r="Q190" s="1311"/>
      <c r="R190" s="1312" t="e">
        <f>'PLANILHA '!#REF!</f>
        <v>#REF!</v>
      </c>
      <c r="S190" s="1312"/>
      <c r="T190" s="1313" t="e">
        <f>'PLANILHA '!#REF!</f>
        <v>#REF!</v>
      </c>
      <c r="U190" s="1313"/>
      <c r="V190" s="1313"/>
      <c r="W190" s="1313" t="e">
        <f>'PLANILHA '!#REF!</f>
        <v>#REF!</v>
      </c>
      <c r="X190" s="1313"/>
      <c r="Y190" s="1313"/>
      <c r="Z190" s="1320"/>
      <c r="AA190" s="1320"/>
      <c r="AB190" s="1320"/>
      <c r="AC190" s="1320"/>
      <c r="AD190" s="1315"/>
      <c r="AE190" s="1315"/>
      <c r="AF190" s="1315"/>
      <c r="AG190" s="1321" t="e">
        <f t="shared" si="24"/>
        <v>#REF!</v>
      </c>
      <c r="AH190" s="1321"/>
      <c r="AI190" s="1321"/>
      <c r="AJ190" s="1321"/>
      <c r="AK190" s="1315"/>
      <c r="AL190" s="1315"/>
      <c r="AM190" s="1315"/>
      <c r="AN190" s="1315"/>
      <c r="AO190" s="1315"/>
      <c r="AP190" s="1317" t="e">
        <f>'PLANILHA '!#REF!</f>
        <v>#REF!</v>
      </c>
      <c r="AQ190" s="1317"/>
      <c r="AR190" s="1317"/>
      <c r="AS190" s="1317"/>
      <c r="AT190" s="1317"/>
      <c r="AU190" s="1322" t="e">
        <f>AK190+AP190</f>
        <v>#REF!</v>
      </c>
      <c r="AV190" s="1322"/>
      <c r="AW190" s="1322"/>
      <c r="AX190" s="1322"/>
      <c r="AY190" s="1322"/>
      <c r="AZ190" s="1323" t="e">
        <f t="shared" si="25"/>
        <v>#REF!</v>
      </c>
      <c r="BA190" s="1323"/>
      <c r="BB190" s="1323"/>
      <c r="BC190" s="1323"/>
      <c r="BD190" s="1323" t="e">
        <f t="shared" si="26"/>
        <v>#REF!</v>
      </c>
      <c r="BE190" s="1323"/>
      <c r="BF190" s="1323"/>
      <c r="BG190" s="1323"/>
      <c r="BH190" s="1323"/>
      <c r="BI190" s="1323" t="e">
        <f>ROUND(AZ190+BD190,2)</f>
        <v>#REF!</v>
      </c>
      <c r="BJ190" s="1323"/>
      <c r="BK190" s="1323"/>
      <c r="BL190" s="1323"/>
      <c r="BM190" s="1323"/>
      <c r="BN190" s="1318"/>
      <c r="BO190" s="1318"/>
      <c r="BP190" s="1318"/>
    </row>
    <row r="191" spans="1:68" s="361" customFormat="1" ht="12.75" customHeight="1">
      <c r="A191" s="355"/>
      <c r="B191" s="1310" t="e">
        <f>'PLANILHA '!#REF!</f>
        <v>#REF!</v>
      </c>
      <c r="C191" s="1310"/>
      <c r="D191" s="1311" t="e">
        <f>'PLANILHA '!#REF!</f>
        <v>#REF!</v>
      </c>
      <c r="E191" s="1311"/>
      <c r="F191" s="1311"/>
      <c r="G191" s="1311"/>
      <c r="H191" s="1311"/>
      <c r="I191" s="1311"/>
      <c r="J191" s="1311"/>
      <c r="K191" s="1311"/>
      <c r="L191" s="1311"/>
      <c r="M191" s="1311"/>
      <c r="N191" s="1311"/>
      <c r="O191" s="1311"/>
      <c r="P191" s="1311"/>
      <c r="Q191" s="1311"/>
      <c r="R191" s="1312" t="e">
        <f>'PLANILHA '!#REF!</f>
        <v>#REF!</v>
      </c>
      <c r="S191" s="1312"/>
      <c r="T191" s="1313" t="e">
        <f>'PLANILHA '!#REF!</f>
        <v>#REF!</v>
      </c>
      <c r="U191" s="1313"/>
      <c r="V191" s="1313"/>
      <c r="W191" s="1313" t="e">
        <f>'PLANILHA '!#REF!</f>
        <v>#REF!</v>
      </c>
      <c r="X191" s="1313"/>
      <c r="Y191" s="1313"/>
      <c r="Z191" s="1320"/>
      <c r="AA191" s="1320"/>
      <c r="AB191" s="1320"/>
      <c r="AC191" s="1320"/>
      <c r="AD191" s="1315"/>
      <c r="AE191" s="1315"/>
      <c r="AF191" s="1315"/>
      <c r="AG191" s="1321" t="e">
        <f t="shared" si="24"/>
        <v>#REF!</v>
      </c>
      <c r="AH191" s="1321"/>
      <c r="AI191" s="1321"/>
      <c r="AJ191" s="1321"/>
      <c r="AK191" s="1315"/>
      <c r="AL191" s="1315"/>
      <c r="AM191" s="1315"/>
      <c r="AN191" s="1315"/>
      <c r="AO191" s="1315"/>
      <c r="AP191" s="1317" t="e">
        <f>'PLANILHA '!#REF!</f>
        <v>#REF!</v>
      </c>
      <c r="AQ191" s="1317"/>
      <c r="AR191" s="1317"/>
      <c r="AS191" s="1317"/>
      <c r="AT191" s="1317"/>
      <c r="AU191" s="1322"/>
      <c r="AV191" s="1322"/>
      <c r="AW191" s="1322"/>
      <c r="AX191" s="1322"/>
      <c r="AY191" s="1322"/>
      <c r="AZ191" s="1323" t="e">
        <f>SUM(AZ185:BC190)</f>
        <v>#REF!</v>
      </c>
      <c r="BA191" s="1323"/>
      <c r="BB191" s="1323"/>
      <c r="BC191" s="1323"/>
      <c r="BD191" s="1323" t="e">
        <f>SUM(BD185:BH190)</f>
        <v>#REF!</v>
      </c>
      <c r="BE191" s="1323"/>
      <c r="BF191" s="1323"/>
      <c r="BG191" s="1323"/>
      <c r="BH191" s="1323"/>
      <c r="BI191" s="1323" t="e">
        <f>SUM(BI185:BM190)</f>
        <v>#REF!</v>
      </c>
      <c r="BJ191" s="1323"/>
      <c r="BK191" s="1323"/>
      <c r="BL191" s="1323"/>
      <c r="BM191" s="1323"/>
      <c r="BN191" s="1318"/>
      <c r="BO191" s="1318"/>
      <c r="BP191" s="1318"/>
    </row>
    <row r="192" spans="1:68" s="361" customFormat="1" ht="12.75" customHeight="1">
      <c r="A192" s="355"/>
      <c r="B192" s="1310" t="e">
        <f>'PLANILHA '!#REF!</f>
        <v>#REF!</v>
      </c>
      <c r="C192" s="1310"/>
      <c r="D192" s="1311" t="e">
        <f>'PLANILHA '!#REF!</f>
        <v>#REF!</v>
      </c>
      <c r="E192" s="1311"/>
      <c r="F192" s="1311"/>
      <c r="G192" s="1311"/>
      <c r="H192" s="1311"/>
      <c r="I192" s="1311"/>
      <c r="J192" s="1311"/>
      <c r="K192" s="1311"/>
      <c r="L192" s="1311"/>
      <c r="M192" s="1311"/>
      <c r="N192" s="1311"/>
      <c r="O192" s="1311"/>
      <c r="P192" s="1311"/>
      <c r="Q192" s="1311"/>
      <c r="R192" s="1312" t="e">
        <f>'PLANILHA '!#REF!</f>
        <v>#REF!</v>
      </c>
      <c r="S192" s="1312"/>
      <c r="T192" s="1313" t="e">
        <f>'PLANILHA '!#REF!</f>
        <v>#REF!</v>
      </c>
      <c r="U192" s="1313"/>
      <c r="V192" s="1313"/>
      <c r="W192" s="1313" t="e">
        <f>'PLANILHA '!#REF!</f>
        <v>#REF!</v>
      </c>
      <c r="X192" s="1313"/>
      <c r="Y192" s="1313"/>
      <c r="Z192" s="1320"/>
      <c r="AA192" s="1320"/>
      <c r="AB192" s="1320"/>
      <c r="AC192" s="1320"/>
      <c r="AD192" s="1315"/>
      <c r="AE192" s="1315"/>
      <c r="AF192" s="1315"/>
      <c r="AG192" s="1316"/>
      <c r="AH192" s="1316"/>
      <c r="AI192" s="1316"/>
      <c r="AJ192" s="1316"/>
      <c r="AK192" s="1315"/>
      <c r="AL192" s="1315"/>
      <c r="AM192" s="1315"/>
      <c r="AN192" s="1315"/>
      <c r="AO192" s="1315"/>
      <c r="AP192" s="1317" t="e">
        <f>'PLANILHA '!#REF!</f>
        <v>#REF!</v>
      </c>
      <c r="AQ192" s="1317"/>
      <c r="AR192" s="1317"/>
      <c r="AS192" s="1317"/>
      <c r="AT192" s="1317"/>
      <c r="AU192" s="1316"/>
      <c r="AV192" s="1316"/>
      <c r="AW192" s="1316"/>
      <c r="AX192" s="1316"/>
      <c r="AY192" s="1316"/>
      <c r="AZ192" s="1316"/>
      <c r="BA192" s="1316"/>
      <c r="BB192" s="1316"/>
      <c r="BC192" s="1316"/>
      <c r="BD192" s="1316"/>
      <c r="BE192" s="1316"/>
      <c r="BF192" s="1316"/>
      <c r="BG192" s="1316"/>
      <c r="BH192" s="1316"/>
      <c r="BI192" s="1316"/>
      <c r="BJ192" s="1316"/>
      <c r="BK192" s="1316"/>
      <c r="BL192" s="1316"/>
      <c r="BM192" s="1316"/>
      <c r="BN192" s="1318"/>
      <c r="BO192" s="1318"/>
      <c r="BP192" s="1318"/>
    </row>
    <row r="193" spans="1:68" s="361" customFormat="1" ht="12.75" customHeight="1">
      <c r="A193" s="355"/>
      <c r="B193" s="1310" t="e">
        <f>'PLANILHA '!#REF!</f>
        <v>#REF!</v>
      </c>
      <c r="C193" s="1310"/>
      <c r="D193" s="1311" t="e">
        <f>'PLANILHA '!#REF!</f>
        <v>#REF!</v>
      </c>
      <c r="E193" s="1311"/>
      <c r="F193" s="1311"/>
      <c r="G193" s="1311"/>
      <c r="H193" s="1311"/>
      <c r="I193" s="1311"/>
      <c r="J193" s="1311"/>
      <c r="K193" s="1311"/>
      <c r="L193" s="1311"/>
      <c r="M193" s="1311"/>
      <c r="N193" s="1311"/>
      <c r="O193" s="1311"/>
      <c r="P193" s="1311"/>
      <c r="Q193" s="1311"/>
      <c r="R193" s="1312" t="e">
        <f>'PLANILHA '!#REF!</f>
        <v>#REF!</v>
      </c>
      <c r="S193" s="1312"/>
      <c r="T193" s="1313" t="e">
        <f>'PLANILHA '!#REF!</f>
        <v>#REF!</v>
      </c>
      <c r="U193" s="1313"/>
      <c r="V193" s="1313"/>
      <c r="W193" s="1313" t="e">
        <f>'PLANILHA '!#REF!</f>
        <v>#REF!</v>
      </c>
      <c r="X193" s="1313"/>
      <c r="Y193" s="1313"/>
      <c r="Z193" s="1320"/>
      <c r="AA193" s="1320"/>
      <c r="AB193" s="1320"/>
      <c r="AC193" s="1320"/>
      <c r="AD193" s="1333"/>
      <c r="AE193" s="1333"/>
      <c r="AF193" s="1333"/>
      <c r="AG193" s="1321"/>
      <c r="AH193" s="1321"/>
      <c r="AI193" s="1321"/>
      <c r="AJ193" s="1321"/>
      <c r="AK193" s="1326"/>
      <c r="AL193" s="1326"/>
      <c r="AM193" s="1326"/>
      <c r="AN193" s="1326"/>
      <c r="AO193" s="1326"/>
      <c r="AP193" s="1317" t="e">
        <f>'PLANILHA '!#REF!</f>
        <v>#REF!</v>
      </c>
      <c r="AQ193" s="1317"/>
      <c r="AR193" s="1317"/>
      <c r="AS193" s="1317"/>
      <c r="AT193" s="1317"/>
      <c r="AU193" s="1322"/>
      <c r="AV193" s="1322"/>
      <c r="AW193" s="1322"/>
      <c r="AX193" s="1322"/>
      <c r="AY193" s="1322"/>
      <c r="AZ193" s="1323"/>
      <c r="BA193" s="1323"/>
      <c r="BB193" s="1323"/>
      <c r="BC193" s="1323"/>
      <c r="BD193" s="1323"/>
      <c r="BE193" s="1323"/>
      <c r="BF193" s="1323"/>
      <c r="BG193" s="1323"/>
      <c r="BH193" s="1323"/>
      <c r="BI193" s="1323"/>
      <c r="BJ193" s="1323"/>
      <c r="BK193" s="1323"/>
      <c r="BL193" s="1323"/>
      <c r="BM193" s="1323"/>
      <c r="BN193" s="1324" t="str">
        <f>IF(AD193&lt;&gt;"",AG193/Z193,"")</f>
        <v/>
      </c>
      <c r="BO193" s="1324"/>
      <c r="BP193" s="1324"/>
    </row>
    <row r="194" spans="1:68" s="361" customFormat="1" ht="12.75" customHeight="1">
      <c r="A194" s="355"/>
      <c r="B194" s="1310" t="e">
        <f>'PLANILHA '!#REF!</f>
        <v>#REF!</v>
      </c>
      <c r="C194" s="1310"/>
      <c r="D194" s="1311" t="e">
        <f>'PLANILHA '!#REF!</f>
        <v>#REF!</v>
      </c>
      <c r="E194" s="1311"/>
      <c r="F194" s="1311"/>
      <c r="G194" s="1311"/>
      <c r="H194" s="1311"/>
      <c r="I194" s="1311"/>
      <c r="J194" s="1311"/>
      <c r="K194" s="1311"/>
      <c r="L194" s="1311"/>
      <c r="M194" s="1311"/>
      <c r="N194" s="1311"/>
      <c r="O194" s="1311"/>
      <c r="P194" s="1311"/>
      <c r="Q194" s="1311"/>
      <c r="R194" s="1312" t="e">
        <f>'PLANILHA '!#REF!</f>
        <v>#REF!</v>
      </c>
      <c r="S194" s="1312"/>
      <c r="T194" s="1313" t="e">
        <f>'PLANILHA '!#REF!</f>
        <v>#REF!</v>
      </c>
      <c r="U194" s="1313"/>
      <c r="V194" s="1313"/>
      <c r="W194" s="1313" t="e">
        <f>'PLANILHA '!#REF!</f>
        <v>#REF!</v>
      </c>
      <c r="X194" s="1313"/>
      <c r="Y194" s="1313"/>
      <c r="Z194" s="1320"/>
      <c r="AA194" s="1320"/>
      <c r="AB194" s="1320"/>
      <c r="AC194" s="1320"/>
      <c r="AD194" s="1315"/>
      <c r="AE194" s="1315"/>
      <c r="AF194" s="1315"/>
      <c r="AG194" s="1321" t="e">
        <f>ROUND(W194*AD194,2)</f>
        <v>#REF!</v>
      </c>
      <c r="AH194" s="1321"/>
      <c r="AI194" s="1321"/>
      <c r="AJ194" s="1321"/>
      <c r="AK194" s="1327"/>
      <c r="AL194" s="1327"/>
      <c r="AM194" s="1327"/>
      <c r="AN194" s="1327"/>
      <c r="AO194" s="1327"/>
      <c r="AP194" s="1317" t="e">
        <f>'PLANILHA '!#REF!</f>
        <v>#REF!</v>
      </c>
      <c r="AQ194" s="1317"/>
      <c r="AR194" s="1317"/>
      <c r="AS194" s="1317"/>
      <c r="AT194" s="1317"/>
      <c r="AU194" s="1322" t="e">
        <f>AK194+AP194</f>
        <v>#REF!</v>
      </c>
      <c r="AV194" s="1322"/>
      <c r="AW194" s="1322"/>
      <c r="AX194" s="1322"/>
      <c r="AY194" s="1322"/>
      <c r="AZ194" s="1323" t="e">
        <f>$W194*AK194</f>
        <v>#REF!</v>
      </c>
      <c r="BA194" s="1323"/>
      <c r="BB194" s="1323"/>
      <c r="BC194" s="1323"/>
      <c r="BD194" s="1323" t="e">
        <f>$W194*AP194</f>
        <v>#REF!</v>
      </c>
      <c r="BE194" s="1323"/>
      <c r="BF194" s="1323"/>
      <c r="BG194" s="1323"/>
      <c r="BH194" s="1323"/>
      <c r="BI194" s="1323" t="e">
        <f>ROUND(AZ194+BD194,2)</f>
        <v>#REF!</v>
      </c>
      <c r="BJ194" s="1323"/>
      <c r="BK194" s="1323"/>
      <c r="BL194" s="1323"/>
      <c r="BM194" s="1323"/>
      <c r="BN194" s="1318"/>
      <c r="BO194" s="1318"/>
      <c r="BP194" s="1318"/>
    </row>
    <row r="195" spans="1:68" s="361" customFormat="1" ht="12.75" customHeight="1">
      <c r="A195" s="355"/>
      <c r="B195" s="1310" t="e">
        <f>'PLANILHA '!#REF!</f>
        <v>#REF!</v>
      </c>
      <c r="C195" s="1310"/>
      <c r="D195" s="1311" t="e">
        <f>'PLANILHA '!#REF!</f>
        <v>#REF!</v>
      </c>
      <c r="E195" s="1311"/>
      <c r="F195" s="1311"/>
      <c r="G195" s="1311"/>
      <c r="H195" s="1311"/>
      <c r="I195" s="1311"/>
      <c r="J195" s="1311"/>
      <c r="K195" s="1311"/>
      <c r="L195" s="1311"/>
      <c r="M195" s="1311"/>
      <c r="N195" s="1311"/>
      <c r="O195" s="1311"/>
      <c r="P195" s="1311"/>
      <c r="Q195" s="1311"/>
      <c r="R195" s="1312" t="e">
        <f>'PLANILHA '!#REF!</f>
        <v>#REF!</v>
      </c>
      <c r="S195" s="1312"/>
      <c r="T195" s="1313" t="e">
        <f>'PLANILHA '!#REF!</f>
        <v>#REF!</v>
      </c>
      <c r="U195" s="1313"/>
      <c r="V195" s="1313"/>
      <c r="W195" s="1313" t="e">
        <f>'PLANILHA '!#REF!</f>
        <v>#REF!</v>
      </c>
      <c r="X195" s="1313"/>
      <c r="Y195" s="1313"/>
      <c r="Z195" s="1320"/>
      <c r="AA195" s="1320"/>
      <c r="AB195" s="1320"/>
      <c r="AC195" s="1320"/>
      <c r="AD195" s="1315"/>
      <c r="AE195" s="1315"/>
      <c r="AF195" s="1315"/>
      <c r="AG195" s="1321" t="e">
        <f>ROUND(W195*AD195,2)</f>
        <v>#REF!</v>
      </c>
      <c r="AH195" s="1321"/>
      <c r="AI195" s="1321"/>
      <c r="AJ195" s="1321"/>
      <c r="AK195" s="1327"/>
      <c r="AL195" s="1327"/>
      <c r="AM195" s="1327"/>
      <c r="AN195" s="1327"/>
      <c r="AO195" s="1327"/>
      <c r="AP195" s="1317" t="e">
        <f>'PLANILHA '!#REF!</f>
        <v>#REF!</v>
      </c>
      <c r="AQ195" s="1317"/>
      <c r="AR195" s="1317"/>
      <c r="AS195" s="1317"/>
      <c r="AT195" s="1317"/>
      <c r="AU195" s="1322" t="e">
        <f>AK195+AP195</f>
        <v>#REF!</v>
      </c>
      <c r="AV195" s="1322"/>
      <c r="AW195" s="1322"/>
      <c r="AX195" s="1322"/>
      <c r="AY195" s="1322"/>
      <c r="AZ195" s="1323" t="e">
        <f>$W195*AK195</f>
        <v>#REF!</v>
      </c>
      <c r="BA195" s="1323"/>
      <c r="BB195" s="1323"/>
      <c r="BC195" s="1323"/>
      <c r="BD195" s="1323" t="e">
        <f>$W195*AP195</f>
        <v>#REF!</v>
      </c>
      <c r="BE195" s="1323"/>
      <c r="BF195" s="1323"/>
      <c r="BG195" s="1323"/>
      <c r="BH195" s="1323"/>
      <c r="BI195" s="1323" t="e">
        <f>ROUND(AZ195+BD195,2)</f>
        <v>#REF!</v>
      </c>
      <c r="BJ195" s="1323"/>
      <c r="BK195" s="1323"/>
      <c r="BL195" s="1323"/>
      <c r="BM195" s="1323"/>
      <c r="BN195" s="1318"/>
      <c r="BO195" s="1318"/>
      <c r="BP195" s="1318"/>
    </row>
    <row r="196" spans="1:68" s="361" customFormat="1" ht="12.75" customHeight="1">
      <c r="A196" s="355"/>
      <c r="B196" s="1310" t="e">
        <f>'PLANILHA '!#REF!</f>
        <v>#REF!</v>
      </c>
      <c r="C196" s="1310"/>
      <c r="D196" s="1311" t="e">
        <f>'PLANILHA '!#REF!</f>
        <v>#REF!</v>
      </c>
      <c r="E196" s="1311"/>
      <c r="F196" s="1311"/>
      <c r="G196" s="1311"/>
      <c r="H196" s="1311"/>
      <c r="I196" s="1311"/>
      <c r="J196" s="1311"/>
      <c r="K196" s="1311"/>
      <c r="L196" s="1311"/>
      <c r="M196" s="1311"/>
      <c r="N196" s="1311"/>
      <c r="O196" s="1311"/>
      <c r="P196" s="1311"/>
      <c r="Q196" s="1311"/>
      <c r="R196" s="1312" t="e">
        <f>'PLANILHA '!#REF!</f>
        <v>#REF!</v>
      </c>
      <c r="S196" s="1312"/>
      <c r="T196" s="1313" t="e">
        <f>'PLANILHA '!#REF!</f>
        <v>#REF!</v>
      </c>
      <c r="U196" s="1313"/>
      <c r="V196" s="1313"/>
      <c r="W196" s="1313" t="e">
        <f>'PLANILHA '!#REF!</f>
        <v>#REF!</v>
      </c>
      <c r="X196" s="1313"/>
      <c r="Y196" s="1313"/>
      <c r="Z196" s="1320"/>
      <c r="AA196" s="1320"/>
      <c r="AB196" s="1320"/>
      <c r="AC196" s="1320"/>
      <c r="AD196" s="1315"/>
      <c r="AE196" s="1315"/>
      <c r="AF196" s="1315"/>
      <c r="AG196" s="1316"/>
      <c r="AH196" s="1316"/>
      <c r="AI196" s="1316"/>
      <c r="AJ196" s="1316"/>
      <c r="AK196" s="1315"/>
      <c r="AL196" s="1315"/>
      <c r="AM196" s="1315"/>
      <c r="AN196" s="1315"/>
      <c r="AO196" s="1315"/>
      <c r="AP196" s="1317" t="e">
        <f>'PLANILHA '!#REF!</f>
        <v>#REF!</v>
      </c>
      <c r="AQ196" s="1317"/>
      <c r="AR196" s="1317"/>
      <c r="AS196" s="1317"/>
      <c r="AT196" s="1317"/>
      <c r="AU196" s="1316"/>
      <c r="AV196" s="1316"/>
      <c r="AW196" s="1316"/>
      <c r="AX196" s="1316"/>
      <c r="AY196" s="1316"/>
      <c r="AZ196" s="1316"/>
      <c r="BA196" s="1316"/>
      <c r="BB196" s="1316"/>
      <c r="BC196" s="1316"/>
      <c r="BD196" s="1316"/>
      <c r="BE196" s="1316"/>
      <c r="BF196" s="1316"/>
      <c r="BG196" s="1316"/>
      <c r="BH196" s="1316"/>
      <c r="BI196" s="1316"/>
      <c r="BJ196" s="1316"/>
      <c r="BK196" s="1316"/>
      <c r="BL196" s="1316"/>
      <c r="BM196" s="1316"/>
      <c r="BN196" s="1318"/>
      <c r="BO196" s="1318"/>
      <c r="BP196" s="1318"/>
    </row>
    <row r="197" spans="1:68" s="361" customFormat="1" ht="12.75" customHeight="1">
      <c r="A197" s="355"/>
      <c r="B197" s="1310" t="e">
        <f>'PLANILHA '!#REF!</f>
        <v>#REF!</v>
      </c>
      <c r="C197" s="1310"/>
      <c r="D197" s="1311" t="e">
        <f>'PLANILHA '!#REF!</f>
        <v>#REF!</v>
      </c>
      <c r="E197" s="1311"/>
      <c r="F197" s="1311"/>
      <c r="G197" s="1311"/>
      <c r="H197" s="1311"/>
      <c r="I197" s="1311"/>
      <c r="J197" s="1311"/>
      <c r="K197" s="1311"/>
      <c r="L197" s="1311"/>
      <c r="M197" s="1311"/>
      <c r="N197" s="1311"/>
      <c r="O197" s="1311"/>
      <c r="P197" s="1311"/>
      <c r="Q197" s="1311"/>
      <c r="R197" s="1312" t="e">
        <f>'PLANILHA '!#REF!</f>
        <v>#REF!</v>
      </c>
      <c r="S197" s="1312"/>
      <c r="T197" s="1313" t="e">
        <f>'PLANILHA '!#REF!</f>
        <v>#REF!</v>
      </c>
      <c r="U197" s="1313"/>
      <c r="V197" s="1313"/>
      <c r="W197" s="1313" t="e">
        <f>'PLANILHA '!#REF!</f>
        <v>#REF!</v>
      </c>
      <c r="X197" s="1313"/>
      <c r="Y197" s="1313"/>
      <c r="Z197" s="1320"/>
      <c r="AA197" s="1320"/>
      <c r="AB197" s="1320"/>
      <c r="AC197" s="1320"/>
      <c r="AD197" s="1333"/>
      <c r="AE197" s="1333"/>
      <c r="AF197" s="1333"/>
      <c r="AG197" s="1321" t="e">
        <f>ROUND(W197*AD197,2)</f>
        <v>#REF!</v>
      </c>
      <c r="AH197" s="1321"/>
      <c r="AI197" s="1321"/>
      <c r="AJ197" s="1321"/>
      <c r="AK197" s="1326"/>
      <c r="AL197" s="1326"/>
      <c r="AM197" s="1326"/>
      <c r="AN197" s="1326"/>
      <c r="AO197" s="1326"/>
      <c r="AP197" s="1317" t="e">
        <f>'PLANILHA '!#REF!</f>
        <v>#REF!</v>
      </c>
      <c r="AQ197" s="1317"/>
      <c r="AR197" s="1317"/>
      <c r="AS197" s="1317"/>
      <c r="AT197" s="1317"/>
      <c r="AU197" s="1322" t="e">
        <f>AK197+AP197</f>
        <v>#REF!</v>
      </c>
      <c r="AV197" s="1322"/>
      <c r="AW197" s="1322"/>
      <c r="AX197" s="1322"/>
      <c r="AY197" s="1322"/>
      <c r="AZ197" s="1323" t="e">
        <f>$W197*AK197</f>
        <v>#REF!</v>
      </c>
      <c r="BA197" s="1323"/>
      <c r="BB197" s="1323"/>
      <c r="BC197" s="1323"/>
      <c r="BD197" s="1323" t="e">
        <f>$W197*AP197</f>
        <v>#REF!</v>
      </c>
      <c r="BE197" s="1323"/>
      <c r="BF197" s="1323"/>
      <c r="BG197" s="1323"/>
      <c r="BH197" s="1323"/>
      <c r="BI197" s="1323" t="e">
        <f>ROUND(AZ197+BD197,2)</f>
        <v>#REF!</v>
      </c>
      <c r="BJ197" s="1323"/>
      <c r="BK197" s="1323"/>
      <c r="BL197" s="1323"/>
      <c r="BM197" s="1323"/>
      <c r="BN197" s="1324" t="str">
        <f>IF(AD197&lt;&gt;"",AG197/Z197,"")</f>
        <v/>
      </c>
      <c r="BO197" s="1324"/>
      <c r="BP197" s="1324"/>
    </row>
    <row r="198" spans="1:68" s="361" customFormat="1" ht="12.75" customHeight="1">
      <c r="A198" s="355"/>
      <c r="B198" s="1310" t="e">
        <f>'PLANILHA '!#REF!</f>
        <v>#REF!</v>
      </c>
      <c r="C198" s="1310"/>
      <c r="D198" s="1311" t="e">
        <f>'PLANILHA '!#REF!</f>
        <v>#REF!</v>
      </c>
      <c r="E198" s="1311"/>
      <c r="F198" s="1311"/>
      <c r="G198" s="1311"/>
      <c r="H198" s="1311"/>
      <c r="I198" s="1311"/>
      <c r="J198" s="1311"/>
      <c r="K198" s="1311"/>
      <c r="L198" s="1311"/>
      <c r="M198" s="1311"/>
      <c r="N198" s="1311"/>
      <c r="O198" s="1311"/>
      <c r="P198" s="1311"/>
      <c r="Q198" s="1311"/>
      <c r="R198" s="1312" t="e">
        <f>'PLANILHA '!#REF!</f>
        <v>#REF!</v>
      </c>
      <c r="S198" s="1312"/>
      <c r="T198" s="1313" t="e">
        <f>'PLANILHA '!#REF!</f>
        <v>#REF!</v>
      </c>
      <c r="U198" s="1313"/>
      <c r="V198" s="1313"/>
      <c r="W198" s="1313" t="e">
        <f>'PLANILHA '!#REF!</f>
        <v>#REF!</v>
      </c>
      <c r="X198" s="1313"/>
      <c r="Y198" s="1313"/>
      <c r="Z198" s="1320"/>
      <c r="AA198" s="1320"/>
      <c r="AB198" s="1320"/>
      <c r="AC198" s="1320"/>
      <c r="AD198" s="1315"/>
      <c r="AE198" s="1315"/>
      <c r="AF198" s="1315"/>
      <c r="AG198" s="1321" t="e">
        <f>ROUND(W198*AD198,2)</f>
        <v>#REF!</v>
      </c>
      <c r="AH198" s="1321"/>
      <c r="AI198" s="1321"/>
      <c r="AJ198" s="1321"/>
      <c r="AK198" s="1315"/>
      <c r="AL198" s="1315"/>
      <c r="AM198" s="1315"/>
      <c r="AN198" s="1315"/>
      <c r="AO198" s="1315"/>
      <c r="AP198" s="1317" t="e">
        <f>'PLANILHA '!#REF!</f>
        <v>#REF!</v>
      </c>
      <c r="AQ198" s="1317"/>
      <c r="AR198" s="1317"/>
      <c r="AS198" s="1317"/>
      <c r="AT198" s="1317"/>
      <c r="AU198" s="1322" t="e">
        <f>AK198+AP198</f>
        <v>#REF!</v>
      </c>
      <c r="AV198" s="1322"/>
      <c r="AW198" s="1322"/>
      <c r="AX198" s="1322"/>
      <c r="AY198" s="1322"/>
      <c r="AZ198" s="1323" t="e">
        <f>$W198*AK198</f>
        <v>#REF!</v>
      </c>
      <c r="BA198" s="1323"/>
      <c r="BB198" s="1323"/>
      <c r="BC198" s="1323"/>
      <c r="BD198" s="1323" t="e">
        <f>$W198*AP198</f>
        <v>#REF!</v>
      </c>
      <c r="BE198" s="1323"/>
      <c r="BF198" s="1323"/>
      <c r="BG198" s="1323"/>
      <c r="BH198" s="1323"/>
      <c r="BI198" s="1323" t="e">
        <f>ROUND(AZ198+BD198,2)</f>
        <v>#REF!</v>
      </c>
      <c r="BJ198" s="1323"/>
      <c r="BK198" s="1323"/>
      <c r="BL198" s="1323"/>
      <c r="BM198" s="1323"/>
      <c r="BN198" s="1318"/>
      <c r="BO198" s="1318"/>
      <c r="BP198" s="1318"/>
    </row>
    <row r="199" spans="1:68" s="361" customFormat="1" ht="12.75" customHeight="1">
      <c r="A199" s="355"/>
      <c r="B199" s="1310" t="e">
        <f>'PLANILHA '!#REF!</f>
        <v>#REF!</v>
      </c>
      <c r="C199" s="1310"/>
      <c r="D199" s="1311" t="e">
        <f>'PLANILHA '!#REF!</f>
        <v>#REF!</v>
      </c>
      <c r="E199" s="1311"/>
      <c r="F199" s="1311"/>
      <c r="G199" s="1311"/>
      <c r="H199" s="1311"/>
      <c r="I199" s="1311"/>
      <c r="J199" s="1311"/>
      <c r="K199" s="1311"/>
      <c r="L199" s="1311"/>
      <c r="M199" s="1311"/>
      <c r="N199" s="1311"/>
      <c r="O199" s="1311"/>
      <c r="P199" s="1311"/>
      <c r="Q199" s="1311"/>
      <c r="R199" s="1312" t="e">
        <f>'PLANILHA '!#REF!</f>
        <v>#REF!</v>
      </c>
      <c r="S199" s="1312"/>
      <c r="T199" s="1313" t="e">
        <f>'PLANILHA '!#REF!</f>
        <v>#REF!</v>
      </c>
      <c r="U199" s="1313"/>
      <c r="V199" s="1313"/>
      <c r="W199" s="1313" t="e">
        <f>'PLANILHA '!#REF!</f>
        <v>#REF!</v>
      </c>
      <c r="X199" s="1313"/>
      <c r="Y199" s="1313"/>
      <c r="Z199" s="1320"/>
      <c r="AA199" s="1320"/>
      <c r="AB199" s="1320"/>
      <c r="AC199" s="1320"/>
      <c r="AD199" s="1315"/>
      <c r="AE199" s="1315"/>
      <c r="AF199" s="1315"/>
      <c r="AG199" s="1316"/>
      <c r="AH199" s="1316"/>
      <c r="AI199" s="1316"/>
      <c r="AJ199" s="1316"/>
      <c r="AK199" s="1315"/>
      <c r="AL199" s="1315"/>
      <c r="AM199" s="1315"/>
      <c r="AN199" s="1315"/>
      <c r="AO199" s="1315"/>
      <c r="AP199" s="1317" t="e">
        <f>'PLANILHA '!#REF!</f>
        <v>#REF!</v>
      </c>
      <c r="AQ199" s="1317"/>
      <c r="AR199" s="1317"/>
      <c r="AS199" s="1317"/>
      <c r="AT199" s="1317"/>
      <c r="AU199" s="1322"/>
      <c r="AV199" s="1322"/>
      <c r="AW199" s="1322"/>
      <c r="AX199" s="1322"/>
      <c r="AY199" s="1322"/>
      <c r="AZ199" s="1323"/>
      <c r="BA199" s="1323"/>
      <c r="BB199" s="1323"/>
      <c r="BC199" s="1323"/>
      <c r="BD199" s="1323"/>
      <c r="BE199" s="1323"/>
      <c r="BF199" s="1323"/>
      <c r="BG199" s="1323"/>
      <c r="BH199" s="1323"/>
      <c r="BI199" s="1323"/>
      <c r="BJ199" s="1323"/>
      <c r="BK199" s="1323"/>
      <c r="BL199" s="1323"/>
      <c r="BM199" s="1323"/>
      <c r="BN199" s="1318"/>
      <c r="BO199" s="1318"/>
      <c r="BP199" s="1318"/>
    </row>
    <row r="200" spans="1:68" s="361" customFormat="1" ht="12.75" customHeight="1">
      <c r="A200" s="355"/>
      <c r="B200" s="1310" t="e">
        <f>'PLANILHA '!#REF!</f>
        <v>#REF!</v>
      </c>
      <c r="C200" s="1310"/>
      <c r="D200" s="1311" t="e">
        <f>'PLANILHA '!#REF!</f>
        <v>#REF!</v>
      </c>
      <c r="E200" s="1311"/>
      <c r="F200" s="1311"/>
      <c r="G200" s="1311"/>
      <c r="H200" s="1311"/>
      <c r="I200" s="1311"/>
      <c r="J200" s="1311"/>
      <c r="K200" s="1311"/>
      <c r="L200" s="1311"/>
      <c r="M200" s="1311"/>
      <c r="N200" s="1311"/>
      <c r="O200" s="1311"/>
      <c r="P200" s="1311"/>
      <c r="Q200" s="1311"/>
      <c r="R200" s="1312" t="e">
        <f>'PLANILHA '!#REF!</f>
        <v>#REF!</v>
      </c>
      <c r="S200" s="1312"/>
      <c r="T200" s="1313" t="e">
        <f>'PLANILHA '!#REF!</f>
        <v>#REF!</v>
      </c>
      <c r="U200" s="1313"/>
      <c r="V200" s="1313"/>
      <c r="W200" s="1313" t="e">
        <f>'PLANILHA '!#REF!</f>
        <v>#REF!</v>
      </c>
      <c r="X200" s="1313"/>
      <c r="Y200" s="1313"/>
      <c r="Z200" s="1320"/>
      <c r="AA200" s="1320"/>
      <c r="AB200" s="1320"/>
      <c r="AC200" s="1320"/>
      <c r="AD200" s="1315"/>
      <c r="AE200" s="1315"/>
      <c r="AF200" s="1315"/>
      <c r="AG200" s="1321" t="e">
        <f>ROUND(W200*AD200,2)</f>
        <v>#REF!</v>
      </c>
      <c r="AH200" s="1321"/>
      <c r="AI200" s="1321"/>
      <c r="AJ200" s="1321"/>
      <c r="AK200" s="1315"/>
      <c r="AL200" s="1315"/>
      <c r="AM200" s="1315"/>
      <c r="AN200" s="1315"/>
      <c r="AO200" s="1315"/>
      <c r="AP200" s="1317" t="e">
        <f>'PLANILHA '!#REF!</f>
        <v>#REF!</v>
      </c>
      <c r="AQ200" s="1317"/>
      <c r="AR200" s="1317"/>
      <c r="AS200" s="1317"/>
      <c r="AT200" s="1317"/>
      <c r="AU200" s="1322" t="e">
        <f>AK200+AP200</f>
        <v>#REF!</v>
      </c>
      <c r="AV200" s="1322"/>
      <c r="AW200" s="1322"/>
      <c r="AX200" s="1322"/>
      <c r="AY200" s="1322"/>
      <c r="AZ200" s="1323" t="e">
        <f>$W200*AK200</f>
        <v>#REF!</v>
      </c>
      <c r="BA200" s="1323"/>
      <c r="BB200" s="1323"/>
      <c r="BC200" s="1323"/>
      <c r="BD200" s="1323" t="e">
        <f>$W200*AP200</f>
        <v>#REF!</v>
      </c>
      <c r="BE200" s="1323"/>
      <c r="BF200" s="1323"/>
      <c r="BG200" s="1323"/>
      <c r="BH200" s="1323"/>
      <c r="BI200" s="1323" t="e">
        <f>ROUND(AZ200+BD200,2)</f>
        <v>#REF!</v>
      </c>
      <c r="BJ200" s="1323"/>
      <c r="BK200" s="1323"/>
      <c r="BL200" s="1323"/>
      <c r="BM200" s="1323"/>
      <c r="BN200" s="1318"/>
      <c r="BO200" s="1318"/>
      <c r="BP200" s="1318"/>
    </row>
    <row r="201" spans="1:68" s="361" customFormat="1" ht="12.75" customHeight="1">
      <c r="A201" s="355"/>
      <c r="B201" s="1310" t="e">
        <f>'PLANILHA '!#REF!</f>
        <v>#REF!</v>
      </c>
      <c r="C201" s="1310"/>
      <c r="D201" s="1311" t="e">
        <f>'PLANILHA '!#REF!</f>
        <v>#REF!</v>
      </c>
      <c r="E201" s="1311"/>
      <c r="F201" s="1311"/>
      <c r="G201" s="1311"/>
      <c r="H201" s="1311"/>
      <c r="I201" s="1311"/>
      <c r="J201" s="1311"/>
      <c r="K201" s="1311"/>
      <c r="L201" s="1311"/>
      <c r="M201" s="1311"/>
      <c r="N201" s="1311"/>
      <c r="O201" s="1311"/>
      <c r="P201" s="1311"/>
      <c r="Q201" s="1311"/>
      <c r="R201" s="1312" t="e">
        <f>'PLANILHA '!#REF!</f>
        <v>#REF!</v>
      </c>
      <c r="S201" s="1312"/>
      <c r="T201" s="1313" t="e">
        <f>'PLANILHA '!#REF!</f>
        <v>#REF!</v>
      </c>
      <c r="U201" s="1313"/>
      <c r="V201" s="1313"/>
      <c r="W201" s="1313" t="e">
        <f>'PLANILHA '!#REF!</f>
        <v>#REF!</v>
      </c>
      <c r="X201" s="1313"/>
      <c r="Y201" s="1313"/>
      <c r="Z201" s="1320"/>
      <c r="AA201" s="1320"/>
      <c r="AB201" s="1320"/>
      <c r="AC201" s="1320"/>
      <c r="AD201" s="1315"/>
      <c r="AE201" s="1315"/>
      <c r="AF201" s="1315"/>
      <c r="AG201" s="1321" t="e">
        <f>ROUND(W201*AD201,2)</f>
        <v>#REF!</v>
      </c>
      <c r="AH201" s="1321"/>
      <c r="AI201" s="1321"/>
      <c r="AJ201" s="1321"/>
      <c r="AK201" s="1315"/>
      <c r="AL201" s="1315"/>
      <c r="AM201" s="1315"/>
      <c r="AN201" s="1315"/>
      <c r="AO201" s="1315"/>
      <c r="AP201" s="1317" t="e">
        <f>'PLANILHA '!#REF!</f>
        <v>#REF!</v>
      </c>
      <c r="AQ201" s="1317"/>
      <c r="AR201" s="1317"/>
      <c r="AS201" s="1317"/>
      <c r="AT201" s="1317"/>
      <c r="AU201" s="1322" t="e">
        <f>AK201+AP201</f>
        <v>#REF!</v>
      </c>
      <c r="AV201" s="1322"/>
      <c r="AW201" s="1322"/>
      <c r="AX201" s="1322"/>
      <c r="AY201" s="1322"/>
      <c r="AZ201" s="1323" t="e">
        <f>$W201*AK201</f>
        <v>#REF!</v>
      </c>
      <c r="BA201" s="1323"/>
      <c r="BB201" s="1323"/>
      <c r="BC201" s="1323"/>
      <c r="BD201" s="1323" t="e">
        <f>$W201*AP201</f>
        <v>#REF!</v>
      </c>
      <c r="BE201" s="1323"/>
      <c r="BF201" s="1323"/>
      <c r="BG201" s="1323"/>
      <c r="BH201" s="1323"/>
      <c r="BI201" s="1323" t="e">
        <f>ROUND(AZ201+BD201,2)</f>
        <v>#REF!</v>
      </c>
      <c r="BJ201" s="1323"/>
      <c r="BK201" s="1323"/>
      <c r="BL201" s="1323"/>
      <c r="BM201" s="1323"/>
      <c r="BN201" s="1318"/>
      <c r="BO201" s="1318"/>
      <c r="BP201" s="1318"/>
    </row>
    <row r="202" spans="1:68" s="361" customFormat="1" ht="12.75" customHeight="1">
      <c r="A202" s="355"/>
      <c r="B202" s="1310" t="e">
        <f>'PLANILHA '!#REF!</f>
        <v>#REF!</v>
      </c>
      <c r="C202" s="1310"/>
      <c r="D202" s="1311" t="e">
        <f>'PLANILHA '!#REF!</f>
        <v>#REF!</v>
      </c>
      <c r="E202" s="1311"/>
      <c r="F202" s="1311"/>
      <c r="G202" s="1311"/>
      <c r="H202" s="1311"/>
      <c r="I202" s="1311"/>
      <c r="J202" s="1311"/>
      <c r="K202" s="1311"/>
      <c r="L202" s="1311"/>
      <c r="M202" s="1311"/>
      <c r="N202" s="1311"/>
      <c r="O202" s="1311"/>
      <c r="P202" s="1311"/>
      <c r="Q202" s="1311"/>
      <c r="R202" s="1312" t="e">
        <f>'PLANILHA '!#REF!</f>
        <v>#REF!</v>
      </c>
      <c r="S202" s="1312"/>
      <c r="T202" s="1313" t="e">
        <f>'PLANILHA '!#REF!</f>
        <v>#REF!</v>
      </c>
      <c r="U202" s="1313"/>
      <c r="V202" s="1313"/>
      <c r="W202" s="1313" t="e">
        <f>'PLANILHA '!#REF!</f>
        <v>#REF!</v>
      </c>
      <c r="X202" s="1313"/>
      <c r="Y202" s="1313"/>
      <c r="Z202" s="1320"/>
      <c r="AA202" s="1320"/>
      <c r="AB202" s="1320"/>
      <c r="AC202" s="1320"/>
      <c r="AD202" s="1315"/>
      <c r="AE202" s="1315"/>
      <c r="AF202" s="1315"/>
      <c r="AG202" s="1321" t="e">
        <f>ROUND(W202*AD202,2)</f>
        <v>#REF!</v>
      </c>
      <c r="AH202" s="1321"/>
      <c r="AI202" s="1321"/>
      <c r="AJ202" s="1321"/>
      <c r="AK202" s="1315"/>
      <c r="AL202" s="1315"/>
      <c r="AM202" s="1315"/>
      <c r="AN202" s="1315"/>
      <c r="AO202" s="1315"/>
      <c r="AP202" s="1317" t="e">
        <f>'PLANILHA '!#REF!</f>
        <v>#REF!</v>
      </c>
      <c r="AQ202" s="1317"/>
      <c r="AR202" s="1317"/>
      <c r="AS202" s="1317"/>
      <c r="AT202" s="1317"/>
      <c r="AU202" s="1322" t="e">
        <f>AK202+AP202</f>
        <v>#REF!</v>
      </c>
      <c r="AV202" s="1322"/>
      <c r="AW202" s="1322"/>
      <c r="AX202" s="1322"/>
      <c r="AY202" s="1322"/>
      <c r="AZ202" s="1323" t="e">
        <f>$W202*AK202</f>
        <v>#REF!</v>
      </c>
      <c r="BA202" s="1323"/>
      <c r="BB202" s="1323"/>
      <c r="BC202" s="1323"/>
      <c r="BD202" s="1323" t="e">
        <f>$W202*AP202</f>
        <v>#REF!</v>
      </c>
      <c r="BE202" s="1323"/>
      <c r="BF202" s="1323"/>
      <c r="BG202" s="1323"/>
      <c r="BH202" s="1323"/>
      <c r="BI202" s="1323" t="e">
        <f>ROUND(AZ202+BD202,2)</f>
        <v>#REF!</v>
      </c>
      <c r="BJ202" s="1323"/>
      <c r="BK202" s="1323"/>
      <c r="BL202" s="1323"/>
      <c r="BM202" s="1323"/>
      <c r="BN202" s="1318"/>
      <c r="BO202" s="1318"/>
      <c r="BP202" s="1318"/>
    </row>
    <row r="203" spans="1:68" s="361" customFormat="1" ht="12.75" customHeight="1">
      <c r="A203" s="355"/>
      <c r="B203" s="1310" t="e">
        <f>'PLANILHA '!#REF!</f>
        <v>#REF!</v>
      </c>
      <c r="C203" s="1310"/>
      <c r="D203" s="1311" t="e">
        <f>'PLANILHA '!#REF!</f>
        <v>#REF!</v>
      </c>
      <c r="E203" s="1311"/>
      <c r="F203" s="1311"/>
      <c r="G203" s="1311"/>
      <c r="H203" s="1311"/>
      <c r="I203" s="1311"/>
      <c r="J203" s="1311"/>
      <c r="K203" s="1311"/>
      <c r="L203" s="1311"/>
      <c r="M203" s="1311"/>
      <c r="N203" s="1311"/>
      <c r="O203" s="1311"/>
      <c r="P203" s="1311"/>
      <c r="Q203" s="1311"/>
      <c r="R203" s="1312" t="e">
        <f>'PLANILHA '!#REF!</f>
        <v>#REF!</v>
      </c>
      <c r="S203" s="1312"/>
      <c r="T203" s="1313" t="e">
        <f>'PLANILHA '!#REF!</f>
        <v>#REF!</v>
      </c>
      <c r="U203" s="1313"/>
      <c r="V203" s="1313"/>
      <c r="W203" s="1313" t="e">
        <f>'PLANILHA '!#REF!</f>
        <v>#REF!</v>
      </c>
      <c r="X203" s="1313"/>
      <c r="Y203" s="1313"/>
      <c r="Z203" s="1320"/>
      <c r="AA203" s="1320"/>
      <c r="AB203" s="1320"/>
      <c r="AC203" s="1320"/>
      <c r="AD203" s="1315"/>
      <c r="AE203" s="1315"/>
      <c r="AF203" s="1315"/>
      <c r="AG203" s="1321" t="e">
        <f>ROUND(W203*AD203,2)</f>
        <v>#REF!</v>
      </c>
      <c r="AH203" s="1321"/>
      <c r="AI203" s="1321"/>
      <c r="AJ203" s="1321"/>
      <c r="AK203" s="1315"/>
      <c r="AL203" s="1315"/>
      <c r="AM203" s="1315"/>
      <c r="AN203" s="1315"/>
      <c r="AO203" s="1315"/>
      <c r="AP203" s="1317" t="e">
        <f>'PLANILHA '!#REF!</f>
        <v>#REF!</v>
      </c>
      <c r="AQ203" s="1317"/>
      <c r="AR203" s="1317"/>
      <c r="AS203" s="1317"/>
      <c r="AT203" s="1317"/>
      <c r="AU203" s="1322" t="e">
        <f>AK203+AP203</f>
        <v>#REF!</v>
      </c>
      <c r="AV203" s="1322"/>
      <c r="AW203" s="1322"/>
      <c r="AX203" s="1322"/>
      <c r="AY203" s="1322"/>
      <c r="AZ203" s="1323" t="e">
        <f>$W203*AK203</f>
        <v>#REF!</v>
      </c>
      <c r="BA203" s="1323"/>
      <c r="BB203" s="1323"/>
      <c r="BC203" s="1323"/>
      <c r="BD203" s="1323" t="e">
        <f>$W203*AP203</f>
        <v>#REF!</v>
      </c>
      <c r="BE203" s="1323"/>
      <c r="BF203" s="1323"/>
      <c r="BG203" s="1323"/>
      <c r="BH203" s="1323"/>
      <c r="BI203" s="1323" t="e">
        <f>ROUND(AZ203+BD203,2)</f>
        <v>#REF!</v>
      </c>
      <c r="BJ203" s="1323"/>
      <c r="BK203" s="1323"/>
      <c r="BL203" s="1323"/>
      <c r="BM203" s="1323"/>
      <c r="BN203" s="1318"/>
      <c r="BO203" s="1318"/>
      <c r="BP203" s="1318"/>
    </row>
    <row r="204" spans="1:68" s="361" customFormat="1" ht="12.75" customHeight="1">
      <c r="A204" s="355"/>
      <c r="B204" s="1310" t="e">
        <f>'PLANILHA '!#REF!</f>
        <v>#REF!</v>
      </c>
      <c r="C204" s="1310"/>
      <c r="D204" s="1311" t="e">
        <f>'PLANILHA '!#REF!</f>
        <v>#REF!</v>
      </c>
      <c r="E204" s="1311"/>
      <c r="F204" s="1311"/>
      <c r="G204" s="1311"/>
      <c r="H204" s="1311"/>
      <c r="I204" s="1311"/>
      <c r="J204" s="1311"/>
      <c r="K204" s="1311"/>
      <c r="L204" s="1311"/>
      <c r="M204" s="1311"/>
      <c r="N204" s="1311"/>
      <c r="O204" s="1311"/>
      <c r="P204" s="1311"/>
      <c r="Q204" s="1311"/>
      <c r="R204" s="1312" t="e">
        <f>'PLANILHA '!#REF!</f>
        <v>#REF!</v>
      </c>
      <c r="S204" s="1312"/>
      <c r="T204" s="1313" t="e">
        <f>'PLANILHA '!#REF!</f>
        <v>#REF!</v>
      </c>
      <c r="U204" s="1313"/>
      <c r="V204" s="1313"/>
      <c r="W204" s="1313" t="e">
        <f>'PLANILHA '!#REF!</f>
        <v>#REF!</v>
      </c>
      <c r="X204" s="1313"/>
      <c r="Y204" s="1313"/>
      <c r="Z204" s="1320"/>
      <c r="AA204" s="1320"/>
      <c r="AB204" s="1320"/>
      <c r="AC204" s="1320"/>
      <c r="AD204" s="1315"/>
      <c r="AE204" s="1315"/>
      <c r="AF204" s="1315"/>
      <c r="AG204" s="1321" t="e">
        <f>ROUND(W204*AD204,2)</f>
        <v>#REF!</v>
      </c>
      <c r="AH204" s="1321"/>
      <c r="AI204" s="1321"/>
      <c r="AJ204" s="1321"/>
      <c r="AK204" s="1315"/>
      <c r="AL204" s="1315"/>
      <c r="AM204" s="1315"/>
      <c r="AN204" s="1315"/>
      <c r="AO204" s="1315"/>
      <c r="AP204" s="1317" t="e">
        <f>'PLANILHA '!#REF!</f>
        <v>#REF!</v>
      </c>
      <c r="AQ204" s="1317"/>
      <c r="AR204" s="1317"/>
      <c r="AS204" s="1317"/>
      <c r="AT204" s="1317"/>
      <c r="AU204" s="1322" t="e">
        <f>AK204+AP204</f>
        <v>#REF!</v>
      </c>
      <c r="AV204" s="1322"/>
      <c r="AW204" s="1322"/>
      <c r="AX204" s="1322"/>
      <c r="AY204" s="1322"/>
      <c r="AZ204" s="1323" t="e">
        <f>$W204*AK204</f>
        <v>#REF!</v>
      </c>
      <c r="BA204" s="1323"/>
      <c r="BB204" s="1323"/>
      <c r="BC204" s="1323"/>
      <c r="BD204" s="1323" t="e">
        <f>$W204*AP204</f>
        <v>#REF!</v>
      </c>
      <c r="BE204" s="1323"/>
      <c r="BF204" s="1323"/>
      <c r="BG204" s="1323"/>
      <c r="BH204" s="1323"/>
      <c r="BI204" s="1323" t="e">
        <f>ROUND(AZ204+BD204,2)</f>
        <v>#REF!</v>
      </c>
      <c r="BJ204" s="1323"/>
      <c r="BK204" s="1323"/>
      <c r="BL204" s="1323"/>
      <c r="BM204" s="1323"/>
      <c r="BN204" s="1318"/>
      <c r="BO204" s="1318"/>
      <c r="BP204" s="1318"/>
    </row>
    <row r="205" spans="1:68" s="361" customFormat="1" ht="12.75" customHeight="1">
      <c r="A205" s="355"/>
      <c r="B205" s="1310" t="e">
        <f>'PLANILHA '!#REF!</f>
        <v>#REF!</v>
      </c>
      <c r="C205" s="1310"/>
      <c r="D205" s="1311" t="e">
        <f>'PLANILHA '!#REF!</f>
        <v>#REF!</v>
      </c>
      <c r="E205" s="1311"/>
      <c r="F205" s="1311"/>
      <c r="G205" s="1311"/>
      <c r="H205" s="1311"/>
      <c r="I205" s="1311"/>
      <c r="J205" s="1311"/>
      <c r="K205" s="1311"/>
      <c r="L205" s="1311"/>
      <c r="M205" s="1311"/>
      <c r="N205" s="1311"/>
      <c r="O205" s="1311"/>
      <c r="P205" s="1311"/>
      <c r="Q205" s="1311"/>
      <c r="R205" s="1312" t="e">
        <f>'PLANILHA '!#REF!</f>
        <v>#REF!</v>
      </c>
      <c r="S205" s="1312"/>
      <c r="T205" s="1313" t="e">
        <f>'PLANILHA '!#REF!</f>
        <v>#REF!</v>
      </c>
      <c r="U205" s="1313"/>
      <c r="V205" s="1313"/>
      <c r="W205" s="1313" t="e">
        <f>'PLANILHA '!#REF!</f>
        <v>#REF!</v>
      </c>
      <c r="X205" s="1313"/>
      <c r="Y205" s="1313"/>
      <c r="Z205" s="1325"/>
      <c r="AA205" s="1325"/>
      <c r="AB205" s="1325"/>
      <c r="AC205" s="1325"/>
      <c r="AD205" s="1333"/>
      <c r="AE205" s="1333"/>
      <c r="AF205" s="1333"/>
      <c r="AG205" s="1321"/>
      <c r="AH205" s="1321"/>
      <c r="AI205" s="1321"/>
      <c r="AJ205" s="1321"/>
      <c r="AK205" s="396"/>
      <c r="AL205" s="397"/>
      <c r="AM205" s="397"/>
      <c r="AN205" s="397"/>
      <c r="AO205" s="398"/>
      <c r="AP205" s="1317" t="e">
        <f>'PLANILHA '!#REF!</f>
        <v>#REF!</v>
      </c>
      <c r="AQ205" s="1317"/>
      <c r="AR205" s="1317"/>
      <c r="AS205" s="1317"/>
      <c r="AT205" s="1317"/>
      <c r="AU205" s="399"/>
      <c r="AV205" s="400"/>
      <c r="AW205" s="400"/>
      <c r="AX205" s="400"/>
      <c r="AY205" s="401"/>
      <c r="AZ205" s="1331" t="e">
        <f>SUM(AZ32:BC167)</f>
        <v>#REF!</v>
      </c>
      <c r="BA205" s="1331"/>
      <c r="BB205" s="1331"/>
      <c r="BC205" s="1331"/>
      <c r="BD205" s="1331"/>
      <c r="BE205" s="1331"/>
      <c r="BF205" s="1331"/>
      <c r="BG205" s="1331"/>
      <c r="BH205" s="1331"/>
      <c r="BI205" s="1331" t="e">
        <f>SUM(BI32:BM167)</f>
        <v>#REF!</v>
      </c>
      <c r="BJ205" s="1331"/>
      <c r="BK205" s="1331"/>
      <c r="BL205" s="1331"/>
      <c r="BM205" s="1331"/>
      <c r="BN205" s="402"/>
      <c r="BO205" s="403"/>
      <c r="BP205" s="404"/>
    </row>
    <row r="206" spans="1:68" s="361" customFormat="1" ht="12.75" customHeight="1">
      <c r="A206" s="355"/>
      <c r="B206" s="1310" t="e">
        <f>'PLANILHA '!#REF!</f>
        <v>#REF!</v>
      </c>
      <c r="C206" s="1310"/>
      <c r="D206" s="1311" t="e">
        <f>'PLANILHA '!#REF!</f>
        <v>#REF!</v>
      </c>
      <c r="E206" s="1311"/>
      <c r="F206" s="1311"/>
      <c r="G206" s="1311"/>
      <c r="H206" s="1311"/>
      <c r="I206" s="1311"/>
      <c r="J206" s="1311"/>
      <c r="K206" s="1311"/>
      <c r="L206" s="1311"/>
      <c r="M206" s="1311"/>
      <c r="N206" s="1311"/>
      <c r="O206" s="1311"/>
      <c r="P206" s="1311"/>
      <c r="Q206" s="1311"/>
      <c r="R206" s="1312" t="e">
        <f>'PLANILHA '!#REF!</f>
        <v>#REF!</v>
      </c>
      <c r="S206" s="1312"/>
      <c r="T206" s="1313" t="e">
        <f>'PLANILHA '!#REF!</f>
        <v>#REF!</v>
      </c>
      <c r="U206" s="1313"/>
      <c r="V206" s="1313"/>
      <c r="W206" s="1313" t="e">
        <f>'PLANILHA '!#REF!</f>
        <v>#REF!</v>
      </c>
      <c r="X206" s="1313"/>
      <c r="Y206" s="1313"/>
      <c r="Z206" s="1320"/>
      <c r="AA206" s="1320"/>
      <c r="AB206" s="1320"/>
      <c r="AC206" s="1320"/>
      <c r="AD206" s="1315"/>
      <c r="AE206" s="1315"/>
      <c r="AF206" s="1315"/>
      <c r="AG206" s="1316"/>
      <c r="AH206" s="1316"/>
      <c r="AI206" s="1316"/>
      <c r="AJ206" s="1316"/>
      <c r="AK206" s="1315"/>
      <c r="AL206" s="1315"/>
      <c r="AM206" s="1315"/>
      <c r="AN206" s="1315"/>
      <c r="AO206" s="1315"/>
      <c r="AP206" s="1317" t="e">
        <f>'PLANILHA '!#REF!</f>
        <v>#REF!</v>
      </c>
      <c r="AQ206" s="1317"/>
      <c r="AR206" s="1317"/>
      <c r="AS206" s="1317"/>
      <c r="AT206" s="1317"/>
      <c r="AU206" s="1316"/>
      <c r="AV206" s="1316"/>
      <c r="AW206" s="1316"/>
      <c r="AX206" s="1316"/>
      <c r="AY206" s="1316"/>
      <c r="AZ206" s="1316"/>
      <c r="BA206" s="1316"/>
      <c r="BB206" s="1316"/>
      <c r="BC206" s="1316"/>
      <c r="BD206" s="1323"/>
      <c r="BE206" s="1323"/>
      <c r="BF206" s="1323"/>
      <c r="BG206" s="1323"/>
      <c r="BH206" s="1323"/>
      <c r="BI206" s="1323"/>
      <c r="BJ206" s="1323"/>
      <c r="BK206" s="1323"/>
      <c r="BL206" s="1323"/>
      <c r="BM206" s="1323"/>
      <c r="BN206" s="1318"/>
      <c r="BO206" s="1318"/>
      <c r="BP206" s="1318"/>
    </row>
    <row r="207" spans="1:68" s="361" customFormat="1" ht="12.75" customHeight="1">
      <c r="A207" s="355"/>
      <c r="B207" s="1310" t="e">
        <f>'PLANILHA '!#REF!</f>
        <v>#REF!</v>
      </c>
      <c r="C207" s="1310"/>
      <c r="D207" s="1311"/>
      <c r="E207" s="1311"/>
      <c r="F207" s="1311"/>
      <c r="G207" s="1311"/>
      <c r="H207" s="1311"/>
      <c r="I207" s="1311"/>
      <c r="J207" s="1311"/>
      <c r="K207" s="1311"/>
      <c r="L207" s="1311"/>
      <c r="M207" s="1311"/>
      <c r="N207" s="1311"/>
      <c r="O207" s="1311"/>
      <c r="P207" s="1311"/>
      <c r="Q207" s="1311"/>
      <c r="R207" s="1312" t="e">
        <f>'PLANILHA '!#REF!</f>
        <v>#REF!</v>
      </c>
      <c r="S207" s="1312"/>
      <c r="T207" s="1313" t="e">
        <f>'PLANILHA '!#REF!</f>
        <v>#REF!</v>
      </c>
      <c r="U207" s="1313"/>
      <c r="V207" s="1313"/>
      <c r="W207" s="1313" t="e">
        <f>'PLANILHA '!#REF!</f>
        <v>#REF!</v>
      </c>
      <c r="X207" s="1313"/>
      <c r="Y207" s="1313"/>
      <c r="Z207" s="1320"/>
      <c r="AA207" s="1320"/>
      <c r="AB207" s="1320"/>
      <c r="AC207" s="1320"/>
      <c r="AD207" s="1315"/>
      <c r="AE207" s="1315"/>
      <c r="AF207" s="1315"/>
      <c r="AG207" s="1321" t="e">
        <f>ROUND(W207*AD207,2)</f>
        <v>#REF!</v>
      </c>
      <c r="AH207" s="1321"/>
      <c r="AI207" s="1321"/>
      <c r="AJ207" s="1321"/>
      <c r="AK207" s="1315"/>
      <c r="AL207" s="1315"/>
      <c r="AM207" s="1315"/>
      <c r="AN207" s="1315"/>
      <c r="AO207" s="1315"/>
      <c r="AP207" s="1317" t="e">
        <f>'PLANILHA '!#REF!</f>
        <v>#REF!</v>
      </c>
      <c r="AQ207" s="1317"/>
      <c r="AR207" s="1317"/>
      <c r="AS207" s="1317"/>
      <c r="AT207" s="1317"/>
      <c r="AU207" s="1322" t="e">
        <f>AK207+AP207</f>
        <v>#REF!</v>
      </c>
      <c r="AV207" s="1322"/>
      <c r="AW207" s="1322"/>
      <c r="AX207" s="1322"/>
      <c r="AY207" s="1322"/>
      <c r="AZ207" s="1323" t="e">
        <f>$W207*AK207</f>
        <v>#REF!</v>
      </c>
      <c r="BA207" s="1323"/>
      <c r="BB207" s="1323"/>
      <c r="BC207" s="1323"/>
      <c r="BD207" s="1323" t="e">
        <f>$W207*AP207</f>
        <v>#REF!</v>
      </c>
      <c r="BE207" s="1323"/>
      <c r="BF207" s="1323"/>
      <c r="BG207" s="1323"/>
      <c r="BH207" s="1323"/>
      <c r="BI207" s="1323" t="e">
        <f>ROUND(AZ207+BD207,2)</f>
        <v>#REF!</v>
      </c>
      <c r="BJ207" s="1323"/>
      <c r="BK207" s="1323"/>
      <c r="BL207" s="1323"/>
      <c r="BM207" s="1323"/>
      <c r="BN207" s="1318"/>
      <c r="BO207" s="1318"/>
      <c r="BP207" s="1318"/>
    </row>
    <row r="208" spans="1:68" s="361" customFormat="1" ht="12.75" customHeight="1">
      <c r="A208" s="355"/>
      <c r="B208" s="1310" t="e">
        <f>'PLANILHA '!#REF!</f>
        <v>#REF!</v>
      </c>
      <c r="C208" s="1310"/>
      <c r="D208" s="1311" t="e">
        <f>'PLANILHA '!#REF!</f>
        <v>#REF!</v>
      </c>
      <c r="E208" s="1311"/>
      <c r="F208" s="1311"/>
      <c r="G208" s="1311"/>
      <c r="H208" s="1311"/>
      <c r="I208" s="1311"/>
      <c r="J208" s="1311"/>
      <c r="K208" s="1311"/>
      <c r="L208" s="1311"/>
      <c r="M208" s="1311"/>
      <c r="N208" s="1311"/>
      <c r="O208" s="1311"/>
      <c r="P208" s="1311"/>
      <c r="Q208" s="1311"/>
      <c r="R208" s="1312" t="e">
        <f>'PLANILHA '!#REF!</f>
        <v>#REF!</v>
      </c>
      <c r="S208" s="1312"/>
      <c r="T208" s="1313" t="e">
        <f>'PLANILHA '!#REF!</f>
        <v>#REF!</v>
      </c>
      <c r="U208" s="1313"/>
      <c r="V208" s="1313"/>
      <c r="W208" s="1313" t="e">
        <f>'PLANILHA '!#REF!</f>
        <v>#REF!</v>
      </c>
      <c r="X208" s="1313"/>
      <c r="Y208" s="1313"/>
      <c r="Z208" s="1320"/>
      <c r="AA208" s="1320"/>
      <c r="AB208" s="1320"/>
      <c r="AC208" s="1320"/>
      <c r="AD208" s="1315"/>
      <c r="AE208" s="1315"/>
      <c r="AF208" s="1315"/>
      <c r="AG208" s="1321" t="e">
        <f>ROUND(W208*AD208,2)</f>
        <v>#REF!</v>
      </c>
      <c r="AH208" s="1321"/>
      <c r="AI208" s="1321"/>
      <c r="AJ208" s="1321"/>
      <c r="AK208" s="1315"/>
      <c r="AL208" s="1315"/>
      <c r="AM208" s="1315"/>
      <c r="AN208" s="1315"/>
      <c r="AO208" s="1315"/>
      <c r="AP208" s="1317" t="e">
        <f>'PLANILHA '!#REF!</f>
        <v>#REF!</v>
      </c>
      <c r="AQ208" s="1317"/>
      <c r="AR208" s="1317"/>
      <c r="AS208" s="1317"/>
      <c r="AT208" s="1317"/>
      <c r="AU208" s="1322" t="e">
        <f>AK208+AP208</f>
        <v>#REF!</v>
      </c>
      <c r="AV208" s="1322"/>
      <c r="AW208" s="1322"/>
      <c r="AX208" s="1322"/>
      <c r="AY208" s="1322"/>
      <c r="AZ208" s="1323" t="e">
        <f>$W208*AK208</f>
        <v>#REF!</v>
      </c>
      <c r="BA208" s="1323"/>
      <c r="BB208" s="1323"/>
      <c r="BC208" s="1323"/>
      <c r="BD208" s="1323" t="e">
        <f>$W208*AP208</f>
        <v>#REF!</v>
      </c>
      <c r="BE208" s="1323"/>
      <c r="BF208" s="1323"/>
      <c r="BG208" s="1323"/>
      <c r="BH208" s="1323"/>
      <c r="BI208" s="1323" t="e">
        <f>ROUND(AZ208+BD208,2)</f>
        <v>#REF!</v>
      </c>
      <c r="BJ208" s="1323"/>
      <c r="BK208" s="1323"/>
      <c r="BL208" s="1323"/>
      <c r="BM208" s="1323"/>
      <c r="BN208" s="1318"/>
      <c r="BO208" s="1318"/>
      <c r="BP208" s="1318"/>
    </row>
    <row r="209" spans="1:68" s="361" customFormat="1" ht="12.75" customHeight="1">
      <c r="A209" s="355"/>
      <c r="B209" s="1310" t="e">
        <f>'PLANILHA '!#REF!</f>
        <v>#REF!</v>
      </c>
      <c r="C209" s="1310"/>
      <c r="D209" s="1311" t="e">
        <f>'PLANILHA '!#REF!</f>
        <v>#REF!</v>
      </c>
      <c r="E209" s="1311"/>
      <c r="F209" s="1311"/>
      <c r="G209" s="1311"/>
      <c r="H209" s="1311"/>
      <c r="I209" s="1311"/>
      <c r="J209" s="1311"/>
      <c r="K209" s="1311"/>
      <c r="L209" s="1311"/>
      <c r="M209" s="1311"/>
      <c r="N209" s="1311"/>
      <c r="O209" s="1311"/>
      <c r="P209" s="1311"/>
      <c r="Q209" s="1311"/>
      <c r="R209" s="1312" t="e">
        <f>'PLANILHA '!#REF!</f>
        <v>#REF!</v>
      </c>
      <c r="S209" s="1312"/>
      <c r="T209" s="1313" t="e">
        <f>'PLANILHA '!#REF!</f>
        <v>#REF!</v>
      </c>
      <c r="U209" s="1313"/>
      <c r="V209" s="1313"/>
      <c r="W209" s="1313" t="e">
        <f>'PLANILHA '!#REF!</f>
        <v>#REF!</v>
      </c>
      <c r="X209" s="1313"/>
      <c r="Y209" s="1313"/>
      <c r="Z209" s="1320"/>
      <c r="AA209" s="1320"/>
      <c r="AB209" s="1320"/>
      <c r="AC209" s="1320"/>
      <c r="AD209" s="1315"/>
      <c r="AE209" s="1315"/>
      <c r="AF209" s="1315"/>
      <c r="AG209" s="1321" t="e">
        <f>ROUND(W209*AD209,2)</f>
        <v>#REF!</v>
      </c>
      <c r="AH209" s="1321"/>
      <c r="AI209" s="1321"/>
      <c r="AJ209" s="1321"/>
      <c r="AK209" s="1315"/>
      <c r="AL209" s="1315"/>
      <c r="AM209" s="1315"/>
      <c r="AN209" s="1315"/>
      <c r="AO209" s="1315"/>
      <c r="AP209" s="1317" t="e">
        <f>'PLANILHA '!#REF!</f>
        <v>#REF!</v>
      </c>
      <c r="AQ209" s="1317"/>
      <c r="AR209" s="1317"/>
      <c r="AS209" s="1317"/>
      <c r="AT209" s="1317"/>
      <c r="AU209" s="1322" t="e">
        <f>AK209+AP209</f>
        <v>#REF!</v>
      </c>
      <c r="AV209" s="1322"/>
      <c r="AW209" s="1322"/>
      <c r="AX209" s="1322"/>
      <c r="AY209" s="1322"/>
      <c r="AZ209" s="1323" t="e">
        <f>$W209*AK209</f>
        <v>#REF!</v>
      </c>
      <c r="BA209" s="1323"/>
      <c r="BB209" s="1323"/>
      <c r="BC209" s="1323"/>
      <c r="BD209" s="1323" t="e">
        <f>$W209*AP209</f>
        <v>#REF!</v>
      </c>
      <c r="BE209" s="1323"/>
      <c r="BF209" s="1323"/>
      <c r="BG209" s="1323"/>
      <c r="BH209" s="1323"/>
      <c r="BI209" s="1323" t="e">
        <f>ROUND(AZ209+BD209,2)</f>
        <v>#REF!</v>
      </c>
      <c r="BJ209" s="1323"/>
      <c r="BK209" s="1323"/>
      <c r="BL209" s="1323"/>
      <c r="BM209" s="1323"/>
      <c r="BN209" s="1318"/>
      <c r="BO209" s="1318"/>
      <c r="BP209" s="1318"/>
    </row>
    <row r="210" spans="1:68" s="361" customFormat="1" ht="12.75" customHeight="1">
      <c r="A210" s="355"/>
      <c r="B210" s="1310" t="e">
        <f>'PLANILHA '!#REF!</f>
        <v>#REF!</v>
      </c>
      <c r="C210" s="1310"/>
      <c r="D210" s="1311" t="e">
        <f>'PLANILHA '!#REF!</f>
        <v>#REF!</v>
      </c>
      <c r="E210" s="1311"/>
      <c r="F210" s="1311"/>
      <c r="G210" s="1311"/>
      <c r="H210" s="1311"/>
      <c r="I210" s="1311"/>
      <c r="J210" s="1311"/>
      <c r="K210" s="1311"/>
      <c r="L210" s="1311"/>
      <c r="M210" s="1311"/>
      <c r="N210" s="1311"/>
      <c r="O210" s="1311"/>
      <c r="P210" s="1311"/>
      <c r="Q210" s="1311"/>
      <c r="R210" s="1312" t="e">
        <f>'PLANILHA '!#REF!</f>
        <v>#REF!</v>
      </c>
      <c r="S210" s="1312"/>
      <c r="T210" s="1313" t="e">
        <f>'PLANILHA '!#REF!</f>
        <v>#REF!</v>
      </c>
      <c r="U210" s="1313"/>
      <c r="V210" s="1313"/>
      <c r="W210" s="1313" t="e">
        <f>'PLANILHA '!#REF!</f>
        <v>#REF!</v>
      </c>
      <c r="X210" s="1313"/>
      <c r="Y210" s="1313"/>
      <c r="Z210" s="1320"/>
      <c r="AA210" s="1320"/>
      <c r="AB210" s="1320"/>
      <c r="AC210" s="1320"/>
      <c r="AD210" s="1315"/>
      <c r="AE210" s="1315"/>
      <c r="AF210" s="1315"/>
      <c r="AG210" s="1321" t="e">
        <f>ROUND(W210*AD210,2)</f>
        <v>#REF!</v>
      </c>
      <c r="AH210" s="1321"/>
      <c r="AI210" s="1321"/>
      <c r="AJ210" s="1321"/>
      <c r="AK210" s="1315"/>
      <c r="AL210" s="1315"/>
      <c r="AM210" s="1315"/>
      <c r="AN210" s="1315"/>
      <c r="AO210" s="1315"/>
      <c r="AP210" s="1317" t="e">
        <f>'PLANILHA '!#REF!</f>
        <v>#REF!</v>
      </c>
      <c r="AQ210" s="1317"/>
      <c r="AR210" s="1317"/>
      <c r="AS210" s="1317"/>
      <c r="AT210" s="1317"/>
      <c r="AU210" s="1322" t="e">
        <f>AK210+AP210</f>
        <v>#REF!</v>
      </c>
      <c r="AV210" s="1322"/>
      <c r="AW210" s="1322"/>
      <c r="AX210" s="1322"/>
      <c r="AY210" s="1322"/>
      <c r="AZ210" s="1323" t="e">
        <f>$W210*AK210</f>
        <v>#REF!</v>
      </c>
      <c r="BA210" s="1323"/>
      <c r="BB210" s="1323"/>
      <c r="BC210" s="1323"/>
      <c r="BD210" s="1323" t="e">
        <f>$W210*AP210</f>
        <v>#REF!</v>
      </c>
      <c r="BE210" s="1323"/>
      <c r="BF210" s="1323"/>
      <c r="BG210" s="1323"/>
      <c r="BH210" s="1323"/>
      <c r="BI210" s="1323" t="e">
        <f>ROUND(AZ210+BD210,2)</f>
        <v>#REF!</v>
      </c>
      <c r="BJ210" s="1323"/>
      <c r="BK210" s="1323"/>
      <c r="BL210" s="1323"/>
      <c r="BM210" s="1323"/>
      <c r="BN210" s="1318"/>
      <c r="BO210" s="1318"/>
      <c r="BP210" s="1318"/>
    </row>
    <row r="211" spans="1:68" s="361" customFormat="1" ht="12.75" customHeight="1">
      <c r="A211" s="355"/>
      <c r="B211" s="1310" t="e">
        <f>'PLANILHA '!#REF!</f>
        <v>#REF!</v>
      </c>
      <c r="C211" s="1310"/>
      <c r="D211" s="1311" t="e">
        <f>'PLANILHA '!#REF!</f>
        <v>#REF!</v>
      </c>
      <c r="E211" s="1311"/>
      <c r="F211" s="1311"/>
      <c r="G211" s="1311"/>
      <c r="H211" s="1311"/>
      <c r="I211" s="1311"/>
      <c r="J211" s="1311"/>
      <c r="K211" s="1311"/>
      <c r="L211" s="1311"/>
      <c r="M211" s="1311"/>
      <c r="N211" s="1311"/>
      <c r="O211" s="1311"/>
      <c r="P211" s="1311"/>
      <c r="Q211" s="1311"/>
      <c r="R211" s="1312" t="e">
        <f>'PLANILHA '!#REF!</f>
        <v>#REF!</v>
      </c>
      <c r="S211" s="1312"/>
      <c r="T211" s="1313" t="e">
        <f>'PLANILHA '!#REF!</f>
        <v>#REF!</v>
      </c>
      <c r="U211" s="1313"/>
      <c r="V211" s="1313"/>
      <c r="W211" s="1313" t="e">
        <f>'PLANILHA '!#REF!</f>
        <v>#REF!</v>
      </c>
      <c r="X211" s="1313"/>
      <c r="Y211" s="1313"/>
      <c r="Z211" s="1325"/>
      <c r="AA211" s="1325"/>
      <c r="AB211" s="1325"/>
      <c r="AC211" s="1325"/>
      <c r="AD211" s="1333"/>
      <c r="AE211" s="1333"/>
      <c r="AF211" s="1333"/>
      <c r="AG211" s="1321"/>
      <c r="AH211" s="1321"/>
      <c r="AI211" s="1321"/>
      <c r="AJ211" s="1321"/>
      <c r="AK211" s="396"/>
      <c r="AL211" s="397"/>
      <c r="AM211" s="397"/>
      <c r="AN211" s="397"/>
      <c r="AO211" s="398"/>
      <c r="AP211" s="1317" t="e">
        <f>'PLANILHA '!#REF!</f>
        <v>#REF!</v>
      </c>
      <c r="AQ211" s="1317"/>
      <c r="AR211" s="1317"/>
      <c r="AS211" s="1317"/>
      <c r="AT211" s="1317"/>
      <c r="AU211" s="399"/>
      <c r="AV211" s="400"/>
      <c r="AW211" s="400"/>
      <c r="AX211" s="400"/>
      <c r="AY211" s="401"/>
      <c r="AZ211" s="1331" t="e">
        <f>SUM(AZ207:BC210)</f>
        <v>#REF!</v>
      </c>
      <c r="BA211" s="1331"/>
      <c r="BB211" s="1331"/>
      <c r="BC211" s="1331"/>
      <c r="BD211" s="1331"/>
      <c r="BE211" s="1331"/>
      <c r="BF211" s="1331"/>
      <c r="BG211" s="1331"/>
      <c r="BH211" s="1331"/>
      <c r="BI211" s="1331" t="e">
        <f>SUM(BI207:BM210)</f>
        <v>#REF!</v>
      </c>
      <c r="BJ211" s="1331"/>
      <c r="BK211" s="1331"/>
      <c r="BL211" s="1331"/>
      <c r="BM211" s="1331"/>
      <c r="BN211" s="402"/>
      <c r="BO211" s="403"/>
      <c r="BP211" s="404"/>
    </row>
    <row r="212" spans="1:68" s="361" customFormat="1" ht="12.75" customHeight="1">
      <c r="A212" s="355"/>
      <c r="B212" s="1310" t="e">
        <f>'PLANILHA '!#REF!</f>
        <v>#REF!</v>
      </c>
      <c r="C212" s="1310"/>
      <c r="D212" s="1311" t="e">
        <f>'PLANILHA '!#REF!</f>
        <v>#REF!</v>
      </c>
      <c r="E212" s="1311"/>
      <c r="F212" s="1311"/>
      <c r="G212" s="1311"/>
      <c r="H212" s="1311"/>
      <c r="I212" s="1311"/>
      <c r="J212" s="1311"/>
      <c r="K212" s="1311"/>
      <c r="L212" s="1311"/>
      <c r="M212" s="1311"/>
      <c r="N212" s="1311"/>
      <c r="O212" s="1311"/>
      <c r="P212" s="1311"/>
      <c r="Q212" s="1311"/>
      <c r="R212" s="1312" t="e">
        <f>'PLANILHA '!#REF!</f>
        <v>#REF!</v>
      </c>
      <c r="S212" s="1312"/>
      <c r="T212" s="1313" t="e">
        <f>'PLANILHA '!#REF!</f>
        <v>#REF!</v>
      </c>
      <c r="U212" s="1313"/>
      <c r="V212" s="1313"/>
      <c r="W212" s="1313" t="e">
        <f>'PLANILHA '!#REF!</f>
        <v>#REF!</v>
      </c>
      <c r="X212" s="1313"/>
      <c r="Y212" s="1313"/>
      <c r="Z212" s="1320"/>
      <c r="AA212" s="1320"/>
      <c r="AB212" s="1320"/>
      <c r="AC212" s="1320"/>
      <c r="AD212" s="1315"/>
      <c r="AE212" s="1315"/>
      <c r="AF212" s="1315"/>
      <c r="AG212" s="1316"/>
      <c r="AH212" s="1316"/>
      <c r="AI212" s="1316"/>
      <c r="AJ212" s="1316"/>
      <c r="AK212" s="1315"/>
      <c r="AL212" s="1315"/>
      <c r="AM212" s="1315"/>
      <c r="AN212" s="1315"/>
      <c r="AO212" s="1315"/>
      <c r="AP212" s="1317" t="e">
        <f>'PLANILHA '!#REF!</f>
        <v>#REF!</v>
      </c>
      <c r="AQ212" s="1317"/>
      <c r="AR212" s="1317"/>
      <c r="AS212" s="1317"/>
      <c r="AT212" s="1317"/>
      <c r="AU212" s="1316"/>
      <c r="AV212" s="1316"/>
      <c r="AW212" s="1316"/>
      <c r="AX212" s="1316"/>
      <c r="AY212" s="1316"/>
      <c r="AZ212" s="1316"/>
      <c r="BA212" s="1316"/>
      <c r="BB212" s="1316"/>
      <c r="BC212" s="1316"/>
      <c r="BD212" s="1323"/>
      <c r="BE212" s="1323"/>
      <c r="BF212" s="1323"/>
      <c r="BG212" s="1323"/>
      <c r="BH212" s="1323"/>
      <c r="BI212" s="1323"/>
      <c r="BJ212" s="1323"/>
      <c r="BK212" s="1323"/>
      <c r="BL212" s="1323"/>
      <c r="BM212" s="1323"/>
      <c r="BN212" s="1318"/>
      <c r="BO212" s="1318"/>
      <c r="BP212" s="1318"/>
    </row>
    <row r="213" spans="1:68" s="361" customFormat="1" ht="12.75" customHeight="1">
      <c r="A213" s="355"/>
      <c r="B213" s="1310" t="e">
        <f>'PLANILHA '!#REF!</f>
        <v>#REF!</v>
      </c>
      <c r="C213" s="1310"/>
      <c r="D213" s="1311" t="e">
        <f>'PLANILHA '!#REF!</f>
        <v>#REF!</v>
      </c>
      <c r="E213" s="1311"/>
      <c r="F213" s="1311"/>
      <c r="G213" s="1311"/>
      <c r="H213" s="1311"/>
      <c r="I213" s="1311"/>
      <c r="J213" s="1311"/>
      <c r="K213" s="1311"/>
      <c r="L213" s="1311"/>
      <c r="M213" s="1311"/>
      <c r="N213" s="1311"/>
      <c r="O213" s="1311"/>
      <c r="P213" s="1311"/>
      <c r="Q213" s="1311"/>
      <c r="R213" s="1312" t="e">
        <f>'PLANILHA '!#REF!</f>
        <v>#REF!</v>
      </c>
      <c r="S213" s="1312"/>
      <c r="T213" s="1313" t="e">
        <f>'PLANILHA '!#REF!</f>
        <v>#REF!</v>
      </c>
      <c r="U213" s="1313"/>
      <c r="V213" s="1313"/>
      <c r="W213" s="1313" t="e">
        <f>'PLANILHA '!#REF!</f>
        <v>#REF!</v>
      </c>
      <c r="X213" s="1313"/>
      <c r="Y213" s="1313"/>
      <c r="Z213" s="1320"/>
      <c r="AA213" s="1320"/>
      <c r="AB213" s="1320"/>
      <c r="AC213" s="1320"/>
      <c r="AD213" s="1315"/>
      <c r="AE213" s="1315"/>
      <c r="AF213" s="1315"/>
      <c r="AG213" s="1321" t="e">
        <f t="shared" ref="AG213:AG218" si="27">ROUND(W213*AD213,2)</f>
        <v>#REF!</v>
      </c>
      <c r="AH213" s="1321"/>
      <c r="AI213" s="1321"/>
      <c r="AJ213" s="1321"/>
      <c r="AK213" s="1315"/>
      <c r="AL213" s="1315"/>
      <c r="AM213" s="1315"/>
      <c r="AN213" s="1315"/>
      <c r="AO213" s="1315"/>
      <c r="AP213" s="1317" t="e">
        <f>'PLANILHA '!#REF!</f>
        <v>#REF!</v>
      </c>
      <c r="AQ213" s="1317"/>
      <c r="AR213" s="1317"/>
      <c r="AS213" s="1317"/>
      <c r="AT213" s="1317"/>
      <c r="AU213" s="1322" t="e">
        <f t="shared" ref="AU213:AU218" si="28">AK213+AP213</f>
        <v>#REF!</v>
      </c>
      <c r="AV213" s="1322"/>
      <c r="AW213" s="1322"/>
      <c r="AX213" s="1322"/>
      <c r="AY213" s="1322"/>
      <c r="AZ213" s="1323" t="e">
        <f t="shared" ref="AZ213:AZ218" si="29">$W213*AK213</f>
        <v>#REF!</v>
      </c>
      <c r="BA213" s="1323"/>
      <c r="BB213" s="1323"/>
      <c r="BC213" s="1323"/>
      <c r="BD213" s="1323" t="e">
        <f t="shared" ref="BD213:BD218" si="30">$W213*AP213</f>
        <v>#REF!</v>
      </c>
      <c r="BE213" s="1323"/>
      <c r="BF213" s="1323"/>
      <c r="BG213" s="1323"/>
      <c r="BH213" s="1323"/>
      <c r="BI213" s="1323" t="e">
        <f t="shared" ref="BI213:BI218" si="31">ROUND(AZ213+BD213,2)</f>
        <v>#REF!</v>
      </c>
      <c r="BJ213" s="1323"/>
      <c r="BK213" s="1323"/>
      <c r="BL213" s="1323"/>
      <c r="BM213" s="1323"/>
      <c r="BN213" s="1318"/>
      <c r="BO213" s="1318"/>
      <c r="BP213" s="1318"/>
    </row>
    <row r="214" spans="1:68" s="361" customFormat="1" ht="12.75" customHeight="1">
      <c r="A214" s="355"/>
      <c r="B214" s="1310" t="e">
        <f>'PLANILHA '!#REF!</f>
        <v>#REF!</v>
      </c>
      <c r="C214" s="1310"/>
      <c r="D214" s="1311" t="e">
        <f>'PLANILHA '!#REF!</f>
        <v>#REF!</v>
      </c>
      <c r="E214" s="1311"/>
      <c r="F214" s="1311"/>
      <c r="G214" s="1311"/>
      <c r="H214" s="1311"/>
      <c r="I214" s="1311"/>
      <c r="J214" s="1311"/>
      <c r="K214" s="1311"/>
      <c r="L214" s="1311"/>
      <c r="M214" s="1311"/>
      <c r="N214" s="1311"/>
      <c r="O214" s="1311"/>
      <c r="P214" s="1311"/>
      <c r="Q214" s="1311"/>
      <c r="R214" s="1312" t="e">
        <f>'PLANILHA '!#REF!</f>
        <v>#REF!</v>
      </c>
      <c r="S214" s="1312"/>
      <c r="T214" s="1313" t="e">
        <f>'PLANILHA '!#REF!</f>
        <v>#REF!</v>
      </c>
      <c r="U214" s="1313"/>
      <c r="V214" s="1313"/>
      <c r="W214" s="1313" t="e">
        <f>'PLANILHA '!#REF!</f>
        <v>#REF!</v>
      </c>
      <c r="X214" s="1313"/>
      <c r="Y214" s="1313"/>
      <c r="Z214" s="1320"/>
      <c r="AA214" s="1320"/>
      <c r="AB214" s="1320"/>
      <c r="AC214" s="1320"/>
      <c r="AD214" s="1315"/>
      <c r="AE214" s="1315"/>
      <c r="AF214" s="1315"/>
      <c r="AG214" s="1321" t="e">
        <f t="shared" si="27"/>
        <v>#REF!</v>
      </c>
      <c r="AH214" s="1321"/>
      <c r="AI214" s="1321"/>
      <c r="AJ214" s="1321"/>
      <c r="AK214" s="1315"/>
      <c r="AL214" s="1315"/>
      <c r="AM214" s="1315"/>
      <c r="AN214" s="1315"/>
      <c r="AO214" s="1315"/>
      <c r="AP214" s="1317" t="e">
        <f>'PLANILHA '!#REF!</f>
        <v>#REF!</v>
      </c>
      <c r="AQ214" s="1317"/>
      <c r="AR214" s="1317"/>
      <c r="AS214" s="1317"/>
      <c r="AT214" s="1317"/>
      <c r="AU214" s="1322" t="e">
        <f t="shared" si="28"/>
        <v>#REF!</v>
      </c>
      <c r="AV214" s="1322"/>
      <c r="AW214" s="1322"/>
      <c r="AX214" s="1322"/>
      <c r="AY214" s="1322"/>
      <c r="AZ214" s="1323" t="e">
        <f t="shared" si="29"/>
        <v>#REF!</v>
      </c>
      <c r="BA214" s="1323"/>
      <c r="BB214" s="1323"/>
      <c r="BC214" s="1323"/>
      <c r="BD214" s="1323" t="e">
        <f t="shared" si="30"/>
        <v>#REF!</v>
      </c>
      <c r="BE214" s="1323"/>
      <c r="BF214" s="1323"/>
      <c r="BG214" s="1323"/>
      <c r="BH214" s="1323"/>
      <c r="BI214" s="1323" t="e">
        <f t="shared" si="31"/>
        <v>#REF!</v>
      </c>
      <c r="BJ214" s="1323"/>
      <c r="BK214" s="1323"/>
      <c r="BL214" s="1323"/>
      <c r="BM214" s="1323"/>
      <c r="BN214" s="1318"/>
      <c r="BO214" s="1318"/>
      <c r="BP214" s="1318"/>
    </row>
    <row r="215" spans="1:68" s="361" customFormat="1" ht="12.75" customHeight="1">
      <c r="A215" s="355"/>
      <c r="B215" s="1310" t="e">
        <f>'PLANILHA '!#REF!</f>
        <v>#REF!</v>
      </c>
      <c r="C215" s="1310"/>
      <c r="D215" s="1311" t="e">
        <f>'PLANILHA '!#REF!</f>
        <v>#REF!</v>
      </c>
      <c r="E215" s="1311"/>
      <c r="F215" s="1311"/>
      <c r="G215" s="1311"/>
      <c r="H215" s="1311"/>
      <c r="I215" s="1311"/>
      <c r="J215" s="1311"/>
      <c r="K215" s="1311"/>
      <c r="L215" s="1311"/>
      <c r="M215" s="1311"/>
      <c r="N215" s="1311"/>
      <c r="O215" s="1311"/>
      <c r="P215" s="1311"/>
      <c r="Q215" s="1311"/>
      <c r="R215" s="1312" t="e">
        <f>'PLANILHA '!#REF!</f>
        <v>#REF!</v>
      </c>
      <c r="S215" s="1312"/>
      <c r="T215" s="1313" t="e">
        <f>'PLANILHA '!#REF!</f>
        <v>#REF!</v>
      </c>
      <c r="U215" s="1313"/>
      <c r="V215" s="1313"/>
      <c r="W215" s="1313" t="e">
        <f>'PLANILHA '!#REF!</f>
        <v>#REF!</v>
      </c>
      <c r="X215" s="1313"/>
      <c r="Y215" s="1313"/>
      <c r="Z215" s="1320"/>
      <c r="AA215" s="1320"/>
      <c r="AB215" s="1320"/>
      <c r="AC215" s="1320"/>
      <c r="AD215" s="1315"/>
      <c r="AE215" s="1315"/>
      <c r="AF215" s="1315"/>
      <c r="AG215" s="1321" t="e">
        <f t="shared" si="27"/>
        <v>#REF!</v>
      </c>
      <c r="AH215" s="1321"/>
      <c r="AI215" s="1321"/>
      <c r="AJ215" s="1321"/>
      <c r="AK215" s="1315"/>
      <c r="AL215" s="1315"/>
      <c r="AM215" s="1315"/>
      <c r="AN215" s="1315"/>
      <c r="AO215" s="1315"/>
      <c r="AP215" s="1317" t="e">
        <f>'PLANILHA '!#REF!</f>
        <v>#REF!</v>
      </c>
      <c r="AQ215" s="1317"/>
      <c r="AR215" s="1317"/>
      <c r="AS215" s="1317"/>
      <c r="AT215" s="1317"/>
      <c r="AU215" s="1322" t="e">
        <f t="shared" si="28"/>
        <v>#REF!</v>
      </c>
      <c r="AV215" s="1322"/>
      <c r="AW215" s="1322"/>
      <c r="AX215" s="1322"/>
      <c r="AY215" s="1322"/>
      <c r="AZ215" s="1323" t="e">
        <f t="shared" si="29"/>
        <v>#REF!</v>
      </c>
      <c r="BA215" s="1323"/>
      <c r="BB215" s="1323"/>
      <c r="BC215" s="1323"/>
      <c r="BD215" s="1323" t="e">
        <f t="shared" si="30"/>
        <v>#REF!</v>
      </c>
      <c r="BE215" s="1323"/>
      <c r="BF215" s="1323"/>
      <c r="BG215" s="1323"/>
      <c r="BH215" s="1323"/>
      <c r="BI215" s="1323" t="e">
        <f t="shared" si="31"/>
        <v>#REF!</v>
      </c>
      <c r="BJ215" s="1323"/>
      <c r="BK215" s="1323"/>
      <c r="BL215" s="1323"/>
      <c r="BM215" s="1323"/>
      <c r="BN215" s="1318"/>
      <c r="BO215" s="1318"/>
      <c r="BP215" s="1318"/>
    </row>
    <row r="216" spans="1:68" s="361" customFormat="1" ht="12.75" customHeight="1">
      <c r="A216" s="355"/>
      <c r="B216" s="1310" t="e">
        <f>'PLANILHA '!#REF!</f>
        <v>#REF!</v>
      </c>
      <c r="C216" s="1310"/>
      <c r="D216" s="1311" t="e">
        <f>'PLANILHA '!#REF!</f>
        <v>#REF!</v>
      </c>
      <c r="E216" s="1311"/>
      <c r="F216" s="1311"/>
      <c r="G216" s="1311"/>
      <c r="H216" s="1311"/>
      <c r="I216" s="1311"/>
      <c r="J216" s="1311"/>
      <c r="K216" s="1311"/>
      <c r="L216" s="1311"/>
      <c r="M216" s="1311"/>
      <c r="N216" s="1311"/>
      <c r="O216" s="1311"/>
      <c r="P216" s="1311"/>
      <c r="Q216" s="1311"/>
      <c r="R216" s="1312" t="e">
        <f>'PLANILHA '!#REF!</f>
        <v>#REF!</v>
      </c>
      <c r="S216" s="1312"/>
      <c r="T216" s="1313" t="e">
        <f>'PLANILHA '!#REF!</f>
        <v>#REF!</v>
      </c>
      <c r="U216" s="1313"/>
      <c r="V216" s="1313"/>
      <c r="W216" s="1313" t="e">
        <f>'PLANILHA '!#REF!</f>
        <v>#REF!</v>
      </c>
      <c r="X216" s="1313"/>
      <c r="Y216" s="1313"/>
      <c r="Z216" s="1320"/>
      <c r="AA216" s="1320"/>
      <c r="AB216" s="1320"/>
      <c r="AC216" s="1320"/>
      <c r="AD216" s="1315"/>
      <c r="AE216" s="1315"/>
      <c r="AF216" s="1315"/>
      <c r="AG216" s="1321" t="e">
        <f t="shared" si="27"/>
        <v>#REF!</v>
      </c>
      <c r="AH216" s="1321"/>
      <c r="AI216" s="1321"/>
      <c r="AJ216" s="1321"/>
      <c r="AK216" s="1315"/>
      <c r="AL216" s="1315"/>
      <c r="AM216" s="1315"/>
      <c r="AN216" s="1315"/>
      <c r="AO216" s="1315"/>
      <c r="AP216" s="1317" t="e">
        <f>'PLANILHA '!#REF!</f>
        <v>#REF!</v>
      </c>
      <c r="AQ216" s="1317"/>
      <c r="AR216" s="1317"/>
      <c r="AS216" s="1317"/>
      <c r="AT216" s="1317"/>
      <c r="AU216" s="1322" t="e">
        <f t="shared" si="28"/>
        <v>#REF!</v>
      </c>
      <c r="AV216" s="1322"/>
      <c r="AW216" s="1322"/>
      <c r="AX216" s="1322"/>
      <c r="AY216" s="1322"/>
      <c r="AZ216" s="1323" t="e">
        <f t="shared" si="29"/>
        <v>#REF!</v>
      </c>
      <c r="BA216" s="1323"/>
      <c r="BB216" s="1323"/>
      <c r="BC216" s="1323"/>
      <c r="BD216" s="1323" t="e">
        <f t="shared" si="30"/>
        <v>#REF!</v>
      </c>
      <c r="BE216" s="1323"/>
      <c r="BF216" s="1323"/>
      <c r="BG216" s="1323"/>
      <c r="BH216" s="1323"/>
      <c r="BI216" s="1323" t="e">
        <f t="shared" si="31"/>
        <v>#REF!</v>
      </c>
      <c r="BJ216" s="1323"/>
      <c r="BK216" s="1323"/>
      <c r="BL216" s="1323"/>
      <c r="BM216" s="1323"/>
      <c r="BN216" s="1318"/>
      <c r="BO216" s="1318"/>
      <c r="BP216" s="1318"/>
    </row>
    <row r="217" spans="1:68" s="361" customFormat="1" ht="12.75" customHeight="1">
      <c r="A217" s="355"/>
      <c r="B217" s="1310" t="e">
        <f>'PLANILHA '!#REF!</f>
        <v>#REF!</v>
      </c>
      <c r="C217" s="1310"/>
      <c r="D217" s="1311" t="e">
        <f>'PLANILHA '!#REF!</f>
        <v>#REF!</v>
      </c>
      <c r="E217" s="1311"/>
      <c r="F217" s="1311"/>
      <c r="G217" s="1311"/>
      <c r="H217" s="1311"/>
      <c r="I217" s="1311"/>
      <c r="J217" s="1311"/>
      <c r="K217" s="1311"/>
      <c r="L217" s="1311"/>
      <c r="M217" s="1311"/>
      <c r="N217" s="1311"/>
      <c r="O217" s="1311"/>
      <c r="P217" s="1311"/>
      <c r="Q217" s="1311"/>
      <c r="R217" s="1312" t="e">
        <f>'PLANILHA '!#REF!</f>
        <v>#REF!</v>
      </c>
      <c r="S217" s="1312"/>
      <c r="T217" s="1313" t="e">
        <f>'PLANILHA '!#REF!</f>
        <v>#REF!</v>
      </c>
      <c r="U217" s="1313"/>
      <c r="V217" s="1313"/>
      <c r="W217" s="1313" t="e">
        <f>'PLANILHA '!#REF!</f>
        <v>#REF!</v>
      </c>
      <c r="X217" s="1313"/>
      <c r="Y217" s="1313"/>
      <c r="Z217" s="1320"/>
      <c r="AA217" s="1320"/>
      <c r="AB217" s="1320"/>
      <c r="AC217" s="1320"/>
      <c r="AD217" s="1315"/>
      <c r="AE217" s="1315"/>
      <c r="AF217" s="1315"/>
      <c r="AG217" s="1321" t="e">
        <f t="shared" si="27"/>
        <v>#REF!</v>
      </c>
      <c r="AH217" s="1321"/>
      <c r="AI217" s="1321"/>
      <c r="AJ217" s="1321"/>
      <c r="AK217" s="1315"/>
      <c r="AL217" s="1315"/>
      <c r="AM217" s="1315"/>
      <c r="AN217" s="1315"/>
      <c r="AO217" s="1315"/>
      <c r="AP217" s="1317" t="e">
        <f>'PLANILHA '!#REF!</f>
        <v>#REF!</v>
      </c>
      <c r="AQ217" s="1317"/>
      <c r="AR217" s="1317"/>
      <c r="AS217" s="1317"/>
      <c r="AT217" s="1317"/>
      <c r="AU217" s="1322" t="e">
        <f t="shared" si="28"/>
        <v>#REF!</v>
      </c>
      <c r="AV217" s="1322"/>
      <c r="AW217" s="1322"/>
      <c r="AX217" s="1322"/>
      <c r="AY217" s="1322"/>
      <c r="AZ217" s="1323" t="e">
        <f t="shared" si="29"/>
        <v>#REF!</v>
      </c>
      <c r="BA217" s="1323"/>
      <c r="BB217" s="1323"/>
      <c r="BC217" s="1323"/>
      <c r="BD217" s="1323" t="e">
        <f t="shared" si="30"/>
        <v>#REF!</v>
      </c>
      <c r="BE217" s="1323"/>
      <c r="BF217" s="1323"/>
      <c r="BG217" s="1323"/>
      <c r="BH217" s="1323"/>
      <c r="BI217" s="1323" t="e">
        <f t="shared" si="31"/>
        <v>#REF!</v>
      </c>
      <c r="BJ217" s="1323"/>
      <c r="BK217" s="1323"/>
      <c r="BL217" s="1323"/>
      <c r="BM217" s="1323"/>
      <c r="BN217" s="1318"/>
      <c r="BO217" s="1318"/>
      <c r="BP217" s="1318"/>
    </row>
    <row r="218" spans="1:68" s="361" customFormat="1" ht="12.75" customHeight="1">
      <c r="A218" s="355"/>
      <c r="B218" s="1310" t="e">
        <f>'PLANILHA '!#REF!</f>
        <v>#REF!</v>
      </c>
      <c r="C218" s="1310"/>
      <c r="D218" s="1311" t="e">
        <f>'PLANILHA '!#REF!</f>
        <v>#REF!</v>
      </c>
      <c r="E218" s="1311"/>
      <c r="F218" s="1311"/>
      <c r="G218" s="1311"/>
      <c r="H218" s="1311"/>
      <c r="I218" s="1311"/>
      <c r="J218" s="1311"/>
      <c r="K218" s="1311"/>
      <c r="L218" s="1311"/>
      <c r="M218" s="1311"/>
      <c r="N218" s="1311"/>
      <c r="O218" s="1311"/>
      <c r="P218" s="1311"/>
      <c r="Q218" s="1311"/>
      <c r="R218" s="1312" t="e">
        <f>'PLANILHA '!#REF!</f>
        <v>#REF!</v>
      </c>
      <c r="S218" s="1312"/>
      <c r="T218" s="1313" t="e">
        <f>'PLANILHA '!#REF!</f>
        <v>#REF!</v>
      </c>
      <c r="U218" s="1313"/>
      <c r="V218" s="1313"/>
      <c r="W218" s="1313" t="e">
        <f>'PLANILHA '!#REF!</f>
        <v>#REF!</v>
      </c>
      <c r="X218" s="1313"/>
      <c r="Y218" s="1313"/>
      <c r="Z218" s="1320"/>
      <c r="AA218" s="1320"/>
      <c r="AB218" s="1320"/>
      <c r="AC218" s="1320"/>
      <c r="AD218" s="1315"/>
      <c r="AE218" s="1315"/>
      <c r="AF218" s="1315"/>
      <c r="AG218" s="1321" t="e">
        <f t="shared" si="27"/>
        <v>#REF!</v>
      </c>
      <c r="AH218" s="1321"/>
      <c r="AI218" s="1321"/>
      <c r="AJ218" s="1321"/>
      <c r="AK218" s="1315"/>
      <c r="AL218" s="1315"/>
      <c r="AM218" s="1315"/>
      <c r="AN218" s="1315"/>
      <c r="AO218" s="1315"/>
      <c r="AP218" s="1317" t="e">
        <f>'PLANILHA '!#REF!</f>
        <v>#REF!</v>
      </c>
      <c r="AQ218" s="1317"/>
      <c r="AR218" s="1317"/>
      <c r="AS218" s="1317"/>
      <c r="AT218" s="1317"/>
      <c r="AU218" s="1322" t="e">
        <f t="shared" si="28"/>
        <v>#REF!</v>
      </c>
      <c r="AV218" s="1322"/>
      <c r="AW218" s="1322"/>
      <c r="AX218" s="1322"/>
      <c r="AY218" s="1322"/>
      <c r="AZ218" s="1323" t="e">
        <f t="shared" si="29"/>
        <v>#REF!</v>
      </c>
      <c r="BA218" s="1323"/>
      <c r="BB218" s="1323"/>
      <c r="BC218" s="1323"/>
      <c r="BD218" s="1323" t="e">
        <f t="shared" si="30"/>
        <v>#REF!</v>
      </c>
      <c r="BE218" s="1323"/>
      <c r="BF218" s="1323"/>
      <c r="BG218" s="1323"/>
      <c r="BH218" s="1323"/>
      <c r="BI218" s="1323" t="e">
        <f t="shared" si="31"/>
        <v>#REF!</v>
      </c>
      <c r="BJ218" s="1323"/>
      <c r="BK218" s="1323"/>
      <c r="BL218" s="1323"/>
      <c r="BM218" s="1323"/>
      <c r="BN218" s="1318"/>
      <c r="BO218" s="1318"/>
      <c r="BP218" s="1318"/>
    </row>
    <row r="219" spans="1:68" s="361" customFormat="1" ht="12.75" customHeight="1">
      <c r="A219" s="355"/>
      <c r="B219" s="1310" t="e">
        <f>'PLANILHA '!#REF!</f>
        <v>#REF!</v>
      </c>
      <c r="C219" s="1310"/>
      <c r="D219" s="1311" t="e">
        <f>'PLANILHA '!#REF!</f>
        <v>#REF!</v>
      </c>
      <c r="E219" s="1311"/>
      <c r="F219" s="1311"/>
      <c r="G219" s="1311"/>
      <c r="H219" s="1311"/>
      <c r="I219" s="1311"/>
      <c r="J219" s="1311"/>
      <c r="K219" s="1311"/>
      <c r="L219" s="1311"/>
      <c r="M219" s="1311"/>
      <c r="N219" s="1311"/>
      <c r="O219" s="1311"/>
      <c r="P219" s="1311"/>
      <c r="Q219" s="1311"/>
      <c r="R219" s="1312" t="e">
        <f>'PLANILHA '!#REF!</f>
        <v>#REF!</v>
      </c>
      <c r="S219" s="1312"/>
      <c r="T219" s="1313" t="e">
        <f>'PLANILHA '!#REF!</f>
        <v>#REF!</v>
      </c>
      <c r="U219" s="1313"/>
      <c r="V219" s="1313"/>
      <c r="W219" s="1313" t="e">
        <f>'PLANILHA '!#REF!</f>
        <v>#REF!</v>
      </c>
      <c r="X219" s="1313"/>
      <c r="Y219" s="1313"/>
      <c r="Z219" s="1320"/>
      <c r="AA219" s="1320"/>
      <c r="AB219" s="1320"/>
      <c r="AC219" s="1320"/>
      <c r="AD219" s="1315"/>
      <c r="AE219" s="1315"/>
      <c r="AF219" s="1315"/>
      <c r="AG219" s="1321"/>
      <c r="AH219" s="1321"/>
      <c r="AI219" s="1321"/>
      <c r="AJ219" s="1321"/>
      <c r="AK219" s="1327"/>
      <c r="AL219" s="1327"/>
      <c r="AM219" s="1327"/>
      <c r="AN219" s="1327"/>
      <c r="AO219" s="1327"/>
      <c r="AP219" s="1317" t="e">
        <f>'PLANILHA '!#REF!</f>
        <v>#REF!</v>
      </c>
      <c r="AQ219" s="1317"/>
      <c r="AR219" s="1317"/>
      <c r="AS219" s="1317"/>
      <c r="AT219" s="1317"/>
      <c r="AU219" s="1322"/>
      <c r="AV219" s="1322"/>
      <c r="AW219" s="1322"/>
      <c r="AX219" s="1322"/>
      <c r="AY219" s="1322"/>
      <c r="AZ219" s="1323"/>
      <c r="BA219" s="1323"/>
      <c r="BB219" s="1323"/>
      <c r="BC219" s="1323"/>
      <c r="BD219" s="1323"/>
      <c r="BE219" s="1323"/>
      <c r="BF219" s="1323"/>
      <c r="BG219" s="1323"/>
      <c r="BH219" s="1323"/>
      <c r="BI219" s="1323"/>
      <c r="BJ219" s="1323"/>
      <c r="BK219" s="1323"/>
      <c r="BL219" s="1323"/>
      <c r="BM219" s="1323"/>
      <c r="BN219" s="1324"/>
      <c r="BO219" s="1324"/>
      <c r="BP219" s="1324"/>
    </row>
    <row r="220" spans="1:68" s="361" customFormat="1" ht="12.75" customHeight="1">
      <c r="A220" s="355"/>
      <c r="B220" s="1310" t="e">
        <f>'PLANILHA '!#REF!</f>
        <v>#REF!</v>
      </c>
      <c r="C220" s="1310"/>
      <c r="D220" s="1311" t="e">
        <f>'PLANILHA '!#REF!</f>
        <v>#REF!</v>
      </c>
      <c r="E220" s="1311"/>
      <c r="F220" s="1311"/>
      <c r="G220" s="1311"/>
      <c r="H220" s="1311"/>
      <c r="I220" s="1311"/>
      <c r="J220" s="1311"/>
      <c r="K220" s="1311"/>
      <c r="L220" s="1311"/>
      <c r="M220" s="1311"/>
      <c r="N220" s="1311"/>
      <c r="O220" s="1311"/>
      <c r="P220" s="1311"/>
      <c r="Q220" s="1311"/>
      <c r="R220" s="1312" t="e">
        <f>'PLANILHA '!#REF!</f>
        <v>#REF!</v>
      </c>
      <c r="S220" s="1312"/>
      <c r="T220" s="1313" t="e">
        <f>'PLANILHA '!#REF!</f>
        <v>#REF!</v>
      </c>
      <c r="U220" s="1313"/>
      <c r="V220" s="1313"/>
      <c r="W220" s="1313" t="e">
        <f>'PLANILHA '!#REF!</f>
        <v>#REF!</v>
      </c>
      <c r="X220" s="1313"/>
      <c r="Y220" s="1313"/>
      <c r="Z220" s="1320"/>
      <c r="AA220" s="1320"/>
      <c r="AB220" s="1320"/>
      <c r="AC220" s="1320"/>
      <c r="AD220" s="1315"/>
      <c r="AE220" s="1315"/>
      <c r="AF220" s="1315"/>
      <c r="AG220" s="1321"/>
      <c r="AH220" s="1321"/>
      <c r="AI220" s="1321"/>
      <c r="AJ220" s="1321"/>
      <c r="AK220" s="1327"/>
      <c r="AL220" s="1327"/>
      <c r="AM220" s="1327"/>
      <c r="AN220" s="1327"/>
      <c r="AO220" s="1327"/>
      <c r="AP220" s="1317" t="e">
        <f>'PLANILHA '!#REF!</f>
        <v>#REF!</v>
      </c>
      <c r="AQ220" s="1317"/>
      <c r="AR220" s="1317"/>
      <c r="AS220" s="1317"/>
      <c r="AT220" s="1317"/>
      <c r="AU220" s="1322"/>
      <c r="AV220" s="1322"/>
      <c r="AW220" s="1322"/>
      <c r="AX220" s="1322"/>
      <c r="AY220" s="1322"/>
      <c r="AZ220" s="1323"/>
      <c r="BA220" s="1323"/>
      <c r="BB220" s="1323"/>
      <c r="BC220" s="1323"/>
      <c r="BD220" s="1323"/>
      <c r="BE220" s="1323"/>
      <c r="BF220" s="1323"/>
      <c r="BG220" s="1323"/>
      <c r="BH220" s="1323"/>
      <c r="BI220" s="1323"/>
      <c r="BJ220" s="1323"/>
      <c r="BK220" s="1323"/>
      <c r="BL220" s="1323"/>
      <c r="BM220" s="1323"/>
      <c r="BN220" s="1324"/>
      <c r="BO220" s="1324"/>
      <c r="BP220" s="1324"/>
    </row>
    <row r="221" spans="1:68" s="361" customFormat="1" ht="12.75" customHeight="1">
      <c r="A221" s="355"/>
      <c r="B221" s="1310" t="e">
        <f>'PLANILHA '!#REF!</f>
        <v>#REF!</v>
      </c>
      <c r="C221" s="1310"/>
      <c r="D221" s="1311" t="e">
        <f>'PLANILHA '!#REF!</f>
        <v>#REF!</v>
      </c>
      <c r="E221" s="1311"/>
      <c r="F221" s="1311"/>
      <c r="G221" s="1311"/>
      <c r="H221" s="1311"/>
      <c r="I221" s="1311"/>
      <c r="J221" s="1311"/>
      <c r="K221" s="1311"/>
      <c r="L221" s="1311"/>
      <c r="M221" s="1311"/>
      <c r="N221" s="1311"/>
      <c r="O221" s="1311"/>
      <c r="P221" s="1311"/>
      <c r="Q221" s="1311"/>
      <c r="R221" s="1312" t="e">
        <f>'PLANILHA '!#REF!</f>
        <v>#REF!</v>
      </c>
      <c r="S221" s="1312"/>
      <c r="T221" s="1313" t="e">
        <f>'PLANILHA '!#REF!</f>
        <v>#REF!</v>
      </c>
      <c r="U221" s="1313"/>
      <c r="V221" s="1313"/>
      <c r="W221" s="1313" t="e">
        <f>'PLANILHA '!#REF!</f>
        <v>#REF!</v>
      </c>
      <c r="X221" s="1313"/>
      <c r="Y221" s="1313"/>
      <c r="Z221" s="1320"/>
      <c r="AA221" s="1320"/>
      <c r="AB221" s="1320"/>
      <c r="AC221" s="1320"/>
      <c r="AD221" s="1315"/>
      <c r="AE221" s="1315"/>
      <c r="AF221" s="1315"/>
      <c r="AG221" s="1321"/>
      <c r="AH221" s="1321"/>
      <c r="AI221" s="1321"/>
      <c r="AJ221" s="1321"/>
      <c r="AK221" s="1327"/>
      <c r="AL221" s="1327"/>
      <c r="AM221" s="1327"/>
      <c r="AN221" s="1327"/>
      <c r="AO221" s="1327"/>
      <c r="AP221" s="1317" t="e">
        <f>'PLANILHA '!#REF!</f>
        <v>#REF!</v>
      </c>
      <c r="AQ221" s="1317"/>
      <c r="AR221" s="1317"/>
      <c r="AS221" s="1317"/>
      <c r="AT221" s="1317"/>
      <c r="AU221" s="1322"/>
      <c r="AV221" s="1322"/>
      <c r="AW221" s="1322"/>
      <c r="AX221" s="1322"/>
      <c r="AY221" s="1322"/>
      <c r="AZ221" s="1323"/>
      <c r="BA221" s="1323"/>
      <c r="BB221" s="1323"/>
      <c r="BC221" s="1323"/>
      <c r="BD221" s="1323"/>
      <c r="BE221" s="1323"/>
      <c r="BF221" s="1323"/>
      <c r="BG221" s="1323"/>
      <c r="BH221" s="1323"/>
      <c r="BI221" s="1323"/>
      <c r="BJ221" s="1323"/>
      <c r="BK221" s="1323"/>
      <c r="BL221" s="1323"/>
      <c r="BM221" s="1323"/>
      <c r="BN221" s="1324"/>
      <c r="BO221" s="1324"/>
      <c r="BP221" s="1324"/>
    </row>
    <row r="222" spans="1:68" s="361" customFormat="1" ht="12.75" customHeight="1">
      <c r="A222" s="355"/>
      <c r="B222" s="1310" t="e">
        <f>'PLANILHA '!#REF!</f>
        <v>#REF!</v>
      </c>
      <c r="C222" s="1310"/>
      <c r="D222" s="1311" t="e">
        <f>'PLANILHA '!#REF!</f>
        <v>#REF!</v>
      </c>
      <c r="E222" s="1311"/>
      <c r="F222" s="1311"/>
      <c r="G222" s="1311"/>
      <c r="H222" s="1311"/>
      <c r="I222" s="1311"/>
      <c r="J222" s="1311"/>
      <c r="K222" s="1311"/>
      <c r="L222" s="1311"/>
      <c r="M222" s="1311"/>
      <c r="N222" s="1311"/>
      <c r="O222" s="1311"/>
      <c r="P222" s="1311"/>
      <c r="Q222" s="1311"/>
      <c r="R222" s="1312" t="e">
        <f>'PLANILHA '!#REF!</f>
        <v>#REF!</v>
      </c>
      <c r="S222" s="1312"/>
      <c r="T222" s="1313" t="e">
        <f>'PLANILHA '!#REF!</f>
        <v>#REF!</v>
      </c>
      <c r="U222" s="1313"/>
      <c r="V222" s="1313"/>
      <c r="W222" s="1313" t="e">
        <f>'PLANILHA '!#REF!</f>
        <v>#REF!</v>
      </c>
      <c r="X222" s="1313"/>
      <c r="Y222" s="1313"/>
      <c r="Z222" s="1320"/>
      <c r="AA222" s="1320"/>
      <c r="AB222" s="1320"/>
      <c r="AC222" s="1320"/>
      <c r="AD222" s="1315"/>
      <c r="AE222" s="1315"/>
      <c r="AF222" s="1315"/>
      <c r="AG222" s="1321"/>
      <c r="AH222" s="1321"/>
      <c r="AI222" s="1321"/>
      <c r="AJ222" s="1321"/>
      <c r="AK222" s="1327"/>
      <c r="AL222" s="1327"/>
      <c r="AM222" s="1327"/>
      <c r="AN222" s="1327"/>
      <c r="AO222" s="1327"/>
      <c r="AP222" s="1317" t="e">
        <f>'PLANILHA '!#REF!</f>
        <v>#REF!</v>
      </c>
      <c r="AQ222" s="1317"/>
      <c r="AR222" s="1317"/>
      <c r="AS222" s="1317"/>
      <c r="AT222" s="1317"/>
      <c r="AU222" s="1322"/>
      <c r="AV222" s="1322"/>
      <c r="AW222" s="1322"/>
      <c r="AX222" s="1322"/>
      <c r="AY222" s="1322"/>
      <c r="AZ222" s="1323"/>
      <c r="BA222" s="1323"/>
      <c r="BB222" s="1323"/>
      <c r="BC222" s="1323"/>
      <c r="BD222" s="1323"/>
      <c r="BE222" s="1323"/>
      <c r="BF222" s="1323"/>
      <c r="BG222" s="1323"/>
      <c r="BH222" s="1323"/>
      <c r="BI222" s="1323"/>
      <c r="BJ222" s="1323"/>
      <c r="BK222" s="1323"/>
      <c r="BL222" s="1323"/>
      <c r="BM222" s="1323"/>
      <c r="BN222" s="1324"/>
      <c r="BO222" s="1324"/>
      <c r="BP222" s="1324"/>
    </row>
    <row r="223" spans="1:68" s="361" customFormat="1" ht="12.75" customHeight="1">
      <c r="A223" s="355"/>
      <c r="B223" s="1310" t="e">
        <f>'PLANILHA '!#REF!</f>
        <v>#REF!</v>
      </c>
      <c r="C223" s="1310"/>
      <c r="D223" s="1311" t="e">
        <f>'PLANILHA '!#REF!</f>
        <v>#REF!</v>
      </c>
      <c r="E223" s="1311"/>
      <c r="F223" s="1311"/>
      <c r="G223" s="1311"/>
      <c r="H223" s="1311"/>
      <c r="I223" s="1311"/>
      <c r="J223" s="1311"/>
      <c r="K223" s="1311"/>
      <c r="L223" s="1311"/>
      <c r="M223" s="1311"/>
      <c r="N223" s="1311"/>
      <c r="O223" s="1311"/>
      <c r="P223" s="1311"/>
      <c r="Q223" s="1311"/>
      <c r="R223" s="1312" t="e">
        <f>'PLANILHA '!#REF!</f>
        <v>#REF!</v>
      </c>
      <c r="S223" s="1312"/>
      <c r="T223" s="1313" t="e">
        <f>'PLANILHA '!#REF!</f>
        <v>#REF!</v>
      </c>
      <c r="U223" s="1313"/>
      <c r="V223" s="1313"/>
      <c r="W223" s="1313" t="e">
        <f>'PLANILHA '!#REF!</f>
        <v>#REF!</v>
      </c>
      <c r="X223" s="1313"/>
      <c r="Y223" s="1313"/>
      <c r="Z223" s="1320"/>
      <c r="AA223" s="1320"/>
      <c r="AB223" s="1320"/>
      <c r="AC223" s="1320"/>
      <c r="AD223" s="1315"/>
      <c r="AE223" s="1315"/>
      <c r="AF223" s="1315"/>
      <c r="AG223" s="1321"/>
      <c r="AH223" s="1321"/>
      <c r="AI223" s="1321"/>
      <c r="AJ223" s="1321"/>
      <c r="AK223" s="1327"/>
      <c r="AL223" s="1327"/>
      <c r="AM223" s="1327"/>
      <c r="AN223" s="1327"/>
      <c r="AO223" s="1327"/>
      <c r="AP223" s="1317" t="e">
        <f>'PLANILHA '!#REF!</f>
        <v>#REF!</v>
      </c>
      <c r="AQ223" s="1317"/>
      <c r="AR223" s="1317"/>
      <c r="AS223" s="1317"/>
      <c r="AT223" s="1317"/>
      <c r="AU223" s="1322"/>
      <c r="AV223" s="1322"/>
      <c r="AW223" s="1322"/>
      <c r="AX223" s="1322"/>
      <c r="AY223" s="1322"/>
      <c r="AZ223" s="1323"/>
      <c r="BA223" s="1323"/>
      <c r="BB223" s="1323"/>
      <c r="BC223" s="1323"/>
      <c r="BD223" s="1323"/>
      <c r="BE223" s="1323"/>
      <c r="BF223" s="1323"/>
      <c r="BG223" s="1323"/>
      <c r="BH223" s="1323"/>
      <c r="BI223" s="1323"/>
      <c r="BJ223" s="1323"/>
      <c r="BK223" s="1323"/>
      <c r="BL223" s="1323"/>
      <c r="BM223" s="1323"/>
      <c r="BN223" s="1324"/>
      <c r="BO223" s="1324"/>
      <c r="BP223" s="1324"/>
    </row>
    <row r="224" spans="1:68" s="361" customFormat="1" ht="12.75" customHeight="1">
      <c r="A224" s="355"/>
      <c r="B224" s="1310" t="e">
        <f>'PLANILHA '!#REF!</f>
        <v>#REF!</v>
      </c>
      <c r="C224" s="1310"/>
      <c r="D224" s="1311" t="e">
        <f>'PLANILHA '!#REF!</f>
        <v>#REF!</v>
      </c>
      <c r="E224" s="1311"/>
      <c r="F224" s="1311"/>
      <c r="G224" s="1311"/>
      <c r="H224" s="1311"/>
      <c r="I224" s="1311"/>
      <c r="J224" s="1311"/>
      <c r="K224" s="1311"/>
      <c r="L224" s="1311"/>
      <c r="M224" s="1311"/>
      <c r="N224" s="1311"/>
      <c r="O224" s="1311"/>
      <c r="P224" s="1311"/>
      <c r="Q224" s="1311"/>
      <c r="R224" s="1312" t="e">
        <f>'PLANILHA '!#REF!</f>
        <v>#REF!</v>
      </c>
      <c r="S224" s="1312"/>
      <c r="T224" s="1313" t="e">
        <f>'PLANILHA '!#REF!</f>
        <v>#REF!</v>
      </c>
      <c r="U224" s="1313"/>
      <c r="V224" s="1313"/>
      <c r="W224" s="1313" t="e">
        <f>'PLANILHA '!#REF!</f>
        <v>#REF!</v>
      </c>
      <c r="X224" s="1313"/>
      <c r="Y224" s="1313"/>
      <c r="Z224" s="1320"/>
      <c r="AA224" s="1320"/>
      <c r="AB224" s="1320"/>
      <c r="AC224" s="1320"/>
      <c r="AD224" s="1315"/>
      <c r="AE224" s="1315"/>
      <c r="AF224" s="1315"/>
      <c r="AG224" s="1321"/>
      <c r="AH224" s="1321"/>
      <c r="AI224" s="1321"/>
      <c r="AJ224" s="1321"/>
      <c r="AK224" s="1327"/>
      <c r="AL224" s="1327"/>
      <c r="AM224" s="1327"/>
      <c r="AN224" s="1327"/>
      <c r="AO224" s="1327"/>
      <c r="AP224" s="1317" t="e">
        <f>'PLANILHA '!#REF!</f>
        <v>#REF!</v>
      </c>
      <c r="AQ224" s="1317"/>
      <c r="AR224" s="1317"/>
      <c r="AS224" s="1317"/>
      <c r="AT224" s="1317"/>
      <c r="AU224" s="1322"/>
      <c r="AV224" s="1322"/>
      <c r="AW224" s="1322"/>
      <c r="AX224" s="1322"/>
      <c r="AY224" s="1322"/>
      <c r="AZ224" s="1323"/>
      <c r="BA224" s="1323"/>
      <c r="BB224" s="1323"/>
      <c r="BC224" s="1323"/>
      <c r="BD224" s="1323"/>
      <c r="BE224" s="1323"/>
      <c r="BF224" s="1323"/>
      <c r="BG224" s="1323"/>
      <c r="BH224" s="1323"/>
      <c r="BI224" s="1323"/>
      <c r="BJ224" s="1323"/>
      <c r="BK224" s="1323"/>
      <c r="BL224" s="1323"/>
      <c r="BM224" s="1323"/>
      <c r="BN224" s="1324"/>
      <c r="BO224" s="1324"/>
      <c r="BP224" s="1324"/>
    </row>
    <row r="225" spans="1:68" s="361" customFormat="1" ht="12.75" customHeight="1">
      <c r="A225" s="355"/>
      <c r="B225" s="1310" t="e">
        <f>'PLANILHA '!#REF!</f>
        <v>#REF!</v>
      </c>
      <c r="C225" s="1310"/>
      <c r="D225" s="1311" t="e">
        <f>'PLANILHA '!#REF!</f>
        <v>#REF!</v>
      </c>
      <c r="E225" s="1311"/>
      <c r="F225" s="1311"/>
      <c r="G225" s="1311"/>
      <c r="H225" s="1311"/>
      <c r="I225" s="1311"/>
      <c r="J225" s="1311"/>
      <c r="K225" s="1311"/>
      <c r="L225" s="1311"/>
      <c r="M225" s="1311"/>
      <c r="N225" s="1311"/>
      <c r="O225" s="1311"/>
      <c r="P225" s="1311"/>
      <c r="Q225" s="1311"/>
      <c r="R225" s="1312" t="e">
        <f>'PLANILHA '!#REF!</f>
        <v>#REF!</v>
      </c>
      <c r="S225" s="1312"/>
      <c r="T225" s="1313" t="e">
        <f>'PLANILHA '!#REF!</f>
        <v>#REF!</v>
      </c>
      <c r="U225" s="1313"/>
      <c r="V225" s="1313"/>
      <c r="W225" s="1313" t="e">
        <f>'PLANILHA '!#REF!</f>
        <v>#REF!</v>
      </c>
      <c r="X225" s="1313"/>
      <c r="Y225" s="1313"/>
      <c r="Z225" s="1320"/>
      <c r="AA225" s="1320"/>
      <c r="AB225" s="1320"/>
      <c r="AC225" s="1320"/>
      <c r="AD225" s="1315"/>
      <c r="AE225" s="1315"/>
      <c r="AF225" s="1315"/>
      <c r="AG225" s="1321"/>
      <c r="AH225" s="1321"/>
      <c r="AI225" s="1321"/>
      <c r="AJ225" s="1321"/>
      <c r="AK225" s="1327"/>
      <c r="AL225" s="1327"/>
      <c r="AM225" s="1327"/>
      <c r="AN225" s="1327"/>
      <c r="AO225" s="1327"/>
      <c r="AP225" s="1317" t="e">
        <f>'PLANILHA '!#REF!</f>
        <v>#REF!</v>
      </c>
      <c r="AQ225" s="1317"/>
      <c r="AR225" s="1317"/>
      <c r="AS225" s="1317"/>
      <c r="AT225" s="1317"/>
      <c r="AU225" s="1322"/>
      <c r="AV225" s="1322"/>
      <c r="AW225" s="1322"/>
      <c r="AX225" s="1322"/>
      <c r="AY225" s="1322"/>
      <c r="AZ225" s="1323"/>
      <c r="BA225" s="1323"/>
      <c r="BB225" s="1323"/>
      <c r="BC225" s="1323"/>
      <c r="BD225" s="1323"/>
      <c r="BE225" s="1323"/>
      <c r="BF225" s="1323"/>
      <c r="BG225" s="1323"/>
      <c r="BH225" s="1323"/>
      <c r="BI225" s="1323"/>
      <c r="BJ225" s="1323"/>
      <c r="BK225" s="1323"/>
      <c r="BL225" s="1323"/>
      <c r="BM225" s="1323"/>
      <c r="BN225" s="1324"/>
      <c r="BO225" s="1324"/>
      <c r="BP225" s="1324"/>
    </row>
    <row r="226" spans="1:68" s="361" customFormat="1" ht="12.75" customHeight="1">
      <c r="A226" s="355"/>
      <c r="B226" s="1310" t="e">
        <f>'PLANILHA '!#REF!</f>
        <v>#REF!</v>
      </c>
      <c r="C226" s="1310"/>
      <c r="D226" s="1311" t="e">
        <f>'PLANILHA '!#REF!</f>
        <v>#REF!</v>
      </c>
      <c r="E226" s="1311"/>
      <c r="F226" s="1311"/>
      <c r="G226" s="1311"/>
      <c r="H226" s="1311"/>
      <c r="I226" s="1311"/>
      <c r="J226" s="1311"/>
      <c r="K226" s="1311"/>
      <c r="L226" s="1311"/>
      <c r="M226" s="1311"/>
      <c r="N226" s="1311"/>
      <c r="O226" s="1311"/>
      <c r="P226" s="1311"/>
      <c r="Q226" s="1311"/>
      <c r="R226" s="1312" t="e">
        <f>'PLANILHA '!#REF!</f>
        <v>#REF!</v>
      </c>
      <c r="S226" s="1312"/>
      <c r="T226" s="1313" t="e">
        <f>'PLANILHA '!#REF!</f>
        <v>#REF!</v>
      </c>
      <c r="U226" s="1313"/>
      <c r="V226" s="1313"/>
      <c r="W226" s="1313" t="e">
        <f>'PLANILHA '!#REF!</f>
        <v>#REF!</v>
      </c>
      <c r="X226" s="1313"/>
      <c r="Y226" s="1313"/>
      <c r="Z226" s="1320"/>
      <c r="AA226" s="1320"/>
      <c r="AB226" s="1320"/>
      <c r="AC226" s="1320"/>
      <c r="AD226" s="1315"/>
      <c r="AE226" s="1315"/>
      <c r="AF226" s="1315"/>
      <c r="AG226" s="1321"/>
      <c r="AH226" s="1321"/>
      <c r="AI226" s="1321"/>
      <c r="AJ226" s="1321"/>
      <c r="AK226" s="1327"/>
      <c r="AL226" s="1327"/>
      <c r="AM226" s="1327"/>
      <c r="AN226" s="1327"/>
      <c r="AO226" s="1327"/>
      <c r="AP226" s="1317" t="e">
        <f>'PLANILHA '!#REF!</f>
        <v>#REF!</v>
      </c>
      <c r="AQ226" s="1317"/>
      <c r="AR226" s="1317"/>
      <c r="AS226" s="1317"/>
      <c r="AT226" s="1317"/>
      <c r="AU226" s="1322"/>
      <c r="AV226" s="1322"/>
      <c r="AW226" s="1322"/>
      <c r="AX226" s="1322"/>
      <c r="AY226" s="1322"/>
      <c r="AZ226" s="1323"/>
      <c r="BA226" s="1323"/>
      <c r="BB226" s="1323"/>
      <c r="BC226" s="1323"/>
      <c r="BD226" s="1323"/>
      <c r="BE226" s="1323"/>
      <c r="BF226" s="1323"/>
      <c r="BG226" s="1323"/>
      <c r="BH226" s="1323"/>
      <c r="BI226" s="1323"/>
      <c r="BJ226" s="1323"/>
      <c r="BK226" s="1323"/>
      <c r="BL226" s="1323"/>
      <c r="BM226" s="1323"/>
      <c r="BN226" s="1324"/>
      <c r="BO226" s="1324"/>
      <c r="BP226" s="1324"/>
    </row>
    <row r="227" spans="1:68" s="361" customFormat="1" ht="12.75" customHeight="1">
      <c r="A227" s="355"/>
      <c r="B227" s="1310" t="e">
        <f>'PLANILHA '!#REF!</f>
        <v>#REF!</v>
      </c>
      <c r="C227" s="1310"/>
      <c r="D227" s="1311" t="e">
        <f>'PLANILHA '!#REF!</f>
        <v>#REF!</v>
      </c>
      <c r="E227" s="1311"/>
      <c r="F227" s="1311"/>
      <c r="G227" s="1311"/>
      <c r="H227" s="1311"/>
      <c r="I227" s="1311"/>
      <c r="J227" s="1311"/>
      <c r="K227" s="1311"/>
      <c r="L227" s="1311"/>
      <c r="M227" s="1311"/>
      <c r="N227" s="1311"/>
      <c r="O227" s="1311"/>
      <c r="P227" s="1311"/>
      <c r="Q227" s="1311"/>
      <c r="R227" s="1312" t="e">
        <f>'PLANILHA '!#REF!</f>
        <v>#REF!</v>
      </c>
      <c r="S227" s="1312"/>
      <c r="T227" s="1313" t="e">
        <f>'PLANILHA '!#REF!</f>
        <v>#REF!</v>
      </c>
      <c r="U227" s="1313"/>
      <c r="V227" s="1313"/>
      <c r="W227" s="1313" t="e">
        <f>'PLANILHA '!#REF!</f>
        <v>#REF!</v>
      </c>
      <c r="X227" s="1313"/>
      <c r="Y227" s="1313"/>
      <c r="Z227" s="1320"/>
      <c r="AA227" s="1320"/>
      <c r="AB227" s="1320"/>
      <c r="AC227" s="1320"/>
      <c r="AD227" s="1315"/>
      <c r="AE227" s="1315"/>
      <c r="AF227" s="1315"/>
      <c r="AG227" s="1321"/>
      <c r="AH227" s="1321"/>
      <c r="AI227" s="1321"/>
      <c r="AJ227" s="1321"/>
      <c r="AK227" s="1327"/>
      <c r="AL227" s="1327"/>
      <c r="AM227" s="1327"/>
      <c r="AN227" s="1327"/>
      <c r="AO227" s="1327"/>
      <c r="AP227" s="1317" t="e">
        <f>'PLANILHA '!#REF!</f>
        <v>#REF!</v>
      </c>
      <c r="AQ227" s="1317"/>
      <c r="AR227" s="1317"/>
      <c r="AS227" s="1317"/>
      <c r="AT227" s="1317"/>
      <c r="AU227" s="1322"/>
      <c r="AV227" s="1322"/>
      <c r="AW227" s="1322"/>
      <c r="AX227" s="1322"/>
      <c r="AY227" s="1322"/>
      <c r="AZ227" s="1323"/>
      <c r="BA227" s="1323"/>
      <c r="BB227" s="1323"/>
      <c r="BC227" s="1323"/>
      <c r="BD227" s="1323"/>
      <c r="BE227" s="1323"/>
      <c r="BF227" s="1323"/>
      <c r="BG227" s="1323"/>
      <c r="BH227" s="1323"/>
      <c r="BI227" s="1323"/>
      <c r="BJ227" s="1323"/>
      <c r="BK227" s="1323"/>
      <c r="BL227" s="1323"/>
      <c r="BM227" s="1323"/>
      <c r="BN227" s="1324"/>
      <c r="BO227" s="1324"/>
      <c r="BP227" s="1324"/>
    </row>
    <row r="228" spans="1:68" s="361" customFormat="1" ht="12.75" customHeight="1">
      <c r="A228" s="355"/>
      <c r="B228" s="1310" t="e">
        <f>'PLANILHA '!#REF!</f>
        <v>#REF!</v>
      </c>
      <c r="C228" s="1310"/>
      <c r="D228" s="1311" t="e">
        <f>'PLANILHA '!#REF!</f>
        <v>#REF!</v>
      </c>
      <c r="E228" s="1311"/>
      <c r="F228" s="1311"/>
      <c r="G228" s="1311"/>
      <c r="H228" s="1311"/>
      <c r="I228" s="1311"/>
      <c r="J228" s="1311"/>
      <c r="K228" s="1311"/>
      <c r="L228" s="1311"/>
      <c r="M228" s="1311"/>
      <c r="N228" s="1311"/>
      <c r="O228" s="1311"/>
      <c r="P228" s="1311"/>
      <c r="Q228" s="1311"/>
      <c r="R228" s="1312" t="e">
        <f>'PLANILHA '!#REF!</f>
        <v>#REF!</v>
      </c>
      <c r="S228" s="1312"/>
      <c r="T228" s="1313" t="e">
        <f>'PLANILHA '!#REF!</f>
        <v>#REF!</v>
      </c>
      <c r="U228" s="1313"/>
      <c r="V228" s="1313"/>
      <c r="W228" s="1313" t="e">
        <f>'PLANILHA '!#REF!</f>
        <v>#REF!</v>
      </c>
      <c r="X228" s="1313"/>
      <c r="Y228" s="1313"/>
      <c r="Z228" s="1320"/>
      <c r="AA228" s="1320"/>
      <c r="AB228" s="1320"/>
      <c r="AC228" s="1320"/>
      <c r="AD228" s="1315"/>
      <c r="AE228" s="1315"/>
      <c r="AF228" s="1315"/>
      <c r="AG228" s="1321"/>
      <c r="AH228" s="1321"/>
      <c r="AI228" s="1321"/>
      <c r="AJ228" s="1321"/>
      <c r="AK228" s="1327"/>
      <c r="AL228" s="1327"/>
      <c r="AM228" s="1327"/>
      <c r="AN228" s="1327"/>
      <c r="AO228" s="1327"/>
      <c r="AP228" s="1317" t="e">
        <f>'PLANILHA '!#REF!</f>
        <v>#REF!</v>
      </c>
      <c r="AQ228" s="1317"/>
      <c r="AR228" s="1317"/>
      <c r="AS228" s="1317"/>
      <c r="AT228" s="1317"/>
      <c r="AU228" s="1322"/>
      <c r="AV228" s="1322"/>
      <c r="AW228" s="1322"/>
      <c r="AX228" s="1322"/>
      <c r="AY228" s="1322"/>
      <c r="AZ228" s="1323"/>
      <c r="BA228" s="1323"/>
      <c r="BB228" s="1323"/>
      <c r="BC228" s="1323"/>
      <c r="BD228" s="1323"/>
      <c r="BE228" s="1323"/>
      <c r="BF228" s="1323"/>
      <c r="BG228" s="1323"/>
      <c r="BH228" s="1323"/>
      <c r="BI228" s="1323"/>
      <c r="BJ228" s="1323"/>
      <c r="BK228" s="1323"/>
      <c r="BL228" s="1323"/>
      <c r="BM228" s="1323"/>
      <c r="BN228" s="1324"/>
      <c r="BO228" s="1324"/>
      <c r="BP228" s="1324"/>
    </row>
    <row r="229" spans="1:68" s="361" customFormat="1" ht="12.75" customHeight="1">
      <c r="A229" s="355"/>
      <c r="B229" s="1310" t="e">
        <f>'PLANILHA '!#REF!</f>
        <v>#REF!</v>
      </c>
      <c r="C229" s="1310"/>
      <c r="D229" s="1311" t="e">
        <f>'PLANILHA '!#REF!</f>
        <v>#REF!</v>
      </c>
      <c r="E229" s="1311"/>
      <c r="F229" s="1311"/>
      <c r="G229" s="1311"/>
      <c r="H229" s="1311"/>
      <c r="I229" s="1311"/>
      <c r="J229" s="1311"/>
      <c r="K229" s="1311"/>
      <c r="L229" s="1311"/>
      <c r="M229" s="1311"/>
      <c r="N229" s="1311"/>
      <c r="O229" s="1311"/>
      <c r="P229" s="1311"/>
      <c r="Q229" s="1311"/>
      <c r="R229" s="1312" t="e">
        <f>'PLANILHA '!#REF!</f>
        <v>#REF!</v>
      </c>
      <c r="S229" s="1312"/>
      <c r="T229" s="1313" t="e">
        <f>'PLANILHA '!#REF!</f>
        <v>#REF!</v>
      </c>
      <c r="U229" s="1313"/>
      <c r="V229" s="1313"/>
      <c r="W229" s="1313" t="e">
        <f>'PLANILHA '!#REF!</f>
        <v>#REF!</v>
      </c>
      <c r="X229" s="1313"/>
      <c r="Y229" s="1313"/>
      <c r="Z229" s="1320"/>
      <c r="AA229" s="1320"/>
      <c r="AB229" s="1320"/>
      <c r="AC229" s="1320"/>
      <c r="AD229" s="1315"/>
      <c r="AE229" s="1315"/>
      <c r="AF229" s="1315"/>
      <c r="AG229" s="1321"/>
      <c r="AH229" s="1321"/>
      <c r="AI229" s="1321"/>
      <c r="AJ229" s="1321"/>
      <c r="AK229" s="1327"/>
      <c r="AL229" s="1327"/>
      <c r="AM229" s="1327"/>
      <c r="AN229" s="1327"/>
      <c r="AO229" s="1327"/>
      <c r="AP229" s="1317" t="e">
        <f>'PLANILHA '!#REF!</f>
        <v>#REF!</v>
      </c>
      <c r="AQ229" s="1317"/>
      <c r="AR229" s="1317"/>
      <c r="AS229" s="1317"/>
      <c r="AT229" s="1317"/>
      <c r="AU229" s="1322"/>
      <c r="AV229" s="1322"/>
      <c r="AW229" s="1322"/>
      <c r="AX229" s="1322"/>
      <c r="AY229" s="1322"/>
      <c r="AZ229" s="1323"/>
      <c r="BA229" s="1323"/>
      <c r="BB229" s="1323"/>
      <c r="BC229" s="1323"/>
      <c r="BD229" s="1323"/>
      <c r="BE229" s="1323"/>
      <c r="BF229" s="1323"/>
      <c r="BG229" s="1323"/>
      <c r="BH229" s="1323"/>
      <c r="BI229" s="1323"/>
      <c r="BJ229" s="1323"/>
      <c r="BK229" s="1323"/>
      <c r="BL229" s="1323"/>
      <c r="BM229" s="1323"/>
      <c r="BN229" s="1324"/>
      <c r="BO229" s="1324"/>
      <c r="BP229" s="1324"/>
    </row>
    <row r="230" spans="1:68" s="361" customFormat="1" ht="12.75" customHeight="1">
      <c r="A230" s="355"/>
      <c r="B230" s="1310" t="e">
        <f>'PLANILHA '!#REF!</f>
        <v>#REF!</v>
      </c>
      <c r="C230" s="1310"/>
      <c r="D230" s="1311" t="e">
        <f>'PLANILHA '!#REF!</f>
        <v>#REF!</v>
      </c>
      <c r="E230" s="1311"/>
      <c r="F230" s="1311"/>
      <c r="G230" s="1311"/>
      <c r="H230" s="1311"/>
      <c r="I230" s="1311"/>
      <c r="J230" s="1311"/>
      <c r="K230" s="1311"/>
      <c r="L230" s="1311"/>
      <c r="M230" s="1311"/>
      <c r="N230" s="1311"/>
      <c r="O230" s="1311"/>
      <c r="P230" s="1311"/>
      <c r="Q230" s="1311"/>
      <c r="R230" s="1312" t="e">
        <f>'PLANILHA '!#REF!</f>
        <v>#REF!</v>
      </c>
      <c r="S230" s="1312"/>
      <c r="T230" s="1313" t="e">
        <f>'PLANILHA '!#REF!</f>
        <v>#REF!</v>
      </c>
      <c r="U230" s="1313"/>
      <c r="V230" s="1313"/>
      <c r="W230" s="1313" t="e">
        <f>'PLANILHA '!#REF!</f>
        <v>#REF!</v>
      </c>
      <c r="X230" s="1313"/>
      <c r="Y230" s="1313"/>
      <c r="Z230" s="1320"/>
      <c r="AA230" s="1320"/>
      <c r="AB230" s="1320"/>
      <c r="AC230" s="1320"/>
      <c r="AD230" s="1315"/>
      <c r="AE230" s="1315"/>
      <c r="AF230" s="1315"/>
      <c r="AG230" s="1321"/>
      <c r="AH230" s="1321"/>
      <c r="AI230" s="1321"/>
      <c r="AJ230" s="1321"/>
      <c r="AK230" s="1327"/>
      <c r="AL230" s="1327"/>
      <c r="AM230" s="1327"/>
      <c r="AN230" s="1327"/>
      <c r="AO230" s="1327"/>
      <c r="AP230" s="1317" t="e">
        <f>'PLANILHA '!#REF!</f>
        <v>#REF!</v>
      </c>
      <c r="AQ230" s="1317"/>
      <c r="AR230" s="1317"/>
      <c r="AS230" s="1317"/>
      <c r="AT230" s="1317"/>
      <c r="AU230" s="1322"/>
      <c r="AV230" s="1322"/>
      <c r="AW230" s="1322"/>
      <c r="AX230" s="1322"/>
      <c r="AY230" s="1322"/>
      <c r="AZ230" s="1323"/>
      <c r="BA230" s="1323"/>
      <c r="BB230" s="1323"/>
      <c r="BC230" s="1323"/>
      <c r="BD230" s="1323"/>
      <c r="BE230" s="1323"/>
      <c r="BF230" s="1323"/>
      <c r="BG230" s="1323"/>
      <c r="BH230" s="1323"/>
      <c r="BI230" s="1323"/>
      <c r="BJ230" s="1323"/>
      <c r="BK230" s="1323"/>
      <c r="BL230" s="1323"/>
      <c r="BM230" s="1323"/>
      <c r="BN230" s="1324"/>
      <c r="BO230" s="1324"/>
      <c r="BP230" s="1324"/>
    </row>
    <row r="231" spans="1:68" s="361" customFormat="1" ht="12.75" customHeight="1">
      <c r="A231" s="355"/>
      <c r="B231" s="1310" t="e">
        <f>'PLANILHA '!#REF!</f>
        <v>#REF!</v>
      </c>
      <c r="C231" s="1310"/>
      <c r="D231" s="1311" t="e">
        <f>'PLANILHA '!#REF!</f>
        <v>#REF!</v>
      </c>
      <c r="E231" s="1311"/>
      <c r="F231" s="1311"/>
      <c r="G231" s="1311"/>
      <c r="H231" s="1311"/>
      <c r="I231" s="1311"/>
      <c r="J231" s="1311"/>
      <c r="K231" s="1311"/>
      <c r="L231" s="1311"/>
      <c r="M231" s="1311"/>
      <c r="N231" s="1311"/>
      <c r="O231" s="1311"/>
      <c r="P231" s="1311"/>
      <c r="Q231" s="1311"/>
      <c r="R231" s="1312" t="e">
        <f>'PLANILHA '!#REF!</f>
        <v>#REF!</v>
      </c>
      <c r="S231" s="1312"/>
      <c r="T231" s="1313" t="e">
        <f>'PLANILHA '!#REF!</f>
        <v>#REF!</v>
      </c>
      <c r="U231" s="1313"/>
      <c r="V231" s="1313"/>
      <c r="W231" s="1313" t="e">
        <f>'PLANILHA '!#REF!</f>
        <v>#REF!</v>
      </c>
      <c r="X231" s="1313"/>
      <c r="Y231" s="1313"/>
      <c r="Z231" s="1320"/>
      <c r="AA231" s="1320"/>
      <c r="AB231" s="1320"/>
      <c r="AC231" s="1320"/>
      <c r="AD231" s="1315"/>
      <c r="AE231" s="1315"/>
      <c r="AF231" s="1315"/>
      <c r="AG231" s="1321"/>
      <c r="AH231" s="1321"/>
      <c r="AI231" s="1321"/>
      <c r="AJ231" s="1321"/>
      <c r="AK231" s="1327"/>
      <c r="AL231" s="1327"/>
      <c r="AM231" s="1327"/>
      <c r="AN231" s="1327"/>
      <c r="AO231" s="1327"/>
      <c r="AP231" s="1317" t="e">
        <f>'PLANILHA '!#REF!</f>
        <v>#REF!</v>
      </c>
      <c r="AQ231" s="1317"/>
      <c r="AR231" s="1317"/>
      <c r="AS231" s="1317"/>
      <c r="AT231" s="1317"/>
      <c r="AU231" s="1322"/>
      <c r="AV231" s="1322"/>
      <c r="AW231" s="1322"/>
      <c r="AX231" s="1322"/>
      <c r="AY231" s="1322"/>
      <c r="AZ231" s="1323"/>
      <c r="BA231" s="1323"/>
      <c r="BB231" s="1323"/>
      <c r="BC231" s="1323"/>
      <c r="BD231" s="1323"/>
      <c r="BE231" s="1323"/>
      <c r="BF231" s="1323"/>
      <c r="BG231" s="1323"/>
      <c r="BH231" s="1323"/>
      <c r="BI231" s="1323"/>
      <c r="BJ231" s="1323"/>
      <c r="BK231" s="1323"/>
      <c r="BL231" s="1323"/>
      <c r="BM231" s="1323"/>
      <c r="BN231" s="1324"/>
      <c r="BO231" s="1324"/>
      <c r="BP231" s="1324"/>
    </row>
    <row r="232" spans="1:68" s="361" customFormat="1" ht="12.75" customHeight="1">
      <c r="A232" s="355"/>
      <c r="B232" s="1310" t="e">
        <f>'PLANILHA '!#REF!</f>
        <v>#REF!</v>
      </c>
      <c r="C232" s="1310"/>
      <c r="D232" s="1311" t="e">
        <f>'PLANILHA '!#REF!</f>
        <v>#REF!</v>
      </c>
      <c r="E232" s="1311"/>
      <c r="F232" s="1311"/>
      <c r="G232" s="1311"/>
      <c r="H232" s="1311"/>
      <c r="I232" s="1311"/>
      <c r="J232" s="1311"/>
      <c r="K232" s="1311"/>
      <c r="L232" s="1311"/>
      <c r="M232" s="1311"/>
      <c r="N232" s="1311"/>
      <c r="O232" s="1311"/>
      <c r="P232" s="1311"/>
      <c r="Q232" s="1311"/>
      <c r="R232" s="1312" t="e">
        <f>'PLANILHA '!#REF!</f>
        <v>#REF!</v>
      </c>
      <c r="S232" s="1312"/>
      <c r="T232" s="1313" t="e">
        <f>'PLANILHA '!#REF!</f>
        <v>#REF!</v>
      </c>
      <c r="U232" s="1313"/>
      <c r="V232" s="1313"/>
      <c r="W232" s="1313" t="e">
        <f>'PLANILHA '!#REF!</f>
        <v>#REF!</v>
      </c>
      <c r="X232" s="1313"/>
      <c r="Y232" s="1313"/>
      <c r="Z232" s="1320"/>
      <c r="AA232" s="1320"/>
      <c r="AB232" s="1320"/>
      <c r="AC232" s="1320"/>
      <c r="AD232" s="1315"/>
      <c r="AE232" s="1315"/>
      <c r="AF232" s="1315"/>
      <c r="AG232" s="1321"/>
      <c r="AH232" s="1321"/>
      <c r="AI232" s="1321"/>
      <c r="AJ232" s="1321"/>
      <c r="AK232" s="1327"/>
      <c r="AL232" s="1327"/>
      <c r="AM232" s="1327"/>
      <c r="AN232" s="1327"/>
      <c r="AO232" s="1327"/>
      <c r="AP232" s="1317" t="e">
        <f>'PLANILHA '!#REF!</f>
        <v>#REF!</v>
      </c>
      <c r="AQ232" s="1317"/>
      <c r="AR232" s="1317"/>
      <c r="AS232" s="1317"/>
      <c r="AT232" s="1317"/>
      <c r="AU232" s="1322"/>
      <c r="AV232" s="1322"/>
      <c r="AW232" s="1322"/>
      <c r="AX232" s="1322"/>
      <c r="AY232" s="1322"/>
      <c r="AZ232" s="1323"/>
      <c r="BA232" s="1323"/>
      <c r="BB232" s="1323"/>
      <c r="BC232" s="1323"/>
      <c r="BD232" s="1323"/>
      <c r="BE232" s="1323"/>
      <c r="BF232" s="1323"/>
      <c r="BG232" s="1323"/>
      <c r="BH232" s="1323"/>
      <c r="BI232" s="1323"/>
      <c r="BJ232" s="1323"/>
      <c r="BK232" s="1323"/>
      <c r="BL232" s="1323"/>
      <c r="BM232" s="1323"/>
      <c r="BN232" s="1324"/>
      <c r="BO232" s="1324"/>
      <c r="BP232" s="1324"/>
    </row>
    <row r="233" spans="1:68" s="361" customFormat="1" ht="12.75" customHeight="1">
      <c r="A233" s="355"/>
      <c r="B233" s="1310" t="e">
        <f>'PLANILHA '!#REF!</f>
        <v>#REF!</v>
      </c>
      <c r="C233" s="1310"/>
      <c r="D233" s="1311" t="e">
        <f>'PLANILHA '!#REF!</f>
        <v>#REF!</v>
      </c>
      <c r="E233" s="1311"/>
      <c r="F233" s="1311"/>
      <c r="G233" s="1311"/>
      <c r="H233" s="1311"/>
      <c r="I233" s="1311"/>
      <c r="J233" s="1311"/>
      <c r="K233" s="1311"/>
      <c r="L233" s="1311"/>
      <c r="M233" s="1311"/>
      <c r="N233" s="1311"/>
      <c r="O233" s="1311"/>
      <c r="P233" s="1311"/>
      <c r="Q233" s="1311"/>
      <c r="R233" s="1312" t="e">
        <f>'PLANILHA '!#REF!</f>
        <v>#REF!</v>
      </c>
      <c r="S233" s="1312"/>
      <c r="T233" s="1313" t="e">
        <f>'PLANILHA '!#REF!</f>
        <v>#REF!</v>
      </c>
      <c r="U233" s="1313"/>
      <c r="V233" s="1313"/>
      <c r="W233" s="1313" t="e">
        <f>'PLANILHA '!#REF!</f>
        <v>#REF!</v>
      </c>
      <c r="X233" s="1313"/>
      <c r="Y233" s="1313"/>
      <c r="Z233" s="1320"/>
      <c r="AA233" s="1320"/>
      <c r="AB233" s="1320"/>
      <c r="AC233" s="1320"/>
      <c r="AD233" s="1315"/>
      <c r="AE233" s="1315"/>
      <c r="AF233" s="1315"/>
      <c r="AG233" s="1321"/>
      <c r="AH233" s="1321"/>
      <c r="AI233" s="1321"/>
      <c r="AJ233" s="1321"/>
      <c r="AK233" s="1327"/>
      <c r="AL233" s="1327"/>
      <c r="AM233" s="1327"/>
      <c r="AN233" s="1327"/>
      <c r="AO233" s="1327"/>
      <c r="AP233" s="1317" t="e">
        <f>'PLANILHA '!#REF!</f>
        <v>#REF!</v>
      </c>
      <c r="AQ233" s="1317"/>
      <c r="AR233" s="1317"/>
      <c r="AS233" s="1317"/>
      <c r="AT233" s="1317"/>
      <c r="AU233" s="1322"/>
      <c r="AV233" s="1322"/>
      <c r="AW233" s="1322"/>
      <c r="AX233" s="1322"/>
      <c r="AY233" s="1322"/>
      <c r="AZ233" s="1323"/>
      <c r="BA233" s="1323"/>
      <c r="BB233" s="1323"/>
      <c r="BC233" s="1323"/>
      <c r="BD233" s="1323"/>
      <c r="BE233" s="1323"/>
      <c r="BF233" s="1323"/>
      <c r="BG233" s="1323"/>
      <c r="BH233" s="1323"/>
      <c r="BI233" s="1323"/>
      <c r="BJ233" s="1323"/>
      <c r="BK233" s="1323"/>
      <c r="BL233" s="1323"/>
      <c r="BM233" s="1323"/>
      <c r="BN233" s="1324"/>
      <c r="BO233" s="1324"/>
      <c r="BP233" s="1324"/>
    </row>
    <row r="234" spans="1:68" s="361" customFormat="1" ht="12.75" customHeight="1">
      <c r="A234" s="355"/>
      <c r="B234" s="1310" t="e">
        <f>'PLANILHA '!#REF!</f>
        <v>#REF!</v>
      </c>
      <c r="C234" s="1310"/>
      <c r="D234" s="1311" t="e">
        <f>'PLANILHA '!#REF!</f>
        <v>#REF!</v>
      </c>
      <c r="E234" s="1311"/>
      <c r="F234" s="1311"/>
      <c r="G234" s="1311"/>
      <c r="H234" s="1311"/>
      <c r="I234" s="1311"/>
      <c r="J234" s="1311"/>
      <c r="K234" s="1311"/>
      <c r="L234" s="1311"/>
      <c r="M234" s="1311"/>
      <c r="N234" s="1311"/>
      <c r="O234" s="1311"/>
      <c r="P234" s="1311"/>
      <c r="Q234" s="1311"/>
      <c r="R234" s="1312" t="e">
        <f>'PLANILHA '!#REF!</f>
        <v>#REF!</v>
      </c>
      <c r="S234" s="1312"/>
      <c r="T234" s="1313" t="e">
        <f>'PLANILHA '!#REF!</f>
        <v>#REF!</v>
      </c>
      <c r="U234" s="1313"/>
      <c r="V234" s="1313"/>
      <c r="W234" s="1313" t="e">
        <f>'PLANILHA '!#REF!</f>
        <v>#REF!</v>
      </c>
      <c r="X234" s="1313"/>
      <c r="Y234" s="1313"/>
      <c r="Z234" s="1320"/>
      <c r="AA234" s="1320"/>
      <c r="AB234" s="1320"/>
      <c r="AC234" s="1320"/>
      <c r="AD234" s="1315"/>
      <c r="AE234" s="1315"/>
      <c r="AF234" s="1315"/>
      <c r="AG234" s="1321"/>
      <c r="AH234" s="1321"/>
      <c r="AI234" s="1321"/>
      <c r="AJ234" s="1321"/>
      <c r="AK234" s="1327"/>
      <c r="AL234" s="1327"/>
      <c r="AM234" s="1327"/>
      <c r="AN234" s="1327"/>
      <c r="AO234" s="1327"/>
      <c r="AP234" s="1317" t="e">
        <f>'PLANILHA '!#REF!</f>
        <v>#REF!</v>
      </c>
      <c r="AQ234" s="1317"/>
      <c r="AR234" s="1317"/>
      <c r="AS234" s="1317"/>
      <c r="AT234" s="1317"/>
      <c r="AU234" s="1322"/>
      <c r="AV234" s="1322"/>
      <c r="AW234" s="1322"/>
      <c r="AX234" s="1322"/>
      <c r="AY234" s="1322"/>
      <c r="AZ234" s="1323"/>
      <c r="BA234" s="1323"/>
      <c r="BB234" s="1323"/>
      <c r="BC234" s="1323"/>
      <c r="BD234" s="1323"/>
      <c r="BE234" s="1323"/>
      <c r="BF234" s="1323"/>
      <c r="BG234" s="1323"/>
      <c r="BH234" s="1323"/>
      <c r="BI234" s="1323"/>
      <c r="BJ234" s="1323"/>
      <c r="BK234" s="1323"/>
      <c r="BL234" s="1323"/>
      <c r="BM234" s="1323"/>
      <c r="BN234" s="1324"/>
      <c r="BO234" s="1324"/>
      <c r="BP234" s="1324"/>
    </row>
    <row r="235" spans="1:68" s="361" customFormat="1" ht="12.75" customHeight="1">
      <c r="A235" s="355"/>
      <c r="B235" s="1310" t="e">
        <f>'PLANILHA '!#REF!</f>
        <v>#REF!</v>
      </c>
      <c r="C235" s="1310"/>
      <c r="D235" s="1311" t="e">
        <f>'PLANILHA '!#REF!</f>
        <v>#REF!</v>
      </c>
      <c r="E235" s="1311"/>
      <c r="F235" s="1311"/>
      <c r="G235" s="1311"/>
      <c r="H235" s="1311"/>
      <c r="I235" s="1311"/>
      <c r="J235" s="1311"/>
      <c r="K235" s="1311"/>
      <c r="L235" s="1311"/>
      <c r="M235" s="1311"/>
      <c r="N235" s="1311"/>
      <c r="O235" s="1311"/>
      <c r="P235" s="1311"/>
      <c r="Q235" s="1311"/>
      <c r="R235" s="1312" t="e">
        <f>'PLANILHA '!#REF!</f>
        <v>#REF!</v>
      </c>
      <c r="S235" s="1312"/>
      <c r="T235" s="1313" t="e">
        <f>'PLANILHA '!#REF!</f>
        <v>#REF!</v>
      </c>
      <c r="U235" s="1313"/>
      <c r="V235" s="1313"/>
      <c r="W235" s="1313" t="e">
        <f>'PLANILHA '!#REF!</f>
        <v>#REF!</v>
      </c>
      <c r="X235" s="1313"/>
      <c r="Y235" s="1313"/>
      <c r="Z235" s="1320"/>
      <c r="AA235" s="1320"/>
      <c r="AB235" s="1320"/>
      <c r="AC235" s="1320"/>
      <c r="AD235" s="1315"/>
      <c r="AE235" s="1315"/>
      <c r="AF235" s="1315"/>
      <c r="AG235" s="1321"/>
      <c r="AH235" s="1321"/>
      <c r="AI235" s="1321"/>
      <c r="AJ235" s="1321"/>
      <c r="AK235" s="1327"/>
      <c r="AL235" s="1327"/>
      <c r="AM235" s="1327"/>
      <c r="AN235" s="1327"/>
      <c r="AO235" s="1327"/>
      <c r="AP235" s="1317" t="e">
        <f>'PLANILHA '!#REF!</f>
        <v>#REF!</v>
      </c>
      <c r="AQ235" s="1317"/>
      <c r="AR235" s="1317"/>
      <c r="AS235" s="1317"/>
      <c r="AT235" s="1317"/>
      <c r="AU235" s="1322"/>
      <c r="AV235" s="1322"/>
      <c r="AW235" s="1322"/>
      <c r="AX235" s="1322"/>
      <c r="AY235" s="1322"/>
      <c r="AZ235" s="1323"/>
      <c r="BA235" s="1323"/>
      <c r="BB235" s="1323"/>
      <c r="BC235" s="1323"/>
      <c r="BD235" s="1323"/>
      <c r="BE235" s="1323"/>
      <c r="BF235" s="1323"/>
      <c r="BG235" s="1323"/>
      <c r="BH235" s="1323"/>
      <c r="BI235" s="1323"/>
      <c r="BJ235" s="1323"/>
      <c r="BK235" s="1323"/>
      <c r="BL235" s="1323"/>
      <c r="BM235" s="1323"/>
      <c r="BN235" s="1324"/>
      <c r="BO235" s="1324"/>
      <c r="BP235" s="1324"/>
    </row>
    <row r="236" spans="1:68" s="361" customFormat="1" ht="12.75" customHeight="1">
      <c r="A236" s="355"/>
      <c r="B236" s="1310" t="e">
        <f>'PLANILHA '!#REF!</f>
        <v>#REF!</v>
      </c>
      <c r="C236" s="1310"/>
      <c r="D236" s="1311" t="e">
        <f>'PLANILHA '!#REF!</f>
        <v>#REF!</v>
      </c>
      <c r="E236" s="1311"/>
      <c r="F236" s="1311"/>
      <c r="G236" s="1311"/>
      <c r="H236" s="1311"/>
      <c r="I236" s="1311"/>
      <c r="J236" s="1311"/>
      <c r="K236" s="1311"/>
      <c r="L236" s="1311"/>
      <c r="M236" s="1311"/>
      <c r="N236" s="1311"/>
      <c r="O236" s="1311"/>
      <c r="P236" s="1311"/>
      <c r="Q236" s="1311"/>
      <c r="R236" s="1312" t="e">
        <f>'PLANILHA '!#REF!</f>
        <v>#REF!</v>
      </c>
      <c r="S236" s="1312"/>
      <c r="T236" s="1313" t="e">
        <f>'PLANILHA '!#REF!</f>
        <v>#REF!</v>
      </c>
      <c r="U236" s="1313"/>
      <c r="V236" s="1313"/>
      <c r="W236" s="1313" t="e">
        <f>'PLANILHA '!#REF!</f>
        <v>#REF!</v>
      </c>
      <c r="X236" s="1313"/>
      <c r="Y236" s="1313"/>
      <c r="Z236" s="1320"/>
      <c r="AA236" s="1320"/>
      <c r="AB236" s="1320"/>
      <c r="AC236" s="1320"/>
      <c r="AD236" s="1315"/>
      <c r="AE236" s="1315"/>
      <c r="AF236" s="1315"/>
      <c r="AG236" s="1321"/>
      <c r="AH236" s="1321"/>
      <c r="AI236" s="1321"/>
      <c r="AJ236" s="1321"/>
      <c r="AK236" s="1327"/>
      <c r="AL236" s="1327"/>
      <c r="AM236" s="1327"/>
      <c r="AN236" s="1327"/>
      <c r="AO236" s="1327"/>
      <c r="AP236" s="1317" t="e">
        <f>'PLANILHA '!#REF!</f>
        <v>#REF!</v>
      </c>
      <c r="AQ236" s="1317"/>
      <c r="AR236" s="1317"/>
      <c r="AS236" s="1317"/>
      <c r="AT236" s="1317"/>
      <c r="AU236" s="1322"/>
      <c r="AV236" s="1322"/>
      <c r="AW236" s="1322"/>
      <c r="AX236" s="1322"/>
      <c r="AY236" s="1322"/>
      <c r="AZ236" s="1323"/>
      <c r="BA236" s="1323"/>
      <c r="BB236" s="1323"/>
      <c r="BC236" s="1323"/>
      <c r="BD236" s="1323"/>
      <c r="BE236" s="1323"/>
      <c r="BF236" s="1323"/>
      <c r="BG236" s="1323"/>
      <c r="BH236" s="1323"/>
      <c r="BI236" s="1323"/>
      <c r="BJ236" s="1323"/>
      <c r="BK236" s="1323"/>
      <c r="BL236" s="1323"/>
      <c r="BM236" s="1323"/>
      <c r="BN236" s="1324"/>
      <c r="BO236" s="1324"/>
      <c r="BP236" s="1324"/>
    </row>
    <row r="237" spans="1:68" s="361" customFormat="1" ht="12.75" customHeight="1">
      <c r="A237" s="355"/>
      <c r="B237" s="1310" t="e">
        <f>'PLANILHA '!#REF!</f>
        <v>#REF!</v>
      </c>
      <c r="C237" s="1310"/>
      <c r="D237" s="1311" t="e">
        <f>'PLANILHA '!#REF!</f>
        <v>#REF!</v>
      </c>
      <c r="E237" s="1311"/>
      <c r="F237" s="1311"/>
      <c r="G237" s="1311"/>
      <c r="H237" s="1311"/>
      <c r="I237" s="1311"/>
      <c r="J237" s="1311"/>
      <c r="K237" s="1311"/>
      <c r="L237" s="1311"/>
      <c r="M237" s="1311"/>
      <c r="N237" s="1311"/>
      <c r="O237" s="1311"/>
      <c r="P237" s="1311"/>
      <c r="Q237" s="1311"/>
      <c r="R237" s="1312" t="e">
        <f>'PLANILHA '!#REF!</f>
        <v>#REF!</v>
      </c>
      <c r="S237" s="1312"/>
      <c r="T237" s="1313" t="e">
        <f>'PLANILHA '!#REF!</f>
        <v>#REF!</v>
      </c>
      <c r="U237" s="1313"/>
      <c r="V237" s="1313"/>
      <c r="W237" s="1313" t="e">
        <f>'PLANILHA '!#REF!</f>
        <v>#REF!</v>
      </c>
      <c r="X237" s="1313"/>
      <c r="Y237" s="1313"/>
      <c r="Z237" s="1320"/>
      <c r="AA237" s="1320"/>
      <c r="AB237" s="1320"/>
      <c r="AC237" s="1320"/>
      <c r="AD237" s="1315"/>
      <c r="AE237" s="1315"/>
      <c r="AF237" s="1315"/>
      <c r="AG237" s="1321"/>
      <c r="AH237" s="1321"/>
      <c r="AI237" s="1321"/>
      <c r="AJ237" s="1321"/>
      <c r="AK237" s="1327"/>
      <c r="AL237" s="1327"/>
      <c r="AM237" s="1327"/>
      <c r="AN237" s="1327"/>
      <c r="AO237" s="1327"/>
      <c r="AP237" s="1317" t="e">
        <f>'PLANILHA '!#REF!</f>
        <v>#REF!</v>
      </c>
      <c r="AQ237" s="1317"/>
      <c r="AR237" s="1317"/>
      <c r="AS237" s="1317"/>
      <c r="AT237" s="1317"/>
      <c r="AU237" s="1322"/>
      <c r="AV237" s="1322"/>
      <c r="AW237" s="1322"/>
      <c r="AX237" s="1322"/>
      <c r="AY237" s="1322"/>
      <c r="AZ237" s="1323"/>
      <c r="BA237" s="1323"/>
      <c r="BB237" s="1323"/>
      <c r="BC237" s="1323"/>
      <c r="BD237" s="1323"/>
      <c r="BE237" s="1323"/>
      <c r="BF237" s="1323"/>
      <c r="BG237" s="1323"/>
      <c r="BH237" s="1323"/>
      <c r="BI237" s="1323"/>
      <c r="BJ237" s="1323"/>
      <c r="BK237" s="1323"/>
      <c r="BL237" s="1323"/>
      <c r="BM237" s="1323"/>
      <c r="BN237" s="1324"/>
      <c r="BO237" s="1324"/>
      <c r="BP237" s="1324"/>
    </row>
    <row r="238" spans="1:68" s="361" customFormat="1" ht="12.75" customHeight="1">
      <c r="A238" s="355"/>
      <c r="B238" s="1310" t="e">
        <f>'PLANILHA '!#REF!</f>
        <v>#REF!</v>
      </c>
      <c r="C238" s="1310"/>
      <c r="D238" s="1311" t="e">
        <f>'PLANILHA '!#REF!</f>
        <v>#REF!</v>
      </c>
      <c r="E238" s="1311"/>
      <c r="F238" s="1311"/>
      <c r="G238" s="1311"/>
      <c r="H238" s="1311"/>
      <c r="I238" s="1311"/>
      <c r="J238" s="1311"/>
      <c r="K238" s="1311"/>
      <c r="L238" s="1311"/>
      <c r="M238" s="1311"/>
      <c r="N238" s="1311"/>
      <c r="O238" s="1311"/>
      <c r="P238" s="1311"/>
      <c r="Q238" s="1311"/>
      <c r="R238" s="1312" t="e">
        <f>'PLANILHA '!#REF!</f>
        <v>#REF!</v>
      </c>
      <c r="S238" s="1312"/>
      <c r="T238" s="1313" t="e">
        <f>'PLANILHA '!#REF!</f>
        <v>#REF!</v>
      </c>
      <c r="U238" s="1313"/>
      <c r="V238" s="1313"/>
      <c r="W238" s="1313" t="e">
        <f>'PLANILHA '!#REF!</f>
        <v>#REF!</v>
      </c>
      <c r="X238" s="1313"/>
      <c r="Y238" s="1313"/>
      <c r="Z238" s="1320"/>
      <c r="AA238" s="1320"/>
      <c r="AB238" s="1320"/>
      <c r="AC238" s="1320"/>
      <c r="AD238" s="1315"/>
      <c r="AE238" s="1315"/>
      <c r="AF238" s="1315"/>
      <c r="AG238" s="1321"/>
      <c r="AH238" s="1321"/>
      <c r="AI238" s="1321"/>
      <c r="AJ238" s="1321"/>
      <c r="AK238" s="1327"/>
      <c r="AL238" s="1327"/>
      <c r="AM238" s="1327"/>
      <c r="AN238" s="1327"/>
      <c r="AO238" s="1327"/>
      <c r="AP238" s="1317" t="e">
        <f>'PLANILHA '!#REF!</f>
        <v>#REF!</v>
      </c>
      <c r="AQ238" s="1317"/>
      <c r="AR238" s="1317"/>
      <c r="AS238" s="1317"/>
      <c r="AT238" s="1317"/>
      <c r="AU238" s="1322"/>
      <c r="AV238" s="1322"/>
      <c r="AW238" s="1322"/>
      <c r="AX238" s="1322"/>
      <c r="AY238" s="1322"/>
      <c r="AZ238" s="1323"/>
      <c r="BA238" s="1323"/>
      <c r="BB238" s="1323"/>
      <c r="BC238" s="1323"/>
      <c r="BD238" s="1323"/>
      <c r="BE238" s="1323"/>
      <c r="BF238" s="1323"/>
      <c r="BG238" s="1323"/>
      <c r="BH238" s="1323"/>
      <c r="BI238" s="1323"/>
      <c r="BJ238" s="1323"/>
      <c r="BK238" s="1323"/>
      <c r="BL238" s="1323"/>
      <c r="BM238" s="1323"/>
      <c r="BN238" s="1324"/>
      <c r="BO238" s="1324"/>
      <c r="BP238" s="1324"/>
    </row>
    <row r="239" spans="1:68" s="361" customFormat="1" ht="12.75" customHeight="1">
      <c r="A239" s="355"/>
      <c r="B239" s="1310" t="e">
        <f>'PLANILHA '!#REF!</f>
        <v>#REF!</v>
      </c>
      <c r="C239" s="1310"/>
      <c r="D239" s="1311" t="e">
        <f>'PLANILHA '!#REF!</f>
        <v>#REF!</v>
      </c>
      <c r="E239" s="1311"/>
      <c r="F239" s="1311"/>
      <c r="G239" s="1311"/>
      <c r="H239" s="1311"/>
      <c r="I239" s="1311"/>
      <c r="J239" s="1311"/>
      <c r="K239" s="1311"/>
      <c r="L239" s="1311"/>
      <c r="M239" s="1311"/>
      <c r="N239" s="1311"/>
      <c r="O239" s="1311"/>
      <c r="P239" s="1311"/>
      <c r="Q239" s="1311"/>
      <c r="R239" s="1312" t="e">
        <f>'PLANILHA '!#REF!</f>
        <v>#REF!</v>
      </c>
      <c r="S239" s="1312"/>
      <c r="T239" s="1313" t="e">
        <f>'PLANILHA '!#REF!</f>
        <v>#REF!</v>
      </c>
      <c r="U239" s="1313"/>
      <c r="V239" s="1313"/>
      <c r="W239" s="1313" t="e">
        <f>'PLANILHA '!#REF!</f>
        <v>#REF!</v>
      </c>
      <c r="X239" s="1313"/>
      <c r="Y239" s="1313"/>
      <c r="Z239" s="1320"/>
      <c r="AA239" s="1320"/>
      <c r="AB239" s="1320"/>
      <c r="AC239" s="1320"/>
      <c r="AD239" s="1315"/>
      <c r="AE239" s="1315"/>
      <c r="AF239" s="1315"/>
      <c r="AG239" s="1321"/>
      <c r="AH239" s="1321"/>
      <c r="AI239" s="1321"/>
      <c r="AJ239" s="1321"/>
      <c r="AK239" s="1327"/>
      <c r="AL239" s="1327"/>
      <c r="AM239" s="1327"/>
      <c r="AN239" s="1327"/>
      <c r="AO239" s="1327"/>
      <c r="AP239" s="1317" t="e">
        <f>'PLANILHA '!#REF!</f>
        <v>#REF!</v>
      </c>
      <c r="AQ239" s="1317"/>
      <c r="AR239" s="1317"/>
      <c r="AS239" s="1317"/>
      <c r="AT239" s="1317"/>
      <c r="AU239" s="1322"/>
      <c r="AV239" s="1322"/>
      <c r="AW239" s="1322"/>
      <c r="AX239" s="1322"/>
      <c r="AY239" s="1322"/>
      <c r="AZ239" s="1323"/>
      <c r="BA239" s="1323"/>
      <c r="BB239" s="1323"/>
      <c r="BC239" s="1323"/>
      <c r="BD239" s="1323"/>
      <c r="BE239" s="1323"/>
      <c r="BF239" s="1323"/>
      <c r="BG239" s="1323"/>
      <c r="BH239" s="1323"/>
      <c r="BI239" s="1323"/>
      <c r="BJ239" s="1323"/>
      <c r="BK239" s="1323"/>
      <c r="BL239" s="1323"/>
      <c r="BM239" s="1323"/>
      <c r="BN239" s="1324"/>
      <c r="BO239" s="1324"/>
      <c r="BP239" s="1324"/>
    </row>
    <row r="240" spans="1:68" s="361" customFormat="1" ht="12.75" customHeight="1">
      <c r="A240" s="355"/>
      <c r="B240" s="1310" t="e">
        <f>'PLANILHA '!#REF!</f>
        <v>#REF!</v>
      </c>
      <c r="C240" s="1310"/>
      <c r="D240" s="1311" t="e">
        <f>'PLANILHA '!#REF!</f>
        <v>#REF!</v>
      </c>
      <c r="E240" s="1311"/>
      <c r="F240" s="1311"/>
      <c r="G240" s="1311"/>
      <c r="H240" s="1311"/>
      <c r="I240" s="1311"/>
      <c r="J240" s="1311"/>
      <c r="K240" s="1311"/>
      <c r="L240" s="1311"/>
      <c r="M240" s="1311"/>
      <c r="N240" s="1311"/>
      <c r="O240" s="1311"/>
      <c r="P240" s="1311"/>
      <c r="Q240" s="1311"/>
      <c r="R240" s="1312" t="e">
        <f>'PLANILHA '!#REF!</f>
        <v>#REF!</v>
      </c>
      <c r="S240" s="1312"/>
      <c r="T240" s="1313" t="e">
        <f>'PLANILHA '!#REF!</f>
        <v>#REF!</v>
      </c>
      <c r="U240" s="1313"/>
      <c r="V240" s="1313"/>
      <c r="W240" s="1313" t="e">
        <f>'PLANILHA '!#REF!</f>
        <v>#REF!</v>
      </c>
      <c r="X240" s="1313"/>
      <c r="Y240" s="1313"/>
      <c r="Z240" s="1320"/>
      <c r="AA240" s="1320"/>
      <c r="AB240" s="1320"/>
      <c r="AC240" s="1320"/>
      <c r="AD240" s="1315"/>
      <c r="AE240" s="1315"/>
      <c r="AF240" s="1315"/>
      <c r="AG240" s="1321"/>
      <c r="AH240" s="1321"/>
      <c r="AI240" s="1321"/>
      <c r="AJ240" s="1321"/>
      <c r="AK240" s="1327"/>
      <c r="AL240" s="1327"/>
      <c r="AM240" s="1327"/>
      <c r="AN240" s="1327"/>
      <c r="AO240" s="1327"/>
      <c r="AP240" s="1317" t="e">
        <f>'PLANILHA '!#REF!</f>
        <v>#REF!</v>
      </c>
      <c r="AQ240" s="1317"/>
      <c r="AR240" s="1317"/>
      <c r="AS240" s="1317"/>
      <c r="AT240" s="1317"/>
      <c r="AU240" s="1322"/>
      <c r="AV240" s="1322"/>
      <c r="AW240" s="1322"/>
      <c r="AX240" s="1322"/>
      <c r="AY240" s="1322"/>
      <c r="AZ240" s="1323"/>
      <c r="BA240" s="1323"/>
      <c r="BB240" s="1323"/>
      <c r="BC240" s="1323"/>
      <c r="BD240" s="1323"/>
      <c r="BE240" s="1323"/>
      <c r="BF240" s="1323"/>
      <c r="BG240" s="1323"/>
      <c r="BH240" s="1323"/>
      <c r="BI240" s="1323"/>
      <c r="BJ240" s="1323"/>
      <c r="BK240" s="1323"/>
      <c r="BL240" s="1323"/>
      <c r="BM240" s="1323"/>
      <c r="BN240" s="1324"/>
      <c r="BO240" s="1324"/>
      <c r="BP240" s="1324"/>
    </row>
    <row r="241" spans="1:68" s="361" customFormat="1" ht="12.75" customHeight="1">
      <c r="A241" s="355"/>
      <c r="B241" s="1310" t="e">
        <f>'PLANILHA '!#REF!</f>
        <v>#REF!</v>
      </c>
      <c r="C241" s="1310"/>
      <c r="D241" s="1311" t="e">
        <f>'PLANILHA '!#REF!</f>
        <v>#REF!</v>
      </c>
      <c r="E241" s="1311"/>
      <c r="F241" s="1311"/>
      <c r="G241" s="1311"/>
      <c r="H241" s="1311"/>
      <c r="I241" s="1311"/>
      <c r="J241" s="1311"/>
      <c r="K241" s="1311"/>
      <c r="L241" s="1311"/>
      <c r="M241" s="1311"/>
      <c r="N241" s="1311"/>
      <c r="O241" s="1311"/>
      <c r="P241" s="1311"/>
      <c r="Q241" s="1311"/>
      <c r="R241" s="1312" t="e">
        <f>'PLANILHA '!#REF!</f>
        <v>#REF!</v>
      </c>
      <c r="S241" s="1312"/>
      <c r="T241" s="1313" t="e">
        <f>'PLANILHA '!#REF!</f>
        <v>#REF!</v>
      </c>
      <c r="U241" s="1313"/>
      <c r="V241" s="1313"/>
      <c r="W241" s="1313" t="e">
        <f>'PLANILHA '!#REF!</f>
        <v>#REF!</v>
      </c>
      <c r="X241" s="1313"/>
      <c r="Y241" s="1313"/>
      <c r="Z241" s="1320"/>
      <c r="AA241" s="1320"/>
      <c r="AB241" s="1320"/>
      <c r="AC241" s="1320"/>
      <c r="AD241" s="1315"/>
      <c r="AE241" s="1315"/>
      <c r="AF241" s="1315"/>
      <c r="AG241" s="1321"/>
      <c r="AH241" s="1321"/>
      <c r="AI241" s="1321"/>
      <c r="AJ241" s="1321"/>
      <c r="AK241" s="1327"/>
      <c r="AL241" s="1327"/>
      <c r="AM241" s="1327"/>
      <c r="AN241" s="1327"/>
      <c r="AO241" s="1327"/>
      <c r="AP241" s="1317" t="e">
        <f>'PLANILHA '!#REF!</f>
        <v>#REF!</v>
      </c>
      <c r="AQ241" s="1317"/>
      <c r="AR241" s="1317"/>
      <c r="AS241" s="1317"/>
      <c r="AT241" s="1317"/>
      <c r="AU241" s="1322"/>
      <c r="AV241" s="1322"/>
      <c r="AW241" s="1322"/>
      <c r="AX241" s="1322"/>
      <c r="AY241" s="1322"/>
      <c r="AZ241" s="1323"/>
      <c r="BA241" s="1323"/>
      <c r="BB241" s="1323"/>
      <c r="BC241" s="1323"/>
      <c r="BD241" s="1323"/>
      <c r="BE241" s="1323"/>
      <c r="BF241" s="1323"/>
      <c r="BG241" s="1323"/>
      <c r="BH241" s="1323"/>
      <c r="BI241" s="1323"/>
      <c r="BJ241" s="1323"/>
      <c r="BK241" s="1323"/>
      <c r="BL241" s="1323"/>
      <c r="BM241" s="1323"/>
      <c r="BN241" s="1324"/>
      <c r="BO241" s="1324"/>
      <c r="BP241" s="1324"/>
    </row>
    <row r="242" spans="1:68" s="361" customFormat="1" ht="12.75" customHeight="1">
      <c r="A242" s="355"/>
      <c r="B242" s="1310" t="e">
        <f>'PLANILHA '!#REF!</f>
        <v>#REF!</v>
      </c>
      <c r="C242" s="1310"/>
      <c r="D242" s="1311" t="e">
        <f>'PLANILHA '!#REF!</f>
        <v>#REF!</v>
      </c>
      <c r="E242" s="1311"/>
      <c r="F242" s="1311"/>
      <c r="G242" s="1311"/>
      <c r="H242" s="1311"/>
      <c r="I242" s="1311"/>
      <c r="J242" s="1311"/>
      <c r="K242" s="1311"/>
      <c r="L242" s="1311"/>
      <c r="M242" s="1311"/>
      <c r="N242" s="1311"/>
      <c r="O242" s="1311"/>
      <c r="P242" s="1311"/>
      <c r="Q242" s="1311"/>
      <c r="R242" s="1312" t="e">
        <f>'PLANILHA '!#REF!</f>
        <v>#REF!</v>
      </c>
      <c r="S242" s="1312"/>
      <c r="T242" s="1313" t="e">
        <f>'PLANILHA '!#REF!</f>
        <v>#REF!</v>
      </c>
      <c r="U242" s="1313"/>
      <c r="V242" s="1313"/>
      <c r="W242" s="1313" t="e">
        <f>'PLANILHA '!#REF!</f>
        <v>#REF!</v>
      </c>
      <c r="X242" s="1313"/>
      <c r="Y242" s="1313"/>
      <c r="Z242" s="1320"/>
      <c r="AA242" s="1320"/>
      <c r="AB242" s="1320"/>
      <c r="AC242" s="1320"/>
      <c r="AD242" s="1315"/>
      <c r="AE242" s="1315"/>
      <c r="AF242" s="1315"/>
      <c r="AG242" s="1321"/>
      <c r="AH242" s="1321"/>
      <c r="AI242" s="1321"/>
      <c r="AJ242" s="1321"/>
      <c r="AK242" s="1327"/>
      <c r="AL242" s="1327"/>
      <c r="AM242" s="1327"/>
      <c r="AN242" s="1327"/>
      <c r="AO242" s="1327"/>
      <c r="AP242" s="1317" t="e">
        <f>'PLANILHA '!#REF!</f>
        <v>#REF!</v>
      </c>
      <c r="AQ242" s="1317"/>
      <c r="AR242" s="1317"/>
      <c r="AS242" s="1317"/>
      <c r="AT242" s="1317"/>
      <c r="AU242" s="1322"/>
      <c r="AV242" s="1322"/>
      <c r="AW242" s="1322"/>
      <c r="AX242" s="1322"/>
      <c r="AY242" s="1322"/>
      <c r="AZ242" s="1323"/>
      <c r="BA242" s="1323"/>
      <c r="BB242" s="1323"/>
      <c r="BC242" s="1323"/>
      <c r="BD242" s="1323"/>
      <c r="BE242" s="1323"/>
      <c r="BF242" s="1323"/>
      <c r="BG242" s="1323"/>
      <c r="BH242" s="1323"/>
      <c r="BI242" s="1323"/>
      <c r="BJ242" s="1323"/>
      <c r="BK242" s="1323"/>
      <c r="BL242" s="1323"/>
      <c r="BM242" s="1323"/>
      <c r="BN242" s="1324"/>
      <c r="BO242" s="1324"/>
      <c r="BP242" s="1324"/>
    </row>
    <row r="243" spans="1:68" s="361" customFormat="1" ht="12.75" customHeight="1">
      <c r="A243" s="355"/>
      <c r="B243" s="1310" t="e">
        <f>'PLANILHA '!#REF!</f>
        <v>#REF!</v>
      </c>
      <c r="C243" s="1310"/>
      <c r="D243" s="1311" t="e">
        <f>'PLANILHA '!#REF!</f>
        <v>#REF!</v>
      </c>
      <c r="E243" s="1311"/>
      <c r="F243" s="1311"/>
      <c r="G243" s="1311"/>
      <c r="H243" s="1311"/>
      <c r="I243" s="1311"/>
      <c r="J243" s="1311"/>
      <c r="K243" s="1311"/>
      <c r="L243" s="1311"/>
      <c r="M243" s="1311"/>
      <c r="N243" s="1311"/>
      <c r="O243" s="1311"/>
      <c r="P243" s="1311"/>
      <c r="Q243" s="1311"/>
      <c r="R243" s="1312" t="e">
        <f>'PLANILHA '!#REF!</f>
        <v>#REF!</v>
      </c>
      <c r="S243" s="1312"/>
      <c r="T243" s="1313" t="e">
        <f>'PLANILHA '!#REF!</f>
        <v>#REF!</v>
      </c>
      <c r="U243" s="1313"/>
      <c r="V243" s="1313"/>
      <c r="W243" s="1313" t="e">
        <f>'PLANILHA '!#REF!</f>
        <v>#REF!</v>
      </c>
      <c r="X243" s="1313"/>
      <c r="Y243" s="1313"/>
      <c r="Z243" s="1320"/>
      <c r="AA243" s="1320"/>
      <c r="AB243" s="1320"/>
      <c r="AC243" s="1320"/>
      <c r="AD243" s="1315"/>
      <c r="AE243" s="1315"/>
      <c r="AF243" s="1315"/>
      <c r="AG243" s="1321"/>
      <c r="AH243" s="1321"/>
      <c r="AI243" s="1321"/>
      <c r="AJ243" s="1321"/>
      <c r="AK243" s="1327"/>
      <c r="AL243" s="1327"/>
      <c r="AM243" s="1327"/>
      <c r="AN243" s="1327"/>
      <c r="AO243" s="1327"/>
      <c r="AP243" s="1317" t="e">
        <f>'PLANILHA '!#REF!</f>
        <v>#REF!</v>
      </c>
      <c r="AQ243" s="1317"/>
      <c r="AR243" s="1317"/>
      <c r="AS243" s="1317"/>
      <c r="AT243" s="1317"/>
      <c r="AU243" s="1322"/>
      <c r="AV243" s="1322"/>
      <c r="AW243" s="1322"/>
      <c r="AX243" s="1322"/>
      <c r="AY243" s="1322"/>
      <c r="AZ243" s="1323"/>
      <c r="BA243" s="1323"/>
      <c r="BB243" s="1323"/>
      <c r="BC243" s="1323"/>
      <c r="BD243" s="1323"/>
      <c r="BE243" s="1323"/>
      <c r="BF243" s="1323"/>
      <c r="BG243" s="1323"/>
      <c r="BH243" s="1323"/>
      <c r="BI243" s="1323"/>
      <c r="BJ243" s="1323"/>
      <c r="BK243" s="1323"/>
      <c r="BL243" s="1323"/>
      <c r="BM243" s="1323"/>
      <c r="BN243" s="1324"/>
      <c r="BO243" s="1324"/>
      <c r="BP243" s="1324"/>
    </row>
    <row r="244" spans="1:68" s="361" customFormat="1" ht="12.75" customHeight="1">
      <c r="A244" s="355"/>
      <c r="B244" s="1310" t="e">
        <f>'PLANILHA '!#REF!</f>
        <v>#REF!</v>
      </c>
      <c r="C244" s="1310"/>
      <c r="D244" s="1311" t="e">
        <f>'PLANILHA '!#REF!</f>
        <v>#REF!</v>
      </c>
      <c r="E244" s="1311"/>
      <c r="F244" s="1311"/>
      <c r="G244" s="1311"/>
      <c r="H244" s="1311"/>
      <c r="I244" s="1311"/>
      <c r="J244" s="1311"/>
      <c r="K244" s="1311"/>
      <c r="L244" s="1311"/>
      <c r="M244" s="1311"/>
      <c r="N244" s="1311"/>
      <c r="O244" s="1311"/>
      <c r="P244" s="1311"/>
      <c r="Q244" s="1311"/>
      <c r="R244" s="1312" t="e">
        <f>'PLANILHA '!#REF!</f>
        <v>#REF!</v>
      </c>
      <c r="S244" s="1312"/>
      <c r="T244" s="1313" t="e">
        <f>'PLANILHA '!#REF!</f>
        <v>#REF!</v>
      </c>
      <c r="U244" s="1313"/>
      <c r="V244" s="1313"/>
      <c r="W244" s="1313" t="e">
        <f>'PLANILHA '!#REF!</f>
        <v>#REF!</v>
      </c>
      <c r="X244" s="1313"/>
      <c r="Y244" s="1313"/>
      <c r="Z244" s="1320"/>
      <c r="AA244" s="1320"/>
      <c r="AB244" s="1320"/>
      <c r="AC244" s="1320"/>
      <c r="AD244" s="1315"/>
      <c r="AE244" s="1315"/>
      <c r="AF244" s="1315"/>
      <c r="AG244" s="1321"/>
      <c r="AH244" s="1321"/>
      <c r="AI244" s="1321"/>
      <c r="AJ244" s="1321"/>
      <c r="AK244" s="1327"/>
      <c r="AL244" s="1327"/>
      <c r="AM244" s="1327"/>
      <c r="AN244" s="1327"/>
      <c r="AO244" s="1327"/>
      <c r="AP244" s="1317" t="e">
        <f>'PLANILHA '!#REF!</f>
        <v>#REF!</v>
      </c>
      <c r="AQ244" s="1317"/>
      <c r="AR244" s="1317"/>
      <c r="AS244" s="1317"/>
      <c r="AT244" s="1317"/>
      <c r="AU244" s="1322"/>
      <c r="AV244" s="1322"/>
      <c r="AW244" s="1322"/>
      <c r="AX244" s="1322"/>
      <c r="AY244" s="1322"/>
      <c r="AZ244" s="1323"/>
      <c r="BA244" s="1323"/>
      <c r="BB244" s="1323"/>
      <c r="BC244" s="1323"/>
      <c r="BD244" s="1323"/>
      <c r="BE244" s="1323"/>
      <c r="BF244" s="1323"/>
      <c r="BG244" s="1323"/>
      <c r="BH244" s="1323"/>
      <c r="BI244" s="1323"/>
      <c r="BJ244" s="1323"/>
      <c r="BK244" s="1323"/>
      <c r="BL244" s="1323"/>
      <c r="BM244" s="1323"/>
      <c r="BN244" s="1324"/>
      <c r="BO244" s="1324"/>
      <c r="BP244" s="1324"/>
    </row>
    <row r="245" spans="1:68" s="361" customFormat="1" ht="12.75" customHeight="1">
      <c r="A245" s="355"/>
      <c r="B245" s="1310" t="e">
        <f>'PLANILHA '!#REF!</f>
        <v>#REF!</v>
      </c>
      <c r="C245" s="1310"/>
      <c r="D245" s="1311" t="e">
        <f>'PLANILHA '!#REF!</f>
        <v>#REF!</v>
      </c>
      <c r="E245" s="1311"/>
      <c r="F245" s="1311"/>
      <c r="G245" s="1311"/>
      <c r="H245" s="1311"/>
      <c r="I245" s="1311"/>
      <c r="J245" s="1311"/>
      <c r="K245" s="1311"/>
      <c r="L245" s="1311"/>
      <c r="M245" s="1311"/>
      <c r="N245" s="1311"/>
      <c r="O245" s="1311"/>
      <c r="P245" s="1311"/>
      <c r="Q245" s="1311"/>
      <c r="R245" s="1312" t="e">
        <f>'PLANILHA '!#REF!</f>
        <v>#REF!</v>
      </c>
      <c r="S245" s="1312"/>
      <c r="T245" s="1313" t="e">
        <f>'PLANILHA '!#REF!</f>
        <v>#REF!</v>
      </c>
      <c r="U245" s="1313"/>
      <c r="V245" s="1313"/>
      <c r="W245" s="1313" t="e">
        <f>'PLANILHA '!#REF!</f>
        <v>#REF!</v>
      </c>
      <c r="X245" s="1313"/>
      <c r="Y245" s="1313"/>
      <c r="Z245" s="1320"/>
      <c r="AA245" s="1320"/>
      <c r="AB245" s="1320"/>
      <c r="AC245" s="1320"/>
      <c r="AD245" s="1315"/>
      <c r="AE245" s="1315"/>
      <c r="AF245" s="1315"/>
      <c r="AG245" s="1321"/>
      <c r="AH245" s="1321"/>
      <c r="AI245" s="1321"/>
      <c r="AJ245" s="1321"/>
      <c r="AK245" s="1327"/>
      <c r="AL245" s="1327"/>
      <c r="AM245" s="1327"/>
      <c r="AN245" s="1327"/>
      <c r="AO245" s="1327"/>
      <c r="AP245" s="1317" t="e">
        <f>'PLANILHA '!#REF!</f>
        <v>#REF!</v>
      </c>
      <c r="AQ245" s="1317"/>
      <c r="AR245" s="1317"/>
      <c r="AS245" s="1317"/>
      <c r="AT245" s="1317"/>
      <c r="AU245" s="1322"/>
      <c r="AV245" s="1322"/>
      <c r="AW245" s="1322"/>
      <c r="AX245" s="1322"/>
      <c r="AY245" s="1322"/>
      <c r="AZ245" s="1323"/>
      <c r="BA245" s="1323"/>
      <c r="BB245" s="1323"/>
      <c r="BC245" s="1323"/>
      <c r="BD245" s="1323"/>
      <c r="BE245" s="1323"/>
      <c r="BF245" s="1323"/>
      <c r="BG245" s="1323"/>
      <c r="BH245" s="1323"/>
      <c r="BI245" s="1323"/>
      <c r="BJ245" s="1323"/>
      <c r="BK245" s="1323"/>
      <c r="BL245" s="1323"/>
      <c r="BM245" s="1323"/>
      <c r="BN245" s="1324"/>
      <c r="BO245" s="1324"/>
      <c r="BP245" s="1324"/>
    </row>
    <row r="246" spans="1:68" s="361" customFormat="1" ht="12.75" customHeight="1">
      <c r="A246" s="355"/>
      <c r="B246" s="1310" t="e">
        <f>'PLANILHA '!#REF!</f>
        <v>#REF!</v>
      </c>
      <c r="C246" s="1310"/>
      <c r="D246" s="1311" t="e">
        <f>'PLANILHA '!#REF!</f>
        <v>#REF!</v>
      </c>
      <c r="E246" s="1311"/>
      <c r="F246" s="1311"/>
      <c r="G246" s="1311"/>
      <c r="H246" s="1311"/>
      <c r="I246" s="1311"/>
      <c r="J246" s="1311"/>
      <c r="K246" s="1311"/>
      <c r="L246" s="1311"/>
      <c r="M246" s="1311"/>
      <c r="N246" s="1311"/>
      <c r="O246" s="1311"/>
      <c r="P246" s="1311"/>
      <c r="Q246" s="1311"/>
      <c r="R246" s="1312" t="e">
        <f>'PLANILHA '!#REF!</f>
        <v>#REF!</v>
      </c>
      <c r="S246" s="1312"/>
      <c r="T246" s="1313" t="e">
        <f>'PLANILHA '!#REF!</f>
        <v>#REF!</v>
      </c>
      <c r="U246" s="1313"/>
      <c r="V246" s="1313"/>
      <c r="W246" s="1313" t="e">
        <f>'PLANILHA '!#REF!</f>
        <v>#REF!</v>
      </c>
      <c r="X246" s="1313"/>
      <c r="Y246" s="1313"/>
      <c r="Z246" s="1320"/>
      <c r="AA246" s="1320"/>
      <c r="AB246" s="1320"/>
      <c r="AC246" s="1320"/>
      <c r="AD246" s="1315"/>
      <c r="AE246" s="1315"/>
      <c r="AF246" s="1315"/>
      <c r="AG246" s="1321"/>
      <c r="AH246" s="1321"/>
      <c r="AI246" s="1321"/>
      <c r="AJ246" s="1321"/>
      <c r="AK246" s="1327"/>
      <c r="AL246" s="1327"/>
      <c r="AM246" s="1327"/>
      <c r="AN246" s="1327"/>
      <c r="AO246" s="1327"/>
      <c r="AP246" s="1317" t="e">
        <f>'PLANILHA '!#REF!</f>
        <v>#REF!</v>
      </c>
      <c r="AQ246" s="1317"/>
      <c r="AR246" s="1317"/>
      <c r="AS246" s="1317"/>
      <c r="AT246" s="1317"/>
      <c r="AU246" s="1322"/>
      <c r="AV246" s="1322"/>
      <c r="AW246" s="1322"/>
      <c r="AX246" s="1322"/>
      <c r="AY246" s="1322"/>
      <c r="AZ246" s="1323"/>
      <c r="BA246" s="1323"/>
      <c r="BB246" s="1323"/>
      <c r="BC246" s="1323"/>
      <c r="BD246" s="1323"/>
      <c r="BE246" s="1323"/>
      <c r="BF246" s="1323"/>
      <c r="BG246" s="1323"/>
      <c r="BH246" s="1323"/>
      <c r="BI246" s="1323"/>
      <c r="BJ246" s="1323"/>
      <c r="BK246" s="1323"/>
      <c r="BL246" s="1323"/>
      <c r="BM246" s="1323"/>
      <c r="BN246" s="1324"/>
      <c r="BO246" s="1324"/>
      <c r="BP246" s="1324"/>
    </row>
    <row r="247" spans="1:68" s="361" customFormat="1" ht="12.75" customHeight="1">
      <c r="A247" s="355"/>
      <c r="B247" s="1310" t="e">
        <f>'PLANILHA '!#REF!</f>
        <v>#REF!</v>
      </c>
      <c r="C247" s="1310"/>
      <c r="D247" s="1311" t="e">
        <f>'PLANILHA '!#REF!</f>
        <v>#REF!</v>
      </c>
      <c r="E247" s="1311"/>
      <c r="F247" s="1311"/>
      <c r="G247" s="1311"/>
      <c r="H247" s="1311"/>
      <c r="I247" s="1311"/>
      <c r="J247" s="1311"/>
      <c r="K247" s="1311"/>
      <c r="L247" s="1311"/>
      <c r="M247" s="1311"/>
      <c r="N247" s="1311"/>
      <c r="O247" s="1311"/>
      <c r="P247" s="1311"/>
      <c r="Q247" s="1311"/>
      <c r="R247" s="1312" t="e">
        <f>'PLANILHA '!#REF!</f>
        <v>#REF!</v>
      </c>
      <c r="S247" s="1312"/>
      <c r="T247" s="1313" t="e">
        <f>'PLANILHA '!#REF!</f>
        <v>#REF!</v>
      </c>
      <c r="U247" s="1313"/>
      <c r="V247" s="1313"/>
      <c r="W247" s="1313" t="e">
        <f>'PLANILHA '!#REF!</f>
        <v>#REF!</v>
      </c>
      <c r="X247" s="1313"/>
      <c r="Y247" s="1313"/>
      <c r="Z247" s="1320"/>
      <c r="AA247" s="1320"/>
      <c r="AB247" s="1320"/>
      <c r="AC247" s="1320"/>
      <c r="AD247" s="1315"/>
      <c r="AE247" s="1315"/>
      <c r="AF247" s="1315"/>
      <c r="AG247" s="1321" t="e">
        <f>ROUND(W247*AD247,2)</f>
        <v>#REF!</v>
      </c>
      <c r="AH247" s="1321"/>
      <c r="AI247" s="1321"/>
      <c r="AJ247" s="1321"/>
      <c r="AK247" s="1315"/>
      <c r="AL247" s="1315"/>
      <c r="AM247" s="1315"/>
      <c r="AN247" s="1315"/>
      <c r="AO247" s="1315"/>
      <c r="AP247" s="1317" t="e">
        <f>'PLANILHA '!#REF!</f>
        <v>#REF!</v>
      </c>
      <c r="AQ247" s="1317"/>
      <c r="AR247" s="1317"/>
      <c r="AS247" s="1317"/>
      <c r="AT247" s="1317"/>
      <c r="AU247" s="1322" t="e">
        <f>AK247+AP247</f>
        <v>#REF!</v>
      </c>
      <c r="AV247" s="1322"/>
      <c r="AW247" s="1322"/>
      <c r="AX247" s="1322"/>
      <c r="AY247" s="1322"/>
      <c r="AZ247" s="1323" t="e">
        <f>$W247*AK247</f>
        <v>#REF!</v>
      </c>
      <c r="BA247" s="1323"/>
      <c r="BB247" s="1323"/>
      <c r="BC247" s="1323"/>
      <c r="BD247" s="1323" t="e">
        <f>$W247*AP247</f>
        <v>#REF!</v>
      </c>
      <c r="BE247" s="1323"/>
      <c r="BF247" s="1323"/>
      <c r="BG247" s="1323"/>
      <c r="BH247" s="1323"/>
      <c r="BI247" s="1323" t="e">
        <f>ROUND(AZ247+BD247,2)</f>
        <v>#REF!</v>
      </c>
      <c r="BJ247" s="1323"/>
      <c r="BK247" s="1323"/>
      <c r="BL247" s="1323"/>
      <c r="BM247" s="1323"/>
      <c r="BN247" s="1318"/>
      <c r="BO247" s="1318"/>
      <c r="BP247" s="1318"/>
    </row>
    <row r="248" spans="1:68" s="361" customFormat="1" ht="12.75" customHeight="1">
      <c r="A248" s="355"/>
      <c r="B248" s="1310" t="e">
        <f>'PLANILHA '!#REF!</f>
        <v>#REF!</v>
      </c>
      <c r="C248" s="1310"/>
      <c r="D248" s="1311" t="e">
        <f>'PLANILHA '!#REF!</f>
        <v>#REF!</v>
      </c>
      <c r="E248" s="1311"/>
      <c r="F248" s="1311"/>
      <c r="G248" s="1311"/>
      <c r="H248" s="1311"/>
      <c r="I248" s="1311"/>
      <c r="J248" s="1311"/>
      <c r="K248" s="1311"/>
      <c r="L248" s="1311"/>
      <c r="M248" s="1311"/>
      <c r="N248" s="1311"/>
      <c r="O248" s="1311"/>
      <c r="P248" s="1311"/>
      <c r="Q248" s="1311"/>
      <c r="R248" s="1312" t="e">
        <f>'PLANILHA '!#REF!</f>
        <v>#REF!</v>
      </c>
      <c r="S248" s="1312"/>
      <c r="T248" s="1313" t="e">
        <f>'PLANILHA '!#REF!</f>
        <v>#REF!</v>
      </c>
      <c r="U248" s="1313"/>
      <c r="V248" s="1313"/>
      <c r="W248" s="1313" t="e">
        <f>'PLANILHA '!#REF!</f>
        <v>#REF!</v>
      </c>
      <c r="X248" s="1313"/>
      <c r="Y248" s="1313"/>
      <c r="Z248" s="1325"/>
      <c r="AA248" s="1325"/>
      <c r="AB248" s="1325"/>
      <c r="AC248" s="1325"/>
      <c r="AD248" s="1333"/>
      <c r="AE248" s="1333"/>
      <c r="AF248" s="1333"/>
      <c r="AG248" s="1321"/>
      <c r="AH248" s="1321"/>
      <c r="AI248" s="1321"/>
      <c r="AJ248" s="1321"/>
      <c r="AK248" s="396"/>
      <c r="AL248" s="397"/>
      <c r="AM248" s="397"/>
      <c r="AN248" s="397"/>
      <c r="AO248" s="398"/>
      <c r="AP248" s="1317" t="e">
        <f>'PLANILHA '!#REF!</f>
        <v>#REF!</v>
      </c>
      <c r="AQ248" s="1317"/>
      <c r="AR248" s="1317"/>
      <c r="AS248" s="1317"/>
      <c r="AT248" s="1317"/>
      <c r="AU248" s="399"/>
      <c r="AV248" s="400"/>
      <c r="AW248" s="400"/>
      <c r="AX248" s="400"/>
      <c r="AY248" s="401"/>
      <c r="AZ248" s="1331" t="e">
        <f>SUM(AZ244:BC247)</f>
        <v>#REF!</v>
      </c>
      <c r="BA248" s="1331"/>
      <c r="BB248" s="1331"/>
      <c r="BC248" s="1331"/>
      <c r="BD248" s="1331"/>
      <c r="BE248" s="1331"/>
      <c r="BF248" s="1331"/>
      <c r="BG248" s="1331"/>
      <c r="BH248" s="1331"/>
      <c r="BI248" s="1331" t="e">
        <f>SUM(BI244:BM247)</f>
        <v>#REF!</v>
      </c>
      <c r="BJ248" s="1331"/>
      <c r="BK248" s="1331"/>
      <c r="BL248" s="1331"/>
      <c r="BM248" s="1331"/>
      <c r="BN248" s="402"/>
      <c r="BO248" s="403"/>
      <c r="BP248" s="404"/>
    </row>
    <row r="249" spans="1:68" s="361" customFormat="1" ht="12.75" customHeight="1">
      <c r="A249" s="355"/>
      <c r="B249" s="1310" t="e">
        <f>'PLANILHA '!#REF!</f>
        <v>#REF!</v>
      </c>
      <c r="C249" s="1310"/>
      <c r="D249" s="1311" t="e">
        <f>'PLANILHA '!#REF!</f>
        <v>#REF!</v>
      </c>
      <c r="E249" s="1311"/>
      <c r="F249" s="1311"/>
      <c r="G249" s="1311"/>
      <c r="H249" s="1311"/>
      <c r="I249" s="1311"/>
      <c r="J249" s="1311"/>
      <c r="K249" s="1311"/>
      <c r="L249" s="1311"/>
      <c r="M249" s="1311"/>
      <c r="N249" s="1311"/>
      <c r="O249" s="1311"/>
      <c r="P249" s="1311"/>
      <c r="Q249" s="1311"/>
      <c r="R249" s="1312" t="e">
        <f>'PLANILHA '!#REF!</f>
        <v>#REF!</v>
      </c>
      <c r="S249" s="1312"/>
      <c r="T249" s="1313" t="e">
        <f>'PLANILHA '!#REF!</f>
        <v>#REF!</v>
      </c>
      <c r="U249" s="1313"/>
      <c r="V249" s="1313"/>
      <c r="W249" s="1313" t="e">
        <f>'PLANILHA '!#REF!</f>
        <v>#REF!</v>
      </c>
      <c r="X249" s="1313"/>
      <c r="Y249" s="1313"/>
      <c r="Z249" s="1320"/>
      <c r="AA249" s="1320"/>
      <c r="AB249" s="1320"/>
      <c r="AC249" s="1320"/>
      <c r="AD249" s="1315"/>
      <c r="AE249" s="1315"/>
      <c r="AF249" s="1315"/>
      <c r="AG249" s="1316"/>
      <c r="AH249" s="1316"/>
      <c r="AI249" s="1316"/>
      <c r="AJ249" s="1316"/>
      <c r="AK249" s="1315"/>
      <c r="AL249" s="1315"/>
      <c r="AM249" s="1315"/>
      <c r="AN249" s="1315"/>
      <c r="AO249" s="1315"/>
      <c r="AP249" s="1317" t="e">
        <f>'PLANILHA '!#REF!</f>
        <v>#REF!</v>
      </c>
      <c r="AQ249" s="1317"/>
      <c r="AR249" s="1317"/>
      <c r="AS249" s="1317"/>
      <c r="AT249" s="1317"/>
      <c r="AU249" s="1316"/>
      <c r="AV249" s="1316"/>
      <c r="AW249" s="1316"/>
      <c r="AX249" s="1316"/>
      <c r="AY249" s="1316"/>
      <c r="AZ249" s="1316"/>
      <c r="BA249" s="1316"/>
      <c r="BB249" s="1316"/>
      <c r="BC249" s="1316"/>
      <c r="BD249" s="1323"/>
      <c r="BE249" s="1323"/>
      <c r="BF249" s="1323"/>
      <c r="BG249" s="1323"/>
      <c r="BH249" s="1323"/>
      <c r="BI249" s="1323"/>
      <c r="BJ249" s="1323"/>
      <c r="BK249" s="1323"/>
      <c r="BL249" s="1323"/>
      <c r="BM249" s="1323"/>
      <c r="BN249" s="1318"/>
      <c r="BO249" s="1318"/>
      <c r="BP249" s="1318"/>
    </row>
    <row r="250" spans="1:68" s="361" customFormat="1" ht="12.75" customHeight="1">
      <c r="A250" s="355"/>
      <c r="B250" s="1310" t="e">
        <f>'PLANILHA '!#REF!</f>
        <v>#REF!</v>
      </c>
      <c r="C250" s="1310"/>
      <c r="D250" s="1311" t="e">
        <f>'PLANILHA '!#REF!</f>
        <v>#REF!</v>
      </c>
      <c r="E250" s="1311"/>
      <c r="F250" s="1311"/>
      <c r="G250" s="1311"/>
      <c r="H250" s="1311"/>
      <c r="I250" s="1311"/>
      <c r="J250" s="1311"/>
      <c r="K250" s="1311"/>
      <c r="L250" s="1311"/>
      <c r="M250" s="1311"/>
      <c r="N250" s="1311"/>
      <c r="O250" s="1311"/>
      <c r="P250" s="1311"/>
      <c r="Q250" s="1311"/>
      <c r="R250" s="1312" t="e">
        <f>'PLANILHA '!#REF!</f>
        <v>#REF!</v>
      </c>
      <c r="S250" s="1312"/>
      <c r="T250" s="1313" t="e">
        <f>'PLANILHA '!#REF!</f>
        <v>#REF!</v>
      </c>
      <c r="U250" s="1313"/>
      <c r="V250" s="1313"/>
      <c r="W250" s="1313" t="e">
        <f>'PLANILHA '!#REF!</f>
        <v>#REF!</v>
      </c>
      <c r="X250" s="1313"/>
      <c r="Y250" s="1313"/>
      <c r="Z250" s="1320"/>
      <c r="AA250" s="1320"/>
      <c r="AB250" s="1320"/>
      <c r="AC250" s="1320"/>
      <c r="AD250" s="1315"/>
      <c r="AE250" s="1315"/>
      <c r="AF250" s="1315"/>
      <c r="AG250" s="1321" t="e">
        <f t="shared" ref="AG250:AG281" si="32">ROUND(W250*AD250,2)</f>
        <v>#REF!</v>
      </c>
      <c r="AH250" s="1321"/>
      <c r="AI250" s="1321"/>
      <c r="AJ250" s="1321"/>
      <c r="AK250" s="1315"/>
      <c r="AL250" s="1315"/>
      <c r="AM250" s="1315"/>
      <c r="AN250" s="1315"/>
      <c r="AO250" s="1315"/>
      <c r="AP250" s="1317" t="e">
        <f>'PLANILHA '!#REF!</f>
        <v>#REF!</v>
      </c>
      <c r="AQ250" s="1317"/>
      <c r="AR250" s="1317"/>
      <c r="AS250" s="1317"/>
      <c r="AT250" s="1317"/>
      <c r="AU250" s="1322" t="e">
        <f t="shared" ref="AU250:AU280" si="33">AK250+AP250</f>
        <v>#REF!</v>
      </c>
      <c r="AV250" s="1322"/>
      <c r="AW250" s="1322"/>
      <c r="AX250" s="1322"/>
      <c r="AY250" s="1322"/>
      <c r="AZ250" s="1323" t="e">
        <f t="shared" ref="AZ250:AZ280" si="34">$W250*AK250</f>
        <v>#REF!</v>
      </c>
      <c r="BA250" s="1323"/>
      <c r="BB250" s="1323"/>
      <c r="BC250" s="1323"/>
      <c r="BD250" s="1323" t="e">
        <f t="shared" ref="BD250:BD280" si="35">$W250*AP250</f>
        <v>#REF!</v>
      </c>
      <c r="BE250" s="1323"/>
      <c r="BF250" s="1323"/>
      <c r="BG250" s="1323"/>
      <c r="BH250" s="1323"/>
      <c r="BI250" s="1323" t="e">
        <f t="shared" ref="BI250:BI280" si="36">ROUND(AZ250+BD250,2)</f>
        <v>#REF!</v>
      </c>
      <c r="BJ250" s="1323"/>
      <c r="BK250" s="1323"/>
      <c r="BL250" s="1323"/>
      <c r="BM250" s="1323"/>
      <c r="BN250" s="1318"/>
      <c r="BO250" s="1318"/>
      <c r="BP250" s="1318"/>
    </row>
    <row r="251" spans="1:68" s="361" customFormat="1" ht="12.75" customHeight="1">
      <c r="A251" s="355"/>
      <c r="B251" s="1310" t="e">
        <f>'PLANILHA '!#REF!</f>
        <v>#REF!</v>
      </c>
      <c r="C251" s="1310"/>
      <c r="D251" s="1311" t="e">
        <f>'PLANILHA '!#REF!</f>
        <v>#REF!</v>
      </c>
      <c r="E251" s="1311"/>
      <c r="F251" s="1311"/>
      <c r="G251" s="1311"/>
      <c r="H251" s="1311"/>
      <c r="I251" s="1311"/>
      <c r="J251" s="1311"/>
      <c r="K251" s="1311"/>
      <c r="L251" s="1311"/>
      <c r="M251" s="1311"/>
      <c r="N251" s="1311"/>
      <c r="O251" s="1311"/>
      <c r="P251" s="1311"/>
      <c r="Q251" s="1311"/>
      <c r="R251" s="1312" t="e">
        <f>'PLANILHA '!#REF!</f>
        <v>#REF!</v>
      </c>
      <c r="S251" s="1312"/>
      <c r="T251" s="1313" t="e">
        <f>'PLANILHA '!#REF!</f>
        <v>#REF!</v>
      </c>
      <c r="U251" s="1313"/>
      <c r="V251" s="1313"/>
      <c r="W251" s="1313" t="e">
        <f>'PLANILHA '!#REF!</f>
        <v>#REF!</v>
      </c>
      <c r="X251" s="1313"/>
      <c r="Y251" s="1313"/>
      <c r="Z251" s="1320"/>
      <c r="AA251" s="1320"/>
      <c r="AB251" s="1320"/>
      <c r="AC251" s="1320"/>
      <c r="AD251" s="1315"/>
      <c r="AE251" s="1315"/>
      <c r="AF251" s="1315"/>
      <c r="AG251" s="1321" t="e">
        <f t="shared" si="32"/>
        <v>#REF!</v>
      </c>
      <c r="AH251" s="1321"/>
      <c r="AI251" s="1321"/>
      <c r="AJ251" s="1321"/>
      <c r="AK251" s="1315"/>
      <c r="AL251" s="1315"/>
      <c r="AM251" s="1315"/>
      <c r="AN251" s="1315"/>
      <c r="AO251" s="1315"/>
      <c r="AP251" s="1317" t="e">
        <f>'PLANILHA '!#REF!</f>
        <v>#REF!</v>
      </c>
      <c r="AQ251" s="1317"/>
      <c r="AR251" s="1317"/>
      <c r="AS251" s="1317"/>
      <c r="AT251" s="1317"/>
      <c r="AU251" s="1322" t="e">
        <f t="shared" si="33"/>
        <v>#REF!</v>
      </c>
      <c r="AV251" s="1322"/>
      <c r="AW251" s="1322"/>
      <c r="AX251" s="1322"/>
      <c r="AY251" s="1322"/>
      <c r="AZ251" s="1323" t="e">
        <f t="shared" si="34"/>
        <v>#REF!</v>
      </c>
      <c r="BA251" s="1323"/>
      <c r="BB251" s="1323"/>
      <c r="BC251" s="1323"/>
      <c r="BD251" s="1323" t="e">
        <f t="shared" si="35"/>
        <v>#REF!</v>
      </c>
      <c r="BE251" s="1323"/>
      <c r="BF251" s="1323"/>
      <c r="BG251" s="1323"/>
      <c r="BH251" s="1323"/>
      <c r="BI251" s="1323" t="e">
        <f t="shared" si="36"/>
        <v>#REF!</v>
      </c>
      <c r="BJ251" s="1323"/>
      <c r="BK251" s="1323"/>
      <c r="BL251" s="1323"/>
      <c r="BM251" s="1323"/>
      <c r="BN251" s="1318"/>
      <c r="BO251" s="1318"/>
      <c r="BP251" s="1318"/>
    </row>
    <row r="252" spans="1:68" s="361" customFormat="1" ht="12.75" customHeight="1">
      <c r="A252" s="355"/>
      <c r="B252" s="1310" t="e">
        <f>'PLANILHA '!#REF!</f>
        <v>#REF!</v>
      </c>
      <c r="C252" s="1310"/>
      <c r="D252" s="1311" t="e">
        <f>'PLANILHA '!#REF!</f>
        <v>#REF!</v>
      </c>
      <c r="E252" s="1311"/>
      <c r="F252" s="1311"/>
      <c r="G252" s="1311"/>
      <c r="H252" s="1311"/>
      <c r="I252" s="1311"/>
      <c r="J252" s="1311"/>
      <c r="K252" s="1311"/>
      <c r="L252" s="1311"/>
      <c r="M252" s="1311"/>
      <c r="N252" s="1311"/>
      <c r="O252" s="1311"/>
      <c r="P252" s="1311"/>
      <c r="Q252" s="1311"/>
      <c r="R252" s="1312" t="e">
        <f>'PLANILHA '!#REF!</f>
        <v>#REF!</v>
      </c>
      <c r="S252" s="1312"/>
      <c r="T252" s="1313" t="e">
        <f>'PLANILHA '!#REF!</f>
        <v>#REF!</v>
      </c>
      <c r="U252" s="1313"/>
      <c r="V252" s="1313"/>
      <c r="W252" s="1313" t="e">
        <f>'PLANILHA '!#REF!</f>
        <v>#REF!</v>
      </c>
      <c r="X252" s="1313"/>
      <c r="Y252" s="1313"/>
      <c r="Z252" s="1320"/>
      <c r="AA252" s="1320"/>
      <c r="AB252" s="1320"/>
      <c r="AC252" s="1320"/>
      <c r="AD252" s="1315"/>
      <c r="AE252" s="1315"/>
      <c r="AF252" s="1315"/>
      <c r="AG252" s="1321" t="e">
        <f t="shared" si="32"/>
        <v>#REF!</v>
      </c>
      <c r="AH252" s="1321"/>
      <c r="AI252" s="1321"/>
      <c r="AJ252" s="1321"/>
      <c r="AK252" s="1315"/>
      <c r="AL252" s="1315"/>
      <c r="AM252" s="1315"/>
      <c r="AN252" s="1315"/>
      <c r="AO252" s="1315"/>
      <c r="AP252" s="1317" t="e">
        <f>'PLANILHA '!#REF!</f>
        <v>#REF!</v>
      </c>
      <c r="AQ252" s="1317"/>
      <c r="AR252" s="1317"/>
      <c r="AS252" s="1317"/>
      <c r="AT252" s="1317"/>
      <c r="AU252" s="1322" t="e">
        <f t="shared" si="33"/>
        <v>#REF!</v>
      </c>
      <c r="AV252" s="1322"/>
      <c r="AW252" s="1322"/>
      <c r="AX252" s="1322"/>
      <c r="AY252" s="1322"/>
      <c r="AZ252" s="1323" t="e">
        <f t="shared" si="34"/>
        <v>#REF!</v>
      </c>
      <c r="BA252" s="1323"/>
      <c r="BB252" s="1323"/>
      <c r="BC252" s="1323"/>
      <c r="BD252" s="1323" t="e">
        <f t="shared" si="35"/>
        <v>#REF!</v>
      </c>
      <c r="BE252" s="1323"/>
      <c r="BF252" s="1323"/>
      <c r="BG252" s="1323"/>
      <c r="BH252" s="1323"/>
      <c r="BI252" s="1323" t="e">
        <f t="shared" si="36"/>
        <v>#REF!</v>
      </c>
      <c r="BJ252" s="1323"/>
      <c r="BK252" s="1323"/>
      <c r="BL252" s="1323"/>
      <c r="BM252" s="1323"/>
      <c r="BN252" s="1318"/>
      <c r="BO252" s="1318"/>
      <c r="BP252" s="1318"/>
    </row>
    <row r="253" spans="1:68" s="361" customFormat="1" ht="12.75" customHeight="1">
      <c r="A253" s="355"/>
      <c r="B253" s="1310" t="e">
        <f>'PLANILHA '!#REF!</f>
        <v>#REF!</v>
      </c>
      <c r="C253" s="1310"/>
      <c r="D253" s="1311" t="e">
        <f>'PLANILHA '!#REF!</f>
        <v>#REF!</v>
      </c>
      <c r="E253" s="1311"/>
      <c r="F253" s="1311"/>
      <c r="G253" s="1311"/>
      <c r="H253" s="1311"/>
      <c r="I253" s="1311"/>
      <c r="J253" s="1311"/>
      <c r="K253" s="1311"/>
      <c r="L253" s="1311"/>
      <c r="M253" s="1311"/>
      <c r="N253" s="1311"/>
      <c r="O253" s="1311"/>
      <c r="P253" s="1311"/>
      <c r="Q253" s="1311"/>
      <c r="R253" s="1312" t="e">
        <f>'PLANILHA '!#REF!</f>
        <v>#REF!</v>
      </c>
      <c r="S253" s="1312"/>
      <c r="T253" s="1313" t="e">
        <f>'PLANILHA '!#REF!</f>
        <v>#REF!</v>
      </c>
      <c r="U253" s="1313"/>
      <c r="V253" s="1313"/>
      <c r="W253" s="1313" t="e">
        <f>'PLANILHA '!#REF!</f>
        <v>#REF!</v>
      </c>
      <c r="X253" s="1313"/>
      <c r="Y253" s="1313"/>
      <c r="Z253" s="1320"/>
      <c r="AA253" s="1320"/>
      <c r="AB253" s="1320"/>
      <c r="AC253" s="1320"/>
      <c r="AD253" s="1315"/>
      <c r="AE253" s="1315"/>
      <c r="AF253" s="1315"/>
      <c r="AG253" s="1321" t="e">
        <f t="shared" si="32"/>
        <v>#REF!</v>
      </c>
      <c r="AH253" s="1321"/>
      <c r="AI253" s="1321"/>
      <c r="AJ253" s="1321"/>
      <c r="AK253" s="1315"/>
      <c r="AL253" s="1315"/>
      <c r="AM253" s="1315"/>
      <c r="AN253" s="1315"/>
      <c r="AO253" s="1315"/>
      <c r="AP253" s="1317" t="e">
        <f>'PLANILHA '!#REF!</f>
        <v>#REF!</v>
      </c>
      <c r="AQ253" s="1317"/>
      <c r="AR253" s="1317"/>
      <c r="AS253" s="1317"/>
      <c r="AT253" s="1317"/>
      <c r="AU253" s="1322" t="e">
        <f t="shared" si="33"/>
        <v>#REF!</v>
      </c>
      <c r="AV253" s="1322"/>
      <c r="AW253" s="1322"/>
      <c r="AX253" s="1322"/>
      <c r="AY253" s="1322"/>
      <c r="AZ253" s="1323" t="e">
        <f t="shared" si="34"/>
        <v>#REF!</v>
      </c>
      <c r="BA253" s="1323"/>
      <c r="BB253" s="1323"/>
      <c r="BC253" s="1323"/>
      <c r="BD253" s="1323" t="e">
        <f t="shared" si="35"/>
        <v>#REF!</v>
      </c>
      <c r="BE253" s="1323"/>
      <c r="BF253" s="1323"/>
      <c r="BG253" s="1323"/>
      <c r="BH253" s="1323"/>
      <c r="BI253" s="1323" t="e">
        <f t="shared" si="36"/>
        <v>#REF!</v>
      </c>
      <c r="BJ253" s="1323"/>
      <c r="BK253" s="1323"/>
      <c r="BL253" s="1323"/>
      <c r="BM253" s="1323"/>
      <c r="BN253" s="1318"/>
      <c r="BO253" s="1318"/>
      <c r="BP253" s="1318"/>
    </row>
    <row r="254" spans="1:68" s="361" customFormat="1" ht="12.75" customHeight="1">
      <c r="A254" s="355"/>
      <c r="B254" s="1310" t="e">
        <f>'PLANILHA '!#REF!</f>
        <v>#REF!</v>
      </c>
      <c r="C254" s="1310"/>
      <c r="D254" s="1311" t="e">
        <f>'PLANILHA '!#REF!</f>
        <v>#REF!</v>
      </c>
      <c r="E254" s="1311"/>
      <c r="F254" s="1311"/>
      <c r="G254" s="1311"/>
      <c r="H254" s="1311"/>
      <c r="I254" s="1311"/>
      <c r="J254" s="1311"/>
      <c r="K254" s="1311"/>
      <c r="L254" s="1311"/>
      <c r="M254" s="1311"/>
      <c r="N254" s="1311"/>
      <c r="O254" s="1311"/>
      <c r="P254" s="1311"/>
      <c r="Q254" s="1311"/>
      <c r="R254" s="1312" t="e">
        <f>'PLANILHA '!#REF!</f>
        <v>#REF!</v>
      </c>
      <c r="S254" s="1312"/>
      <c r="T254" s="1313" t="e">
        <f>'PLANILHA '!#REF!</f>
        <v>#REF!</v>
      </c>
      <c r="U254" s="1313"/>
      <c r="V254" s="1313"/>
      <c r="W254" s="1313" t="e">
        <f>'PLANILHA '!#REF!</f>
        <v>#REF!</v>
      </c>
      <c r="X254" s="1313"/>
      <c r="Y254" s="1313"/>
      <c r="Z254" s="1320"/>
      <c r="AA254" s="1320"/>
      <c r="AB254" s="1320"/>
      <c r="AC254" s="1320"/>
      <c r="AD254" s="1315"/>
      <c r="AE254" s="1315"/>
      <c r="AF254" s="1315"/>
      <c r="AG254" s="1321" t="e">
        <f t="shared" si="32"/>
        <v>#REF!</v>
      </c>
      <c r="AH254" s="1321"/>
      <c r="AI254" s="1321"/>
      <c r="AJ254" s="1321"/>
      <c r="AK254" s="1315"/>
      <c r="AL254" s="1315"/>
      <c r="AM254" s="1315"/>
      <c r="AN254" s="1315"/>
      <c r="AO254" s="1315"/>
      <c r="AP254" s="1317" t="e">
        <f>'PLANILHA '!#REF!</f>
        <v>#REF!</v>
      </c>
      <c r="AQ254" s="1317"/>
      <c r="AR254" s="1317"/>
      <c r="AS254" s="1317"/>
      <c r="AT254" s="1317"/>
      <c r="AU254" s="1322" t="e">
        <f t="shared" si="33"/>
        <v>#REF!</v>
      </c>
      <c r="AV254" s="1322"/>
      <c r="AW254" s="1322"/>
      <c r="AX254" s="1322"/>
      <c r="AY254" s="1322"/>
      <c r="AZ254" s="1323" t="e">
        <f t="shared" si="34"/>
        <v>#REF!</v>
      </c>
      <c r="BA254" s="1323"/>
      <c r="BB254" s="1323"/>
      <c r="BC254" s="1323"/>
      <c r="BD254" s="1323" t="e">
        <f t="shared" si="35"/>
        <v>#REF!</v>
      </c>
      <c r="BE254" s="1323"/>
      <c r="BF254" s="1323"/>
      <c r="BG254" s="1323"/>
      <c r="BH254" s="1323"/>
      <c r="BI254" s="1323" t="e">
        <f t="shared" si="36"/>
        <v>#REF!</v>
      </c>
      <c r="BJ254" s="1323"/>
      <c r="BK254" s="1323"/>
      <c r="BL254" s="1323"/>
      <c r="BM254" s="1323"/>
      <c r="BN254" s="1318"/>
      <c r="BO254" s="1318"/>
      <c r="BP254" s="1318"/>
    </row>
    <row r="255" spans="1:68" s="361" customFormat="1" ht="12.75" customHeight="1">
      <c r="A255" s="355"/>
      <c r="B255" s="1310" t="e">
        <f>'PLANILHA '!#REF!</f>
        <v>#REF!</v>
      </c>
      <c r="C255" s="1310"/>
      <c r="D255" s="1311" t="e">
        <f>'PLANILHA '!#REF!</f>
        <v>#REF!</v>
      </c>
      <c r="E255" s="1311"/>
      <c r="F255" s="1311"/>
      <c r="G255" s="1311"/>
      <c r="H255" s="1311"/>
      <c r="I255" s="1311"/>
      <c r="J255" s="1311"/>
      <c r="K255" s="1311"/>
      <c r="L255" s="1311"/>
      <c r="M255" s="1311"/>
      <c r="N255" s="1311"/>
      <c r="O255" s="1311"/>
      <c r="P255" s="1311"/>
      <c r="Q255" s="1311"/>
      <c r="R255" s="1312" t="e">
        <f>'PLANILHA '!#REF!</f>
        <v>#REF!</v>
      </c>
      <c r="S255" s="1312"/>
      <c r="T255" s="1313" t="e">
        <f>'PLANILHA '!#REF!</f>
        <v>#REF!</v>
      </c>
      <c r="U255" s="1313"/>
      <c r="V255" s="1313"/>
      <c r="W255" s="1313" t="e">
        <f>'PLANILHA '!#REF!</f>
        <v>#REF!</v>
      </c>
      <c r="X255" s="1313"/>
      <c r="Y255" s="1313"/>
      <c r="Z255" s="1320"/>
      <c r="AA255" s="1320"/>
      <c r="AB255" s="1320"/>
      <c r="AC255" s="1320"/>
      <c r="AD255" s="1315"/>
      <c r="AE255" s="1315"/>
      <c r="AF255" s="1315"/>
      <c r="AG255" s="1321" t="e">
        <f t="shared" si="32"/>
        <v>#REF!</v>
      </c>
      <c r="AH255" s="1321"/>
      <c r="AI255" s="1321"/>
      <c r="AJ255" s="1321"/>
      <c r="AK255" s="1315"/>
      <c r="AL255" s="1315"/>
      <c r="AM255" s="1315"/>
      <c r="AN255" s="1315"/>
      <c r="AO255" s="1315"/>
      <c r="AP255" s="1317" t="e">
        <f>'PLANILHA '!#REF!</f>
        <v>#REF!</v>
      </c>
      <c r="AQ255" s="1317"/>
      <c r="AR255" s="1317"/>
      <c r="AS255" s="1317"/>
      <c r="AT255" s="1317"/>
      <c r="AU255" s="1322" t="e">
        <f t="shared" si="33"/>
        <v>#REF!</v>
      </c>
      <c r="AV255" s="1322"/>
      <c r="AW255" s="1322"/>
      <c r="AX255" s="1322"/>
      <c r="AY255" s="1322"/>
      <c r="AZ255" s="1323" t="e">
        <f t="shared" si="34"/>
        <v>#REF!</v>
      </c>
      <c r="BA255" s="1323"/>
      <c r="BB255" s="1323"/>
      <c r="BC255" s="1323"/>
      <c r="BD255" s="1323" t="e">
        <f t="shared" si="35"/>
        <v>#REF!</v>
      </c>
      <c r="BE255" s="1323"/>
      <c r="BF255" s="1323"/>
      <c r="BG255" s="1323"/>
      <c r="BH255" s="1323"/>
      <c r="BI255" s="1323" t="e">
        <f t="shared" si="36"/>
        <v>#REF!</v>
      </c>
      <c r="BJ255" s="1323"/>
      <c r="BK255" s="1323"/>
      <c r="BL255" s="1323"/>
      <c r="BM255" s="1323"/>
      <c r="BN255" s="1318"/>
      <c r="BO255" s="1318"/>
      <c r="BP255" s="1318"/>
    </row>
    <row r="256" spans="1:68" s="361" customFormat="1" ht="12.75" customHeight="1">
      <c r="A256" s="355"/>
      <c r="B256" s="1310" t="e">
        <f>'PLANILHA '!#REF!</f>
        <v>#REF!</v>
      </c>
      <c r="C256" s="1310"/>
      <c r="D256" s="1311" t="e">
        <f>'PLANILHA '!#REF!</f>
        <v>#REF!</v>
      </c>
      <c r="E256" s="1311"/>
      <c r="F256" s="1311"/>
      <c r="G256" s="1311"/>
      <c r="H256" s="1311"/>
      <c r="I256" s="1311"/>
      <c r="J256" s="1311"/>
      <c r="K256" s="1311"/>
      <c r="L256" s="1311"/>
      <c r="M256" s="1311"/>
      <c r="N256" s="1311"/>
      <c r="O256" s="1311"/>
      <c r="P256" s="1311"/>
      <c r="Q256" s="1311"/>
      <c r="R256" s="1312" t="e">
        <f>'PLANILHA '!#REF!</f>
        <v>#REF!</v>
      </c>
      <c r="S256" s="1312"/>
      <c r="T256" s="1313" t="e">
        <f>'PLANILHA '!#REF!</f>
        <v>#REF!</v>
      </c>
      <c r="U256" s="1313"/>
      <c r="V256" s="1313"/>
      <c r="W256" s="1313" t="e">
        <f>'PLANILHA '!#REF!</f>
        <v>#REF!</v>
      </c>
      <c r="X256" s="1313"/>
      <c r="Y256" s="1313"/>
      <c r="Z256" s="1320"/>
      <c r="AA256" s="1320"/>
      <c r="AB256" s="1320"/>
      <c r="AC256" s="1320"/>
      <c r="AD256" s="1315"/>
      <c r="AE256" s="1315"/>
      <c r="AF256" s="1315"/>
      <c r="AG256" s="1321" t="e">
        <f t="shared" si="32"/>
        <v>#REF!</v>
      </c>
      <c r="AH256" s="1321"/>
      <c r="AI256" s="1321"/>
      <c r="AJ256" s="1321"/>
      <c r="AK256" s="1315"/>
      <c r="AL256" s="1315"/>
      <c r="AM256" s="1315"/>
      <c r="AN256" s="1315"/>
      <c r="AO256" s="1315"/>
      <c r="AP256" s="1317" t="e">
        <f>'PLANILHA '!#REF!</f>
        <v>#REF!</v>
      </c>
      <c r="AQ256" s="1317"/>
      <c r="AR256" s="1317"/>
      <c r="AS256" s="1317"/>
      <c r="AT256" s="1317"/>
      <c r="AU256" s="1322" t="e">
        <f t="shared" si="33"/>
        <v>#REF!</v>
      </c>
      <c r="AV256" s="1322"/>
      <c r="AW256" s="1322"/>
      <c r="AX256" s="1322"/>
      <c r="AY256" s="1322"/>
      <c r="AZ256" s="1323" t="e">
        <f t="shared" si="34"/>
        <v>#REF!</v>
      </c>
      <c r="BA256" s="1323"/>
      <c r="BB256" s="1323"/>
      <c r="BC256" s="1323"/>
      <c r="BD256" s="1323" t="e">
        <f t="shared" si="35"/>
        <v>#REF!</v>
      </c>
      <c r="BE256" s="1323"/>
      <c r="BF256" s="1323"/>
      <c r="BG256" s="1323"/>
      <c r="BH256" s="1323"/>
      <c r="BI256" s="1323" t="e">
        <f t="shared" si="36"/>
        <v>#REF!</v>
      </c>
      <c r="BJ256" s="1323"/>
      <c r="BK256" s="1323"/>
      <c r="BL256" s="1323"/>
      <c r="BM256" s="1323"/>
      <c r="BN256" s="1318"/>
      <c r="BO256" s="1318"/>
      <c r="BP256" s="1318"/>
    </row>
    <row r="257" spans="1:68" s="361" customFormat="1" ht="12.75" customHeight="1">
      <c r="A257" s="355"/>
      <c r="B257" s="1310" t="e">
        <f>'PLANILHA '!#REF!</f>
        <v>#REF!</v>
      </c>
      <c r="C257" s="1310"/>
      <c r="D257" s="1311" t="e">
        <f>'PLANILHA '!#REF!</f>
        <v>#REF!</v>
      </c>
      <c r="E257" s="1311"/>
      <c r="F257" s="1311"/>
      <c r="G257" s="1311"/>
      <c r="H257" s="1311"/>
      <c r="I257" s="1311"/>
      <c r="J257" s="1311"/>
      <c r="K257" s="1311"/>
      <c r="L257" s="1311"/>
      <c r="M257" s="1311"/>
      <c r="N257" s="1311"/>
      <c r="O257" s="1311"/>
      <c r="P257" s="1311"/>
      <c r="Q257" s="1311"/>
      <c r="R257" s="1312" t="e">
        <f>'PLANILHA '!#REF!</f>
        <v>#REF!</v>
      </c>
      <c r="S257" s="1312"/>
      <c r="T257" s="1313" t="e">
        <f>'PLANILHA '!#REF!</f>
        <v>#REF!</v>
      </c>
      <c r="U257" s="1313"/>
      <c r="V257" s="1313"/>
      <c r="W257" s="1313" t="e">
        <f>'PLANILHA '!#REF!</f>
        <v>#REF!</v>
      </c>
      <c r="X257" s="1313"/>
      <c r="Y257" s="1313"/>
      <c r="Z257" s="1320"/>
      <c r="AA257" s="1320"/>
      <c r="AB257" s="1320"/>
      <c r="AC257" s="1320"/>
      <c r="AD257" s="1315"/>
      <c r="AE257" s="1315"/>
      <c r="AF257" s="1315"/>
      <c r="AG257" s="1321" t="e">
        <f t="shared" si="32"/>
        <v>#REF!</v>
      </c>
      <c r="AH257" s="1321"/>
      <c r="AI257" s="1321"/>
      <c r="AJ257" s="1321"/>
      <c r="AK257" s="1315"/>
      <c r="AL257" s="1315"/>
      <c r="AM257" s="1315"/>
      <c r="AN257" s="1315"/>
      <c r="AO257" s="1315"/>
      <c r="AP257" s="1317" t="e">
        <f>'PLANILHA '!#REF!</f>
        <v>#REF!</v>
      </c>
      <c r="AQ257" s="1317"/>
      <c r="AR257" s="1317"/>
      <c r="AS257" s="1317"/>
      <c r="AT257" s="1317"/>
      <c r="AU257" s="1322" t="e">
        <f t="shared" si="33"/>
        <v>#REF!</v>
      </c>
      <c r="AV257" s="1322"/>
      <c r="AW257" s="1322"/>
      <c r="AX257" s="1322"/>
      <c r="AY257" s="1322"/>
      <c r="AZ257" s="1323" t="e">
        <f t="shared" si="34"/>
        <v>#REF!</v>
      </c>
      <c r="BA257" s="1323"/>
      <c r="BB257" s="1323"/>
      <c r="BC257" s="1323"/>
      <c r="BD257" s="1323" t="e">
        <f t="shared" si="35"/>
        <v>#REF!</v>
      </c>
      <c r="BE257" s="1323"/>
      <c r="BF257" s="1323"/>
      <c r="BG257" s="1323"/>
      <c r="BH257" s="1323"/>
      <c r="BI257" s="1323" t="e">
        <f t="shared" si="36"/>
        <v>#REF!</v>
      </c>
      <c r="BJ257" s="1323"/>
      <c r="BK257" s="1323"/>
      <c r="BL257" s="1323"/>
      <c r="BM257" s="1323"/>
      <c r="BN257" s="1318"/>
      <c r="BO257" s="1318"/>
      <c r="BP257" s="1318"/>
    </row>
    <row r="258" spans="1:68" s="361" customFormat="1" ht="12.75" customHeight="1">
      <c r="A258" s="355"/>
      <c r="B258" s="1310" t="e">
        <f>'PLANILHA '!#REF!</f>
        <v>#REF!</v>
      </c>
      <c r="C258" s="1310"/>
      <c r="D258" s="1311" t="e">
        <f>'PLANILHA '!#REF!</f>
        <v>#REF!</v>
      </c>
      <c r="E258" s="1311"/>
      <c r="F258" s="1311"/>
      <c r="G258" s="1311"/>
      <c r="H258" s="1311"/>
      <c r="I258" s="1311"/>
      <c r="J258" s="1311"/>
      <c r="K258" s="1311"/>
      <c r="L258" s="1311"/>
      <c r="M258" s="1311"/>
      <c r="N258" s="1311"/>
      <c r="O258" s="1311"/>
      <c r="P258" s="1311"/>
      <c r="Q258" s="1311"/>
      <c r="R258" s="1312" t="e">
        <f>'PLANILHA '!#REF!</f>
        <v>#REF!</v>
      </c>
      <c r="S258" s="1312"/>
      <c r="T258" s="1313" t="e">
        <f>'PLANILHA '!#REF!</f>
        <v>#REF!</v>
      </c>
      <c r="U258" s="1313"/>
      <c r="V258" s="1313"/>
      <c r="W258" s="1313" t="e">
        <f>'PLANILHA '!#REF!</f>
        <v>#REF!</v>
      </c>
      <c r="X258" s="1313"/>
      <c r="Y258" s="1313"/>
      <c r="Z258" s="1320"/>
      <c r="AA258" s="1320"/>
      <c r="AB258" s="1320"/>
      <c r="AC258" s="1320"/>
      <c r="AD258" s="1315"/>
      <c r="AE258" s="1315"/>
      <c r="AF258" s="1315"/>
      <c r="AG258" s="1321" t="e">
        <f t="shared" si="32"/>
        <v>#REF!</v>
      </c>
      <c r="AH258" s="1321"/>
      <c r="AI258" s="1321"/>
      <c r="AJ258" s="1321"/>
      <c r="AK258" s="1315"/>
      <c r="AL258" s="1315"/>
      <c r="AM258" s="1315"/>
      <c r="AN258" s="1315"/>
      <c r="AO258" s="1315"/>
      <c r="AP258" s="1317" t="e">
        <f>'PLANILHA '!#REF!</f>
        <v>#REF!</v>
      </c>
      <c r="AQ258" s="1317"/>
      <c r="AR258" s="1317"/>
      <c r="AS258" s="1317"/>
      <c r="AT258" s="1317"/>
      <c r="AU258" s="1322" t="e">
        <f t="shared" si="33"/>
        <v>#REF!</v>
      </c>
      <c r="AV258" s="1322"/>
      <c r="AW258" s="1322"/>
      <c r="AX258" s="1322"/>
      <c r="AY258" s="1322"/>
      <c r="AZ258" s="1323" t="e">
        <f t="shared" si="34"/>
        <v>#REF!</v>
      </c>
      <c r="BA258" s="1323"/>
      <c r="BB258" s="1323"/>
      <c r="BC258" s="1323"/>
      <c r="BD258" s="1323" t="e">
        <f t="shared" si="35"/>
        <v>#REF!</v>
      </c>
      <c r="BE258" s="1323"/>
      <c r="BF258" s="1323"/>
      <c r="BG258" s="1323"/>
      <c r="BH258" s="1323"/>
      <c r="BI258" s="1323" t="e">
        <f t="shared" si="36"/>
        <v>#REF!</v>
      </c>
      <c r="BJ258" s="1323"/>
      <c r="BK258" s="1323"/>
      <c r="BL258" s="1323"/>
      <c r="BM258" s="1323"/>
      <c r="BN258" s="1318"/>
      <c r="BO258" s="1318"/>
      <c r="BP258" s="1318"/>
    </row>
    <row r="259" spans="1:68" s="361" customFormat="1" ht="12.75" customHeight="1">
      <c r="A259" s="355"/>
      <c r="B259" s="1310" t="e">
        <f>'PLANILHA '!#REF!</f>
        <v>#REF!</v>
      </c>
      <c r="C259" s="1310"/>
      <c r="D259" s="1311" t="e">
        <f>'PLANILHA '!#REF!</f>
        <v>#REF!</v>
      </c>
      <c r="E259" s="1311"/>
      <c r="F259" s="1311"/>
      <c r="G259" s="1311"/>
      <c r="H259" s="1311"/>
      <c r="I259" s="1311"/>
      <c r="J259" s="1311"/>
      <c r="K259" s="1311"/>
      <c r="L259" s="1311"/>
      <c r="M259" s="1311"/>
      <c r="N259" s="1311"/>
      <c r="O259" s="1311"/>
      <c r="P259" s="1311"/>
      <c r="Q259" s="1311"/>
      <c r="R259" s="1312" t="e">
        <f>'PLANILHA '!#REF!</f>
        <v>#REF!</v>
      </c>
      <c r="S259" s="1312"/>
      <c r="T259" s="1313" t="e">
        <f>'PLANILHA '!#REF!</f>
        <v>#REF!</v>
      </c>
      <c r="U259" s="1313"/>
      <c r="V259" s="1313"/>
      <c r="W259" s="1313" t="e">
        <f>'PLANILHA '!#REF!</f>
        <v>#REF!</v>
      </c>
      <c r="X259" s="1313"/>
      <c r="Y259" s="1313"/>
      <c r="Z259" s="1320"/>
      <c r="AA259" s="1320"/>
      <c r="AB259" s="1320"/>
      <c r="AC259" s="1320"/>
      <c r="AD259" s="1315"/>
      <c r="AE259" s="1315"/>
      <c r="AF259" s="1315"/>
      <c r="AG259" s="1321" t="e">
        <f t="shared" si="32"/>
        <v>#REF!</v>
      </c>
      <c r="AH259" s="1321"/>
      <c r="AI259" s="1321"/>
      <c r="AJ259" s="1321"/>
      <c r="AK259" s="1315"/>
      <c r="AL259" s="1315"/>
      <c r="AM259" s="1315"/>
      <c r="AN259" s="1315"/>
      <c r="AO259" s="1315"/>
      <c r="AP259" s="1317" t="e">
        <f>'PLANILHA '!#REF!</f>
        <v>#REF!</v>
      </c>
      <c r="AQ259" s="1317"/>
      <c r="AR259" s="1317"/>
      <c r="AS259" s="1317"/>
      <c r="AT259" s="1317"/>
      <c r="AU259" s="1322" t="e">
        <f t="shared" si="33"/>
        <v>#REF!</v>
      </c>
      <c r="AV259" s="1322"/>
      <c r="AW259" s="1322"/>
      <c r="AX259" s="1322"/>
      <c r="AY259" s="1322"/>
      <c r="AZ259" s="1323" t="e">
        <f t="shared" si="34"/>
        <v>#REF!</v>
      </c>
      <c r="BA259" s="1323"/>
      <c r="BB259" s="1323"/>
      <c r="BC259" s="1323"/>
      <c r="BD259" s="1323" t="e">
        <f t="shared" si="35"/>
        <v>#REF!</v>
      </c>
      <c r="BE259" s="1323"/>
      <c r="BF259" s="1323"/>
      <c r="BG259" s="1323"/>
      <c r="BH259" s="1323"/>
      <c r="BI259" s="1323" t="e">
        <f t="shared" si="36"/>
        <v>#REF!</v>
      </c>
      <c r="BJ259" s="1323"/>
      <c r="BK259" s="1323"/>
      <c r="BL259" s="1323"/>
      <c r="BM259" s="1323"/>
      <c r="BN259" s="1318"/>
      <c r="BO259" s="1318"/>
      <c r="BP259" s="1318"/>
    </row>
    <row r="260" spans="1:68" s="361" customFormat="1" ht="12.75" customHeight="1">
      <c r="A260" s="355"/>
      <c r="B260" s="1310" t="e">
        <f>'PLANILHA '!#REF!</f>
        <v>#REF!</v>
      </c>
      <c r="C260" s="1310"/>
      <c r="D260" s="1311" t="e">
        <f>'PLANILHA '!#REF!</f>
        <v>#REF!</v>
      </c>
      <c r="E260" s="1311"/>
      <c r="F260" s="1311"/>
      <c r="G260" s="1311"/>
      <c r="H260" s="1311"/>
      <c r="I260" s="1311"/>
      <c r="J260" s="1311"/>
      <c r="K260" s="1311"/>
      <c r="L260" s="1311"/>
      <c r="M260" s="1311"/>
      <c r="N260" s="1311"/>
      <c r="O260" s="1311"/>
      <c r="P260" s="1311"/>
      <c r="Q260" s="1311"/>
      <c r="R260" s="1312" t="e">
        <f>'PLANILHA '!#REF!</f>
        <v>#REF!</v>
      </c>
      <c r="S260" s="1312"/>
      <c r="T260" s="1313" t="e">
        <f>'PLANILHA '!#REF!</f>
        <v>#REF!</v>
      </c>
      <c r="U260" s="1313"/>
      <c r="V260" s="1313"/>
      <c r="W260" s="1313" t="e">
        <f>'PLANILHA '!#REF!</f>
        <v>#REF!</v>
      </c>
      <c r="X260" s="1313"/>
      <c r="Y260" s="1313"/>
      <c r="Z260" s="1320"/>
      <c r="AA260" s="1320"/>
      <c r="AB260" s="1320"/>
      <c r="AC260" s="1320"/>
      <c r="AD260" s="1315"/>
      <c r="AE260" s="1315"/>
      <c r="AF260" s="1315"/>
      <c r="AG260" s="1321" t="e">
        <f t="shared" si="32"/>
        <v>#REF!</v>
      </c>
      <c r="AH260" s="1321"/>
      <c r="AI260" s="1321"/>
      <c r="AJ260" s="1321"/>
      <c r="AK260" s="1315"/>
      <c r="AL260" s="1315"/>
      <c r="AM260" s="1315"/>
      <c r="AN260" s="1315"/>
      <c r="AO260" s="1315"/>
      <c r="AP260" s="1317" t="e">
        <f>'PLANILHA '!#REF!</f>
        <v>#REF!</v>
      </c>
      <c r="AQ260" s="1317"/>
      <c r="AR260" s="1317"/>
      <c r="AS260" s="1317"/>
      <c r="AT260" s="1317"/>
      <c r="AU260" s="1322" t="e">
        <f t="shared" si="33"/>
        <v>#REF!</v>
      </c>
      <c r="AV260" s="1322"/>
      <c r="AW260" s="1322"/>
      <c r="AX260" s="1322"/>
      <c r="AY260" s="1322"/>
      <c r="AZ260" s="1323" t="e">
        <f t="shared" si="34"/>
        <v>#REF!</v>
      </c>
      <c r="BA260" s="1323"/>
      <c r="BB260" s="1323"/>
      <c r="BC260" s="1323"/>
      <c r="BD260" s="1323" t="e">
        <f t="shared" si="35"/>
        <v>#REF!</v>
      </c>
      <c r="BE260" s="1323"/>
      <c r="BF260" s="1323"/>
      <c r="BG260" s="1323"/>
      <c r="BH260" s="1323"/>
      <c r="BI260" s="1323" t="e">
        <f t="shared" si="36"/>
        <v>#REF!</v>
      </c>
      <c r="BJ260" s="1323"/>
      <c r="BK260" s="1323"/>
      <c r="BL260" s="1323"/>
      <c r="BM260" s="1323"/>
      <c r="BN260" s="1318"/>
      <c r="BO260" s="1318"/>
      <c r="BP260" s="1318"/>
    </row>
    <row r="261" spans="1:68" s="361" customFormat="1" ht="12.75" customHeight="1">
      <c r="A261" s="355"/>
      <c r="B261" s="1310" t="e">
        <f>'PLANILHA '!#REF!</f>
        <v>#REF!</v>
      </c>
      <c r="C261" s="1310"/>
      <c r="D261" s="1311" t="e">
        <f>'PLANILHA '!#REF!</f>
        <v>#REF!</v>
      </c>
      <c r="E261" s="1311"/>
      <c r="F261" s="1311"/>
      <c r="G261" s="1311"/>
      <c r="H261" s="1311"/>
      <c r="I261" s="1311"/>
      <c r="J261" s="1311"/>
      <c r="K261" s="1311"/>
      <c r="L261" s="1311"/>
      <c r="M261" s="1311"/>
      <c r="N261" s="1311"/>
      <c r="O261" s="1311"/>
      <c r="P261" s="1311"/>
      <c r="Q261" s="1311"/>
      <c r="R261" s="1312" t="e">
        <f>'PLANILHA '!#REF!</f>
        <v>#REF!</v>
      </c>
      <c r="S261" s="1312"/>
      <c r="T261" s="1313" t="e">
        <f>'PLANILHA '!#REF!</f>
        <v>#REF!</v>
      </c>
      <c r="U261" s="1313"/>
      <c r="V261" s="1313"/>
      <c r="W261" s="1313" t="e">
        <f>'PLANILHA '!#REF!</f>
        <v>#REF!</v>
      </c>
      <c r="X261" s="1313"/>
      <c r="Y261" s="1313"/>
      <c r="Z261" s="1320"/>
      <c r="AA261" s="1320"/>
      <c r="AB261" s="1320"/>
      <c r="AC261" s="1320"/>
      <c r="AD261" s="1315"/>
      <c r="AE261" s="1315"/>
      <c r="AF261" s="1315"/>
      <c r="AG261" s="1321" t="e">
        <f t="shared" si="32"/>
        <v>#REF!</v>
      </c>
      <c r="AH261" s="1321"/>
      <c r="AI261" s="1321"/>
      <c r="AJ261" s="1321"/>
      <c r="AK261" s="1315"/>
      <c r="AL261" s="1315"/>
      <c r="AM261" s="1315"/>
      <c r="AN261" s="1315"/>
      <c r="AO261" s="1315"/>
      <c r="AP261" s="1317" t="e">
        <f>'PLANILHA '!#REF!</f>
        <v>#REF!</v>
      </c>
      <c r="AQ261" s="1317"/>
      <c r="AR261" s="1317"/>
      <c r="AS261" s="1317"/>
      <c r="AT261" s="1317"/>
      <c r="AU261" s="1322" t="e">
        <f t="shared" si="33"/>
        <v>#REF!</v>
      </c>
      <c r="AV261" s="1322"/>
      <c r="AW261" s="1322"/>
      <c r="AX261" s="1322"/>
      <c r="AY261" s="1322"/>
      <c r="AZ261" s="1323" t="e">
        <f t="shared" si="34"/>
        <v>#REF!</v>
      </c>
      <c r="BA261" s="1323"/>
      <c r="BB261" s="1323"/>
      <c r="BC261" s="1323"/>
      <c r="BD261" s="1323" t="e">
        <f t="shared" si="35"/>
        <v>#REF!</v>
      </c>
      <c r="BE261" s="1323"/>
      <c r="BF261" s="1323"/>
      <c r="BG261" s="1323"/>
      <c r="BH261" s="1323"/>
      <c r="BI261" s="1323" t="e">
        <f t="shared" si="36"/>
        <v>#REF!</v>
      </c>
      <c r="BJ261" s="1323"/>
      <c r="BK261" s="1323"/>
      <c r="BL261" s="1323"/>
      <c r="BM261" s="1323"/>
      <c r="BN261" s="1318"/>
      <c r="BO261" s="1318"/>
      <c r="BP261" s="1318"/>
    </row>
    <row r="262" spans="1:68" s="361" customFormat="1" ht="12.75" customHeight="1">
      <c r="A262" s="355"/>
      <c r="B262" s="1310" t="e">
        <f>'PLANILHA '!#REF!</f>
        <v>#REF!</v>
      </c>
      <c r="C262" s="1310"/>
      <c r="D262" s="1311" t="e">
        <f>'PLANILHA '!#REF!</f>
        <v>#REF!</v>
      </c>
      <c r="E262" s="1311"/>
      <c r="F262" s="1311"/>
      <c r="G262" s="1311"/>
      <c r="H262" s="1311"/>
      <c r="I262" s="1311"/>
      <c r="J262" s="1311"/>
      <c r="K262" s="1311"/>
      <c r="L262" s="1311"/>
      <c r="M262" s="1311"/>
      <c r="N262" s="1311"/>
      <c r="O262" s="1311"/>
      <c r="P262" s="1311"/>
      <c r="Q262" s="1311"/>
      <c r="R262" s="1312" t="e">
        <f>'PLANILHA '!#REF!</f>
        <v>#REF!</v>
      </c>
      <c r="S262" s="1312"/>
      <c r="T262" s="1313" t="e">
        <f>'PLANILHA '!#REF!</f>
        <v>#REF!</v>
      </c>
      <c r="U262" s="1313"/>
      <c r="V262" s="1313"/>
      <c r="W262" s="1313" t="e">
        <f>'PLANILHA '!#REF!</f>
        <v>#REF!</v>
      </c>
      <c r="X262" s="1313"/>
      <c r="Y262" s="1313"/>
      <c r="Z262" s="1320"/>
      <c r="AA262" s="1320"/>
      <c r="AB262" s="1320"/>
      <c r="AC262" s="1320"/>
      <c r="AD262" s="1315"/>
      <c r="AE262" s="1315"/>
      <c r="AF262" s="1315"/>
      <c r="AG262" s="1321" t="e">
        <f t="shared" si="32"/>
        <v>#REF!</v>
      </c>
      <c r="AH262" s="1321"/>
      <c r="AI262" s="1321"/>
      <c r="AJ262" s="1321"/>
      <c r="AK262" s="1315"/>
      <c r="AL262" s="1315"/>
      <c r="AM262" s="1315"/>
      <c r="AN262" s="1315"/>
      <c r="AO262" s="1315"/>
      <c r="AP262" s="1317" t="e">
        <f>'PLANILHA '!#REF!</f>
        <v>#REF!</v>
      </c>
      <c r="AQ262" s="1317"/>
      <c r="AR262" s="1317"/>
      <c r="AS262" s="1317"/>
      <c r="AT262" s="1317"/>
      <c r="AU262" s="1322" t="e">
        <f t="shared" si="33"/>
        <v>#REF!</v>
      </c>
      <c r="AV262" s="1322"/>
      <c r="AW262" s="1322"/>
      <c r="AX262" s="1322"/>
      <c r="AY262" s="1322"/>
      <c r="AZ262" s="1323" t="e">
        <f t="shared" si="34"/>
        <v>#REF!</v>
      </c>
      <c r="BA262" s="1323"/>
      <c r="BB262" s="1323"/>
      <c r="BC262" s="1323"/>
      <c r="BD262" s="1323" t="e">
        <f t="shared" si="35"/>
        <v>#REF!</v>
      </c>
      <c r="BE262" s="1323"/>
      <c r="BF262" s="1323"/>
      <c r="BG262" s="1323"/>
      <c r="BH262" s="1323"/>
      <c r="BI262" s="1323" t="e">
        <f t="shared" si="36"/>
        <v>#REF!</v>
      </c>
      <c r="BJ262" s="1323"/>
      <c r="BK262" s="1323"/>
      <c r="BL262" s="1323"/>
      <c r="BM262" s="1323"/>
      <c r="BN262" s="1318"/>
      <c r="BO262" s="1318"/>
      <c r="BP262" s="1318"/>
    </row>
    <row r="263" spans="1:68" s="361" customFormat="1" ht="12.75" customHeight="1">
      <c r="A263" s="355"/>
      <c r="B263" s="1310" t="e">
        <f>'PLANILHA '!#REF!</f>
        <v>#REF!</v>
      </c>
      <c r="C263" s="1310"/>
      <c r="D263" s="1311" t="e">
        <f>'PLANILHA '!#REF!</f>
        <v>#REF!</v>
      </c>
      <c r="E263" s="1311"/>
      <c r="F263" s="1311"/>
      <c r="G263" s="1311"/>
      <c r="H263" s="1311"/>
      <c r="I263" s="1311"/>
      <c r="J263" s="1311"/>
      <c r="K263" s="1311"/>
      <c r="L263" s="1311"/>
      <c r="M263" s="1311"/>
      <c r="N263" s="1311"/>
      <c r="O263" s="1311"/>
      <c r="P263" s="1311"/>
      <c r="Q263" s="1311"/>
      <c r="R263" s="1312" t="e">
        <f>'PLANILHA '!#REF!</f>
        <v>#REF!</v>
      </c>
      <c r="S263" s="1312"/>
      <c r="T263" s="1313" t="e">
        <f>'PLANILHA '!#REF!</f>
        <v>#REF!</v>
      </c>
      <c r="U263" s="1313"/>
      <c r="V263" s="1313"/>
      <c r="W263" s="1313" t="e">
        <f>'PLANILHA '!#REF!</f>
        <v>#REF!</v>
      </c>
      <c r="X263" s="1313"/>
      <c r="Y263" s="1313"/>
      <c r="Z263" s="1320"/>
      <c r="AA263" s="1320"/>
      <c r="AB263" s="1320"/>
      <c r="AC263" s="1320"/>
      <c r="AD263" s="1315"/>
      <c r="AE263" s="1315"/>
      <c r="AF263" s="1315"/>
      <c r="AG263" s="1321" t="e">
        <f t="shared" si="32"/>
        <v>#REF!</v>
      </c>
      <c r="AH263" s="1321"/>
      <c r="AI263" s="1321"/>
      <c r="AJ263" s="1321"/>
      <c r="AK263" s="1315"/>
      <c r="AL263" s="1315"/>
      <c r="AM263" s="1315"/>
      <c r="AN263" s="1315"/>
      <c r="AO263" s="1315"/>
      <c r="AP263" s="1317" t="e">
        <f>'PLANILHA '!#REF!</f>
        <v>#REF!</v>
      </c>
      <c r="AQ263" s="1317"/>
      <c r="AR263" s="1317"/>
      <c r="AS263" s="1317"/>
      <c r="AT263" s="1317"/>
      <c r="AU263" s="1322" t="e">
        <f t="shared" si="33"/>
        <v>#REF!</v>
      </c>
      <c r="AV263" s="1322"/>
      <c r="AW263" s="1322"/>
      <c r="AX263" s="1322"/>
      <c r="AY263" s="1322"/>
      <c r="AZ263" s="1323" t="e">
        <f t="shared" si="34"/>
        <v>#REF!</v>
      </c>
      <c r="BA263" s="1323"/>
      <c r="BB263" s="1323"/>
      <c r="BC263" s="1323"/>
      <c r="BD263" s="1323" t="e">
        <f t="shared" si="35"/>
        <v>#REF!</v>
      </c>
      <c r="BE263" s="1323"/>
      <c r="BF263" s="1323"/>
      <c r="BG263" s="1323"/>
      <c r="BH263" s="1323"/>
      <c r="BI263" s="1323" t="e">
        <f t="shared" si="36"/>
        <v>#REF!</v>
      </c>
      <c r="BJ263" s="1323"/>
      <c r="BK263" s="1323"/>
      <c r="BL263" s="1323"/>
      <c r="BM263" s="1323"/>
      <c r="BN263" s="1318"/>
      <c r="BO263" s="1318"/>
      <c r="BP263" s="1318"/>
    </row>
    <row r="264" spans="1:68" s="361" customFormat="1" ht="12.75" customHeight="1">
      <c r="A264" s="355"/>
      <c r="B264" s="1310" t="e">
        <f>'PLANILHA '!#REF!</f>
        <v>#REF!</v>
      </c>
      <c r="C264" s="1310"/>
      <c r="D264" s="1311" t="e">
        <f>'PLANILHA '!#REF!</f>
        <v>#REF!</v>
      </c>
      <c r="E264" s="1311"/>
      <c r="F264" s="1311"/>
      <c r="G264" s="1311"/>
      <c r="H264" s="1311"/>
      <c r="I264" s="1311"/>
      <c r="J264" s="1311"/>
      <c r="K264" s="1311"/>
      <c r="L264" s="1311"/>
      <c r="M264" s="1311"/>
      <c r="N264" s="1311"/>
      <c r="O264" s="1311"/>
      <c r="P264" s="1311"/>
      <c r="Q264" s="1311"/>
      <c r="R264" s="1312" t="e">
        <f>'PLANILHA '!#REF!</f>
        <v>#REF!</v>
      </c>
      <c r="S264" s="1312"/>
      <c r="T264" s="1313" t="e">
        <f>'PLANILHA '!#REF!</f>
        <v>#REF!</v>
      </c>
      <c r="U264" s="1313"/>
      <c r="V264" s="1313"/>
      <c r="W264" s="1313" t="e">
        <f>'PLANILHA '!#REF!</f>
        <v>#REF!</v>
      </c>
      <c r="X264" s="1313"/>
      <c r="Y264" s="1313"/>
      <c r="Z264" s="1320"/>
      <c r="AA264" s="1320"/>
      <c r="AB264" s="1320"/>
      <c r="AC264" s="1320"/>
      <c r="AD264" s="1315"/>
      <c r="AE264" s="1315"/>
      <c r="AF264" s="1315"/>
      <c r="AG264" s="1321" t="e">
        <f t="shared" si="32"/>
        <v>#REF!</v>
      </c>
      <c r="AH264" s="1321"/>
      <c r="AI264" s="1321"/>
      <c r="AJ264" s="1321"/>
      <c r="AK264" s="1315"/>
      <c r="AL264" s="1315"/>
      <c r="AM264" s="1315"/>
      <c r="AN264" s="1315"/>
      <c r="AO264" s="1315"/>
      <c r="AP264" s="1317" t="e">
        <f>'PLANILHA '!#REF!</f>
        <v>#REF!</v>
      </c>
      <c r="AQ264" s="1317"/>
      <c r="AR264" s="1317"/>
      <c r="AS264" s="1317"/>
      <c r="AT264" s="1317"/>
      <c r="AU264" s="1322" t="e">
        <f t="shared" si="33"/>
        <v>#REF!</v>
      </c>
      <c r="AV264" s="1322"/>
      <c r="AW264" s="1322"/>
      <c r="AX264" s="1322"/>
      <c r="AY264" s="1322"/>
      <c r="AZ264" s="1323" t="e">
        <f t="shared" si="34"/>
        <v>#REF!</v>
      </c>
      <c r="BA264" s="1323"/>
      <c r="BB264" s="1323"/>
      <c r="BC264" s="1323"/>
      <c r="BD264" s="1323" t="e">
        <f t="shared" si="35"/>
        <v>#REF!</v>
      </c>
      <c r="BE264" s="1323"/>
      <c r="BF264" s="1323"/>
      <c r="BG264" s="1323"/>
      <c r="BH264" s="1323"/>
      <c r="BI264" s="1323" t="e">
        <f t="shared" si="36"/>
        <v>#REF!</v>
      </c>
      <c r="BJ264" s="1323"/>
      <c r="BK264" s="1323"/>
      <c r="BL264" s="1323"/>
      <c r="BM264" s="1323"/>
      <c r="BN264" s="1318"/>
      <c r="BO264" s="1318"/>
      <c r="BP264" s="1318"/>
    </row>
    <row r="265" spans="1:68" s="361" customFormat="1" ht="12.75" customHeight="1">
      <c r="A265" s="355"/>
      <c r="B265" s="1310" t="e">
        <f>'PLANILHA '!#REF!</f>
        <v>#REF!</v>
      </c>
      <c r="C265" s="1310"/>
      <c r="D265" s="1311" t="e">
        <f>'PLANILHA '!#REF!</f>
        <v>#REF!</v>
      </c>
      <c r="E265" s="1311"/>
      <c r="F265" s="1311"/>
      <c r="G265" s="1311"/>
      <c r="H265" s="1311"/>
      <c r="I265" s="1311"/>
      <c r="J265" s="1311"/>
      <c r="K265" s="1311"/>
      <c r="L265" s="1311"/>
      <c r="M265" s="1311"/>
      <c r="N265" s="1311"/>
      <c r="O265" s="1311"/>
      <c r="P265" s="1311"/>
      <c r="Q265" s="1311"/>
      <c r="R265" s="1312" t="e">
        <f>'PLANILHA '!#REF!</f>
        <v>#REF!</v>
      </c>
      <c r="S265" s="1312"/>
      <c r="T265" s="1313" t="e">
        <f>'PLANILHA '!#REF!</f>
        <v>#REF!</v>
      </c>
      <c r="U265" s="1313"/>
      <c r="V265" s="1313"/>
      <c r="W265" s="1313" t="e">
        <f>'PLANILHA '!#REF!</f>
        <v>#REF!</v>
      </c>
      <c r="X265" s="1313"/>
      <c r="Y265" s="1313"/>
      <c r="Z265" s="1320"/>
      <c r="AA265" s="1320"/>
      <c r="AB265" s="1320"/>
      <c r="AC265" s="1320"/>
      <c r="AD265" s="1315"/>
      <c r="AE265" s="1315"/>
      <c r="AF265" s="1315"/>
      <c r="AG265" s="1321" t="e">
        <f t="shared" si="32"/>
        <v>#REF!</v>
      </c>
      <c r="AH265" s="1321"/>
      <c r="AI265" s="1321"/>
      <c r="AJ265" s="1321"/>
      <c r="AK265" s="1315"/>
      <c r="AL265" s="1315"/>
      <c r="AM265" s="1315"/>
      <c r="AN265" s="1315"/>
      <c r="AO265" s="1315"/>
      <c r="AP265" s="1317" t="e">
        <f>'PLANILHA '!#REF!</f>
        <v>#REF!</v>
      </c>
      <c r="AQ265" s="1317"/>
      <c r="AR265" s="1317"/>
      <c r="AS265" s="1317"/>
      <c r="AT265" s="1317"/>
      <c r="AU265" s="1322" t="e">
        <f t="shared" si="33"/>
        <v>#REF!</v>
      </c>
      <c r="AV265" s="1322"/>
      <c r="AW265" s="1322"/>
      <c r="AX265" s="1322"/>
      <c r="AY265" s="1322"/>
      <c r="AZ265" s="1323" t="e">
        <f t="shared" si="34"/>
        <v>#REF!</v>
      </c>
      <c r="BA265" s="1323"/>
      <c r="BB265" s="1323"/>
      <c r="BC265" s="1323"/>
      <c r="BD265" s="1323" t="e">
        <f t="shared" si="35"/>
        <v>#REF!</v>
      </c>
      <c r="BE265" s="1323"/>
      <c r="BF265" s="1323"/>
      <c r="BG265" s="1323"/>
      <c r="BH265" s="1323"/>
      <c r="BI265" s="1323" t="e">
        <f t="shared" si="36"/>
        <v>#REF!</v>
      </c>
      <c r="BJ265" s="1323"/>
      <c r="BK265" s="1323"/>
      <c r="BL265" s="1323"/>
      <c r="BM265" s="1323"/>
      <c r="BN265" s="1318"/>
      <c r="BO265" s="1318"/>
      <c r="BP265" s="1318"/>
    </row>
    <row r="266" spans="1:68" s="361" customFormat="1" ht="12.75" customHeight="1">
      <c r="A266" s="355"/>
      <c r="B266" s="1310" t="e">
        <f>'PLANILHA '!#REF!</f>
        <v>#REF!</v>
      </c>
      <c r="C266" s="1310"/>
      <c r="D266" s="1311" t="e">
        <f>'PLANILHA '!#REF!</f>
        <v>#REF!</v>
      </c>
      <c r="E266" s="1311"/>
      <c r="F266" s="1311"/>
      <c r="G266" s="1311"/>
      <c r="H266" s="1311"/>
      <c r="I266" s="1311"/>
      <c r="J266" s="1311"/>
      <c r="K266" s="1311"/>
      <c r="L266" s="1311"/>
      <c r="M266" s="1311"/>
      <c r="N266" s="1311"/>
      <c r="O266" s="1311"/>
      <c r="P266" s="1311"/>
      <c r="Q266" s="1311"/>
      <c r="R266" s="1312" t="e">
        <f>'PLANILHA '!#REF!</f>
        <v>#REF!</v>
      </c>
      <c r="S266" s="1312"/>
      <c r="T266" s="1313" t="e">
        <f>'PLANILHA '!#REF!</f>
        <v>#REF!</v>
      </c>
      <c r="U266" s="1313"/>
      <c r="V266" s="1313"/>
      <c r="W266" s="1313" t="e">
        <f>'PLANILHA '!#REF!</f>
        <v>#REF!</v>
      </c>
      <c r="X266" s="1313"/>
      <c r="Y266" s="1313"/>
      <c r="Z266" s="1320"/>
      <c r="AA266" s="1320"/>
      <c r="AB266" s="1320"/>
      <c r="AC266" s="1320"/>
      <c r="AD266" s="1315"/>
      <c r="AE266" s="1315"/>
      <c r="AF266" s="1315"/>
      <c r="AG266" s="1321" t="e">
        <f t="shared" si="32"/>
        <v>#REF!</v>
      </c>
      <c r="AH266" s="1321"/>
      <c r="AI266" s="1321"/>
      <c r="AJ266" s="1321"/>
      <c r="AK266" s="1315"/>
      <c r="AL266" s="1315"/>
      <c r="AM266" s="1315"/>
      <c r="AN266" s="1315"/>
      <c r="AO266" s="1315"/>
      <c r="AP266" s="1317" t="e">
        <f>'PLANILHA '!#REF!</f>
        <v>#REF!</v>
      </c>
      <c r="AQ266" s="1317"/>
      <c r="AR266" s="1317"/>
      <c r="AS266" s="1317"/>
      <c r="AT266" s="1317"/>
      <c r="AU266" s="1322" t="e">
        <f t="shared" si="33"/>
        <v>#REF!</v>
      </c>
      <c r="AV266" s="1322"/>
      <c r="AW266" s="1322"/>
      <c r="AX266" s="1322"/>
      <c r="AY266" s="1322"/>
      <c r="AZ266" s="1323" t="e">
        <f t="shared" si="34"/>
        <v>#REF!</v>
      </c>
      <c r="BA266" s="1323"/>
      <c r="BB266" s="1323"/>
      <c r="BC266" s="1323"/>
      <c r="BD266" s="1323" t="e">
        <f t="shared" si="35"/>
        <v>#REF!</v>
      </c>
      <c r="BE266" s="1323"/>
      <c r="BF266" s="1323"/>
      <c r="BG266" s="1323"/>
      <c r="BH266" s="1323"/>
      <c r="BI266" s="1323" t="e">
        <f t="shared" si="36"/>
        <v>#REF!</v>
      </c>
      <c r="BJ266" s="1323"/>
      <c r="BK266" s="1323"/>
      <c r="BL266" s="1323"/>
      <c r="BM266" s="1323"/>
      <c r="BN266" s="1318"/>
      <c r="BO266" s="1318"/>
      <c r="BP266" s="1318"/>
    </row>
    <row r="267" spans="1:68" s="361" customFormat="1" ht="12.75" customHeight="1">
      <c r="A267" s="355"/>
      <c r="B267" s="1310" t="e">
        <f>'PLANILHA '!#REF!</f>
        <v>#REF!</v>
      </c>
      <c r="C267" s="1310"/>
      <c r="D267" s="1311" t="e">
        <f>'PLANILHA '!#REF!</f>
        <v>#REF!</v>
      </c>
      <c r="E267" s="1311"/>
      <c r="F267" s="1311"/>
      <c r="G267" s="1311"/>
      <c r="H267" s="1311"/>
      <c r="I267" s="1311"/>
      <c r="J267" s="1311"/>
      <c r="K267" s="1311"/>
      <c r="L267" s="1311"/>
      <c r="M267" s="1311"/>
      <c r="N267" s="1311"/>
      <c r="O267" s="1311"/>
      <c r="P267" s="1311"/>
      <c r="Q267" s="1311"/>
      <c r="R267" s="1312" t="e">
        <f>'PLANILHA '!#REF!</f>
        <v>#REF!</v>
      </c>
      <c r="S267" s="1312"/>
      <c r="T267" s="1313" t="e">
        <f>'PLANILHA '!#REF!</f>
        <v>#REF!</v>
      </c>
      <c r="U267" s="1313"/>
      <c r="V267" s="1313"/>
      <c r="W267" s="1313" t="e">
        <f>'PLANILHA '!#REF!</f>
        <v>#REF!</v>
      </c>
      <c r="X267" s="1313"/>
      <c r="Y267" s="1313"/>
      <c r="Z267" s="1320"/>
      <c r="AA267" s="1320"/>
      <c r="AB267" s="1320"/>
      <c r="AC267" s="1320"/>
      <c r="AD267" s="1315"/>
      <c r="AE267" s="1315"/>
      <c r="AF267" s="1315"/>
      <c r="AG267" s="1321" t="e">
        <f t="shared" si="32"/>
        <v>#REF!</v>
      </c>
      <c r="AH267" s="1321"/>
      <c r="AI267" s="1321"/>
      <c r="AJ267" s="1321"/>
      <c r="AK267" s="1315"/>
      <c r="AL267" s="1315"/>
      <c r="AM267" s="1315"/>
      <c r="AN267" s="1315"/>
      <c r="AO267" s="1315"/>
      <c r="AP267" s="1317" t="e">
        <f>'PLANILHA '!#REF!</f>
        <v>#REF!</v>
      </c>
      <c r="AQ267" s="1317"/>
      <c r="AR267" s="1317"/>
      <c r="AS267" s="1317"/>
      <c r="AT267" s="1317"/>
      <c r="AU267" s="1322" t="e">
        <f t="shared" si="33"/>
        <v>#REF!</v>
      </c>
      <c r="AV267" s="1322"/>
      <c r="AW267" s="1322"/>
      <c r="AX267" s="1322"/>
      <c r="AY267" s="1322"/>
      <c r="AZ267" s="1323" t="e">
        <f t="shared" si="34"/>
        <v>#REF!</v>
      </c>
      <c r="BA267" s="1323"/>
      <c r="BB267" s="1323"/>
      <c r="BC267" s="1323"/>
      <c r="BD267" s="1323" t="e">
        <f t="shared" si="35"/>
        <v>#REF!</v>
      </c>
      <c r="BE267" s="1323"/>
      <c r="BF267" s="1323"/>
      <c r="BG267" s="1323"/>
      <c r="BH267" s="1323"/>
      <c r="BI267" s="1323" t="e">
        <f t="shared" si="36"/>
        <v>#REF!</v>
      </c>
      <c r="BJ267" s="1323"/>
      <c r="BK267" s="1323"/>
      <c r="BL267" s="1323"/>
      <c r="BM267" s="1323"/>
      <c r="BN267" s="1318"/>
      <c r="BO267" s="1318"/>
      <c r="BP267" s="1318"/>
    </row>
    <row r="268" spans="1:68" s="361" customFormat="1" ht="12.75" customHeight="1">
      <c r="A268" s="355"/>
      <c r="B268" s="1310" t="e">
        <f>'PLANILHA '!#REF!</f>
        <v>#REF!</v>
      </c>
      <c r="C268" s="1310"/>
      <c r="D268" s="1311" t="e">
        <f>'PLANILHA '!#REF!</f>
        <v>#REF!</v>
      </c>
      <c r="E268" s="1311"/>
      <c r="F268" s="1311"/>
      <c r="G268" s="1311"/>
      <c r="H268" s="1311"/>
      <c r="I268" s="1311"/>
      <c r="J268" s="1311"/>
      <c r="K268" s="1311"/>
      <c r="L268" s="1311"/>
      <c r="M268" s="1311"/>
      <c r="N268" s="1311"/>
      <c r="O268" s="1311"/>
      <c r="P268" s="1311"/>
      <c r="Q268" s="1311"/>
      <c r="R268" s="1312" t="e">
        <f>'PLANILHA '!#REF!</f>
        <v>#REF!</v>
      </c>
      <c r="S268" s="1312"/>
      <c r="T268" s="1313" t="e">
        <f>'PLANILHA '!#REF!</f>
        <v>#REF!</v>
      </c>
      <c r="U268" s="1313"/>
      <c r="V268" s="1313"/>
      <c r="W268" s="1313" t="e">
        <f>'PLANILHA '!#REF!</f>
        <v>#REF!</v>
      </c>
      <c r="X268" s="1313"/>
      <c r="Y268" s="1313"/>
      <c r="Z268" s="1320"/>
      <c r="AA268" s="1320"/>
      <c r="AB268" s="1320"/>
      <c r="AC268" s="1320"/>
      <c r="AD268" s="1315"/>
      <c r="AE268" s="1315"/>
      <c r="AF268" s="1315"/>
      <c r="AG268" s="1321" t="e">
        <f t="shared" si="32"/>
        <v>#REF!</v>
      </c>
      <c r="AH268" s="1321"/>
      <c r="AI268" s="1321"/>
      <c r="AJ268" s="1321"/>
      <c r="AK268" s="1315"/>
      <c r="AL268" s="1315"/>
      <c r="AM268" s="1315"/>
      <c r="AN268" s="1315"/>
      <c r="AO268" s="1315"/>
      <c r="AP268" s="1317" t="e">
        <f>'PLANILHA '!#REF!</f>
        <v>#REF!</v>
      </c>
      <c r="AQ268" s="1317"/>
      <c r="AR268" s="1317"/>
      <c r="AS268" s="1317"/>
      <c r="AT268" s="1317"/>
      <c r="AU268" s="1322" t="e">
        <f t="shared" si="33"/>
        <v>#REF!</v>
      </c>
      <c r="AV268" s="1322"/>
      <c r="AW268" s="1322"/>
      <c r="AX268" s="1322"/>
      <c r="AY268" s="1322"/>
      <c r="AZ268" s="1323" t="e">
        <f t="shared" si="34"/>
        <v>#REF!</v>
      </c>
      <c r="BA268" s="1323"/>
      <c r="BB268" s="1323"/>
      <c r="BC268" s="1323"/>
      <c r="BD268" s="1323" t="e">
        <f t="shared" si="35"/>
        <v>#REF!</v>
      </c>
      <c r="BE268" s="1323"/>
      <c r="BF268" s="1323"/>
      <c r="BG268" s="1323"/>
      <c r="BH268" s="1323"/>
      <c r="BI268" s="1323" t="e">
        <f t="shared" si="36"/>
        <v>#REF!</v>
      </c>
      <c r="BJ268" s="1323"/>
      <c r="BK268" s="1323"/>
      <c r="BL268" s="1323"/>
      <c r="BM268" s="1323"/>
      <c r="BN268" s="1318"/>
      <c r="BO268" s="1318"/>
      <c r="BP268" s="1318"/>
    </row>
    <row r="269" spans="1:68" s="361" customFormat="1" ht="12.75" customHeight="1">
      <c r="A269" s="355"/>
      <c r="B269" s="1310" t="e">
        <f>'PLANILHA '!#REF!</f>
        <v>#REF!</v>
      </c>
      <c r="C269" s="1310"/>
      <c r="D269" s="1311" t="e">
        <f>'PLANILHA '!#REF!</f>
        <v>#REF!</v>
      </c>
      <c r="E269" s="1311"/>
      <c r="F269" s="1311"/>
      <c r="G269" s="1311"/>
      <c r="H269" s="1311"/>
      <c r="I269" s="1311"/>
      <c r="J269" s="1311"/>
      <c r="K269" s="1311"/>
      <c r="L269" s="1311"/>
      <c r="M269" s="1311"/>
      <c r="N269" s="1311"/>
      <c r="O269" s="1311"/>
      <c r="P269" s="1311"/>
      <c r="Q269" s="1311"/>
      <c r="R269" s="1312" t="e">
        <f>'PLANILHA '!#REF!</f>
        <v>#REF!</v>
      </c>
      <c r="S269" s="1312"/>
      <c r="T269" s="1313" t="e">
        <f>'PLANILHA '!#REF!</f>
        <v>#REF!</v>
      </c>
      <c r="U269" s="1313"/>
      <c r="V269" s="1313"/>
      <c r="W269" s="1313" t="e">
        <f>'PLANILHA '!#REF!</f>
        <v>#REF!</v>
      </c>
      <c r="X269" s="1313"/>
      <c r="Y269" s="1313"/>
      <c r="Z269" s="1320"/>
      <c r="AA269" s="1320"/>
      <c r="AB269" s="1320"/>
      <c r="AC269" s="1320"/>
      <c r="AD269" s="1315"/>
      <c r="AE269" s="1315"/>
      <c r="AF269" s="1315"/>
      <c r="AG269" s="1321" t="e">
        <f t="shared" si="32"/>
        <v>#REF!</v>
      </c>
      <c r="AH269" s="1321"/>
      <c r="AI269" s="1321"/>
      <c r="AJ269" s="1321"/>
      <c r="AK269" s="1315"/>
      <c r="AL269" s="1315"/>
      <c r="AM269" s="1315"/>
      <c r="AN269" s="1315"/>
      <c r="AO269" s="1315"/>
      <c r="AP269" s="1317" t="e">
        <f>'PLANILHA '!#REF!</f>
        <v>#REF!</v>
      </c>
      <c r="AQ269" s="1317"/>
      <c r="AR269" s="1317"/>
      <c r="AS269" s="1317"/>
      <c r="AT269" s="1317"/>
      <c r="AU269" s="1322" t="e">
        <f t="shared" si="33"/>
        <v>#REF!</v>
      </c>
      <c r="AV269" s="1322"/>
      <c r="AW269" s="1322"/>
      <c r="AX269" s="1322"/>
      <c r="AY269" s="1322"/>
      <c r="AZ269" s="1323" t="e">
        <f t="shared" si="34"/>
        <v>#REF!</v>
      </c>
      <c r="BA269" s="1323"/>
      <c r="BB269" s="1323"/>
      <c r="BC269" s="1323"/>
      <c r="BD269" s="1323" t="e">
        <f t="shared" si="35"/>
        <v>#REF!</v>
      </c>
      <c r="BE269" s="1323"/>
      <c r="BF269" s="1323"/>
      <c r="BG269" s="1323"/>
      <c r="BH269" s="1323"/>
      <c r="BI269" s="1323" t="e">
        <f t="shared" si="36"/>
        <v>#REF!</v>
      </c>
      <c r="BJ269" s="1323"/>
      <c r="BK269" s="1323"/>
      <c r="BL269" s="1323"/>
      <c r="BM269" s="1323"/>
      <c r="BN269" s="1318"/>
      <c r="BO269" s="1318"/>
      <c r="BP269" s="1318"/>
    </row>
    <row r="270" spans="1:68" s="361" customFormat="1" ht="12.75" customHeight="1">
      <c r="A270" s="355"/>
      <c r="B270" s="1310" t="e">
        <f>'PLANILHA '!#REF!</f>
        <v>#REF!</v>
      </c>
      <c r="C270" s="1310"/>
      <c r="D270" s="1311" t="e">
        <f>'PLANILHA '!#REF!</f>
        <v>#REF!</v>
      </c>
      <c r="E270" s="1311"/>
      <c r="F270" s="1311"/>
      <c r="G270" s="1311"/>
      <c r="H270" s="1311"/>
      <c r="I270" s="1311"/>
      <c r="J270" s="1311"/>
      <c r="K270" s="1311"/>
      <c r="L270" s="1311"/>
      <c r="M270" s="1311"/>
      <c r="N270" s="1311"/>
      <c r="O270" s="1311"/>
      <c r="P270" s="1311"/>
      <c r="Q270" s="1311"/>
      <c r="R270" s="1312" t="e">
        <f>'PLANILHA '!#REF!</f>
        <v>#REF!</v>
      </c>
      <c r="S270" s="1312"/>
      <c r="T270" s="1313" t="e">
        <f>'PLANILHA '!#REF!</f>
        <v>#REF!</v>
      </c>
      <c r="U270" s="1313"/>
      <c r="V270" s="1313"/>
      <c r="W270" s="1313" t="e">
        <f>'PLANILHA '!#REF!</f>
        <v>#REF!</v>
      </c>
      <c r="X270" s="1313"/>
      <c r="Y270" s="1313"/>
      <c r="Z270" s="1320"/>
      <c r="AA270" s="1320"/>
      <c r="AB270" s="1320"/>
      <c r="AC270" s="1320"/>
      <c r="AD270" s="1315"/>
      <c r="AE270" s="1315"/>
      <c r="AF270" s="1315"/>
      <c r="AG270" s="1321" t="e">
        <f t="shared" si="32"/>
        <v>#REF!</v>
      </c>
      <c r="AH270" s="1321"/>
      <c r="AI270" s="1321"/>
      <c r="AJ270" s="1321"/>
      <c r="AK270" s="1315"/>
      <c r="AL270" s="1315"/>
      <c r="AM270" s="1315"/>
      <c r="AN270" s="1315"/>
      <c r="AO270" s="1315"/>
      <c r="AP270" s="1317" t="e">
        <f>'PLANILHA '!#REF!</f>
        <v>#REF!</v>
      </c>
      <c r="AQ270" s="1317"/>
      <c r="AR270" s="1317"/>
      <c r="AS270" s="1317"/>
      <c r="AT270" s="1317"/>
      <c r="AU270" s="1322" t="e">
        <f t="shared" si="33"/>
        <v>#REF!</v>
      </c>
      <c r="AV270" s="1322"/>
      <c r="AW270" s="1322"/>
      <c r="AX270" s="1322"/>
      <c r="AY270" s="1322"/>
      <c r="AZ270" s="1323" t="e">
        <f t="shared" si="34"/>
        <v>#REF!</v>
      </c>
      <c r="BA270" s="1323"/>
      <c r="BB270" s="1323"/>
      <c r="BC270" s="1323"/>
      <c r="BD270" s="1323" t="e">
        <f t="shared" si="35"/>
        <v>#REF!</v>
      </c>
      <c r="BE270" s="1323"/>
      <c r="BF270" s="1323"/>
      <c r="BG270" s="1323"/>
      <c r="BH270" s="1323"/>
      <c r="BI270" s="1323" t="e">
        <f t="shared" si="36"/>
        <v>#REF!</v>
      </c>
      <c r="BJ270" s="1323"/>
      <c r="BK270" s="1323"/>
      <c r="BL270" s="1323"/>
      <c r="BM270" s="1323"/>
      <c r="BN270" s="1318"/>
      <c r="BO270" s="1318"/>
      <c r="BP270" s="1318"/>
    </row>
    <row r="271" spans="1:68" s="361" customFormat="1" ht="12.75" customHeight="1">
      <c r="A271" s="355"/>
      <c r="B271" s="1310" t="e">
        <f>'PLANILHA '!#REF!</f>
        <v>#REF!</v>
      </c>
      <c r="C271" s="1310"/>
      <c r="D271" s="1311" t="e">
        <f>'PLANILHA '!#REF!</f>
        <v>#REF!</v>
      </c>
      <c r="E271" s="1311"/>
      <c r="F271" s="1311"/>
      <c r="G271" s="1311"/>
      <c r="H271" s="1311"/>
      <c r="I271" s="1311"/>
      <c r="J271" s="1311"/>
      <c r="K271" s="1311"/>
      <c r="L271" s="1311"/>
      <c r="M271" s="1311"/>
      <c r="N271" s="1311"/>
      <c r="O271" s="1311"/>
      <c r="P271" s="1311"/>
      <c r="Q271" s="1311"/>
      <c r="R271" s="1312" t="e">
        <f>'PLANILHA '!#REF!</f>
        <v>#REF!</v>
      </c>
      <c r="S271" s="1312"/>
      <c r="T271" s="1313" t="e">
        <f>'PLANILHA '!#REF!</f>
        <v>#REF!</v>
      </c>
      <c r="U271" s="1313"/>
      <c r="V271" s="1313"/>
      <c r="W271" s="1313" t="e">
        <f>'PLANILHA '!#REF!</f>
        <v>#REF!</v>
      </c>
      <c r="X271" s="1313"/>
      <c r="Y271" s="1313"/>
      <c r="Z271" s="1320"/>
      <c r="AA271" s="1320"/>
      <c r="AB271" s="1320"/>
      <c r="AC271" s="1320"/>
      <c r="AD271" s="1315"/>
      <c r="AE271" s="1315"/>
      <c r="AF271" s="1315"/>
      <c r="AG271" s="1321" t="e">
        <f t="shared" si="32"/>
        <v>#REF!</v>
      </c>
      <c r="AH271" s="1321"/>
      <c r="AI271" s="1321"/>
      <c r="AJ271" s="1321"/>
      <c r="AK271" s="1315"/>
      <c r="AL271" s="1315"/>
      <c r="AM271" s="1315"/>
      <c r="AN271" s="1315"/>
      <c r="AO271" s="1315"/>
      <c r="AP271" s="1317" t="e">
        <f>'PLANILHA '!#REF!</f>
        <v>#REF!</v>
      </c>
      <c r="AQ271" s="1317"/>
      <c r="AR271" s="1317"/>
      <c r="AS271" s="1317"/>
      <c r="AT271" s="1317"/>
      <c r="AU271" s="1322" t="e">
        <f t="shared" si="33"/>
        <v>#REF!</v>
      </c>
      <c r="AV271" s="1322"/>
      <c r="AW271" s="1322"/>
      <c r="AX271" s="1322"/>
      <c r="AY271" s="1322"/>
      <c r="AZ271" s="1323" t="e">
        <f t="shared" si="34"/>
        <v>#REF!</v>
      </c>
      <c r="BA271" s="1323"/>
      <c r="BB271" s="1323"/>
      <c r="BC271" s="1323"/>
      <c r="BD271" s="1323" t="e">
        <f t="shared" si="35"/>
        <v>#REF!</v>
      </c>
      <c r="BE271" s="1323"/>
      <c r="BF271" s="1323"/>
      <c r="BG271" s="1323"/>
      <c r="BH271" s="1323"/>
      <c r="BI271" s="1323" t="e">
        <f t="shared" si="36"/>
        <v>#REF!</v>
      </c>
      <c r="BJ271" s="1323"/>
      <c r="BK271" s="1323"/>
      <c r="BL271" s="1323"/>
      <c r="BM271" s="1323"/>
      <c r="BN271" s="1318"/>
      <c r="BO271" s="1318"/>
      <c r="BP271" s="1318"/>
    </row>
    <row r="272" spans="1:68" s="361" customFormat="1" ht="12.75" customHeight="1">
      <c r="A272" s="355"/>
      <c r="B272" s="1310" t="e">
        <f>'PLANILHA '!#REF!</f>
        <v>#REF!</v>
      </c>
      <c r="C272" s="1310"/>
      <c r="D272" s="1311" t="e">
        <f>'PLANILHA '!#REF!</f>
        <v>#REF!</v>
      </c>
      <c r="E272" s="1311"/>
      <c r="F272" s="1311"/>
      <c r="G272" s="1311"/>
      <c r="H272" s="1311"/>
      <c r="I272" s="1311"/>
      <c r="J272" s="1311"/>
      <c r="K272" s="1311"/>
      <c r="L272" s="1311"/>
      <c r="M272" s="1311"/>
      <c r="N272" s="1311"/>
      <c r="O272" s="1311"/>
      <c r="P272" s="1311"/>
      <c r="Q272" s="1311"/>
      <c r="R272" s="1312" t="e">
        <f>'PLANILHA '!#REF!</f>
        <v>#REF!</v>
      </c>
      <c r="S272" s="1312"/>
      <c r="T272" s="1313" t="e">
        <f>'PLANILHA '!#REF!</f>
        <v>#REF!</v>
      </c>
      <c r="U272" s="1313"/>
      <c r="V272" s="1313"/>
      <c r="W272" s="1313" t="e">
        <f>'PLANILHA '!#REF!</f>
        <v>#REF!</v>
      </c>
      <c r="X272" s="1313"/>
      <c r="Y272" s="1313"/>
      <c r="Z272" s="1320"/>
      <c r="AA272" s="1320"/>
      <c r="AB272" s="1320"/>
      <c r="AC272" s="1320"/>
      <c r="AD272" s="1315"/>
      <c r="AE272" s="1315"/>
      <c r="AF272" s="1315"/>
      <c r="AG272" s="1321" t="e">
        <f t="shared" si="32"/>
        <v>#REF!</v>
      </c>
      <c r="AH272" s="1321"/>
      <c r="AI272" s="1321"/>
      <c r="AJ272" s="1321"/>
      <c r="AK272" s="1315"/>
      <c r="AL272" s="1315"/>
      <c r="AM272" s="1315"/>
      <c r="AN272" s="1315"/>
      <c r="AO272" s="1315"/>
      <c r="AP272" s="1317" t="e">
        <f>'PLANILHA '!#REF!</f>
        <v>#REF!</v>
      </c>
      <c r="AQ272" s="1317"/>
      <c r="AR272" s="1317"/>
      <c r="AS272" s="1317"/>
      <c r="AT272" s="1317"/>
      <c r="AU272" s="1322" t="e">
        <f t="shared" si="33"/>
        <v>#REF!</v>
      </c>
      <c r="AV272" s="1322"/>
      <c r="AW272" s="1322"/>
      <c r="AX272" s="1322"/>
      <c r="AY272" s="1322"/>
      <c r="AZ272" s="1323" t="e">
        <f t="shared" si="34"/>
        <v>#REF!</v>
      </c>
      <c r="BA272" s="1323"/>
      <c r="BB272" s="1323"/>
      <c r="BC272" s="1323"/>
      <c r="BD272" s="1323" t="e">
        <f t="shared" si="35"/>
        <v>#REF!</v>
      </c>
      <c r="BE272" s="1323"/>
      <c r="BF272" s="1323"/>
      <c r="BG272" s="1323"/>
      <c r="BH272" s="1323"/>
      <c r="BI272" s="1323" t="e">
        <f t="shared" si="36"/>
        <v>#REF!</v>
      </c>
      <c r="BJ272" s="1323"/>
      <c r="BK272" s="1323"/>
      <c r="BL272" s="1323"/>
      <c r="BM272" s="1323"/>
      <c r="BN272" s="1318"/>
      <c r="BO272" s="1318"/>
      <c r="BP272" s="1318"/>
    </row>
    <row r="273" spans="1:68" s="361" customFormat="1" ht="12.75" customHeight="1">
      <c r="A273" s="355"/>
      <c r="B273" s="1310" t="e">
        <f>'PLANILHA '!#REF!</f>
        <v>#REF!</v>
      </c>
      <c r="C273" s="1310"/>
      <c r="D273" s="1311" t="e">
        <f>'PLANILHA '!#REF!</f>
        <v>#REF!</v>
      </c>
      <c r="E273" s="1311"/>
      <c r="F273" s="1311"/>
      <c r="G273" s="1311"/>
      <c r="H273" s="1311"/>
      <c r="I273" s="1311"/>
      <c r="J273" s="1311"/>
      <c r="K273" s="1311"/>
      <c r="L273" s="1311"/>
      <c r="M273" s="1311"/>
      <c r="N273" s="1311"/>
      <c r="O273" s="1311"/>
      <c r="P273" s="1311"/>
      <c r="Q273" s="1311"/>
      <c r="R273" s="1312" t="e">
        <f>'PLANILHA '!#REF!</f>
        <v>#REF!</v>
      </c>
      <c r="S273" s="1312"/>
      <c r="T273" s="1313" t="e">
        <f>'PLANILHA '!#REF!</f>
        <v>#REF!</v>
      </c>
      <c r="U273" s="1313"/>
      <c r="V273" s="1313"/>
      <c r="W273" s="1313" t="e">
        <f>'PLANILHA '!#REF!</f>
        <v>#REF!</v>
      </c>
      <c r="X273" s="1313"/>
      <c r="Y273" s="1313"/>
      <c r="Z273" s="1320"/>
      <c r="AA273" s="1320"/>
      <c r="AB273" s="1320"/>
      <c r="AC273" s="1320"/>
      <c r="AD273" s="1315"/>
      <c r="AE273" s="1315"/>
      <c r="AF273" s="1315"/>
      <c r="AG273" s="1321" t="e">
        <f t="shared" si="32"/>
        <v>#REF!</v>
      </c>
      <c r="AH273" s="1321"/>
      <c r="AI273" s="1321"/>
      <c r="AJ273" s="1321"/>
      <c r="AK273" s="1315"/>
      <c r="AL273" s="1315"/>
      <c r="AM273" s="1315"/>
      <c r="AN273" s="1315"/>
      <c r="AO273" s="1315"/>
      <c r="AP273" s="1317" t="e">
        <f>'PLANILHA '!#REF!</f>
        <v>#REF!</v>
      </c>
      <c r="AQ273" s="1317"/>
      <c r="AR273" s="1317"/>
      <c r="AS273" s="1317"/>
      <c r="AT273" s="1317"/>
      <c r="AU273" s="1322" t="e">
        <f t="shared" si="33"/>
        <v>#REF!</v>
      </c>
      <c r="AV273" s="1322"/>
      <c r="AW273" s="1322"/>
      <c r="AX273" s="1322"/>
      <c r="AY273" s="1322"/>
      <c r="AZ273" s="1323" t="e">
        <f t="shared" si="34"/>
        <v>#REF!</v>
      </c>
      <c r="BA273" s="1323"/>
      <c r="BB273" s="1323"/>
      <c r="BC273" s="1323"/>
      <c r="BD273" s="1323" t="e">
        <f t="shared" si="35"/>
        <v>#REF!</v>
      </c>
      <c r="BE273" s="1323"/>
      <c r="BF273" s="1323"/>
      <c r="BG273" s="1323"/>
      <c r="BH273" s="1323"/>
      <c r="BI273" s="1323" t="e">
        <f t="shared" si="36"/>
        <v>#REF!</v>
      </c>
      <c r="BJ273" s="1323"/>
      <c r="BK273" s="1323"/>
      <c r="BL273" s="1323"/>
      <c r="BM273" s="1323"/>
      <c r="BN273" s="1318"/>
      <c r="BO273" s="1318"/>
      <c r="BP273" s="1318"/>
    </row>
    <row r="274" spans="1:68" s="361" customFormat="1" ht="12.75" customHeight="1">
      <c r="A274" s="355"/>
      <c r="B274" s="1310" t="e">
        <f>'PLANILHA '!#REF!</f>
        <v>#REF!</v>
      </c>
      <c r="C274" s="1310"/>
      <c r="D274" s="1311" t="e">
        <f>'PLANILHA '!#REF!</f>
        <v>#REF!</v>
      </c>
      <c r="E274" s="1311"/>
      <c r="F274" s="1311"/>
      <c r="G274" s="1311"/>
      <c r="H274" s="1311"/>
      <c r="I274" s="1311"/>
      <c r="J274" s="1311"/>
      <c r="K274" s="1311"/>
      <c r="L274" s="1311"/>
      <c r="M274" s="1311"/>
      <c r="N274" s="1311"/>
      <c r="O274" s="1311"/>
      <c r="P274" s="1311"/>
      <c r="Q274" s="1311"/>
      <c r="R274" s="1312" t="e">
        <f>'PLANILHA '!#REF!</f>
        <v>#REF!</v>
      </c>
      <c r="S274" s="1312"/>
      <c r="T274" s="1313" t="e">
        <f>'PLANILHA '!#REF!</f>
        <v>#REF!</v>
      </c>
      <c r="U274" s="1313"/>
      <c r="V274" s="1313"/>
      <c r="W274" s="1313" t="e">
        <f>'PLANILHA '!#REF!</f>
        <v>#REF!</v>
      </c>
      <c r="X274" s="1313"/>
      <c r="Y274" s="1313"/>
      <c r="Z274" s="1320"/>
      <c r="AA274" s="1320"/>
      <c r="AB274" s="1320"/>
      <c r="AC274" s="1320"/>
      <c r="AD274" s="1315"/>
      <c r="AE274" s="1315"/>
      <c r="AF274" s="1315"/>
      <c r="AG274" s="1321" t="e">
        <f t="shared" si="32"/>
        <v>#REF!</v>
      </c>
      <c r="AH274" s="1321"/>
      <c r="AI274" s="1321"/>
      <c r="AJ274" s="1321"/>
      <c r="AK274" s="1315"/>
      <c r="AL274" s="1315"/>
      <c r="AM274" s="1315"/>
      <c r="AN274" s="1315"/>
      <c r="AO274" s="1315"/>
      <c r="AP274" s="1317" t="e">
        <f>'PLANILHA '!#REF!</f>
        <v>#REF!</v>
      </c>
      <c r="AQ274" s="1317"/>
      <c r="AR274" s="1317"/>
      <c r="AS274" s="1317"/>
      <c r="AT274" s="1317"/>
      <c r="AU274" s="1322" t="e">
        <f t="shared" si="33"/>
        <v>#REF!</v>
      </c>
      <c r="AV274" s="1322"/>
      <c r="AW274" s="1322"/>
      <c r="AX274" s="1322"/>
      <c r="AY274" s="1322"/>
      <c r="AZ274" s="1323" t="e">
        <f t="shared" si="34"/>
        <v>#REF!</v>
      </c>
      <c r="BA274" s="1323"/>
      <c r="BB274" s="1323"/>
      <c r="BC274" s="1323"/>
      <c r="BD274" s="1323" t="e">
        <f t="shared" si="35"/>
        <v>#REF!</v>
      </c>
      <c r="BE274" s="1323"/>
      <c r="BF274" s="1323"/>
      <c r="BG274" s="1323"/>
      <c r="BH274" s="1323"/>
      <c r="BI274" s="1323" t="e">
        <f t="shared" si="36"/>
        <v>#REF!</v>
      </c>
      <c r="BJ274" s="1323"/>
      <c r="BK274" s="1323"/>
      <c r="BL274" s="1323"/>
      <c r="BM274" s="1323"/>
      <c r="BN274" s="1318"/>
      <c r="BO274" s="1318"/>
      <c r="BP274" s="1318"/>
    </row>
    <row r="275" spans="1:68" s="361" customFormat="1" ht="12.75" customHeight="1">
      <c r="A275" s="355"/>
      <c r="B275" s="1310" t="e">
        <f>'PLANILHA '!#REF!</f>
        <v>#REF!</v>
      </c>
      <c r="C275" s="1310"/>
      <c r="D275" s="1311" t="e">
        <f>'PLANILHA '!#REF!</f>
        <v>#REF!</v>
      </c>
      <c r="E275" s="1311"/>
      <c r="F275" s="1311"/>
      <c r="G275" s="1311"/>
      <c r="H275" s="1311"/>
      <c r="I275" s="1311"/>
      <c r="J275" s="1311"/>
      <c r="K275" s="1311"/>
      <c r="L275" s="1311"/>
      <c r="M275" s="1311"/>
      <c r="N275" s="1311"/>
      <c r="O275" s="1311"/>
      <c r="P275" s="1311"/>
      <c r="Q275" s="1311"/>
      <c r="R275" s="1312" t="e">
        <f>'PLANILHA '!#REF!</f>
        <v>#REF!</v>
      </c>
      <c r="S275" s="1312"/>
      <c r="T275" s="1313" t="e">
        <f>'PLANILHA '!#REF!</f>
        <v>#REF!</v>
      </c>
      <c r="U275" s="1313"/>
      <c r="V275" s="1313"/>
      <c r="W275" s="1313" t="e">
        <f>'PLANILHA '!#REF!</f>
        <v>#REF!</v>
      </c>
      <c r="X275" s="1313"/>
      <c r="Y275" s="1313"/>
      <c r="Z275" s="1320"/>
      <c r="AA275" s="1320"/>
      <c r="AB275" s="1320"/>
      <c r="AC275" s="1320"/>
      <c r="AD275" s="1315"/>
      <c r="AE275" s="1315"/>
      <c r="AF275" s="1315"/>
      <c r="AG275" s="1321" t="e">
        <f t="shared" si="32"/>
        <v>#REF!</v>
      </c>
      <c r="AH275" s="1321"/>
      <c r="AI275" s="1321"/>
      <c r="AJ275" s="1321"/>
      <c r="AK275" s="1315"/>
      <c r="AL275" s="1315"/>
      <c r="AM275" s="1315"/>
      <c r="AN275" s="1315"/>
      <c r="AO275" s="1315"/>
      <c r="AP275" s="1317" t="e">
        <f>'PLANILHA '!#REF!</f>
        <v>#REF!</v>
      </c>
      <c r="AQ275" s="1317"/>
      <c r="AR275" s="1317"/>
      <c r="AS275" s="1317"/>
      <c r="AT275" s="1317"/>
      <c r="AU275" s="1322" t="e">
        <f t="shared" si="33"/>
        <v>#REF!</v>
      </c>
      <c r="AV275" s="1322"/>
      <c r="AW275" s="1322"/>
      <c r="AX275" s="1322"/>
      <c r="AY275" s="1322"/>
      <c r="AZ275" s="1323" t="e">
        <f t="shared" si="34"/>
        <v>#REF!</v>
      </c>
      <c r="BA275" s="1323"/>
      <c r="BB275" s="1323"/>
      <c r="BC275" s="1323"/>
      <c r="BD275" s="1323" t="e">
        <f t="shared" si="35"/>
        <v>#REF!</v>
      </c>
      <c r="BE275" s="1323"/>
      <c r="BF275" s="1323"/>
      <c r="BG275" s="1323"/>
      <c r="BH275" s="1323"/>
      <c r="BI275" s="1323" t="e">
        <f t="shared" si="36"/>
        <v>#REF!</v>
      </c>
      <c r="BJ275" s="1323"/>
      <c r="BK275" s="1323"/>
      <c r="BL275" s="1323"/>
      <c r="BM275" s="1323"/>
      <c r="BN275" s="1318"/>
      <c r="BO275" s="1318"/>
      <c r="BP275" s="1318"/>
    </row>
    <row r="276" spans="1:68" s="361" customFormat="1" ht="12.75" customHeight="1">
      <c r="A276" s="355"/>
      <c r="B276" s="1310" t="e">
        <f>'PLANILHA '!#REF!</f>
        <v>#REF!</v>
      </c>
      <c r="C276" s="1310"/>
      <c r="D276" s="1311" t="e">
        <f>'PLANILHA '!#REF!</f>
        <v>#REF!</v>
      </c>
      <c r="E276" s="1311"/>
      <c r="F276" s="1311"/>
      <c r="G276" s="1311"/>
      <c r="H276" s="1311"/>
      <c r="I276" s="1311"/>
      <c r="J276" s="1311"/>
      <c r="K276" s="1311"/>
      <c r="L276" s="1311"/>
      <c r="M276" s="1311"/>
      <c r="N276" s="1311"/>
      <c r="O276" s="1311"/>
      <c r="P276" s="1311"/>
      <c r="Q276" s="1311"/>
      <c r="R276" s="1312" t="e">
        <f>'PLANILHA '!#REF!</f>
        <v>#REF!</v>
      </c>
      <c r="S276" s="1312"/>
      <c r="T276" s="1313" t="e">
        <f>'PLANILHA '!#REF!</f>
        <v>#REF!</v>
      </c>
      <c r="U276" s="1313"/>
      <c r="V276" s="1313"/>
      <c r="W276" s="1313" t="e">
        <f>'PLANILHA '!#REF!</f>
        <v>#REF!</v>
      </c>
      <c r="X276" s="1313"/>
      <c r="Y276" s="1313"/>
      <c r="Z276" s="1320"/>
      <c r="AA276" s="1320"/>
      <c r="AB276" s="1320"/>
      <c r="AC276" s="1320"/>
      <c r="AD276" s="1315"/>
      <c r="AE276" s="1315"/>
      <c r="AF276" s="1315"/>
      <c r="AG276" s="1321" t="e">
        <f t="shared" si="32"/>
        <v>#REF!</v>
      </c>
      <c r="AH276" s="1321"/>
      <c r="AI276" s="1321"/>
      <c r="AJ276" s="1321"/>
      <c r="AK276" s="1315"/>
      <c r="AL276" s="1315"/>
      <c r="AM276" s="1315"/>
      <c r="AN276" s="1315"/>
      <c r="AO276" s="1315"/>
      <c r="AP276" s="1317" t="e">
        <f>'PLANILHA '!#REF!</f>
        <v>#REF!</v>
      </c>
      <c r="AQ276" s="1317"/>
      <c r="AR276" s="1317"/>
      <c r="AS276" s="1317"/>
      <c r="AT276" s="1317"/>
      <c r="AU276" s="1322" t="e">
        <f t="shared" si="33"/>
        <v>#REF!</v>
      </c>
      <c r="AV276" s="1322"/>
      <c r="AW276" s="1322"/>
      <c r="AX276" s="1322"/>
      <c r="AY276" s="1322"/>
      <c r="AZ276" s="1323" t="e">
        <f t="shared" si="34"/>
        <v>#REF!</v>
      </c>
      <c r="BA276" s="1323"/>
      <c r="BB276" s="1323"/>
      <c r="BC276" s="1323"/>
      <c r="BD276" s="1323" t="e">
        <f t="shared" si="35"/>
        <v>#REF!</v>
      </c>
      <c r="BE276" s="1323"/>
      <c r="BF276" s="1323"/>
      <c r="BG276" s="1323"/>
      <c r="BH276" s="1323"/>
      <c r="BI276" s="1323" t="e">
        <f t="shared" si="36"/>
        <v>#REF!</v>
      </c>
      <c r="BJ276" s="1323"/>
      <c r="BK276" s="1323"/>
      <c r="BL276" s="1323"/>
      <c r="BM276" s="1323"/>
      <c r="BN276" s="1318"/>
      <c r="BO276" s="1318"/>
      <c r="BP276" s="1318"/>
    </row>
    <row r="277" spans="1:68" s="361" customFormat="1" ht="12.75" customHeight="1">
      <c r="A277" s="355"/>
      <c r="B277" s="1310" t="e">
        <f>'PLANILHA '!#REF!</f>
        <v>#REF!</v>
      </c>
      <c r="C277" s="1310"/>
      <c r="D277" s="1311" t="e">
        <f>'PLANILHA '!#REF!</f>
        <v>#REF!</v>
      </c>
      <c r="E277" s="1311"/>
      <c r="F277" s="1311"/>
      <c r="G277" s="1311"/>
      <c r="H277" s="1311"/>
      <c r="I277" s="1311"/>
      <c r="J277" s="1311"/>
      <c r="K277" s="1311"/>
      <c r="L277" s="1311"/>
      <c r="M277" s="1311"/>
      <c r="N277" s="1311"/>
      <c r="O277" s="1311"/>
      <c r="P277" s="1311"/>
      <c r="Q277" s="1311"/>
      <c r="R277" s="1312" t="e">
        <f>'PLANILHA '!#REF!</f>
        <v>#REF!</v>
      </c>
      <c r="S277" s="1312"/>
      <c r="T277" s="1313" t="e">
        <f>'PLANILHA '!#REF!</f>
        <v>#REF!</v>
      </c>
      <c r="U277" s="1313"/>
      <c r="V277" s="1313"/>
      <c r="W277" s="1313" t="e">
        <f>'PLANILHA '!#REF!</f>
        <v>#REF!</v>
      </c>
      <c r="X277" s="1313"/>
      <c r="Y277" s="1313"/>
      <c r="Z277" s="1320"/>
      <c r="AA277" s="1320"/>
      <c r="AB277" s="1320"/>
      <c r="AC277" s="1320"/>
      <c r="AD277" s="1315"/>
      <c r="AE277" s="1315"/>
      <c r="AF277" s="1315"/>
      <c r="AG277" s="1321" t="e">
        <f t="shared" si="32"/>
        <v>#REF!</v>
      </c>
      <c r="AH277" s="1321"/>
      <c r="AI277" s="1321"/>
      <c r="AJ277" s="1321"/>
      <c r="AK277" s="1315"/>
      <c r="AL277" s="1315"/>
      <c r="AM277" s="1315"/>
      <c r="AN277" s="1315"/>
      <c r="AO277" s="1315"/>
      <c r="AP277" s="1317" t="e">
        <f>'PLANILHA '!#REF!</f>
        <v>#REF!</v>
      </c>
      <c r="AQ277" s="1317"/>
      <c r="AR277" s="1317"/>
      <c r="AS277" s="1317"/>
      <c r="AT277" s="1317"/>
      <c r="AU277" s="1322" t="e">
        <f t="shared" si="33"/>
        <v>#REF!</v>
      </c>
      <c r="AV277" s="1322"/>
      <c r="AW277" s="1322"/>
      <c r="AX277" s="1322"/>
      <c r="AY277" s="1322"/>
      <c r="AZ277" s="1323" t="e">
        <f t="shared" si="34"/>
        <v>#REF!</v>
      </c>
      <c r="BA277" s="1323"/>
      <c r="BB277" s="1323"/>
      <c r="BC277" s="1323"/>
      <c r="BD277" s="1323" t="e">
        <f t="shared" si="35"/>
        <v>#REF!</v>
      </c>
      <c r="BE277" s="1323"/>
      <c r="BF277" s="1323"/>
      <c r="BG277" s="1323"/>
      <c r="BH277" s="1323"/>
      <c r="BI277" s="1323" t="e">
        <f t="shared" si="36"/>
        <v>#REF!</v>
      </c>
      <c r="BJ277" s="1323"/>
      <c r="BK277" s="1323"/>
      <c r="BL277" s="1323"/>
      <c r="BM277" s="1323"/>
      <c r="BN277" s="1318"/>
      <c r="BO277" s="1318"/>
      <c r="BP277" s="1318"/>
    </row>
    <row r="278" spans="1:68" s="361" customFormat="1" ht="12.75" customHeight="1">
      <c r="A278" s="355"/>
      <c r="B278" s="1310" t="e">
        <f>'PLANILHA '!#REF!</f>
        <v>#REF!</v>
      </c>
      <c r="C278" s="1310"/>
      <c r="D278" s="1311" t="e">
        <f>'PLANILHA '!#REF!</f>
        <v>#REF!</v>
      </c>
      <c r="E278" s="1311"/>
      <c r="F278" s="1311"/>
      <c r="G278" s="1311"/>
      <c r="H278" s="1311"/>
      <c r="I278" s="1311"/>
      <c r="J278" s="1311"/>
      <c r="K278" s="1311"/>
      <c r="L278" s="1311"/>
      <c r="M278" s="1311"/>
      <c r="N278" s="1311"/>
      <c r="O278" s="1311"/>
      <c r="P278" s="1311"/>
      <c r="Q278" s="1311"/>
      <c r="R278" s="1312" t="e">
        <f>'PLANILHA '!#REF!</f>
        <v>#REF!</v>
      </c>
      <c r="S278" s="1312"/>
      <c r="T278" s="1313" t="e">
        <f>'PLANILHA '!#REF!</f>
        <v>#REF!</v>
      </c>
      <c r="U278" s="1313"/>
      <c r="V278" s="1313"/>
      <c r="W278" s="1313" t="e">
        <f>'PLANILHA '!#REF!</f>
        <v>#REF!</v>
      </c>
      <c r="X278" s="1313"/>
      <c r="Y278" s="1313"/>
      <c r="Z278" s="1320"/>
      <c r="AA278" s="1320"/>
      <c r="AB278" s="1320"/>
      <c r="AC278" s="1320"/>
      <c r="AD278" s="1315"/>
      <c r="AE278" s="1315"/>
      <c r="AF278" s="1315"/>
      <c r="AG278" s="1321" t="e">
        <f t="shared" si="32"/>
        <v>#REF!</v>
      </c>
      <c r="AH278" s="1321"/>
      <c r="AI278" s="1321"/>
      <c r="AJ278" s="1321"/>
      <c r="AK278" s="1315"/>
      <c r="AL278" s="1315"/>
      <c r="AM278" s="1315"/>
      <c r="AN278" s="1315"/>
      <c r="AO278" s="1315"/>
      <c r="AP278" s="1317" t="e">
        <f>'PLANILHA '!#REF!</f>
        <v>#REF!</v>
      </c>
      <c r="AQ278" s="1317"/>
      <c r="AR278" s="1317"/>
      <c r="AS278" s="1317"/>
      <c r="AT278" s="1317"/>
      <c r="AU278" s="1322" t="e">
        <f t="shared" si="33"/>
        <v>#REF!</v>
      </c>
      <c r="AV278" s="1322"/>
      <c r="AW278" s="1322"/>
      <c r="AX278" s="1322"/>
      <c r="AY278" s="1322"/>
      <c r="AZ278" s="1323" t="e">
        <f t="shared" si="34"/>
        <v>#REF!</v>
      </c>
      <c r="BA278" s="1323"/>
      <c r="BB278" s="1323"/>
      <c r="BC278" s="1323"/>
      <c r="BD278" s="1323" t="e">
        <f t="shared" si="35"/>
        <v>#REF!</v>
      </c>
      <c r="BE278" s="1323"/>
      <c r="BF278" s="1323"/>
      <c r="BG278" s="1323"/>
      <c r="BH278" s="1323"/>
      <c r="BI278" s="1323" t="e">
        <f t="shared" si="36"/>
        <v>#REF!</v>
      </c>
      <c r="BJ278" s="1323"/>
      <c r="BK278" s="1323"/>
      <c r="BL278" s="1323"/>
      <c r="BM278" s="1323"/>
      <c r="BN278" s="1318"/>
      <c r="BO278" s="1318"/>
      <c r="BP278" s="1318"/>
    </row>
    <row r="279" spans="1:68" s="361" customFormat="1" ht="12.75" customHeight="1">
      <c r="A279" s="355"/>
      <c r="B279" s="1310" t="e">
        <f>'PLANILHA '!#REF!</f>
        <v>#REF!</v>
      </c>
      <c r="C279" s="1310"/>
      <c r="D279" s="1311" t="e">
        <f>'PLANILHA '!#REF!</f>
        <v>#REF!</v>
      </c>
      <c r="E279" s="1311"/>
      <c r="F279" s="1311"/>
      <c r="G279" s="1311"/>
      <c r="H279" s="1311"/>
      <c r="I279" s="1311"/>
      <c r="J279" s="1311"/>
      <c r="K279" s="1311"/>
      <c r="L279" s="1311"/>
      <c r="M279" s="1311"/>
      <c r="N279" s="1311"/>
      <c r="O279" s="1311"/>
      <c r="P279" s="1311"/>
      <c r="Q279" s="1311"/>
      <c r="R279" s="1312" t="e">
        <f>'PLANILHA '!#REF!</f>
        <v>#REF!</v>
      </c>
      <c r="S279" s="1312"/>
      <c r="T279" s="1313" t="e">
        <f>'PLANILHA '!#REF!</f>
        <v>#REF!</v>
      </c>
      <c r="U279" s="1313"/>
      <c r="V279" s="1313"/>
      <c r="W279" s="1313" t="e">
        <f>'PLANILHA '!#REF!</f>
        <v>#REF!</v>
      </c>
      <c r="X279" s="1313"/>
      <c r="Y279" s="1313"/>
      <c r="Z279" s="1320"/>
      <c r="AA279" s="1320"/>
      <c r="AB279" s="1320"/>
      <c r="AC279" s="1320"/>
      <c r="AD279" s="1315"/>
      <c r="AE279" s="1315"/>
      <c r="AF279" s="1315"/>
      <c r="AG279" s="1321" t="e">
        <f t="shared" si="32"/>
        <v>#REF!</v>
      </c>
      <c r="AH279" s="1321"/>
      <c r="AI279" s="1321"/>
      <c r="AJ279" s="1321"/>
      <c r="AK279" s="1315"/>
      <c r="AL279" s="1315"/>
      <c r="AM279" s="1315"/>
      <c r="AN279" s="1315"/>
      <c r="AO279" s="1315"/>
      <c r="AP279" s="1317" t="e">
        <f>'PLANILHA '!#REF!</f>
        <v>#REF!</v>
      </c>
      <c r="AQ279" s="1317"/>
      <c r="AR279" s="1317"/>
      <c r="AS279" s="1317"/>
      <c r="AT279" s="1317"/>
      <c r="AU279" s="1322" t="e">
        <f t="shared" si="33"/>
        <v>#REF!</v>
      </c>
      <c r="AV279" s="1322"/>
      <c r="AW279" s="1322"/>
      <c r="AX279" s="1322"/>
      <c r="AY279" s="1322"/>
      <c r="AZ279" s="1323" t="e">
        <f t="shared" si="34"/>
        <v>#REF!</v>
      </c>
      <c r="BA279" s="1323"/>
      <c r="BB279" s="1323"/>
      <c r="BC279" s="1323"/>
      <c r="BD279" s="1323" t="e">
        <f t="shared" si="35"/>
        <v>#REF!</v>
      </c>
      <c r="BE279" s="1323"/>
      <c r="BF279" s="1323"/>
      <c r="BG279" s="1323"/>
      <c r="BH279" s="1323"/>
      <c r="BI279" s="1323" t="e">
        <f t="shared" si="36"/>
        <v>#REF!</v>
      </c>
      <c r="BJ279" s="1323"/>
      <c r="BK279" s="1323"/>
      <c r="BL279" s="1323"/>
      <c r="BM279" s="1323"/>
      <c r="BN279" s="1318"/>
      <c r="BO279" s="1318"/>
      <c r="BP279" s="1318"/>
    </row>
    <row r="280" spans="1:68" s="361" customFormat="1" ht="12.75" customHeight="1">
      <c r="A280" s="355"/>
      <c r="B280" s="1310" t="e">
        <f>'PLANILHA '!#REF!</f>
        <v>#REF!</v>
      </c>
      <c r="C280" s="1310"/>
      <c r="D280" s="1311" t="e">
        <f>'PLANILHA '!#REF!</f>
        <v>#REF!</v>
      </c>
      <c r="E280" s="1311"/>
      <c r="F280" s="1311"/>
      <c r="G280" s="1311"/>
      <c r="H280" s="1311"/>
      <c r="I280" s="1311"/>
      <c r="J280" s="1311"/>
      <c r="K280" s="1311"/>
      <c r="L280" s="1311"/>
      <c r="M280" s="1311"/>
      <c r="N280" s="1311"/>
      <c r="O280" s="1311"/>
      <c r="P280" s="1311"/>
      <c r="Q280" s="1311"/>
      <c r="R280" s="1312" t="e">
        <f>'PLANILHA '!#REF!</f>
        <v>#REF!</v>
      </c>
      <c r="S280" s="1312"/>
      <c r="T280" s="1313" t="e">
        <f>'PLANILHA '!#REF!</f>
        <v>#REF!</v>
      </c>
      <c r="U280" s="1313"/>
      <c r="V280" s="1313"/>
      <c r="W280" s="1313" t="e">
        <f>'PLANILHA '!#REF!</f>
        <v>#REF!</v>
      </c>
      <c r="X280" s="1313"/>
      <c r="Y280" s="1313"/>
      <c r="Z280" s="1320"/>
      <c r="AA280" s="1320"/>
      <c r="AB280" s="1320"/>
      <c r="AC280" s="1320"/>
      <c r="AD280" s="1315"/>
      <c r="AE280" s="1315"/>
      <c r="AF280" s="1315"/>
      <c r="AG280" s="1321" t="e">
        <f t="shared" si="32"/>
        <v>#REF!</v>
      </c>
      <c r="AH280" s="1321"/>
      <c r="AI280" s="1321"/>
      <c r="AJ280" s="1321"/>
      <c r="AK280" s="1315"/>
      <c r="AL280" s="1315"/>
      <c r="AM280" s="1315"/>
      <c r="AN280" s="1315"/>
      <c r="AO280" s="1315"/>
      <c r="AP280" s="1317" t="e">
        <f>'PLANILHA '!#REF!</f>
        <v>#REF!</v>
      </c>
      <c r="AQ280" s="1317"/>
      <c r="AR280" s="1317"/>
      <c r="AS280" s="1317"/>
      <c r="AT280" s="1317"/>
      <c r="AU280" s="1322" t="e">
        <f t="shared" si="33"/>
        <v>#REF!</v>
      </c>
      <c r="AV280" s="1322"/>
      <c r="AW280" s="1322"/>
      <c r="AX280" s="1322"/>
      <c r="AY280" s="1322"/>
      <c r="AZ280" s="1323" t="e">
        <f t="shared" si="34"/>
        <v>#REF!</v>
      </c>
      <c r="BA280" s="1323"/>
      <c r="BB280" s="1323"/>
      <c r="BC280" s="1323"/>
      <c r="BD280" s="1323" t="e">
        <f t="shared" si="35"/>
        <v>#REF!</v>
      </c>
      <c r="BE280" s="1323"/>
      <c r="BF280" s="1323"/>
      <c r="BG280" s="1323"/>
      <c r="BH280" s="1323"/>
      <c r="BI280" s="1323" t="e">
        <f t="shared" si="36"/>
        <v>#REF!</v>
      </c>
      <c r="BJ280" s="1323"/>
      <c r="BK280" s="1323"/>
      <c r="BL280" s="1323"/>
      <c r="BM280" s="1323"/>
      <c r="BN280" s="1318"/>
      <c r="BO280" s="1318"/>
      <c r="BP280" s="1318"/>
    </row>
    <row r="281" spans="1:68" s="361" customFormat="1" ht="12.75" customHeight="1">
      <c r="A281" s="355"/>
      <c r="B281" s="1310" t="e">
        <f>'PLANILHA '!#REF!</f>
        <v>#REF!</v>
      </c>
      <c r="C281" s="1310"/>
      <c r="D281" s="1311" t="e">
        <f>'PLANILHA '!#REF!</f>
        <v>#REF!</v>
      </c>
      <c r="E281" s="1311"/>
      <c r="F281" s="1311"/>
      <c r="G281" s="1311"/>
      <c r="H281" s="1311"/>
      <c r="I281" s="1311"/>
      <c r="J281" s="1311"/>
      <c r="K281" s="1311"/>
      <c r="L281" s="1311"/>
      <c r="M281" s="1311"/>
      <c r="N281" s="1311"/>
      <c r="O281" s="1311"/>
      <c r="P281" s="1311"/>
      <c r="Q281" s="1311"/>
      <c r="R281" s="1312" t="e">
        <f>'PLANILHA '!#REF!</f>
        <v>#REF!</v>
      </c>
      <c r="S281" s="1312"/>
      <c r="T281" s="1313" t="e">
        <f>'PLANILHA '!#REF!</f>
        <v>#REF!</v>
      </c>
      <c r="U281" s="1313"/>
      <c r="V281" s="1313"/>
      <c r="W281" s="1313" t="e">
        <f>'PLANILHA '!#REF!</f>
        <v>#REF!</v>
      </c>
      <c r="X281" s="1313"/>
      <c r="Y281" s="1313"/>
      <c r="Z281" s="1325"/>
      <c r="AA281" s="1325"/>
      <c r="AB281" s="1325"/>
      <c r="AC281" s="1325"/>
      <c r="AD281" s="1333"/>
      <c r="AE281" s="1333"/>
      <c r="AF281" s="1333"/>
      <c r="AG281" s="1321" t="e">
        <f t="shared" si="32"/>
        <v>#REF!</v>
      </c>
      <c r="AH281" s="1321"/>
      <c r="AI281" s="1321"/>
      <c r="AJ281" s="1321"/>
      <c r="AK281" s="396"/>
      <c r="AL281" s="397"/>
      <c r="AM281" s="397"/>
      <c r="AN281" s="397"/>
      <c r="AO281" s="398"/>
      <c r="AP281" s="1317" t="e">
        <f>'PLANILHA '!#REF!</f>
        <v>#REF!</v>
      </c>
      <c r="AQ281" s="1317"/>
      <c r="AR281" s="1317"/>
      <c r="AS281" s="1317"/>
      <c r="AT281" s="1317"/>
      <c r="AU281" s="399"/>
      <c r="AV281" s="400"/>
      <c r="AW281" s="400"/>
      <c r="AX281" s="400"/>
      <c r="AY281" s="401"/>
      <c r="AZ281" s="1331" t="e">
        <f>SUM(AZ250:BC280)</f>
        <v>#REF!</v>
      </c>
      <c r="BA281" s="1331"/>
      <c r="BB281" s="1331"/>
      <c r="BC281" s="1331"/>
      <c r="BD281" s="1331"/>
      <c r="BE281" s="1331"/>
      <c r="BF281" s="1331"/>
      <c r="BG281" s="1331"/>
      <c r="BH281" s="1331"/>
      <c r="BI281" s="1331" t="e">
        <f>SUM(BI250:BM280)</f>
        <v>#REF!</v>
      </c>
      <c r="BJ281" s="1331"/>
      <c r="BK281" s="1331"/>
      <c r="BL281" s="1331"/>
      <c r="BM281" s="1331"/>
      <c r="BN281" s="402"/>
      <c r="BO281" s="403"/>
      <c r="BP281" s="404"/>
    </row>
    <row r="282" spans="1:68" s="361" customFormat="1" ht="12.75" customHeight="1">
      <c r="A282" s="355"/>
      <c r="B282" s="1310" t="e">
        <f>'PLANILHA '!#REF!</f>
        <v>#REF!</v>
      </c>
      <c r="C282" s="1310"/>
      <c r="D282" s="1311" t="e">
        <f>'PLANILHA '!#REF!</f>
        <v>#REF!</v>
      </c>
      <c r="E282" s="1311"/>
      <c r="F282" s="1311"/>
      <c r="G282" s="1311"/>
      <c r="H282" s="1311"/>
      <c r="I282" s="1311"/>
      <c r="J282" s="1311"/>
      <c r="K282" s="1311"/>
      <c r="L282" s="1311"/>
      <c r="M282" s="1311"/>
      <c r="N282" s="1311"/>
      <c r="O282" s="1311"/>
      <c r="P282" s="1311"/>
      <c r="Q282" s="1311"/>
      <c r="R282" s="1312" t="e">
        <f>'PLANILHA '!#REF!</f>
        <v>#REF!</v>
      </c>
      <c r="S282" s="1312"/>
      <c r="T282" s="1313" t="e">
        <f>'PLANILHA '!#REF!</f>
        <v>#REF!</v>
      </c>
      <c r="U282" s="1313"/>
      <c r="V282" s="1313"/>
      <c r="W282" s="1313" t="e">
        <f>'PLANILHA '!#REF!</f>
        <v>#REF!</v>
      </c>
      <c r="X282" s="1313"/>
      <c r="Y282" s="1313"/>
      <c r="Z282" s="1320"/>
      <c r="AA282" s="1320"/>
      <c r="AB282" s="1320"/>
      <c r="AC282" s="1320"/>
      <c r="AD282" s="1315"/>
      <c r="AE282" s="1315"/>
      <c r="AF282" s="1315"/>
      <c r="AG282" s="1316"/>
      <c r="AH282" s="1316"/>
      <c r="AI282" s="1316"/>
      <c r="AJ282" s="1316"/>
      <c r="AK282" s="1315"/>
      <c r="AL282" s="1315"/>
      <c r="AM282" s="1315"/>
      <c r="AN282" s="1315"/>
      <c r="AO282" s="1315"/>
      <c r="AP282" s="1317" t="e">
        <f>'PLANILHA '!#REF!</f>
        <v>#REF!</v>
      </c>
      <c r="AQ282" s="1317"/>
      <c r="AR282" s="1317"/>
      <c r="AS282" s="1317"/>
      <c r="AT282" s="1317"/>
      <c r="AU282" s="1316"/>
      <c r="AV282" s="1316"/>
      <c r="AW282" s="1316"/>
      <c r="AX282" s="1316"/>
      <c r="AY282" s="1316"/>
      <c r="AZ282" s="1316"/>
      <c r="BA282" s="1316"/>
      <c r="BB282" s="1316"/>
      <c r="BC282" s="1316"/>
      <c r="BD282" s="1316"/>
      <c r="BE282" s="1316"/>
      <c r="BF282" s="1316"/>
      <c r="BG282" s="1316"/>
      <c r="BH282" s="1316"/>
      <c r="BI282" s="1316"/>
      <c r="BJ282" s="1316"/>
      <c r="BK282" s="1316"/>
      <c r="BL282" s="1316"/>
      <c r="BM282" s="1316"/>
      <c r="BN282" s="1318"/>
      <c r="BO282" s="1318"/>
      <c r="BP282" s="1318"/>
    </row>
    <row r="283" spans="1:68" s="361" customFormat="1" ht="12.75" customHeight="1">
      <c r="A283" s="355"/>
      <c r="B283" s="1310" t="e">
        <f>'PLANILHA '!#REF!</f>
        <v>#REF!</v>
      </c>
      <c r="C283" s="1310"/>
      <c r="D283" s="1311" t="e">
        <f>'PLANILHA '!#REF!</f>
        <v>#REF!</v>
      </c>
      <c r="E283" s="1311"/>
      <c r="F283" s="1311"/>
      <c r="G283" s="1311"/>
      <c r="H283" s="1311"/>
      <c r="I283" s="1311"/>
      <c r="J283" s="1311"/>
      <c r="K283" s="1311"/>
      <c r="L283" s="1311"/>
      <c r="M283" s="1311"/>
      <c r="N283" s="1311"/>
      <c r="O283" s="1311"/>
      <c r="P283" s="1311"/>
      <c r="Q283" s="1311"/>
      <c r="R283" s="1312" t="e">
        <f>'PLANILHA '!#REF!</f>
        <v>#REF!</v>
      </c>
      <c r="S283" s="1312"/>
      <c r="T283" s="1313" t="e">
        <f>'PLANILHA '!#REF!</f>
        <v>#REF!</v>
      </c>
      <c r="U283" s="1313"/>
      <c r="V283" s="1313"/>
      <c r="W283" s="1313" t="e">
        <f>'PLANILHA '!#REF!</f>
        <v>#REF!</v>
      </c>
      <c r="X283" s="1313"/>
      <c r="Y283" s="1313"/>
      <c r="Z283" s="1320"/>
      <c r="AA283" s="1320"/>
      <c r="AB283" s="1320"/>
      <c r="AC283" s="1320"/>
      <c r="AD283" s="1333"/>
      <c r="AE283" s="1333"/>
      <c r="AF283" s="1333"/>
      <c r="AG283" s="1321" t="e">
        <f>ROUND(W283*AD283,2)</f>
        <v>#REF!</v>
      </c>
      <c r="AH283" s="1321"/>
      <c r="AI283" s="1321"/>
      <c r="AJ283" s="1321"/>
      <c r="AK283" s="1326"/>
      <c r="AL283" s="1326"/>
      <c r="AM283" s="1326"/>
      <c r="AN283" s="1326"/>
      <c r="AO283" s="1326"/>
      <c r="AP283" s="1317" t="e">
        <f>'PLANILHA '!#REF!</f>
        <v>#REF!</v>
      </c>
      <c r="AQ283" s="1317"/>
      <c r="AR283" s="1317"/>
      <c r="AS283" s="1317"/>
      <c r="AT283" s="1317"/>
      <c r="AU283" s="1322" t="e">
        <f>AK283+AP283</f>
        <v>#REF!</v>
      </c>
      <c r="AV283" s="1322"/>
      <c r="AW283" s="1322"/>
      <c r="AX283" s="1322"/>
      <c r="AY283" s="1322"/>
      <c r="AZ283" s="1323" t="e">
        <f>$W283*AK283</f>
        <v>#REF!</v>
      </c>
      <c r="BA283" s="1323"/>
      <c r="BB283" s="1323"/>
      <c r="BC283" s="1323"/>
      <c r="BD283" s="1323" t="e">
        <f>$W283*AP283</f>
        <v>#REF!</v>
      </c>
      <c r="BE283" s="1323"/>
      <c r="BF283" s="1323"/>
      <c r="BG283" s="1323"/>
      <c r="BH283" s="1323"/>
      <c r="BI283" s="1323" t="e">
        <f>ROUND(AZ283+BD283,2)</f>
        <v>#REF!</v>
      </c>
      <c r="BJ283" s="1323"/>
      <c r="BK283" s="1323"/>
      <c r="BL283" s="1323"/>
      <c r="BM283" s="1323"/>
      <c r="BN283" s="1324" t="str">
        <f>IF(AD283&lt;&gt;"",AG283/Z283,"")</f>
        <v/>
      </c>
      <c r="BO283" s="1324"/>
      <c r="BP283" s="1324"/>
    </row>
    <row r="284" spans="1:68" s="361" customFormat="1" ht="12.75" customHeight="1">
      <c r="A284" s="355"/>
      <c r="B284" s="1310" t="e">
        <f>'PLANILHA '!#REF!</f>
        <v>#REF!</v>
      </c>
      <c r="C284" s="1310"/>
      <c r="D284" s="1311" t="e">
        <f>'PLANILHA '!#REF!</f>
        <v>#REF!</v>
      </c>
      <c r="E284" s="1311"/>
      <c r="F284" s="1311"/>
      <c r="G284" s="1311"/>
      <c r="H284" s="1311"/>
      <c r="I284" s="1311"/>
      <c r="J284" s="1311"/>
      <c r="K284" s="1311"/>
      <c r="L284" s="1311"/>
      <c r="M284" s="1311"/>
      <c r="N284" s="1311"/>
      <c r="O284" s="1311"/>
      <c r="P284" s="1311"/>
      <c r="Q284" s="1311"/>
      <c r="R284" s="1312" t="e">
        <f>'PLANILHA '!#REF!</f>
        <v>#REF!</v>
      </c>
      <c r="S284" s="1312"/>
      <c r="T284" s="1313" t="e">
        <f>'PLANILHA '!#REF!</f>
        <v>#REF!</v>
      </c>
      <c r="U284" s="1313"/>
      <c r="V284" s="1313"/>
      <c r="W284" s="1313" t="e">
        <f>'PLANILHA '!#REF!</f>
        <v>#REF!</v>
      </c>
      <c r="X284" s="1313"/>
      <c r="Y284" s="1313"/>
      <c r="Z284" s="1320"/>
      <c r="AA284" s="1320"/>
      <c r="AB284" s="1320"/>
      <c r="AC284" s="1320"/>
      <c r="AD284" s="1333"/>
      <c r="AE284" s="1333"/>
      <c r="AF284" s="1333"/>
      <c r="AG284" s="1321" t="e">
        <f>ROUND(W284*AD284,2)</f>
        <v>#REF!</v>
      </c>
      <c r="AH284" s="1321"/>
      <c r="AI284" s="1321"/>
      <c r="AJ284" s="1321"/>
      <c r="AK284" s="1326"/>
      <c r="AL284" s="1326"/>
      <c r="AM284" s="1326"/>
      <c r="AN284" s="1326"/>
      <c r="AO284" s="1326"/>
      <c r="AP284" s="1317" t="e">
        <f>'PLANILHA '!#REF!</f>
        <v>#REF!</v>
      </c>
      <c r="AQ284" s="1317"/>
      <c r="AR284" s="1317"/>
      <c r="AS284" s="1317"/>
      <c r="AT284" s="1317"/>
      <c r="AU284" s="1322" t="e">
        <f>AK284+AP284</f>
        <v>#REF!</v>
      </c>
      <c r="AV284" s="1322"/>
      <c r="AW284" s="1322"/>
      <c r="AX284" s="1322"/>
      <c r="AY284" s="1322"/>
      <c r="AZ284" s="1323" t="e">
        <f>$W284*AK284</f>
        <v>#REF!</v>
      </c>
      <c r="BA284" s="1323"/>
      <c r="BB284" s="1323"/>
      <c r="BC284" s="1323"/>
      <c r="BD284" s="1323" t="e">
        <f>$W284*AP284</f>
        <v>#REF!</v>
      </c>
      <c r="BE284" s="1323"/>
      <c r="BF284" s="1323"/>
      <c r="BG284" s="1323"/>
      <c r="BH284" s="1323"/>
      <c r="BI284" s="1323" t="e">
        <f>ROUND(AZ284+BD284,2)</f>
        <v>#REF!</v>
      </c>
      <c r="BJ284" s="1323"/>
      <c r="BK284" s="1323"/>
      <c r="BL284" s="1323"/>
      <c r="BM284" s="1323"/>
      <c r="BN284" s="1324" t="str">
        <f>IF(AD284&lt;&gt;"",AG284/Z284,"")</f>
        <v/>
      </c>
      <c r="BO284" s="1324"/>
      <c r="BP284" s="1324"/>
    </row>
    <row r="285" spans="1:68" s="361" customFormat="1" ht="12.75" customHeight="1">
      <c r="A285" s="355"/>
      <c r="B285" s="1310" t="e">
        <f>'PLANILHA '!#REF!</f>
        <v>#REF!</v>
      </c>
      <c r="C285" s="1310"/>
      <c r="D285" s="1311" t="e">
        <f>'PLANILHA '!#REF!</f>
        <v>#REF!</v>
      </c>
      <c r="E285" s="1311"/>
      <c r="F285" s="1311"/>
      <c r="G285" s="1311"/>
      <c r="H285" s="1311"/>
      <c r="I285" s="1311"/>
      <c r="J285" s="1311"/>
      <c r="K285" s="1311"/>
      <c r="L285" s="1311"/>
      <c r="M285" s="1311"/>
      <c r="N285" s="1311"/>
      <c r="O285" s="1311"/>
      <c r="P285" s="1311"/>
      <c r="Q285" s="1311"/>
      <c r="R285" s="1312" t="e">
        <f>'PLANILHA '!#REF!</f>
        <v>#REF!</v>
      </c>
      <c r="S285" s="1312"/>
      <c r="T285" s="1313" t="e">
        <f>'PLANILHA '!#REF!</f>
        <v>#REF!</v>
      </c>
      <c r="U285" s="1313"/>
      <c r="V285" s="1313"/>
      <c r="W285" s="1313" t="e">
        <f>'PLANILHA '!#REF!</f>
        <v>#REF!</v>
      </c>
      <c r="X285" s="1313"/>
      <c r="Y285" s="1313"/>
      <c r="Z285" s="1320"/>
      <c r="AA285" s="1320"/>
      <c r="AB285" s="1320"/>
      <c r="AC285" s="1320"/>
      <c r="AD285" s="1333"/>
      <c r="AE285" s="1333"/>
      <c r="AF285" s="1333"/>
      <c r="AG285" s="1321" t="e">
        <f>ROUND(W285*AD285,2)</f>
        <v>#REF!</v>
      </c>
      <c r="AH285" s="1321"/>
      <c r="AI285" s="1321"/>
      <c r="AJ285" s="1321"/>
      <c r="AK285" s="1326"/>
      <c r="AL285" s="1326"/>
      <c r="AM285" s="1326"/>
      <c r="AN285" s="1326"/>
      <c r="AO285" s="1326"/>
      <c r="AP285" s="1317" t="e">
        <f>'PLANILHA '!#REF!</f>
        <v>#REF!</v>
      </c>
      <c r="AQ285" s="1317"/>
      <c r="AR285" s="1317"/>
      <c r="AS285" s="1317"/>
      <c r="AT285" s="1317"/>
      <c r="AU285" s="1322" t="e">
        <f>AK285+AP285</f>
        <v>#REF!</v>
      </c>
      <c r="AV285" s="1322"/>
      <c r="AW285" s="1322"/>
      <c r="AX285" s="1322"/>
      <c r="AY285" s="1322"/>
      <c r="AZ285" s="1323" t="e">
        <f>$W285*AK285</f>
        <v>#REF!</v>
      </c>
      <c r="BA285" s="1323"/>
      <c r="BB285" s="1323"/>
      <c r="BC285" s="1323"/>
      <c r="BD285" s="1323" t="e">
        <f>$W285*AP285</f>
        <v>#REF!</v>
      </c>
      <c r="BE285" s="1323"/>
      <c r="BF285" s="1323"/>
      <c r="BG285" s="1323"/>
      <c r="BH285" s="1323"/>
      <c r="BI285" s="1323" t="e">
        <f>ROUND(AZ285+BD285,2)</f>
        <v>#REF!</v>
      </c>
      <c r="BJ285" s="1323"/>
      <c r="BK285" s="1323"/>
      <c r="BL285" s="1323"/>
      <c r="BM285" s="1323"/>
      <c r="BN285" s="1324" t="str">
        <f>IF(AD285&lt;&gt;"",AG285/Z285,"")</f>
        <v/>
      </c>
      <c r="BO285" s="1324"/>
      <c r="BP285" s="1324"/>
    </row>
    <row r="286" spans="1:68" s="361" customFormat="1" ht="12.75" customHeight="1">
      <c r="A286" s="355"/>
      <c r="B286" s="1310" t="e">
        <f>'PLANILHA '!#REF!</f>
        <v>#REF!</v>
      </c>
      <c r="C286" s="1310"/>
      <c r="D286" s="1311" t="e">
        <f>'PLANILHA '!#REF!</f>
        <v>#REF!</v>
      </c>
      <c r="E286" s="1311"/>
      <c r="F286" s="1311"/>
      <c r="G286" s="1311"/>
      <c r="H286" s="1311"/>
      <c r="I286" s="1311"/>
      <c r="J286" s="1311"/>
      <c r="K286" s="1311"/>
      <c r="L286" s="1311"/>
      <c r="M286" s="1311"/>
      <c r="N286" s="1311"/>
      <c r="O286" s="1311"/>
      <c r="P286" s="1311"/>
      <c r="Q286" s="1311"/>
      <c r="R286" s="1312" t="e">
        <f>'PLANILHA '!#REF!</f>
        <v>#REF!</v>
      </c>
      <c r="S286" s="1312"/>
      <c r="T286" s="1313" t="e">
        <f>'PLANILHA '!#REF!</f>
        <v>#REF!</v>
      </c>
      <c r="U286" s="1313"/>
      <c r="V286" s="1313"/>
      <c r="W286" s="1313" t="e">
        <f>'PLANILHA '!#REF!</f>
        <v>#REF!</v>
      </c>
      <c r="X286" s="1313"/>
      <c r="Y286" s="1313"/>
      <c r="Z286" s="1320"/>
      <c r="AA286" s="1320"/>
      <c r="AB286" s="1320"/>
      <c r="AC286" s="1320"/>
      <c r="AD286" s="1333"/>
      <c r="AE286" s="1333"/>
      <c r="AF286" s="1333"/>
      <c r="AG286" s="1321" t="e">
        <f>ROUND(W286*AD286,2)</f>
        <v>#REF!</v>
      </c>
      <c r="AH286" s="1321"/>
      <c r="AI286" s="1321"/>
      <c r="AJ286" s="1321"/>
      <c r="AK286" s="1326"/>
      <c r="AL286" s="1326"/>
      <c r="AM286" s="1326"/>
      <c r="AN286" s="1326"/>
      <c r="AO286" s="1326"/>
      <c r="AP286" s="1317" t="e">
        <f>'PLANILHA '!#REF!</f>
        <v>#REF!</v>
      </c>
      <c r="AQ286" s="1317"/>
      <c r="AR286" s="1317"/>
      <c r="AS286" s="1317"/>
      <c r="AT286" s="1317"/>
      <c r="AU286" s="1322" t="e">
        <f>AK286+AP286</f>
        <v>#REF!</v>
      </c>
      <c r="AV286" s="1322"/>
      <c r="AW286" s="1322"/>
      <c r="AX286" s="1322"/>
      <c r="AY286" s="1322"/>
      <c r="AZ286" s="1323" t="e">
        <f>$W286*AK286</f>
        <v>#REF!</v>
      </c>
      <c r="BA286" s="1323"/>
      <c r="BB286" s="1323"/>
      <c r="BC286" s="1323"/>
      <c r="BD286" s="1323" t="e">
        <f>$W286*AP286</f>
        <v>#REF!</v>
      </c>
      <c r="BE286" s="1323"/>
      <c r="BF286" s="1323"/>
      <c r="BG286" s="1323"/>
      <c r="BH286" s="1323"/>
      <c r="BI286" s="1323" t="e">
        <f>ROUND(AZ286+BD286,2)</f>
        <v>#REF!</v>
      </c>
      <c r="BJ286" s="1323"/>
      <c r="BK286" s="1323"/>
      <c r="BL286" s="1323"/>
      <c r="BM286" s="1323"/>
      <c r="BN286" s="1324" t="str">
        <f>IF(AD286&lt;&gt;"",AG286/Z286,"")</f>
        <v/>
      </c>
      <c r="BO286" s="1324"/>
      <c r="BP286" s="1324"/>
    </row>
    <row r="287" spans="1:68" s="361" customFormat="1" ht="12.75" customHeight="1">
      <c r="A287" s="355"/>
      <c r="B287" s="1310" t="e">
        <f>'PLANILHA '!#REF!</f>
        <v>#REF!</v>
      </c>
      <c r="C287" s="1310"/>
      <c r="D287" s="1311" t="e">
        <f>'PLANILHA '!#REF!</f>
        <v>#REF!</v>
      </c>
      <c r="E287" s="1311"/>
      <c r="F287" s="1311"/>
      <c r="G287" s="1311"/>
      <c r="H287" s="1311"/>
      <c r="I287" s="1311"/>
      <c r="J287" s="1311"/>
      <c r="K287" s="1311"/>
      <c r="L287" s="1311"/>
      <c r="M287" s="1311"/>
      <c r="N287" s="1311"/>
      <c r="O287" s="1311"/>
      <c r="P287" s="1311"/>
      <c r="Q287" s="1311"/>
      <c r="R287" s="1312" t="e">
        <f>'PLANILHA '!#REF!</f>
        <v>#REF!</v>
      </c>
      <c r="S287" s="1312"/>
      <c r="T287" s="1313" t="e">
        <f>'PLANILHA '!#REF!</f>
        <v>#REF!</v>
      </c>
      <c r="U287" s="1313"/>
      <c r="V287" s="1313"/>
      <c r="W287" s="1313" t="e">
        <f>'PLANILHA '!#REF!</f>
        <v>#REF!</v>
      </c>
      <c r="X287" s="1313"/>
      <c r="Y287" s="1313"/>
      <c r="Z287" s="1325"/>
      <c r="AA287" s="1325"/>
      <c r="AB287" s="1325"/>
      <c r="AC287" s="1325"/>
      <c r="AD287" s="1333"/>
      <c r="AE287" s="1333"/>
      <c r="AF287" s="1333"/>
      <c r="AG287" s="1321" t="e">
        <f>ROUND(W287*AD287,2)</f>
        <v>#REF!</v>
      </c>
      <c r="AH287" s="1321"/>
      <c r="AI287" s="1321"/>
      <c r="AJ287" s="1321"/>
      <c r="AK287" s="396"/>
      <c r="AL287" s="397"/>
      <c r="AM287" s="397"/>
      <c r="AN287" s="397"/>
      <c r="AO287" s="398"/>
      <c r="AP287" s="1317" t="e">
        <f>'PLANILHA '!#REF!</f>
        <v>#REF!</v>
      </c>
      <c r="AQ287" s="1317"/>
      <c r="AR287" s="1317"/>
      <c r="AS287" s="1317"/>
      <c r="AT287" s="1317"/>
      <c r="AU287" s="399"/>
      <c r="AV287" s="400"/>
      <c r="AW287" s="400"/>
      <c r="AX287" s="400"/>
      <c r="AY287" s="401"/>
      <c r="AZ287" s="1331" t="e">
        <f>SUM(AZ27:BC286)</f>
        <v>#REF!</v>
      </c>
      <c r="BA287" s="1331"/>
      <c r="BB287" s="1331"/>
      <c r="BC287" s="1331"/>
      <c r="BD287" s="1323" t="e">
        <f>$W286*AP286</f>
        <v>#REF!</v>
      </c>
      <c r="BE287" s="1323"/>
      <c r="BF287" s="1323"/>
      <c r="BG287" s="1323"/>
      <c r="BH287" s="1323"/>
      <c r="BI287" s="1331" t="e">
        <f>SUM(BI27:BM286)</f>
        <v>#REF!</v>
      </c>
      <c r="BJ287" s="1331"/>
      <c r="BK287" s="1331"/>
      <c r="BL287" s="1331"/>
      <c r="BM287" s="1331"/>
      <c r="BN287" s="402"/>
      <c r="BO287" s="403"/>
      <c r="BP287" s="404"/>
    </row>
    <row r="288" spans="1:68" s="361" customFormat="1" ht="12.75" customHeight="1">
      <c r="A288" s="355"/>
      <c r="B288" s="1310" t="e">
        <f>'PLANILHA '!#REF!</f>
        <v>#REF!</v>
      </c>
      <c r="C288" s="1310"/>
      <c r="D288" s="1311" t="e">
        <f>'PLANILHA '!#REF!</f>
        <v>#REF!</v>
      </c>
      <c r="E288" s="1311"/>
      <c r="F288" s="1311"/>
      <c r="G288" s="1311"/>
      <c r="H288" s="1311"/>
      <c r="I288" s="1311"/>
      <c r="J288" s="1311"/>
      <c r="K288" s="1311"/>
      <c r="L288" s="1311"/>
      <c r="M288" s="1311"/>
      <c r="N288" s="1311"/>
      <c r="O288" s="1311"/>
      <c r="P288" s="1311"/>
      <c r="Q288" s="1311"/>
      <c r="R288" s="1312" t="e">
        <f>'PLANILHA '!#REF!</f>
        <v>#REF!</v>
      </c>
      <c r="S288" s="1312"/>
      <c r="T288" s="1313" t="e">
        <f>'PLANILHA '!#REF!</f>
        <v>#REF!</v>
      </c>
      <c r="U288" s="1313"/>
      <c r="V288" s="1313"/>
      <c r="W288" s="1313" t="e">
        <f>'PLANILHA '!#REF!</f>
        <v>#REF!</v>
      </c>
      <c r="X288" s="1313"/>
      <c r="Y288" s="1313"/>
      <c r="Z288" s="1320"/>
      <c r="AA288" s="1320"/>
      <c r="AB288" s="1320"/>
      <c r="AC288" s="1320"/>
      <c r="AD288" s="1315"/>
      <c r="AE288" s="1315"/>
      <c r="AF288" s="1315"/>
      <c r="AG288" s="1316"/>
      <c r="AH288" s="1316"/>
      <c r="AI288" s="1316"/>
      <c r="AJ288" s="1316"/>
      <c r="AK288" s="1315"/>
      <c r="AL288" s="1315"/>
      <c r="AM288" s="1315"/>
      <c r="AN288" s="1315"/>
      <c r="AO288" s="1315"/>
      <c r="AP288" s="1317" t="e">
        <f>'PLANILHA '!#REF!</f>
        <v>#REF!</v>
      </c>
      <c r="AQ288" s="1317"/>
      <c r="AR288" s="1317"/>
      <c r="AS288" s="1317"/>
      <c r="AT288" s="1317"/>
      <c r="AU288" s="1316"/>
      <c r="AV288" s="1316"/>
      <c r="AW288" s="1316"/>
      <c r="AX288" s="1316"/>
      <c r="AY288" s="1316"/>
      <c r="AZ288" s="1316"/>
      <c r="BA288" s="1316"/>
      <c r="BB288" s="1316"/>
      <c r="BC288" s="1316"/>
      <c r="BD288" s="1316"/>
      <c r="BE288" s="1316"/>
      <c r="BF288" s="1316"/>
      <c r="BG288" s="1316"/>
      <c r="BH288" s="1316"/>
      <c r="BI288" s="1316"/>
      <c r="BJ288" s="1316"/>
      <c r="BK288" s="1316"/>
      <c r="BL288" s="1316"/>
      <c r="BM288" s="1316"/>
      <c r="BN288" s="1318"/>
      <c r="BO288" s="1318"/>
      <c r="BP288" s="1318"/>
    </row>
    <row r="289" spans="1:68" s="361" customFormat="1" ht="12.75" customHeight="1">
      <c r="A289" s="355"/>
      <c r="B289" s="1310" t="e">
        <f>'PLANILHA '!#REF!</f>
        <v>#REF!</v>
      </c>
      <c r="C289" s="1310"/>
      <c r="D289" s="1311" t="e">
        <f>'PLANILHA '!#REF!</f>
        <v>#REF!</v>
      </c>
      <c r="E289" s="1311"/>
      <c r="F289" s="1311"/>
      <c r="G289" s="1311"/>
      <c r="H289" s="1311"/>
      <c r="I289" s="1311"/>
      <c r="J289" s="1311"/>
      <c r="K289" s="1311"/>
      <c r="L289" s="1311"/>
      <c r="M289" s="1311"/>
      <c r="N289" s="1311"/>
      <c r="O289" s="1311"/>
      <c r="P289" s="1311"/>
      <c r="Q289" s="1311"/>
      <c r="R289" s="1312" t="e">
        <f>'PLANILHA '!#REF!</f>
        <v>#REF!</v>
      </c>
      <c r="S289" s="1312"/>
      <c r="T289" s="1313" t="e">
        <f>'PLANILHA '!#REF!</f>
        <v>#REF!</v>
      </c>
      <c r="U289" s="1313"/>
      <c r="V289" s="1313"/>
      <c r="W289" s="1313" t="e">
        <f>'PLANILHA '!#REF!</f>
        <v>#REF!</v>
      </c>
      <c r="X289" s="1313"/>
      <c r="Y289" s="1313"/>
      <c r="Z289" s="1320"/>
      <c r="AA289" s="1320"/>
      <c r="AB289" s="1320"/>
      <c r="AC289" s="1320"/>
      <c r="AD289" s="1333"/>
      <c r="AE289" s="1333"/>
      <c r="AF289" s="1333"/>
      <c r="AG289" s="1321" t="e">
        <f>ROUND(W289*AD289,2)</f>
        <v>#REF!</v>
      </c>
      <c r="AH289" s="1321"/>
      <c r="AI289" s="1321"/>
      <c r="AJ289" s="1321"/>
      <c r="AK289" s="1326"/>
      <c r="AL289" s="1326"/>
      <c r="AM289" s="1326"/>
      <c r="AN289" s="1326"/>
      <c r="AO289" s="1326"/>
      <c r="AP289" s="1317" t="e">
        <f>'PLANILHA '!#REF!</f>
        <v>#REF!</v>
      </c>
      <c r="AQ289" s="1317"/>
      <c r="AR289" s="1317"/>
      <c r="AS289" s="1317"/>
      <c r="AT289" s="1317"/>
      <c r="AU289" s="1322" t="e">
        <f>AK289+AP289</f>
        <v>#REF!</v>
      </c>
      <c r="AV289" s="1322"/>
      <c r="AW289" s="1322"/>
      <c r="AX289" s="1322"/>
      <c r="AY289" s="1322"/>
      <c r="AZ289" s="1323" t="e">
        <f>$W289*AK289</f>
        <v>#REF!</v>
      </c>
      <c r="BA289" s="1323"/>
      <c r="BB289" s="1323"/>
      <c r="BC289" s="1323"/>
      <c r="BD289" s="1323" t="e">
        <f>$W289*AP289</f>
        <v>#REF!</v>
      </c>
      <c r="BE289" s="1323"/>
      <c r="BF289" s="1323"/>
      <c r="BG289" s="1323"/>
      <c r="BH289" s="1323"/>
      <c r="BI289" s="1323" t="e">
        <f>ROUND(AZ289+BD289,2)</f>
        <v>#REF!</v>
      </c>
      <c r="BJ289" s="1323"/>
      <c r="BK289" s="1323"/>
      <c r="BL289" s="1323"/>
      <c r="BM289" s="1323"/>
      <c r="BN289" s="1324" t="str">
        <f>IF(AD289&lt;&gt;"",AG289/Z289,"")</f>
        <v/>
      </c>
      <c r="BO289" s="1324"/>
      <c r="BP289" s="1324"/>
    </row>
    <row r="290" spans="1:68" s="361" customFormat="1" ht="12.75" customHeight="1">
      <c r="A290" s="355"/>
      <c r="B290" s="1310" t="e">
        <f>'PLANILHA '!#REF!</f>
        <v>#REF!</v>
      </c>
      <c r="C290" s="1310"/>
      <c r="D290" s="1311" t="e">
        <f>'PLANILHA '!#REF!</f>
        <v>#REF!</v>
      </c>
      <c r="E290" s="1311"/>
      <c r="F290" s="1311"/>
      <c r="G290" s="1311"/>
      <c r="H290" s="1311"/>
      <c r="I290" s="1311"/>
      <c r="J290" s="1311"/>
      <c r="K290" s="1311"/>
      <c r="L290" s="1311"/>
      <c r="M290" s="1311"/>
      <c r="N290" s="1311"/>
      <c r="O290" s="1311"/>
      <c r="P290" s="1311"/>
      <c r="Q290" s="1311"/>
      <c r="R290" s="1312" t="e">
        <f>'PLANILHA '!#REF!</f>
        <v>#REF!</v>
      </c>
      <c r="S290" s="1312"/>
      <c r="T290" s="1313" t="e">
        <f>'PLANILHA '!#REF!</f>
        <v>#REF!</v>
      </c>
      <c r="U290" s="1313"/>
      <c r="V290" s="1313"/>
      <c r="W290" s="1313" t="e">
        <f>'PLANILHA '!#REF!</f>
        <v>#REF!</v>
      </c>
      <c r="X290" s="1313"/>
      <c r="Y290" s="1313"/>
      <c r="Z290" s="1320"/>
      <c r="AA290" s="1320"/>
      <c r="AB290" s="1320"/>
      <c r="AC290" s="1320"/>
      <c r="AD290" s="1315"/>
      <c r="AE290" s="1315"/>
      <c r="AF290" s="1315"/>
      <c r="AG290" s="1321" t="e">
        <f>ROUND(W290*AD290,2)</f>
        <v>#REF!</v>
      </c>
      <c r="AH290" s="1321"/>
      <c r="AI290" s="1321"/>
      <c r="AJ290" s="1321"/>
      <c r="AK290" s="1327"/>
      <c r="AL290" s="1327"/>
      <c r="AM290" s="1327"/>
      <c r="AN290" s="1327"/>
      <c r="AO290" s="1327"/>
      <c r="AP290" s="1317" t="e">
        <f>'PLANILHA '!#REF!</f>
        <v>#REF!</v>
      </c>
      <c r="AQ290" s="1317"/>
      <c r="AR290" s="1317"/>
      <c r="AS290" s="1317"/>
      <c r="AT290" s="1317"/>
      <c r="AU290" s="1322" t="e">
        <f>AK290+AP290</f>
        <v>#REF!</v>
      </c>
      <c r="AV290" s="1322"/>
      <c r="AW290" s="1322"/>
      <c r="AX290" s="1322"/>
      <c r="AY290" s="1322"/>
      <c r="AZ290" s="1323" t="e">
        <f>$W290*AK290</f>
        <v>#REF!</v>
      </c>
      <c r="BA290" s="1323"/>
      <c r="BB290" s="1323"/>
      <c r="BC290" s="1323"/>
      <c r="BD290" s="1323" t="e">
        <f>$W290*AP290</f>
        <v>#REF!</v>
      </c>
      <c r="BE290" s="1323"/>
      <c r="BF290" s="1323"/>
      <c r="BG290" s="1323"/>
      <c r="BH290" s="1323"/>
      <c r="BI290" s="1323" t="e">
        <f>ROUND(AZ290+BD290,2)</f>
        <v>#REF!</v>
      </c>
      <c r="BJ290" s="1323"/>
      <c r="BK290" s="1323"/>
      <c r="BL290" s="1323"/>
      <c r="BM290" s="1323"/>
      <c r="BN290" s="1318"/>
      <c r="BO290" s="1318"/>
      <c r="BP290" s="1318"/>
    </row>
    <row r="291" spans="1:68" s="361" customFormat="1" ht="12.75" customHeight="1">
      <c r="A291" s="355"/>
      <c r="B291" s="1310" t="e">
        <f>'PLANILHA '!#REF!</f>
        <v>#REF!</v>
      </c>
      <c r="C291" s="1310"/>
      <c r="D291" s="1311" t="e">
        <f>'PLANILHA '!#REF!</f>
        <v>#REF!</v>
      </c>
      <c r="E291" s="1311"/>
      <c r="F291" s="1311"/>
      <c r="G291" s="1311"/>
      <c r="H291" s="1311"/>
      <c r="I291" s="1311"/>
      <c r="J291" s="1311"/>
      <c r="K291" s="1311"/>
      <c r="L291" s="1311"/>
      <c r="M291" s="1311"/>
      <c r="N291" s="1311"/>
      <c r="O291" s="1311"/>
      <c r="P291" s="1311"/>
      <c r="Q291" s="1311"/>
      <c r="R291" s="1312" t="e">
        <f>'PLANILHA '!#REF!</f>
        <v>#REF!</v>
      </c>
      <c r="S291" s="1312"/>
      <c r="T291" s="1313" t="e">
        <f>'PLANILHA '!#REF!</f>
        <v>#REF!</v>
      </c>
      <c r="U291" s="1313"/>
      <c r="V291" s="1313"/>
      <c r="W291" s="1313" t="e">
        <f>'PLANILHA '!#REF!</f>
        <v>#REF!</v>
      </c>
      <c r="X291" s="1313"/>
      <c r="Y291" s="1313"/>
      <c r="Z291" s="1320"/>
      <c r="AA291" s="1320"/>
      <c r="AB291" s="1320"/>
      <c r="AC291" s="1320"/>
      <c r="AD291" s="1315"/>
      <c r="AE291" s="1315"/>
      <c r="AF291" s="1315"/>
      <c r="AG291" s="1321" t="e">
        <f>ROUND(W291*AD291,2)</f>
        <v>#REF!</v>
      </c>
      <c r="AH291" s="1321"/>
      <c r="AI291" s="1321"/>
      <c r="AJ291" s="1321"/>
      <c r="AK291" s="1327"/>
      <c r="AL291" s="1327"/>
      <c r="AM291" s="1327"/>
      <c r="AN291" s="1327"/>
      <c r="AO291" s="1327"/>
      <c r="AP291" s="1317" t="e">
        <f>'PLANILHA '!#REF!</f>
        <v>#REF!</v>
      </c>
      <c r="AQ291" s="1317"/>
      <c r="AR291" s="1317"/>
      <c r="AS291" s="1317"/>
      <c r="AT291" s="1317"/>
      <c r="AU291" s="1322" t="e">
        <f>AK291+AP291</f>
        <v>#REF!</v>
      </c>
      <c r="AV291" s="1322"/>
      <c r="AW291" s="1322"/>
      <c r="AX291" s="1322"/>
      <c r="AY291" s="1322"/>
      <c r="AZ291" s="1323" t="e">
        <f>$W291*AK291</f>
        <v>#REF!</v>
      </c>
      <c r="BA291" s="1323"/>
      <c r="BB291" s="1323"/>
      <c r="BC291" s="1323"/>
      <c r="BD291" s="1323" t="e">
        <f>$W291*AP291</f>
        <v>#REF!</v>
      </c>
      <c r="BE291" s="1323"/>
      <c r="BF291" s="1323"/>
      <c r="BG291" s="1323"/>
      <c r="BH291" s="1323"/>
      <c r="BI291" s="1323" t="e">
        <f>ROUND(AZ291+BD291,2)</f>
        <v>#REF!</v>
      </c>
      <c r="BJ291" s="1323"/>
      <c r="BK291" s="1323"/>
      <c r="BL291" s="1323"/>
      <c r="BM291" s="1323"/>
      <c r="BN291" s="1318" t="s">
        <v>1550</v>
      </c>
      <c r="BO291" s="1318"/>
      <c r="BP291" s="1318"/>
    </row>
    <row r="292" spans="1:68" s="361" customFormat="1" ht="12.75" customHeight="1">
      <c r="A292" s="355"/>
      <c r="B292" s="1310" t="e">
        <f>'PLANILHA '!#REF!</f>
        <v>#REF!</v>
      </c>
      <c r="C292" s="1310"/>
      <c r="D292" s="1311" t="e">
        <f>'PLANILHA '!#REF!</f>
        <v>#REF!</v>
      </c>
      <c r="E292" s="1311"/>
      <c r="F292" s="1311"/>
      <c r="G292" s="1311"/>
      <c r="H292" s="1311"/>
      <c r="I292" s="1311"/>
      <c r="J292" s="1311"/>
      <c r="K292" s="1311"/>
      <c r="L292" s="1311"/>
      <c r="M292" s="1311"/>
      <c r="N292" s="1311"/>
      <c r="O292" s="1311"/>
      <c r="P292" s="1311"/>
      <c r="Q292" s="1311"/>
      <c r="R292" s="1312" t="e">
        <f>'PLANILHA '!#REF!</f>
        <v>#REF!</v>
      </c>
      <c r="S292" s="1312"/>
      <c r="T292" s="1313" t="e">
        <f>'PLANILHA '!#REF!</f>
        <v>#REF!</v>
      </c>
      <c r="U292" s="1313"/>
      <c r="V292" s="1313"/>
      <c r="W292" s="1313" t="e">
        <f>'PLANILHA '!#REF!</f>
        <v>#REF!</v>
      </c>
      <c r="X292" s="1313"/>
      <c r="Y292" s="1313"/>
      <c r="Z292" s="1320"/>
      <c r="AA292" s="1320"/>
      <c r="AB292" s="1320"/>
      <c r="AC292" s="1320"/>
      <c r="AD292" s="1315"/>
      <c r="AE292" s="1315"/>
      <c r="AF292" s="1315"/>
      <c r="AG292" s="1321" t="e">
        <f>ROUND(W292*AD292,2)</f>
        <v>#REF!</v>
      </c>
      <c r="AH292" s="1321"/>
      <c r="AI292" s="1321"/>
      <c r="AJ292" s="1321"/>
      <c r="AK292" s="1327"/>
      <c r="AL292" s="1327"/>
      <c r="AM292" s="1327"/>
      <c r="AN292" s="1327"/>
      <c r="AO292" s="1327"/>
      <c r="AP292" s="1317" t="e">
        <f>'PLANILHA '!#REF!</f>
        <v>#REF!</v>
      </c>
      <c r="AQ292" s="1317"/>
      <c r="AR292" s="1317"/>
      <c r="AS292" s="1317"/>
      <c r="AT292" s="1317"/>
      <c r="AU292" s="1322" t="e">
        <f>AK292+AP292</f>
        <v>#REF!</v>
      </c>
      <c r="AV292" s="1322"/>
      <c r="AW292" s="1322"/>
      <c r="AX292" s="1322"/>
      <c r="AY292" s="1322"/>
      <c r="AZ292" s="1323" t="e">
        <f>$W292*AK292</f>
        <v>#REF!</v>
      </c>
      <c r="BA292" s="1323"/>
      <c r="BB292" s="1323"/>
      <c r="BC292" s="1323"/>
      <c r="BD292" s="1323" t="e">
        <f>$W292*AP292</f>
        <v>#REF!</v>
      </c>
      <c r="BE292" s="1323"/>
      <c r="BF292" s="1323"/>
      <c r="BG292" s="1323"/>
      <c r="BH292" s="1323"/>
      <c r="BI292" s="1323" t="e">
        <f>ROUND(AZ292+BD292,2)</f>
        <v>#REF!</v>
      </c>
      <c r="BJ292" s="1323"/>
      <c r="BK292" s="1323"/>
      <c r="BL292" s="1323"/>
      <c r="BM292" s="1323"/>
      <c r="BN292" s="1318"/>
      <c r="BO292" s="1318"/>
      <c r="BP292" s="1318"/>
    </row>
    <row r="293" spans="1:68" s="361" customFormat="1" ht="12.75" customHeight="1">
      <c r="A293" s="355"/>
      <c r="B293" s="1310" t="e">
        <f>'PLANILHA '!#REF!</f>
        <v>#REF!</v>
      </c>
      <c r="C293" s="1310"/>
      <c r="D293" s="1311" t="e">
        <f>'PLANILHA '!#REF!</f>
        <v>#REF!</v>
      </c>
      <c r="E293" s="1311"/>
      <c r="F293" s="1311"/>
      <c r="G293" s="1311"/>
      <c r="H293" s="1311"/>
      <c r="I293" s="1311"/>
      <c r="J293" s="1311"/>
      <c r="K293" s="1311"/>
      <c r="L293" s="1311"/>
      <c r="M293" s="1311"/>
      <c r="N293" s="1311"/>
      <c r="O293" s="1311"/>
      <c r="P293" s="1311"/>
      <c r="Q293" s="1311"/>
      <c r="R293" s="1312" t="e">
        <f>'PLANILHA '!#REF!</f>
        <v>#REF!</v>
      </c>
      <c r="S293" s="1312"/>
      <c r="T293" s="1313" t="e">
        <f>'PLANILHA '!#REF!</f>
        <v>#REF!</v>
      </c>
      <c r="U293" s="1313"/>
      <c r="V293" s="1313"/>
      <c r="W293" s="1313" t="e">
        <f>'PLANILHA '!#REF!</f>
        <v>#REF!</v>
      </c>
      <c r="X293" s="1313"/>
      <c r="Y293" s="1313"/>
      <c r="Z293" s="1325"/>
      <c r="AA293" s="1325"/>
      <c r="AB293" s="1325"/>
      <c r="AC293" s="1325"/>
      <c r="AD293" s="1315"/>
      <c r="AE293" s="1315"/>
      <c r="AF293" s="1315"/>
      <c r="AG293" s="1316"/>
      <c r="AH293" s="1316"/>
      <c r="AI293" s="1316"/>
      <c r="AJ293" s="1316"/>
      <c r="AK293" s="1315"/>
      <c r="AL293" s="1315"/>
      <c r="AM293" s="1315"/>
      <c r="AN293" s="1315"/>
      <c r="AO293" s="1315"/>
      <c r="AP293" s="1317" t="e">
        <f>'PLANILHA '!#REF!</f>
        <v>#REF!</v>
      </c>
      <c r="AQ293" s="1317"/>
      <c r="AR293" s="1317"/>
      <c r="AS293" s="1317"/>
      <c r="AT293" s="1317"/>
      <c r="AU293" s="1322" t="e">
        <f>AK293+AP293</f>
        <v>#REF!</v>
      </c>
      <c r="AV293" s="1322"/>
      <c r="AW293" s="1322"/>
      <c r="AX293" s="1322"/>
      <c r="AY293" s="1322"/>
      <c r="AZ293" s="1331" t="e">
        <f>SUM(AZ289:BC292)</f>
        <v>#REF!</v>
      </c>
      <c r="BA293" s="1331"/>
      <c r="BB293" s="1331"/>
      <c r="BC293" s="1331"/>
      <c r="BD293" s="1323" t="e">
        <f>$W293*AP293</f>
        <v>#REF!</v>
      </c>
      <c r="BE293" s="1323"/>
      <c r="BF293" s="1323"/>
      <c r="BG293" s="1323"/>
      <c r="BH293" s="1323"/>
      <c r="BI293" s="1331" t="e">
        <f>SUM(BI289:BM292)</f>
        <v>#REF!</v>
      </c>
      <c r="BJ293" s="1331"/>
      <c r="BK293" s="1331"/>
      <c r="BL293" s="1331"/>
      <c r="BM293" s="1331"/>
      <c r="BN293" s="1318"/>
      <c r="BO293" s="1318"/>
      <c r="BP293" s="1318"/>
    </row>
    <row r="294" spans="1:68" s="361" customFormat="1" ht="12.75" customHeight="1">
      <c r="A294" s="355"/>
      <c r="B294" s="1310" t="e">
        <f>'PLANILHA '!#REF!</f>
        <v>#REF!</v>
      </c>
      <c r="C294" s="1310"/>
      <c r="D294" s="1311" t="e">
        <f>'PLANILHA '!#REF!</f>
        <v>#REF!</v>
      </c>
      <c r="E294" s="1311"/>
      <c r="F294" s="1311"/>
      <c r="G294" s="1311"/>
      <c r="H294" s="1311"/>
      <c r="I294" s="1311"/>
      <c r="J294" s="1311"/>
      <c r="K294" s="1311"/>
      <c r="L294" s="1311"/>
      <c r="M294" s="1311"/>
      <c r="N294" s="1311"/>
      <c r="O294" s="1311"/>
      <c r="P294" s="1311"/>
      <c r="Q294" s="1311"/>
      <c r="R294" s="1312" t="e">
        <f>'PLANILHA '!#REF!</f>
        <v>#REF!</v>
      </c>
      <c r="S294" s="1312"/>
      <c r="T294" s="1313" t="e">
        <f>'PLANILHA '!#REF!</f>
        <v>#REF!</v>
      </c>
      <c r="U294" s="1313"/>
      <c r="V294" s="1313"/>
      <c r="W294" s="1313" t="e">
        <f>'PLANILHA '!#REF!</f>
        <v>#REF!</v>
      </c>
      <c r="X294" s="1313"/>
      <c r="Y294" s="1313"/>
      <c r="Z294" s="1320"/>
      <c r="AA294" s="1320"/>
      <c r="AB294" s="1320"/>
      <c r="AC294" s="1320"/>
      <c r="AD294" s="1315"/>
      <c r="AE294" s="1315"/>
      <c r="AF294" s="1315"/>
      <c r="AG294" s="1321"/>
      <c r="AH294" s="1321"/>
      <c r="AI294" s="1321"/>
      <c r="AJ294" s="1321"/>
      <c r="AK294" s="1328"/>
      <c r="AL294" s="1328"/>
      <c r="AM294" s="1328"/>
      <c r="AN294" s="1328"/>
      <c r="AO294" s="1328"/>
      <c r="AP294" s="1317" t="e">
        <f>'PLANILHA '!#REF!</f>
        <v>#REF!</v>
      </c>
      <c r="AQ294" s="1317"/>
      <c r="AR294" s="1317"/>
      <c r="AS294" s="1317"/>
      <c r="AT294" s="1317"/>
      <c r="AU294" s="1322"/>
      <c r="AV294" s="1322"/>
      <c r="AW294" s="1322"/>
      <c r="AX294" s="1322"/>
      <c r="AY294" s="1322"/>
      <c r="AZ294" s="1323"/>
      <c r="BA294" s="1323"/>
      <c r="BB294" s="1323"/>
      <c r="BC294" s="1323"/>
      <c r="BD294" s="1323"/>
      <c r="BE294" s="1323"/>
      <c r="BF294" s="1323"/>
      <c r="BG294" s="1323"/>
      <c r="BH294" s="1323"/>
      <c r="BI294" s="1323"/>
      <c r="BJ294" s="1323"/>
      <c r="BK294" s="1323"/>
      <c r="BL294" s="1323"/>
      <c r="BM294" s="1323"/>
      <c r="BN294" s="1318"/>
      <c r="BO294" s="1318"/>
      <c r="BP294" s="1318"/>
    </row>
    <row r="295" spans="1:68" s="361" customFormat="1" ht="12.75" customHeight="1">
      <c r="A295" s="355"/>
      <c r="B295" s="1310" t="e">
        <f>'PLANILHA '!#REF!</f>
        <v>#REF!</v>
      </c>
      <c r="C295" s="1310"/>
      <c r="D295" s="1311"/>
      <c r="E295" s="1311"/>
      <c r="F295" s="1311"/>
      <c r="G295" s="1311"/>
      <c r="H295" s="1311"/>
      <c r="I295" s="1311"/>
      <c r="J295" s="1311"/>
      <c r="K295" s="1311"/>
      <c r="L295" s="1311"/>
      <c r="M295" s="1311"/>
      <c r="N295" s="1311"/>
      <c r="O295" s="1311"/>
      <c r="P295" s="1311"/>
      <c r="Q295" s="1311"/>
      <c r="R295" s="1312" t="e">
        <f>'PLANILHA '!#REF!</f>
        <v>#REF!</v>
      </c>
      <c r="S295" s="1312"/>
      <c r="T295" s="1313" t="e">
        <f>'PLANILHA '!#REF!</f>
        <v>#REF!</v>
      </c>
      <c r="U295" s="1313"/>
      <c r="V295" s="1313"/>
      <c r="W295" s="1313" t="e">
        <f>'PLANILHA '!#REF!</f>
        <v>#REF!</v>
      </c>
      <c r="X295" s="1313"/>
      <c r="Y295" s="1313"/>
      <c r="Z295" s="1320"/>
      <c r="AA295" s="1320"/>
      <c r="AB295" s="1320"/>
      <c r="AC295" s="1320"/>
      <c r="AD295" s="1315"/>
      <c r="AE295" s="1315"/>
      <c r="AF295" s="1315"/>
      <c r="AG295" s="1321" t="e">
        <f t="shared" ref="AG295:AG301" si="37">ROUND(W295*AD295,2)</f>
        <v>#REF!</v>
      </c>
      <c r="AH295" s="1321"/>
      <c r="AI295" s="1321"/>
      <c r="AJ295" s="1321"/>
      <c r="AK295" s="1327"/>
      <c r="AL295" s="1327"/>
      <c r="AM295" s="1327"/>
      <c r="AN295" s="1327"/>
      <c r="AO295" s="1327"/>
      <c r="AP295" s="1317" t="e">
        <f>'PLANILHA '!#REF!</f>
        <v>#REF!</v>
      </c>
      <c r="AQ295" s="1317"/>
      <c r="AR295" s="1317"/>
      <c r="AS295" s="1317"/>
      <c r="AT295" s="1317"/>
      <c r="AU295" s="1322" t="e">
        <f>AK295+AP295</f>
        <v>#REF!</v>
      </c>
      <c r="AV295" s="1322"/>
      <c r="AW295" s="1322"/>
      <c r="AX295" s="1322"/>
      <c r="AY295" s="1322"/>
      <c r="AZ295" s="1323" t="e">
        <f t="shared" ref="AZ295:AZ302" si="38">$W295*AK295</f>
        <v>#REF!</v>
      </c>
      <c r="BA295" s="1323"/>
      <c r="BB295" s="1323"/>
      <c r="BC295" s="1323"/>
      <c r="BD295" s="1323" t="e">
        <f t="shared" ref="BD295:BD302" si="39">$W295*AP295</f>
        <v>#REF!</v>
      </c>
      <c r="BE295" s="1323"/>
      <c r="BF295" s="1323"/>
      <c r="BG295" s="1323"/>
      <c r="BH295" s="1323"/>
      <c r="BI295" s="1323" t="e">
        <f t="shared" ref="BI295:BI302" si="40">ROUND(AZ295+BD295,2)</f>
        <v>#REF!</v>
      </c>
      <c r="BJ295" s="1323"/>
      <c r="BK295" s="1323"/>
      <c r="BL295" s="1323"/>
      <c r="BM295" s="1323"/>
      <c r="BN295" s="1318"/>
      <c r="BO295" s="1318"/>
      <c r="BP295" s="1318"/>
    </row>
    <row r="296" spans="1:68" s="361" customFormat="1" ht="12.75" customHeight="1">
      <c r="A296" s="355"/>
      <c r="B296" s="1310">
        <f>'PLANILHA '!A48</f>
        <v>7</v>
      </c>
      <c r="C296" s="1310"/>
      <c r="D296" s="1311" t="str">
        <f>'PLANILHA '!D48</f>
        <v>PINTURA</v>
      </c>
      <c r="E296" s="1311"/>
      <c r="F296" s="1311"/>
      <c r="G296" s="1311"/>
      <c r="H296" s="1311"/>
      <c r="I296" s="1311"/>
      <c r="J296" s="1311"/>
      <c r="K296" s="1311"/>
      <c r="L296" s="1311"/>
      <c r="M296" s="1311"/>
      <c r="N296" s="1311"/>
      <c r="O296" s="1311"/>
      <c r="P296" s="1311"/>
      <c r="Q296" s="1311"/>
      <c r="R296" s="1312">
        <f>'PLANILHA '!E48</f>
        <v>0</v>
      </c>
      <c r="S296" s="1312"/>
      <c r="T296" s="1313">
        <f>'PLANILHA '!G48</f>
        <v>0</v>
      </c>
      <c r="U296" s="1313"/>
      <c r="V296" s="1313"/>
      <c r="W296" s="1329">
        <f>'PLANILHA '!F48</f>
        <v>0</v>
      </c>
      <c r="X296" s="1329"/>
      <c r="Y296" s="1329"/>
      <c r="Z296" s="1320"/>
      <c r="AA296" s="1320"/>
      <c r="AB296" s="1320"/>
      <c r="AC296" s="1320"/>
      <c r="AD296" s="1315"/>
      <c r="AE296" s="1315"/>
      <c r="AF296" s="1315"/>
      <c r="AG296" s="1321">
        <f t="shared" si="37"/>
        <v>0</v>
      </c>
      <c r="AH296" s="1321"/>
      <c r="AI296" s="1321"/>
      <c r="AJ296" s="1321"/>
      <c r="AK296" s="1328"/>
      <c r="AL296" s="1328"/>
      <c r="AM296" s="1328"/>
      <c r="AN296" s="1328"/>
      <c r="AO296" s="1328"/>
      <c r="AP296" s="1317" t="e">
        <f>'PLANILHA '!#REF!</f>
        <v>#REF!</v>
      </c>
      <c r="AQ296" s="1317"/>
      <c r="AR296" s="1317"/>
      <c r="AS296" s="1317"/>
      <c r="AT296" s="1317"/>
      <c r="AU296" s="1322" t="e">
        <f>AK296+AP296</f>
        <v>#REF!</v>
      </c>
      <c r="AV296" s="1322"/>
      <c r="AW296" s="1322"/>
      <c r="AX296" s="1322"/>
      <c r="AY296" s="1322"/>
      <c r="AZ296" s="1323">
        <f t="shared" si="38"/>
        <v>0</v>
      </c>
      <c r="BA296" s="1323"/>
      <c r="BB296" s="1323"/>
      <c r="BC296" s="1323"/>
      <c r="BD296" s="1323" t="e">
        <f t="shared" si="39"/>
        <v>#REF!</v>
      </c>
      <c r="BE296" s="1323"/>
      <c r="BF296" s="1323"/>
      <c r="BG296" s="1323"/>
      <c r="BH296" s="1323"/>
      <c r="BI296" s="1323" t="e">
        <f t="shared" si="40"/>
        <v>#REF!</v>
      </c>
      <c r="BJ296" s="1323"/>
      <c r="BK296" s="1323"/>
      <c r="BL296" s="1323"/>
      <c r="BM296" s="1323"/>
      <c r="BN296" s="1318"/>
      <c r="BO296" s="1318"/>
      <c r="BP296" s="1318"/>
    </row>
    <row r="297" spans="1:68" s="361" customFormat="1" ht="12.75" customHeight="1">
      <c r="A297" s="355"/>
      <c r="B297" s="1310" t="str">
        <f>'PLANILHA '!A49</f>
        <v>7.1</v>
      </c>
      <c r="C297" s="1310"/>
      <c r="D297" s="1311" t="str">
        <f>'PLANILHA '!D49</f>
        <v>Pintura em alvenaria e concreto</v>
      </c>
      <c r="E297" s="1311"/>
      <c r="F297" s="1311"/>
      <c r="G297" s="1311"/>
      <c r="H297" s="1311"/>
      <c r="I297" s="1311"/>
      <c r="J297" s="1311"/>
      <c r="K297" s="1311"/>
      <c r="L297" s="1311"/>
      <c r="M297" s="1311"/>
      <c r="N297" s="1311"/>
      <c r="O297" s="1311"/>
      <c r="P297" s="1311"/>
      <c r="Q297" s="1311"/>
      <c r="R297" s="1312">
        <f>'PLANILHA '!E49</f>
        <v>0</v>
      </c>
      <c r="S297" s="1312"/>
      <c r="T297" s="1313">
        <f>'PLANILHA '!G49</f>
        <v>0</v>
      </c>
      <c r="U297" s="1313"/>
      <c r="V297" s="1313"/>
      <c r="W297" s="1329">
        <f>'PLANILHA '!F49</f>
        <v>0</v>
      </c>
      <c r="X297" s="1329"/>
      <c r="Y297" s="1329"/>
      <c r="Z297" s="1320"/>
      <c r="AA297" s="1320"/>
      <c r="AB297" s="1320"/>
      <c r="AC297" s="1320"/>
      <c r="AD297" s="1315"/>
      <c r="AE297" s="1315"/>
      <c r="AF297" s="1315"/>
      <c r="AG297" s="1321">
        <f t="shared" si="37"/>
        <v>0</v>
      </c>
      <c r="AH297" s="1321"/>
      <c r="AI297" s="1321"/>
      <c r="AJ297" s="1321"/>
      <c r="AK297" s="1327"/>
      <c r="AL297" s="1327"/>
      <c r="AM297" s="1327"/>
      <c r="AN297" s="1327"/>
      <c r="AO297" s="1327"/>
      <c r="AP297" s="1317" t="e">
        <f>'PLANILHA '!#REF!</f>
        <v>#REF!</v>
      </c>
      <c r="AQ297" s="1317"/>
      <c r="AR297" s="1317"/>
      <c r="AS297" s="1317"/>
      <c r="AT297" s="1317"/>
      <c r="AU297" s="1322" t="e">
        <f>AK297+AP297</f>
        <v>#REF!</v>
      </c>
      <c r="AV297" s="1322"/>
      <c r="AW297" s="1322"/>
      <c r="AX297" s="1322"/>
      <c r="AY297" s="1322"/>
      <c r="AZ297" s="1323">
        <f t="shared" si="38"/>
        <v>0</v>
      </c>
      <c r="BA297" s="1323"/>
      <c r="BB297" s="1323"/>
      <c r="BC297" s="1323"/>
      <c r="BD297" s="1323" t="e">
        <f t="shared" si="39"/>
        <v>#REF!</v>
      </c>
      <c r="BE297" s="1323"/>
      <c r="BF297" s="1323"/>
      <c r="BG297" s="1323"/>
      <c r="BH297" s="1323"/>
      <c r="BI297" s="1323" t="e">
        <f t="shared" si="40"/>
        <v>#REF!</v>
      </c>
      <c r="BJ297" s="1323"/>
      <c r="BK297" s="1323"/>
      <c r="BL297" s="1323"/>
      <c r="BM297" s="1323"/>
      <c r="BN297" s="1318"/>
      <c r="BO297" s="1318"/>
      <c r="BP297" s="1318"/>
    </row>
    <row r="298" spans="1:68" s="361" customFormat="1" ht="12.75" customHeight="1">
      <c r="A298" s="355"/>
      <c r="B298" s="1310" t="str">
        <f>'PLANILHA '!A51</f>
        <v>7.1.2</v>
      </c>
      <c r="C298" s="1310"/>
      <c r="D298" s="1311" t="str">
        <f>'PLANILHA '!D51</f>
        <v>Tinta látex antimofo em massa, inclusive preparo</v>
      </c>
      <c r="E298" s="1311"/>
      <c r="F298" s="1311"/>
      <c r="G298" s="1311"/>
      <c r="H298" s="1311"/>
      <c r="I298" s="1311"/>
      <c r="J298" s="1311"/>
      <c r="K298" s="1311"/>
      <c r="L298" s="1311"/>
      <c r="M298" s="1311"/>
      <c r="N298" s="1311"/>
      <c r="O298" s="1311"/>
      <c r="P298" s="1311"/>
      <c r="Q298" s="1311"/>
      <c r="R298" s="1312" t="str">
        <f>'PLANILHA '!E51</f>
        <v>m2</v>
      </c>
      <c r="S298" s="1312"/>
      <c r="T298" s="1330">
        <f>'PLANILHA '!G51</f>
        <v>1247.8699999999999</v>
      </c>
      <c r="U298" s="1330"/>
      <c r="V298" s="1330"/>
      <c r="W298" s="1329">
        <f>'PLANILHA '!F51</f>
        <v>17.2</v>
      </c>
      <c r="X298" s="1329"/>
      <c r="Y298" s="1329"/>
      <c r="Z298" s="1320"/>
      <c r="AA298" s="1320"/>
      <c r="AB298" s="1320"/>
      <c r="AC298" s="1320"/>
      <c r="AD298" s="1315"/>
      <c r="AE298" s="1315"/>
      <c r="AF298" s="1315"/>
      <c r="AG298" s="1321">
        <f t="shared" si="37"/>
        <v>0</v>
      </c>
      <c r="AH298" s="1321"/>
      <c r="AI298" s="1321"/>
      <c r="AJ298" s="1321"/>
      <c r="AK298" s="1327"/>
      <c r="AL298" s="1327"/>
      <c r="AM298" s="1327"/>
      <c r="AN298" s="1327"/>
      <c r="AO298" s="1327"/>
      <c r="AP298" s="1317" t="e">
        <f>'PLANILHA '!#REF!</f>
        <v>#REF!</v>
      </c>
      <c r="AQ298" s="1317"/>
      <c r="AR298" s="1317"/>
      <c r="AS298" s="1317"/>
      <c r="AT298" s="1317"/>
      <c r="AU298" s="1322" t="e">
        <f>AK298+AP298</f>
        <v>#REF!</v>
      </c>
      <c r="AV298" s="1322"/>
      <c r="AW298" s="1322"/>
      <c r="AX298" s="1322"/>
      <c r="AY298" s="1322"/>
      <c r="AZ298" s="1323">
        <f t="shared" si="38"/>
        <v>0</v>
      </c>
      <c r="BA298" s="1323"/>
      <c r="BB298" s="1323"/>
      <c r="BC298" s="1323"/>
      <c r="BD298" s="1323" t="e">
        <f t="shared" si="39"/>
        <v>#REF!</v>
      </c>
      <c r="BE298" s="1323"/>
      <c r="BF298" s="1323"/>
      <c r="BG298" s="1323"/>
      <c r="BH298" s="1323"/>
      <c r="BI298" s="1323" t="e">
        <f t="shared" si="40"/>
        <v>#REF!</v>
      </c>
      <c r="BJ298" s="1323"/>
      <c r="BK298" s="1323"/>
      <c r="BL298" s="1323"/>
      <c r="BM298" s="1323"/>
      <c r="BN298" s="1318"/>
      <c r="BO298" s="1318"/>
      <c r="BP298" s="1318"/>
    </row>
    <row r="299" spans="1:68" s="361" customFormat="1" ht="12.75" customHeight="1">
      <c r="A299" s="355"/>
      <c r="B299" s="1310" t="e">
        <f>'PLANILHA '!#REF!</f>
        <v>#REF!</v>
      </c>
      <c r="C299" s="1310"/>
      <c r="D299" s="1311" t="e">
        <f>'PLANILHA '!#REF!</f>
        <v>#REF!</v>
      </c>
      <c r="E299" s="1311"/>
      <c r="F299" s="1311"/>
      <c r="G299" s="1311"/>
      <c r="H299" s="1311"/>
      <c r="I299" s="1311"/>
      <c r="J299" s="1311"/>
      <c r="K299" s="1311"/>
      <c r="L299" s="1311"/>
      <c r="M299" s="1311"/>
      <c r="N299" s="1311"/>
      <c r="O299" s="1311"/>
      <c r="P299" s="1311"/>
      <c r="Q299" s="1311"/>
      <c r="R299" s="1312" t="e">
        <f>'PLANILHA '!#REF!</f>
        <v>#REF!</v>
      </c>
      <c r="S299" s="1312"/>
      <c r="T299" s="1313" t="e">
        <f>'PLANILHA '!#REF!</f>
        <v>#REF!</v>
      </c>
      <c r="U299" s="1313"/>
      <c r="V299" s="1313"/>
      <c r="W299" s="1313" t="e">
        <f>'PLANILHA '!#REF!</f>
        <v>#REF!</v>
      </c>
      <c r="X299" s="1313"/>
      <c r="Y299" s="1313"/>
      <c r="Z299" s="1320"/>
      <c r="AA299" s="1320"/>
      <c r="AB299" s="1320"/>
      <c r="AC299" s="1320"/>
      <c r="AD299" s="1315"/>
      <c r="AE299" s="1315"/>
      <c r="AF299" s="1315"/>
      <c r="AG299" s="1321" t="e">
        <f t="shared" si="37"/>
        <v>#REF!</v>
      </c>
      <c r="AH299" s="1321"/>
      <c r="AI299" s="1321"/>
      <c r="AJ299" s="1321"/>
      <c r="AK299" s="1315"/>
      <c r="AL299" s="1315"/>
      <c r="AM299" s="1315"/>
      <c r="AN299" s="1315"/>
      <c r="AO299" s="1315"/>
      <c r="AP299" s="1317" t="e">
        <f>'PLANILHA '!#REF!</f>
        <v>#REF!</v>
      </c>
      <c r="AQ299" s="1317"/>
      <c r="AR299" s="1317"/>
      <c r="AS299" s="1317"/>
      <c r="AT299" s="1317"/>
      <c r="AU299" s="1322" t="e">
        <f>AK299+AP299</f>
        <v>#REF!</v>
      </c>
      <c r="AV299" s="1322"/>
      <c r="AW299" s="1322"/>
      <c r="AX299" s="1322"/>
      <c r="AY299" s="1322"/>
      <c r="AZ299" s="1323" t="e">
        <f t="shared" si="38"/>
        <v>#REF!</v>
      </c>
      <c r="BA299" s="1323"/>
      <c r="BB299" s="1323"/>
      <c r="BC299" s="1323"/>
      <c r="BD299" s="1323" t="e">
        <f t="shared" si="39"/>
        <v>#REF!</v>
      </c>
      <c r="BE299" s="1323"/>
      <c r="BF299" s="1323"/>
      <c r="BG299" s="1323"/>
      <c r="BH299" s="1323"/>
      <c r="BI299" s="1323" t="e">
        <f t="shared" si="40"/>
        <v>#REF!</v>
      </c>
      <c r="BJ299" s="1323"/>
      <c r="BK299" s="1323"/>
      <c r="BL299" s="1323"/>
      <c r="BM299" s="1323"/>
      <c r="BN299" s="1318"/>
      <c r="BO299" s="1318"/>
      <c r="BP299" s="1318"/>
    </row>
    <row r="300" spans="1:68" s="361" customFormat="1" ht="12.75" customHeight="1">
      <c r="A300" s="355"/>
      <c r="B300" s="1310" t="e">
        <f>'PLANILHA '!#REF!</f>
        <v>#REF!</v>
      </c>
      <c r="C300" s="1310"/>
      <c r="D300" s="1311" t="e">
        <f>'PLANILHA '!#REF!</f>
        <v>#REF!</v>
      </c>
      <c r="E300" s="1311"/>
      <c r="F300" s="1311"/>
      <c r="G300" s="1311"/>
      <c r="H300" s="1311"/>
      <c r="I300" s="1311"/>
      <c r="J300" s="1311"/>
      <c r="K300" s="1311"/>
      <c r="L300" s="1311"/>
      <c r="M300" s="1311"/>
      <c r="N300" s="1311"/>
      <c r="O300" s="1311"/>
      <c r="P300" s="1311"/>
      <c r="Q300" s="1311"/>
      <c r="R300" s="1312" t="e">
        <f>'PLANILHA '!#REF!</f>
        <v>#REF!</v>
      </c>
      <c r="S300" s="1312"/>
      <c r="T300" s="1313" t="e">
        <f>'PLANILHA '!#REF!</f>
        <v>#REF!</v>
      </c>
      <c r="U300" s="1313"/>
      <c r="V300" s="1313"/>
      <c r="W300" s="1313" t="e">
        <f>'PLANILHA '!#REF!</f>
        <v>#REF!</v>
      </c>
      <c r="X300" s="1313"/>
      <c r="Y300" s="1313"/>
      <c r="Z300" s="1320"/>
      <c r="AA300" s="1320"/>
      <c r="AB300" s="1320"/>
      <c r="AC300" s="1320"/>
      <c r="AD300" s="1315"/>
      <c r="AE300" s="1315"/>
      <c r="AF300" s="1315"/>
      <c r="AG300" s="1321" t="e">
        <f t="shared" si="37"/>
        <v>#REF!</v>
      </c>
      <c r="AH300" s="1321"/>
      <c r="AI300" s="1321"/>
      <c r="AJ300" s="1321"/>
      <c r="AK300" s="1315"/>
      <c r="AL300" s="1315"/>
      <c r="AM300" s="1315"/>
      <c r="AN300" s="1315"/>
      <c r="AO300" s="1315"/>
      <c r="AP300" s="1317" t="e">
        <f>'PLANILHA '!#REF!</f>
        <v>#REF!</v>
      </c>
      <c r="AQ300" s="1317"/>
      <c r="AR300" s="1317"/>
      <c r="AS300" s="1317"/>
      <c r="AT300" s="1317"/>
      <c r="AU300" s="1316"/>
      <c r="AV300" s="1316"/>
      <c r="AW300" s="1316"/>
      <c r="AX300" s="1316"/>
      <c r="AY300" s="1316"/>
      <c r="AZ300" s="1323" t="e">
        <f t="shared" si="38"/>
        <v>#REF!</v>
      </c>
      <c r="BA300" s="1323"/>
      <c r="BB300" s="1323"/>
      <c r="BC300" s="1323"/>
      <c r="BD300" s="1323" t="e">
        <f t="shared" si="39"/>
        <v>#REF!</v>
      </c>
      <c r="BE300" s="1323"/>
      <c r="BF300" s="1323"/>
      <c r="BG300" s="1323"/>
      <c r="BH300" s="1323"/>
      <c r="BI300" s="1323" t="e">
        <f t="shared" si="40"/>
        <v>#REF!</v>
      </c>
      <c r="BJ300" s="1323"/>
      <c r="BK300" s="1323"/>
      <c r="BL300" s="1323"/>
      <c r="BM300" s="1323"/>
      <c r="BN300" s="1318"/>
      <c r="BO300" s="1318"/>
      <c r="BP300" s="1318"/>
    </row>
    <row r="301" spans="1:68" s="361" customFormat="1" ht="12.75" customHeight="1">
      <c r="A301" s="355"/>
      <c r="B301" s="1310" t="str">
        <f>'PLANILHA '!A53</f>
        <v>7.2</v>
      </c>
      <c r="C301" s="1310"/>
      <c r="D301" s="1311" t="str">
        <f>'PLANILHA '!D53</f>
        <v xml:space="preserve">Pintura em esquadrias </v>
      </c>
      <c r="E301" s="1311"/>
      <c r="F301" s="1311"/>
      <c r="G301" s="1311"/>
      <c r="H301" s="1311"/>
      <c r="I301" s="1311"/>
      <c r="J301" s="1311"/>
      <c r="K301" s="1311"/>
      <c r="L301" s="1311"/>
      <c r="M301" s="1311"/>
      <c r="N301" s="1311"/>
      <c r="O301" s="1311"/>
      <c r="P301" s="1311"/>
      <c r="Q301" s="1311"/>
      <c r="R301" s="1312">
        <f>'PLANILHA '!E53</f>
        <v>0</v>
      </c>
      <c r="S301" s="1312"/>
      <c r="T301" s="1313">
        <f>'PLANILHA '!G53</f>
        <v>0</v>
      </c>
      <c r="U301" s="1313"/>
      <c r="V301" s="1313"/>
      <c r="W301" s="1329">
        <f>'PLANILHA '!F53</f>
        <v>0</v>
      </c>
      <c r="X301" s="1329"/>
      <c r="Y301" s="1329"/>
      <c r="Z301" s="1320"/>
      <c r="AA301" s="1320"/>
      <c r="AB301" s="1320"/>
      <c r="AC301" s="1320"/>
      <c r="AD301" s="1333"/>
      <c r="AE301" s="1333"/>
      <c r="AF301" s="1333"/>
      <c r="AG301" s="1321">
        <f t="shared" si="37"/>
        <v>0</v>
      </c>
      <c r="AH301" s="1321"/>
      <c r="AI301" s="1321"/>
      <c r="AJ301" s="1321"/>
      <c r="AK301" s="1326"/>
      <c r="AL301" s="1326"/>
      <c r="AM301" s="1326"/>
      <c r="AN301" s="1326"/>
      <c r="AO301" s="1326"/>
      <c r="AP301" s="1317" t="e">
        <f>'PLANILHA '!#REF!</f>
        <v>#REF!</v>
      </c>
      <c r="AQ301" s="1317"/>
      <c r="AR301" s="1317"/>
      <c r="AS301" s="1317"/>
      <c r="AT301" s="1317"/>
      <c r="AU301" s="1322" t="e">
        <f>AK301+AP301</f>
        <v>#REF!</v>
      </c>
      <c r="AV301" s="1322"/>
      <c r="AW301" s="1322"/>
      <c r="AX301" s="1322"/>
      <c r="AY301" s="1322"/>
      <c r="AZ301" s="1323">
        <f t="shared" si="38"/>
        <v>0</v>
      </c>
      <c r="BA301" s="1323"/>
      <c r="BB301" s="1323"/>
      <c r="BC301" s="1323"/>
      <c r="BD301" s="1323" t="e">
        <f t="shared" si="39"/>
        <v>#REF!</v>
      </c>
      <c r="BE301" s="1323"/>
      <c r="BF301" s="1323"/>
      <c r="BG301" s="1323"/>
      <c r="BH301" s="1323"/>
      <c r="BI301" s="1323" t="e">
        <f t="shared" si="40"/>
        <v>#REF!</v>
      </c>
      <c r="BJ301" s="1323"/>
      <c r="BK301" s="1323"/>
      <c r="BL301" s="1323"/>
      <c r="BM301" s="1323"/>
      <c r="BN301" s="1324" t="str">
        <f>IF(AD301&lt;&gt;"",AG301/Z301,"")</f>
        <v/>
      </c>
      <c r="BO301" s="1324"/>
      <c r="BP301" s="1324"/>
    </row>
    <row r="302" spans="1:68" s="361" customFormat="1" ht="12.75" customHeight="1">
      <c r="A302" s="355"/>
      <c r="B302" s="1310" t="str">
        <f>'PLANILHA '!A54</f>
        <v>7.2.1</v>
      </c>
      <c r="C302" s="1310"/>
      <c r="D302" s="1311" t="str">
        <f>'PLANILHA '!D54</f>
        <v>Esmalte em superfície de madeira, inclusive preparo</v>
      </c>
      <c r="E302" s="1311"/>
      <c r="F302" s="1311"/>
      <c r="G302" s="1311"/>
      <c r="H302" s="1311"/>
      <c r="I302" s="1311"/>
      <c r="J302" s="1311"/>
      <c r="K302" s="1311"/>
      <c r="L302" s="1311"/>
      <c r="M302" s="1311"/>
      <c r="N302" s="1311"/>
      <c r="O302" s="1311"/>
      <c r="P302" s="1311"/>
      <c r="Q302" s="1311"/>
      <c r="R302" s="1312" t="str">
        <f>'PLANILHA '!E54</f>
        <v>m2</v>
      </c>
      <c r="S302" s="1312"/>
      <c r="T302" s="1330">
        <f>'PLANILHA '!G54</f>
        <v>15.48</v>
      </c>
      <c r="U302" s="1330"/>
      <c r="V302" s="1330"/>
      <c r="W302" s="1329">
        <f>'PLANILHA '!F54</f>
        <v>27.09</v>
      </c>
      <c r="X302" s="1329"/>
      <c r="Y302" s="1329"/>
      <c r="Z302" s="1320"/>
      <c r="AA302" s="1320"/>
      <c r="AB302" s="1320"/>
      <c r="AC302" s="1320"/>
      <c r="AD302" s="1315"/>
      <c r="AE302" s="1315"/>
      <c r="AF302" s="1315"/>
      <c r="AG302" s="1321">
        <f>ROUND(W301*AD301,2)</f>
        <v>0</v>
      </c>
      <c r="AH302" s="1321"/>
      <c r="AI302" s="1321"/>
      <c r="AJ302" s="1321"/>
      <c r="AK302" s="1328"/>
      <c r="AL302" s="1328"/>
      <c r="AM302" s="1328"/>
      <c r="AN302" s="1328"/>
      <c r="AO302" s="1328"/>
      <c r="AP302" s="1317" t="e">
        <f>'PLANILHA '!#REF!</f>
        <v>#REF!</v>
      </c>
      <c r="AQ302" s="1317"/>
      <c r="AR302" s="1317"/>
      <c r="AS302" s="1317"/>
      <c r="AT302" s="1317"/>
      <c r="AU302" s="1322" t="e">
        <f>AK302+AP302</f>
        <v>#REF!</v>
      </c>
      <c r="AV302" s="1322"/>
      <c r="AW302" s="1322"/>
      <c r="AX302" s="1322"/>
      <c r="AY302" s="1322"/>
      <c r="AZ302" s="1323">
        <f t="shared" si="38"/>
        <v>0</v>
      </c>
      <c r="BA302" s="1323"/>
      <c r="BB302" s="1323"/>
      <c r="BC302" s="1323"/>
      <c r="BD302" s="1323" t="e">
        <f t="shared" si="39"/>
        <v>#REF!</v>
      </c>
      <c r="BE302" s="1323"/>
      <c r="BF302" s="1323"/>
      <c r="BG302" s="1323"/>
      <c r="BH302" s="1323"/>
      <c r="BI302" s="1323" t="e">
        <f t="shared" si="40"/>
        <v>#REF!</v>
      </c>
      <c r="BJ302" s="1323"/>
      <c r="BK302" s="1323"/>
      <c r="BL302" s="1323"/>
      <c r="BM302" s="1323"/>
      <c r="BN302" s="1318"/>
      <c r="BO302" s="1318"/>
      <c r="BP302" s="1318"/>
    </row>
    <row r="303" spans="1:68" s="361" customFormat="1" ht="12.75" customHeight="1">
      <c r="A303" s="355"/>
      <c r="B303" s="1310">
        <f>'PLANILHA '!A56</f>
        <v>0</v>
      </c>
      <c r="C303" s="1310"/>
      <c r="D303" s="1311"/>
      <c r="E303" s="1311"/>
      <c r="F303" s="1311"/>
      <c r="G303" s="1311"/>
      <c r="H303" s="1311"/>
      <c r="I303" s="1311"/>
      <c r="J303" s="1311"/>
      <c r="K303" s="1311"/>
      <c r="L303" s="1311"/>
      <c r="M303" s="1311"/>
      <c r="N303" s="1311"/>
      <c r="O303" s="1311"/>
      <c r="P303" s="1311"/>
      <c r="Q303" s="1311"/>
      <c r="R303" s="1312">
        <f>'PLANILHA '!E56</f>
        <v>0</v>
      </c>
      <c r="S303" s="1312"/>
      <c r="T303" s="1313">
        <f>'PLANILHA '!G56</f>
        <v>0</v>
      </c>
      <c r="U303" s="1313"/>
      <c r="V303" s="1313"/>
      <c r="W303" s="1329">
        <f>'PLANILHA '!F56</f>
        <v>0</v>
      </c>
      <c r="X303" s="1329"/>
      <c r="Y303" s="1329"/>
      <c r="Z303" s="1325"/>
      <c r="AA303" s="1325"/>
      <c r="AB303" s="1325"/>
      <c r="AC303" s="1325"/>
      <c r="AD303" s="1333"/>
      <c r="AE303" s="1333"/>
      <c r="AF303" s="1333"/>
      <c r="AG303" s="1321"/>
      <c r="AH303" s="1321"/>
      <c r="AI303" s="1321"/>
      <c r="AJ303" s="1321"/>
      <c r="AK303" s="396"/>
      <c r="AL303" s="397"/>
      <c r="AM303" s="397"/>
      <c r="AN303" s="397"/>
      <c r="AO303" s="398"/>
      <c r="AP303" s="1317" t="e">
        <f>'PLANILHA '!#REF!</f>
        <v>#REF!</v>
      </c>
      <c r="AQ303" s="1317"/>
      <c r="AR303" s="1317"/>
      <c r="AS303" s="1317"/>
      <c r="AT303" s="1317"/>
      <c r="AU303" s="399"/>
      <c r="AV303" s="400"/>
      <c r="AW303" s="400"/>
      <c r="AX303" s="400"/>
      <c r="AY303" s="401"/>
      <c r="AZ303" s="1331" t="e">
        <f>SUM(AZ295:BC302)</f>
        <v>#REF!</v>
      </c>
      <c r="BA303" s="1331"/>
      <c r="BB303" s="1331"/>
      <c r="BC303" s="1331"/>
      <c r="BD303" s="1331"/>
      <c r="BE303" s="1331"/>
      <c r="BF303" s="1331"/>
      <c r="BG303" s="1331"/>
      <c r="BH303" s="1331"/>
      <c r="BI303" s="1331" t="e">
        <f>SUM(BI295:BM302)</f>
        <v>#REF!</v>
      </c>
      <c r="BJ303" s="1331"/>
      <c r="BK303" s="1331"/>
      <c r="BL303" s="1331"/>
      <c r="BM303" s="1331"/>
      <c r="BN303" s="402"/>
      <c r="BO303" s="403"/>
      <c r="BP303" s="404"/>
    </row>
    <row r="304" spans="1:68" s="361" customFormat="1" ht="12.75" customHeight="1">
      <c r="A304" s="355"/>
      <c r="B304" s="1310" t="e">
        <f>'PLANILHA '!#REF!</f>
        <v>#REF!</v>
      </c>
      <c r="C304" s="1310"/>
      <c r="D304" s="1311" t="e">
        <f>'PLANILHA '!#REF!</f>
        <v>#REF!</v>
      </c>
      <c r="E304" s="1311"/>
      <c r="F304" s="1311"/>
      <c r="G304" s="1311"/>
      <c r="H304" s="1311"/>
      <c r="I304" s="1311"/>
      <c r="J304" s="1311"/>
      <c r="K304" s="1311"/>
      <c r="L304" s="1311"/>
      <c r="M304" s="1311"/>
      <c r="N304" s="1311"/>
      <c r="O304" s="1311"/>
      <c r="P304" s="1311"/>
      <c r="Q304" s="1311"/>
      <c r="R304" s="1312" t="e">
        <f>'PLANILHA '!#REF!</f>
        <v>#REF!</v>
      </c>
      <c r="S304" s="1312"/>
      <c r="T304" s="1313" t="e">
        <f>'PLANILHA '!#REF!</f>
        <v>#REF!</v>
      </c>
      <c r="U304" s="1313"/>
      <c r="V304" s="1313"/>
      <c r="W304" s="1313" t="e">
        <f>'PLANILHA '!#REF!</f>
        <v>#REF!</v>
      </c>
      <c r="X304" s="1313"/>
      <c r="Y304" s="1313"/>
      <c r="Z304" s="1320"/>
      <c r="AA304" s="1320"/>
      <c r="AB304" s="1320"/>
      <c r="AC304" s="1320"/>
      <c r="AD304" s="1315"/>
      <c r="AE304" s="1315"/>
      <c r="AF304" s="1315"/>
      <c r="AG304" s="1316"/>
      <c r="AH304" s="1316"/>
      <c r="AI304" s="1316"/>
      <c r="AJ304" s="1316"/>
      <c r="AK304" s="1315"/>
      <c r="AL304" s="1315"/>
      <c r="AM304" s="1315"/>
      <c r="AN304" s="1315"/>
      <c r="AO304" s="1315"/>
      <c r="AP304" s="1317" t="e">
        <f>'PLANILHA '!#REF!</f>
        <v>#REF!</v>
      </c>
      <c r="AQ304" s="1317"/>
      <c r="AR304" s="1317"/>
      <c r="AS304" s="1317"/>
      <c r="AT304" s="1317"/>
      <c r="AU304" s="1316"/>
      <c r="AV304" s="1316"/>
      <c r="AW304" s="1316"/>
      <c r="AX304" s="1316"/>
      <c r="AY304" s="1316"/>
      <c r="AZ304" s="1316"/>
      <c r="BA304" s="1316"/>
      <c r="BB304" s="1316"/>
      <c r="BC304" s="1316"/>
      <c r="BD304" s="1316"/>
      <c r="BE304" s="1316"/>
      <c r="BF304" s="1316"/>
      <c r="BG304" s="1316"/>
      <c r="BH304" s="1316"/>
      <c r="BI304" s="1316"/>
      <c r="BJ304" s="1316"/>
      <c r="BK304" s="1316"/>
      <c r="BL304" s="1316"/>
      <c r="BM304" s="1316"/>
      <c r="BN304" s="1318"/>
      <c r="BO304" s="1318"/>
      <c r="BP304" s="1318"/>
    </row>
    <row r="305" spans="1:81" s="361" customFormat="1" ht="12.75" customHeight="1">
      <c r="A305" s="355"/>
      <c r="B305" s="1310" t="e">
        <f>'PLANILHA '!#REF!</f>
        <v>#REF!</v>
      </c>
      <c r="C305" s="1310"/>
      <c r="D305" s="1311" t="e">
        <f>'PLANILHA '!#REF!</f>
        <v>#REF!</v>
      </c>
      <c r="E305" s="1311"/>
      <c r="F305" s="1311"/>
      <c r="G305" s="1311"/>
      <c r="H305" s="1311"/>
      <c r="I305" s="1311"/>
      <c r="J305" s="1311"/>
      <c r="K305" s="1311"/>
      <c r="L305" s="1311"/>
      <c r="M305" s="1311"/>
      <c r="N305" s="1311"/>
      <c r="O305" s="1311"/>
      <c r="P305" s="1311"/>
      <c r="Q305" s="1311"/>
      <c r="R305" s="1312" t="e">
        <f>'PLANILHA '!#REF!</f>
        <v>#REF!</v>
      </c>
      <c r="S305" s="1312"/>
      <c r="T305" s="1313" t="e">
        <f>'PLANILHA '!#REF!</f>
        <v>#REF!</v>
      </c>
      <c r="U305" s="1313"/>
      <c r="V305" s="1313"/>
      <c r="W305" s="1313" t="e">
        <f>'PLANILHA '!#REF!</f>
        <v>#REF!</v>
      </c>
      <c r="X305" s="1313"/>
      <c r="Y305" s="1313"/>
      <c r="Z305" s="1320"/>
      <c r="AA305" s="1320"/>
      <c r="AB305" s="1320"/>
      <c r="AC305" s="1320"/>
      <c r="AD305" s="1333"/>
      <c r="AE305" s="1333"/>
      <c r="AF305" s="1333"/>
      <c r="AG305" s="1321"/>
      <c r="AH305" s="1321"/>
      <c r="AI305" s="1321"/>
      <c r="AJ305" s="1321"/>
      <c r="AK305" s="1326"/>
      <c r="AL305" s="1326"/>
      <c r="AM305" s="1326"/>
      <c r="AN305" s="1326"/>
      <c r="AO305" s="1326"/>
      <c r="AP305" s="1317" t="e">
        <f>'PLANILHA '!#REF!</f>
        <v>#REF!</v>
      </c>
      <c r="AQ305" s="1317"/>
      <c r="AR305" s="1317"/>
      <c r="AS305" s="1317"/>
      <c r="AT305" s="1317"/>
      <c r="AU305" s="1322"/>
      <c r="AV305" s="1322"/>
      <c r="AW305" s="1322"/>
      <c r="AX305" s="1322"/>
      <c r="AY305" s="1322"/>
      <c r="AZ305" s="1323"/>
      <c r="BA305" s="1323"/>
      <c r="BB305" s="1323"/>
      <c r="BC305" s="1323"/>
      <c r="BD305" s="1323"/>
      <c r="BE305" s="1323"/>
      <c r="BF305" s="1323"/>
      <c r="BG305" s="1323"/>
      <c r="BH305" s="1323"/>
      <c r="BI305" s="1323"/>
      <c r="BJ305" s="1323"/>
      <c r="BK305" s="1323"/>
      <c r="BL305" s="1323"/>
      <c r="BM305" s="1323"/>
      <c r="BN305" s="1324"/>
      <c r="BO305" s="1324"/>
      <c r="BP305" s="1324"/>
    </row>
    <row r="306" spans="1:81" s="361" customFormat="1" ht="12.75" customHeight="1">
      <c r="A306" s="355"/>
      <c r="B306" s="1310" t="e">
        <f>'PLANILHA '!#REF!</f>
        <v>#REF!</v>
      </c>
      <c r="C306" s="1310"/>
      <c r="D306" s="1311" t="e">
        <f>'PLANILHA '!#REF!</f>
        <v>#REF!</v>
      </c>
      <c r="E306" s="1311"/>
      <c r="F306" s="1311"/>
      <c r="G306" s="1311"/>
      <c r="H306" s="1311"/>
      <c r="I306" s="1311"/>
      <c r="J306" s="1311"/>
      <c r="K306" s="1311"/>
      <c r="L306" s="1311"/>
      <c r="M306" s="1311"/>
      <c r="N306" s="1311"/>
      <c r="O306" s="1311"/>
      <c r="P306" s="1311"/>
      <c r="Q306" s="1311"/>
      <c r="R306" s="1312" t="e">
        <f>'PLANILHA '!#REF!</f>
        <v>#REF!</v>
      </c>
      <c r="S306" s="1312"/>
      <c r="T306" s="1313" t="e">
        <f>'PLANILHA '!#REF!</f>
        <v>#REF!</v>
      </c>
      <c r="U306" s="1313"/>
      <c r="V306" s="1313"/>
      <c r="W306" s="1313" t="e">
        <f>'PLANILHA '!#REF!</f>
        <v>#REF!</v>
      </c>
      <c r="X306" s="1313"/>
      <c r="Y306" s="1313"/>
      <c r="Z306" s="1320"/>
      <c r="AA306" s="1320"/>
      <c r="AB306" s="1320"/>
      <c r="AC306" s="1320"/>
      <c r="AD306" s="1315"/>
      <c r="AE306" s="1315"/>
      <c r="AF306" s="1315"/>
      <c r="AG306" s="1321" t="e">
        <f>ROUND(W306*AD306,2)</f>
        <v>#REF!</v>
      </c>
      <c r="AH306" s="1321"/>
      <c r="AI306" s="1321"/>
      <c r="AJ306" s="1321"/>
      <c r="AK306" s="1315"/>
      <c r="AL306" s="1315"/>
      <c r="AM306" s="1315"/>
      <c r="AN306" s="1315"/>
      <c r="AO306" s="1315"/>
      <c r="AP306" s="1317" t="e">
        <f>'PLANILHA '!#REF!</f>
        <v>#REF!</v>
      </c>
      <c r="AQ306" s="1317"/>
      <c r="AR306" s="1317"/>
      <c r="AS306" s="1317"/>
      <c r="AT306" s="1317"/>
      <c r="AU306" s="1316"/>
      <c r="AV306" s="1316"/>
      <c r="AW306" s="1316"/>
      <c r="AX306" s="1316"/>
      <c r="AY306" s="1316"/>
      <c r="AZ306" s="1323" t="e">
        <f>$W306*AK306</f>
        <v>#REF!</v>
      </c>
      <c r="BA306" s="1323"/>
      <c r="BB306" s="1323"/>
      <c r="BC306" s="1323"/>
      <c r="BD306" s="1323" t="e">
        <f>$W306*AP306</f>
        <v>#REF!</v>
      </c>
      <c r="BE306" s="1323"/>
      <c r="BF306" s="1323"/>
      <c r="BG306" s="1323"/>
      <c r="BH306" s="1323"/>
      <c r="BI306" s="1323" t="e">
        <f>ROUND(AZ306+BD306,2)</f>
        <v>#REF!</v>
      </c>
      <c r="BJ306" s="1323"/>
      <c r="BK306" s="1323"/>
      <c r="BL306" s="1323"/>
      <c r="BM306" s="1323"/>
      <c r="BN306" s="1318"/>
      <c r="BO306" s="1318"/>
      <c r="BP306" s="1318"/>
    </row>
    <row r="307" spans="1:81" s="361" customFormat="1" ht="12.75" customHeight="1">
      <c r="A307" s="355"/>
      <c r="B307" s="1310" t="e">
        <f>'PLANILHA '!#REF!</f>
        <v>#REF!</v>
      </c>
      <c r="C307" s="1310"/>
      <c r="D307" s="1311" t="e">
        <f>'PLANILHA '!#REF!</f>
        <v>#REF!</v>
      </c>
      <c r="E307" s="1311"/>
      <c r="F307" s="1311"/>
      <c r="G307" s="1311"/>
      <c r="H307" s="1311"/>
      <c r="I307" s="1311"/>
      <c r="J307" s="1311"/>
      <c r="K307" s="1311"/>
      <c r="L307" s="1311"/>
      <c r="M307" s="1311"/>
      <c r="N307" s="1311"/>
      <c r="O307" s="1311"/>
      <c r="P307" s="1311"/>
      <c r="Q307" s="1311"/>
      <c r="R307" s="1312" t="e">
        <f>'PLANILHA '!#REF!</f>
        <v>#REF!</v>
      </c>
      <c r="S307" s="1312"/>
      <c r="T307" s="1313" t="e">
        <f>'PLANILHA '!#REF!</f>
        <v>#REF!</v>
      </c>
      <c r="U307" s="1313"/>
      <c r="V307" s="1313"/>
      <c r="W307" s="1313" t="e">
        <f>'PLANILHA '!#REF!</f>
        <v>#REF!</v>
      </c>
      <c r="X307" s="1313"/>
      <c r="Y307" s="1313"/>
      <c r="Z307" s="1320"/>
      <c r="AA307" s="1320"/>
      <c r="AB307" s="1320"/>
      <c r="AC307" s="1320"/>
      <c r="AD307" s="1315"/>
      <c r="AE307" s="1315"/>
      <c r="AF307" s="1315"/>
      <c r="AG307" s="1321"/>
      <c r="AH307" s="1321"/>
      <c r="AI307" s="1321"/>
      <c r="AJ307" s="1321"/>
      <c r="AK307" s="1327"/>
      <c r="AL307" s="1327"/>
      <c r="AM307" s="1327"/>
      <c r="AN307" s="1327"/>
      <c r="AO307" s="1327"/>
      <c r="AP307" s="1317" t="e">
        <f>'PLANILHA '!#REF!</f>
        <v>#REF!</v>
      </c>
      <c r="AQ307" s="1317"/>
      <c r="AR307" s="1317"/>
      <c r="AS307" s="1317"/>
      <c r="AT307" s="1317"/>
      <c r="AU307" s="1322"/>
      <c r="AV307" s="1322"/>
      <c r="AW307" s="1322"/>
      <c r="AX307" s="1322"/>
      <c r="AY307" s="1322"/>
      <c r="AZ307" s="1323"/>
      <c r="BA307" s="1323"/>
      <c r="BB307" s="1323"/>
      <c r="BC307" s="1323"/>
      <c r="BD307" s="1323"/>
      <c r="BE307" s="1323"/>
      <c r="BF307" s="1323"/>
      <c r="BG307" s="1323"/>
      <c r="BH307" s="1323"/>
      <c r="BI307" s="1323"/>
      <c r="BJ307" s="1323"/>
      <c r="BK307" s="1323"/>
      <c r="BL307" s="1323"/>
      <c r="BM307" s="1323"/>
      <c r="BN307" s="1324"/>
      <c r="BO307" s="1324"/>
      <c r="BP307" s="1324"/>
    </row>
    <row r="308" spans="1:81" s="361" customFormat="1" ht="12.75" customHeight="1">
      <c r="A308" s="355"/>
      <c r="B308" s="1310" t="e">
        <f>'PLANILHA '!#REF!</f>
        <v>#REF!</v>
      </c>
      <c r="C308" s="1310"/>
      <c r="D308" s="1311" t="e">
        <f>'PLANILHA '!#REF!</f>
        <v>#REF!</v>
      </c>
      <c r="E308" s="1311"/>
      <c r="F308" s="1311"/>
      <c r="G308" s="1311"/>
      <c r="H308" s="1311"/>
      <c r="I308" s="1311"/>
      <c r="J308" s="1311"/>
      <c r="K308" s="1311"/>
      <c r="L308" s="1311"/>
      <c r="M308" s="1311"/>
      <c r="N308" s="1311"/>
      <c r="O308" s="1311"/>
      <c r="P308" s="1311"/>
      <c r="Q308" s="1311"/>
      <c r="R308" s="1312" t="e">
        <f>'PLANILHA '!#REF!</f>
        <v>#REF!</v>
      </c>
      <c r="S308" s="1312"/>
      <c r="T308" s="1313" t="e">
        <f>'PLANILHA '!#REF!</f>
        <v>#REF!</v>
      </c>
      <c r="U308" s="1313"/>
      <c r="V308" s="1313"/>
      <c r="W308" s="1313" t="e">
        <f>'PLANILHA '!#REF!</f>
        <v>#REF!</v>
      </c>
      <c r="X308" s="1313"/>
      <c r="Y308" s="1313"/>
      <c r="Z308" s="1320"/>
      <c r="AA308" s="1320"/>
      <c r="AB308" s="1320"/>
      <c r="AC308" s="1320"/>
      <c r="AD308" s="1315"/>
      <c r="AE308" s="1315"/>
      <c r="AF308" s="1315"/>
      <c r="AG308" s="1321" t="e">
        <f>ROUND(W308*AD308,2)</f>
        <v>#REF!</v>
      </c>
      <c r="AH308" s="1321"/>
      <c r="AI308" s="1321"/>
      <c r="AJ308" s="1321"/>
      <c r="AK308" s="1315"/>
      <c r="AL308" s="1315"/>
      <c r="AM308" s="1315"/>
      <c r="AN308" s="1315"/>
      <c r="AO308" s="1315"/>
      <c r="AP308" s="1317" t="e">
        <f>'PLANILHA '!#REF!</f>
        <v>#REF!</v>
      </c>
      <c r="AQ308" s="1317"/>
      <c r="AR308" s="1317"/>
      <c r="AS308" s="1317"/>
      <c r="AT308" s="1317"/>
      <c r="AU308" s="1322" t="e">
        <f>AK308+AP308</f>
        <v>#REF!</v>
      </c>
      <c r="AV308" s="1322"/>
      <c r="AW308" s="1322"/>
      <c r="AX308" s="1322"/>
      <c r="AY308" s="1322"/>
      <c r="AZ308" s="1323" t="e">
        <f>$W308*AK308</f>
        <v>#REF!</v>
      </c>
      <c r="BA308" s="1323"/>
      <c r="BB308" s="1323"/>
      <c r="BC308" s="1323"/>
      <c r="BD308" s="1323" t="e">
        <f>$W308*AP308</f>
        <v>#REF!</v>
      </c>
      <c r="BE308" s="1323"/>
      <c r="BF308" s="1323"/>
      <c r="BG308" s="1323"/>
      <c r="BH308" s="1323"/>
      <c r="BI308" s="1323" t="e">
        <f>ROUND(AZ308+BD308,2)</f>
        <v>#REF!</v>
      </c>
      <c r="BJ308" s="1323"/>
      <c r="BK308" s="1323"/>
      <c r="BL308" s="1323"/>
      <c r="BM308" s="1323"/>
      <c r="BN308" s="1318"/>
      <c r="BO308" s="1318"/>
      <c r="BP308" s="1318"/>
    </row>
    <row r="309" spans="1:81" s="361" customFormat="1" ht="12.75" customHeight="1">
      <c r="A309" s="355"/>
      <c r="B309" s="1310" t="e">
        <f>'PLANILHA '!#REF!</f>
        <v>#REF!</v>
      </c>
      <c r="C309" s="1310"/>
      <c r="D309" s="1311" t="e">
        <f>'PLANILHA '!#REF!</f>
        <v>#REF!</v>
      </c>
      <c r="E309" s="1311"/>
      <c r="F309" s="1311"/>
      <c r="G309" s="1311"/>
      <c r="H309" s="1311"/>
      <c r="I309" s="1311"/>
      <c r="J309" s="1311"/>
      <c r="K309" s="1311"/>
      <c r="L309" s="1311"/>
      <c r="M309" s="1311"/>
      <c r="N309" s="1311"/>
      <c r="O309" s="1311"/>
      <c r="P309" s="1311"/>
      <c r="Q309" s="1311"/>
      <c r="R309" s="1312" t="e">
        <f>'PLANILHA '!#REF!</f>
        <v>#REF!</v>
      </c>
      <c r="S309" s="1312"/>
      <c r="T309" s="1313" t="e">
        <f>'PLANILHA '!#REF!</f>
        <v>#REF!</v>
      </c>
      <c r="U309" s="1313"/>
      <c r="V309" s="1313"/>
      <c r="W309" s="1313" t="e">
        <f>'PLANILHA '!#REF!</f>
        <v>#REF!</v>
      </c>
      <c r="X309" s="1313"/>
      <c r="Y309" s="1313"/>
      <c r="Z309" s="1325"/>
      <c r="AA309" s="1325"/>
      <c r="AB309" s="1325"/>
      <c r="AC309" s="1325"/>
      <c r="AD309" s="1333"/>
      <c r="AE309" s="1333"/>
      <c r="AF309" s="1333"/>
      <c r="AG309" s="1321" t="e">
        <f>ROUND(W309*AD309,2)</f>
        <v>#REF!</v>
      </c>
      <c r="AH309" s="1321"/>
      <c r="AI309" s="1321"/>
      <c r="AJ309" s="1321"/>
      <c r="AK309" s="396"/>
      <c r="AL309" s="397"/>
      <c r="AM309" s="397"/>
      <c r="AN309" s="397"/>
      <c r="AO309" s="398"/>
      <c r="AP309" s="1317" t="e">
        <f>'PLANILHA '!#REF!</f>
        <v>#REF!</v>
      </c>
      <c r="AQ309" s="1317"/>
      <c r="AR309" s="1317"/>
      <c r="AS309" s="1317"/>
      <c r="AT309" s="1317"/>
      <c r="AU309" s="399"/>
      <c r="AV309" s="400"/>
      <c r="AW309" s="400"/>
      <c r="AX309" s="400"/>
      <c r="AY309" s="401"/>
      <c r="AZ309" s="1331" t="e">
        <f>SUM(AZ306:BC308)</f>
        <v>#REF!</v>
      </c>
      <c r="BA309" s="1331"/>
      <c r="BB309" s="1331"/>
      <c r="BC309" s="1331"/>
      <c r="BD309" s="1331" t="e">
        <f>SUM(BD305:BH308)</f>
        <v>#REF!</v>
      </c>
      <c r="BE309" s="1331"/>
      <c r="BF309" s="1331"/>
      <c r="BG309" s="1331"/>
      <c r="BH309" s="1331"/>
      <c r="BI309" s="1331" t="e">
        <f>SUM(BI306:BM308)</f>
        <v>#REF!</v>
      </c>
      <c r="BJ309" s="1331"/>
      <c r="BK309" s="1331"/>
      <c r="BL309" s="1331"/>
      <c r="BM309" s="1331"/>
      <c r="BN309" s="402"/>
      <c r="BO309" s="403"/>
      <c r="BP309" s="404"/>
    </row>
    <row r="310" spans="1:81" s="361" customFormat="1" ht="12.75" customHeight="1">
      <c r="A310" s="355"/>
      <c r="B310" s="1310" t="e">
        <f>'PLANILHA '!#REF!</f>
        <v>#REF!</v>
      </c>
      <c r="C310" s="1310"/>
      <c r="D310" s="1311" t="e">
        <f>'PLANILHA '!#REF!</f>
        <v>#REF!</v>
      </c>
      <c r="E310" s="1311"/>
      <c r="F310" s="1311"/>
      <c r="G310" s="1311"/>
      <c r="H310" s="1311"/>
      <c r="I310" s="1311"/>
      <c r="J310" s="1311"/>
      <c r="K310" s="1311"/>
      <c r="L310" s="1311"/>
      <c r="M310" s="1311"/>
      <c r="N310" s="1311"/>
      <c r="O310" s="1311"/>
      <c r="P310" s="1311"/>
      <c r="Q310" s="1311"/>
      <c r="R310" s="1312" t="e">
        <f>'PLANILHA '!#REF!</f>
        <v>#REF!</v>
      </c>
      <c r="S310" s="1312"/>
      <c r="T310" s="1313" t="e">
        <f>'PLANILHA '!#REF!</f>
        <v>#REF!</v>
      </c>
      <c r="U310" s="1313"/>
      <c r="V310" s="1313"/>
      <c r="W310" s="1313" t="e">
        <f>'PLANILHA '!#REF!</f>
        <v>#REF!</v>
      </c>
      <c r="X310" s="1313"/>
      <c r="Y310" s="1313"/>
      <c r="Z310" s="1320"/>
      <c r="AA310" s="1320"/>
      <c r="AB310" s="1320"/>
      <c r="AC310" s="1320"/>
      <c r="AD310" s="1315"/>
      <c r="AE310" s="1315"/>
      <c r="AF310" s="1315"/>
      <c r="AG310" s="1316"/>
      <c r="AH310" s="1316"/>
      <c r="AI310" s="1316"/>
      <c r="AJ310" s="1316"/>
      <c r="AK310" s="1315"/>
      <c r="AL310" s="1315"/>
      <c r="AM310" s="1315"/>
      <c r="AN310" s="1315"/>
      <c r="AO310" s="1315"/>
      <c r="AP310" s="1317" t="e">
        <f>'PLANILHA '!#REF!</f>
        <v>#REF!</v>
      </c>
      <c r="AQ310" s="1317"/>
      <c r="AR310" s="1317"/>
      <c r="AS310" s="1317"/>
      <c r="AT310" s="1317"/>
      <c r="AU310" s="1316"/>
      <c r="AV310" s="1316"/>
      <c r="AW310" s="1316"/>
      <c r="AX310" s="1316"/>
      <c r="AY310" s="1316"/>
      <c r="AZ310" s="1316"/>
      <c r="BA310" s="1316"/>
      <c r="BB310" s="1316"/>
      <c r="BC310" s="1316"/>
      <c r="BD310" s="1332"/>
      <c r="BE310" s="1332"/>
      <c r="BF310" s="1332"/>
      <c r="BG310" s="1332"/>
      <c r="BH310" s="1332"/>
      <c r="BI310" s="1316"/>
      <c r="BJ310" s="1316"/>
      <c r="BK310" s="1316"/>
      <c r="BL310" s="1316"/>
      <c r="BM310" s="1316"/>
      <c r="BN310" s="1318"/>
      <c r="BO310" s="1318"/>
      <c r="BP310" s="1318"/>
    </row>
    <row r="311" spans="1:81" s="361" customFormat="1" ht="12.75" customHeight="1">
      <c r="A311" s="355"/>
      <c r="B311" s="1310" t="e">
        <f>'PLANILHA '!#REF!</f>
        <v>#REF!</v>
      </c>
      <c r="C311" s="1310"/>
      <c r="D311" s="1311" t="e">
        <f>'PLANILHA '!#REF!</f>
        <v>#REF!</v>
      </c>
      <c r="E311" s="1311"/>
      <c r="F311" s="1311"/>
      <c r="G311" s="1311"/>
      <c r="H311" s="1311"/>
      <c r="I311" s="1311"/>
      <c r="J311" s="1311"/>
      <c r="K311" s="1311"/>
      <c r="L311" s="1311"/>
      <c r="M311" s="1311"/>
      <c r="N311" s="1311"/>
      <c r="O311" s="1311"/>
      <c r="P311" s="1311"/>
      <c r="Q311" s="1311"/>
      <c r="R311" s="1312" t="e">
        <f>'PLANILHA '!#REF!</f>
        <v>#REF!</v>
      </c>
      <c r="S311" s="1312"/>
      <c r="T311" s="1313" t="e">
        <f>'PLANILHA '!#REF!</f>
        <v>#REF!</v>
      </c>
      <c r="U311" s="1313"/>
      <c r="V311" s="1313"/>
      <c r="W311" s="1313" t="e">
        <f>'PLANILHA '!#REF!</f>
        <v>#REF!</v>
      </c>
      <c r="X311" s="1313"/>
      <c r="Y311" s="1313"/>
      <c r="Z311" s="1320"/>
      <c r="AA311" s="1320"/>
      <c r="AB311" s="1320"/>
      <c r="AC311" s="1320"/>
      <c r="AD311" s="1315"/>
      <c r="AE311" s="1315"/>
      <c r="AF311" s="1315"/>
      <c r="AG311" s="1321" t="e">
        <f t="shared" ref="AG311:AG317" si="41">ROUND(W311*AD311,2)</f>
        <v>#REF!</v>
      </c>
      <c r="AH311" s="1321"/>
      <c r="AI311" s="1321"/>
      <c r="AJ311" s="1321"/>
      <c r="AK311" s="1315"/>
      <c r="AL311" s="1315"/>
      <c r="AM311" s="1315"/>
      <c r="AN311" s="1315"/>
      <c r="AO311" s="1315"/>
      <c r="AP311" s="1317" t="e">
        <f>'PLANILHA '!#REF!</f>
        <v>#REF!</v>
      </c>
      <c r="AQ311" s="1317"/>
      <c r="AR311" s="1317"/>
      <c r="AS311" s="1317"/>
      <c r="AT311" s="1317"/>
      <c r="AU311" s="1316"/>
      <c r="AV311" s="1316"/>
      <c r="AW311" s="1316"/>
      <c r="AX311" s="1316"/>
      <c r="AY311" s="1316"/>
      <c r="AZ311" s="1323" t="e">
        <f t="shared" ref="AZ311:AZ316" si="42">$W311*AK311</f>
        <v>#REF!</v>
      </c>
      <c r="BA311" s="1323"/>
      <c r="BB311" s="1323"/>
      <c r="BC311" s="1323"/>
      <c r="BD311" s="1323" t="e">
        <f t="shared" ref="BD311:BD316" si="43">$W311*AP311</f>
        <v>#REF!</v>
      </c>
      <c r="BE311" s="1323"/>
      <c r="BF311" s="1323"/>
      <c r="BG311" s="1323"/>
      <c r="BH311" s="1323"/>
      <c r="BI311" s="1316"/>
      <c r="BJ311" s="1316"/>
      <c r="BK311" s="1316"/>
      <c r="BL311" s="1316"/>
      <c r="BM311" s="1316"/>
      <c r="BN311" s="1318"/>
      <c r="BO311" s="1318"/>
      <c r="BP311" s="1318"/>
    </row>
    <row r="312" spans="1:81" s="361" customFormat="1" ht="12.75" customHeight="1">
      <c r="A312" s="355"/>
      <c r="B312" s="1310" t="e">
        <f>'PLANILHA '!#REF!</f>
        <v>#REF!</v>
      </c>
      <c r="C312" s="1310"/>
      <c r="D312" s="1311" t="e">
        <f>'PLANILHA '!#REF!</f>
        <v>#REF!</v>
      </c>
      <c r="E312" s="1311"/>
      <c r="F312" s="1311"/>
      <c r="G312" s="1311"/>
      <c r="H312" s="1311"/>
      <c r="I312" s="1311"/>
      <c r="J312" s="1311"/>
      <c r="K312" s="1311"/>
      <c r="L312" s="1311"/>
      <c r="M312" s="1311"/>
      <c r="N312" s="1311"/>
      <c r="O312" s="1311"/>
      <c r="P312" s="1311"/>
      <c r="Q312" s="1311"/>
      <c r="R312" s="1312" t="e">
        <f>'PLANILHA '!#REF!</f>
        <v>#REF!</v>
      </c>
      <c r="S312" s="1312"/>
      <c r="T312" s="1313" t="e">
        <f>'PLANILHA '!#REF!</f>
        <v>#REF!</v>
      </c>
      <c r="U312" s="1313"/>
      <c r="V312" s="1313"/>
      <c r="W312" s="1313" t="e">
        <f>'PLANILHA '!#REF!</f>
        <v>#REF!</v>
      </c>
      <c r="X312" s="1313"/>
      <c r="Y312" s="1313"/>
      <c r="Z312" s="1320"/>
      <c r="AA312" s="1320"/>
      <c r="AB312" s="1320"/>
      <c r="AC312" s="1320"/>
      <c r="AD312" s="1333"/>
      <c r="AE312" s="1333"/>
      <c r="AF312" s="1333"/>
      <c r="AG312" s="1321" t="e">
        <f t="shared" si="41"/>
        <v>#REF!</v>
      </c>
      <c r="AH312" s="1321"/>
      <c r="AI312" s="1321"/>
      <c r="AJ312" s="1321"/>
      <c r="AK312" s="1326"/>
      <c r="AL312" s="1326"/>
      <c r="AM312" s="1326"/>
      <c r="AN312" s="1326"/>
      <c r="AO312" s="1326"/>
      <c r="AP312" s="1317" t="e">
        <f>'PLANILHA '!#REF!</f>
        <v>#REF!</v>
      </c>
      <c r="AQ312" s="1317"/>
      <c r="AR312" s="1317"/>
      <c r="AS312" s="1317"/>
      <c r="AT312" s="1317"/>
      <c r="AU312" s="1322" t="e">
        <f>AK312+AP312</f>
        <v>#REF!</v>
      </c>
      <c r="AV312" s="1322"/>
      <c r="AW312" s="1322"/>
      <c r="AX312" s="1322"/>
      <c r="AY312" s="1322"/>
      <c r="AZ312" s="1323" t="e">
        <f t="shared" si="42"/>
        <v>#REF!</v>
      </c>
      <c r="BA312" s="1323"/>
      <c r="BB312" s="1323"/>
      <c r="BC312" s="1323"/>
      <c r="BD312" s="1323" t="e">
        <f t="shared" si="43"/>
        <v>#REF!</v>
      </c>
      <c r="BE312" s="1323"/>
      <c r="BF312" s="1323"/>
      <c r="BG312" s="1323"/>
      <c r="BH312" s="1323"/>
      <c r="BI312" s="1323" t="e">
        <f>ROUND(AZ312+BD312,2)</f>
        <v>#REF!</v>
      </c>
      <c r="BJ312" s="1323"/>
      <c r="BK312" s="1323"/>
      <c r="BL312" s="1323"/>
      <c r="BM312" s="1323"/>
      <c r="BN312" s="1324" t="str">
        <f>IF(AD312&lt;&gt;"",AG312/Z312,"")</f>
        <v/>
      </c>
      <c r="BO312" s="1324"/>
      <c r="BP312" s="1324"/>
    </row>
    <row r="313" spans="1:81" s="361" customFormat="1" ht="12.75" customHeight="1">
      <c r="A313" s="355"/>
      <c r="B313" s="1310" t="e">
        <f>'PLANILHA '!#REF!</f>
        <v>#REF!</v>
      </c>
      <c r="C313" s="1310"/>
      <c r="D313" s="1311" t="e">
        <f>'PLANILHA '!#REF!</f>
        <v>#REF!</v>
      </c>
      <c r="E313" s="1311"/>
      <c r="F313" s="1311"/>
      <c r="G313" s="1311"/>
      <c r="H313" s="1311"/>
      <c r="I313" s="1311"/>
      <c r="J313" s="1311"/>
      <c r="K313" s="1311"/>
      <c r="L313" s="1311"/>
      <c r="M313" s="1311"/>
      <c r="N313" s="1311"/>
      <c r="O313" s="1311"/>
      <c r="P313" s="1311"/>
      <c r="Q313" s="1311"/>
      <c r="R313" s="1312" t="e">
        <f>'PLANILHA '!#REF!</f>
        <v>#REF!</v>
      </c>
      <c r="S313" s="1312"/>
      <c r="T313" s="1313" t="e">
        <f>'PLANILHA '!#REF!</f>
        <v>#REF!</v>
      </c>
      <c r="U313" s="1313"/>
      <c r="V313" s="1313"/>
      <c r="W313" s="1313" t="e">
        <f>'PLANILHA '!#REF!</f>
        <v>#REF!</v>
      </c>
      <c r="X313" s="1313"/>
      <c r="Y313" s="1313"/>
      <c r="Z313" s="1320"/>
      <c r="AA313" s="1320"/>
      <c r="AB313" s="1320"/>
      <c r="AC313" s="1320"/>
      <c r="AD313" s="1315"/>
      <c r="AE313" s="1315"/>
      <c r="AF313" s="1315"/>
      <c r="AG313" s="1321" t="e">
        <f t="shared" si="41"/>
        <v>#REF!</v>
      </c>
      <c r="AH313" s="1321"/>
      <c r="AI313" s="1321"/>
      <c r="AJ313" s="1321"/>
      <c r="AK313" s="1315"/>
      <c r="AL313" s="1315"/>
      <c r="AM313" s="1315"/>
      <c r="AN313" s="1315"/>
      <c r="AO313" s="1315"/>
      <c r="AP313" s="1317" t="e">
        <f>'PLANILHA '!#REF!</f>
        <v>#REF!</v>
      </c>
      <c r="AQ313" s="1317"/>
      <c r="AR313" s="1317"/>
      <c r="AS313" s="1317"/>
      <c r="AT313" s="1317"/>
      <c r="AU313" s="1316"/>
      <c r="AV313" s="1316"/>
      <c r="AW313" s="1316"/>
      <c r="AX313" s="1316"/>
      <c r="AY313" s="1316"/>
      <c r="AZ313" s="1323" t="e">
        <f t="shared" si="42"/>
        <v>#REF!</v>
      </c>
      <c r="BA313" s="1323"/>
      <c r="BB313" s="1323"/>
      <c r="BC313" s="1323"/>
      <c r="BD313" s="1323" t="e">
        <f t="shared" si="43"/>
        <v>#REF!</v>
      </c>
      <c r="BE313" s="1323"/>
      <c r="BF313" s="1323"/>
      <c r="BG313" s="1323"/>
      <c r="BH313" s="1323"/>
      <c r="BI313" s="1323" t="e">
        <f>ROUND(AZ313+BD313,2)</f>
        <v>#REF!</v>
      </c>
      <c r="BJ313" s="1323"/>
      <c r="BK313" s="1323"/>
      <c r="BL313" s="1323"/>
      <c r="BM313" s="1323"/>
      <c r="BN313" s="1318"/>
      <c r="BO313" s="1318"/>
      <c r="BP313" s="1318"/>
    </row>
    <row r="314" spans="1:81" s="361" customFormat="1" ht="12.75" customHeight="1">
      <c r="A314" s="355"/>
      <c r="B314" s="1310" t="e">
        <f>'PLANILHA '!#REF!</f>
        <v>#REF!</v>
      </c>
      <c r="C314" s="1310"/>
      <c r="D314" s="1311" t="e">
        <f>'PLANILHA '!#REF!</f>
        <v>#REF!</v>
      </c>
      <c r="E314" s="1311"/>
      <c r="F314" s="1311"/>
      <c r="G314" s="1311"/>
      <c r="H314" s="1311"/>
      <c r="I314" s="1311"/>
      <c r="J314" s="1311"/>
      <c r="K314" s="1311"/>
      <c r="L314" s="1311"/>
      <c r="M314" s="1311"/>
      <c r="N314" s="1311"/>
      <c r="O314" s="1311"/>
      <c r="P314" s="1311"/>
      <c r="Q314" s="1311"/>
      <c r="R314" s="1312" t="e">
        <f>'PLANILHA '!#REF!</f>
        <v>#REF!</v>
      </c>
      <c r="S314" s="1312"/>
      <c r="T314" s="1313" t="e">
        <f>'PLANILHA '!#REF!</f>
        <v>#REF!</v>
      </c>
      <c r="U314" s="1313"/>
      <c r="V314" s="1313"/>
      <c r="W314" s="1313" t="e">
        <f>'PLANILHA '!#REF!</f>
        <v>#REF!</v>
      </c>
      <c r="X314" s="1313"/>
      <c r="Y314" s="1313"/>
      <c r="Z314" s="1320"/>
      <c r="AA314" s="1320"/>
      <c r="AB314" s="1320"/>
      <c r="AC314" s="1320"/>
      <c r="AD314" s="1315"/>
      <c r="AE314" s="1315"/>
      <c r="AF314" s="1315"/>
      <c r="AG314" s="1321" t="e">
        <f t="shared" si="41"/>
        <v>#REF!</v>
      </c>
      <c r="AH314" s="1321"/>
      <c r="AI314" s="1321"/>
      <c r="AJ314" s="1321"/>
      <c r="AK314" s="1315"/>
      <c r="AL314" s="1315"/>
      <c r="AM314" s="1315"/>
      <c r="AN314" s="1315"/>
      <c r="AO314" s="1315"/>
      <c r="AP314" s="1317" t="e">
        <f>'PLANILHA '!#REF!</f>
        <v>#REF!</v>
      </c>
      <c r="AQ314" s="1317"/>
      <c r="AR314" s="1317"/>
      <c r="AS314" s="1317"/>
      <c r="AT314" s="1317"/>
      <c r="AU314" s="1322" t="e">
        <f>AK314+AP314</f>
        <v>#REF!</v>
      </c>
      <c r="AV314" s="1322"/>
      <c r="AW314" s="1322"/>
      <c r="AX314" s="1322"/>
      <c r="AY314" s="1322"/>
      <c r="AZ314" s="1323" t="e">
        <f t="shared" si="42"/>
        <v>#REF!</v>
      </c>
      <c r="BA314" s="1323"/>
      <c r="BB314" s="1323"/>
      <c r="BC314" s="1323"/>
      <c r="BD314" s="1323" t="e">
        <f t="shared" si="43"/>
        <v>#REF!</v>
      </c>
      <c r="BE314" s="1323"/>
      <c r="BF314" s="1323"/>
      <c r="BG314" s="1323"/>
      <c r="BH314" s="1323"/>
      <c r="BI314" s="1323" t="e">
        <f>ROUND(AZ314+BD314,2)</f>
        <v>#REF!</v>
      </c>
      <c r="BJ314" s="1323"/>
      <c r="BK314" s="1323"/>
      <c r="BL314" s="1323"/>
      <c r="BM314" s="1323"/>
      <c r="BN314" s="1318"/>
      <c r="BO314" s="1318"/>
      <c r="BP314" s="1318"/>
    </row>
    <row r="315" spans="1:81" s="361" customFormat="1" ht="12.75" customHeight="1">
      <c r="A315" s="355"/>
      <c r="B315" s="1310" t="e">
        <f>'PLANILHA '!#REF!</f>
        <v>#REF!</v>
      </c>
      <c r="C315" s="1310"/>
      <c r="D315" s="1311" t="e">
        <f>'PLANILHA '!#REF!</f>
        <v>#REF!</v>
      </c>
      <c r="E315" s="1311"/>
      <c r="F315" s="1311"/>
      <c r="G315" s="1311"/>
      <c r="H315" s="1311"/>
      <c r="I315" s="1311"/>
      <c r="J315" s="1311"/>
      <c r="K315" s="1311"/>
      <c r="L315" s="1311"/>
      <c r="M315" s="1311"/>
      <c r="N315" s="1311"/>
      <c r="O315" s="1311"/>
      <c r="P315" s="1311"/>
      <c r="Q315" s="1311"/>
      <c r="R315" s="1312" t="e">
        <f>'PLANILHA '!#REF!</f>
        <v>#REF!</v>
      </c>
      <c r="S315" s="1312"/>
      <c r="T315" s="1313" t="e">
        <f>'PLANILHA '!#REF!</f>
        <v>#REF!</v>
      </c>
      <c r="U315" s="1313"/>
      <c r="V315" s="1313"/>
      <c r="W315" s="1313" t="e">
        <f>'PLANILHA '!#REF!</f>
        <v>#REF!</v>
      </c>
      <c r="X315" s="1313"/>
      <c r="Y315" s="1313"/>
      <c r="Z315" s="1320"/>
      <c r="AA315" s="1320"/>
      <c r="AB315" s="1320"/>
      <c r="AC315" s="1320"/>
      <c r="AD315" s="1315"/>
      <c r="AE315" s="1315"/>
      <c r="AF315" s="1315"/>
      <c r="AG315" s="1321" t="e">
        <f t="shared" si="41"/>
        <v>#REF!</v>
      </c>
      <c r="AH315" s="1321"/>
      <c r="AI315" s="1321"/>
      <c r="AJ315" s="1321"/>
      <c r="AK315" s="1315"/>
      <c r="AL315" s="1315"/>
      <c r="AM315" s="1315"/>
      <c r="AN315" s="1315"/>
      <c r="AO315" s="1315"/>
      <c r="AP315" s="1317" t="e">
        <f>'PLANILHA '!#REF!</f>
        <v>#REF!</v>
      </c>
      <c r="AQ315" s="1317"/>
      <c r="AR315" s="1317"/>
      <c r="AS315" s="1317"/>
      <c r="AT315" s="1317"/>
      <c r="AU315" s="1322" t="e">
        <f>AK315+AP315</f>
        <v>#REF!</v>
      </c>
      <c r="AV315" s="1322"/>
      <c r="AW315" s="1322"/>
      <c r="AX315" s="1322"/>
      <c r="AY315" s="1322"/>
      <c r="AZ315" s="1323" t="e">
        <f t="shared" si="42"/>
        <v>#REF!</v>
      </c>
      <c r="BA315" s="1323"/>
      <c r="BB315" s="1323"/>
      <c r="BC315" s="1323"/>
      <c r="BD315" s="1323" t="e">
        <f t="shared" si="43"/>
        <v>#REF!</v>
      </c>
      <c r="BE315" s="1323"/>
      <c r="BF315" s="1323"/>
      <c r="BG315" s="1323"/>
      <c r="BH315" s="1323"/>
      <c r="BI315" s="1323" t="e">
        <f>ROUND(AZ315+BD315,2)</f>
        <v>#REF!</v>
      </c>
      <c r="BJ315" s="1323"/>
      <c r="BK315" s="1323"/>
      <c r="BL315" s="1323"/>
      <c r="BM315" s="1323"/>
      <c r="BN315" s="1318"/>
      <c r="BO315" s="1318"/>
      <c r="BP315" s="1318"/>
    </row>
    <row r="316" spans="1:81" s="361" customFormat="1" ht="12.75" customHeight="1">
      <c r="A316" s="355"/>
      <c r="B316" s="1310" t="e">
        <f>'PLANILHA '!#REF!</f>
        <v>#REF!</v>
      </c>
      <c r="C316" s="1310"/>
      <c r="D316" s="1311" t="e">
        <f>'PLANILHA '!#REF!</f>
        <v>#REF!</v>
      </c>
      <c r="E316" s="1311"/>
      <c r="F316" s="1311"/>
      <c r="G316" s="1311"/>
      <c r="H316" s="1311"/>
      <c r="I316" s="1311"/>
      <c r="J316" s="1311"/>
      <c r="K316" s="1311"/>
      <c r="L316" s="1311"/>
      <c r="M316" s="1311"/>
      <c r="N316" s="1311"/>
      <c r="O316" s="1311"/>
      <c r="P316" s="1311"/>
      <c r="Q316" s="1311"/>
      <c r="R316" s="1312" t="e">
        <f>'PLANILHA '!#REF!</f>
        <v>#REF!</v>
      </c>
      <c r="S316" s="1312"/>
      <c r="T316" s="1313" t="e">
        <f>'PLANILHA '!#REF!</f>
        <v>#REF!</v>
      </c>
      <c r="U316" s="1313"/>
      <c r="V316" s="1313"/>
      <c r="W316" s="1313" t="e">
        <f>'PLANILHA '!#REF!</f>
        <v>#REF!</v>
      </c>
      <c r="X316" s="1313"/>
      <c r="Y316" s="1313"/>
      <c r="Z316" s="1320"/>
      <c r="AA316" s="1320"/>
      <c r="AB316" s="1320"/>
      <c r="AC316" s="1320"/>
      <c r="AD316" s="1315"/>
      <c r="AE316" s="1315"/>
      <c r="AF316" s="1315"/>
      <c r="AG316" s="1321" t="e">
        <f t="shared" si="41"/>
        <v>#REF!</v>
      </c>
      <c r="AH316" s="1321"/>
      <c r="AI316" s="1321"/>
      <c r="AJ316" s="1321"/>
      <c r="AK316" s="1315"/>
      <c r="AL316" s="1315"/>
      <c r="AM316" s="1315"/>
      <c r="AN316" s="1315"/>
      <c r="AO316" s="1315"/>
      <c r="AP316" s="1317" t="e">
        <f>'PLANILHA '!#REF!</f>
        <v>#REF!</v>
      </c>
      <c r="AQ316" s="1317"/>
      <c r="AR316" s="1317"/>
      <c r="AS316" s="1317"/>
      <c r="AT316" s="1317"/>
      <c r="AU316" s="1322" t="e">
        <f>AK316+AP316</f>
        <v>#REF!</v>
      </c>
      <c r="AV316" s="1322"/>
      <c r="AW316" s="1322"/>
      <c r="AX316" s="1322"/>
      <c r="AY316" s="1322"/>
      <c r="AZ316" s="1323" t="e">
        <f t="shared" si="42"/>
        <v>#REF!</v>
      </c>
      <c r="BA316" s="1323"/>
      <c r="BB316" s="1323"/>
      <c r="BC316" s="1323"/>
      <c r="BD316" s="1323" t="e">
        <f t="shared" si="43"/>
        <v>#REF!</v>
      </c>
      <c r="BE316" s="1323"/>
      <c r="BF316" s="1323"/>
      <c r="BG316" s="1323"/>
      <c r="BH316" s="1323"/>
      <c r="BI316" s="1323" t="e">
        <f>ROUND(AZ316+BD316,2)</f>
        <v>#REF!</v>
      </c>
      <c r="BJ316" s="1323"/>
      <c r="BK316" s="1323"/>
      <c r="BL316" s="1323"/>
      <c r="BM316" s="1323"/>
      <c r="BN316" s="1318"/>
      <c r="BO316" s="1318"/>
      <c r="BP316" s="1318"/>
    </row>
    <row r="317" spans="1:81" s="361" customFormat="1" ht="12.75" customHeight="1">
      <c r="A317" s="355"/>
      <c r="B317" s="1310" t="e">
        <f>'PLANILHA '!#REF!</f>
        <v>#REF!</v>
      </c>
      <c r="C317" s="1310"/>
      <c r="D317" s="1311" t="e">
        <f>'PLANILHA '!#REF!</f>
        <v>#REF!</v>
      </c>
      <c r="E317" s="1311"/>
      <c r="F317" s="1311"/>
      <c r="G317" s="1311"/>
      <c r="H317" s="1311"/>
      <c r="I317" s="1311"/>
      <c r="J317" s="1311"/>
      <c r="K317" s="1311"/>
      <c r="L317" s="1311"/>
      <c r="M317" s="1311"/>
      <c r="N317" s="1311"/>
      <c r="O317" s="1311"/>
      <c r="P317" s="1311"/>
      <c r="Q317" s="1311"/>
      <c r="R317" s="1312" t="e">
        <f>'PLANILHA '!#REF!</f>
        <v>#REF!</v>
      </c>
      <c r="S317" s="1312"/>
      <c r="T317" s="1313" t="e">
        <f>'PLANILHA '!#REF!</f>
        <v>#REF!</v>
      </c>
      <c r="U317" s="1313"/>
      <c r="V317" s="1313"/>
      <c r="W317" s="1313" t="e">
        <f>'PLANILHA '!#REF!</f>
        <v>#REF!</v>
      </c>
      <c r="X317" s="1313"/>
      <c r="Y317" s="1313"/>
      <c r="Z317" s="1320"/>
      <c r="AA317" s="1320"/>
      <c r="AB317" s="1320"/>
      <c r="AC317" s="1320"/>
      <c r="AD317" s="1315"/>
      <c r="AE317" s="1315"/>
      <c r="AF317" s="1315"/>
      <c r="AG317" s="1321" t="e">
        <f t="shared" si="41"/>
        <v>#REF!</v>
      </c>
      <c r="AH317" s="1321"/>
      <c r="AI317" s="1321"/>
      <c r="AJ317" s="1321"/>
      <c r="AK317" s="1315"/>
      <c r="AL317" s="1315"/>
      <c r="AM317" s="1315"/>
      <c r="AN317" s="1315"/>
      <c r="AO317" s="1315"/>
      <c r="AP317" s="1317" t="e">
        <f>'PLANILHA '!#REF!</f>
        <v>#REF!</v>
      </c>
      <c r="AQ317" s="1317"/>
      <c r="AR317" s="1317"/>
      <c r="AS317" s="1317"/>
      <c r="AT317" s="1317"/>
      <c r="AU317" s="1322"/>
      <c r="AV317" s="1322"/>
      <c r="AW317" s="1322"/>
      <c r="AX317" s="1322"/>
      <c r="AY317" s="1322"/>
      <c r="AZ317" s="1323" t="e">
        <f>SUM(AZ311:BC316)</f>
        <v>#REF!</v>
      </c>
      <c r="BA317" s="1323"/>
      <c r="BB317" s="1323"/>
      <c r="BC317" s="1323"/>
      <c r="BD317" s="1323" t="e">
        <f>SUM(BD311:BH316)</f>
        <v>#REF!</v>
      </c>
      <c r="BE317" s="1323"/>
      <c r="BF317" s="1323"/>
      <c r="BG317" s="1323"/>
      <c r="BH317" s="1323"/>
      <c r="BI317" s="1323" t="e">
        <f>SUM(BI311:BM316)</f>
        <v>#REF!</v>
      </c>
      <c r="BJ317" s="1323"/>
      <c r="BK317" s="1323"/>
      <c r="BL317" s="1323"/>
      <c r="BM317" s="1323"/>
      <c r="BN317" s="1318"/>
      <c r="BO317" s="1318"/>
      <c r="BP317" s="1318"/>
    </row>
    <row r="318" spans="1:81" s="361" customFormat="1" ht="12.75" customHeight="1">
      <c r="A318" s="355"/>
      <c r="B318" s="1310" t="e">
        <f>'PLANILHA '!#REF!</f>
        <v>#REF!</v>
      </c>
      <c r="C318" s="1310"/>
      <c r="D318" s="1311" t="e">
        <f>'PLANILHA '!#REF!</f>
        <v>#REF!</v>
      </c>
      <c r="E318" s="1311"/>
      <c r="F318" s="1311"/>
      <c r="G318" s="1311"/>
      <c r="H318" s="1311"/>
      <c r="I318" s="1311"/>
      <c r="J318" s="1311"/>
      <c r="K318" s="1311"/>
      <c r="L318" s="1311"/>
      <c r="M318" s="1311"/>
      <c r="N318" s="1311"/>
      <c r="O318" s="1311"/>
      <c r="P318" s="1311"/>
      <c r="Q318" s="1311"/>
      <c r="R318" s="1312" t="e">
        <f>'PLANILHA '!#REF!</f>
        <v>#REF!</v>
      </c>
      <c r="S318" s="1312"/>
      <c r="T318" s="1313" t="e">
        <f>'PLANILHA '!#REF!</f>
        <v>#REF!</v>
      </c>
      <c r="U318" s="1313"/>
      <c r="V318" s="1313"/>
      <c r="W318" s="1313" t="e">
        <f>'PLANILHA '!#REF!</f>
        <v>#REF!</v>
      </c>
      <c r="X318" s="1313"/>
      <c r="Y318" s="1313"/>
      <c r="Z318" s="1320"/>
      <c r="AA318" s="1320"/>
      <c r="AB318" s="1320"/>
      <c r="AC318" s="1320"/>
      <c r="AD318" s="1315"/>
      <c r="AE318" s="1315"/>
      <c r="AF318" s="1315"/>
      <c r="AG318" s="1316"/>
      <c r="AH318" s="1316"/>
      <c r="AI318" s="1316"/>
      <c r="AJ318" s="1316"/>
      <c r="AK318" s="1315"/>
      <c r="AL318" s="1315"/>
      <c r="AM318" s="1315"/>
      <c r="AN318" s="1315"/>
      <c r="AO318" s="1315"/>
      <c r="AP318" s="1317" t="e">
        <f>'PLANILHA '!#REF!</f>
        <v>#REF!</v>
      </c>
      <c r="AQ318" s="1317"/>
      <c r="AR318" s="1317"/>
      <c r="AS318" s="1317"/>
      <c r="AT318" s="1317"/>
      <c r="AU318" s="1316"/>
      <c r="AV318" s="1316"/>
      <c r="AW318" s="1316"/>
      <c r="AX318" s="1316"/>
      <c r="AY318" s="1316"/>
      <c r="AZ318" s="1316"/>
      <c r="BA318" s="1316"/>
      <c r="BB318" s="1316"/>
      <c r="BC318" s="1316"/>
      <c r="BD318" s="1316"/>
      <c r="BE318" s="1316"/>
      <c r="BF318" s="1316"/>
      <c r="BG318" s="1316"/>
      <c r="BH318" s="1316"/>
      <c r="BI318" s="1316"/>
      <c r="BJ318" s="1316"/>
      <c r="BK318" s="1316"/>
      <c r="BL318" s="1316"/>
      <c r="BM318" s="1316"/>
      <c r="BN318" s="1318"/>
      <c r="BO318" s="1318"/>
      <c r="BP318" s="1318"/>
    </row>
    <row r="319" spans="1:81" s="361" customFormat="1" ht="12.75" customHeight="1">
      <c r="A319" s="355"/>
      <c r="B319" s="1310" t="e">
        <f>'PLANILHA '!#REF!</f>
        <v>#REF!</v>
      </c>
      <c r="C319" s="1310"/>
      <c r="D319" s="1311" t="e">
        <f>'PLANILHA '!#REF!</f>
        <v>#REF!</v>
      </c>
      <c r="E319" s="1311"/>
      <c r="F319" s="1311"/>
      <c r="G319" s="1311"/>
      <c r="H319" s="1311"/>
      <c r="I319" s="1311"/>
      <c r="J319" s="1311"/>
      <c r="K319" s="1311"/>
      <c r="L319" s="1311"/>
      <c r="M319" s="1311"/>
      <c r="N319" s="1311"/>
      <c r="O319" s="1311"/>
      <c r="P319" s="1311"/>
      <c r="Q319" s="1311"/>
      <c r="R319" s="1312" t="e">
        <f>'PLANILHA '!#REF!</f>
        <v>#REF!</v>
      </c>
      <c r="S319" s="1312"/>
      <c r="T319" s="1313" t="e">
        <f>'PLANILHA '!#REF!</f>
        <v>#REF!</v>
      </c>
      <c r="U319" s="1313"/>
      <c r="V319" s="1313"/>
      <c r="W319" s="1313" t="e">
        <f>'PLANILHA '!#REF!</f>
        <v>#REF!</v>
      </c>
      <c r="X319" s="1313"/>
      <c r="Y319" s="1313"/>
      <c r="Z319" s="1320"/>
      <c r="AA319" s="1320"/>
      <c r="AB319" s="1320"/>
      <c r="AC319" s="1320"/>
      <c r="AD319" s="1333"/>
      <c r="AE319" s="1333"/>
      <c r="AF319" s="1333"/>
      <c r="AG319" s="1321"/>
      <c r="AH319" s="1321"/>
      <c r="AI319" s="1321"/>
      <c r="AJ319" s="1321"/>
      <c r="AK319" s="1326"/>
      <c r="AL319" s="1326"/>
      <c r="AM319" s="1326"/>
      <c r="AN319" s="1326"/>
      <c r="AO319" s="1326"/>
      <c r="AP319" s="1317" t="e">
        <f>'PLANILHA '!#REF!</f>
        <v>#REF!</v>
      </c>
      <c r="AQ319" s="1317"/>
      <c r="AR319" s="1317"/>
      <c r="AS319" s="1317"/>
      <c r="AT319" s="1317"/>
      <c r="AU319" s="1322"/>
      <c r="AV319" s="1322"/>
      <c r="AW319" s="1322"/>
      <c r="AX319" s="1322"/>
      <c r="AY319" s="1322"/>
      <c r="AZ319" s="1323"/>
      <c r="BA319" s="1323"/>
      <c r="BB319" s="1323"/>
      <c r="BC319" s="1323"/>
      <c r="BD319" s="1323"/>
      <c r="BE319" s="1323"/>
      <c r="BF319" s="1323"/>
      <c r="BG319" s="1323"/>
      <c r="BH319" s="1323"/>
      <c r="BI319" s="1323"/>
      <c r="BJ319" s="1323"/>
      <c r="BK319" s="1323"/>
      <c r="BL319" s="1323"/>
      <c r="BM319" s="1323"/>
      <c r="BN319" s="1324" t="str">
        <f>IF(AD319&lt;&gt;"",AG319/Z319,"")</f>
        <v/>
      </c>
      <c r="BO319" s="1324"/>
      <c r="BP319" s="1324"/>
    </row>
    <row r="320" spans="1:81" ht="12.75" customHeight="1">
      <c r="B320" s="1310" t="e">
        <f>'PLANILHA '!#REF!</f>
        <v>#REF!</v>
      </c>
      <c r="C320" s="1310"/>
      <c r="D320" s="1311" t="e">
        <f>'PLANILHA '!#REF!</f>
        <v>#REF!</v>
      </c>
      <c r="E320" s="1311"/>
      <c r="F320" s="1311"/>
      <c r="G320" s="1311"/>
      <c r="H320" s="1311"/>
      <c r="I320" s="1311"/>
      <c r="J320" s="1311"/>
      <c r="K320" s="1311"/>
      <c r="L320" s="1311"/>
      <c r="M320" s="1311"/>
      <c r="N320" s="1311"/>
      <c r="O320" s="1311"/>
      <c r="P320" s="1311"/>
      <c r="Q320" s="1311"/>
      <c r="R320" s="1312" t="e">
        <f>'PLANILHA '!#REF!</f>
        <v>#REF!</v>
      </c>
      <c r="S320" s="1312"/>
      <c r="T320" s="1313" t="e">
        <f>'PLANILHA '!#REF!</f>
        <v>#REF!</v>
      </c>
      <c r="U320" s="1313"/>
      <c r="V320" s="1313"/>
      <c r="W320" s="1313" t="e">
        <f>'PLANILHA '!#REF!</f>
        <v>#REF!</v>
      </c>
      <c r="X320" s="1313"/>
      <c r="Y320" s="1313"/>
      <c r="Z320" s="1320"/>
      <c r="AA320" s="1320"/>
      <c r="AB320" s="1320"/>
      <c r="AC320" s="1320"/>
      <c r="AD320" s="1315"/>
      <c r="AE320" s="1315"/>
      <c r="AF320" s="1315"/>
      <c r="AG320" s="1321" t="e">
        <f>ROUND(W320*AD320,2)</f>
        <v>#REF!</v>
      </c>
      <c r="AH320" s="1321"/>
      <c r="AI320" s="1321"/>
      <c r="AJ320" s="1321"/>
      <c r="AK320" s="1327"/>
      <c r="AL320" s="1327"/>
      <c r="AM320" s="1327"/>
      <c r="AN320" s="1327"/>
      <c r="AO320" s="1327"/>
      <c r="AP320" s="1317" t="e">
        <f>'PLANILHA '!#REF!</f>
        <v>#REF!</v>
      </c>
      <c r="AQ320" s="1317"/>
      <c r="AR320" s="1317"/>
      <c r="AS320" s="1317"/>
      <c r="AT320" s="1317"/>
      <c r="AU320" s="1322" t="e">
        <f>AK320+AP320</f>
        <v>#REF!</v>
      </c>
      <c r="AV320" s="1322"/>
      <c r="AW320" s="1322"/>
      <c r="AX320" s="1322"/>
      <c r="AY320" s="1322"/>
      <c r="AZ320" s="1323" t="e">
        <f>$W320*AK320</f>
        <v>#REF!</v>
      </c>
      <c r="BA320" s="1323"/>
      <c r="BB320" s="1323"/>
      <c r="BC320" s="1323"/>
      <c r="BD320" s="1323" t="e">
        <f>$W320*AP320</f>
        <v>#REF!</v>
      </c>
      <c r="BE320" s="1323"/>
      <c r="BF320" s="1323"/>
      <c r="BG320" s="1323"/>
      <c r="BH320" s="1323"/>
      <c r="BI320" s="1323" t="e">
        <f>ROUND(AZ320+BD320,2)</f>
        <v>#REF!</v>
      </c>
      <c r="BJ320" s="1323"/>
      <c r="BK320" s="1323"/>
      <c r="BL320" s="1323"/>
      <c r="BM320" s="1323"/>
      <c r="BN320" s="1318"/>
      <c r="BO320" s="1318"/>
      <c r="BP320" s="1318"/>
      <c r="BQ320" s="361"/>
      <c r="BR320" s="361"/>
      <c r="BS320" s="361"/>
      <c r="BT320" s="361"/>
      <c r="BU320" s="361"/>
      <c r="BV320" s="361"/>
      <c r="BW320" s="361"/>
      <c r="BX320" s="361"/>
      <c r="BY320" s="361"/>
      <c r="BZ320" s="361"/>
      <c r="CA320" s="361"/>
      <c r="CB320" s="361"/>
      <c r="CC320" s="361"/>
    </row>
    <row r="321" spans="2:81" ht="12.75" customHeight="1">
      <c r="B321" s="1310" t="e">
        <f>'PLANILHA '!#REF!</f>
        <v>#REF!</v>
      </c>
      <c r="C321" s="1310"/>
      <c r="D321" s="1311" t="e">
        <f>'PLANILHA '!#REF!</f>
        <v>#REF!</v>
      </c>
      <c r="E321" s="1311"/>
      <c r="F321" s="1311"/>
      <c r="G321" s="1311"/>
      <c r="H321" s="1311"/>
      <c r="I321" s="1311"/>
      <c r="J321" s="1311"/>
      <c r="K321" s="1311"/>
      <c r="L321" s="1311"/>
      <c r="M321" s="1311"/>
      <c r="N321" s="1311"/>
      <c r="O321" s="1311"/>
      <c r="P321" s="1311"/>
      <c r="Q321" s="1311"/>
      <c r="R321" s="1312" t="e">
        <f>'PLANILHA '!#REF!</f>
        <v>#REF!</v>
      </c>
      <c r="S321" s="1312"/>
      <c r="T321" s="1313" t="e">
        <f>'PLANILHA '!#REF!</f>
        <v>#REF!</v>
      </c>
      <c r="U321" s="1313"/>
      <c r="V321" s="1313"/>
      <c r="W321" s="1313" t="e">
        <f>'PLANILHA '!#REF!</f>
        <v>#REF!</v>
      </c>
      <c r="X321" s="1313"/>
      <c r="Y321" s="1313"/>
      <c r="Z321" s="1320"/>
      <c r="AA321" s="1320"/>
      <c r="AB321" s="1320"/>
      <c r="AC321" s="1320"/>
      <c r="AD321" s="1315"/>
      <c r="AE321" s="1315"/>
      <c r="AF321" s="1315"/>
      <c r="AG321" s="1321" t="e">
        <f>ROUND(W321*AD321,2)</f>
        <v>#REF!</v>
      </c>
      <c r="AH321" s="1321"/>
      <c r="AI321" s="1321"/>
      <c r="AJ321" s="1321"/>
      <c r="AK321" s="1327"/>
      <c r="AL321" s="1327"/>
      <c r="AM321" s="1327"/>
      <c r="AN321" s="1327"/>
      <c r="AO321" s="1327"/>
      <c r="AP321" s="1317" t="e">
        <f>'PLANILHA '!#REF!</f>
        <v>#REF!</v>
      </c>
      <c r="AQ321" s="1317"/>
      <c r="AR321" s="1317"/>
      <c r="AS321" s="1317"/>
      <c r="AT321" s="1317"/>
      <c r="AU321" s="1322" t="e">
        <f>AK321+AP321</f>
        <v>#REF!</v>
      </c>
      <c r="AV321" s="1322"/>
      <c r="AW321" s="1322"/>
      <c r="AX321" s="1322"/>
      <c r="AY321" s="1322"/>
      <c r="AZ321" s="1323" t="e">
        <f>$W321*AK321</f>
        <v>#REF!</v>
      </c>
      <c r="BA321" s="1323"/>
      <c r="BB321" s="1323"/>
      <c r="BC321" s="1323"/>
      <c r="BD321" s="1323" t="e">
        <f>$W321*AP321</f>
        <v>#REF!</v>
      </c>
      <c r="BE321" s="1323"/>
      <c r="BF321" s="1323"/>
      <c r="BG321" s="1323"/>
      <c r="BH321" s="1323"/>
      <c r="BI321" s="1323" t="e">
        <f>ROUND(AZ321+BD321,2)</f>
        <v>#REF!</v>
      </c>
      <c r="BJ321" s="1323"/>
      <c r="BK321" s="1323"/>
      <c r="BL321" s="1323"/>
      <c r="BM321" s="1323"/>
      <c r="BN321" s="1318"/>
      <c r="BO321" s="1318"/>
      <c r="BP321" s="1318"/>
      <c r="BQ321" s="361"/>
      <c r="BR321" s="361"/>
      <c r="BS321" s="361"/>
      <c r="BT321" s="361"/>
      <c r="BU321" s="361"/>
      <c r="BV321" s="361"/>
      <c r="BW321" s="361"/>
      <c r="BX321" s="361"/>
      <c r="BY321" s="361"/>
      <c r="BZ321" s="361"/>
      <c r="CA321" s="361"/>
      <c r="CB321" s="361"/>
      <c r="CC321" s="361"/>
    </row>
    <row r="322" spans="2:81" ht="12.75" customHeight="1">
      <c r="B322" s="1310" t="e">
        <f>'PLANILHA '!#REF!</f>
        <v>#REF!</v>
      </c>
      <c r="C322" s="1310"/>
      <c r="D322" s="1311" t="e">
        <f>'PLANILHA '!#REF!</f>
        <v>#REF!</v>
      </c>
      <c r="E322" s="1311"/>
      <c r="F322" s="1311"/>
      <c r="G322" s="1311"/>
      <c r="H322" s="1311"/>
      <c r="I322" s="1311"/>
      <c r="J322" s="1311"/>
      <c r="K322" s="1311"/>
      <c r="L322" s="1311"/>
      <c r="M322" s="1311"/>
      <c r="N322" s="1311"/>
      <c r="O322" s="1311"/>
      <c r="P322" s="1311"/>
      <c r="Q322" s="1311"/>
      <c r="R322" s="1312" t="e">
        <f>'PLANILHA '!#REF!</f>
        <v>#REF!</v>
      </c>
      <c r="S322" s="1312"/>
      <c r="T322" s="1313" t="e">
        <f>'PLANILHA '!#REF!</f>
        <v>#REF!</v>
      </c>
      <c r="U322" s="1313"/>
      <c r="V322" s="1313"/>
      <c r="W322" s="1313" t="e">
        <f>'PLANILHA '!#REF!</f>
        <v>#REF!</v>
      </c>
      <c r="X322" s="1313"/>
      <c r="Y322" s="1313"/>
      <c r="Z322" s="1320"/>
      <c r="AA322" s="1320"/>
      <c r="AB322" s="1320"/>
      <c r="AC322" s="1320"/>
      <c r="AD322" s="1315"/>
      <c r="AE322" s="1315"/>
      <c r="AF322" s="1315"/>
      <c r="AG322" s="1316"/>
      <c r="AH322" s="1316"/>
      <c r="AI322" s="1316"/>
      <c r="AJ322" s="1316"/>
      <c r="AK322" s="1315"/>
      <c r="AL322" s="1315"/>
      <c r="AM322" s="1315"/>
      <c r="AN322" s="1315"/>
      <c r="AO322" s="1315"/>
      <c r="AP322" s="1317" t="e">
        <f>'PLANILHA '!#REF!</f>
        <v>#REF!</v>
      </c>
      <c r="AQ322" s="1317"/>
      <c r="AR322" s="1317"/>
      <c r="AS322" s="1317"/>
      <c r="AT322" s="1317"/>
      <c r="AU322" s="1316"/>
      <c r="AV322" s="1316"/>
      <c r="AW322" s="1316"/>
      <c r="AX322" s="1316"/>
      <c r="AY322" s="1316"/>
      <c r="AZ322" s="1316"/>
      <c r="BA322" s="1316"/>
      <c r="BB322" s="1316"/>
      <c r="BC322" s="1316"/>
      <c r="BD322" s="1316"/>
      <c r="BE322" s="1316"/>
      <c r="BF322" s="1316"/>
      <c r="BG322" s="1316"/>
      <c r="BH322" s="1316"/>
      <c r="BI322" s="1316"/>
      <c r="BJ322" s="1316"/>
      <c r="BK322" s="1316"/>
      <c r="BL322" s="1316"/>
      <c r="BM322" s="1316"/>
      <c r="BN322" s="1318"/>
      <c r="BO322" s="1318"/>
      <c r="BP322" s="1318"/>
      <c r="BQ322" s="361"/>
      <c r="BR322" s="361"/>
      <c r="BS322" s="361"/>
      <c r="BT322" s="361"/>
      <c r="BU322" s="361"/>
      <c r="BV322" s="361"/>
      <c r="BW322" s="361"/>
      <c r="BX322" s="361"/>
      <c r="BY322" s="361"/>
      <c r="BZ322" s="361"/>
      <c r="CA322" s="361"/>
      <c r="CB322" s="361"/>
      <c r="CC322" s="361"/>
    </row>
    <row r="323" spans="2:81" ht="12.75" customHeight="1">
      <c r="B323" s="1310" t="e">
        <f>'PLANILHA '!#REF!</f>
        <v>#REF!</v>
      </c>
      <c r="C323" s="1310"/>
      <c r="D323" s="1311" t="e">
        <f>'PLANILHA '!#REF!</f>
        <v>#REF!</v>
      </c>
      <c r="E323" s="1311"/>
      <c r="F323" s="1311"/>
      <c r="G323" s="1311"/>
      <c r="H323" s="1311"/>
      <c r="I323" s="1311"/>
      <c r="J323" s="1311"/>
      <c r="K323" s="1311"/>
      <c r="L323" s="1311"/>
      <c r="M323" s="1311"/>
      <c r="N323" s="1311"/>
      <c r="O323" s="1311"/>
      <c r="P323" s="1311"/>
      <c r="Q323" s="1311"/>
      <c r="R323" s="1312" t="e">
        <f>'PLANILHA '!#REF!</f>
        <v>#REF!</v>
      </c>
      <c r="S323" s="1312"/>
      <c r="T323" s="1313" t="e">
        <f>'PLANILHA '!#REF!</f>
        <v>#REF!</v>
      </c>
      <c r="U323" s="1313"/>
      <c r="V323" s="1313"/>
      <c r="W323" s="1313" t="e">
        <f>'PLANILHA '!#REF!</f>
        <v>#REF!</v>
      </c>
      <c r="X323" s="1313"/>
      <c r="Y323" s="1313"/>
      <c r="Z323" s="1320"/>
      <c r="AA323" s="1320"/>
      <c r="AB323" s="1320"/>
      <c r="AC323" s="1320"/>
      <c r="AD323" s="1333"/>
      <c r="AE323" s="1333"/>
      <c r="AF323" s="1333"/>
      <c r="AG323" s="1321" t="e">
        <f>ROUND(W323*AD323,2)</f>
        <v>#REF!</v>
      </c>
      <c r="AH323" s="1321"/>
      <c r="AI323" s="1321"/>
      <c r="AJ323" s="1321"/>
      <c r="AK323" s="1326"/>
      <c r="AL323" s="1326"/>
      <c r="AM323" s="1326"/>
      <c r="AN323" s="1326"/>
      <c r="AO323" s="1326"/>
      <c r="AP323" s="1317" t="e">
        <f>'PLANILHA '!#REF!</f>
        <v>#REF!</v>
      </c>
      <c r="AQ323" s="1317"/>
      <c r="AR323" s="1317"/>
      <c r="AS323" s="1317"/>
      <c r="AT323" s="1317"/>
      <c r="AU323" s="1322" t="e">
        <f>AK323+AP323</f>
        <v>#REF!</v>
      </c>
      <c r="AV323" s="1322"/>
      <c r="AW323" s="1322"/>
      <c r="AX323" s="1322"/>
      <c r="AY323" s="1322"/>
      <c r="AZ323" s="1323" t="e">
        <f>$W323*AK323</f>
        <v>#REF!</v>
      </c>
      <c r="BA323" s="1323"/>
      <c r="BB323" s="1323"/>
      <c r="BC323" s="1323"/>
      <c r="BD323" s="1323" t="e">
        <f>$W323*AP323</f>
        <v>#REF!</v>
      </c>
      <c r="BE323" s="1323"/>
      <c r="BF323" s="1323"/>
      <c r="BG323" s="1323"/>
      <c r="BH323" s="1323"/>
      <c r="BI323" s="1323" t="e">
        <f>ROUND(AZ323+BD323,2)</f>
        <v>#REF!</v>
      </c>
      <c r="BJ323" s="1323"/>
      <c r="BK323" s="1323"/>
      <c r="BL323" s="1323"/>
      <c r="BM323" s="1323"/>
      <c r="BN323" s="1324" t="str">
        <f>IF(AD323&lt;&gt;"",AG323/Z323,"")</f>
        <v/>
      </c>
      <c r="BO323" s="1324"/>
      <c r="BP323" s="1324"/>
      <c r="BQ323" s="361"/>
      <c r="BR323" s="361"/>
      <c r="BS323" s="361"/>
      <c r="BT323" s="361"/>
      <c r="BU323" s="361"/>
      <c r="BV323" s="361"/>
      <c r="BW323" s="361"/>
      <c r="BX323" s="361"/>
      <c r="BY323" s="361"/>
      <c r="BZ323" s="361"/>
      <c r="CA323" s="361"/>
      <c r="CB323" s="361"/>
      <c r="CC323" s="361"/>
    </row>
    <row r="324" spans="2:81" ht="12.75" customHeight="1">
      <c r="B324" s="1310" t="e">
        <f>'PLANILHA '!#REF!</f>
        <v>#REF!</v>
      </c>
      <c r="C324" s="1310"/>
      <c r="D324" s="1311" t="e">
        <f>'PLANILHA '!#REF!</f>
        <v>#REF!</v>
      </c>
      <c r="E324" s="1311"/>
      <c r="F324" s="1311"/>
      <c r="G324" s="1311"/>
      <c r="H324" s="1311"/>
      <c r="I324" s="1311"/>
      <c r="J324" s="1311"/>
      <c r="K324" s="1311"/>
      <c r="L324" s="1311"/>
      <c r="M324" s="1311"/>
      <c r="N324" s="1311"/>
      <c r="O324" s="1311"/>
      <c r="P324" s="1311"/>
      <c r="Q324" s="1311"/>
      <c r="R324" s="1312" t="e">
        <f>'PLANILHA '!#REF!</f>
        <v>#REF!</v>
      </c>
      <c r="S324" s="1312"/>
      <c r="T324" s="1313" t="e">
        <f>'PLANILHA '!#REF!</f>
        <v>#REF!</v>
      </c>
      <c r="U324" s="1313"/>
      <c r="V324" s="1313"/>
      <c r="W324" s="1313" t="e">
        <f>'PLANILHA '!#REF!</f>
        <v>#REF!</v>
      </c>
      <c r="X324" s="1313"/>
      <c r="Y324" s="1313"/>
      <c r="Z324" s="1320"/>
      <c r="AA324" s="1320"/>
      <c r="AB324" s="1320"/>
      <c r="AC324" s="1320"/>
      <c r="AD324" s="1315"/>
      <c r="AE324" s="1315"/>
      <c r="AF324" s="1315"/>
      <c r="AG324" s="1321" t="e">
        <f>ROUND(W324*AD324,2)</f>
        <v>#REF!</v>
      </c>
      <c r="AH324" s="1321"/>
      <c r="AI324" s="1321"/>
      <c r="AJ324" s="1321"/>
      <c r="AK324" s="1315"/>
      <c r="AL324" s="1315"/>
      <c r="AM324" s="1315"/>
      <c r="AN324" s="1315"/>
      <c r="AO324" s="1315"/>
      <c r="AP324" s="1317" t="e">
        <f>'PLANILHA '!#REF!</f>
        <v>#REF!</v>
      </c>
      <c r="AQ324" s="1317"/>
      <c r="AR324" s="1317"/>
      <c r="AS324" s="1317"/>
      <c r="AT324" s="1317"/>
      <c r="AU324" s="1322" t="e">
        <f>AK324+AP324</f>
        <v>#REF!</v>
      </c>
      <c r="AV324" s="1322"/>
      <c r="AW324" s="1322"/>
      <c r="AX324" s="1322"/>
      <c r="AY324" s="1322"/>
      <c r="AZ324" s="1323" t="e">
        <f>$W324*AK324</f>
        <v>#REF!</v>
      </c>
      <c r="BA324" s="1323"/>
      <c r="BB324" s="1323"/>
      <c r="BC324" s="1323"/>
      <c r="BD324" s="1323" t="e">
        <f>$W324*AP324</f>
        <v>#REF!</v>
      </c>
      <c r="BE324" s="1323"/>
      <c r="BF324" s="1323"/>
      <c r="BG324" s="1323"/>
      <c r="BH324" s="1323"/>
      <c r="BI324" s="1323" t="e">
        <f>ROUND(AZ324+BD324,2)</f>
        <v>#REF!</v>
      </c>
      <c r="BJ324" s="1323"/>
      <c r="BK324" s="1323"/>
      <c r="BL324" s="1323"/>
      <c r="BM324" s="1323"/>
      <c r="BN324" s="1318"/>
      <c r="BO324" s="1318"/>
      <c r="BP324" s="1318"/>
      <c r="BQ324" s="361"/>
      <c r="BR324" s="361"/>
      <c r="BS324" s="361"/>
      <c r="BT324" s="361"/>
      <c r="BU324" s="361"/>
      <c r="BV324" s="361"/>
      <c r="BW324" s="361"/>
      <c r="BX324" s="361"/>
      <c r="BY324" s="361"/>
      <c r="BZ324" s="361"/>
      <c r="CA324" s="361"/>
      <c r="CB324" s="361"/>
      <c r="CC324" s="361"/>
    </row>
    <row r="325" spans="2:81" ht="12.75" customHeight="1">
      <c r="B325" s="1310" t="e">
        <f>'PLANILHA '!#REF!</f>
        <v>#REF!</v>
      </c>
      <c r="C325" s="1310"/>
      <c r="D325" s="1311" t="e">
        <f>'PLANILHA '!#REF!</f>
        <v>#REF!</v>
      </c>
      <c r="E325" s="1311"/>
      <c r="F325" s="1311"/>
      <c r="G325" s="1311"/>
      <c r="H325" s="1311"/>
      <c r="I325" s="1311"/>
      <c r="J325" s="1311"/>
      <c r="K325" s="1311"/>
      <c r="L325" s="1311"/>
      <c r="M325" s="1311"/>
      <c r="N325" s="1311"/>
      <c r="O325" s="1311"/>
      <c r="P325" s="1311"/>
      <c r="Q325" s="1311"/>
      <c r="R325" s="1312" t="e">
        <f>'PLANILHA '!#REF!</f>
        <v>#REF!</v>
      </c>
      <c r="S325" s="1312"/>
      <c r="T325" s="1313" t="e">
        <f>'PLANILHA '!#REF!</f>
        <v>#REF!</v>
      </c>
      <c r="U325" s="1313"/>
      <c r="V325" s="1313"/>
      <c r="W325" s="1313" t="e">
        <f>'PLANILHA '!#REF!</f>
        <v>#REF!</v>
      </c>
      <c r="X325" s="1313"/>
      <c r="Y325" s="1313"/>
      <c r="Z325" s="1320"/>
      <c r="AA325" s="1320"/>
      <c r="AB325" s="1320"/>
      <c r="AC325" s="1320"/>
      <c r="AD325" s="1315"/>
      <c r="AE325" s="1315"/>
      <c r="AF325" s="1315"/>
      <c r="AG325" s="1316"/>
      <c r="AH325" s="1316"/>
      <c r="AI325" s="1316"/>
      <c r="AJ325" s="1316"/>
      <c r="AK325" s="1315"/>
      <c r="AL325" s="1315"/>
      <c r="AM325" s="1315"/>
      <c r="AN325" s="1315"/>
      <c r="AO325" s="1315"/>
      <c r="AP325" s="1317" t="e">
        <f>'PLANILHA '!#REF!</f>
        <v>#REF!</v>
      </c>
      <c r="AQ325" s="1317"/>
      <c r="AR325" s="1317"/>
      <c r="AS325" s="1317"/>
      <c r="AT325" s="1317"/>
      <c r="AU325" s="1322"/>
      <c r="AV325" s="1322"/>
      <c r="AW325" s="1322"/>
      <c r="AX325" s="1322"/>
      <c r="AY325" s="1322"/>
      <c r="AZ325" s="1323"/>
      <c r="BA325" s="1323"/>
      <c r="BB325" s="1323"/>
      <c r="BC325" s="1323"/>
      <c r="BD325" s="1323"/>
      <c r="BE325" s="1323"/>
      <c r="BF325" s="1323"/>
      <c r="BG325" s="1323"/>
      <c r="BH325" s="1323"/>
      <c r="BI325" s="1323"/>
      <c r="BJ325" s="1323"/>
      <c r="BK325" s="1323"/>
      <c r="BL325" s="1323"/>
      <c r="BM325" s="1323"/>
      <c r="BN325" s="1318"/>
      <c r="BO325" s="1318"/>
      <c r="BP325" s="1318"/>
      <c r="BQ325" s="361"/>
      <c r="BR325" s="361"/>
      <c r="BS325" s="361"/>
      <c r="BT325" s="361"/>
      <c r="BU325" s="361"/>
      <c r="BV325" s="361"/>
      <c r="BW325" s="361"/>
      <c r="BX325" s="361"/>
      <c r="BY325" s="361"/>
      <c r="BZ325" s="361"/>
      <c r="CA325" s="361"/>
      <c r="CB325" s="361"/>
      <c r="CC325" s="361"/>
    </row>
    <row r="326" spans="2:81" ht="12.75" customHeight="1">
      <c r="B326" s="1310" t="e">
        <f>'PLANILHA '!#REF!</f>
        <v>#REF!</v>
      </c>
      <c r="C326" s="1310"/>
      <c r="D326" s="1311"/>
      <c r="E326" s="1311"/>
      <c r="F326" s="1311"/>
      <c r="G326" s="1311"/>
      <c r="H326" s="1311"/>
      <c r="I326" s="1311"/>
      <c r="J326" s="1311"/>
      <c r="K326" s="1311"/>
      <c r="L326" s="1311"/>
      <c r="M326" s="1311"/>
      <c r="N326" s="1311"/>
      <c r="O326" s="1311"/>
      <c r="P326" s="1311"/>
      <c r="Q326" s="1311"/>
      <c r="R326" s="1312" t="e">
        <f>'PLANILHA '!#REF!</f>
        <v>#REF!</v>
      </c>
      <c r="S326" s="1312"/>
      <c r="T326" s="1313" t="e">
        <f>'PLANILHA '!#REF!</f>
        <v>#REF!</v>
      </c>
      <c r="U326" s="1313"/>
      <c r="V326" s="1313"/>
      <c r="W326" s="1313" t="e">
        <f>'PLANILHA '!#REF!</f>
        <v>#REF!</v>
      </c>
      <c r="X326" s="1313"/>
      <c r="Y326" s="1313"/>
      <c r="Z326" s="1320"/>
      <c r="AA326" s="1320"/>
      <c r="AB326" s="1320"/>
      <c r="AC326" s="1320"/>
      <c r="AD326" s="1315"/>
      <c r="AE326" s="1315"/>
      <c r="AF326" s="1315"/>
      <c r="AG326" s="1321"/>
      <c r="AH326" s="1321"/>
      <c r="AI326" s="1321"/>
      <c r="AJ326" s="1321"/>
      <c r="AK326" s="1315"/>
      <c r="AL326" s="1315"/>
      <c r="AM326" s="1315"/>
      <c r="AN326" s="1315"/>
      <c r="AO326" s="1315"/>
      <c r="AP326" s="1317"/>
      <c r="AQ326" s="1317"/>
      <c r="AR326" s="1317"/>
      <c r="AS326" s="1317"/>
      <c r="AT326" s="1317"/>
      <c r="AU326" s="1322"/>
      <c r="AV326" s="1322"/>
      <c r="AW326" s="1322"/>
      <c r="AX326" s="1322"/>
      <c r="AY326" s="1322"/>
      <c r="AZ326" s="1323"/>
      <c r="BA326" s="1323"/>
      <c r="BB326" s="1323"/>
      <c r="BC326" s="1323"/>
      <c r="BD326" s="1323"/>
      <c r="BE326" s="1323"/>
      <c r="BF326" s="1323"/>
      <c r="BG326" s="1323"/>
      <c r="BH326" s="1323"/>
      <c r="BI326" s="1323"/>
      <c r="BJ326" s="1323"/>
      <c r="BK326" s="1323"/>
      <c r="BL326" s="1323"/>
      <c r="BM326" s="1323"/>
      <c r="BN326" s="1318"/>
      <c r="BO326" s="1318"/>
      <c r="BP326" s="1318"/>
      <c r="BQ326" s="361"/>
      <c r="BR326" s="361"/>
      <c r="BS326" s="361"/>
      <c r="BT326" s="361"/>
      <c r="BU326" s="361"/>
      <c r="BV326" s="361"/>
      <c r="BW326" s="361"/>
      <c r="BX326" s="361"/>
      <c r="BY326" s="361"/>
      <c r="BZ326" s="361"/>
      <c r="CA326" s="361"/>
      <c r="CB326" s="361"/>
      <c r="CC326" s="361"/>
    </row>
    <row r="327" spans="2:81" ht="12.75" customHeight="1">
      <c r="B327" s="1310">
        <f>'PLANILHA '!A68</f>
        <v>10</v>
      </c>
      <c r="C327" s="1310"/>
      <c r="D327" s="1311" t="str">
        <f>'PLANILHA '!D68</f>
        <v>SERVIÇOS COMPLEMENTARES</v>
      </c>
      <c r="E327" s="1311"/>
      <c r="F327" s="1311"/>
      <c r="G327" s="1311"/>
      <c r="H327" s="1311"/>
      <c r="I327" s="1311"/>
      <c r="J327" s="1311"/>
      <c r="K327" s="1311"/>
      <c r="L327" s="1311"/>
      <c r="M327" s="1311"/>
      <c r="N327" s="1311"/>
      <c r="O327" s="1311"/>
      <c r="P327" s="1311"/>
      <c r="Q327" s="1311"/>
      <c r="R327" s="1312">
        <f>'PLANILHA '!E68</f>
        <v>0</v>
      </c>
      <c r="S327" s="1312"/>
      <c r="T327" s="1313">
        <f>'PLANILHA '!G68</f>
        <v>0</v>
      </c>
      <c r="U327" s="1313"/>
      <c r="V327" s="1313"/>
      <c r="W327" s="1329">
        <f>'PLANILHA '!F68</f>
        <v>0</v>
      </c>
      <c r="X327" s="1329"/>
      <c r="Y327" s="1329"/>
      <c r="Z327" s="1320"/>
      <c r="AA327" s="1320"/>
      <c r="AB327" s="1320"/>
      <c r="AC327" s="1320"/>
      <c r="AD327" s="1315"/>
      <c r="AE327" s="1315"/>
      <c r="AF327" s="1315"/>
      <c r="AG327" s="1321"/>
      <c r="AH327" s="1321"/>
      <c r="AI327" s="1321"/>
      <c r="AJ327" s="1321"/>
      <c r="AK327" s="1315"/>
      <c r="AL327" s="1315"/>
      <c r="AM327" s="1315"/>
      <c r="AN327" s="1315"/>
      <c r="AO327" s="1315"/>
      <c r="AP327" s="1317"/>
      <c r="AQ327" s="1317"/>
      <c r="AR327" s="1317"/>
      <c r="AS327" s="1317"/>
      <c r="AT327" s="1317"/>
      <c r="AU327" s="1322"/>
      <c r="AV327" s="1322"/>
      <c r="AW327" s="1322"/>
      <c r="AX327" s="1322"/>
      <c r="AY327" s="1322"/>
      <c r="AZ327" s="1323"/>
      <c r="BA327" s="1323"/>
      <c r="BB327" s="1323"/>
      <c r="BC327" s="1323"/>
      <c r="BD327" s="1323"/>
      <c r="BE327" s="1323"/>
      <c r="BF327" s="1323"/>
      <c r="BG327" s="1323"/>
      <c r="BH327" s="1323"/>
      <c r="BI327" s="1323"/>
      <c r="BJ327" s="1323"/>
      <c r="BK327" s="1323"/>
      <c r="BL327" s="1323"/>
      <c r="BM327" s="1323"/>
      <c r="BN327" s="1318"/>
      <c r="BO327" s="1318"/>
      <c r="BP327" s="1318"/>
      <c r="BQ327" s="361"/>
      <c r="BR327" s="361"/>
      <c r="BS327" s="361"/>
      <c r="BT327" s="361"/>
      <c r="BU327" s="361"/>
      <c r="BV327" s="361"/>
      <c r="BW327" s="361"/>
      <c r="BX327" s="361"/>
      <c r="BY327" s="361"/>
      <c r="BZ327" s="361"/>
      <c r="CA327" s="361"/>
      <c r="CB327" s="361"/>
      <c r="CC327" s="361"/>
    </row>
    <row r="328" spans="2:81" ht="12.75" customHeight="1">
      <c r="B328" s="1310" t="str">
        <f>'PLANILHA '!A69</f>
        <v>10.1</v>
      </c>
      <c r="C328" s="1310"/>
      <c r="D328" s="1311" t="str">
        <f>'PLANILHA '!D69</f>
        <v>EXECUÇÃO DE PASSEIO (CALÇADA) OU PISO DE CONCRETO COM CONCRETO MOLDADO</v>
      </c>
      <c r="E328" s="1311"/>
      <c r="F328" s="1311"/>
      <c r="G328" s="1311"/>
      <c r="H328" s="1311"/>
      <c r="I328" s="1311"/>
      <c r="J328" s="1311"/>
      <c r="K328" s="1311"/>
      <c r="L328" s="1311"/>
      <c r="M328" s="1311"/>
      <c r="N328" s="1311"/>
      <c r="O328" s="1311"/>
      <c r="P328" s="1311"/>
      <c r="Q328" s="1311"/>
      <c r="R328" s="1312" t="str">
        <f>'PLANILHA '!E69</f>
        <v>m2</v>
      </c>
      <c r="S328" s="1312"/>
      <c r="T328" s="1330">
        <f>'PLANILHA '!G69</f>
        <v>124.34</v>
      </c>
      <c r="U328" s="1330"/>
      <c r="V328" s="1330"/>
      <c r="W328" s="1329">
        <f>'PLANILHA '!F69</f>
        <v>26.08</v>
      </c>
      <c r="X328" s="1329"/>
      <c r="Y328" s="1329"/>
      <c r="Z328" s="1320"/>
      <c r="AA328" s="1320"/>
      <c r="AB328" s="1320"/>
      <c r="AC328" s="1320"/>
      <c r="AD328" s="1315"/>
      <c r="AE328" s="1315"/>
      <c r="AF328" s="1315"/>
      <c r="AG328" s="1321">
        <f>ROUND(W328*AD328,2)</f>
        <v>0</v>
      </c>
      <c r="AH328" s="1321"/>
      <c r="AI328" s="1321"/>
      <c r="AJ328" s="1321"/>
      <c r="AK328" s="1315"/>
      <c r="AL328" s="1315"/>
      <c r="AM328" s="1315"/>
      <c r="AN328" s="1315"/>
      <c r="AO328" s="1315"/>
      <c r="AP328" s="1317" t="e">
        <f>'PLANILHA '!#REF!</f>
        <v>#REF!</v>
      </c>
      <c r="AQ328" s="1317"/>
      <c r="AR328" s="1317"/>
      <c r="AS328" s="1317"/>
      <c r="AT328" s="1317"/>
      <c r="AU328" s="1322" t="e">
        <f>AK328+AP328</f>
        <v>#REF!</v>
      </c>
      <c r="AV328" s="1322"/>
      <c r="AW328" s="1322"/>
      <c r="AX328" s="1322"/>
      <c r="AY328" s="1322"/>
      <c r="AZ328" s="1323">
        <f>$W328*AK328</f>
        <v>0</v>
      </c>
      <c r="BA328" s="1323"/>
      <c r="BB328" s="1323"/>
      <c r="BC328" s="1323"/>
      <c r="BD328" s="1323" t="e">
        <f>$W328*AP328</f>
        <v>#REF!</v>
      </c>
      <c r="BE328" s="1323"/>
      <c r="BF328" s="1323"/>
      <c r="BG328" s="1323"/>
      <c r="BH328" s="1323"/>
      <c r="BI328" s="1323" t="e">
        <f>ROUND(AZ328+BD328,2)</f>
        <v>#REF!</v>
      </c>
      <c r="BJ328" s="1323"/>
      <c r="BK328" s="1323"/>
      <c r="BL328" s="1323"/>
      <c r="BM328" s="1323"/>
      <c r="BN328" s="1318"/>
      <c r="BO328" s="1318"/>
      <c r="BP328" s="1318"/>
      <c r="BQ328" s="361"/>
      <c r="BR328" s="361"/>
      <c r="BS328" s="361"/>
      <c r="BT328" s="361"/>
      <c r="BU328" s="361"/>
      <c r="BV328" s="361"/>
      <c r="BW328" s="361"/>
      <c r="BX328" s="361"/>
      <c r="BY328" s="361"/>
      <c r="BZ328" s="361"/>
      <c r="CA328" s="361"/>
      <c r="CB328" s="361"/>
      <c r="CC328" s="361"/>
    </row>
    <row r="329" spans="2:81" ht="12.75" customHeight="1">
      <c r="B329" s="1310" t="e">
        <f>'PLANILHA '!#REF!</f>
        <v>#REF!</v>
      </c>
      <c r="C329" s="1310"/>
      <c r="D329" s="1311" t="e">
        <f>'PLANILHA '!#REF!</f>
        <v>#REF!</v>
      </c>
      <c r="E329" s="1311"/>
      <c r="F329" s="1311"/>
      <c r="G329" s="1311"/>
      <c r="H329" s="1311"/>
      <c r="I329" s="1311"/>
      <c r="J329" s="1311"/>
      <c r="K329" s="1311"/>
      <c r="L329" s="1311"/>
      <c r="M329" s="1311"/>
      <c r="N329" s="1311"/>
      <c r="O329" s="1311"/>
      <c r="P329" s="1311"/>
      <c r="Q329" s="1311"/>
      <c r="R329" s="1312" t="e">
        <f>'PLANILHA '!#REF!</f>
        <v>#REF!</v>
      </c>
      <c r="S329" s="1312"/>
      <c r="T329" s="1313" t="e">
        <f>'PLANILHA '!#REF!</f>
        <v>#REF!</v>
      </c>
      <c r="U329" s="1313"/>
      <c r="V329" s="1313"/>
      <c r="W329" s="1313" t="e">
        <f>'PLANILHA '!#REF!</f>
        <v>#REF!</v>
      </c>
      <c r="X329" s="1313"/>
      <c r="Y329" s="1313"/>
      <c r="Z329" s="1320"/>
      <c r="AA329" s="1320"/>
      <c r="AB329" s="1320"/>
      <c r="AC329" s="1320"/>
      <c r="AD329" s="1315"/>
      <c r="AE329" s="1315"/>
      <c r="AF329" s="1315"/>
      <c r="AG329" s="1321"/>
      <c r="AH329" s="1321"/>
      <c r="AI329" s="1321"/>
      <c r="AJ329" s="1321"/>
      <c r="AK329" s="1315"/>
      <c r="AL329" s="1315"/>
      <c r="AM329" s="1315"/>
      <c r="AN329" s="1315"/>
      <c r="AO329" s="1315"/>
      <c r="AP329" s="1317" t="e">
        <f>'PLANILHA '!#REF!</f>
        <v>#REF!</v>
      </c>
      <c r="AQ329" s="1317"/>
      <c r="AR329" s="1317"/>
      <c r="AS329" s="1317"/>
      <c r="AT329" s="1317"/>
      <c r="AU329" s="1322" t="e">
        <f>AK329+AP329</f>
        <v>#REF!</v>
      </c>
      <c r="AV329" s="1322"/>
      <c r="AW329" s="1322"/>
      <c r="AX329" s="1322"/>
      <c r="AY329" s="1322"/>
      <c r="AZ329" s="1323"/>
      <c r="BA329" s="1323"/>
      <c r="BB329" s="1323"/>
      <c r="BC329" s="1323"/>
      <c r="BD329" s="1323"/>
      <c r="BE329" s="1323"/>
      <c r="BF329" s="1323"/>
      <c r="BG329" s="1323"/>
      <c r="BH329" s="1323"/>
      <c r="BI329" s="1323"/>
      <c r="BJ329" s="1323"/>
      <c r="BK329" s="1323"/>
      <c r="BL329" s="1323"/>
      <c r="BM329" s="1323"/>
      <c r="BN329" s="1318"/>
      <c r="BO329" s="1318"/>
      <c r="BP329" s="1318"/>
      <c r="BQ329" s="361"/>
      <c r="BR329" s="361"/>
      <c r="BS329" s="361"/>
      <c r="BT329" s="361"/>
      <c r="BU329" s="361"/>
      <c r="BV329" s="361"/>
      <c r="BW329" s="361"/>
      <c r="BX329" s="361"/>
      <c r="BY329" s="361"/>
      <c r="BZ329" s="361"/>
      <c r="CA329" s="361"/>
      <c r="CB329" s="361"/>
      <c r="CC329" s="361"/>
    </row>
    <row r="330" spans="2:81" ht="12.75" customHeight="1">
      <c r="B330" s="1310" t="e">
        <f>'PLANILHA '!#REF!</f>
        <v>#REF!</v>
      </c>
      <c r="C330" s="1310"/>
      <c r="D330" s="1311" t="e">
        <f>'PLANILHA '!#REF!</f>
        <v>#REF!</v>
      </c>
      <c r="E330" s="1311"/>
      <c r="F330" s="1311"/>
      <c r="G330" s="1311"/>
      <c r="H330" s="1311"/>
      <c r="I330" s="1311"/>
      <c r="J330" s="1311"/>
      <c r="K330" s="1311"/>
      <c r="L330" s="1311"/>
      <c r="M330" s="1311"/>
      <c r="N330" s="1311"/>
      <c r="O330" s="1311"/>
      <c r="P330" s="1311"/>
      <c r="Q330" s="1311"/>
      <c r="R330" s="1312" t="e">
        <f>'PLANILHA '!#REF!</f>
        <v>#REF!</v>
      </c>
      <c r="S330" s="1312"/>
      <c r="T330" s="1313" t="e">
        <f>'PLANILHA '!#REF!</f>
        <v>#REF!</v>
      </c>
      <c r="U330" s="1313"/>
      <c r="V330" s="1313"/>
      <c r="W330" s="1313" t="e">
        <f>'PLANILHA '!#REF!</f>
        <v>#REF!</v>
      </c>
      <c r="X330" s="1313"/>
      <c r="Y330" s="1313"/>
      <c r="Z330" s="1320"/>
      <c r="AA330" s="1320"/>
      <c r="AB330" s="1320"/>
      <c r="AC330" s="1320"/>
      <c r="AD330" s="1315"/>
      <c r="AE330" s="1315"/>
      <c r="AF330" s="1315"/>
      <c r="AG330" s="1321" t="e">
        <f>ROUND(W330*AD330,2)</f>
        <v>#REF!</v>
      </c>
      <c r="AH330" s="1321"/>
      <c r="AI330" s="1321"/>
      <c r="AJ330" s="1321"/>
      <c r="AK330" s="1315"/>
      <c r="AL330" s="1315"/>
      <c r="AM330" s="1315"/>
      <c r="AN330" s="1315"/>
      <c r="AO330" s="1315"/>
      <c r="AP330" s="1317" t="e">
        <f>'PLANILHA '!#REF!</f>
        <v>#REF!</v>
      </c>
      <c r="AQ330" s="1317"/>
      <c r="AR330" s="1317"/>
      <c r="AS330" s="1317"/>
      <c r="AT330" s="1317"/>
      <c r="AU330" s="1322" t="e">
        <f>AK330+AP330</f>
        <v>#REF!</v>
      </c>
      <c r="AV330" s="1322"/>
      <c r="AW330" s="1322"/>
      <c r="AX330" s="1322"/>
      <c r="AY330" s="1322"/>
      <c r="AZ330" s="1323" t="e">
        <f>$W330*AK330</f>
        <v>#REF!</v>
      </c>
      <c r="BA330" s="1323"/>
      <c r="BB330" s="1323"/>
      <c r="BC330" s="1323"/>
      <c r="BD330" s="1323" t="e">
        <f>$W330*AP330</f>
        <v>#REF!</v>
      </c>
      <c r="BE330" s="1323"/>
      <c r="BF330" s="1323"/>
      <c r="BG330" s="1323"/>
      <c r="BH330" s="1323"/>
      <c r="BI330" s="1323" t="e">
        <f>ROUND(AZ330+BD330,2)</f>
        <v>#REF!</v>
      </c>
      <c r="BJ330" s="1323"/>
      <c r="BK330" s="1323"/>
      <c r="BL330" s="1323"/>
      <c r="BM330" s="1323"/>
      <c r="BN330" s="1318"/>
      <c r="BO330" s="1318"/>
      <c r="BP330" s="1318"/>
      <c r="BQ330" s="361"/>
      <c r="BR330" s="361"/>
      <c r="BS330" s="361"/>
      <c r="BT330" s="361"/>
      <c r="BU330" s="361"/>
      <c r="BV330" s="361"/>
      <c r="BW330" s="361"/>
      <c r="BX330" s="361"/>
      <c r="BY330" s="361"/>
      <c r="BZ330" s="361"/>
      <c r="CA330" s="361"/>
      <c r="CB330" s="361"/>
      <c r="CC330" s="361"/>
    </row>
    <row r="331" spans="2:81" ht="12.75" customHeight="1">
      <c r="B331" s="1310" t="e">
        <f>'PLANILHA '!#REF!</f>
        <v>#REF!</v>
      </c>
      <c r="C331" s="1310"/>
      <c r="D331" s="1311" t="e">
        <f>'PLANILHA '!#REF!</f>
        <v>#REF!</v>
      </c>
      <c r="E331" s="1311"/>
      <c r="F331" s="1311"/>
      <c r="G331" s="1311"/>
      <c r="H331" s="1311"/>
      <c r="I331" s="1311"/>
      <c r="J331" s="1311"/>
      <c r="K331" s="1311"/>
      <c r="L331" s="1311"/>
      <c r="M331" s="1311"/>
      <c r="N331" s="1311"/>
      <c r="O331" s="1311"/>
      <c r="P331" s="1311"/>
      <c r="Q331" s="1311"/>
      <c r="R331" s="1312" t="e">
        <f>'PLANILHA '!#REF!</f>
        <v>#REF!</v>
      </c>
      <c r="S331" s="1312"/>
      <c r="T331" s="1313" t="e">
        <f>'PLANILHA '!#REF!</f>
        <v>#REF!</v>
      </c>
      <c r="U331" s="1313"/>
      <c r="V331" s="1313"/>
      <c r="W331" s="1313" t="e">
        <f>'PLANILHA '!#REF!</f>
        <v>#REF!</v>
      </c>
      <c r="X331" s="1313"/>
      <c r="Y331" s="1313"/>
      <c r="Z331" s="1325"/>
      <c r="AA331" s="1325"/>
      <c r="AB331" s="1325"/>
      <c r="AC331" s="1325"/>
      <c r="AD331" s="1333"/>
      <c r="AE331" s="1333"/>
      <c r="AF331" s="1333"/>
      <c r="AG331" s="1321"/>
      <c r="AH331" s="1321"/>
      <c r="AI331" s="1321"/>
      <c r="AJ331" s="1321"/>
      <c r="AK331" s="396"/>
      <c r="AL331" s="397"/>
      <c r="AM331" s="397"/>
      <c r="AN331" s="397"/>
      <c r="AO331" s="398"/>
      <c r="AP331" s="1317" t="e">
        <f>'PLANILHA '!#REF!</f>
        <v>#REF!</v>
      </c>
      <c r="AQ331" s="1317"/>
      <c r="AR331" s="1317"/>
      <c r="AS331" s="1317"/>
      <c r="AT331" s="1317"/>
      <c r="AU331" s="399"/>
      <c r="AV331" s="400"/>
      <c r="AW331" s="400"/>
      <c r="AX331" s="400"/>
      <c r="AY331" s="401"/>
      <c r="AZ331" s="1331" t="e">
        <f>SUM(AZ283:BC293)</f>
        <v>#REF!</v>
      </c>
      <c r="BA331" s="1331"/>
      <c r="BB331" s="1331"/>
      <c r="BC331" s="1331"/>
      <c r="BD331" s="1331"/>
      <c r="BE331" s="1331"/>
      <c r="BF331" s="1331"/>
      <c r="BG331" s="1331"/>
      <c r="BH331" s="1331"/>
      <c r="BI331" s="1331" t="e">
        <f>SUM(BI283:BM293)</f>
        <v>#REF!</v>
      </c>
      <c r="BJ331" s="1331"/>
      <c r="BK331" s="1331"/>
      <c r="BL331" s="1331"/>
      <c r="BM331" s="1331"/>
      <c r="BN331" s="402"/>
      <c r="BO331" s="403"/>
      <c r="BP331" s="404"/>
      <c r="BQ331" s="361"/>
      <c r="BR331" s="361"/>
      <c r="BS331" s="361"/>
      <c r="BT331" s="361"/>
      <c r="BU331" s="361"/>
      <c r="BV331" s="361"/>
      <c r="BW331" s="361"/>
      <c r="BX331" s="361"/>
      <c r="BY331" s="361"/>
      <c r="BZ331" s="361"/>
      <c r="CA331" s="361"/>
      <c r="CB331" s="361"/>
      <c r="CC331" s="361"/>
    </row>
    <row r="332" spans="2:81" ht="12.75" customHeight="1">
      <c r="B332" s="1310" t="e">
        <f>'PLANILHA '!#REF!</f>
        <v>#REF!</v>
      </c>
      <c r="C332" s="1310"/>
      <c r="D332" s="1311" t="e">
        <f>'PLANILHA '!#REF!</f>
        <v>#REF!</v>
      </c>
      <c r="E332" s="1311"/>
      <c r="F332" s="1311"/>
      <c r="G332" s="1311"/>
      <c r="H332" s="1311"/>
      <c r="I332" s="1311"/>
      <c r="J332" s="1311"/>
      <c r="K332" s="1311"/>
      <c r="L332" s="1311"/>
      <c r="M332" s="1311"/>
      <c r="N332" s="1311"/>
      <c r="O332" s="1311"/>
      <c r="P332" s="1311"/>
      <c r="Q332" s="1311"/>
      <c r="R332" s="1312" t="e">
        <f>'PLANILHA '!#REF!</f>
        <v>#REF!</v>
      </c>
      <c r="S332" s="1312"/>
      <c r="T332" s="1313" t="e">
        <f>'PLANILHA '!#REF!</f>
        <v>#REF!</v>
      </c>
      <c r="U332" s="1313"/>
      <c r="V332" s="1313"/>
      <c r="W332" s="1313" t="e">
        <f>'PLANILHA '!#REF!</f>
        <v>#REF!</v>
      </c>
      <c r="X332" s="1313"/>
      <c r="Y332" s="1313"/>
      <c r="Z332" s="1320"/>
      <c r="AA332" s="1320"/>
      <c r="AB332" s="1320"/>
      <c r="AC332" s="1320"/>
      <c r="AD332" s="1315"/>
      <c r="AE332" s="1315"/>
      <c r="AF332" s="1315"/>
      <c r="AG332" s="1316"/>
      <c r="AH332" s="1316"/>
      <c r="AI332" s="1316"/>
      <c r="AJ332" s="1316"/>
      <c r="AK332" s="1315"/>
      <c r="AL332" s="1315"/>
      <c r="AM332" s="1315"/>
      <c r="AN332" s="1315"/>
      <c r="AO332" s="1315"/>
      <c r="AP332" s="1317" t="e">
        <f>'PLANILHA '!#REF!</f>
        <v>#REF!</v>
      </c>
      <c r="AQ332" s="1317"/>
      <c r="AR332" s="1317"/>
      <c r="AS332" s="1317"/>
      <c r="AT332" s="1317"/>
      <c r="AU332" s="1316"/>
      <c r="AV332" s="1316"/>
      <c r="AW332" s="1316"/>
      <c r="AX332" s="1316"/>
      <c r="AY332" s="1316"/>
      <c r="AZ332" s="1316"/>
      <c r="BA332" s="1316"/>
      <c r="BB332" s="1316"/>
      <c r="BC332" s="1316"/>
      <c r="BD332" s="1323"/>
      <c r="BE332" s="1323"/>
      <c r="BF332" s="1323"/>
      <c r="BG332" s="1323"/>
      <c r="BH332" s="1323"/>
      <c r="BI332" s="1323"/>
      <c r="BJ332" s="1323"/>
      <c r="BK332" s="1323"/>
      <c r="BL332" s="1323"/>
      <c r="BM332" s="1323"/>
      <c r="BN332" s="1318"/>
      <c r="BO332" s="1318"/>
      <c r="BP332" s="1318"/>
      <c r="BQ332" s="361"/>
      <c r="BR332" s="361"/>
      <c r="BS332" s="361"/>
      <c r="BT332" s="361"/>
      <c r="BU332" s="361"/>
      <c r="BV332" s="361"/>
      <c r="BW332" s="361"/>
      <c r="BX332" s="361"/>
      <c r="BY332" s="361"/>
      <c r="BZ332" s="361"/>
      <c r="CA332" s="361"/>
      <c r="CB332" s="361"/>
      <c r="CC332" s="361"/>
    </row>
    <row r="333" spans="2:81" ht="12.75" customHeight="1">
      <c r="B333" s="1310" t="e">
        <f>'PLANILHA '!#REF!</f>
        <v>#REF!</v>
      </c>
      <c r="C333" s="1310"/>
      <c r="D333" s="1311" t="e">
        <f>'PLANILHA '!#REF!</f>
        <v>#REF!</v>
      </c>
      <c r="E333" s="1311"/>
      <c r="F333" s="1311"/>
      <c r="G333" s="1311"/>
      <c r="H333" s="1311"/>
      <c r="I333" s="1311"/>
      <c r="J333" s="1311"/>
      <c r="K333" s="1311"/>
      <c r="L333" s="1311"/>
      <c r="M333" s="1311"/>
      <c r="N333" s="1311"/>
      <c r="O333" s="1311"/>
      <c r="P333" s="1311"/>
      <c r="Q333" s="1311"/>
      <c r="R333" s="1312" t="e">
        <f>'PLANILHA '!#REF!</f>
        <v>#REF!</v>
      </c>
      <c r="S333" s="1312"/>
      <c r="T333" s="1313" t="e">
        <f>'PLANILHA '!#REF!</f>
        <v>#REF!</v>
      </c>
      <c r="U333" s="1313"/>
      <c r="V333" s="1313"/>
      <c r="W333" s="1313" t="e">
        <f>'PLANILHA '!#REF!</f>
        <v>#REF!</v>
      </c>
      <c r="X333" s="1313"/>
      <c r="Y333" s="1313"/>
      <c r="Z333" s="1320"/>
      <c r="AA333" s="1320"/>
      <c r="AB333" s="1320"/>
      <c r="AC333" s="1320"/>
      <c r="AD333" s="1315"/>
      <c r="AE333" s="1315"/>
      <c r="AF333" s="1315"/>
      <c r="AG333" s="1321" t="e">
        <f>ROUND(W333*AD333,2)</f>
        <v>#REF!</v>
      </c>
      <c r="AH333" s="1321"/>
      <c r="AI333" s="1321"/>
      <c r="AJ333" s="1321"/>
      <c r="AK333" s="1315"/>
      <c r="AL333" s="1315"/>
      <c r="AM333" s="1315"/>
      <c r="AN333" s="1315"/>
      <c r="AO333" s="1315"/>
      <c r="AP333" s="1317" t="e">
        <f>'PLANILHA '!#REF!</f>
        <v>#REF!</v>
      </c>
      <c r="AQ333" s="1317"/>
      <c r="AR333" s="1317"/>
      <c r="AS333" s="1317"/>
      <c r="AT333" s="1317"/>
      <c r="AU333" s="1322" t="e">
        <f>AK333+AP333</f>
        <v>#REF!</v>
      </c>
      <c r="AV333" s="1322"/>
      <c r="AW333" s="1322"/>
      <c r="AX333" s="1322"/>
      <c r="AY333" s="1322"/>
      <c r="AZ333" s="1323" t="e">
        <f>$W333*AK333</f>
        <v>#REF!</v>
      </c>
      <c r="BA333" s="1323"/>
      <c r="BB333" s="1323"/>
      <c r="BC333" s="1323"/>
      <c r="BD333" s="1323" t="e">
        <f>$W333*AP333</f>
        <v>#REF!</v>
      </c>
      <c r="BE333" s="1323"/>
      <c r="BF333" s="1323"/>
      <c r="BG333" s="1323"/>
      <c r="BH333" s="1323"/>
      <c r="BI333" s="1323" t="e">
        <f>ROUND(AZ333+BD333,2)</f>
        <v>#REF!</v>
      </c>
      <c r="BJ333" s="1323"/>
      <c r="BK333" s="1323"/>
      <c r="BL333" s="1323"/>
      <c r="BM333" s="1323"/>
      <c r="BN333" s="1318"/>
      <c r="BO333" s="1318"/>
      <c r="BP333" s="1318"/>
      <c r="BQ333" s="361"/>
      <c r="BR333" s="361"/>
      <c r="BS333" s="361"/>
      <c r="BT333" s="361"/>
      <c r="BU333" s="361"/>
      <c r="BV333" s="361"/>
      <c r="BW333" s="361"/>
      <c r="BX333" s="361"/>
      <c r="BY333" s="361"/>
      <c r="BZ333" s="361"/>
      <c r="CA333" s="361"/>
      <c r="CB333" s="361"/>
      <c r="CC333" s="361"/>
    </row>
    <row r="334" spans="2:81" ht="12.75" customHeight="1">
      <c r="B334" s="1310" t="e">
        <f>'PLANILHA '!#REF!</f>
        <v>#REF!</v>
      </c>
      <c r="C334" s="1310"/>
      <c r="D334" s="1311" t="e">
        <f>'PLANILHA '!#REF!</f>
        <v>#REF!</v>
      </c>
      <c r="E334" s="1311"/>
      <c r="F334" s="1311"/>
      <c r="G334" s="1311"/>
      <c r="H334" s="1311"/>
      <c r="I334" s="1311"/>
      <c r="J334" s="1311"/>
      <c r="K334" s="1311"/>
      <c r="L334" s="1311"/>
      <c r="M334" s="1311"/>
      <c r="N334" s="1311"/>
      <c r="O334" s="1311"/>
      <c r="P334" s="1311"/>
      <c r="Q334" s="1311"/>
      <c r="R334" s="1312" t="e">
        <f>'PLANILHA '!#REF!</f>
        <v>#REF!</v>
      </c>
      <c r="S334" s="1312"/>
      <c r="T334" s="1313" t="e">
        <f>'PLANILHA '!#REF!</f>
        <v>#REF!</v>
      </c>
      <c r="U334" s="1313"/>
      <c r="V334" s="1313"/>
      <c r="W334" s="1313" t="e">
        <f>'PLANILHA '!#REF!</f>
        <v>#REF!</v>
      </c>
      <c r="X334" s="1313"/>
      <c r="Y334" s="1313"/>
      <c r="Z334" s="1320"/>
      <c r="AA334" s="1320"/>
      <c r="AB334" s="1320"/>
      <c r="AC334" s="1320"/>
      <c r="AD334" s="1315"/>
      <c r="AE334" s="1315"/>
      <c r="AF334" s="1315"/>
      <c r="AG334" s="1321" t="e">
        <f>ROUND(W334*AD334,2)</f>
        <v>#REF!</v>
      </c>
      <c r="AH334" s="1321"/>
      <c r="AI334" s="1321"/>
      <c r="AJ334" s="1321"/>
      <c r="AK334" s="1315"/>
      <c r="AL334" s="1315"/>
      <c r="AM334" s="1315"/>
      <c r="AN334" s="1315"/>
      <c r="AO334" s="1315"/>
      <c r="AP334" s="1317" t="e">
        <f>'PLANILHA '!#REF!</f>
        <v>#REF!</v>
      </c>
      <c r="AQ334" s="1317"/>
      <c r="AR334" s="1317"/>
      <c r="AS334" s="1317"/>
      <c r="AT334" s="1317"/>
      <c r="AU334" s="1322" t="e">
        <f>AK334+AP334</f>
        <v>#REF!</v>
      </c>
      <c r="AV334" s="1322"/>
      <c r="AW334" s="1322"/>
      <c r="AX334" s="1322"/>
      <c r="AY334" s="1322"/>
      <c r="AZ334" s="1323" t="e">
        <f>$W334*AK334</f>
        <v>#REF!</v>
      </c>
      <c r="BA334" s="1323"/>
      <c r="BB334" s="1323"/>
      <c r="BC334" s="1323"/>
      <c r="BD334" s="1323" t="e">
        <f>$W334*AP334</f>
        <v>#REF!</v>
      </c>
      <c r="BE334" s="1323"/>
      <c r="BF334" s="1323"/>
      <c r="BG334" s="1323"/>
      <c r="BH334" s="1323"/>
      <c r="BI334" s="1323" t="e">
        <f>ROUND(AZ334+BD334,2)</f>
        <v>#REF!</v>
      </c>
      <c r="BJ334" s="1323"/>
      <c r="BK334" s="1323"/>
      <c r="BL334" s="1323"/>
      <c r="BM334" s="1323"/>
      <c r="BN334" s="1318"/>
      <c r="BO334" s="1318"/>
      <c r="BP334" s="1318"/>
      <c r="BQ334" s="361"/>
      <c r="BR334" s="361"/>
      <c r="BS334" s="361"/>
      <c r="BT334" s="361"/>
      <c r="BU334" s="361"/>
      <c r="BV334" s="361"/>
      <c r="BW334" s="361"/>
      <c r="BX334" s="361"/>
      <c r="BY334" s="361"/>
      <c r="BZ334" s="361"/>
      <c r="CA334" s="361"/>
      <c r="CB334" s="361"/>
      <c r="CC334" s="361"/>
    </row>
    <row r="335" spans="2:81" ht="12.75" customHeight="1">
      <c r="B335" s="1310" t="e">
        <f>'PLANILHA '!#REF!</f>
        <v>#REF!</v>
      </c>
      <c r="C335" s="1310"/>
      <c r="D335" s="1311" t="e">
        <f>'PLANILHA '!#REF!</f>
        <v>#REF!</v>
      </c>
      <c r="E335" s="1311"/>
      <c r="F335" s="1311"/>
      <c r="G335" s="1311"/>
      <c r="H335" s="1311"/>
      <c r="I335" s="1311"/>
      <c r="J335" s="1311"/>
      <c r="K335" s="1311"/>
      <c r="L335" s="1311"/>
      <c r="M335" s="1311"/>
      <c r="N335" s="1311"/>
      <c r="O335" s="1311"/>
      <c r="P335" s="1311"/>
      <c r="Q335" s="1311"/>
      <c r="R335" s="1312" t="e">
        <f>'PLANILHA '!#REF!</f>
        <v>#REF!</v>
      </c>
      <c r="S335" s="1312"/>
      <c r="T335" s="1313" t="e">
        <f>'PLANILHA '!#REF!</f>
        <v>#REF!</v>
      </c>
      <c r="U335" s="1313"/>
      <c r="V335" s="1313"/>
      <c r="W335" s="1313" t="e">
        <f>'PLANILHA '!#REF!</f>
        <v>#REF!</v>
      </c>
      <c r="X335" s="1313"/>
      <c r="Y335" s="1313"/>
      <c r="Z335" s="1320"/>
      <c r="AA335" s="1320"/>
      <c r="AB335" s="1320"/>
      <c r="AC335" s="1320"/>
      <c r="AD335" s="1315"/>
      <c r="AE335" s="1315"/>
      <c r="AF335" s="1315"/>
      <c r="AG335" s="1321" t="e">
        <f>ROUND(W335*AD335,2)</f>
        <v>#REF!</v>
      </c>
      <c r="AH335" s="1321"/>
      <c r="AI335" s="1321"/>
      <c r="AJ335" s="1321"/>
      <c r="AK335" s="1315"/>
      <c r="AL335" s="1315"/>
      <c r="AM335" s="1315"/>
      <c r="AN335" s="1315"/>
      <c r="AO335" s="1315"/>
      <c r="AP335" s="1317" t="e">
        <f>'PLANILHA '!#REF!</f>
        <v>#REF!</v>
      </c>
      <c r="AQ335" s="1317"/>
      <c r="AR335" s="1317"/>
      <c r="AS335" s="1317"/>
      <c r="AT335" s="1317"/>
      <c r="AU335" s="1322" t="e">
        <f>AK335+AP335</f>
        <v>#REF!</v>
      </c>
      <c r="AV335" s="1322"/>
      <c r="AW335" s="1322"/>
      <c r="AX335" s="1322"/>
      <c r="AY335" s="1322"/>
      <c r="AZ335" s="1323" t="e">
        <f>$W335*AK335</f>
        <v>#REF!</v>
      </c>
      <c r="BA335" s="1323"/>
      <c r="BB335" s="1323"/>
      <c r="BC335" s="1323"/>
      <c r="BD335" s="1323" t="e">
        <f>$W335*AP335</f>
        <v>#REF!</v>
      </c>
      <c r="BE335" s="1323"/>
      <c r="BF335" s="1323"/>
      <c r="BG335" s="1323"/>
      <c r="BH335" s="1323"/>
      <c r="BI335" s="1323" t="e">
        <f>ROUND(AZ335+BD335,2)</f>
        <v>#REF!</v>
      </c>
      <c r="BJ335" s="1323"/>
      <c r="BK335" s="1323"/>
      <c r="BL335" s="1323"/>
      <c r="BM335" s="1323"/>
      <c r="BN335" s="1318"/>
      <c r="BO335" s="1318"/>
      <c r="BP335" s="1318"/>
      <c r="BQ335" s="361"/>
      <c r="BR335" s="361"/>
      <c r="BS335" s="361"/>
      <c r="BT335" s="361"/>
      <c r="BU335" s="361"/>
      <c r="BV335" s="361"/>
      <c r="BW335" s="361"/>
      <c r="BX335" s="361"/>
      <c r="BY335" s="361"/>
      <c r="BZ335" s="361"/>
      <c r="CA335" s="361"/>
      <c r="CB335" s="361"/>
      <c r="CC335" s="361"/>
    </row>
    <row r="336" spans="2:81" ht="12.75" customHeight="1">
      <c r="B336" s="1310" t="e">
        <f>'PLANILHA '!#REF!</f>
        <v>#REF!</v>
      </c>
      <c r="C336" s="1310"/>
      <c r="D336" s="1311" t="e">
        <f>'PLANILHA '!#REF!</f>
        <v>#REF!</v>
      </c>
      <c r="E336" s="1311"/>
      <c r="F336" s="1311"/>
      <c r="G336" s="1311"/>
      <c r="H336" s="1311"/>
      <c r="I336" s="1311"/>
      <c r="J336" s="1311"/>
      <c r="K336" s="1311"/>
      <c r="L336" s="1311"/>
      <c r="M336" s="1311"/>
      <c r="N336" s="1311"/>
      <c r="O336" s="1311"/>
      <c r="P336" s="1311"/>
      <c r="Q336" s="1311"/>
      <c r="R336" s="1312" t="e">
        <f>'PLANILHA '!#REF!</f>
        <v>#REF!</v>
      </c>
      <c r="S336" s="1312"/>
      <c r="T336" s="1313" t="e">
        <f>'PLANILHA '!#REF!</f>
        <v>#REF!</v>
      </c>
      <c r="U336" s="1313"/>
      <c r="V336" s="1313"/>
      <c r="W336" s="1313" t="e">
        <f>'PLANILHA '!#REF!</f>
        <v>#REF!</v>
      </c>
      <c r="X336" s="1313"/>
      <c r="Y336" s="1313"/>
      <c r="Z336" s="1320"/>
      <c r="AA336" s="1320"/>
      <c r="AB336" s="1320"/>
      <c r="AC336" s="1320"/>
      <c r="AD336" s="1315"/>
      <c r="AE336" s="1315"/>
      <c r="AF336" s="1315"/>
      <c r="AG336" s="1321" t="e">
        <f>ROUND(W336*AD336,2)</f>
        <v>#REF!</v>
      </c>
      <c r="AH336" s="1321"/>
      <c r="AI336" s="1321"/>
      <c r="AJ336" s="1321"/>
      <c r="AK336" s="1315"/>
      <c r="AL336" s="1315"/>
      <c r="AM336" s="1315"/>
      <c r="AN336" s="1315"/>
      <c r="AO336" s="1315"/>
      <c r="AP336" s="1317" t="e">
        <f>'PLANILHA '!#REF!</f>
        <v>#REF!</v>
      </c>
      <c r="AQ336" s="1317"/>
      <c r="AR336" s="1317"/>
      <c r="AS336" s="1317"/>
      <c r="AT336" s="1317"/>
      <c r="AU336" s="1322" t="e">
        <f>AK336+AP336</f>
        <v>#REF!</v>
      </c>
      <c r="AV336" s="1322"/>
      <c r="AW336" s="1322"/>
      <c r="AX336" s="1322"/>
      <c r="AY336" s="1322"/>
      <c r="AZ336" s="1323" t="e">
        <f>$W336*AK336</f>
        <v>#REF!</v>
      </c>
      <c r="BA336" s="1323"/>
      <c r="BB336" s="1323"/>
      <c r="BC336" s="1323"/>
      <c r="BD336" s="1323" t="e">
        <f>$W336*AP336</f>
        <v>#REF!</v>
      </c>
      <c r="BE336" s="1323"/>
      <c r="BF336" s="1323"/>
      <c r="BG336" s="1323"/>
      <c r="BH336" s="1323"/>
      <c r="BI336" s="1323" t="e">
        <f>ROUND(AZ336+BD336,2)</f>
        <v>#REF!</v>
      </c>
      <c r="BJ336" s="1323"/>
      <c r="BK336" s="1323"/>
      <c r="BL336" s="1323"/>
      <c r="BM336" s="1323"/>
      <c r="BN336" s="1318"/>
      <c r="BO336" s="1318"/>
      <c r="BP336" s="1318"/>
      <c r="BQ336" s="361"/>
      <c r="BR336" s="361"/>
      <c r="BS336" s="361"/>
      <c r="BT336" s="361"/>
      <c r="BU336" s="361"/>
      <c r="BV336" s="361"/>
      <c r="BW336" s="361"/>
      <c r="BX336" s="361"/>
      <c r="BY336" s="361"/>
      <c r="BZ336" s="361"/>
      <c r="CA336" s="361"/>
      <c r="CB336" s="361"/>
      <c r="CC336" s="361"/>
    </row>
    <row r="337" spans="1:81" ht="12.75" customHeight="1">
      <c r="B337" s="1310" t="e">
        <f>'PLANILHA '!#REF!</f>
        <v>#REF!</v>
      </c>
      <c r="C337" s="1310"/>
      <c r="D337" s="1311" t="e">
        <f>'PLANILHA '!#REF!</f>
        <v>#REF!</v>
      </c>
      <c r="E337" s="1311"/>
      <c r="F337" s="1311"/>
      <c r="G337" s="1311"/>
      <c r="H337" s="1311"/>
      <c r="I337" s="1311"/>
      <c r="J337" s="1311"/>
      <c r="K337" s="1311"/>
      <c r="L337" s="1311"/>
      <c r="M337" s="1311"/>
      <c r="N337" s="1311"/>
      <c r="O337" s="1311"/>
      <c r="P337" s="1311"/>
      <c r="Q337" s="1311"/>
      <c r="R337" s="1312" t="e">
        <f>'PLANILHA '!#REF!</f>
        <v>#REF!</v>
      </c>
      <c r="S337" s="1312"/>
      <c r="T337" s="1313" t="e">
        <f>'PLANILHA '!#REF!</f>
        <v>#REF!</v>
      </c>
      <c r="U337" s="1313"/>
      <c r="V337" s="1313"/>
      <c r="W337" s="1313" t="e">
        <f>'PLANILHA '!#REF!</f>
        <v>#REF!</v>
      </c>
      <c r="X337" s="1313"/>
      <c r="Y337" s="1313"/>
      <c r="Z337" s="1325"/>
      <c r="AA337" s="1325"/>
      <c r="AB337" s="1325"/>
      <c r="AC337" s="1325"/>
      <c r="AD337" s="1333"/>
      <c r="AE337" s="1333"/>
      <c r="AF337" s="1333"/>
      <c r="AG337" s="1321"/>
      <c r="AH337" s="1321"/>
      <c r="AI337" s="1321"/>
      <c r="AJ337" s="1321"/>
      <c r="AK337" s="396"/>
      <c r="AL337" s="397"/>
      <c r="AM337" s="397"/>
      <c r="AN337" s="397"/>
      <c r="AO337" s="398"/>
      <c r="AP337" s="1317" t="e">
        <f>'PLANILHA '!#REF!</f>
        <v>#REF!</v>
      </c>
      <c r="AQ337" s="1317"/>
      <c r="AR337" s="1317"/>
      <c r="AS337" s="1317"/>
      <c r="AT337" s="1317"/>
      <c r="AU337" s="399"/>
      <c r="AV337" s="400"/>
      <c r="AW337" s="400"/>
      <c r="AX337" s="400"/>
      <c r="AY337" s="401"/>
      <c r="AZ337" s="1331" t="e">
        <f>SUM(AZ333:BC336)</f>
        <v>#REF!</v>
      </c>
      <c r="BA337" s="1331"/>
      <c r="BB337" s="1331"/>
      <c r="BC337" s="1331"/>
      <c r="BD337" s="1331"/>
      <c r="BE337" s="1331"/>
      <c r="BF337" s="1331"/>
      <c r="BG337" s="1331"/>
      <c r="BH337" s="1331"/>
      <c r="BI337" s="1331" t="e">
        <f>SUM(BI333:BM336)</f>
        <v>#REF!</v>
      </c>
      <c r="BJ337" s="1331"/>
      <c r="BK337" s="1331"/>
      <c r="BL337" s="1331"/>
      <c r="BM337" s="1331"/>
      <c r="BN337" s="402"/>
      <c r="BO337" s="403"/>
      <c r="BP337" s="404"/>
      <c r="BQ337" s="361"/>
      <c r="BR337" s="361"/>
      <c r="BS337" s="361"/>
      <c r="BT337" s="361"/>
      <c r="BU337" s="361"/>
      <c r="BV337" s="361"/>
      <c r="BW337" s="361"/>
      <c r="BX337" s="361"/>
      <c r="BY337" s="361"/>
      <c r="BZ337" s="361"/>
      <c r="CA337" s="361"/>
      <c r="CB337" s="361"/>
      <c r="CC337" s="361"/>
    </row>
    <row r="338" spans="1:81" ht="12.75" customHeight="1">
      <c r="B338" s="1310" t="e">
        <f>'PLANILHA '!#REF!</f>
        <v>#REF!</v>
      </c>
      <c r="C338" s="1310"/>
      <c r="D338" s="1311" t="e">
        <f>'PLANILHA '!#REF!</f>
        <v>#REF!</v>
      </c>
      <c r="E338" s="1311"/>
      <c r="F338" s="1311"/>
      <c r="G338" s="1311"/>
      <c r="H338" s="1311"/>
      <c r="I338" s="1311"/>
      <c r="J338" s="1311"/>
      <c r="K338" s="1311"/>
      <c r="L338" s="1311"/>
      <c r="M338" s="1311"/>
      <c r="N338" s="1311"/>
      <c r="O338" s="1311"/>
      <c r="P338" s="1311"/>
      <c r="Q338" s="1311"/>
      <c r="R338" s="1312" t="e">
        <f>'PLANILHA '!#REF!</f>
        <v>#REF!</v>
      </c>
      <c r="S338" s="1312"/>
      <c r="T338" s="1313" t="e">
        <f>'PLANILHA '!#REF!</f>
        <v>#REF!</v>
      </c>
      <c r="U338" s="1313"/>
      <c r="V338" s="1313"/>
      <c r="W338" s="1313" t="e">
        <f>'PLANILHA '!#REF!</f>
        <v>#REF!</v>
      </c>
      <c r="X338" s="1313"/>
      <c r="Y338" s="1313"/>
      <c r="Z338" s="1320"/>
      <c r="AA338" s="1320"/>
      <c r="AB338" s="1320"/>
      <c r="AC338" s="1320"/>
      <c r="AD338" s="1315"/>
      <c r="AE338" s="1315"/>
      <c r="AF338" s="1315"/>
      <c r="AG338" s="1316"/>
      <c r="AH338" s="1316"/>
      <c r="AI338" s="1316"/>
      <c r="AJ338" s="1316"/>
      <c r="AK338" s="1315"/>
      <c r="AL338" s="1315"/>
      <c r="AM338" s="1315"/>
      <c r="AN338" s="1315"/>
      <c r="AO338" s="1315"/>
      <c r="AP338" s="1317" t="e">
        <f>'PLANILHA '!#REF!</f>
        <v>#REF!</v>
      </c>
      <c r="AQ338" s="1317"/>
      <c r="AR338" s="1317"/>
      <c r="AS338" s="1317"/>
      <c r="AT338" s="1317"/>
      <c r="AU338" s="1316"/>
      <c r="AV338" s="1316"/>
      <c r="AW338" s="1316"/>
      <c r="AX338" s="1316"/>
      <c r="AY338" s="1316"/>
      <c r="AZ338" s="1316"/>
      <c r="BA338" s="1316"/>
      <c r="BB338" s="1316"/>
      <c r="BC338" s="1316"/>
      <c r="BD338" s="1323"/>
      <c r="BE338" s="1323"/>
      <c r="BF338" s="1323"/>
      <c r="BG338" s="1323"/>
      <c r="BH338" s="1323"/>
      <c r="BI338" s="1323"/>
      <c r="BJ338" s="1323"/>
      <c r="BK338" s="1323"/>
      <c r="BL338" s="1323"/>
      <c r="BM338" s="1323"/>
      <c r="BN338" s="1318"/>
      <c r="BO338" s="1318"/>
      <c r="BP338" s="1318"/>
      <c r="BQ338" s="361"/>
      <c r="BR338" s="361"/>
      <c r="BS338" s="361"/>
      <c r="BT338" s="361"/>
      <c r="BU338" s="361"/>
      <c r="BV338" s="361"/>
      <c r="BW338" s="361"/>
      <c r="BX338" s="361"/>
      <c r="BY338" s="361"/>
      <c r="BZ338" s="361"/>
      <c r="CA338" s="361"/>
      <c r="CB338" s="361"/>
      <c r="CC338" s="361"/>
    </row>
    <row r="339" spans="1:81" ht="12.75" customHeight="1">
      <c r="B339" s="1310" t="e">
        <f>'PLANILHA '!#REF!</f>
        <v>#REF!</v>
      </c>
      <c r="C339" s="1310"/>
      <c r="D339" s="1311" t="e">
        <f>'PLANILHA '!#REF!</f>
        <v>#REF!</v>
      </c>
      <c r="E339" s="1311"/>
      <c r="F339" s="1311"/>
      <c r="G339" s="1311"/>
      <c r="H339" s="1311"/>
      <c r="I339" s="1311"/>
      <c r="J339" s="1311"/>
      <c r="K339" s="1311"/>
      <c r="L339" s="1311"/>
      <c r="M339" s="1311"/>
      <c r="N339" s="1311"/>
      <c r="O339" s="1311"/>
      <c r="P339" s="1311"/>
      <c r="Q339" s="1311"/>
      <c r="R339" s="1312" t="e">
        <f>'PLANILHA '!#REF!</f>
        <v>#REF!</v>
      </c>
      <c r="S339" s="1312"/>
      <c r="T339" s="1313" t="e">
        <f>'PLANILHA '!#REF!</f>
        <v>#REF!</v>
      </c>
      <c r="U339" s="1313"/>
      <c r="V339" s="1313"/>
      <c r="W339" s="1313" t="e">
        <f>'PLANILHA '!#REF!</f>
        <v>#REF!</v>
      </c>
      <c r="X339" s="1313"/>
      <c r="Y339" s="1313"/>
      <c r="Z339" s="1320"/>
      <c r="AA339" s="1320"/>
      <c r="AB339" s="1320"/>
      <c r="AC339" s="1320"/>
      <c r="AD339" s="1315"/>
      <c r="AE339" s="1315"/>
      <c r="AF339" s="1315"/>
      <c r="AG339" s="1321" t="e">
        <f t="shared" ref="AG339:AG344" si="44">ROUND(W339*AD339,2)</f>
        <v>#REF!</v>
      </c>
      <c r="AH339" s="1321"/>
      <c r="AI339" s="1321"/>
      <c r="AJ339" s="1321"/>
      <c r="AK339" s="1315"/>
      <c r="AL339" s="1315"/>
      <c r="AM339" s="1315"/>
      <c r="AN339" s="1315"/>
      <c r="AO339" s="1315"/>
      <c r="AP339" s="1317" t="e">
        <f>'PLANILHA '!#REF!</f>
        <v>#REF!</v>
      </c>
      <c r="AQ339" s="1317"/>
      <c r="AR339" s="1317"/>
      <c r="AS339" s="1317"/>
      <c r="AT339" s="1317"/>
      <c r="AU339" s="1322" t="e">
        <f t="shared" ref="AU339:AU344" si="45">AK339+AP339</f>
        <v>#REF!</v>
      </c>
      <c r="AV339" s="1322"/>
      <c r="AW339" s="1322"/>
      <c r="AX339" s="1322"/>
      <c r="AY339" s="1322"/>
      <c r="AZ339" s="1323" t="e">
        <f t="shared" ref="AZ339:AZ344" si="46">$W339*AK339</f>
        <v>#REF!</v>
      </c>
      <c r="BA339" s="1323"/>
      <c r="BB339" s="1323"/>
      <c r="BC339" s="1323"/>
      <c r="BD339" s="1323" t="e">
        <f t="shared" ref="BD339:BD344" si="47">$W339*AP339</f>
        <v>#REF!</v>
      </c>
      <c r="BE339" s="1323"/>
      <c r="BF339" s="1323"/>
      <c r="BG339" s="1323"/>
      <c r="BH339" s="1323"/>
      <c r="BI339" s="1323" t="e">
        <f t="shared" ref="BI339:BI344" si="48">ROUND(AZ339+BD339,2)</f>
        <v>#REF!</v>
      </c>
      <c r="BJ339" s="1323"/>
      <c r="BK339" s="1323"/>
      <c r="BL339" s="1323"/>
      <c r="BM339" s="1323"/>
      <c r="BN339" s="1318"/>
      <c r="BO339" s="1318"/>
      <c r="BP339" s="1318"/>
      <c r="BQ339" s="361"/>
      <c r="BR339" s="361"/>
      <c r="BS339" s="361"/>
      <c r="BT339" s="361"/>
      <c r="BU339" s="361"/>
      <c r="BV339" s="361"/>
      <c r="BW339" s="361"/>
      <c r="BX339" s="361"/>
      <c r="BY339" s="361"/>
      <c r="BZ339" s="361"/>
      <c r="CA339" s="361"/>
      <c r="CB339" s="361"/>
      <c r="CC339" s="361"/>
    </row>
    <row r="340" spans="1:81" ht="12.75" customHeight="1">
      <c r="B340" s="1310" t="e">
        <f>'PLANILHA '!#REF!</f>
        <v>#REF!</v>
      </c>
      <c r="C340" s="1310"/>
      <c r="D340" s="1311" t="e">
        <f>'PLANILHA '!#REF!</f>
        <v>#REF!</v>
      </c>
      <c r="E340" s="1311"/>
      <c r="F340" s="1311"/>
      <c r="G340" s="1311"/>
      <c r="H340" s="1311"/>
      <c r="I340" s="1311"/>
      <c r="J340" s="1311"/>
      <c r="K340" s="1311"/>
      <c r="L340" s="1311"/>
      <c r="M340" s="1311"/>
      <c r="N340" s="1311"/>
      <c r="O340" s="1311"/>
      <c r="P340" s="1311"/>
      <c r="Q340" s="1311"/>
      <c r="R340" s="1312" t="e">
        <f>'PLANILHA '!#REF!</f>
        <v>#REF!</v>
      </c>
      <c r="S340" s="1312"/>
      <c r="T340" s="1313" t="e">
        <f>'PLANILHA '!#REF!</f>
        <v>#REF!</v>
      </c>
      <c r="U340" s="1313"/>
      <c r="V340" s="1313"/>
      <c r="W340" s="1313" t="e">
        <f>'PLANILHA '!#REF!</f>
        <v>#REF!</v>
      </c>
      <c r="X340" s="1313"/>
      <c r="Y340" s="1313"/>
      <c r="Z340" s="1320"/>
      <c r="AA340" s="1320"/>
      <c r="AB340" s="1320"/>
      <c r="AC340" s="1320"/>
      <c r="AD340" s="1315"/>
      <c r="AE340" s="1315"/>
      <c r="AF340" s="1315"/>
      <c r="AG340" s="1321" t="e">
        <f t="shared" si="44"/>
        <v>#REF!</v>
      </c>
      <c r="AH340" s="1321"/>
      <c r="AI340" s="1321"/>
      <c r="AJ340" s="1321"/>
      <c r="AK340" s="1315"/>
      <c r="AL340" s="1315"/>
      <c r="AM340" s="1315"/>
      <c r="AN340" s="1315"/>
      <c r="AO340" s="1315"/>
      <c r="AP340" s="1317" t="e">
        <f>'PLANILHA '!#REF!</f>
        <v>#REF!</v>
      </c>
      <c r="AQ340" s="1317"/>
      <c r="AR340" s="1317"/>
      <c r="AS340" s="1317"/>
      <c r="AT340" s="1317"/>
      <c r="AU340" s="1322" t="e">
        <f t="shared" si="45"/>
        <v>#REF!</v>
      </c>
      <c r="AV340" s="1322"/>
      <c r="AW340" s="1322"/>
      <c r="AX340" s="1322"/>
      <c r="AY340" s="1322"/>
      <c r="AZ340" s="1323" t="e">
        <f t="shared" si="46"/>
        <v>#REF!</v>
      </c>
      <c r="BA340" s="1323"/>
      <c r="BB340" s="1323"/>
      <c r="BC340" s="1323"/>
      <c r="BD340" s="1323" t="e">
        <f t="shared" si="47"/>
        <v>#REF!</v>
      </c>
      <c r="BE340" s="1323"/>
      <c r="BF340" s="1323"/>
      <c r="BG340" s="1323"/>
      <c r="BH340" s="1323"/>
      <c r="BI340" s="1323" t="e">
        <f t="shared" si="48"/>
        <v>#REF!</v>
      </c>
      <c r="BJ340" s="1323"/>
      <c r="BK340" s="1323"/>
      <c r="BL340" s="1323"/>
      <c r="BM340" s="1323"/>
      <c r="BN340" s="1318"/>
      <c r="BO340" s="1318"/>
      <c r="BP340" s="1318"/>
      <c r="BQ340" s="361"/>
      <c r="BR340" s="361"/>
      <c r="BS340" s="361"/>
      <c r="BT340" s="361"/>
      <c r="BU340" s="361"/>
      <c r="BV340" s="361"/>
      <c r="BW340" s="361"/>
      <c r="BX340" s="361"/>
      <c r="BY340" s="361"/>
      <c r="BZ340" s="361"/>
      <c r="CA340" s="361"/>
      <c r="CB340" s="361"/>
      <c r="CC340" s="361"/>
    </row>
    <row r="341" spans="1:81" ht="12.75" customHeight="1">
      <c r="B341" s="1310" t="e">
        <f>'PLANILHA '!#REF!</f>
        <v>#REF!</v>
      </c>
      <c r="C341" s="1310"/>
      <c r="D341" s="1311" t="e">
        <f>'PLANILHA '!#REF!</f>
        <v>#REF!</v>
      </c>
      <c r="E341" s="1311"/>
      <c r="F341" s="1311"/>
      <c r="G341" s="1311"/>
      <c r="H341" s="1311"/>
      <c r="I341" s="1311"/>
      <c r="J341" s="1311"/>
      <c r="K341" s="1311"/>
      <c r="L341" s="1311"/>
      <c r="M341" s="1311"/>
      <c r="N341" s="1311"/>
      <c r="O341" s="1311"/>
      <c r="P341" s="1311"/>
      <c r="Q341" s="1311"/>
      <c r="R341" s="1312" t="e">
        <f>'PLANILHA '!#REF!</f>
        <v>#REF!</v>
      </c>
      <c r="S341" s="1312"/>
      <c r="T341" s="1313" t="e">
        <f>'PLANILHA '!#REF!</f>
        <v>#REF!</v>
      </c>
      <c r="U341" s="1313"/>
      <c r="V341" s="1313"/>
      <c r="W341" s="1313" t="e">
        <f>'PLANILHA '!#REF!</f>
        <v>#REF!</v>
      </c>
      <c r="X341" s="1313"/>
      <c r="Y341" s="1313"/>
      <c r="Z341" s="1320"/>
      <c r="AA341" s="1320"/>
      <c r="AB341" s="1320"/>
      <c r="AC341" s="1320"/>
      <c r="AD341" s="1315"/>
      <c r="AE341" s="1315"/>
      <c r="AF341" s="1315"/>
      <c r="AG341" s="1321" t="e">
        <f t="shared" si="44"/>
        <v>#REF!</v>
      </c>
      <c r="AH341" s="1321"/>
      <c r="AI341" s="1321"/>
      <c r="AJ341" s="1321"/>
      <c r="AK341" s="1315"/>
      <c r="AL341" s="1315"/>
      <c r="AM341" s="1315"/>
      <c r="AN341" s="1315"/>
      <c r="AO341" s="1315"/>
      <c r="AP341" s="1317" t="e">
        <f>'PLANILHA '!#REF!</f>
        <v>#REF!</v>
      </c>
      <c r="AQ341" s="1317"/>
      <c r="AR341" s="1317"/>
      <c r="AS341" s="1317"/>
      <c r="AT341" s="1317"/>
      <c r="AU341" s="1322" t="e">
        <f t="shared" si="45"/>
        <v>#REF!</v>
      </c>
      <c r="AV341" s="1322"/>
      <c r="AW341" s="1322"/>
      <c r="AX341" s="1322"/>
      <c r="AY341" s="1322"/>
      <c r="AZ341" s="1323" t="e">
        <f t="shared" si="46"/>
        <v>#REF!</v>
      </c>
      <c r="BA341" s="1323"/>
      <c r="BB341" s="1323"/>
      <c r="BC341" s="1323"/>
      <c r="BD341" s="1323" t="e">
        <f t="shared" si="47"/>
        <v>#REF!</v>
      </c>
      <c r="BE341" s="1323"/>
      <c r="BF341" s="1323"/>
      <c r="BG341" s="1323"/>
      <c r="BH341" s="1323"/>
      <c r="BI341" s="1323" t="e">
        <f t="shared" si="48"/>
        <v>#REF!</v>
      </c>
      <c r="BJ341" s="1323"/>
      <c r="BK341" s="1323"/>
      <c r="BL341" s="1323"/>
      <c r="BM341" s="1323"/>
      <c r="BN341" s="1318"/>
      <c r="BO341" s="1318"/>
      <c r="BP341" s="1318"/>
      <c r="BQ341" s="361"/>
      <c r="BR341" s="361"/>
      <c r="BS341" s="361"/>
      <c r="BT341" s="361"/>
      <c r="BU341" s="361"/>
      <c r="BV341" s="361"/>
      <c r="BW341" s="361"/>
      <c r="BX341" s="361"/>
      <c r="BY341" s="361"/>
      <c r="BZ341" s="361"/>
      <c r="CA341" s="361"/>
      <c r="CB341" s="361"/>
      <c r="CC341" s="361"/>
    </row>
    <row r="342" spans="1:81" ht="12.75" customHeight="1">
      <c r="B342" s="1310" t="e">
        <f>'PLANILHA '!#REF!</f>
        <v>#REF!</v>
      </c>
      <c r="C342" s="1310"/>
      <c r="D342" s="1311" t="e">
        <f>'PLANILHA '!#REF!</f>
        <v>#REF!</v>
      </c>
      <c r="E342" s="1311"/>
      <c r="F342" s="1311"/>
      <c r="G342" s="1311"/>
      <c r="H342" s="1311"/>
      <c r="I342" s="1311"/>
      <c r="J342" s="1311"/>
      <c r="K342" s="1311"/>
      <c r="L342" s="1311"/>
      <c r="M342" s="1311"/>
      <c r="N342" s="1311"/>
      <c r="O342" s="1311"/>
      <c r="P342" s="1311"/>
      <c r="Q342" s="1311"/>
      <c r="R342" s="1312" t="e">
        <f>'PLANILHA '!#REF!</f>
        <v>#REF!</v>
      </c>
      <c r="S342" s="1312"/>
      <c r="T342" s="1313" t="e">
        <f>'PLANILHA '!#REF!</f>
        <v>#REF!</v>
      </c>
      <c r="U342" s="1313"/>
      <c r="V342" s="1313"/>
      <c r="W342" s="1313" t="e">
        <f>'PLANILHA '!#REF!</f>
        <v>#REF!</v>
      </c>
      <c r="X342" s="1313"/>
      <c r="Y342" s="1313"/>
      <c r="Z342" s="1320"/>
      <c r="AA342" s="1320"/>
      <c r="AB342" s="1320"/>
      <c r="AC342" s="1320"/>
      <c r="AD342" s="1315"/>
      <c r="AE342" s="1315"/>
      <c r="AF342" s="1315"/>
      <c r="AG342" s="1321" t="e">
        <f t="shared" si="44"/>
        <v>#REF!</v>
      </c>
      <c r="AH342" s="1321"/>
      <c r="AI342" s="1321"/>
      <c r="AJ342" s="1321"/>
      <c r="AK342" s="1315"/>
      <c r="AL342" s="1315"/>
      <c r="AM342" s="1315"/>
      <c r="AN342" s="1315"/>
      <c r="AO342" s="1315"/>
      <c r="AP342" s="1317" t="e">
        <f>'PLANILHA '!#REF!</f>
        <v>#REF!</v>
      </c>
      <c r="AQ342" s="1317"/>
      <c r="AR342" s="1317"/>
      <c r="AS342" s="1317"/>
      <c r="AT342" s="1317"/>
      <c r="AU342" s="1322" t="e">
        <f t="shared" si="45"/>
        <v>#REF!</v>
      </c>
      <c r="AV342" s="1322"/>
      <c r="AW342" s="1322"/>
      <c r="AX342" s="1322"/>
      <c r="AY342" s="1322"/>
      <c r="AZ342" s="1323" t="e">
        <f t="shared" si="46"/>
        <v>#REF!</v>
      </c>
      <c r="BA342" s="1323"/>
      <c r="BB342" s="1323"/>
      <c r="BC342" s="1323"/>
      <c r="BD342" s="1323" t="e">
        <f t="shared" si="47"/>
        <v>#REF!</v>
      </c>
      <c r="BE342" s="1323"/>
      <c r="BF342" s="1323"/>
      <c r="BG342" s="1323"/>
      <c r="BH342" s="1323"/>
      <c r="BI342" s="1323" t="e">
        <f t="shared" si="48"/>
        <v>#REF!</v>
      </c>
      <c r="BJ342" s="1323"/>
      <c r="BK342" s="1323"/>
      <c r="BL342" s="1323"/>
      <c r="BM342" s="1323"/>
      <c r="BN342" s="1318"/>
      <c r="BO342" s="1318"/>
      <c r="BP342" s="1318"/>
      <c r="BQ342" s="361"/>
      <c r="BR342" s="361"/>
      <c r="BS342" s="361"/>
      <c r="BT342" s="361"/>
      <c r="BU342" s="361"/>
      <c r="BV342" s="361"/>
      <c r="BW342" s="361"/>
      <c r="BX342" s="361"/>
      <c r="BY342" s="361"/>
      <c r="BZ342" s="361"/>
      <c r="CA342" s="361"/>
      <c r="CB342" s="361"/>
      <c r="CC342" s="361"/>
    </row>
    <row r="343" spans="1:81" ht="12.75" customHeight="1">
      <c r="B343" s="1310" t="e">
        <f>'PLANILHA '!#REF!</f>
        <v>#REF!</v>
      </c>
      <c r="C343" s="1310"/>
      <c r="D343" s="1311" t="e">
        <f>'PLANILHA '!#REF!</f>
        <v>#REF!</v>
      </c>
      <c r="E343" s="1311"/>
      <c r="F343" s="1311"/>
      <c r="G343" s="1311"/>
      <c r="H343" s="1311"/>
      <c r="I343" s="1311"/>
      <c r="J343" s="1311"/>
      <c r="K343" s="1311"/>
      <c r="L343" s="1311"/>
      <c r="M343" s="1311"/>
      <c r="N343" s="1311"/>
      <c r="O343" s="1311"/>
      <c r="P343" s="1311"/>
      <c r="Q343" s="1311"/>
      <c r="R343" s="1312" t="e">
        <f>'PLANILHA '!#REF!</f>
        <v>#REF!</v>
      </c>
      <c r="S343" s="1312"/>
      <c r="T343" s="1313" t="e">
        <f>'PLANILHA '!#REF!</f>
        <v>#REF!</v>
      </c>
      <c r="U343" s="1313"/>
      <c r="V343" s="1313"/>
      <c r="W343" s="1313" t="e">
        <f>'PLANILHA '!#REF!</f>
        <v>#REF!</v>
      </c>
      <c r="X343" s="1313"/>
      <c r="Y343" s="1313"/>
      <c r="Z343" s="1320"/>
      <c r="AA343" s="1320"/>
      <c r="AB343" s="1320"/>
      <c r="AC343" s="1320"/>
      <c r="AD343" s="1315"/>
      <c r="AE343" s="1315"/>
      <c r="AF343" s="1315"/>
      <c r="AG343" s="1321" t="e">
        <f t="shared" si="44"/>
        <v>#REF!</v>
      </c>
      <c r="AH343" s="1321"/>
      <c r="AI343" s="1321"/>
      <c r="AJ343" s="1321"/>
      <c r="AK343" s="1315"/>
      <c r="AL343" s="1315"/>
      <c r="AM343" s="1315"/>
      <c r="AN343" s="1315"/>
      <c r="AO343" s="1315"/>
      <c r="AP343" s="1317" t="e">
        <f>'PLANILHA '!#REF!</f>
        <v>#REF!</v>
      </c>
      <c r="AQ343" s="1317"/>
      <c r="AR343" s="1317"/>
      <c r="AS343" s="1317"/>
      <c r="AT343" s="1317"/>
      <c r="AU343" s="1322" t="e">
        <f t="shared" si="45"/>
        <v>#REF!</v>
      </c>
      <c r="AV343" s="1322"/>
      <c r="AW343" s="1322"/>
      <c r="AX343" s="1322"/>
      <c r="AY343" s="1322"/>
      <c r="AZ343" s="1323" t="e">
        <f t="shared" si="46"/>
        <v>#REF!</v>
      </c>
      <c r="BA343" s="1323"/>
      <c r="BB343" s="1323"/>
      <c r="BC343" s="1323"/>
      <c r="BD343" s="1323" t="e">
        <f t="shared" si="47"/>
        <v>#REF!</v>
      </c>
      <c r="BE343" s="1323"/>
      <c r="BF343" s="1323"/>
      <c r="BG343" s="1323"/>
      <c r="BH343" s="1323"/>
      <c r="BI343" s="1323" t="e">
        <f t="shared" si="48"/>
        <v>#REF!</v>
      </c>
      <c r="BJ343" s="1323"/>
      <c r="BK343" s="1323"/>
      <c r="BL343" s="1323"/>
      <c r="BM343" s="1323"/>
      <c r="BN343" s="1318"/>
      <c r="BO343" s="1318"/>
      <c r="BP343" s="1318"/>
      <c r="BQ343" s="361"/>
      <c r="BR343" s="361"/>
      <c r="BS343" s="361"/>
      <c r="BT343" s="361"/>
      <c r="BU343" s="361"/>
      <c r="BV343" s="361"/>
      <c r="BW343" s="361"/>
      <c r="BX343" s="361"/>
      <c r="BY343" s="361"/>
      <c r="BZ343" s="361"/>
      <c r="CA343" s="361"/>
      <c r="CB343" s="361"/>
      <c r="CC343" s="361"/>
    </row>
    <row r="344" spans="1:81" ht="12.75" customHeight="1">
      <c r="B344" s="1310" t="e">
        <f>'PLANILHA '!#REF!</f>
        <v>#REF!</v>
      </c>
      <c r="C344" s="1310"/>
      <c r="D344" s="1311" t="e">
        <f>'PLANILHA '!#REF!</f>
        <v>#REF!</v>
      </c>
      <c r="E344" s="1311"/>
      <c r="F344" s="1311"/>
      <c r="G344" s="1311"/>
      <c r="H344" s="1311"/>
      <c r="I344" s="1311"/>
      <c r="J344" s="1311"/>
      <c r="K344" s="1311"/>
      <c r="L344" s="1311"/>
      <c r="M344" s="1311"/>
      <c r="N344" s="1311"/>
      <c r="O344" s="1311"/>
      <c r="P344" s="1311"/>
      <c r="Q344" s="1311"/>
      <c r="R344" s="1312" t="e">
        <f>'PLANILHA '!#REF!</f>
        <v>#REF!</v>
      </c>
      <c r="S344" s="1312"/>
      <c r="T344" s="1313" t="e">
        <f>'PLANILHA '!#REF!</f>
        <v>#REF!</v>
      </c>
      <c r="U344" s="1313"/>
      <c r="V344" s="1313"/>
      <c r="W344" s="1313" t="e">
        <f>'PLANILHA '!#REF!</f>
        <v>#REF!</v>
      </c>
      <c r="X344" s="1313"/>
      <c r="Y344" s="1313"/>
      <c r="Z344" s="1320"/>
      <c r="AA344" s="1320"/>
      <c r="AB344" s="1320"/>
      <c r="AC344" s="1320"/>
      <c r="AD344" s="1315"/>
      <c r="AE344" s="1315"/>
      <c r="AF344" s="1315"/>
      <c r="AG344" s="1321" t="e">
        <f t="shared" si="44"/>
        <v>#REF!</v>
      </c>
      <c r="AH344" s="1321"/>
      <c r="AI344" s="1321"/>
      <c r="AJ344" s="1321"/>
      <c r="AK344" s="1315"/>
      <c r="AL344" s="1315"/>
      <c r="AM344" s="1315"/>
      <c r="AN344" s="1315"/>
      <c r="AO344" s="1315"/>
      <c r="AP344" s="1317" t="e">
        <f>'PLANILHA '!#REF!</f>
        <v>#REF!</v>
      </c>
      <c r="AQ344" s="1317"/>
      <c r="AR344" s="1317"/>
      <c r="AS344" s="1317"/>
      <c r="AT344" s="1317"/>
      <c r="AU344" s="1322" t="e">
        <f t="shared" si="45"/>
        <v>#REF!</v>
      </c>
      <c r="AV344" s="1322"/>
      <c r="AW344" s="1322"/>
      <c r="AX344" s="1322"/>
      <c r="AY344" s="1322"/>
      <c r="AZ344" s="1323" t="e">
        <f t="shared" si="46"/>
        <v>#REF!</v>
      </c>
      <c r="BA344" s="1323"/>
      <c r="BB344" s="1323"/>
      <c r="BC344" s="1323"/>
      <c r="BD344" s="1323" t="e">
        <f t="shared" si="47"/>
        <v>#REF!</v>
      </c>
      <c r="BE344" s="1323"/>
      <c r="BF344" s="1323"/>
      <c r="BG344" s="1323"/>
      <c r="BH344" s="1323"/>
      <c r="BI344" s="1323" t="e">
        <f t="shared" si="48"/>
        <v>#REF!</v>
      </c>
      <c r="BJ344" s="1323"/>
      <c r="BK344" s="1323"/>
      <c r="BL344" s="1323"/>
      <c r="BM344" s="1323"/>
      <c r="BN344" s="1318"/>
      <c r="BO344" s="1318"/>
      <c r="BP344" s="1318"/>
      <c r="BQ344" s="361"/>
      <c r="BR344" s="361"/>
      <c r="BS344" s="361"/>
      <c r="BT344" s="361"/>
      <c r="BU344" s="361"/>
      <c r="BV344" s="361"/>
      <c r="BW344" s="361"/>
      <c r="BX344" s="361"/>
      <c r="BY344" s="361"/>
      <c r="BZ344" s="361"/>
      <c r="CA344" s="361"/>
      <c r="CB344" s="361"/>
      <c r="CC344" s="361"/>
    </row>
    <row r="345" spans="1:81" ht="12.75" customHeight="1">
      <c r="B345" s="1310" t="e">
        <f>'PLANILHA '!#REF!</f>
        <v>#REF!</v>
      </c>
      <c r="C345" s="1310"/>
      <c r="D345" s="1311" t="e">
        <f>'PLANILHA '!#REF!</f>
        <v>#REF!</v>
      </c>
      <c r="E345" s="1311"/>
      <c r="F345" s="1311"/>
      <c r="G345" s="1311"/>
      <c r="H345" s="1311"/>
      <c r="I345" s="1311"/>
      <c r="J345" s="1311"/>
      <c r="K345" s="1311"/>
      <c r="L345" s="1311"/>
      <c r="M345" s="1311"/>
      <c r="N345" s="1311"/>
      <c r="O345" s="1311"/>
      <c r="P345" s="1311"/>
      <c r="Q345" s="1311"/>
      <c r="R345" s="1312" t="e">
        <f>'PLANILHA '!#REF!</f>
        <v>#REF!</v>
      </c>
      <c r="S345" s="1312"/>
      <c r="T345" s="1313" t="e">
        <f>'PLANILHA '!#REF!</f>
        <v>#REF!</v>
      </c>
      <c r="U345" s="1313"/>
      <c r="V345" s="1313"/>
      <c r="W345" s="1313" t="e">
        <f>'PLANILHA '!#REF!</f>
        <v>#REF!</v>
      </c>
      <c r="X345" s="1313"/>
      <c r="Y345" s="1313"/>
      <c r="Z345" s="1320"/>
      <c r="AA345" s="1320"/>
      <c r="AB345" s="1320"/>
      <c r="AC345" s="1320"/>
      <c r="AD345" s="1315"/>
      <c r="AE345" s="1315"/>
      <c r="AF345" s="1315"/>
      <c r="AG345" s="1321"/>
      <c r="AH345" s="1321"/>
      <c r="AI345" s="1321"/>
      <c r="AJ345" s="1321"/>
      <c r="AK345" s="1327"/>
      <c r="AL345" s="1327"/>
      <c r="AM345" s="1327"/>
      <c r="AN345" s="1327"/>
      <c r="AO345" s="1327"/>
      <c r="AP345" s="1317" t="e">
        <f>'PLANILHA '!#REF!</f>
        <v>#REF!</v>
      </c>
      <c r="AQ345" s="1317"/>
      <c r="AR345" s="1317"/>
      <c r="AS345" s="1317"/>
      <c r="AT345" s="1317"/>
      <c r="AU345" s="1322"/>
      <c r="AV345" s="1322"/>
      <c r="AW345" s="1322"/>
      <c r="AX345" s="1322"/>
      <c r="AY345" s="1322"/>
      <c r="AZ345" s="1323"/>
      <c r="BA345" s="1323"/>
      <c r="BB345" s="1323"/>
      <c r="BC345" s="1323"/>
      <c r="BD345" s="1323"/>
      <c r="BE345" s="1323"/>
      <c r="BF345" s="1323"/>
      <c r="BG345" s="1323"/>
      <c r="BH345" s="1323"/>
      <c r="BI345" s="1323"/>
      <c r="BJ345" s="1323"/>
      <c r="BK345" s="1323"/>
      <c r="BL345" s="1323"/>
      <c r="BM345" s="1323"/>
      <c r="BN345" s="1324"/>
      <c r="BO345" s="1324"/>
      <c r="BP345" s="1324"/>
      <c r="BQ345" s="361"/>
      <c r="BR345" s="361"/>
      <c r="BS345" s="361"/>
      <c r="BT345" s="361"/>
      <c r="BU345" s="361"/>
      <c r="BV345" s="361"/>
      <c r="BW345" s="361"/>
      <c r="BX345" s="361"/>
      <c r="BY345" s="361"/>
      <c r="BZ345" s="361"/>
      <c r="CA345" s="361"/>
      <c r="CB345" s="361"/>
      <c r="CC345" s="361"/>
    </row>
    <row r="346" spans="1:81" ht="12.75" customHeight="1">
      <c r="B346" s="1310" t="e">
        <f>'PLANILHA '!#REF!</f>
        <v>#REF!</v>
      </c>
      <c r="C346" s="1310"/>
      <c r="D346" s="1311" t="e">
        <f>'PLANILHA '!#REF!</f>
        <v>#REF!</v>
      </c>
      <c r="E346" s="1311"/>
      <c r="F346" s="1311"/>
      <c r="G346" s="1311"/>
      <c r="H346" s="1311"/>
      <c r="I346" s="1311"/>
      <c r="J346" s="1311"/>
      <c r="K346" s="1311"/>
      <c r="L346" s="1311"/>
      <c r="M346" s="1311"/>
      <c r="N346" s="1311"/>
      <c r="O346" s="1311"/>
      <c r="P346" s="1311"/>
      <c r="Q346" s="1311"/>
      <c r="R346" s="1312" t="e">
        <f>'PLANILHA '!#REF!</f>
        <v>#REF!</v>
      </c>
      <c r="S346" s="1312"/>
      <c r="T346" s="1313" t="e">
        <f>'PLANILHA '!#REF!</f>
        <v>#REF!</v>
      </c>
      <c r="U346" s="1313"/>
      <c r="V346" s="1313"/>
      <c r="W346" s="1313" t="e">
        <f>'PLANILHA '!#REF!</f>
        <v>#REF!</v>
      </c>
      <c r="X346" s="1313"/>
      <c r="Y346" s="1313"/>
      <c r="Z346" s="1320"/>
      <c r="AA346" s="1320"/>
      <c r="AB346" s="1320"/>
      <c r="AC346" s="1320"/>
      <c r="AD346" s="1315"/>
      <c r="AE346" s="1315"/>
      <c r="AF346" s="1315"/>
      <c r="AG346" s="1321"/>
      <c r="AH346" s="1321"/>
      <c r="AI346" s="1321"/>
      <c r="AJ346" s="1321"/>
      <c r="AK346" s="1327"/>
      <c r="AL346" s="1327"/>
      <c r="AM346" s="1327"/>
      <c r="AN346" s="1327"/>
      <c r="AO346" s="1327"/>
      <c r="AP346" s="1317" t="e">
        <f>'PLANILHA '!#REF!</f>
        <v>#REF!</v>
      </c>
      <c r="AQ346" s="1317"/>
      <c r="AR346" s="1317"/>
      <c r="AS346" s="1317"/>
      <c r="AT346" s="1317"/>
      <c r="AU346" s="1322"/>
      <c r="AV346" s="1322"/>
      <c r="AW346" s="1322"/>
      <c r="AX346" s="1322"/>
      <c r="AY346" s="1322"/>
      <c r="AZ346" s="1323"/>
      <c r="BA346" s="1323"/>
      <c r="BB346" s="1323"/>
      <c r="BC346" s="1323"/>
      <c r="BD346" s="1323"/>
      <c r="BE346" s="1323"/>
      <c r="BF346" s="1323"/>
      <c r="BG346" s="1323"/>
      <c r="BH346" s="1323"/>
      <c r="BI346" s="1323"/>
      <c r="BJ346" s="1323"/>
      <c r="BK346" s="1323"/>
      <c r="BL346" s="1323"/>
      <c r="BM346" s="1323"/>
      <c r="BN346" s="1324"/>
      <c r="BO346" s="1324"/>
      <c r="BP346" s="1324"/>
      <c r="BQ346" s="361"/>
      <c r="BR346" s="361"/>
      <c r="BS346" s="361"/>
      <c r="BT346" s="361"/>
      <c r="BU346" s="361"/>
      <c r="BV346" s="361"/>
      <c r="BW346" s="361"/>
      <c r="BX346" s="361"/>
      <c r="BY346" s="361"/>
      <c r="BZ346" s="361"/>
      <c r="CA346" s="361"/>
      <c r="CB346" s="361"/>
      <c r="CC346" s="361"/>
    </row>
    <row r="347" spans="1:81" ht="12.75" customHeight="1">
      <c r="B347" s="1310" t="e">
        <f>'PLANILHA '!#REF!</f>
        <v>#REF!</v>
      </c>
      <c r="C347" s="1310"/>
      <c r="D347" s="1311" t="e">
        <f>'PLANILHA '!#REF!</f>
        <v>#REF!</v>
      </c>
      <c r="E347" s="1311"/>
      <c r="F347" s="1311"/>
      <c r="G347" s="1311"/>
      <c r="H347" s="1311"/>
      <c r="I347" s="1311"/>
      <c r="J347" s="1311"/>
      <c r="K347" s="1311"/>
      <c r="L347" s="1311"/>
      <c r="M347" s="1311"/>
      <c r="N347" s="1311"/>
      <c r="O347" s="1311"/>
      <c r="P347" s="1311"/>
      <c r="Q347" s="1311"/>
      <c r="R347" s="1312" t="e">
        <f>'PLANILHA '!#REF!</f>
        <v>#REF!</v>
      </c>
      <c r="S347" s="1312"/>
      <c r="T347" s="1313" t="e">
        <f>'PLANILHA '!#REF!</f>
        <v>#REF!</v>
      </c>
      <c r="U347" s="1313"/>
      <c r="V347" s="1313"/>
      <c r="W347" s="1313" t="e">
        <f>'PLANILHA '!#REF!</f>
        <v>#REF!</v>
      </c>
      <c r="X347" s="1313"/>
      <c r="Y347" s="1313"/>
      <c r="Z347" s="1320"/>
      <c r="AA347" s="1320"/>
      <c r="AB347" s="1320"/>
      <c r="AC347" s="1320"/>
      <c r="AD347" s="1315"/>
      <c r="AE347" s="1315"/>
      <c r="AF347" s="1315"/>
      <c r="AG347" s="1321"/>
      <c r="AH347" s="1321"/>
      <c r="AI347" s="1321"/>
      <c r="AJ347" s="1321"/>
      <c r="AK347" s="1327"/>
      <c r="AL347" s="1327"/>
      <c r="AM347" s="1327"/>
      <c r="AN347" s="1327"/>
      <c r="AO347" s="1327"/>
      <c r="AP347" s="1317" t="e">
        <f>'PLANILHA '!#REF!</f>
        <v>#REF!</v>
      </c>
      <c r="AQ347" s="1317"/>
      <c r="AR347" s="1317"/>
      <c r="AS347" s="1317"/>
      <c r="AT347" s="1317"/>
      <c r="AU347" s="1322"/>
      <c r="AV347" s="1322"/>
      <c r="AW347" s="1322"/>
      <c r="AX347" s="1322"/>
      <c r="AY347" s="1322"/>
      <c r="AZ347" s="1323"/>
      <c r="BA347" s="1323"/>
      <c r="BB347" s="1323"/>
      <c r="BC347" s="1323"/>
      <c r="BD347" s="1323"/>
      <c r="BE347" s="1323"/>
      <c r="BF347" s="1323"/>
      <c r="BG347" s="1323"/>
      <c r="BH347" s="1323"/>
      <c r="BI347" s="1323"/>
      <c r="BJ347" s="1323"/>
      <c r="BK347" s="1323"/>
      <c r="BL347" s="1323"/>
      <c r="BM347" s="1323"/>
      <c r="BN347" s="1324"/>
      <c r="BO347" s="1324"/>
      <c r="BP347" s="1324"/>
      <c r="BQ347" s="361"/>
      <c r="BR347" s="361"/>
      <c r="BS347" s="361"/>
      <c r="BT347" s="361"/>
      <c r="BU347" s="361"/>
      <c r="BV347" s="361"/>
      <c r="BW347" s="361"/>
      <c r="BX347" s="361"/>
      <c r="BY347" s="361"/>
      <c r="BZ347" s="361"/>
      <c r="CA347" s="361"/>
      <c r="CB347" s="361"/>
      <c r="CC347" s="361"/>
    </row>
    <row r="348" spans="1:81" ht="12.75" customHeight="1">
      <c r="B348" s="405"/>
      <c r="C348" s="406"/>
      <c r="D348" s="407"/>
      <c r="E348" s="407"/>
      <c r="F348" s="407"/>
      <c r="G348" s="407"/>
      <c r="H348" s="407"/>
      <c r="I348" s="407"/>
      <c r="J348" s="407"/>
      <c r="K348" s="407"/>
      <c r="L348" s="407"/>
      <c r="M348" s="407"/>
      <c r="N348" s="407"/>
      <c r="O348" s="407"/>
      <c r="P348" s="407"/>
      <c r="Q348" s="407"/>
      <c r="R348" s="406"/>
      <c r="S348" s="406"/>
      <c r="T348" s="408"/>
      <c r="U348" s="408"/>
      <c r="V348" s="408"/>
      <c r="W348" s="409"/>
      <c r="X348" s="409"/>
      <c r="Y348" s="409"/>
      <c r="Z348" s="410"/>
      <c r="AA348" s="410"/>
      <c r="AB348" s="410"/>
      <c r="AC348" s="410"/>
      <c r="AD348" s="411"/>
      <c r="AE348" s="411"/>
      <c r="AF348" s="411"/>
      <c r="AG348" s="412"/>
      <c r="AH348" s="412"/>
      <c r="AI348" s="412"/>
      <c r="AJ348" s="412"/>
      <c r="AK348" s="413"/>
      <c r="AL348" s="413"/>
      <c r="AM348" s="413"/>
      <c r="AN348" s="413"/>
      <c r="AO348" s="413"/>
      <c r="AP348" s="413"/>
      <c r="AQ348" s="413"/>
      <c r="AR348" s="413"/>
      <c r="AS348" s="413"/>
      <c r="AT348" s="413"/>
      <c r="AU348" s="414"/>
      <c r="AV348" s="414"/>
      <c r="AW348" s="414"/>
      <c r="AX348" s="414"/>
      <c r="AY348" s="414"/>
      <c r="AZ348" s="415"/>
      <c r="BA348" s="415"/>
      <c r="BB348" s="415"/>
      <c r="BC348" s="415"/>
      <c r="BD348" s="416"/>
      <c r="BE348" s="416"/>
      <c r="BF348" s="416"/>
      <c r="BG348" s="416"/>
      <c r="BH348" s="416"/>
      <c r="BI348" s="416"/>
      <c r="BJ348" s="416"/>
      <c r="BK348" s="416"/>
      <c r="BL348" s="416"/>
      <c r="BM348" s="416"/>
      <c r="BN348" s="417"/>
      <c r="BO348" s="417"/>
      <c r="BP348" s="418"/>
      <c r="BQ348" s="361"/>
      <c r="BR348" s="361"/>
      <c r="BS348" s="361"/>
      <c r="BT348" s="361"/>
      <c r="BU348" s="361"/>
      <c r="BV348" s="361"/>
      <c r="BW348" s="361"/>
      <c r="BX348" s="361"/>
      <c r="BY348" s="361"/>
      <c r="BZ348" s="361"/>
      <c r="CA348" s="361"/>
      <c r="CB348" s="361"/>
      <c r="CC348" s="361"/>
    </row>
    <row r="349" spans="1:81" ht="12.75" customHeight="1">
      <c r="B349" s="1334"/>
      <c r="C349" s="1334"/>
      <c r="D349" s="1335" t="s">
        <v>1551</v>
      </c>
      <c r="E349" s="1335"/>
      <c r="F349" s="1335"/>
      <c r="G349" s="1335"/>
      <c r="H349" s="1335"/>
      <c r="I349" s="1335"/>
      <c r="J349" s="1335"/>
      <c r="K349" s="1335"/>
      <c r="L349" s="1335"/>
      <c r="M349" s="1335"/>
      <c r="N349" s="1335"/>
      <c r="O349" s="1335"/>
      <c r="P349" s="1335"/>
      <c r="Q349" s="1335"/>
      <c r="R349" s="1336"/>
      <c r="S349" s="1336"/>
      <c r="T349" s="1337"/>
      <c r="U349" s="1337"/>
      <c r="V349" s="1337"/>
      <c r="W349" s="1338"/>
      <c r="X349" s="1338"/>
      <c r="Y349" s="1338"/>
      <c r="Z349" s="1339">
        <f>SUM(Z25:AC347)/2</f>
        <v>0</v>
      </c>
      <c r="AA349" s="1339"/>
      <c r="AB349" s="1339"/>
      <c r="AC349" s="1339"/>
      <c r="AD349" s="1336"/>
      <c r="AE349" s="1336"/>
      <c r="AF349" s="1336"/>
      <c r="AG349" s="1340"/>
      <c r="AH349" s="1340"/>
      <c r="AI349" s="1340"/>
      <c r="AJ349" s="1340"/>
      <c r="AK349" s="1336"/>
      <c r="AL349" s="1336"/>
      <c r="AM349" s="1336"/>
      <c r="AN349" s="1336"/>
      <c r="AO349" s="1336"/>
      <c r="AP349" s="1336"/>
      <c r="AQ349" s="1336"/>
      <c r="AR349" s="1336"/>
      <c r="AS349" s="1336"/>
      <c r="AT349" s="1336"/>
      <c r="AU349" s="1336"/>
      <c r="AV349" s="1336"/>
      <c r="AW349" s="1336"/>
      <c r="AX349" s="1336"/>
      <c r="AY349" s="1336"/>
      <c r="AZ349" s="1341" t="e">
        <f>SUM(AZ25:BC347)/2</f>
        <v>#REF!</v>
      </c>
      <c r="BA349" s="1341"/>
      <c r="BB349" s="1341"/>
      <c r="BC349" s="1341"/>
      <c r="BD349" s="1342" t="e">
        <f>SUM(BD25:BH347)</f>
        <v>#REF!</v>
      </c>
      <c r="BE349" s="1342"/>
      <c r="BF349" s="1342"/>
      <c r="BG349" s="1342"/>
      <c r="BH349" s="1342"/>
      <c r="BI349" s="1342" t="e">
        <f>SUM(BI25:BM347)/2</f>
        <v>#REF!</v>
      </c>
      <c r="BJ349" s="1342"/>
      <c r="BK349" s="1342"/>
      <c r="BL349" s="1342"/>
      <c r="BM349" s="1342"/>
      <c r="BN349" s="1343"/>
      <c r="BO349" s="1343"/>
      <c r="BP349" s="1343"/>
      <c r="BQ349" s="361"/>
      <c r="BR349" s="361"/>
      <c r="BS349" s="361"/>
      <c r="BT349" s="361"/>
      <c r="BU349" s="361"/>
      <c r="BV349" s="361"/>
      <c r="BW349" s="361"/>
      <c r="BX349" s="361"/>
      <c r="BY349" s="361"/>
      <c r="BZ349" s="361"/>
      <c r="CA349" s="361"/>
      <c r="CB349" s="361"/>
      <c r="CC349" s="361"/>
    </row>
    <row r="350" spans="1:81" ht="12.75" customHeight="1">
      <c r="A350" s="361"/>
      <c r="B350" s="419"/>
      <c r="C350" s="420"/>
      <c r="D350" s="421"/>
      <c r="E350" s="421"/>
      <c r="F350" s="421"/>
      <c r="G350" s="421"/>
      <c r="H350" s="421"/>
      <c r="I350" s="421"/>
      <c r="J350" s="421"/>
      <c r="K350" s="421"/>
      <c r="L350" s="421"/>
      <c r="M350" s="421"/>
      <c r="N350" s="421"/>
      <c r="O350" s="421"/>
      <c r="P350" s="421"/>
      <c r="Q350" s="421"/>
      <c r="R350" s="1344" t="s">
        <v>1552</v>
      </c>
      <c r="S350" s="1344"/>
      <c r="T350" s="1345" t="s">
        <v>1553</v>
      </c>
      <c r="U350" s="1345"/>
      <c r="V350" s="1345"/>
      <c r="W350" s="422"/>
      <c r="X350" s="423"/>
      <c r="Y350" s="423"/>
      <c r="Z350" s="1346"/>
      <c r="AA350" s="1346"/>
      <c r="AB350" s="1346"/>
      <c r="AC350" s="1346"/>
      <c r="AD350" s="424"/>
      <c r="AE350" s="425"/>
      <c r="AF350" s="425"/>
      <c r="AG350" s="426"/>
      <c r="AH350" s="426"/>
      <c r="AI350" s="426"/>
      <c r="AJ350" s="426"/>
      <c r="AK350" s="427"/>
      <c r="AL350" s="427"/>
      <c r="AM350" s="427"/>
      <c r="AN350" s="427"/>
      <c r="AO350" s="427"/>
      <c r="AP350" s="427"/>
      <c r="AQ350" s="427"/>
      <c r="AR350" s="427"/>
      <c r="AS350" s="427"/>
      <c r="AT350" s="427"/>
      <c r="AU350" s="427"/>
      <c r="AV350" s="427"/>
      <c r="AW350" s="427"/>
      <c r="AX350" s="427"/>
      <c r="AY350" s="427"/>
      <c r="AZ350" s="426"/>
      <c r="BA350" s="426"/>
      <c r="BB350" s="426"/>
      <c r="BC350" s="426"/>
      <c r="BD350" s="426"/>
      <c r="BE350" s="426"/>
      <c r="BF350" s="426"/>
      <c r="BG350" s="426"/>
      <c r="BH350" s="426"/>
      <c r="BI350" s="426"/>
      <c r="BJ350" s="426"/>
      <c r="BK350" s="426"/>
      <c r="BL350" s="426"/>
      <c r="BM350" s="426"/>
      <c r="BN350" s="428"/>
      <c r="BO350" s="425"/>
      <c r="BP350" s="429"/>
      <c r="BQ350" s="361"/>
      <c r="BR350" s="361"/>
      <c r="BS350" s="361"/>
      <c r="BT350" s="361"/>
      <c r="BU350" s="361"/>
      <c r="BV350" s="361"/>
      <c r="BW350" s="361"/>
      <c r="BX350" s="361"/>
      <c r="BY350" s="361"/>
      <c r="BZ350" s="361"/>
      <c r="CA350" s="361"/>
      <c r="CB350" s="361"/>
      <c r="CC350" s="361"/>
    </row>
    <row r="351" spans="1:81" ht="14.25" customHeight="1">
      <c r="A351" s="361"/>
      <c r="B351" s="1347"/>
      <c r="C351" s="1347"/>
      <c r="D351" s="1348" t="s">
        <v>1554</v>
      </c>
      <c r="E351" s="1348"/>
      <c r="F351" s="1348"/>
      <c r="G351" s="1348"/>
      <c r="H351" s="1348"/>
      <c r="I351" s="1348"/>
      <c r="J351" s="1348"/>
      <c r="K351" s="1348"/>
      <c r="L351" s="1348"/>
      <c r="M351" s="1348"/>
      <c r="N351" s="1348"/>
      <c r="O351" s="1348"/>
      <c r="P351" s="1348"/>
      <c r="Q351" s="1348"/>
      <c r="R351" s="1349"/>
      <c r="S351" s="1349"/>
      <c r="T351" s="1350"/>
      <c r="U351" s="1350"/>
      <c r="V351" s="1350"/>
      <c r="W351" s="1351"/>
      <c r="X351" s="1351"/>
      <c r="Y351" s="1351"/>
      <c r="Z351" s="1352">
        <f>Z349</f>
        <v>0</v>
      </c>
      <c r="AA351" s="1352"/>
      <c r="AB351" s="1352"/>
      <c r="AC351" s="1352"/>
      <c r="AD351" s="1353"/>
      <c r="AE351" s="1353"/>
      <c r="AF351" s="1353"/>
      <c r="AG351" s="1354"/>
      <c r="AH351" s="1354"/>
      <c r="AI351" s="1354"/>
      <c r="AJ351" s="1354"/>
      <c r="AK351" s="1353"/>
      <c r="AL351" s="1353"/>
      <c r="AM351" s="1353"/>
      <c r="AN351" s="1353"/>
      <c r="AO351" s="1353"/>
      <c r="AP351" s="1353"/>
      <c r="AQ351" s="1353"/>
      <c r="AR351" s="1353"/>
      <c r="AS351" s="1353"/>
      <c r="AT351" s="1353"/>
      <c r="AU351" s="1353"/>
      <c r="AV351" s="1353"/>
      <c r="AW351" s="1353"/>
      <c r="AX351" s="1353"/>
      <c r="AY351" s="1353"/>
      <c r="AZ351" s="1355" t="e">
        <f>AZ349</f>
        <v>#REF!</v>
      </c>
      <c r="BA351" s="1355"/>
      <c r="BB351" s="1355"/>
      <c r="BC351" s="1355"/>
      <c r="BD351" s="1356"/>
      <c r="BE351" s="1356"/>
      <c r="BF351" s="1356"/>
      <c r="BG351" s="1356"/>
      <c r="BH351" s="1356"/>
      <c r="BI351" s="1356" t="e">
        <f>BI349</f>
        <v>#REF!</v>
      </c>
      <c r="BJ351" s="1356"/>
      <c r="BK351" s="1356"/>
      <c r="BL351" s="1356"/>
      <c r="BM351" s="1356"/>
      <c r="BN351" s="1357"/>
      <c r="BO351" s="1357"/>
      <c r="BP351" s="1357"/>
      <c r="BQ351" s="361"/>
      <c r="BR351" s="361"/>
      <c r="BS351" s="361"/>
      <c r="BT351" s="361"/>
      <c r="BU351" s="361"/>
      <c r="BV351" s="361"/>
      <c r="BW351" s="361"/>
      <c r="BX351" s="361"/>
      <c r="BY351" s="361"/>
      <c r="BZ351" s="361"/>
      <c r="CA351" s="361"/>
      <c r="CB351" s="361"/>
      <c r="CC351" s="361"/>
    </row>
    <row r="352" spans="1:81" ht="19.5" customHeight="1">
      <c r="R352" s="430"/>
      <c r="S352" s="430"/>
      <c r="T352" s="430"/>
      <c r="U352" s="430"/>
      <c r="V352" s="430"/>
      <c r="W352" s="431"/>
      <c r="X352" s="431"/>
      <c r="Y352" s="431"/>
      <c r="Z352" s="432"/>
      <c r="AA352" s="432"/>
      <c r="AB352" s="432"/>
      <c r="AC352" s="432"/>
      <c r="AI352" s="433"/>
      <c r="AJ352" s="433"/>
      <c r="AK352" s="433"/>
      <c r="AL352" s="433"/>
      <c r="AM352" s="433"/>
      <c r="AN352" s="433"/>
      <c r="AO352" s="433"/>
      <c r="AP352" s="433"/>
      <c r="AQ352" s="433"/>
      <c r="AR352" s="433"/>
      <c r="AS352" s="433"/>
      <c r="AT352" s="433"/>
      <c r="AU352" s="433"/>
      <c r="AV352" s="433"/>
      <c r="AW352" s="433"/>
      <c r="AX352" s="433"/>
      <c r="AY352" s="433"/>
      <c r="AZ352" s="433"/>
      <c r="BA352" s="434"/>
      <c r="BB352" s="434"/>
      <c r="BC352" s="434"/>
      <c r="BD352" s="434"/>
      <c r="BE352" s="434"/>
      <c r="BF352" s="434"/>
      <c r="BG352" s="434"/>
      <c r="BH352" s="434"/>
      <c r="BI352" s="434"/>
      <c r="BJ352" s="434"/>
      <c r="BK352" s="434"/>
    </row>
    <row r="353" spans="2:68" ht="12" customHeight="1">
      <c r="B353" s="435" t="s">
        <v>1555</v>
      </c>
      <c r="C353" s="435"/>
      <c r="D353" s="435"/>
      <c r="E353" s="435"/>
      <c r="F353" s="435"/>
      <c r="G353" s="435"/>
      <c r="H353" s="435"/>
      <c r="I353" s="435"/>
      <c r="J353" s="435"/>
      <c r="K353" s="435"/>
      <c r="L353" s="435"/>
      <c r="M353" s="435"/>
      <c r="N353" s="435"/>
      <c r="O353" s="435"/>
      <c r="P353" s="435"/>
      <c r="Q353" s="435"/>
      <c r="T353" s="430"/>
      <c r="U353" s="430"/>
      <c r="V353" s="430"/>
      <c r="W353" s="431"/>
      <c r="X353" s="431"/>
      <c r="Y353" s="431"/>
      <c r="Z353" s="432"/>
      <c r="AA353" s="432"/>
      <c r="AB353" s="432"/>
      <c r="AC353" s="432"/>
      <c r="AD353" s="436"/>
      <c r="AE353" s="436"/>
      <c r="AF353" s="436"/>
      <c r="AG353" s="436"/>
      <c r="AH353" s="436"/>
      <c r="AI353" s="437"/>
      <c r="AJ353" s="437"/>
      <c r="AK353" s="437"/>
      <c r="AL353" s="437"/>
      <c r="AM353" s="437"/>
      <c r="AN353" s="437"/>
      <c r="AO353" s="437"/>
      <c r="AP353" s="437"/>
      <c r="AQ353" s="437"/>
      <c r="AR353" s="437"/>
      <c r="AS353" s="437"/>
      <c r="AT353" s="437"/>
      <c r="AU353" s="437"/>
      <c r="AV353" s="437"/>
      <c r="AW353" s="437"/>
      <c r="AX353" s="437"/>
      <c r="AY353" s="437"/>
      <c r="AZ353" s="437"/>
      <c r="BA353" s="438"/>
      <c r="BB353" s="438"/>
      <c r="BC353" s="438"/>
      <c r="BD353" s="438"/>
      <c r="BE353" s="438"/>
      <c r="BF353" s="438"/>
      <c r="BG353" s="438"/>
      <c r="BH353" s="438"/>
      <c r="BI353" s="438"/>
      <c r="BJ353" s="438"/>
      <c r="BK353" s="438"/>
      <c r="BL353" s="435"/>
      <c r="BM353" s="435"/>
      <c r="BN353" s="435"/>
      <c r="BO353" s="435"/>
      <c r="BP353" s="439"/>
    </row>
    <row r="354" spans="2:68" ht="12" customHeight="1">
      <c r="B354" s="440"/>
      <c r="C354" s="441"/>
      <c r="D354" s="441"/>
      <c r="E354" s="441"/>
      <c r="F354" s="441"/>
      <c r="G354" s="441"/>
      <c r="H354" s="441"/>
      <c r="I354" s="441"/>
      <c r="J354" s="441"/>
      <c r="K354" s="441"/>
      <c r="L354" s="441"/>
      <c r="M354" s="441"/>
      <c r="N354" s="441"/>
      <c r="O354" s="441"/>
      <c r="P354" s="441"/>
      <c r="Q354" s="441"/>
      <c r="R354" s="442"/>
      <c r="S354" s="442"/>
      <c r="T354" s="443"/>
      <c r="U354" s="443"/>
      <c r="V354" s="443"/>
      <c r="W354" s="444"/>
      <c r="X354" s="444"/>
      <c r="Y354" s="444"/>
      <c r="Z354" s="444"/>
      <c r="AA354" s="443"/>
      <c r="AB354" s="443"/>
      <c r="AC354" s="443"/>
      <c r="AD354" s="441"/>
      <c r="AE354" s="441"/>
      <c r="AF354" s="441"/>
      <c r="AG354" s="441"/>
      <c r="AH354" s="441"/>
      <c r="AI354" s="441"/>
      <c r="AJ354" s="441"/>
      <c r="AK354" s="441"/>
      <c r="AL354" s="441"/>
      <c r="AM354" s="441"/>
      <c r="AN354" s="441"/>
      <c r="AO354" s="441"/>
      <c r="AP354" s="441"/>
      <c r="AQ354" s="441"/>
      <c r="AR354" s="441"/>
      <c r="AS354" s="441"/>
      <c r="AT354" s="441"/>
      <c r="AU354" s="441"/>
      <c r="AV354" s="441"/>
      <c r="AW354" s="441"/>
      <c r="AX354" s="441"/>
      <c r="AY354" s="441"/>
      <c r="AZ354" s="441"/>
      <c r="BA354" s="441"/>
      <c r="BB354" s="441"/>
      <c r="BC354" s="441"/>
      <c r="BD354" s="441"/>
      <c r="BE354" s="441"/>
      <c r="BF354" s="441"/>
      <c r="BG354" s="441"/>
      <c r="BH354" s="441"/>
      <c r="BI354" s="441"/>
      <c r="BJ354" s="441"/>
      <c r="BK354" s="441"/>
      <c r="BL354" s="441"/>
      <c r="BM354" s="441"/>
      <c r="BN354" s="441"/>
      <c r="BO354" s="441"/>
      <c r="BP354" s="445"/>
    </row>
    <row r="355" spans="2:68" ht="12" customHeight="1">
      <c r="B355" s="440"/>
      <c r="C355" s="441"/>
      <c r="D355" s="441"/>
      <c r="E355" s="441"/>
      <c r="F355" s="441"/>
      <c r="G355" s="441"/>
      <c r="H355" s="441"/>
      <c r="I355" s="441"/>
      <c r="J355" s="441"/>
      <c r="K355" s="441"/>
      <c r="L355" s="441"/>
      <c r="M355" s="441"/>
      <c r="N355" s="441"/>
      <c r="O355" s="441"/>
      <c r="P355" s="441"/>
      <c r="Q355" s="441"/>
      <c r="R355" s="441"/>
      <c r="S355" s="441"/>
      <c r="T355" s="442"/>
      <c r="U355" s="442"/>
      <c r="V355" s="446"/>
      <c r="W355" s="446"/>
      <c r="X355" s="446"/>
      <c r="Y355" s="446"/>
      <c r="Z355" s="446"/>
      <c r="AA355" s="446"/>
      <c r="AB355" s="446"/>
      <c r="AC355" s="446"/>
      <c r="AD355" s="441"/>
      <c r="AE355" s="441"/>
      <c r="AF355" s="441"/>
      <c r="AG355" s="441"/>
      <c r="AH355" s="441"/>
      <c r="AI355" s="441"/>
      <c r="AJ355" s="441"/>
      <c r="AK355" s="441"/>
      <c r="AL355" s="441"/>
      <c r="AM355" s="441"/>
      <c r="AN355" s="441"/>
      <c r="AO355" s="441"/>
      <c r="AP355" s="441"/>
      <c r="AQ355" s="441"/>
      <c r="AR355" s="441"/>
      <c r="AS355" s="441"/>
      <c r="AT355" s="441"/>
      <c r="AU355" s="441"/>
      <c r="AV355" s="441"/>
      <c r="AW355" s="441"/>
      <c r="AX355" s="441"/>
      <c r="AY355" s="441"/>
      <c r="AZ355" s="441"/>
      <c r="BA355" s="441"/>
      <c r="BB355" s="441"/>
      <c r="BC355" s="441"/>
      <c r="BD355" s="441"/>
      <c r="BE355" s="441"/>
      <c r="BF355" s="441"/>
      <c r="BG355" s="441"/>
      <c r="BH355" s="441"/>
      <c r="BI355" s="441"/>
      <c r="BJ355" s="441"/>
      <c r="BK355" s="441"/>
      <c r="BL355" s="441"/>
      <c r="BM355" s="441"/>
      <c r="BN355" s="441"/>
      <c r="BO355" s="441"/>
      <c r="BP355" s="445"/>
    </row>
    <row r="356" spans="2:68" ht="12" customHeight="1">
      <c r="B356" s="440"/>
      <c r="C356" s="441"/>
      <c r="D356" s="441"/>
      <c r="E356" s="441"/>
      <c r="F356" s="441"/>
      <c r="G356" s="441"/>
      <c r="H356" s="441"/>
      <c r="I356" s="441"/>
      <c r="J356" s="441"/>
      <c r="K356" s="441"/>
      <c r="L356" s="441"/>
      <c r="M356" s="441"/>
      <c r="N356" s="441"/>
      <c r="O356" s="441"/>
      <c r="P356" s="441"/>
      <c r="Q356" s="441"/>
      <c r="R356" s="441"/>
      <c r="S356" s="441"/>
      <c r="T356" s="441"/>
      <c r="U356" s="441"/>
      <c r="V356" s="441"/>
      <c r="W356" s="441"/>
      <c r="X356" s="441"/>
      <c r="Y356" s="441"/>
      <c r="Z356" s="441"/>
      <c r="AA356" s="441"/>
      <c r="AB356" s="441"/>
      <c r="AC356" s="441"/>
      <c r="AD356" s="441"/>
      <c r="AE356" s="441"/>
      <c r="AF356" s="441"/>
      <c r="AG356" s="441"/>
      <c r="AH356" s="441"/>
      <c r="AI356" s="441"/>
      <c r="AJ356" s="441"/>
      <c r="AK356" s="441"/>
      <c r="AL356" s="441"/>
      <c r="AM356" s="441"/>
      <c r="AN356" s="441"/>
      <c r="AO356" s="441"/>
      <c r="AP356" s="441"/>
      <c r="AQ356" s="441"/>
      <c r="AR356" s="441"/>
      <c r="AS356" s="441"/>
      <c r="AT356" s="441"/>
      <c r="AU356" s="441"/>
      <c r="AV356" s="441"/>
      <c r="AW356" s="441"/>
      <c r="AX356" s="441"/>
      <c r="AY356" s="441"/>
      <c r="AZ356" s="441"/>
      <c r="BA356" s="441"/>
      <c r="BB356" s="441"/>
      <c r="BC356" s="441"/>
      <c r="BD356" s="441"/>
      <c r="BE356" s="441"/>
      <c r="BF356" s="441"/>
      <c r="BG356" s="441"/>
      <c r="BH356" s="441"/>
      <c r="BI356" s="441"/>
      <c r="BJ356" s="441"/>
      <c r="BK356" s="441"/>
      <c r="BL356" s="441"/>
      <c r="BM356" s="441"/>
      <c r="BN356" s="441"/>
      <c r="BO356" s="441"/>
      <c r="BP356" s="445"/>
    </row>
    <row r="357" spans="2:68" ht="12" customHeight="1">
      <c r="B357" s="440"/>
      <c r="C357" s="441"/>
      <c r="D357" s="441"/>
      <c r="E357" s="441"/>
      <c r="F357" s="441"/>
      <c r="G357" s="441"/>
      <c r="H357" s="441"/>
      <c r="I357" s="441"/>
      <c r="J357" s="441"/>
      <c r="K357" s="441"/>
      <c r="L357" s="441"/>
      <c r="M357" s="441"/>
      <c r="N357" s="441"/>
      <c r="O357" s="441"/>
      <c r="P357" s="441"/>
      <c r="Q357" s="441"/>
      <c r="R357" s="441"/>
      <c r="S357" s="441"/>
      <c r="T357" s="441"/>
      <c r="U357" s="441"/>
      <c r="V357" s="441"/>
      <c r="W357" s="441"/>
      <c r="X357" s="441"/>
      <c r="Y357" s="441"/>
      <c r="Z357" s="441"/>
      <c r="AA357" s="441"/>
      <c r="AB357" s="441"/>
      <c r="AC357" s="441"/>
      <c r="AD357" s="441"/>
      <c r="AE357" s="441"/>
      <c r="AF357" s="441"/>
      <c r="AG357" s="441"/>
      <c r="AH357" s="441"/>
      <c r="AI357" s="441"/>
      <c r="AJ357" s="441"/>
      <c r="AK357" s="441"/>
      <c r="AL357" s="441"/>
      <c r="AM357" s="441"/>
      <c r="AN357" s="441"/>
      <c r="AO357" s="441"/>
      <c r="AP357" s="441"/>
      <c r="AQ357" s="441"/>
      <c r="AR357" s="441"/>
      <c r="AS357" s="441"/>
      <c r="AT357" s="441"/>
      <c r="AU357" s="441"/>
      <c r="AV357" s="441"/>
      <c r="AW357" s="441"/>
      <c r="AX357" s="441"/>
      <c r="AY357" s="441"/>
      <c r="AZ357" s="441"/>
      <c r="BA357" s="441"/>
      <c r="BB357" s="441"/>
      <c r="BC357" s="441"/>
      <c r="BD357" s="441"/>
      <c r="BE357" s="441"/>
      <c r="BF357" s="441"/>
      <c r="BG357" s="441"/>
      <c r="BH357" s="441"/>
      <c r="BI357" s="441"/>
      <c r="BJ357" s="441"/>
      <c r="BK357" s="441"/>
      <c r="BL357" s="441"/>
      <c r="BM357" s="441"/>
      <c r="BN357" s="441"/>
      <c r="BO357" s="441"/>
      <c r="BP357" s="445"/>
    </row>
    <row r="358" spans="2:68">
      <c r="B358" s="447"/>
      <c r="C358" s="448"/>
      <c r="D358" s="448"/>
      <c r="E358" s="448"/>
      <c r="F358" s="448"/>
      <c r="G358" s="448"/>
      <c r="H358" s="448"/>
      <c r="I358" s="448"/>
      <c r="J358" s="448"/>
      <c r="K358" s="448"/>
      <c r="L358" s="448"/>
      <c r="M358" s="448"/>
      <c r="N358" s="448"/>
      <c r="O358" s="448"/>
      <c r="P358" s="448"/>
      <c r="Q358" s="448"/>
      <c r="R358" s="448"/>
      <c r="S358" s="448"/>
      <c r="T358" s="448"/>
      <c r="U358" s="449"/>
      <c r="V358" s="449"/>
      <c r="W358" s="449"/>
      <c r="X358" s="449"/>
      <c r="Y358" s="449"/>
      <c r="Z358" s="449"/>
      <c r="AA358" s="449"/>
      <c r="AB358" s="449"/>
      <c r="AC358" s="449"/>
      <c r="AD358" s="450"/>
      <c r="AE358" s="450"/>
      <c r="AF358" s="450"/>
      <c r="AG358" s="450"/>
      <c r="AH358" s="450"/>
      <c r="AI358" s="450"/>
      <c r="AJ358" s="450"/>
      <c r="AK358" s="450"/>
      <c r="AL358" s="451"/>
      <c r="AM358" s="451"/>
      <c r="AN358" s="452"/>
      <c r="AO358" s="452"/>
      <c r="AP358" s="452"/>
      <c r="AQ358" s="452"/>
      <c r="AR358" s="452"/>
      <c r="AS358" s="452"/>
      <c r="AT358" s="452"/>
      <c r="AU358" s="452"/>
      <c r="AV358" s="452"/>
      <c r="AW358" s="452"/>
      <c r="AX358" s="453"/>
      <c r="AY358" s="453"/>
      <c r="AZ358" s="453"/>
      <c r="BA358" s="453"/>
      <c r="BB358" s="453"/>
      <c r="BC358" s="453"/>
      <c r="BD358" s="453"/>
      <c r="BE358" s="453"/>
      <c r="BF358" s="453"/>
      <c r="BG358" s="453"/>
      <c r="BH358" s="453"/>
      <c r="BI358" s="453"/>
      <c r="BJ358" s="453"/>
      <c r="BK358" s="453"/>
      <c r="BL358" s="453"/>
      <c r="BM358" s="453"/>
      <c r="BN358" s="453"/>
      <c r="BO358" s="453"/>
      <c r="BP358" s="454"/>
    </row>
    <row r="359" spans="2:68" ht="12">
      <c r="R359" s="455"/>
      <c r="S359" s="455"/>
      <c r="T359" s="455"/>
      <c r="U359" s="456"/>
      <c r="V359" s="456"/>
      <c r="W359" s="456"/>
      <c r="X359" s="456"/>
      <c r="Y359" s="456"/>
      <c r="Z359" s="456"/>
      <c r="AA359" s="456"/>
      <c r="AB359" s="456"/>
      <c r="AC359" s="456"/>
      <c r="AD359" s="457"/>
      <c r="AE359" s="457"/>
      <c r="AF359" s="457"/>
      <c r="AG359" s="457"/>
      <c r="AH359" s="457"/>
      <c r="AI359" s="457"/>
      <c r="AJ359" s="457"/>
      <c r="AK359" s="457"/>
      <c r="AL359" s="457"/>
      <c r="AM359" s="457"/>
      <c r="AN359" s="457"/>
    </row>
    <row r="360" spans="2:68" ht="12">
      <c r="R360" s="455"/>
      <c r="S360" s="455"/>
      <c r="T360" s="455"/>
      <c r="U360" s="456"/>
      <c r="V360" s="456"/>
      <c r="W360" s="456"/>
      <c r="X360" s="456"/>
      <c r="Y360" s="456"/>
      <c r="Z360" s="456"/>
      <c r="AA360" s="456"/>
      <c r="AB360" s="456"/>
      <c r="AC360" s="456"/>
      <c r="AD360" s="457"/>
      <c r="AE360" s="457"/>
      <c r="AF360" s="457"/>
      <c r="AG360" s="457"/>
      <c r="AH360" s="457"/>
      <c r="AI360" s="457"/>
      <c r="AJ360" s="457"/>
      <c r="AK360" s="457"/>
      <c r="AL360" s="457"/>
      <c r="AM360" s="457"/>
      <c r="AN360" s="457"/>
    </row>
    <row r="361" spans="2:68" ht="12">
      <c r="B361" s="365" t="s">
        <v>1556</v>
      </c>
      <c r="C361" s="365"/>
      <c r="D361" s="365"/>
      <c r="E361" s="365"/>
      <c r="F361" s="365"/>
      <c r="G361" s="365"/>
      <c r="H361" s="365"/>
      <c r="I361" s="365"/>
      <c r="J361" s="365"/>
      <c r="K361" s="365"/>
      <c r="L361" s="365"/>
      <c r="M361" s="365"/>
      <c r="N361" s="365"/>
      <c r="O361" s="365"/>
      <c r="P361" s="365"/>
      <c r="Q361" s="365"/>
      <c r="R361" s="458"/>
      <c r="S361" s="458"/>
      <c r="T361" s="458"/>
      <c r="U361" s="456"/>
      <c r="V361" s="456"/>
      <c r="W361" s="456"/>
      <c r="X361" s="456"/>
      <c r="Y361" s="456"/>
      <c r="Z361" s="456"/>
      <c r="AA361" s="456"/>
      <c r="AB361" s="456"/>
      <c r="AC361" s="456"/>
      <c r="AD361" s="457"/>
      <c r="AE361" s="457"/>
      <c r="AF361" s="457"/>
      <c r="AG361" s="457"/>
      <c r="AH361" s="457"/>
      <c r="AI361" s="457"/>
      <c r="AJ361" s="457"/>
      <c r="AK361" s="457"/>
      <c r="AL361" s="457"/>
      <c r="AM361" s="457"/>
      <c r="AN361" s="457"/>
    </row>
    <row r="362" spans="2:68" ht="12">
      <c r="B362" s="355" t="s">
        <v>1557</v>
      </c>
      <c r="R362" s="455"/>
      <c r="S362" s="455"/>
      <c r="T362" s="455"/>
      <c r="U362" s="456"/>
      <c r="V362" s="456"/>
      <c r="W362" s="456"/>
      <c r="X362" s="456"/>
      <c r="Y362" s="456"/>
      <c r="Z362" s="456"/>
      <c r="AA362" s="456"/>
      <c r="AB362" s="456"/>
      <c r="AC362" s="456"/>
      <c r="AD362" s="457"/>
      <c r="AE362" s="457"/>
      <c r="AF362" s="457"/>
      <c r="AG362" s="457"/>
      <c r="AH362" s="457"/>
      <c r="AI362" s="457"/>
      <c r="AJ362" s="457"/>
      <c r="AK362" s="457"/>
      <c r="AL362" s="457"/>
      <c r="AM362" s="457"/>
      <c r="AN362" s="457"/>
    </row>
    <row r="363" spans="2:68" ht="12">
      <c r="R363" s="455"/>
      <c r="S363" s="455"/>
      <c r="T363" s="455"/>
      <c r="U363" s="456"/>
      <c r="V363" s="456"/>
      <c r="W363" s="456"/>
      <c r="X363" s="456"/>
      <c r="Y363" s="456"/>
      <c r="Z363" s="456"/>
      <c r="AA363" s="456"/>
      <c r="AB363" s="456"/>
      <c r="AC363" s="456"/>
      <c r="AD363" s="457"/>
      <c r="AE363" s="457"/>
      <c r="AF363" s="457"/>
      <c r="AG363" s="457"/>
      <c r="AH363" s="457"/>
      <c r="AI363" s="457"/>
      <c r="AJ363" s="457"/>
      <c r="AK363" s="457"/>
      <c r="AL363" s="457"/>
      <c r="AM363" s="457"/>
      <c r="AN363" s="457"/>
    </row>
    <row r="364" spans="2:68" ht="12">
      <c r="R364" s="455"/>
      <c r="S364" s="455"/>
      <c r="T364" s="455"/>
      <c r="U364" s="456"/>
      <c r="V364" s="456"/>
      <c r="W364" s="456"/>
      <c r="X364" s="456"/>
      <c r="Y364" s="456"/>
      <c r="Z364" s="456"/>
      <c r="AA364" s="456"/>
      <c r="AB364" s="456"/>
      <c r="AC364" s="456"/>
      <c r="AD364" s="457"/>
      <c r="AE364" s="457"/>
      <c r="AF364" s="457"/>
      <c r="AG364" s="457"/>
      <c r="AH364" s="457"/>
      <c r="AI364" s="457"/>
      <c r="AJ364" s="457"/>
      <c r="AK364" s="457"/>
      <c r="AL364" s="457"/>
      <c r="AM364" s="457"/>
      <c r="AN364" s="457"/>
    </row>
    <row r="365" spans="2:68" ht="12">
      <c r="R365" s="455"/>
      <c r="S365" s="455"/>
      <c r="T365" s="455"/>
      <c r="U365" s="456"/>
      <c r="V365" s="456"/>
      <c r="W365" s="456"/>
      <c r="X365" s="456"/>
      <c r="Y365" s="456"/>
      <c r="Z365" s="456"/>
      <c r="AA365" s="456">
        <v>0</v>
      </c>
      <c r="AB365" s="456"/>
      <c r="AC365" s="456"/>
      <c r="AD365" s="457"/>
      <c r="AE365" s="457"/>
      <c r="AF365" s="457"/>
      <c r="AG365" s="457"/>
      <c r="AH365" s="457"/>
      <c r="AI365" s="457"/>
      <c r="AJ365" s="457"/>
      <c r="AK365" s="457"/>
      <c r="AL365" s="457"/>
      <c r="AM365" s="457"/>
      <c r="AN365" s="457"/>
      <c r="BB365" s="457"/>
    </row>
    <row r="366" spans="2:68" ht="12">
      <c r="R366" s="455"/>
      <c r="S366" s="455"/>
      <c r="T366" s="455"/>
      <c r="U366" s="456"/>
      <c r="V366" s="456"/>
      <c r="W366" s="456"/>
      <c r="X366" s="456"/>
      <c r="Y366" s="456"/>
      <c r="Z366" s="456"/>
      <c r="AA366" s="456"/>
      <c r="AB366" s="456"/>
      <c r="AC366" s="456"/>
      <c r="AD366" s="457"/>
      <c r="AE366" s="457"/>
      <c r="AF366" s="457"/>
      <c r="AG366" s="457"/>
      <c r="AH366" s="457"/>
      <c r="AI366" s="457"/>
      <c r="AJ366" s="457"/>
      <c r="AK366" s="457"/>
      <c r="AL366" s="457"/>
      <c r="AM366" s="457"/>
      <c r="AN366" s="457"/>
      <c r="BJ366" s="355" t="s">
        <v>1549</v>
      </c>
    </row>
    <row r="367" spans="2:68" ht="12">
      <c r="R367" s="455"/>
      <c r="S367" s="455"/>
      <c r="T367" s="455"/>
      <c r="U367" s="456"/>
      <c r="V367" s="456"/>
      <c r="W367" s="456"/>
      <c r="X367" s="456"/>
      <c r="Y367" s="456"/>
      <c r="Z367" s="456"/>
      <c r="AA367" s="456"/>
      <c r="AB367" s="456"/>
      <c r="AC367" s="456"/>
      <c r="AD367" s="457"/>
      <c r="AE367" s="457"/>
      <c r="AF367" s="457"/>
      <c r="AG367" s="457"/>
      <c r="AH367" s="457"/>
      <c r="AI367" s="457"/>
      <c r="AJ367" s="457"/>
      <c r="AK367" s="457"/>
      <c r="AL367" s="457"/>
      <c r="AM367" s="457"/>
      <c r="AN367" s="457"/>
    </row>
    <row r="368" spans="2:68" ht="12">
      <c r="R368" s="455"/>
      <c r="S368" s="455"/>
      <c r="T368" s="455"/>
      <c r="U368" s="456"/>
      <c r="V368" s="456"/>
      <c r="W368" s="456"/>
      <c r="X368" s="456"/>
      <c r="Y368" s="456"/>
      <c r="Z368" s="456"/>
      <c r="AA368" s="456"/>
      <c r="AB368" s="456"/>
      <c r="AC368" s="456"/>
      <c r="AD368" s="457"/>
      <c r="AE368" s="457"/>
      <c r="AF368" s="457"/>
      <c r="AG368" s="457"/>
      <c r="AH368" s="457"/>
      <c r="AI368" s="457"/>
      <c r="AJ368" s="457"/>
      <c r="AK368" s="457"/>
      <c r="AL368" s="457"/>
      <c r="AM368" s="457"/>
      <c r="AN368" s="457"/>
    </row>
    <row r="369" spans="2:68" ht="12">
      <c r="C369" s="456"/>
      <c r="D369" s="459"/>
      <c r="E369" s="459"/>
      <c r="F369" s="459"/>
      <c r="G369" s="459"/>
      <c r="H369" s="459"/>
      <c r="I369" s="459"/>
      <c r="J369" s="459"/>
      <c r="K369" s="459"/>
      <c r="L369" s="457"/>
      <c r="M369" s="457"/>
      <c r="N369" s="457"/>
      <c r="O369" s="457"/>
      <c r="P369" s="457"/>
      <c r="Q369" s="457"/>
      <c r="R369" s="457"/>
      <c r="S369" s="457"/>
      <c r="T369" s="457"/>
      <c r="U369" s="457"/>
      <c r="V369" s="457"/>
      <c r="W369" s="456"/>
      <c r="X369" s="456"/>
      <c r="Y369" s="456"/>
      <c r="Z369" s="456"/>
      <c r="AA369" s="456"/>
      <c r="AB369" s="456"/>
      <c r="AC369" s="456"/>
      <c r="AD369" s="457"/>
      <c r="AE369" s="457"/>
      <c r="AF369" s="457"/>
      <c r="AG369" s="457"/>
      <c r="AH369" s="457"/>
      <c r="AI369" s="457"/>
      <c r="AJ369" s="457"/>
      <c r="AK369" s="457"/>
      <c r="AL369" s="457"/>
      <c r="AM369" s="457"/>
      <c r="AN369" s="457"/>
    </row>
    <row r="370" spans="2:68" ht="12">
      <c r="C370" s="456"/>
      <c r="D370" s="459"/>
      <c r="E370" s="460"/>
      <c r="F370" s="460"/>
      <c r="G370" s="460"/>
      <c r="H370" s="461"/>
      <c r="I370" s="462"/>
      <c r="J370" s="460"/>
      <c r="K370" s="460"/>
      <c r="L370" s="457"/>
      <c r="M370" s="457"/>
      <c r="N370" s="457"/>
      <c r="O370" s="457"/>
      <c r="P370" s="457"/>
      <c r="Q370" s="457"/>
      <c r="R370" s="457"/>
      <c r="S370" s="457"/>
      <c r="T370" s="457"/>
      <c r="U370" s="457"/>
      <c r="V370" s="457"/>
      <c r="W370" s="463"/>
      <c r="X370" s="463"/>
      <c r="Y370" s="463"/>
      <c r="Z370" s="464" t="s">
        <v>1558</v>
      </c>
      <c r="AA370" s="465" t="str">
        <f>IF($BD$19&lt;&gt;"","Tomador",IF($BG$19&lt;&gt;"","Tomador /Ag. Promotor","Tomador/Ag.Promotor ou Tomador "))</f>
        <v>Tomador</v>
      </c>
      <c r="AB370" s="463"/>
      <c r="AC370" s="463"/>
      <c r="AD370" s="457"/>
      <c r="AE370" s="457"/>
      <c r="AF370" s="457"/>
      <c r="AG370" s="457"/>
      <c r="AH370" s="457"/>
      <c r="AI370" s="457"/>
      <c r="AJ370" s="457"/>
      <c r="AK370" s="457"/>
      <c r="AL370" s="457"/>
      <c r="AM370" s="457"/>
      <c r="AN370" s="457"/>
      <c r="AX370" s="466" t="s">
        <v>1559</v>
      </c>
      <c r="AY370" s="466"/>
      <c r="AZ370" s="466"/>
      <c r="BA370" s="466"/>
      <c r="BB370" s="466"/>
      <c r="BC370" s="466"/>
      <c r="BD370" s="466"/>
      <c r="BE370" s="466"/>
      <c r="BF370" s="466"/>
      <c r="BG370" s="466"/>
      <c r="BH370" s="466"/>
      <c r="BI370" s="466"/>
      <c r="BJ370" s="466"/>
      <c r="BK370" s="466"/>
      <c r="BL370" s="465"/>
      <c r="BM370" s="465"/>
      <c r="BN370" s="465"/>
      <c r="BP370" s="377"/>
    </row>
    <row r="371" spans="2:68" ht="12">
      <c r="D371" s="462"/>
      <c r="E371" s="462"/>
      <c r="F371" s="462"/>
      <c r="G371" s="457"/>
      <c r="H371" s="457"/>
      <c r="I371" s="457"/>
      <c r="J371" s="457"/>
      <c r="K371" s="457"/>
      <c r="L371" s="457"/>
      <c r="M371" s="457"/>
      <c r="N371" s="457"/>
      <c r="O371" s="457"/>
      <c r="P371" s="457"/>
      <c r="Q371" s="457"/>
      <c r="R371" s="457"/>
      <c r="S371" s="457"/>
      <c r="T371" s="457"/>
      <c r="U371" s="457"/>
      <c r="V371" s="457"/>
      <c r="W371" s="355" t="s">
        <v>1560</v>
      </c>
      <c r="Y371" s="467" t="s">
        <v>1561</v>
      </c>
      <c r="Z371" s="467"/>
      <c r="AA371" s="467"/>
      <c r="AB371" s="467"/>
      <c r="AC371" s="467"/>
      <c r="AD371" s="467"/>
      <c r="AE371" s="467"/>
      <c r="AF371" s="467"/>
      <c r="AG371" s="467"/>
      <c r="AH371" s="467"/>
      <c r="AI371" s="467"/>
      <c r="AJ371" s="467"/>
      <c r="AK371" s="467"/>
      <c r="AL371" s="467"/>
      <c r="AM371" s="467"/>
      <c r="AN371" s="457"/>
      <c r="AX371" s="355" t="s">
        <v>1560</v>
      </c>
      <c r="AZ371" s="377"/>
      <c r="BA371" s="1358" t="s">
        <v>1562</v>
      </c>
      <c r="BB371" s="1358"/>
      <c r="BC371" s="1358"/>
      <c r="BD371" s="1358"/>
      <c r="BE371" s="1358"/>
      <c r="BF371" s="1358"/>
      <c r="BG371" s="1358"/>
      <c r="BH371" s="1358"/>
      <c r="BI371" s="1358"/>
      <c r="BJ371" s="1358"/>
      <c r="BK371" s="1358"/>
      <c r="BL371" s="1358"/>
      <c r="BM371" s="1358"/>
      <c r="BN371" s="1358"/>
      <c r="BO371" s="1358"/>
    </row>
    <row r="372" spans="2:68" ht="12">
      <c r="D372" s="462"/>
      <c r="E372" s="462"/>
      <c r="F372" s="462"/>
      <c r="G372" s="457"/>
      <c r="H372" s="457"/>
      <c r="I372" s="457"/>
      <c r="J372" s="457"/>
      <c r="K372" s="457"/>
      <c r="L372" s="457"/>
      <c r="M372" s="457"/>
      <c r="N372" s="457"/>
      <c r="O372" s="457"/>
      <c r="P372" s="457"/>
      <c r="Q372" s="457"/>
      <c r="R372" s="457"/>
      <c r="S372" s="457"/>
      <c r="T372" s="457"/>
      <c r="U372" s="457"/>
      <c r="V372" s="462"/>
      <c r="W372" s="355" t="s">
        <v>1563</v>
      </c>
      <c r="Y372" s="467"/>
      <c r="Z372" s="467"/>
      <c r="AA372" s="467"/>
      <c r="AB372" s="467"/>
      <c r="AC372" s="467"/>
      <c r="AD372" s="467"/>
      <c r="AE372" s="467"/>
      <c r="AF372" s="467"/>
      <c r="AG372" s="467"/>
      <c r="AH372" s="467"/>
      <c r="AI372" s="467"/>
      <c r="AJ372" s="467"/>
      <c r="AK372" s="467"/>
      <c r="AL372" s="467"/>
      <c r="AM372" s="467"/>
      <c r="AN372" s="462"/>
      <c r="AX372" s="355" t="s">
        <v>1564</v>
      </c>
      <c r="AZ372" s="377"/>
      <c r="BA372" s="467" t="s">
        <v>1565</v>
      </c>
      <c r="BB372" s="467"/>
      <c r="BC372" s="467"/>
      <c r="BD372" s="467"/>
      <c r="BE372" s="467"/>
      <c r="BF372" s="467"/>
      <c r="BG372" s="467"/>
      <c r="BH372" s="467"/>
      <c r="BI372" s="467"/>
      <c r="BJ372" s="467"/>
      <c r="BK372" s="467"/>
      <c r="BL372" s="467"/>
      <c r="BM372" s="467"/>
      <c r="BN372" s="467"/>
      <c r="BO372" s="467"/>
    </row>
    <row r="373" spans="2:68" ht="12">
      <c r="B373" s="468" t="s">
        <v>1566</v>
      </c>
      <c r="D373" s="462"/>
      <c r="E373" s="462"/>
      <c r="F373" s="462"/>
      <c r="G373" s="457"/>
      <c r="H373" s="457"/>
      <c r="I373" s="457"/>
      <c r="J373" s="457"/>
      <c r="K373" s="457"/>
      <c r="L373" s="457"/>
      <c r="M373" s="457"/>
      <c r="N373" s="457"/>
      <c r="O373" s="457"/>
      <c r="P373" s="457"/>
      <c r="Q373" s="457"/>
      <c r="R373" s="457"/>
      <c r="S373" s="457"/>
      <c r="T373" s="457"/>
      <c r="U373" s="457"/>
      <c r="V373" s="457"/>
      <c r="W373" s="355" t="s">
        <v>1567</v>
      </c>
      <c r="Y373" s="467" t="s">
        <v>1568</v>
      </c>
      <c r="Z373" s="467"/>
      <c r="AA373" s="467"/>
      <c r="AB373" s="467"/>
      <c r="AC373" s="467"/>
      <c r="AD373" s="467"/>
      <c r="AE373" s="467"/>
      <c r="AF373" s="467"/>
      <c r="AG373" s="467"/>
      <c r="AH373" s="467"/>
      <c r="AI373" s="467"/>
      <c r="AJ373" s="467"/>
      <c r="AK373" s="467"/>
      <c r="AL373" s="467"/>
      <c r="AM373" s="467"/>
      <c r="AN373" s="467"/>
      <c r="AX373" s="355" t="s">
        <v>1569</v>
      </c>
      <c r="AZ373" s="377"/>
      <c r="BA373" s="1358">
        <v>601268735</v>
      </c>
      <c r="BB373" s="1358"/>
      <c r="BC373" s="1358"/>
      <c r="BD373" s="1358"/>
      <c r="BE373" s="1358"/>
      <c r="BF373" s="467"/>
      <c r="BG373" s="467"/>
      <c r="BH373" s="467"/>
      <c r="BI373" s="467"/>
      <c r="BJ373" s="467"/>
      <c r="BK373" s="467"/>
      <c r="BL373" s="467"/>
      <c r="BM373" s="467"/>
      <c r="BN373" s="467"/>
      <c r="BO373" s="467"/>
    </row>
    <row r="379" spans="2:68">
      <c r="H379" s="469"/>
    </row>
    <row r="380" spans="2:68">
      <c r="H380" s="470"/>
    </row>
    <row r="381" spans="2:68">
      <c r="H381" s="470"/>
    </row>
    <row r="382" spans="2:68">
      <c r="H382" s="469"/>
    </row>
    <row r="383" spans="2:68">
      <c r="H383" s="469"/>
    </row>
    <row r="384" spans="2:68">
      <c r="H384" s="469"/>
    </row>
    <row r="385" spans="8:8">
      <c r="H385" s="469"/>
    </row>
    <row r="386" spans="8:8">
      <c r="H386" s="469"/>
    </row>
    <row r="387" spans="8:8">
      <c r="H387" s="469"/>
    </row>
  </sheetData>
  <mergeCells count="4874">
    <mergeCell ref="B351:C351"/>
    <mergeCell ref="D351:Q351"/>
    <mergeCell ref="R351:S351"/>
    <mergeCell ref="T351:V351"/>
    <mergeCell ref="W351:Y351"/>
    <mergeCell ref="Z351:AC351"/>
    <mergeCell ref="AD351:AF351"/>
    <mergeCell ref="AG351:AJ351"/>
    <mergeCell ref="AK351:AO351"/>
    <mergeCell ref="AP351:AT351"/>
    <mergeCell ref="AU351:AY351"/>
    <mergeCell ref="AZ351:BC351"/>
    <mergeCell ref="BD351:BH351"/>
    <mergeCell ref="BI351:BM351"/>
    <mergeCell ref="BN351:BP351"/>
    <mergeCell ref="BA371:BO371"/>
    <mergeCell ref="BA373:BE373"/>
    <mergeCell ref="B349:C349"/>
    <mergeCell ref="D349:Q349"/>
    <mergeCell ref="R349:S349"/>
    <mergeCell ref="T349:V349"/>
    <mergeCell ref="W349:Y349"/>
    <mergeCell ref="Z349:AC349"/>
    <mergeCell ref="AD349:AF349"/>
    <mergeCell ref="AG349:AJ349"/>
    <mergeCell ref="AK349:AO349"/>
    <mergeCell ref="AP349:AT349"/>
    <mergeCell ref="AU349:AY349"/>
    <mergeCell ref="AZ349:BC349"/>
    <mergeCell ref="BD349:BH349"/>
    <mergeCell ref="BI349:BM349"/>
    <mergeCell ref="BN349:BP349"/>
    <mergeCell ref="R350:S350"/>
    <mergeCell ref="T350:V350"/>
    <mergeCell ref="Z350:AC350"/>
    <mergeCell ref="B346:C346"/>
    <mergeCell ref="D346:Q346"/>
    <mergeCell ref="R346:S346"/>
    <mergeCell ref="T346:V346"/>
    <mergeCell ref="W346:Y346"/>
    <mergeCell ref="Z346:AC346"/>
    <mergeCell ref="AD346:AF346"/>
    <mergeCell ref="AG346:AJ346"/>
    <mergeCell ref="AK346:AO346"/>
    <mergeCell ref="AP346:AT346"/>
    <mergeCell ref="AU346:AY346"/>
    <mergeCell ref="AZ346:BC346"/>
    <mergeCell ref="BD346:BH346"/>
    <mergeCell ref="BI346:BM346"/>
    <mergeCell ref="BN346:BP346"/>
    <mergeCell ref="B347:C347"/>
    <mergeCell ref="D347:Q347"/>
    <mergeCell ref="R347:S347"/>
    <mergeCell ref="T347:V347"/>
    <mergeCell ref="W347:Y347"/>
    <mergeCell ref="Z347:AC347"/>
    <mergeCell ref="AD347:AF347"/>
    <mergeCell ref="AG347:AJ347"/>
    <mergeCell ref="AK347:AO347"/>
    <mergeCell ref="AP347:AT347"/>
    <mergeCell ref="AU347:AY347"/>
    <mergeCell ref="AZ347:BC347"/>
    <mergeCell ref="BD347:BH347"/>
    <mergeCell ref="BI347:BM347"/>
    <mergeCell ref="BN347:BP347"/>
    <mergeCell ref="B344:C344"/>
    <mergeCell ref="D344:Q344"/>
    <mergeCell ref="R344:S344"/>
    <mergeCell ref="T344:V344"/>
    <mergeCell ref="W344:Y344"/>
    <mergeCell ref="Z344:AC344"/>
    <mergeCell ref="AD344:AF344"/>
    <mergeCell ref="AG344:AJ344"/>
    <mergeCell ref="AK344:AO344"/>
    <mergeCell ref="AP344:AT344"/>
    <mergeCell ref="AU344:AY344"/>
    <mergeCell ref="AZ344:BC344"/>
    <mergeCell ref="BD344:BH344"/>
    <mergeCell ref="BI344:BM344"/>
    <mergeCell ref="BN344:BP344"/>
    <mergeCell ref="B345:C345"/>
    <mergeCell ref="D345:Q345"/>
    <mergeCell ref="R345:S345"/>
    <mergeCell ref="T345:V345"/>
    <mergeCell ref="W345:Y345"/>
    <mergeCell ref="Z345:AC345"/>
    <mergeCell ref="AD345:AF345"/>
    <mergeCell ref="AG345:AJ345"/>
    <mergeCell ref="AK345:AO345"/>
    <mergeCell ref="AP345:AT345"/>
    <mergeCell ref="AU345:AY345"/>
    <mergeCell ref="AZ345:BC345"/>
    <mergeCell ref="BD345:BH345"/>
    <mergeCell ref="BI345:BM345"/>
    <mergeCell ref="BN345:BP345"/>
    <mergeCell ref="B342:C342"/>
    <mergeCell ref="D342:Q342"/>
    <mergeCell ref="R342:S342"/>
    <mergeCell ref="T342:V342"/>
    <mergeCell ref="W342:Y342"/>
    <mergeCell ref="Z342:AC342"/>
    <mergeCell ref="AD342:AF342"/>
    <mergeCell ref="AG342:AJ342"/>
    <mergeCell ref="AK342:AO342"/>
    <mergeCell ref="AP342:AT342"/>
    <mergeCell ref="AU342:AY342"/>
    <mergeCell ref="AZ342:BC342"/>
    <mergeCell ref="BD342:BH342"/>
    <mergeCell ref="BI342:BM342"/>
    <mergeCell ref="BN342:BP342"/>
    <mergeCell ref="B343:C343"/>
    <mergeCell ref="D343:Q343"/>
    <mergeCell ref="R343:S343"/>
    <mergeCell ref="T343:V343"/>
    <mergeCell ref="W343:Y343"/>
    <mergeCell ref="Z343:AC343"/>
    <mergeCell ref="AD343:AF343"/>
    <mergeCell ref="AG343:AJ343"/>
    <mergeCell ref="AK343:AO343"/>
    <mergeCell ref="AP343:AT343"/>
    <mergeCell ref="AU343:AY343"/>
    <mergeCell ref="AZ343:BC343"/>
    <mergeCell ref="BD343:BH343"/>
    <mergeCell ref="BI343:BM343"/>
    <mergeCell ref="BN343:BP343"/>
    <mergeCell ref="B340:C340"/>
    <mergeCell ref="D340:Q340"/>
    <mergeCell ref="R340:S340"/>
    <mergeCell ref="T340:V340"/>
    <mergeCell ref="W340:Y340"/>
    <mergeCell ref="Z340:AC340"/>
    <mergeCell ref="AD340:AF340"/>
    <mergeCell ref="AG340:AJ340"/>
    <mergeCell ref="AK340:AO340"/>
    <mergeCell ref="AP340:AT340"/>
    <mergeCell ref="AU340:AY340"/>
    <mergeCell ref="AZ340:BC340"/>
    <mergeCell ref="BD340:BH340"/>
    <mergeCell ref="BI340:BM340"/>
    <mergeCell ref="BN340:BP340"/>
    <mergeCell ref="B341:C341"/>
    <mergeCell ref="D341:Q341"/>
    <mergeCell ref="R341:S341"/>
    <mergeCell ref="T341:V341"/>
    <mergeCell ref="W341:Y341"/>
    <mergeCell ref="Z341:AC341"/>
    <mergeCell ref="AD341:AF341"/>
    <mergeCell ref="AG341:AJ341"/>
    <mergeCell ref="AK341:AO341"/>
    <mergeCell ref="AP341:AT341"/>
    <mergeCell ref="AU341:AY341"/>
    <mergeCell ref="AZ341:BC341"/>
    <mergeCell ref="BD341:BH341"/>
    <mergeCell ref="BI341:BM341"/>
    <mergeCell ref="BN341:BP341"/>
    <mergeCell ref="B338:C338"/>
    <mergeCell ref="D338:Q338"/>
    <mergeCell ref="R338:S338"/>
    <mergeCell ref="T338:V338"/>
    <mergeCell ref="W338:Y338"/>
    <mergeCell ref="Z338:AC338"/>
    <mergeCell ref="AD338:AF338"/>
    <mergeCell ref="AG338:AJ338"/>
    <mergeCell ref="AK338:AO338"/>
    <mergeCell ref="AP338:AT338"/>
    <mergeCell ref="AU338:AY338"/>
    <mergeCell ref="AZ338:BC338"/>
    <mergeCell ref="BD338:BH338"/>
    <mergeCell ref="BI338:BM338"/>
    <mergeCell ref="BN338:BP338"/>
    <mergeCell ref="B339:C339"/>
    <mergeCell ref="D339:Q339"/>
    <mergeCell ref="R339:S339"/>
    <mergeCell ref="T339:V339"/>
    <mergeCell ref="W339:Y339"/>
    <mergeCell ref="Z339:AC339"/>
    <mergeCell ref="AD339:AF339"/>
    <mergeCell ref="AG339:AJ339"/>
    <mergeCell ref="AK339:AO339"/>
    <mergeCell ref="AP339:AT339"/>
    <mergeCell ref="AU339:AY339"/>
    <mergeCell ref="AZ339:BC339"/>
    <mergeCell ref="BD339:BH339"/>
    <mergeCell ref="BI339:BM339"/>
    <mergeCell ref="BN339:BP339"/>
    <mergeCell ref="B336:C336"/>
    <mergeCell ref="D336:Q336"/>
    <mergeCell ref="R336:S336"/>
    <mergeCell ref="T336:V336"/>
    <mergeCell ref="W336:Y336"/>
    <mergeCell ref="Z336:AC336"/>
    <mergeCell ref="AD336:AF336"/>
    <mergeCell ref="AG336:AJ336"/>
    <mergeCell ref="AK336:AO336"/>
    <mergeCell ref="AP336:AT336"/>
    <mergeCell ref="AU336:AY336"/>
    <mergeCell ref="AZ336:BC336"/>
    <mergeCell ref="BD336:BH336"/>
    <mergeCell ref="BI336:BM336"/>
    <mergeCell ref="BN336:BP336"/>
    <mergeCell ref="B337:C337"/>
    <mergeCell ref="D337:Q337"/>
    <mergeCell ref="R337:S337"/>
    <mergeCell ref="T337:V337"/>
    <mergeCell ref="W337:Y337"/>
    <mergeCell ref="Z337:AC337"/>
    <mergeCell ref="AD337:AF337"/>
    <mergeCell ref="AG337:AJ337"/>
    <mergeCell ref="AP337:AT337"/>
    <mergeCell ref="AZ337:BC337"/>
    <mergeCell ref="BD337:BH337"/>
    <mergeCell ref="BI337:BM337"/>
    <mergeCell ref="B334:C334"/>
    <mergeCell ref="D334:Q334"/>
    <mergeCell ref="R334:S334"/>
    <mergeCell ref="T334:V334"/>
    <mergeCell ref="W334:Y334"/>
    <mergeCell ref="Z334:AC334"/>
    <mergeCell ref="AD334:AF334"/>
    <mergeCell ref="AG334:AJ334"/>
    <mergeCell ref="AK334:AO334"/>
    <mergeCell ref="AP334:AT334"/>
    <mergeCell ref="AU334:AY334"/>
    <mergeCell ref="AZ334:BC334"/>
    <mergeCell ref="BD334:BH334"/>
    <mergeCell ref="BI334:BM334"/>
    <mergeCell ref="BN334:BP334"/>
    <mergeCell ref="B335:C335"/>
    <mergeCell ref="D335:Q335"/>
    <mergeCell ref="R335:S335"/>
    <mergeCell ref="T335:V335"/>
    <mergeCell ref="W335:Y335"/>
    <mergeCell ref="Z335:AC335"/>
    <mergeCell ref="AD335:AF335"/>
    <mergeCell ref="AG335:AJ335"/>
    <mergeCell ref="AK335:AO335"/>
    <mergeCell ref="AP335:AT335"/>
    <mergeCell ref="AU335:AY335"/>
    <mergeCell ref="AZ335:BC335"/>
    <mergeCell ref="BD335:BH335"/>
    <mergeCell ref="BI335:BM335"/>
    <mergeCell ref="BN335:BP335"/>
    <mergeCell ref="B332:C332"/>
    <mergeCell ref="D332:Q332"/>
    <mergeCell ref="R332:S332"/>
    <mergeCell ref="T332:V332"/>
    <mergeCell ref="W332:Y332"/>
    <mergeCell ref="Z332:AC332"/>
    <mergeCell ref="AD332:AF332"/>
    <mergeCell ref="AG332:AJ332"/>
    <mergeCell ref="AK332:AO332"/>
    <mergeCell ref="AP332:AT332"/>
    <mergeCell ref="AU332:AY332"/>
    <mergeCell ref="AZ332:BC332"/>
    <mergeCell ref="BD332:BH332"/>
    <mergeCell ref="BI332:BM332"/>
    <mergeCell ref="BN332:BP332"/>
    <mergeCell ref="B333:C333"/>
    <mergeCell ref="D333:Q333"/>
    <mergeCell ref="R333:S333"/>
    <mergeCell ref="T333:V333"/>
    <mergeCell ref="W333:Y333"/>
    <mergeCell ref="Z333:AC333"/>
    <mergeCell ref="AD333:AF333"/>
    <mergeCell ref="AG333:AJ333"/>
    <mergeCell ref="AK333:AO333"/>
    <mergeCell ref="AP333:AT333"/>
    <mergeCell ref="AU333:AY333"/>
    <mergeCell ref="AZ333:BC333"/>
    <mergeCell ref="BD333:BH333"/>
    <mergeCell ref="BI333:BM333"/>
    <mergeCell ref="BN333:BP333"/>
    <mergeCell ref="B330:C330"/>
    <mergeCell ref="D330:Q330"/>
    <mergeCell ref="R330:S330"/>
    <mergeCell ref="T330:V330"/>
    <mergeCell ref="W330:Y330"/>
    <mergeCell ref="Z330:AC330"/>
    <mergeCell ref="AD330:AF330"/>
    <mergeCell ref="AG330:AJ330"/>
    <mergeCell ref="AK330:AO330"/>
    <mergeCell ref="AP330:AT330"/>
    <mergeCell ref="AU330:AY330"/>
    <mergeCell ref="AZ330:BC330"/>
    <mergeCell ref="BD330:BH330"/>
    <mergeCell ref="BI330:BM330"/>
    <mergeCell ref="BN330:BP330"/>
    <mergeCell ref="B331:C331"/>
    <mergeCell ref="D331:Q331"/>
    <mergeCell ref="R331:S331"/>
    <mergeCell ref="T331:V331"/>
    <mergeCell ref="W331:Y331"/>
    <mergeCell ref="Z331:AC331"/>
    <mergeCell ref="AD331:AF331"/>
    <mergeCell ref="AG331:AJ331"/>
    <mergeCell ref="AP331:AT331"/>
    <mergeCell ref="AZ331:BC331"/>
    <mergeCell ref="BD331:BH331"/>
    <mergeCell ref="BI331:BM331"/>
    <mergeCell ref="B328:C328"/>
    <mergeCell ref="D328:Q328"/>
    <mergeCell ref="R328:S328"/>
    <mergeCell ref="T328:V328"/>
    <mergeCell ref="W328:Y328"/>
    <mergeCell ref="Z328:AC328"/>
    <mergeCell ref="AD328:AF328"/>
    <mergeCell ref="AG328:AJ328"/>
    <mergeCell ref="AK328:AO328"/>
    <mergeCell ref="AP328:AT328"/>
    <mergeCell ref="AU328:AY328"/>
    <mergeCell ref="AZ328:BC328"/>
    <mergeCell ref="BD328:BH328"/>
    <mergeCell ref="BI328:BM328"/>
    <mergeCell ref="BN328:BP328"/>
    <mergeCell ref="B329:C329"/>
    <mergeCell ref="D329:Q329"/>
    <mergeCell ref="R329:S329"/>
    <mergeCell ref="T329:V329"/>
    <mergeCell ref="W329:Y329"/>
    <mergeCell ref="Z329:AC329"/>
    <mergeCell ref="AD329:AF329"/>
    <mergeCell ref="AG329:AJ329"/>
    <mergeCell ref="AK329:AO329"/>
    <mergeCell ref="AP329:AT329"/>
    <mergeCell ref="AU329:AY329"/>
    <mergeCell ref="AZ329:BC329"/>
    <mergeCell ref="BD329:BH329"/>
    <mergeCell ref="BI329:BM329"/>
    <mergeCell ref="BN329:BP329"/>
    <mergeCell ref="B326:C326"/>
    <mergeCell ref="D326:Q326"/>
    <mergeCell ref="R326:S326"/>
    <mergeCell ref="T326:V326"/>
    <mergeCell ref="W326:Y326"/>
    <mergeCell ref="Z326:AC326"/>
    <mergeCell ref="AD326:AF326"/>
    <mergeCell ref="AG326:AJ326"/>
    <mergeCell ref="AK326:AO326"/>
    <mergeCell ref="AP326:AT326"/>
    <mergeCell ref="AU326:AY326"/>
    <mergeCell ref="AZ326:BC326"/>
    <mergeCell ref="BD326:BH326"/>
    <mergeCell ref="BI326:BM326"/>
    <mergeCell ref="BN326:BP326"/>
    <mergeCell ref="B327:C327"/>
    <mergeCell ref="D327:Q327"/>
    <mergeCell ref="R327:S327"/>
    <mergeCell ref="T327:V327"/>
    <mergeCell ref="W327:Y327"/>
    <mergeCell ref="Z327:AC327"/>
    <mergeCell ref="AD327:AF327"/>
    <mergeCell ref="AG327:AJ327"/>
    <mergeCell ref="AK327:AO327"/>
    <mergeCell ref="AP327:AT327"/>
    <mergeCell ref="AU327:AY327"/>
    <mergeCell ref="AZ327:BC327"/>
    <mergeCell ref="BD327:BH327"/>
    <mergeCell ref="BI327:BM327"/>
    <mergeCell ref="BN327:BP327"/>
    <mergeCell ref="B324:C324"/>
    <mergeCell ref="D324:Q324"/>
    <mergeCell ref="R324:S324"/>
    <mergeCell ref="T324:V324"/>
    <mergeCell ref="W324:Y324"/>
    <mergeCell ref="Z324:AC324"/>
    <mergeCell ref="AD324:AF324"/>
    <mergeCell ref="AG324:AJ324"/>
    <mergeCell ref="AK324:AO324"/>
    <mergeCell ref="AP324:AT324"/>
    <mergeCell ref="AU324:AY324"/>
    <mergeCell ref="AZ324:BC324"/>
    <mergeCell ref="BD324:BH324"/>
    <mergeCell ref="BI324:BM324"/>
    <mergeCell ref="BN324:BP324"/>
    <mergeCell ref="B325:C325"/>
    <mergeCell ref="D325:Q325"/>
    <mergeCell ref="R325:S325"/>
    <mergeCell ref="T325:V325"/>
    <mergeCell ref="W325:Y325"/>
    <mergeCell ref="Z325:AC325"/>
    <mergeCell ref="AD325:AF325"/>
    <mergeCell ref="AG325:AJ325"/>
    <mergeCell ref="AK325:AO325"/>
    <mergeCell ref="AP325:AT325"/>
    <mergeCell ref="AU325:AY325"/>
    <mergeCell ref="AZ325:BC325"/>
    <mergeCell ref="BD325:BH325"/>
    <mergeCell ref="BI325:BM325"/>
    <mergeCell ref="BN325:BP325"/>
    <mergeCell ref="B322:C322"/>
    <mergeCell ref="D322:Q322"/>
    <mergeCell ref="R322:S322"/>
    <mergeCell ref="T322:V322"/>
    <mergeCell ref="W322:Y322"/>
    <mergeCell ref="Z322:AC322"/>
    <mergeCell ref="AD322:AF322"/>
    <mergeCell ref="AG322:AJ322"/>
    <mergeCell ref="AK322:AO322"/>
    <mergeCell ref="AP322:AT322"/>
    <mergeCell ref="AU322:AY322"/>
    <mergeCell ref="AZ322:BC322"/>
    <mergeCell ref="BD322:BH322"/>
    <mergeCell ref="BI322:BM322"/>
    <mergeCell ref="BN322:BP322"/>
    <mergeCell ref="B323:C323"/>
    <mergeCell ref="D323:Q323"/>
    <mergeCell ref="R323:S323"/>
    <mergeCell ref="T323:V323"/>
    <mergeCell ref="W323:Y323"/>
    <mergeCell ref="Z323:AC323"/>
    <mergeCell ref="AD323:AF323"/>
    <mergeCell ref="AG323:AJ323"/>
    <mergeCell ref="AK323:AO323"/>
    <mergeCell ref="AP323:AT323"/>
    <mergeCell ref="AU323:AY323"/>
    <mergeCell ref="AZ323:BC323"/>
    <mergeCell ref="BD323:BH323"/>
    <mergeCell ref="BI323:BM323"/>
    <mergeCell ref="BN323:BP323"/>
    <mergeCell ref="B320:C320"/>
    <mergeCell ref="D320:Q320"/>
    <mergeCell ref="R320:S320"/>
    <mergeCell ref="T320:V320"/>
    <mergeCell ref="W320:Y320"/>
    <mergeCell ref="Z320:AC320"/>
    <mergeCell ref="AD320:AF320"/>
    <mergeCell ref="AG320:AJ320"/>
    <mergeCell ref="AK320:AO320"/>
    <mergeCell ref="AP320:AT320"/>
    <mergeCell ref="AU320:AY320"/>
    <mergeCell ref="AZ320:BC320"/>
    <mergeCell ref="BD320:BH320"/>
    <mergeCell ref="BI320:BM320"/>
    <mergeCell ref="BN320:BP320"/>
    <mergeCell ref="B321:C321"/>
    <mergeCell ref="D321:Q321"/>
    <mergeCell ref="R321:S321"/>
    <mergeCell ref="T321:V321"/>
    <mergeCell ref="W321:Y321"/>
    <mergeCell ref="Z321:AC321"/>
    <mergeCell ref="AD321:AF321"/>
    <mergeCell ref="AG321:AJ321"/>
    <mergeCell ref="AK321:AO321"/>
    <mergeCell ref="AP321:AT321"/>
    <mergeCell ref="AU321:AY321"/>
    <mergeCell ref="AZ321:BC321"/>
    <mergeCell ref="BD321:BH321"/>
    <mergeCell ref="BI321:BM321"/>
    <mergeCell ref="BN321:BP321"/>
    <mergeCell ref="B318:C318"/>
    <mergeCell ref="D318:Q318"/>
    <mergeCell ref="R318:S318"/>
    <mergeCell ref="T318:V318"/>
    <mergeCell ref="W318:Y318"/>
    <mergeCell ref="Z318:AC318"/>
    <mergeCell ref="AD318:AF318"/>
    <mergeCell ref="AG318:AJ318"/>
    <mergeCell ref="AK318:AO318"/>
    <mergeCell ref="AP318:AT318"/>
    <mergeCell ref="AU318:AY318"/>
    <mergeCell ref="AZ318:BC318"/>
    <mergeCell ref="BD318:BH318"/>
    <mergeCell ref="BI318:BM318"/>
    <mergeCell ref="BN318:BP318"/>
    <mergeCell ref="B319:C319"/>
    <mergeCell ref="D319:Q319"/>
    <mergeCell ref="R319:S319"/>
    <mergeCell ref="T319:V319"/>
    <mergeCell ref="W319:Y319"/>
    <mergeCell ref="Z319:AC319"/>
    <mergeCell ref="AD319:AF319"/>
    <mergeCell ref="AG319:AJ319"/>
    <mergeCell ref="AK319:AO319"/>
    <mergeCell ref="AP319:AT319"/>
    <mergeCell ref="AU319:AY319"/>
    <mergeCell ref="AZ319:BC319"/>
    <mergeCell ref="BD319:BH319"/>
    <mergeCell ref="BI319:BM319"/>
    <mergeCell ref="BN319:BP319"/>
    <mergeCell ref="B316:C316"/>
    <mergeCell ref="D316:Q316"/>
    <mergeCell ref="R316:S316"/>
    <mergeCell ref="T316:V316"/>
    <mergeCell ref="W316:Y316"/>
    <mergeCell ref="Z316:AC316"/>
    <mergeCell ref="AD316:AF316"/>
    <mergeCell ref="AG316:AJ316"/>
    <mergeCell ref="AK316:AO316"/>
    <mergeCell ref="AP316:AT316"/>
    <mergeCell ref="AU316:AY316"/>
    <mergeCell ref="AZ316:BC316"/>
    <mergeCell ref="BD316:BH316"/>
    <mergeCell ref="BI316:BM316"/>
    <mergeCell ref="BN316:BP316"/>
    <mergeCell ref="B317:C317"/>
    <mergeCell ref="D317:Q317"/>
    <mergeCell ref="R317:S317"/>
    <mergeCell ref="T317:V317"/>
    <mergeCell ref="W317:Y317"/>
    <mergeCell ref="Z317:AC317"/>
    <mergeCell ref="AD317:AF317"/>
    <mergeCell ref="AG317:AJ317"/>
    <mergeCell ref="AK317:AO317"/>
    <mergeCell ref="AP317:AT317"/>
    <mergeCell ref="AU317:AY317"/>
    <mergeCell ref="AZ317:BC317"/>
    <mergeCell ref="BD317:BH317"/>
    <mergeCell ref="BI317:BM317"/>
    <mergeCell ref="BN317:BP317"/>
    <mergeCell ref="B314:C314"/>
    <mergeCell ref="D314:Q314"/>
    <mergeCell ref="R314:S314"/>
    <mergeCell ref="T314:V314"/>
    <mergeCell ref="W314:Y314"/>
    <mergeCell ref="Z314:AC314"/>
    <mergeCell ref="AD314:AF314"/>
    <mergeCell ref="AG314:AJ314"/>
    <mergeCell ref="AK314:AO314"/>
    <mergeCell ref="AP314:AT314"/>
    <mergeCell ref="AU314:AY314"/>
    <mergeCell ref="AZ314:BC314"/>
    <mergeCell ref="BD314:BH314"/>
    <mergeCell ref="BI314:BM314"/>
    <mergeCell ref="BN314:BP314"/>
    <mergeCell ref="B315:C315"/>
    <mergeCell ref="D315:Q315"/>
    <mergeCell ref="R315:S315"/>
    <mergeCell ref="T315:V315"/>
    <mergeCell ref="W315:Y315"/>
    <mergeCell ref="Z315:AC315"/>
    <mergeCell ref="AD315:AF315"/>
    <mergeCell ref="AG315:AJ315"/>
    <mergeCell ref="AK315:AO315"/>
    <mergeCell ref="AP315:AT315"/>
    <mergeCell ref="AU315:AY315"/>
    <mergeCell ref="AZ315:BC315"/>
    <mergeCell ref="BD315:BH315"/>
    <mergeCell ref="BI315:BM315"/>
    <mergeCell ref="BN315:BP315"/>
    <mergeCell ref="B312:C312"/>
    <mergeCell ref="D312:Q312"/>
    <mergeCell ref="R312:S312"/>
    <mergeCell ref="T312:V312"/>
    <mergeCell ref="W312:Y312"/>
    <mergeCell ref="Z312:AC312"/>
    <mergeCell ref="AD312:AF312"/>
    <mergeCell ref="AG312:AJ312"/>
    <mergeCell ref="AK312:AO312"/>
    <mergeCell ref="AP312:AT312"/>
    <mergeCell ref="AU312:AY312"/>
    <mergeCell ref="AZ312:BC312"/>
    <mergeCell ref="BD312:BH312"/>
    <mergeCell ref="BI312:BM312"/>
    <mergeCell ref="BN312:BP312"/>
    <mergeCell ref="B313:C313"/>
    <mergeCell ref="D313:Q313"/>
    <mergeCell ref="R313:S313"/>
    <mergeCell ref="T313:V313"/>
    <mergeCell ref="W313:Y313"/>
    <mergeCell ref="Z313:AC313"/>
    <mergeCell ref="AD313:AF313"/>
    <mergeCell ref="AG313:AJ313"/>
    <mergeCell ref="AK313:AO313"/>
    <mergeCell ref="AP313:AT313"/>
    <mergeCell ref="AU313:AY313"/>
    <mergeCell ref="AZ313:BC313"/>
    <mergeCell ref="BD313:BH313"/>
    <mergeCell ref="BI313:BM313"/>
    <mergeCell ref="BN313:BP313"/>
    <mergeCell ref="B310:C310"/>
    <mergeCell ref="D310:Q310"/>
    <mergeCell ref="R310:S310"/>
    <mergeCell ref="T310:V310"/>
    <mergeCell ref="W310:Y310"/>
    <mergeCell ref="Z310:AC310"/>
    <mergeCell ref="AD310:AF310"/>
    <mergeCell ref="AG310:AJ310"/>
    <mergeCell ref="AK310:AO310"/>
    <mergeCell ref="AP310:AT310"/>
    <mergeCell ref="AU310:AY310"/>
    <mergeCell ref="AZ310:BC310"/>
    <mergeCell ref="BD310:BH310"/>
    <mergeCell ref="BI310:BM310"/>
    <mergeCell ref="BN310:BP310"/>
    <mergeCell ref="B311:C311"/>
    <mergeCell ref="D311:Q311"/>
    <mergeCell ref="R311:S311"/>
    <mergeCell ref="T311:V311"/>
    <mergeCell ref="W311:Y311"/>
    <mergeCell ref="Z311:AC311"/>
    <mergeCell ref="AD311:AF311"/>
    <mergeCell ref="AG311:AJ311"/>
    <mergeCell ref="AK311:AO311"/>
    <mergeCell ref="AP311:AT311"/>
    <mergeCell ref="AU311:AY311"/>
    <mergeCell ref="AZ311:BC311"/>
    <mergeCell ref="BD311:BH311"/>
    <mergeCell ref="BI311:BM311"/>
    <mergeCell ref="BN311:BP311"/>
    <mergeCell ref="B308:C308"/>
    <mergeCell ref="D308:Q308"/>
    <mergeCell ref="R308:S308"/>
    <mergeCell ref="T308:V308"/>
    <mergeCell ref="W308:Y308"/>
    <mergeCell ref="Z308:AC308"/>
    <mergeCell ref="AD308:AF308"/>
    <mergeCell ref="AG308:AJ308"/>
    <mergeCell ref="AK308:AO308"/>
    <mergeCell ref="AP308:AT308"/>
    <mergeCell ref="AU308:AY308"/>
    <mergeCell ref="AZ308:BC308"/>
    <mergeCell ref="BD308:BH308"/>
    <mergeCell ref="BI308:BM308"/>
    <mergeCell ref="BN308:BP308"/>
    <mergeCell ref="B309:C309"/>
    <mergeCell ref="D309:Q309"/>
    <mergeCell ref="R309:S309"/>
    <mergeCell ref="T309:V309"/>
    <mergeCell ref="W309:Y309"/>
    <mergeCell ref="Z309:AC309"/>
    <mergeCell ref="AD309:AF309"/>
    <mergeCell ref="AG309:AJ309"/>
    <mergeCell ref="AP309:AT309"/>
    <mergeCell ref="AZ309:BC309"/>
    <mergeCell ref="BD309:BH309"/>
    <mergeCell ref="BI309:BM309"/>
    <mergeCell ref="B306:C306"/>
    <mergeCell ref="D306:Q306"/>
    <mergeCell ref="R306:S306"/>
    <mergeCell ref="T306:V306"/>
    <mergeCell ref="W306:Y306"/>
    <mergeCell ref="Z306:AC306"/>
    <mergeCell ref="AD306:AF306"/>
    <mergeCell ref="AG306:AJ306"/>
    <mergeCell ref="AK306:AO306"/>
    <mergeCell ref="AP306:AT306"/>
    <mergeCell ref="AU306:AY306"/>
    <mergeCell ref="AZ306:BC306"/>
    <mergeCell ref="BD306:BH306"/>
    <mergeCell ref="BI306:BM306"/>
    <mergeCell ref="BN306:BP306"/>
    <mergeCell ref="B307:C307"/>
    <mergeCell ref="D307:Q307"/>
    <mergeCell ref="R307:S307"/>
    <mergeCell ref="T307:V307"/>
    <mergeCell ref="W307:Y307"/>
    <mergeCell ref="Z307:AC307"/>
    <mergeCell ref="AD307:AF307"/>
    <mergeCell ref="AG307:AJ307"/>
    <mergeCell ref="AK307:AO307"/>
    <mergeCell ref="AP307:AT307"/>
    <mergeCell ref="AU307:AY307"/>
    <mergeCell ref="AZ307:BC307"/>
    <mergeCell ref="BD307:BH307"/>
    <mergeCell ref="BI307:BM307"/>
    <mergeCell ref="BN307:BP307"/>
    <mergeCell ref="B304:C304"/>
    <mergeCell ref="D304:Q304"/>
    <mergeCell ref="R304:S304"/>
    <mergeCell ref="T304:V304"/>
    <mergeCell ref="W304:Y304"/>
    <mergeCell ref="Z304:AC304"/>
    <mergeCell ref="AD304:AF304"/>
    <mergeCell ref="AG304:AJ304"/>
    <mergeCell ref="AK304:AO304"/>
    <mergeCell ref="AP304:AT304"/>
    <mergeCell ref="AU304:AY304"/>
    <mergeCell ref="AZ304:BC304"/>
    <mergeCell ref="BD304:BH304"/>
    <mergeCell ref="BI304:BM304"/>
    <mergeCell ref="BN304:BP304"/>
    <mergeCell ref="B305:C305"/>
    <mergeCell ref="D305:Q305"/>
    <mergeCell ref="R305:S305"/>
    <mergeCell ref="T305:V305"/>
    <mergeCell ref="W305:Y305"/>
    <mergeCell ref="Z305:AC305"/>
    <mergeCell ref="AD305:AF305"/>
    <mergeCell ref="AG305:AJ305"/>
    <mergeCell ref="AK305:AO305"/>
    <mergeCell ref="AP305:AT305"/>
    <mergeCell ref="AU305:AY305"/>
    <mergeCell ref="AZ305:BC305"/>
    <mergeCell ref="BD305:BH305"/>
    <mergeCell ref="BI305:BM305"/>
    <mergeCell ref="BN305:BP305"/>
    <mergeCell ref="B302:C302"/>
    <mergeCell ref="D302:Q302"/>
    <mergeCell ref="R302:S302"/>
    <mergeCell ref="T302:V302"/>
    <mergeCell ref="W302:Y302"/>
    <mergeCell ref="Z302:AC302"/>
    <mergeCell ref="AD302:AF302"/>
    <mergeCell ref="AG302:AJ302"/>
    <mergeCell ref="AK302:AO302"/>
    <mergeCell ref="AP302:AT302"/>
    <mergeCell ref="AU302:AY302"/>
    <mergeCell ref="AZ302:BC302"/>
    <mergeCell ref="BD302:BH302"/>
    <mergeCell ref="BI302:BM302"/>
    <mergeCell ref="BN302:BP302"/>
    <mergeCell ref="B303:C303"/>
    <mergeCell ref="D303:Q303"/>
    <mergeCell ref="R303:S303"/>
    <mergeCell ref="T303:V303"/>
    <mergeCell ref="W303:Y303"/>
    <mergeCell ref="Z303:AC303"/>
    <mergeCell ref="AD303:AF303"/>
    <mergeCell ref="AG303:AJ303"/>
    <mergeCell ref="AP303:AT303"/>
    <mergeCell ref="AZ303:BC303"/>
    <mergeCell ref="BD303:BH303"/>
    <mergeCell ref="BI303:BM303"/>
    <mergeCell ref="B300:C300"/>
    <mergeCell ref="D300:Q300"/>
    <mergeCell ref="R300:S300"/>
    <mergeCell ref="T300:V300"/>
    <mergeCell ref="W300:Y300"/>
    <mergeCell ref="Z300:AC300"/>
    <mergeCell ref="AD300:AF300"/>
    <mergeCell ref="AG300:AJ300"/>
    <mergeCell ref="AK300:AO300"/>
    <mergeCell ref="AP300:AT300"/>
    <mergeCell ref="AU300:AY300"/>
    <mergeCell ref="AZ300:BC300"/>
    <mergeCell ref="BD300:BH300"/>
    <mergeCell ref="BI300:BM300"/>
    <mergeCell ref="BN300:BP300"/>
    <mergeCell ref="B301:C301"/>
    <mergeCell ref="D301:Q301"/>
    <mergeCell ref="R301:S301"/>
    <mergeCell ref="T301:V301"/>
    <mergeCell ref="W301:Y301"/>
    <mergeCell ref="Z301:AC301"/>
    <mergeCell ref="AD301:AF301"/>
    <mergeCell ref="AG301:AJ301"/>
    <mergeCell ref="AK301:AO301"/>
    <mergeCell ref="AP301:AT301"/>
    <mergeCell ref="AU301:AY301"/>
    <mergeCell ref="AZ301:BC301"/>
    <mergeCell ref="BD301:BH301"/>
    <mergeCell ref="BI301:BM301"/>
    <mergeCell ref="BN301:BP301"/>
    <mergeCell ref="B298:C298"/>
    <mergeCell ref="D298:Q298"/>
    <mergeCell ref="R298:S298"/>
    <mergeCell ref="T298:V298"/>
    <mergeCell ref="W298:Y298"/>
    <mergeCell ref="Z298:AC298"/>
    <mergeCell ref="AD298:AF298"/>
    <mergeCell ref="AG298:AJ298"/>
    <mergeCell ref="AK298:AO298"/>
    <mergeCell ref="AP298:AT298"/>
    <mergeCell ref="AU298:AY298"/>
    <mergeCell ref="AZ298:BC298"/>
    <mergeCell ref="BD298:BH298"/>
    <mergeCell ref="BI298:BM298"/>
    <mergeCell ref="BN298:BP298"/>
    <mergeCell ref="B299:C299"/>
    <mergeCell ref="D299:Q299"/>
    <mergeCell ref="R299:S299"/>
    <mergeCell ref="T299:V299"/>
    <mergeCell ref="W299:Y299"/>
    <mergeCell ref="Z299:AC299"/>
    <mergeCell ref="AD299:AF299"/>
    <mergeCell ref="AG299:AJ299"/>
    <mergeCell ref="AK299:AO299"/>
    <mergeCell ref="AP299:AT299"/>
    <mergeCell ref="AU299:AY299"/>
    <mergeCell ref="AZ299:BC299"/>
    <mergeCell ref="BD299:BH299"/>
    <mergeCell ref="BI299:BM299"/>
    <mergeCell ref="BN299:BP299"/>
    <mergeCell ref="B296:C296"/>
    <mergeCell ref="D296:Q296"/>
    <mergeCell ref="R296:S296"/>
    <mergeCell ref="T296:V296"/>
    <mergeCell ref="W296:Y296"/>
    <mergeCell ref="Z296:AC296"/>
    <mergeCell ref="AD296:AF296"/>
    <mergeCell ref="AG296:AJ296"/>
    <mergeCell ref="AK296:AO296"/>
    <mergeCell ref="AP296:AT296"/>
    <mergeCell ref="AU296:AY296"/>
    <mergeCell ref="AZ296:BC296"/>
    <mergeCell ref="BD296:BH296"/>
    <mergeCell ref="BI296:BM296"/>
    <mergeCell ref="BN296:BP296"/>
    <mergeCell ref="B297:C297"/>
    <mergeCell ref="D297:Q297"/>
    <mergeCell ref="R297:S297"/>
    <mergeCell ref="T297:V297"/>
    <mergeCell ref="W297:Y297"/>
    <mergeCell ref="Z297:AC297"/>
    <mergeCell ref="AD297:AF297"/>
    <mergeCell ref="AG297:AJ297"/>
    <mergeCell ref="AK297:AO297"/>
    <mergeCell ref="AP297:AT297"/>
    <mergeCell ref="AU297:AY297"/>
    <mergeCell ref="AZ297:BC297"/>
    <mergeCell ref="BD297:BH297"/>
    <mergeCell ref="BI297:BM297"/>
    <mergeCell ref="BN297:BP297"/>
    <mergeCell ref="B294:C294"/>
    <mergeCell ref="D294:Q294"/>
    <mergeCell ref="R294:S294"/>
    <mergeCell ref="T294:V294"/>
    <mergeCell ref="W294:Y294"/>
    <mergeCell ref="Z294:AC294"/>
    <mergeCell ref="AD294:AF294"/>
    <mergeCell ref="AG294:AJ294"/>
    <mergeCell ref="AK294:AO294"/>
    <mergeCell ref="AP294:AT294"/>
    <mergeCell ref="AU294:AY294"/>
    <mergeCell ref="AZ294:BC294"/>
    <mergeCell ref="BD294:BH294"/>
    <mergeCell ref="BI294:BM294"/>
    <mergeCell ref="BN294:BP294"/>
    <mergeCell ref="B295:C295"/>
    <mergeCell ref="D295:Q295"/>
    <mergeCell ref="R295:S295"/>
    <mergeCell ref="T295:V295"/>
    <mergeCell ref="W295:Y295"/>
    <mergeCell ref="Z295:AC295"/>
    <mergeCell ref="AD295:AF295"/>
    <mergeCell ref="AG295:AJ295"/>
    <mergeCell ref="AK295:AO295"/>
    <mergeCell ref="AP295:AT295"/>
    <mergeCell ref="AU295:AY295"/>
    <mergeCell ref="AZ295:BC295"/>
    <mergeCell ref="BD295:BH295"/>
    <mergeCell ref="BI295:BM295"/>
    <mergeCell ref="BN295:BP295"/>
    <mergeCell ref="B292:C292"/>
    <mergeCell ref="D292:Q292"/>
    <mergeCell ref="R292:S292"/>
    <mergeCell ref="T292:V292"/>
    <mergeCell ref="W292:Y292"/>
    <mergeCell ref="Z292:AC292"/>
    <mergeCell ref="AD292:AF292"/>
    <mergeCell ref="AG292:AJ292"/>
    <mergeCell ref="AK292:AO292"/>
    <mergeCell ref="AP292:AT292"/>
    <mergeCell ref="AU292:AY292"/>
    <mergeCell ref="AZ292:BC292"/>
    <mergeCell ref="BD292:BH292"/>
    <mergeCell ref="BI292:BM292"/>
    <mergeCell ref="BN292:BP292"/>
    <mergeCell ref="B293:C293"/>
    <mergeCell ref="D293:Q293"/>
    <mergeCell ref="R293:S293"/>
    <mergeCell ref="T293:V293"/>
    <mergeCell ref="W293:Y293"/>
    <mergeCell ref="Z293:AC293"/>
    <mergeCell ref="AD293:AF293"/>
    <mergeCell ref="AG293:AJ293"/>
    <mergeCell ref="AK293:AO293"/>
    <mergeCell ref="AP293:AT293"/>
    <mergeCell ref="AU293:AY293"/>
    <mergeCell ref="AZ293:BC293"/>
    <mergeCell ref="BD293:BH293"/>
    <mergeCell ref="BI293:BM293"/>
    <mergeCell ref="BN293:BP293"/>
    <mergeCell ref="B290:C290"/>
    <mergeCell ref="D290:Q290"/>
    <mergeCell ref="R290:S290"/>
    <mergeCell ref="T290:V290"/>
    <mergeCell ref="W290:Y290"/>
    <mergeCell ref="Z290:AC290"/>
    <mergeCell ref="AD290:AF290"/>
    <mergeCell ref="AG290:AJ290"/>
    <mergeCell ref="AK290:AO290"/>
    <mergeCell ref="AP290:AT290"/>
    <mergeCell ref="AU290:AY290"/>
    <mergeCell ref="AZ290:BC290"/>
    <mergeCell ref="BD290:BH290"/>
    <mergeCell ref="BI290:BM290"/>
    <mergeCell ref="BN290:BP290"/>
    <mergeCell ref="B291:C291"/>
    <mergeCell ref="D291:Q291"/>
    <mergeCell ref="R291:S291"/>
    <mergeCell ref="T291:V291"/>
    <mergeCell ref="W291:Y291"/>
    <mergeCell ref="Z291:AC291"/>
    <mergeCell ref="AD291:AF291"/>
    <mergeCell ref="AG291:AJ291"/>
    <mergeCell ref="AK291:AO291"/>
    <mergeCell ref="AP291:AT291"/>
    <mergeCell ref="AU291:AY291"/>
    <mergeCell ref="AZ291:BC291"/>
    <mergeCell ref="BD291:BH291"/>
    <mergeCell ref="BI291:BM291"/>
    <mergeCell ref="BN291:BP291"/>
    <mergeCell ref="B288:C288"/>
    <mergeCell ref="D288:Q288"/>
    <mergeCell ref="R288:S288"/>
    <mergeCell ref="T288:V288"/>
    <mergeCell ref="W288:Y288"/>
    <mergeCell ref="Z288:AC288"/>
    <mergeCell ref="AD288:AF288"/>
    <mergeCell ref="AG288:AJ288"/>
    <mergeCell ref="AK288:AO288"/>
    <mergeCell ref="AP288:AT288"/>
    <mergeCell ref="AU288:AY288"/>
    <mergeCell ref="AZ288:BC288"/>
    <mergeCell ref="BD288:BH288"/>
    <mergeCell ref="BI288:BM288"/>
    <mergeCell ref="BN288:BP288"/>
    <mergeCell ref="B289:C289"/>
    <mergeCell ref="D289:Q289"/>
    <mergeCell ref="R289:S289"/>
    <mergeCell ref="T289:V289"/>
    <mergeCell ref="W289:Y289"/>
    <mergeCell ref="Z289:AC289"/>
    <mergeCell ref="AD289:AF289"/>
    <mergeCell ref="AG289:AJ289"/>
    <mergeCell ref="AK289:AO289"/>
    <mergeCell ref="AP289:AT289"/>
    <mergeCell ref="AU289:AY289"/>
    <mergeCell ref="AZ289:BC289"/>
    <mergeCell ref="BD289:BH289"/>
    <mergeCell ref="BI289:BM289"/>
    <mergeCell ref="BN289:BP289"/>
    <mergeCell ref="B286:C286"/>
    <mergeCell ref="D286:Q286"/>
    <mergeCell ref="R286:S286"/>
    <mergeCell ref="T286:V286"/>
    <mergeCell ref="W286:Y286"/>
    <mergeCell ref="Z286:AC286"/>
    <mergeCell ref="AD286:AF286"/>
    <mergeCell ref="AG286:AJ286"/>
    <mergeCell ref="AK286:AO286"/>
    <mergeCell ref="AP286:AT286"/>
    <mergeCell ref="AU286:AY286"/>
    <mergeCell ref="AZ286:BC286"/>
    <mergeCell ref="BD286:BH286"/>
    <mergeCell ref="BI286:BM286"/>
    <mergeCell ref="BN286:BP286"/>
    <mergeCell ref="B287:C287"/>
    <mergeCell ref="D287:Q287"/>
    <mergeCell ref="R287:S287"/>
    <mergeCell ref="T287:V287"/>
    <mergeCell ref="W287:Y287"/>
    <mergeCell ref="Z287:AC287"/>
    <mergeCell ref="AD287:AF287"/>
    <mergeCell ref="AG287:AJ287"/>
    <mergeCell ref="AP287:AT287"/>
    <mergeCell ref="AZ287:BC287"/>
    <mergeCell ref="BD287:BH287"/>
    <mergeCell ref="BI287:BM287"/>
    <mergeCell ref="B284:C284"/>
    <mergeCell ref="D284:Q284"/>
    <mergeCell ref="R284:S284"/>
    <mergeCell ref="T284:V284"/>
    <mergeCell ref="W284:Y284"/>
    <mergeCell ref="Z284:AC284"/>
    <mergeCell ref="AD284:AF284"/>
    <mergeCell ref="AG284:AJ284"/>
    <mergeCell ref="AK284:AO284"/>
    <mergeCell ref="AP284:AT284"/>
    <mergeCell ref="AU284:AY284"/>
    <mergeCell ref="AZ284:BC284"/>
    <mergeCell ref="BD284:BH284"/>
    <mergeCell ref="BI284:BM284"/>
    <mergeCell ref="BN284:BP284"/>
    <mergeCell ref="B285:C285"/>
    <mergeCell ref="D285:Q285"/>
    <mergeCell ref="R285:S285"/>
    <mergeCell ref="T285:V285"/>
    <mergeCell ref="W285:Y285"/>
    <mergeCell ref="Z285:AC285"/>
    <mergeCell ref="AD285:AF285"/>
    <mergeCell ref="AG285:AJ285"/>
    <mergeCell ref="AK285:AO285"/>
    <mergeCell ref="AP285:AT285"/>
    <mergeCell ref="AU285:AY285"/>
    <mergeCell ref="AZ285:BC285"/>
    <mergeCell ref="BD285:BH285"/>
    <mergeCell ref="BI285:BM285"/>
    <mergeCell ref="BN285:BP285"/>
    <mergeCell ref="B282:C282"/>
    <mergeCell ref="D282:Q282"/>
    <mergeCell ref="R282:S282"/>
    <mergeCell ref="T282:V282"/>
    <mergeCell ref="W282:Y282"/>
    <mergeCell ref="Z282:AC282"/>
    <mergeCell ref="AD282:AF282"/>
    <mergeCell ref="AG282:AJ282"/>
    <mergeCell ref="AK282:AO282"/>
    <mergeCell ref="AP282:AT282"/>
    <mergeCell ref="AU282:AY282"/>
    <mergeCell ref="AZ282:BC282"/>
    <mergeCell ref="BD282:BH282"/>
    <mergeCell ref="BI282:BM282"/>
    <mergeCell ref="BN282:BP282"/>
    <mergeCell ref="B283:C283"/>
    <mergeCell ref="D283:Q283"/>
    <mergeCell ref="R283:S283"/>
    <mergeCell ref="T283:V283"/>
    <mergeCell ref="W283:Y283"/>
    <mergeCell ref="Z283:AC283"/>
    <mergeCell ref="AD283:AF283"/>
    <mergeCell ref="AG283:AJ283"/>
    <mergeCell ref="AK283:AO283"/>
    <mergeCell ref="AP283:AT283"/>
    <mergeCell ref="AU283:AY283"/>
    <mergeCell ref="AZ283:BC283"/>
    <mergeCell ref="BD283:BH283"/>
    <mergeCell ref="BI283:BM283"/>
    <mergeCell ref="BN283:BP283"/>
    <mergeCell ref="B280:C280"/>
    <mergeCell ref="D280:Q280"/>
    <mergeCell ref="R280:S280"/>
    <mergeCell ref="T280:V280"/>
    <mergeCell ref="W280:Y280"/>
    <mergeCell ref="Z280:AC280"/>
    <mergeCell ref="AD280:AF280"/>
    <mergeCell ref="AG280:AJ280"/>
    <mergeCell ref="AK280:AO280"/>
    <mergeCell ref="AP280:AT280"/>
    <mergeCell ref="AU280:AY280"/>
    <mergeCell ref="AZ280:BC280"/>
    <mergeCell ref="BD280:BH280"/>
    <mergeCell ref="BI280:BM280"/>
    <mergeCell ref="BN280:BP280"/>
    <mergeCell ref="B281:C281"/>
    <mergeCell ref="D281:Q281"/>
    <mergeCell ref="R281:S281"/>
    <mergeCell ref="T281:V281"/>
    <mergeCell ref="W281:Y281"/>
    <mergeCell ref="Z281:AC281"/>
    <mergeCell ref="AD281:AF281"/>
    <mergeCell ref="AG281:AJ281"/>
    <mergeCell ref="AP281:AT281"/>
    <mergeCell ref="AZ281:BC281"/>
    <mergeCell ref="BD281:BH281"/>
    <mergeCell ref="BI281:BM281"/>
    <mergeCell ref="B278:C278"/>
    <mergeCell ref="D278:Q278"/>
    <mergeCell ref="R278:S278"/>
    <mergeCell ref="T278:V278"/>
    <mergeCell ref="W278:Y278"/>
    <mergeCell ref="Z278:AC278"/>
    <mergeCell ref="AD278:AF278"/>
    <mergeCell ref="AG278:AJ278"/>
    <mergeCell ref="AK278:AO278"/>
    <mergeCell ref="AP278:AT278"/>
    <mergeCell ref="AU278:AY278"/>
    <mergeCell ref="AZ278:BC278"/>
    <mergeCell ref="BD278:BH278"/>
    <mergeCell ref="BI278:BM278"/>
    <mergeCell ref="BN278:BP278"/>
    <mergeCell ref="B279:C279"/>
    <mergeCell ref="D279:Q279"/>
    <mergeCell ref="R279:S279"/>
    <mergeCell ref="T279:V279"/>
    <mergeCell ref="W279:Y279"/>
    <mergeCell ref="Z279:AC279"/>
    <mergeCell ref="AD279:AF279"/>
    <mergeCell ref="AG279:AJ279"/>
    <mergeCell ref="AK279:AO279"/>
    <mergeCell ref="AP279:AT279"/>
    <mergeCell ref="AU279:AY279"/>
    <mergeCell ref="AZ279:BC279"/>
    <mergeCell ref="BD279:BH279"/>
    <mergeCell ref="BI279:BM279"/>
    <mergeCell ref="BN279:BP279"/>
    <mergeCell ref="B276:C276"/>
    <mergeCell ref="D276:Q276"/>
    <mergeCell ref="R276:S276"/>
    <mergeCell ref="T276:V276"/>
    <mergeCell ref="W276:Y276"/>
    <mergeCell ref="Z276:AC276"/>
    <mergeCell ref="AD276:AF276"/>
    <mergeCell ref="AG276:AJ276"/>
    <mergeCell ref="AK276:AO276"/>
    <mergeCell ref="AP276:AT276"/>
    <mergeCell ref="AU276:AY276"/>
    <mergeCell ref="AZ276:BC276"/>
    <mergeCell ref="BD276:BH276"/>
    <mergeCell ref="BI276:BM276"/>
    <mergeCell ref="BN276:BP276"/>
    <mergeCell ref="B277:C277"/>
    <mergeCell ref="D277:Q277"/>
    <mergeCell ref="R277:S277"/>
    <mergeCell ref="T277:V277"/>
    <mergeCell ref="W277:Y277"/>
    <mergeCell ref="Z277:AC277"/>
    <mergeCell ref="AD277:AF277"/>
    <mergeCell ref="AG277:AJ277"/>
    <mergeCell ref="AK277:AO277"/>
    <mergeCell ref="AP277:AT277"/>
    <mergeCell ref="AU277:AY277"/>
    <mergeCell ref="AZ277:BC277"/>
    <mergeCell ref="BD277:BH277"/>
    <mergeCell ref="BI277:BM277"/>
    <mergeCell ref="BN277:BP277"/>
    <mergeCell ref="B274:C274"/>
    <mergeCell ref="D274:Q274"/>
    <mergeCell ref="R274:S274"/>
    <mergeCell ref="T274:V274"/>
    <mergeCell ref="W274:Y274"/>
    <mergeCell ref="Z274:AC274"/>
    <mergeCell ref="AD274:AF274"/>
    <mergeCell ref="AG274:AJ274"/>
    <mergeCell ref="AK274:AO274"/>
    <mergeCell ref="AP274:AT274"/>
    <mergeCell ref="AU274:AY274"/>
    <mergeCell ref="AZ274:BC274"/>
    <mergeCell ref="BD274:BH274"/>
    <mergeCell ref="BI274:BM274"/>
    <mergeCell ref="BN274:BP274"/>
    <mergeCell ref="B275:C275"/>
    <mergeCell ref="D275:Q275"/>
    <mergeCell ref="R275:S275"/>
    <mergeCell ref="T275:V275"/>
    <mergeCell ref="W275:Y275"/>
    <mergeCell ref="Z275:AC275"/>
    <mergeCell ref="AD275:AF275"/>
    <mergeCell ref="AG275:AJ275"/>
    <mergeCell ref="AK275:AO275"/>
    <mergeCell ref="AP275:AT275"/>
    <mergeCell ref="AU275:AY275"/>
    <mergeCell ref="AZ275:BC275"/>
    <mergeCell ref="BD275:BH275"/>
    <mergeCell ref="BI275:BM275"/>
    <mergeCell ref="BN275:BP275"/>
    <mergeCell ref="B272:C272"/>
    <mergeCell ref="D272:Q272"/>
    <mergeCell ref="R272:S272"/>
    <mergeCell ref="T272:V272"/>
    <mergeCell ref="W272:Y272"/>
    <mergeCell ref="Z272:AC272"/>
    <mergeCell ref="AD272:AF272"/>
    <mergeCell ref="AG272:AJ272"/>
    <mergeCell ref="AK272:AO272"/>
    <mergeCell ref="AP272:AT272"/>
    <mergeCell ref="AU272:AY272"/>
    <mergeCell ref="AZ272:BC272"/>
    <mergeCell ref="BD272:BH272"/>
    <mergeCell ref="BI272:BM272"/>
    <mergeCell ref="BN272:BP272"/>
    <mergeCell ref="B273:C273"/>
    <mergeCell ref="D273:Q273"/>
    <mergeCell ref="R273:S273"/>
    <mergeCell ref="T273:V273"/>
    <mergeCell ref="W273:Y273"/>
    <mergeCell ref="Z273:AC273"/>
    <mergeCell ref="AD273:AF273"/>
    <mergeCell ref="AG273:AJ273"/>
    <mergeCell ref="AK273:AO273"/>
    <mergeCell ref="AP273:AT273"/>
    <mergeCell ref="AU273:AY273"/>
    <mergeCell ref="AZ273:BC273"/>
    <mergeCell ref="BD273:BH273"/>
    <mergeCell ref="BI273:BM273"/>
    <mergeCell ref="BN273:BP273"/>
    <mergeCell ref="B270:C270"/>
    <mergeCell ref="D270:Q270"/>
    <mergeCell ref="R270:S270"/>
    <mergeCell ref="T270:V270"/>
    <mergeCell ref="W270:Y270"/>
    <mergeCell ref="Z270:AC270"/>
    <mergeCell ref="AD270:AF270"/>
    <mergeCell ref="AG270:AJ270"/>
    <mergeCell ref="AK270:AO270"/>
    <mergeCell ref="AP270:AT270"/>
    <mergeCell ref="AU270:AY270"/>
    <mergeCell ref="AZ270:BC270"/>
    <mergeCell ref="BD270:BH270"/>
    <mergeCell ref="BI270:BM270"/>
    <mergeCell ref="BN270:BP270"/>
    <mergeCell ref="B271:C271"/>
    <mergeCell ref="D271:Q271"/>
    <mergeCell ref="R271:S271"/>
    <mergeCell ref="T271:V271"/>
    <mergeCell ref="W271:Y271"/>
    <mergeCell ref="Z271:AC271"/>
    <mergeCell ref="AD271:AF271"/>
    <mergeCell ref="AG271:AJ271"/>
    <mergeCell ref="AK271:AO271"/>
    <mergeCell ref="AP271:AT271"/>
    <mergeCell ref="AU271:AY271"/>
    <mergeCell ref="AZ271:BC271"/>
    <mergeCell ref="BD271:BH271"/>
    <mergeCell ref="BI271:BM271"/>
    <mergeCell ref="BN271:BP271"/>
    <mergeCell ref="B268:C268"/>
    <mergeCell ref="D268:Q268"/>
    <mergeCell ref="R268:S268"/>
    <mergeCell ref="T268:V268"/>
    <mergeCell ref="W268:Y268"/>
    <mergeCell ref="Z268:AC268"/>
    <mergeCell ref="AD268:AF268"/>
    <mergeCell ref="AG268:AJ268"/>
    <mergeCell ref="AK268:AO268"/>
    <mergeCell ref="AP268:AT268"/>
    <mergeCell ref="AU268:AY268"/>
    <mergeCell ref="AZ268:BC268"/>
    <mergeCell ref="BD268:BH268"/>
    <mergeCell ref="BI268:BM268"/>
    <mergeCell ref="BN268:BP268"/>
    <mergeCell ref="B269:C269"/>
    <mergeCell ref="D269:Q269"/>
    <mergeCell ref="R269:S269"/>
    <mergeCell ref="T269:V269"/>
    <mergeCell ref="W269:Y269"/>
    <mergeCell ref="Z269:AC269"/>
    <mergeCell ref="AD269:AF269"/>
    <mergeCell ref="AG269:AJ269"/>
    <mergeCell ref="AK269:AO269"/>
    <mergeCell ref="AP269:AT269"/>
    <mergeCell ref="AU269:AY269"/>
    <mergeCell ref="AZ269:BC269"/>
    <mergeCell ref="BD269:BH269"/>
    <mergeCell ref="BI269:BM269"/>
    <mergeCell ref="BN269:BP269"/>
    <mergeCell ref="B266:C266"/>
    <mergeCell ref="D266:Q266"/>
    <mergeCell ref="R266:S266"/>
    <mergeCell ref="T266:V266"/>
    <mergeCell ref="W266:Y266"/>
    <mergeCell ref="Z266:AC266"/>
    <mergeCell ref="AD266:AF266"/>
    <mergeCell ref="AG266:AJ266"/>
    <mergeCell ref="AK266:AO266"/>
    <mergeCell ref="AP266:AT266"/>
    <mergeCell ref="AU266:AY266"/>
    <mergeCell ref="AZ266:BC266"/>
    <mergeCell ref="BD266:BH266"/>
    <mergeCell ref="BI266:BM266"/>
    <mergeCell ref="BN266:BP266"/>
    <mergeCell ref="B267:C267"/>
    <mergeCell ref="D267:Q267"/>
    <mergeCell ref="R267:S267"/>
    <mergeCell ref="T267:V267"/>
    <mergeCell ref="W267:Y267"/>
    <mergeCell ref="Z267:AC267"/>
    <mergeCell ref="AD267:AF267"/>
    <mergeCell ref="AG267:AJ267"/>
    <mergeCell ref="AK267:AO267"/>
    <mergeCell ref="AP267:AT267"/>
    <mergeCell ref="AU267:AY267"/>
    <mergeCell ref="AZ267:BC267"/>
    <mergeCell ref="BD267:BH267"/>
    <mergeCell ref="BI267:BM267"/>
    <mergeCell ref="BN267:BP267"/>
    <mergeCell ref="B264:C264"/>
    <mergeCell ref="D264:Q264"/>
    <mergeCell ref="R264:S264"/>
    <mergeCell ref="T264:V264"/>
    <mergeCell ref="W264:Y264"/>
    <mergeCell ref="Z264:AC264"/>
    <mergeCell ref="AD264:AF264"/>
    <mergeCell ref="AG264:AJ264"/>
    <mergeCell ref="AK264:AO264"/>
    <mergeCell ref="AP264:AT264"/>
    <mergeCell ref="AU264:AY264"/>
    <mergeCell ref="AZ264:BC264"/>
    <mergeCell ref="BD264:BH264"/>
    <mergeCell ref="BI264:BM264"/>
    <mergeCell ref="BN264:BP264"/>
    <mergeCell ref="B265:C265"/>
    <mergeCell ref="D265:Q265"/>
    <mergeCell ref="R265:S265"/>
    <mergeCell ref="T265:V265"/>
    <mergeCell ref="W265:Y265"/>
    <mergeCell ref="Z265:AC265"/>
    <mergeCell ref="AD265:AF265"/>
    <mergeCell ref="AG265:AJ265"/>
    <mergeCell ref="AK265:AO265"/>
    <mergeCell ref="AP265:AT265"/>
    <mergeCell ref="AU265:AY265"/>
    <mergeCell ref="AZ265:BC265"/>
    <mergeCell ref="BD265:BH265"/>
    <mergeCell ref="BI265:BM265"/>
    <mergeCell ref="BN265:BP265"/>
    <mergeCell ref="B262:C262"/>
    <mergeCell ref="D262:Q262"/>
    <mergeCell ref="R262:S262"/>
    <mergeCell ref="T262:V262"/>
    <mergeCell ref="W262:Y262"/>
    <mergeCell ref="Z262:AC262"/>
    <mergeCell ref="AD262:AF262"/>
    <mergeCell ref="AG262:AJ262"/>
    <mergeCell ref="AK262:AO262"/>
    <mergeCell ref="AP262:AT262"/>
    <mergeCell ref="AU262:AY262"/>
    <mergeCell ref="AZ262:BC262"/>
    <mergeCell ref="BD262:BH262"/>
    <mergeCell ref="BI262:BM262"/>
    <mergeCell ref="BN262:BP262"/>
    <mergeCell ref="B263:C263"/>
    <mergeCell ref="D263:Q263"/>
    <mergeCell ref="R263:S263"/>
    <mergeCell ref="T263:V263"/>
    <mergeCell ref="W263:Y263"/>
    <mergeCell ref="Z263:AC263"/>
    <mergeCell ref="AD263:AF263"/>
    <mergeCell ref="AG263:AJ263"/>
    <mergeCell ref="AK263:AO263"/>
    <mergeCell ref="AP263:AT263"/>
    <mergeCell ref="AU263:AY263"/>
    <mergeCell ref="AZ263:BC263"/>
    <mergeCell ref="BD263:BH263"/>
    <mergeCell ref="BI263:BM263"/>
    <mergeCell ref="BN263:BP263"/>
    <mergeCell ref="B260:C260"/>
    <mergeCell ref="D260:Q260"/>
    <mergeCell ref="R260:S260"/>
    <mergeCell ref="T260:V260"/>
    <mergeCell ref="W260:Y260"/>
    <mergeCell ref="Z260:AC260"/>
    <mergeCell ref="AD260:AF260"/>
    <mergeCell ref="AG260:AJ260"/>
    <mergeCell ref="AK260:AO260"/>
    <mergeCell ref="AP260:AT260"/>
    <mergeCell ref="AU260:AY260"/>
    <mergeCell ref="AZ260:BC260"/>
    <mergeCell ref="BD260:BH260"/>
    <mergeCell ref="BI260:BM260"/>
    <mergeCell ref="BN260:BP260"/>
    <mergeCell ref="B261:C261"/>
    <mergeCell ref="D261:Q261"/>
    <mergeCell ref="R261:S261"/>
    <mergeCell ref="T261:V261"/>
    <mergeCell ref="W261:Y261"/>
    <mergeCell ref="Z261:AC261"/>
    <mergeCell ref="AD261:AF261"/>
    <mergeCell ref="AG261:AJ261"/>
    <mergeCell ref="AK261:AO261"/>
    <mergeCell ref="AP261:AT261"/>
    <mergeCell ref="AU261:AY261"/>
    <mergeCell ref="AZ261:BC261"/>
    <mergeCell ref="BD261:BH261"/>
    <mergeCell ref="BI261:BM261"/>
    <mergeCell ref="BN261:BP261"/>
    <mergeCell ref="B258:C258"/>
    <mergeCell ref="D258:Q258"/>
    <mergeCell ref="R258:S258"/>
    <mergeCell ref="T258:V258"/>
    <mergeCell ref="W258:Y258"/>
    <mergeCell ref="Z258:AC258"/>
    <mergeCell ref="AD258:AF258"/>
    <mergeCell ref="AG258:AJ258"/>
    <mergeCell ref="AK258:AO258"/>
    <mergeCell ref="AP258:AT258"/>
    <mergeCell ref="AU258:AY258"/>
    <mergeCell ref="AZ258:BC258"/>
    <mergeCell ref="BD258:BH258"/>
    <mergeCell ref="BI258:BM258"/>
    <mergeCell ref="BN258:BP258"/>
    <mergeCell ref="B259:C259"/>
    <mergeCell ref="D259:Q259"/>
    <mergeCell ref="R259:S259"/>
    <mergeCell ref="T259:V259"/>
    <mergeCell ref="W259:Y259"/>
    <mergeCell ref="Z259:AC259"/>
    <mergeCell ref="AD259:AF259"/>
    <mergeCell ref="AG259:AJ259"/>
    <mergeCell ref="AK259:AO259"/>
    <mergeCell ref="AP259:AT259"/>
    <mergeCell ref="AU259:AY259"/>
    <mergeCell ref="AZ259:BC259"/>
    <mergeCell ref="BD259:BH259"/>
    <mergeCell ref="BI259:BM259"/>
    <mergeCell ref="BN259:BP259"/>
    <mergeCell ref="B256:C256"/>
    <mergeCell ref="D256:Q256"/>
    <mergeCell ref="R256:S256"/>
    <mergeCell ref="T256:V256"/>
    <mergeCell ref="W256:Y256"/>
    <mergeCell ref="Z256:AC256"/>
    <mergeCell ref="AD256:AF256"/>
    <mergeCell ref="AG256:AJ256"/>
    <mergeCell ref="AK256:AO256"/>
    <mergeCell ref="AP256:AT256"/>
    <mergeCell ref="AU256:AY256"/>
    <mergeCell ref="AZ256:BC256"/>
    <mergeCell ref="BD256:BH256"/>
    <mergeCell ref="BI256:BM256"/>
    <mergeCell ref="BN256:BP256"/>
    <mergeCell ref="B257:C257"/>
    <mergeCell ref="D257:Q257"/>
    <mergeCell ref="R257:S257"/>
    <mergeCell ref="T257:V257"/>
    <mergeCell ref="W257:Y257"/>
    <mergeCell ref="Z257:AC257"/>
    <mergeCell ref="AD257:AF257"/>
    <mergeCell ref="AG257:AJ257"/>
    <mergeCell ref="AK257:AO257"/>
    <mergeCell ref="AP257:AT257"/>
    <mergeCell ref="AU257:AY257"/>
    <mergeCell ref="AZ257:BC257"/>
    <mergeCell ref="BD257:BH257"/>
    <mergeCell ref="BI257:BM257"/>
    <mergeCell ref="BN257:BP257"/>
    <mergeCell ref="B254:C254"/>
    <mergeCell ref="D254:Q254"/>
    <mergeCell ref="R254:S254"/>
    <mergeCell ref="T254:V254"/>
    <mergeCell ref="W254:Y254"/>
    <mergeCell ref="Z254:AC254"/>
    <mergeCell ref="AD254:AF254"/>
    <mergeCell ref="AG254:AJ254"/>
    <mergeCell ref="AK254:AO254"/>
    <mergeCell ref="AP254:AT254"/>
    <mergeCell ref="AU254:AY254"/>
    <mergeCell ref="AZ254:BC254"/>
    <mergeCell ref="BD254:BH254"/>
    <mergeCell ref="BI254:BM254"/>
    <mergeCell ref="BN254:BP254"/>
    <mergeCell ref="B255:C255"/>
    <mergeCell ref="D255:Q255"/>
    <mergeCell ref="R255:S255"/>
    <mergeCell ref="T255:V255"/>
    <mergeCell ref="W255:Y255"/>
    <mergeCell ref="Z255:AC255"/>
    <mergeCell ref="AD255:AF255"/>
    <mergeCell ref="AG255:AJ255"/>
    <mergeCell ref="AK255:AO255"/>
    <mergeCell ref="AP255:AT255"/>
    <mergeCell ref="AU255:AY255"/>
    <mergeCell ref="AZ255:BC255"/>
    <mergeCell ref="BD255:BH255"/>
    <mergeCell ref="BI255:BM255"/>
    <mergeCell ref="BN255:BP255"/>
    <mergeCell ref="B252:C252"/>
    <mergeCell ref="D252:Q252"/>
    <mergeCell ref="R252:S252"/>
    <mergeCell ref="T252:V252"/>
    <mergeCell ref="W252:Y252"/>
    <mergeCell ref="Z252:AC252"/>
    <mergeCell ref="AD252:AF252"/>
    <mergeCell ref="AG252:AJ252"/>
    <mergeCell ref="AK252:AO252"/>
    <mergeCell ref="AP252:AT252"/>
    <mergeCell ref="AU252:AY252"/>
    <mergeCell ref="AZ252:BC252"/>
    <mergeCell ref="BD252:BH252"/>
    <mergeCell ref="BI252:BM252"/>
    <mergeCell ref="BN252:BP252"/>
    <mergeCell ref="B253:C253"/>
    <mergeCell ref="D253:Q253"/>
    <mergeCell ref="R253:S253"/>
    <mergeCell ref="T253:V253"/>
    <mergeCell ref="W253:Y253"/>
    <mergeCell ref="Z253:AC253"/>
    <mergeCell ref="AD253:AF253"/>
    <mergeCell ref="AG253:AJ253"/>
    <mergeCell ref="AK253:AO253"/>
    <mergeCell ref="AP253:AT253"/>
    <mergeCell ref="AU253:AY253"/>
    <mergeCell ref="AZ253:BC253"/>
    <mergeCell ref="BD253:BH253"/>
    <mergeCell ref="BI253:BM253"/>
    <mergeCell ref="BN253:BP253"/>
    <mergeCell ref="BN249:BP249"/>
    <mergeCell ref="B250:C250"/>
    <mergeCell ref="D250:Q250"/>
    <mergeCell ref="R250:S250"/>
    <mergeCell ref="T250:V250"/>
    <mergeCell ref="W250:Y250"/>
    <mergeCell ref="Z250:AC250"/>
    <mergeCell ref="AD250:AF250"/>
    <mergeCell ref="AG250:AJ250"/>
    <mergeCell ref="AK250:AO250"/>
    <mergeCell ref="AP250:AT250"/>
    <mergeCell ref="AU250:AY250"/>
    <mergeCell ref="AZ250:BC250"/>
    <mergeCell ref="BD250:BH250"/>
    <mergeCell ref="BI250:BM250"/>
    <mergeCell ref="BN250:BP250"/>
    <mergeCell ref="B251:C251"/>
    <mergeCell ref="D251:Q251"/>
    <mergeCell ref="R251:S251"/>
    <mergeCell ref="T251:V251"/>
    <mergeCell ref="W251:Y251"/>
    <mergeCell ref="Z251:AC251"/>
    <mergeCell ref="AD251:AF251"/>
    <mergeCell ref="AG251:AJ251"/>
    <mergeCell ref="AK251:AO251"/>
    <mergeCell ref="AP251:AT251"/>
    <mergeCell ref="AU251:AY251"/>
    <mergeCell ref="AZ251:BC251"/>
    <mergeCell ref="BD251:BH251"/>
    <mergeCell ref="BI251:BM251"/>
    <mergeCell ref="BN251:BP251"/>
    <mergeCell ref="B248:C248"/>
    <mergeCell ref="D248:Q248"/>
    <mergeCell ref="R248:S248"/>
    <mergeCell ref="T248:V248"/>
    <mergeCell ref="W248:Y248"/>
    <mergeCell ref="Z248:AC248"/>
    <mergeCell ref="AD248:AF248"/>
    <mergeCell ref="AG248:AJ248"/>
    <mergeCell ref="AP248:AT248"/>
    <mergeCell ref="AZ248:BC248"/>
    <mergeCell ref="BD248:BH248"/>
    <mergeCell ref="BI248:BM248"/>
    <mergeCell ref="B249:C249"/>
    <mergeCell ref="D249:Q249"/>
    <mergeCell ref="R249:S249"/>
    <mergeCell ref="T249:V249"/>
    <mergeCell ref="W249:Y249"/>
    <mergeCell ref="Z249:AC249"/>
    <mergeCell ref="AD249:AF249"/>
    <mergeCell ref="AG249:AJ249"/>
    <mergeCell ref="AK249:AO249"/>
    <mergeCell ref="AP249:AT249"/>
    <mergeCell ref="AU249:AY249"/>
    <mergeCell ref="AZ249:BC249"/>
    <mergeCell ref="BD249:BH249"/>
    <mergeCell ref="BI249:BM249"/>
    <mergeCell ref="B246:C246"/>
    <mergeCell ref="D246:Q246"/>
    <mergeCell ref="R246:S246"/>
    <mergeCell ref="T246:V246"/>
    <mergeCell ref="W246:Y246"/>
    <mergeCell ref="Z246:AC246"/>
    <mergeCell ref="AD246:AF246"/>
    <mergeCell ref="AG246:AJ246"/>
    <mergeCell ref="AK246:AO246"/>
    <mergeCell ref="AP246:AT246"/>
    <mergeCell ref="AU246:AY246"/>
    <mergeCell ref="AZ246:BC246"/>
    <mergeCell ref="BD246:BH246"/>
    <mergeCell ref="BI246:BM246"/>
    <mergeCell ref="BN246:BP246"/>
    <mergeCell ref="B247:C247"/>
    <mergeCell ref="D247:Q247"/>
    <mergeCell ref="R247:S247"/>
    <mergeCell ref="T247:V247"/>
    <mergeCell ref="W247:Y247"/>
    <mergeCell ref="Z247:AC247"/>
    <mergeCell ref="AD247:AF247"/>
    <mergeCell ref="AG247:AJ247"/>
    <mergeCell ref="AK247:AO247"/>
    <mergeCell ref="AP247:AT247"/>
    <mergeCell ref="AU247:AY247"/>
    <mergeCell ref="AZ247:BC247"/>
    <mergeCell ref="BD247:BH247"/>
    <mergeCell ref="BI247:BM247"/>
    <mergeCell ref="BN247:BP247"/>
    <mergeCell ref="B244:C244"/>
    <mergeCell ref="D244:Q244"/>
    <mergeCell ref="R244:S244"/>
    <mergeCell ref="T244:V244"/>
    <mergeCell ref="W244:Y244"/>
    <mergeCell ref="Z244:AC244"/>
    <mergeCell ref="AD244:AF244"/>
    <mergeCell ref="AG244:AJ244"/>
    <mergeCell ref="AK244:AO244"/>
    <mergeCell ref="AP244:AT244"/>
    <mergeCell ref="AU244:AY244"/>
    <mergeCell ref="AZ244:BC244"/>
    <mergeCell ref="BD244:BH244"/>
    <mergeCell ref="BI244:BM244"/>
    <mergeCell ref="BN244:BP244"/>
    <mergeCell ref="B245:C245"/>
    <mergeCell ref="D245:Q245"/>
    <mergeCell ref="R245:S245"/>
    <mergeCell ref="T245:V245"/>
    <mergeCell ref="W245:Y245"/>
    <mergeCell ref="Z245:AC245"/>
    <mergeCell ref="AD245:AF245"/>
    <mergeCell ref="AG245:AJ245"/>
    <mergeCell ref="AK245:AO245"/>
    <mergeCell ref="AP245:AT245"/>
    <mergeCell ref="AU245:AY245"/>
    <mergeCell ref="AZ245:BC245"/>
    <mergeCell ref="BD245:BH245"/>
    <mergeCell ref="BI245:BM245"/>
    <mergeCell ref="BN245:BP245"/>
    <mergeCell ref="B242:C242"/>
    <mergeCell ref="D242:Q242"/>
    <mergeCell ref="R242:S242"/>
    <mergeCell ref="T242:V242"/>
    <mergeCell ref="W242:Y242"/>
    <mergeCell ref="Z242:AC242"/>
    <mergeCell ref="AD242:AF242"/>
    <mergeCell ref="AG242:AJ242"/>
    <mergeCell ref="AK242:AO242"/>
    <mergeCell ref="AP242:AT242"/>
    <mergeCell ref="AU242:AY242"/>
    <mergeCell ref="AZ242:BC242"/>
    <mergeCell ref="BD242:BH242"/>
    <mergeCell ref="BI242:BM242"/>
    <mergeCell ref="BN242:BP242"/>
    <mergeCell ref="B243:C243"/>
    <mergeCell ref="D243:Q243"/>
    <mergeCell ref="R243:S243"/>
    <mergeCell ref="T243:V243"/>
    <mergeCell ref="W243:Y243"/>
    <mergeCell ref="Z243:AC243"/>
    <mergeCell ref="AD243:AF243"/>
    <mergeCell ref="AG243:AJ243"/>
    <mergeCell ref="AK243:AO243"/>
    <mergeCell ref="AP243:AT243"/>
    <mergeCell ref="AU243:AY243"/>
    <mergeCell ref="AZ243:BC243"/>
    <mergeCell ref="BD243:BH243"/>
    <mergeCell ref="BI243:BM243"/>
    <mergeCell ref="BN243:BP243"/>
    <mergeCell ref="B240:C240"/>
    <mergeCell ref="D240:Q240"/>
    <mergeCell ref="R240:S240"/>
    <mergeCell ref="T240:V240"/>
    <mergeCell ref="W240:Y240"/>
    <mergeCell ref="Z240:AC240"/>
    <mergeCell ref="AD240:AF240"/>
    <mergeCell ref="AG240:AJ240"/>
    <mergeCell ref="AK240:AO240"/>
    <mergeCell ref="AP240:AT240"/>
    <mergeCell ref="AU240:AY240"/>
    <mergeCell ref="AZ240:BC240"/>
    <mergeCell ref="BD240:BH240"/>
    <mergeCell ref="BI240:BM240"/>
    <mergeCell ref="BN240:BP240"/>
    <mergeCell ref="B241:C241"/>
    <mergeCell ref="D241:Q241"/>
    <mergeCell ref="R241:S241"/>
    <mergeCell ref="T241:V241"/>
    <mergeCell ref="W241:Y241"/>
    <mergeCell ref="Z241:AC241"/>
    <mergeCell ref="AD241:AF241"/>
    <mergeCell ref="AG241:AJ241"/>
    <mergeCell ref="AK241:AO241"/>
    <mergeCell ref="AP241:AT241"/>
    <mergeCell ref="AU241:AY241"/>
    <mergeCell ref="AZ241:BC241"/>
    <mergeCell ref="BD241:BH241"/>
    <mergeCell ref="BI241:BM241"/>
    <mergeCell ref="BN241:BP241"/>
    <mergeCell ref="B238:C238"/>
    <mergeCell ref="D238:Q238"/>
    <mergeCell ref="R238:S238"/>
    <mergeCell ref="T238:V238"/>
    <mergeCell ref="W238:Y238"/>
    <mergeCell ref="Z238:AC238"/>
    <mergeCell ref="AD238:AF238"/>
    <mergeCell ref="AG238:AJ238"/>
    <mergeCell ref="AK238:AO238"/>
    <mergeCell ref="AP238:AT238"/>
    <mergeCell ref="AU238:AY238"/>
    <mergeCell ref="AZ238:BC238"/>
    <mergeCell ref="BD238:BH238"/>
    <mergeCell ref="BI238:BM238"/>
    <mergeCell ref="BN238:BP238"/>
    <mergeCell ref="B239:C239"/>
    <mergeCell ref="D239:Q239"/>
    <mergeCell ref="R239:S239"/>
    <mergeCell ref="T239:V239"/>
    <mergeCell ref="W239:Y239"/>
    <mergeCell ref="Z239:AC239"/>
    <mergeCell ref="AD239:AF239"/>
    <mergeCell ref="AG239:AJ239"/>
    <mergeCell ref="AK239:AO239"/>
    <mergeCell ref="AP239:AT239"/>
    <mergeCell ref="AU239:AY239"/>
    <mergeCell ref="AZ239:BC239"/>
    <mergeCell ref="BD239:BH239"/>
    <mergeCell ref="BI239:BM239"/>
    <mergeCell ref="BN239:BP239"/>
    <mergeCell ref="B236:C236"/>
    <mergeCell ref="D236:Q236"/>
    <mergeCell ref="R236:S236"/>
    <mergeCell ref="T236:V236"/>
    <mergeCell ref="W236:Y236"/>
    <mergeCell ref="Z236:AC236"/>
    <mergeCell ref="AD236:AF236"/>
    <mergeCell ref="AG236:AJ236"/>
    <mergeCell ref="AK236:AO236"/>
    <mergeCell ref="AP236:AT236"/>
    <mergeCell ref="AU236:AY236"/>
    <mergeCell ref="AZ236:BC236"/>
    <mergeCell ref="BD236:BH236"/>
    <mergeCell ref="BI236:BM236"/>
    <mergeCell ref="BN236:BP236"/>
    <mergeCell ref="B237:C237"/>
    <mergeCell ref="D237:Q237"/>
    <mergeCell ref="R237:S237"/>
    <mergeCell ref="T237:V237"/>
    <mergeCell ref="W237:Y237"/>
    <mergeCell ref="Z237:AC237"/>
    <mergeCell ref="AD237:AF237"/>
    <mergeCell ref="AG237:AJ237"/>
    <mergeCell ref="AK237:AO237"/>
    <mergeCell ref="AP237:AT237"/>
    <mergeCell ref="AU237:AY237"/>
    <mergeCell ref="AZ237:BC237"/>
    <mergeCell ref="BD237:BH237"/>
    <mergeCell ref="BI237:BM237"/>
    <mergeCell ref="BN237:BP237"/>
    <mergeCell ref="B234:C234"/>
    <mergeCell ref="D234:Q234"/>
    <mergeCell ref="R234:S234"/>
    <mergeCell ref="T234:V234"/>
    <mergeCell ref="W234:Y234"/>
    <mergeCell ref="Z234:AC234"/>
    <mergeCell ref="AD234:AF234"/>
    <mergeCell ref="AG234:AJ234"/>
    <mergeCell ref="AK234:AO234"/>
    <mergeCell ref="AP234:AT234"/>
    <mergeCell ref="AU234:AY234"/>
    <mergeCell ref="AZ234:BC234"/>
    <mergeCell ref="BD234:BH234"/>
    <mergeCell ref="BI234:BM234"/>
    <mergeCell ref="BN234:BP234"/>
    <mergeCell ref="B235:C235"/>
    <mergeCell ref="D235:Q235"/>
    <mergeCell ref="R235:S235"/>
    <mergeCell ref="T235:V235"/>
    <mergeCell ref="W235:Y235"/>
    <mergeCell ref="Z235:AC235"/>
    <mergeCell ref="AD235:AF235"/>
    <mergeCell ref="AG235:AJ235"/>
    <mergeCell ref="AK235:AO235"/>
    <mergeCell ref="AP235:AT235"/>
    <mergeCell ref="AU235:AY235"/>
    <mergeCell ref="AZ235:BC235"/>
    <mergeCell ref="BD235:BH235"/>
    <mergeCell ref="BI235:BM235"/>
    <mergeCell ref="BN235:BP235"/>
    <mergeCell ref="B232:C232"/>
    <mergeCell ref="D232:Q232"/>
    <mergeCell ref="R232:S232"/>
    <mergeCell ref="T232:V232"/>
    <mergeCell ref="W232:Y232"/>
    <mergeCell ref="Z232:AC232"/>
    <mergeCell ref="AD232:AF232"/>
    <mergeCell ref="AG232:AJ232"/>
    <mergeCell ref="AK232:AO232"/>
    <mergeCell ref="AP232:AT232"/>
    <mergeCell ref="AU232:AY232"/>
    <mergeCell ref="AZ232:BC232"/>
    <mergeCell ref="BD232:BH232"/>
    <mergeCell ref="BI232:BM232"/>
    <mergeCell ref="BN232:BP232"/>
    <mergeCell ref="B233:C233"/>
    <mergeCell ref="D233:Q233"/>
    <mergeCell ref="R233:S233"/>
    <mergeCell ref="T233:V233"/>
    <mergeCell ref="W233:Y233"/>
    <mergeCell ref="Z233:AC233"/>
    <mergeCell ref="AD233:AF233"/>
    <mergeCell ref="AG233:AJ233"/>
    <mergeCell ref="AK233:AO233"/>
    <mergeCell ref="AP233:AT233"/>
    <mergeCell ref="AU233:AY233"/>
    <mergeCell ref="AZ233:BC233"/>
    <mergeCell ref="BD233:BH233"/>
    <mergeCell ref="BI233:BM233"/>
    <mergeCell ref="BN233:BP233"/>
    <mergeCell ref="B230:C230"/>
    <mergeCell ref="D230:Q230"/>
    <mergeCell ref="R230:S230"/>
    <mergeCell ref="T230:V230"/>
    <mergeCell ref="W230:Y230"/>
    <mergeCell ref="Z230:AC230"/>
    <mergeCell ref="AD230:AF230"/>
    <mergeCell ref="AG230:AJ230"/>
    <mergeCell ref="AK230:AO230"/>
    <mergeCell ref="AP230:AT230"/>
    <mergeCell ref="AU230:AY230"/>
    <mergeCell ref="AZ230:BC230"/>
    <mergeCell ref="BD230:BH230"/>
    <mergeCell ref="BI230:BM230"/>
    <mergeCell ref="BN230:BP230"/>
    <mergeCell ref="B231:C231"/>
    <mergeCell ref="D231:Q231"/>
    <mergeCell ref="R231:S231"/>
    <mergeCell ref="T231:V231"/>
    <mergeCell ref="W231:Y231"/>
    <mergeCell ref="Z231:AC231"/>
    <mergeCell ref="AD231:AF231"/>
    <mergeCell ref="AG231:AJ231"/>
    <mergeCell ref="AK231:AO231"/>
    <mergeCell ref="AP231:AT231"/>
    <mergeCell ref="AU231:AY231"/>
    <mergeCell ref="AZ231:BC231"/>
    <mergeCell ref="BD231:BH231"/>
    <mergeCell ref="BI231:BM231"/>
    <mergeCell ref="BN231:BP231"/>
    <mergeCell ref="B228:C228"/>
    <mergeCell ref="D228:Q228"/>
    <mergeCell ref="R228:S228"/>
    <mergeCell ref="T228:V228"/>
    <mergeCell ref="W228:Y228"/>
    <mergeCell ref="Z228:AC228"/>
    <mergeCell ref="AD228:AF228"/>
    <mergeCell ref="AG228:AJ228"/>
    <mergeCell ref="AK228:AO228"/>
    <mergeCell ref="AP228:AT228"/>
    <mergeCell ref="AU228:AY228"/>
    <mergeCell ref="AZ228:BC228"/>
    <mergeCell ref="BD228:BH228"/>
    <mergeCell ref="BI228:BM228"/>
    <mergeCell ref="BN228:BP228"/>
    <mergeCell ref="B229:C229"/>
    <mergeCell ref="D229:Q229"/>
    <mergeCell ref="R229:S229"/>
    <mergeCell ref="T229:V229"/>
    <mergeCell ref="W229:Y229"/>
    <mergeCell ref="Z229:AC229"/>
    <mergeCell ref="AD229:AF229"/>
    <mergeCell ref="AG229:AJ229"/>
    <mergeCell ref="AK229:AO229"/>
    <mergeCell ref="AP229:AT229"/>
    <mergeCell ref="AU229:AY229"/>
    <mergeCell ref="AZ229:BC229"/>
    <mergeCell ref="BD229:BH229"/>
    <mergeCell ref="BI229:BM229"/>
    <mergeCell ref="BN229:BP229"/>
    <mergeCell ref="B226:C226"/>
    <mergeCell ref="D226:Q226"/>
    <mergeCell ref="R226:S226"/>
    <mergeCell ref="T226:V226"/>
    <mergeCell ref="W226:Y226"/>
    <mergeCell ref="Z226:AC226"/>
    <mergeCell ref="AD226:AF226"/>
    <mergeCell ref="AG226:AJ226"/>
    <mergeCell ref="AK226:AO226"/>
    <mergeCell ref="AP226:AT226"/>
    <mergeCell ref="AU226:AY226"/>
    <mergeCell ref="AZ226:BC226"/>
    <mergeCell ref="BD226:BH226"/>
    <mergeCell ref="BI226:BM226"/>
    <mergeCell ref="BN226:BP226"/>
    <mergeCell ref="B227:C227"/>
    <mergeCell ref="D227:Q227"/>
    <mergeCell ref="R227:S227"/>
    <mergeCell ref="T227:V227"/>
    <mergeCell ref="W227:Y227"/>
    <mergeCell ref="Z227:AC227"/>
    <mergeCell ref="AD227:AF227"/>
    <mergeCell ref="AG227:AJ227"/>
    <mergeCell ref="AK227:AO227"/>
    <mergeCell ref="AP227:AT227"/>
    <mergeCell ref="AU227:AY227"/>
    <mergeCell ref="AZ227:BC227"/>
    <mergeCell ref="BD227:BH227"/>
    <mergeCell ref="BI227:BM227"/>
    <mergeCell ref="BN227:BP227"/>
    <mergeCell ref="B224:C224"/>
    <mergeCell ref="D224:Q224"/>
    <mergeCell ref="R224:S224"/>
    <mergeCell ref="T224:V224"/>
    <mergeCell ref="W224:Y224"/>
    <mergeCell ref="Z224:AC224"/>
    <mergeCell ref="AD224:AF224"/>
    <mergeCell ref="AG224:AJ224"/>
    <mergeCell ref="AK224:AO224"/>
    <mergeCell ref="AP224:AT224"/>
    <mergeCell ref="AU224:AY224"/>
    <mergeCell ref="AZ224:BC224"/>
    <mergeCell ref="BD224:BH224"/>
    <mergeCell ref="BI224:BM224"/>
    <mergeCell ref="BN224:BP224"/>
    <mergeCell ref="B225:C225"/>
    <mergeCell ref="D225:Q225"/>
    <mergeCell ref="R225:S225"/>
    <mergeCell ref="T225:V225"/>
    <mergeCell ref="W225:Y225"/>
    <mergeCell ref="Z225:AC225"/>
    <mergeCell ref="AD225:AF225"/>
    <mergeCell ref="AG225:AJ225"/>
    <mergeCell ref="AK225:AO225"/>
    <mergeCell ref="AP225:AT225"/>
    <mergeCell ref="AU225:AY225"/>
    <mergeCell ref="AZ225:BC225"/>
    <mergeCell ref="BD225:BH225"/>
    <mergeCell ref="BI225:BM225"/>
    <mergeCell ref="BN225:BP225"/>
    <mergeCell ref="B222:C222"/>
    <mergeCell ref="D222:Q222"/>
    <mergeCell ref="R222:S222"/>
    <mergeCell ref="T222:V222"/>
    <mergeCell ref="W222:Y222"/>
    <mergeCell ref="Z222:AC222"/>
    <mergeCell ref="AD222:AF222"/>
    <mergeCell ref="AG222:AJ222"/>
    <mergeCell ref="AK222:AO222"/>
    <mergeCell ref="AP222:AT222"/>
    <mergeCell ref="AU222:AY222"/>
    <mergeCell ref="AZ222:BC222"/>
    <mergeCell ref="BD222:BH222"/>
    <mergeCell ref="BI222:BM222"/>
    <mergeCell ref="BN222:BP222"/>
    <mergeCell ref="B223:C223"/>
    <mergeCell ref="D223:Q223"/>
    <mergeCell ref="R223:S223"/>
    <mergeCell ref="T223:V223"/>
    <mergeCell ref="W223:Y223"/>
    <mergeCell ref="Z223:AC223"/>
    <mergeCell ref="AD223:AF223"/>
    <mergeCell ref="AG223:AJ223"/>
    <mergeCell ref="AK223:AO223"/>
    <mergeCell ref="AP223:AT223"/>
    <mergeCell ref="AU223:AY223"/>
    <mergeCell ref="AZ223:BC223"/>
    <mergeCell ref="BD223:BH223"/>
    <mergeCell ref="BI223:BM223"/>
    <mergeCell ref="BN223:BP223"/>
    <mergeCell ref="B220:C220"/>
    <mergeCell ref="D220:Q220"/>
    <mergeCell ref="R220:S220"/>
    <mergeCell ref="T220:V220"/>
    <mergeCell ref="W220:Y220"/>
    <mergeCell ref="Z220:AC220"/>
    <mergeCell ref="AD220:AF220"/>
    <mergeCell ref="AG220:AJ220"/>
    <mergeCell ref="AK220:AO220"/>
    <mergeCell ref="AP220:AT220"/>
    <mergeCell ref="AU220:AY220"/>
    <mergeCell ref="AZ220:BC220"/>
    <mergeCell ref="BD220:BH220"/>
    <mergeCell ref="BI220:BM220"/>
    <mergeCell ref="BN220:BP220"/>
    <mergeCell ref="B221:C221"/>
    <mergeCell ref="D221:Q221"/>
    <mergeCell ref="R221:S221"/>
    <mergeCell ref="T221:V221"/>
    <mergeCell ref="W221:Y221"/>
    <mergeCell ref="Z221:AC221"/>
    <mergeCell ref="AD221:AF221"/>
    <mergeCell ref="AG221:AJ221"/>
    <mergeCell ref="AK221:AO221"/>
    <mergeCell ref="AP221:AT221"/>
    <mergeCell ref="AU221:AY221"/>
    <mergeCell ref="AZ221:BC221"/>
    <mergeCell ref="BD221:BH221"/>
    <mergeCell ref="BI221:BM221"/>
    <mergeCell ref="BN221:BP221"/>
    <mergeCell ref="B218:C218"/>
    <mergeCell ref="D218:Q218"/>
    <mergeCell ref="R218:S218"/>
    <mergeCell ref="T218:V218"/>
    <mergeCell ref="W218:Y218"/>
    <mergeCell ref="Z218:AC218"/>
    <mergeCell ref="AD218:AF218"/>
    <mergeCell ref="AG218:AJ218"/>
    <mergeCell ref="AK218:AO218"/>
    <mergeCell ref="AP218:AT218"/>
    <mergeCell ref="AU218:AY218"/>
    <mergeCell ref="AZ218:BC218"/>
    <mergeCell ref="BD218:BH218"/>
    <mergeCell ref="BI218:BM218"/>
    <mergeCell ref="BN218:BP218"/>
    <mergeCell ref="B219:C219"/>
    <mergeCell ref="D219:Q219"/>
    <mergeCell ref="R219:S219"/>
    <mergeCell ref="T219:V219"/>
    <mergeCell ref="W219:Y219"/>
    <mergeCell ref="Z219:AC219"/>
    <mergeCell ref="AD219:AF219"/>
    <mergeCell ref="AG219:AJ219"/>
    <mergeCell ref="AK219:AO219"/>
    <mergeCell ref="AP219:AT219"/>
    <mergeCell ref="AU219:AY219"/>
    <mergeCell ref="AZ219:BC219"/>
    <mergeCell ref="BD219:BH219"/>
    <mergeCell ref="BI219:BM219"/>
    <mergeCell ref="BN219:BP219"/>
    <mergeCell ref="B216:C216"/>
    <mergeCell ref="D216:Q216"/>
    <mergeCell ref="R216:S216"/>
    <mergeCell ref="T216:V216"/>
    <mergeCell ref="W216:Y216"/>
    <mergeCell ref="Z216:AC216"/>
    <mergeCell ref="AD216:AF216"/>
    <mergeCell ref="AG216:AJ216"/>
    <mergeCell ref="AK216:AO216"/>
    <mergeCell ref="AP216:AT216"/>
    <mergeCell ref="AU216:AY216"/>
    <mergeCell ref="AZ216:BC216"/>
    <mergeCell ref="BD216:BH216"/>
    <mergeCell ref="BI216:BM216"/>
    <mergeCell ref="BN216:BP216"/>
    <mergeCell ref="B217:C217"/>
    <mergeCell ref="D217:Q217"/>
    <mergeCell ref="R217:S217"/>
    <mergeCell ref="T217:V217"/>
    <mergeCell ref="W217:Y217"/>
    <mergeCell ref="Z217:AC217"/>
    <mergeCell ref="AD217:AF217"/>
    <mergeCell ref="AG217:AJ217"/>
    <mergeCell ref="AK217:AO217"/>
    <mergeCell ref="AP217:AT217"/>
    <mergeCell ref="AU217:AY217"/>
    <mergeCell ref="AZ217:BC217"/>
    <mergeCell ref="BD217:BH217"/>
    <mergeCell ref="BI217:BM217"/>
    <mergeCell ref="BN217:BP217"/>
    <mergeCell ref="B214:C214"/>
    <mergeCell ref="D214:Q214"/>
    <mergeCell ref="R214:S214"/>
    <mergeCell ref="T214:V214"/>
    <mergeCell ref="W214:Y214"/>
    <mergeCell ref="Z214:AC214"/>
    <mergeCell ref="AD214:AF214"/>
    <mergeCell ref="AG214:AJ214"/>
    <mergeCell ref="AK214:AO214"/>
    <mergeCell ref="AP214:AT214"/>
    <mergeCell ref="AU214:AY214"/>
    <mergeCell ref="AZ214:BC214"/>
    <mergeCell ref="BD214:BH214"/>
    <mergeCell ref="BI214:BM214"/>
    <mergeCell ref="BN214:BP214"/>
    <mergeCell ref="B215:C215"/>
    <mergeCell ref="D215:Q215"/>
    <mergeCell ref="R215:S215"/>
    <mergeCell ref="T215:V215"/>
    <mergeCell ref="W215:Y215"/>
    <mergeCell ref="Z215:AC215"/>
    <mergeCell ref="AD215:AF215"/>
    <mergeCell ref="AG215:AJ215"/>
    <mergeCell ref="AK215:AO215"/>
    <mergeCell ref="AP215:AT215"/>
    <mergeCell ref="AU215:AY215"/>
    <mergeCell ref="AZ215:BC215"/>
    <mergeCell ref="BD215:BH215"/>
    <mergeCell ref="BI215:BM215"/>
    <mergeCell ref="BN215:BP215"/>
    <mergeCell ref="B212:C212"/>
    <mergeCell ref="D212:Q212"/>
    <mergeCell ref="R212:S212"/>
    <mergeCell ref="T212:V212"/>
    <mergeCell ref="W212:Y212"/>
    <mergeCell ref="Z212:AC212"/>
    <mergeCell ref="AD212:AF212"/>
    <mergeCell ref="AG212:AJ212"/>
    <mergeCell ref="AK212:AO212"/>
    <mergeCell ref="AP212:AT212"/>
    <mergeCell ref="AU212:AY212"/>
    <mergeCell ref="AZ212:BC212"/>
    <mergeCell ref="BD212:BH212"/>
    <mergeCell ref="BI212:BM212"/>
    <mergeCell ref="BN212:BP212"/>
    <mergeCell ref="B213:C213"/>
    <mergeCell ref="D213:Q213"/>
    <mergeCell ref="R213:S213"/>
    <mergeCell ref="T213:V213"/>
    <mergeCell ref="W213:Y213"/>
    <mergeCell ref="Z213:AC213"/>
    <mergeCell ref="AD213:AF213"/>
    <mergeCell ref="AG213:AJ213"/>
    <mergeCell ref="AK213:AO213"/>
    <mergeCell ref="AP213:AT213"/>
    <mergeCell ref="AU213:AY213"/>
    <mergeCell ref="AZ213:BC213"/>
    <mergeCell ref="BD213:BH213"/>
    <mergeCell ref="BI213:BM213"/>
    <mergeCell ref="BN213:BP213"/>
    <mergeCell ref="B210:C210"/>
    <mergeCell ref="D210:Q210"/>
    <mergeCell ref="R210:S210"/>
    <mergeCell ref="T210:V210"/>
    <mergeCell ref="W210:Y210"/>
    <mergeCell ref="Z210:AC210"/>
    <mergeCell ref="AD210:AF210"/>
    <mergeCell ref="AG210:AJ210"/>
    <mergeCell ref="AK210:AO210"/>
    <mergeCell ref="AP210:AT210"/>
    <mergeCell ref="AU210:AY210"/>
    <mergeCell ref="AZ210:BC210"/>
    <mergeCell ref="BD210:BH210"/>
    <mergeCell ref="BI210:BM210"/>
    <mergeCell ref="BN210:BP210"/>
    <mergeCell ref="B211:C211"/>
    <mergeCell ref="D211:Q211"/>
    <mergeCell ref="R211:S211"/>
    <mergeCell ref="T211:V211"/>
    <mergeCell ref="W211:Y211"/>
    <mergeCell ref="Z211:AC211"/>
    <mergeCell ref="AD211:AF211"/>
    <mergeCell ref="AG211:AJ211"/>
    <mergeCell ref="AP211:AT211"/>
    <mergeCell ref="AZ211:BC211"/>
    <mergeCell ref="BD211:BH211"/>
    <mergeCell ref="BI211:BM211"/>
    <mergeCell ref="B208:C208"/>
    <mergeCell ref="D208:Q208"/>
    <mergeCell ref="R208:S208"/>
    <mergeCell ref="T208:V208"/>
    <mergeCell ref="W208:Y208"/>
    <mergeCell ref="Z208:AC208"/>
    <mergeCell ref="AD208:AF208"/>
    <mergeCell ref="AG208:AJ208"/>
    <mergeCell ref="AK208:AO208"/>
    <mergeCell ref="AP208:AT208"/>
    <mergeCell ref="AU208:AY208"/>
    <mergeCell ref="AZ208:BC208"/>
    <mergeCell ref="BD208:BH208"/>
    <mergeCell ref="BI208:BM208"/>
    <mergeCell ref="BN208:BP208"/>
    <mergeCell ref="B209:C209"/>
    <mergeCell ref="D209:Q209"/>
    <mergeCell ref="R209:S209"/>
    <mergeCell ref="T209:V209"/>
    <mergeCell ref="W209:Y209"/>
    <mergeCell ref="Z209:AC209"/>
    <mergeCell ref="AD209:AF209"/>
    <mergeCell ref="AG209:AJ209"/>
    <mergeCell ref="AK209:AO209"/>
    <mergeCell ref="AP209:AT209"/>
    <mergeCell ref="AU209:AY209"/>
    <mergeCell ref="AZ209:BC209"/>
    <mergeCell ref="BD209:BH209"/>
    <mergeCell ref="BI209:BM209"/>
    <mergeCell ref="BN209:BP209"/>
    <mergeCell ref="B206:C206"/>
    <mergeCell ref="D206:Q206"/>
    <mergeCell ref="R206:S206"/>
    <mergeCell ref="T206:V206"/>
    <mergeCell ref="W206:Y206"/>
    <mergeCell ref="Z206:AC206"/>
    <mergeCell ref="AD206:AF206"/>
    <mergeCell ref="AG206:AJ206"/>
    <mergeCell ref="AK206:AO206"/>
    <mergeCell ref="AP206:AT206"/>
    <mergeCell ref="AU206:AY206"/>
    <mergeCell ref="AZ206:BC206"/>
    <mergeCell ref="BD206:BH206"/>
    <mergeCell ref="BI206:BM206"/>
    <mergeCell ref="BN206:BP206"/>
    <mergeCell ref="B207:C207"/>
    <mergeCell ref="D207:Q207"/>
    <mergeCell ref="R207:S207"/>
    <mergeCell ref="T207:V207"/>
    <mergeCell ref="W207:Y207"/>
    <mergeCell ref="Z207:AC207"/>
    <mergeCell ref="AD207:AF207"/>
    <mergeCell ref="AG207:AJ207"/>
    <mergeCell ref="AK207:AO207"/>
    <mergeCell ref="AP207:AT207"/>
    <mergeCell ref="AU207:AY207"/>
    <mergeCell ref="AZ207:BC207"/>
    <mergeCell ref="BD207:BH207"/>
    <mergeCell ref="BI207:BM207"/>
    <mergeCell ref="BN207:BP207"/>
    <mergeCell ref="B204:C204"/>
    <mergeCell ref="D204:Q204"/>
    <mergeCell ref="R204:S204"/>
    <mergeCell ref="T204:V204"/>
    <mergeCell ref="W204:Y204"/>
    <mergeCell ref="Z204:AC204"/>
    <mergeCell ref="AD204:AF204"/>
    <mergeCell ref="AG204:AJ204"/>
    <mergeCell ref="AK204:AO204"/>
    <mergeCell ref="AP204:AT204"/>
    <mergeCell ref="AU204:AY204"/>
    <mergeCell ref="AZ204:BC204"/>
    <mergeCell ref="BD204:BH204"/>
    <mergeCell ref="BI204:BM204"/>
    <mergeCell ref="BN204:BP204"/>
    <mergeCell ref="B205:C205"/>
    <mergeCell ref="D205:Q205"/>
    <mergeCell ref="R205:S205"/>
    <mergeCell ref="T205:V205"/>
    <mergeCell ref="W205:Y205"/>
    <mergeCell ref="Z205:AC205"/>
    <mergeCell ref="AD205:AF205"/>
    <mergeCell ref="AG205:AJ205"/>
    <mergeCell ref="AP205:AT205"/>
    <mergeCell ref="AZ205:BC205"/>
    <mergeCell ref="BD205:BH205"/>
    <mergeCell ref="BI205:BM205"/>
    <mergeCell ref="B202:C202"/>
    <mergeCell ref="D202:Q202"/>
    <mergeCell ref="R202:S202"/>
    <mergeCell ref="T202:V202"/>
    <mergeCell ref="W202:Y202"/>
    <mergeCell ref="Z202:AC202"/>
    <mergeCell ref="AD202:AF202"/>
    <mergeCell ref="AG202:AJ202"/>
    <mergeCell ref="AK202:AO202"/>
    <mergeCell ref="AP202:AT202"/>
    <mergeCell ref="AU202:AY202"/>
    <mergeCell ref="AZ202:BC202"/>
    <mergeCell ref="BD202:BH202"/>
    <mergeCell ref="BI202:BM202"/>
    <mergeCell ref="BN202:BP202"/>
    <mergeCell ref="B203:C203"/>
    <mergeCell ref="D203:Q203"/>
    <mergeCell ref="R203:S203"/>
    <mergeCell ref="T203:V203"/>
    <mergeCell ref="W203:Y203"/>
    <mergeCell ref="Z203:AC203"/>
    <mergeCell ref="AD203:AF203"/>
    <mergeCell ref="AG203:AJ203"/>
    <mergeCell ref="AK203:AO203"/>
    <mergeCell ref="AP203:AT203"/>
    <mergeCell ref="AU203:AY203"/>
    <mergeCell ref="AZ203:BC203"/>
    <mergeCell ref="BD203:BH203"/>
    <mergeCell ref="BI203:BM203"/>
    <mergeCell ref="BN203:BP203"/>
    <mergeCell ref="B200:C200"/>
    <mergeCell ref="D200:Q200"/>
    <mergeCell ref="R200:S200"/>
    <mergeCell ref="T200:V200"/>
    <mergeCell ref="W200:Y200"/>
    <mergeCell ref="Z200:AC200"/>
    <mergeCell ref="AD200:AF200"/>
    <mergeCell ref="AG200:AJ200"/>
    <mergeCell ref="AK200:AO200"/>
    <mergeCell ref="AP200:AT200"/>
    <mergeCell ref="AU200:AY200"/>
    <mergeCell ref="AZ200:BC200"/>
    <mergeCell ref="BD200:BH200"/>
    <mergeCell ref="BI200:BM200"/>
    <mergeCell ref="BN200:BP200"/>
    <mergeCell ref="B201:C201"/>
    <mergeCell ref="D201:Q201"/>
    <mergeCell ref="R201:S201"/>
    <mergeCell ref="T201:V201"/>
    <mergeCell ref="W201:Y201"/>
    <mergeCell ref="Z201:AC201"/>
    <mergeCell ref="AD201:AF201"/>
    <mergeCell ref="AG201:AJ201"/>
    <mergeCell ref="AK201:AO201"/>
    <mergeCell ref="AP201:AT201"/>
    <mergeCell ref="AU201:AY201"/>
    <mergeCell ref="AZ201:BC201"/>
    <mergeCell ref="BD201:BH201"/>
    <mergeCell ref="BI201:BM201"/>
    <mergeCell ref="BN201:BP201"/>
    <mergeCell ref="B198:C198"/>
    <mergeCell ref="D198:Q198"/>
    <mergeCell ref="R198:S198"/>
    <mergeCell ref="T198:V198"/>
    <mergeCell ref="W198:Y198"/>
    <mergeCell ref="Z198:AC198"/>
    <mergeCell ref="AD198:AF198"/>
    <mergeCell ref="AG198:AJ198"/>
    <mergeCell ref="AK198:AO198"/>
    <mergeCell ref="AP198:AT198"/>
    <mergeCell ref="AU198:AY198"/>
    <mergeCell ref="AZ198:BC198"/>
    <mergeCell ref="BD198:BH198"/>
    <mergeCell ref="BI198:BM198"/>
    <mergeCell ref="BN198:BP198"/>
    <mergeCell ref="B199:C199"/>
    <mergeCell ref="D199:Q199"/>
    <mergeCell ref="R199:S199"/>
    <mergeCell ref="T199:V199"/>
    <mergeCell ref="W199:Y199"/>
    <mergeCell ref="Z199:AC199"/>
    <mergeCell ref="AD199:AF199"/>
    <mergeCell ref="AG199:AJ199"/>
    <mergeCell ref="AK199:AO199"/>
    <mergeCell ref="AP199:AT199"/>
    <mergeCell ref="AU199:AY199"/>
    <mergeCell ref="AZ199:BC199"/>
    <mergeCell ref="BD199:BH199"/>
    <mergeCell ref="BI199:BM199"/>
    <mergeCell ref="BN199:BP199"/>
    <mergeCell ref="B196:C196"/>
    <mergeCell ref="D196:Q196"/>
    <mergeCell ref="R196:S196"/>
    <mergeCell ref="T196:V196"/>
    <mergeCell ref="W196:Y196"/>
    <mergeCell ref="Z196:AC196"/>
    <mergeCell ref="AD196:AF196"/>
    <mergeCell ref="AG196:AJ196"/>
    <mergeCell ref="AK196:AO196"/>
    <mergeCell ref="AP196:AT196"/>
    <mergeCell ref="AU196:AY196"/>
    <mergeCell ref="AZ196:BC196"/>
    <mergeCell ref="BD196:BH196"/>
    <mergeCell ref="BI196:BM196"/>
    <mergeCell ref="BN196:BP196"/>
    <mergeCell ref="B197:C197"/>
    <mergeCell ref="D197:Q197"/>
    <mergeCell ref="R197:S197"/>
    <mergeCell ref="T197:V197"/>
    <mergeCell ref="W197:Y197"/>
    <mergeCell ref="Z197:AC197"/>
    <mergeCell ref="AD197:AF197"/>
    <mergeCell ref="AG197:AJ197"/>
    <mergeCell ref="AK197:AO197"/>
    <mergeCell ref="AP197:AT197"/>
    <mergeCell ref="AU197:AY197"/>
    <mergeCell ref="AZ197:BC197"/>
    <mergeCell ref="BD197:BH197"/>
    <mergeCell ref="BI197:BM197"/>
    <mergeCell ref="BN197:BP197"/>
    <mergeCell ref="B194:C194"/>
    <mergeCell ref="D194:Q194"/>
    <mergeCell ref="R194:S194"/>
    <mergeCell ref="T194:V194"/>
    <mergeCell ref="W194:Y194"/>
    <mergeCell ref="Z194:AC194"/>
    <mergeCell ref="AD194:AF194"/>
    <mergeCell ref="AG194:AJ194"/>
    <mergeCell ref="AK194:AO194"/>
    <mergeCell ref="AP194:AT194"/>
    <mergeCell ref="AU194:AY194"/>
    <mergeCell ref="AZ194:BC194"/>
    <mergeCell ref="BD194:BH194"/>
    <mergeCell ref="BI194:BM194"/>
    <mergeCell ref="BN194:BP194"/>
    <mergeCell ref="B195:C195"/>
    <mergeCell ref="D195:Q195"/>
    <mergeCell ref="R195:S195"/>
    <mergeCell ref="T195:V195"/>
    <mergeCell ref="W195:Y195"/>
    <mergeCell ref="Z195:AC195"/>
    <mergeCell ref="AD195:AF195"/>
    <mergeCell ref="AG195:AJ195"/>
    <mergeCell ref="AK195:AO195"/>
    <mergeCell ref="AP195:AT195"/>
    <mergeCell ref="AU195:AY195"/>
    <mergeCell ref="AZ195:BC195"/>
    <mergeCell ref="BD195:BH195"/>
    <mergeCell ref="BI195:BM195"/>
    <mergeCell ref="BN195:BP195"/>
    <mergeCell ref="B192:C192"/>
    <mergeCell ref="D192:Q192"/>
    <mergeCell ref="R192:S192"/>
    <mergeCell ref="T192:V192"/>
    <mergeCell ref="W192:Y192"/>
    <mergeCell ref="Z192:AC192"/>
    <mergeCell ref="AD192:AF192"/>
    <mergeCell ref="AG192:AJ192"/>
    <mergeCell ref="AK192:AO192"/>
    <mergeCell ref="AP192:AT192"/>
    <mergeCell ref="AU192:AY192"/>
    <mergeCell ref="AZ192:BC192"/>
    <mergeCell ref="BD192:BH192"/>
    <mergeCell ref="BI192:BM192"/>
    <mergeCell ref="BN192:BP192"/>
    <mergeCell ref="B193:C193"/>
    <mergeCell ref="D193:Q193"/>
    <mergeCell ref="R193:S193"/>
    <mergeCell ref="T193:V193"/>
    <mergeCell ref="W193:Y193"/>
    <mergeCell ref="Z193:AC193"/>
    <mergeCell ref="AD193:AF193"/>
    <mergeCell ref="AG193:AJ193"/>
    <mergeCell ref="AK193:AO193"/>
    <mergeCell ref="AP193:AT193"/>
    <mergeCell ref="AU193:AY193"/>
    <mergeCell ref="AZ193:BC193"/>
    <mergeCell ref="BD193:BH193"/>
    <mergeCell ref="BI193:BM193"/>
    <mergeCell ref="BN193:BP193"/>
    <mergeCell ref="B190:C190"/>
    <mergeCell ref="D190:Q190"/>
    <mergeCell ref="R190:S190"/>
    <mergeCell ref="T190:V190"/>
    <mergeCell ref="W190:Y190"/>
    <mergeCell ref="Z190:AC190"/>
    <mergeCell ref="AD190:AF190"/>
    <mergeCell ref="AG190:AJ190"/>
    <mergeCell ref="AK190:AO190"/>
    <mergeCell ref="AP190:AT190"/>
    <mergeCell ref="AU190:AY190"/>
    <mergeCell ref="AZ190:BC190"/>
    <mergeCell ref="BD190:BH190"/>
    <mergeCell ref="BI190:BM190"/>
    <mergeCell ref="BN190:BP190"/>
    <mergeCell ref="B191:C191"/>
    <mergeCell ref="D191:Q191"/>
    <mergeCell ref="R191:S191"/>
    <mergeCell ref="T191:V191"/>
    <mergeCell ref="W191:Y191"/>
    <mergeCell ref="Z191:AC191"/>
    <mergeCell ref="AD191:AF191"/>
    <mergeCell ref="AG191:AJ191"/>
    <mergeCell ref="AK191:AO191"/>
    <mergeCell ref="AP191:AT191"/>
    <mergeCell ref="AU191:AY191"/>
    <mergeCell ref="AZ191:BC191"/>
    <mergeCell ref="BD191:BH191"/>
    <mergeCell ref="BI191:BM191"/>
    <mergeCell ref="BN191:BP191"/>
    <mergeCell ref="B188:C188"/>
    <mergeCell ref="D188:Q188"/>
    <mergeCell ref="R188:S188"/>
    <mergeCell ref="T188:V188"/>
    <mergeCell ref="W188:Y188"/>
    <mergeCell ref="Z188:AC188"/>
    <mergeCell ref="AD188:AF188"/>
    <mergeCell ref="AG188:AJ188"/>
    <mergeCell ref="AK188:AO188"/>
    <mergeCell ref="AP188:AT188"/>
    <mergeCell ref="AU188:AY188"/>
    <mergeCell ref="AZ188:BC188"/>
    <mergeCell ref="BD188:BH188"/>
    <mergeCell ref="BI188:BM188"/>
    <mergeCell ref="BN188:BP188"/>
    <mergeCell ref="B189:C189"/>
    <mergeCell ref="D189:Q189"/>
    <mergeCell ref="R189:S189"/>
    <mergeCell ref="T189:V189"/>
    <mergeCell ref="W189:Y189"/>
    <mergeCell ref="Z189:AC189"/>
    <mergeCell ref="AD189:AF189"/>
    <mergeCell ref="AG189:AJ189"/>
    <mergeCell ref="AK189:AO189"/>
    <mergeCell ref="AP189:AT189"/>
    <mergeCell ref="AU189:AY189"/>
    <mergeCell ref="AZ189:BC189"/>
    <mergeCell ref="BD189:BH189"/>
    <mergeCell ref="BI189:BM189"/>
    <mergeCell ref="BN189:BP189"/>
    <mergeCell ref="B186:C186"/>
    <mergeCell ref="D186:Q186"/>
    <mergeCell ref="R186:S186"/>
    <mergeCell ref="T186:V186"/>
    <mergeCell ref="W186:Y186"/>
    <mergeCell ref="Z186:AC186"/>
    <mergeCell ref="AD186:AF186"/>
    <mergeCell ref="AG186:AJ186"/>
    <mergeCell ref="AK186:AO186"/>
    <mergeCell ref="AP186:AT186"/>
    <mergeCell ref="AU186:AY186"/>
    <mergeCell ref="AZ186:BC186"/>
    <mergeCell ref="BD186:BH186"/>
    <mergeCell ref="BI186:BM186"/>
    <mergeCell ref="BN186:BP186"/>
    <mergeCell ref="B187:C187"/>
    <mergeCell ref="D187:Q187"/>
    <mergeCell ref="R187:S187"/>
    <mergeCell ref="T187:V187"/>
    <mergeCell ref="W187:Y187"/>
    <mergeCell ref="Z187:AC187"/>
    <mergeCell ref="AD187:AF187"/>
    <mergeCell ref="AG187:AJ187"/>
    <mergeCell ref="AK187:AO187"/>
    <mergeCell ref="AP187:AT187"/>
    <mergeCell ref="AU187:AY187"/>
    <mergeCell ref="AZ187:BC187"/>
    <mergeCell ref="BD187:BH187"/>
    <mergeCell ref="BI187:BM187"/>
    <mergeCell ref="BN187:BP187"/>
    <mergeCell ref="B184:C184"/>
    <mergeCell ref="D184:Q184"/>
    <mergeCell ref="R184:S184"/>
    <mergeCell ref="T184:V184"/>
    <mergeCell ref="W184:Y184"/>
    <mergeCell ref="Z184:AC184"/>
    <mergeCell ref="AD184:AF184"/>
    <mergeCell ref="AG184:AJ184"/>
    <mergeCell ref="AK184:AO184"/>
    <mergeCell ref="AP184:AT184"/>
    <mergeCell ref="AU184:AY184"/>
    <mergeCell ref="AZ184:BC184"/>
    <mergeCell ref="BD184:BH184"/>
    <mergeCell ref="BI184:BM184"/>
    <mergeCell ref="BN184:BP184"/>
    <mergeCell ref="B185:C185"/>
    <mergeCell ref="D185:Q185"/>
    <mergeCell ref="R185:S185"/>
    <mergeCell ref="T185:V185"/>
    <mergeCell ref="W185:Y185"/>
    <mergeCell ref="Z185:AC185"/>
    <mergeCell ref="AD185:AF185"/>
    <mergeCell ref="AG185:AJ185"/>
    <mergeCell ref="AK185:AO185"/>
    <mergeCell ref="AP185:AT185"/>
    <mergeCell ref="AU185:AY185"/>
    <mergeCell ref="AZ185:BC185"/>
    <mergeCell ref="BD185:BH185"/>
    <mergeCell ref="BI185:BM185"/>
    <mergeCell ref="BN185:BP185"/>
    <mergeCell ref="B182:C182"/>
    <mergeCell ref="D182:Q182"/>
    <mergeCell ref="R182:S182"/>
    <mergeCell ref="T182:V182"/>
    <mergeCell ref="W182:Y182"/>
    <mergeCell ref="Z182:AC182"/>
    <mergeCell ref="AD182:AF182"/>
    <mergeCell ref="AG182:AJ182"/>
    <mergeCell ref="AK182:AO182"/>
    <mergeCell ref="AP182:AT182"/>
    <mergeCell ref="AU182:AY182"/>
    <mergeCell ref="AZ182:BC182"/>
    <mergeCell ref="BD182:BH182"/>
    <mergeCell ref="BI182:BM182"/>
    <mergeCell ref="BN182:BP182"/>
    <mergeCell ref="B183:C183"/>
    <mergeCell ref="D183:Q183"/>
    <mergeCell ref="R183:S183"/>
    <mergeCell ref="T183:V183"/>
    <mergeCell ref="W183:Y183"/>
    <mergeCell ref="Z183:AC183"/>
    <mergeCell ref="AD183:AF183"/>
    <mergeCell ref="AG183:AJ183"/>
    <mergeCell ref="AP183:AT183"/>
    <mergeCell ref="AZ183:BC183"/>
    <mergeCell ref="BD183:BH183"/>
    <mergeCell ref="BI183:BM183"/>
    <mergeCell ref="B180:C180"/>
    <mergeCell ref="D180:Q180"/>
    <mergeCell ref="R180:S180"/>
    <mergeCell ref="T180:V180"/>
    <mergeCell ref="W180:Y180"/>
    <mergeCell ref="Z180:AC180"/>
    <mergeCell ref="AD180:AF180"/>
    <mergeCell ref="AG180:AJ180"/>
    <mergeCell ref="AK180:AO180"/>
    <mergeCell ref="AP180:AT180"/>
    <mergeCell ref="AU180:AY180"/>
    <mergeCell ref="AZ180:BC180"/>
    <mergeCell ref="BD180:BH180"/>
    <mergeCell ref="BI180:BM180"/>
    <mergeCell ref="BN180:BP180"/>
    <mergeCell ref="B181:C181"/>
    <mergeCell ref="D181:Q181"/>
    <mergeCell ref="R181:S181"/>
    <mergeCell ref="T181:V181"/>
    <mergeCell ref="W181:Y181"/>
    <mergeCell ref="Z181:AC181"/>
    <mergeCell ref="AD181:AF181"/>
    <mergeCell ref="AG181:AJ181"/>
    <mergeCell ref="AK181:AO181"/>
    <mergeCell ref="AP181:AT181"/>
    <mergeCell ref="AU181:AY181"/>
    <mergeCell ref="AZ181:BC181"/>
    <mergeCell ref="BD181:BH181"/>
    <mergeCell ref="BI181:BM181"/>
    <mergeCell ref="BN181:BP181"/>
    <mergeCell ref="B178:C178"/>
    <mergeCell ref="D178:Q178"/>
    <mergeCell ref="R178:S178"/>
    <mergeCell ref="T178:V178"/>
    <mergeCell ref="W178:Y178"/>
    <mergeCell ref="Z178:AC178"/>
    <mergeCell ref="AD178:AF178"/>
    <mergeCell ref="AG178:AJ178"/>
    <mergeCell ref="AK178:AO178"/>
    <mergeCell ref="AP178:AT178"/>
    <mergeCell ref="AU178:AY178"/>
    <mergeCell ref="AZ178:BC178"/>
    <mergeCell ref="BD178:BH178"/>
    <mergeCell ref="BI178:BM178"/>
    <mergeCell ref="BN178:BP178"/>
    <mergeCell ref="B179:C179"/>
    <mergeCell ref="D179:Q179"/>
    <mergeCell ref="R179:S179"/>
    <mergeCell ref="T179:V179"/>
    <mergeCell ref="W179:Y179"/>
    <mergeCell ref="Z179:AC179"/>
    <mergeCell ref="AD179:AF179"/>
    <mergeCell ref="AG179:AJ179"/>
    <mergeCell ref="AK179:AO179"/>
    <mergeCell ref="AP179:AT179"/>
    <mergeCell ref="AU179:AY179"/>
    <mergeCell ref="AZ179:BC179"/>
    <mergeCell ref="BD179:BH179"/>
    <mergeCell ref="BI179:BM179"/>
    <mergeCell ref="BN179:BP179"/>
    <mergeCell ref="B176:C176"/>
    <mergeCell ref="D176:Q176"/>
    <mergeCell ref="R176:S176"/>
    <mergeCell ref="T176:V176"/>
    <mergeCell ref="W176:Y176"/>
    <mergeCell ref="Z176:AC176"/>
    <mergeCell ref="AD176:AF176"/>
    <mergeCell ref="AG176:AJ176"/>
    <mergeCell ref="AK176:AO176"/>
    <mergeCell ref="AP176:AT176"/>
    <mergeCell ref="AU176:AY176"/>
    <mergeCell ref="AZ176:BC176"/>
    <mergeCell ref="BD176:BH176"/>
    <mergeCell ref="BI176:BM176"/>
    <mergeCell ref="BN176:BP176"/>
    <mergeCell ref="B177:C177"/>
    <mergeCell ref="D177:Q177"/>
    <mergeCell ref="R177:S177"/>
    <mergeCell ref="T177:V177"/>
    <mergeCell ref="W177:Y177"/>
    <mergeCell ref="Z177:AC177"/>
    <mergeCell ref="AD177:AF177"/>
    <mergeCell ref="AG177:AJ177"/>
    <mergeCell ref="AP177:AT177"/>
    <mergeCell ref="AZ177:BC177"/>
    <mergeCell ref="BD177:BH177"/>
    <mergeCell ref="BI177:BM177"/>
    <mergeCell ref="B174:C174"/>
    <mergeCell ref="D174:Q174"/>
    <mergeCell ref="R174:S174"/>
    <mergeCell ref="T174:V174"/>
    <mergeCell ref="W174:Y174"/>
    <mergeCell ref="Z174:AC174"/>
    <mergeCell ref="AD174:AF174"/>
    <mergeCell ref="AG174:AJ174"/>
    <mergeCell ref="AK174:AO174"/>
    <mergeCell ref="AP174:AT174"/>
    <mergeCell ref="AU174:AY174"/>
    <mergeCell ref="AZ174:BC174"/>
    <mergeCell ref="BD174:BH174"/>
    <mergeCell ref="BI174:BM174"/>
    <mergeCell ref="BN174:BP174"/>
    <mergeCell ref="B175:C175"/>
    <mergeCell ref="D175:Q175"/>
    <mergeCell ref="R175:S175"/>
    <mergeCell ref="T175:V175"/>
    <mergeCell ref="W175:Y175"/>
    <mergeCell ref="Z175:AC175"/>
    <mergeCell ref="AD175:AF175"/>
    <mergeCell ref="AG175:AJ175"/>
    <mergeCell ref="AK175:AO175"/>
    <mergeCell ref="AP175:AT175"/>
    <mergeCell ref="AU175:AY175"/>
    <mergeCell ref="AZ175:BC175"/>
    <mergeCell ref="BD175:BH175"/>
    <mergeCell ref="BI175:BM175"/>
    <mergeCell ref="BN175:BP175"/>
    <mergeCell ref="B172:C172"/>
    <mergeCell ref="D172:Q172"/>
    <mergeCell ref="R172:S172"/>
    <mergeCell ref="T172:V172"/>
    <mergeCell ref="W172:Y172"/>
    <mergeCell ref="Z172:AC172"/>
    <mergeCell ref="AD172:AF172"/>
    <mergeCell ref="AG172:AJ172"/>
    <mergeCell ref="AK172:AO172"/>
    <mergeCell ref="AP172:AT172"/>
    <mergeCell ref="AU172:AY172"/>
    <mergeCell ref="AZ172:BC172"/>
    <mergeCell ref="BD172:BH172"/>
    <mergeCell ref="BI172:BM172"/>
    <mergeCell ref="BN172:BP172"/>
    <mergeCell ref="B173:C173"/>
    <mergeCell ref="D173:Q173"/>
    <mergeCell ref="R173:S173"/>
    <mergeCell ref="T173:V173"/>
    <mergeCell ref="W173:Y173"/>
    <mergeCell ref="Z173:AC173"/>
    <mergeCell ref="AD173:AF173"/>
    <mergeCell ref="AG173:AJ173"/>
    <mergeCell ref="AK173:AO173"/>
    <mergeCell ref="AP173:AT173"/>
    <mergeCell ref="AU173:AY173"/>
    <mergeCell ref="AZ173:BC173"/>
    <mergeCell ref="BD173:BH173"/>
    <mergeCell ref="BI173:BM173"/>
    <mergeCell ref="BN173:BP173"/>
    <mergeCell ref="B170:C170"/>
    <mergeCell ref="D170:Q170"/>
    <mergeCell ref="R170:S170"/>
    <mergeCell ref="T170:V170"/>
    <mergeCell ref="W170:Y170"/>
    <mergeCell ref="Z170:AC170"/>
    <mergeCell ref="AD170:AF170"/>
    <mergeCell ref="AG170:AJ170"/>
    <mergeCell ref="AK170:AO170"/>
    <mergeCell ref="AP170:AT170"/>
    <mergeCell ref="AU170:AY170"/>
    <mergeCell ref="AZ170:BC170"/>
    <mergeCell ref="BD170:BH170"/>
    <mergeCell ref="BI170:BM170"/>
    <mergeCell ref="BN170:BP170"/>
    <mergeCell ref="B171:C171"/>
    <mergeCell ref="D171:Q171"/>
    <mergeCell ref="R171:S171"/>
    <mergeCell ref="T171:V171"/>
    <mergeCell ref="W171:Y171"/>
    <mergeCell ref="Z171:AC171"/>
    <mergeCell ref="AD171:AF171"/>
    <mergeCell ref="AG171:AJ171"/>
    <mergeCell ref="AK171:AO171"/>
    <mergeCell ref="AP171:AT171"/>
    <mergeCell ref="AU171:AY171"/>
    <mergeCell ref="AZ171:BC171"/>
    <mergeCell ref="BD171:BH171"/>
    <mergeCell ref="BI171:BM171"/>
    <mergeCell ref="BN171:BP171"/>
    <mergeCell ref="B168:C168"/>
    <mergeCell ref="D168:Q168"/>
    <mergeCell ref="R168:S168"/>
    <mergeCell ref="T168:V168"/>
    <mergeCell ref="W168:Y168"/>
    <mergeCell ref="Z168:AC168"/>
    <mergeCell ref="AD168:AF168"/>
    <mergeCell ref="AG168:AJ168"/>
    <mergeCell ref="AK168:AO168"/>
    <mergeCell ref="AP168:AT168"/>
    <mergeCell ref="AU168:AY168"/>
    <mergeCell ref="AZ168:BC168"/>
    <mergeCell ref="BD168:BH168"/>
    <mergeCell ref="BI168:BM168"/>
    <mergeCell ref="BN168:BP168"/>
    <mergeCell ref="B169:C169"/>
    <mergeCell ref="D169:Q169"/>
    <mergeCell ref="R169:S169"/>
    <mergeCell ref="T169:V169"/>
    <mergeCell ref="W169:Y169"/>
    <mergeCell ref="Z169:AC169"/>
    <mergeCell ref="AD169:AF169"/>
    <mergeCell ref="AG169:AJ169"/>
    <mergeCell ref="AK169:AO169"/>
    <mergeCell ref="AP169:AT169"/>
    <mergeCell ref="AU169:AY169"/>
    <mergeCell ref="AZ169:BC169"/>
    <mergeCell ref="BD169:BH169"/>
    <mergeCell ref="BI169:BM169"/>
    <mergeCell ref="BN169:BP169"/>
    <mergeCell ref="B166:C166"/>
    <mergeCell ref="D166:Q166"/>
    <mergeCell ref="R166:S166"/>
    <mergeCell ref="T166:V166"/>
    <mergeCell ref="W166:Y166"/>
    <mergeCell ref="Z166:AC166"/>
    <mergeCell ref="AD166:AF166"/>
    <mergeCell ref="AG166:AJ166"/>
    <mergeCell ref="AK166:AO166"/>
    <mergeCell ref="AP166:AT166"/>
    <mergeCell ref="AU166:AY166"/>
    <mergeCell ref="AZ166:BC166"/>
    <mergeCell ref="BD166:BH166"/>
    <mergeCell ref="BI166:BM166"/>
    <mergeCell ref="BN166:BP166"/>
    <mergeCell ref="B167:C167"/>
    <mergeCell ref="D167:Q167"/>
    <mergeCell ref="R167:S167"/>
    <mergeCell ref="T167:V167"/>
    <mergeCell ref="W167:Y167"/>
    <mergeCell ref="Z167:AC167"/>
    <mergeCell ref="AD167:AF167"/>
    <mergeCell ref="AG167:AJ167"/>
    <mergeCell ref="AK167:AO167"/>
    <mergeCell ref="AP167:AT167"/>
    <mergeCell ref="AU167:AY167"/>
    <mergeCell ref="AZ167:BC167"/>
    <mergeCell ref="BD167:BH167"/>
    <mergeCell ref="BI167:BM167"/>
    <mergeCell ref="BN167:BP167"/>
    <mergeCell ref="B164:C164"/>
    <mergeCell ref="D164:Q164"/>
    <mergeCell ref="R164:S164"/>
    <mergeCell ref="T164:V164"/>
    <mergeCell ref="W164:Y164"/>
    <mergeCell ref="Z164:AC164"/>
    <mergeCell ref="AD164:AF164"/>
    <mergeCell ref="AG164:AJ164"/>
    <mergeCell ref="AK164:AO164"/>
    <mergeCell ref="AP164:AT164"/>
    <mergeCell ref="AU164:AY164"/>
    <mergeCell ref="AZ164:BC164"/>
    <mergeCell ref="BD164:BH164"/>
    <mergeCell ref="BI164:BM164"/>
    <mergeCell ref="BN164:BP164"/>
    <mergeCell ref="B165:C165"/>
    <mergeCell ref="D165:Q165"/>
    <mergeCell ref="R165:S165"/>
    <mergeCell ref="T165:V165"/>
    <mergeCell ref="W165:Y165"/>
    <mergeCell ref="Z165:AC165"/>
    <mergeCell ref="AD165:AF165"/>
    <mergeCell ref="AG165:AJ165"/>
    <mergeCell ref="AK165:AO165"/>
    <mergeCell ref="AP165:AT165"/>
    <mergeCell ref="AU165:AY165"/>
    <mergeCell ref="AZ165:BC165"/>
    <mergeCell ref="BD165:BH165"/>
    <mergeCell ref="BI165:BM165"/>
    <mergeCell ref="BN165:BP165"/>
    <mergeCell ref="B162:C162"/>
    <mergeCell ref="D162:Q162"/>
    <mergeCell ref="R162:S162"/>
    <mergeCell ref="T162:V162"/>
    <mergeCell ref="W162:Y162"/>
    <mergeCell ref="Z162:AC162"/>
    <mergeCell ref="AD162:AF162"/>
    <mergeCell ref="AG162:AJ162"/>
    <mergeCell ref="AK162:AO162"/>
    <mergeCell ref="AP162:AT162"/>
    <mergeCell ref="AU162:AY162"/>
    <mergeCell ref="AZ162:BC162"/>
    <mergeCell ref="BD162:BH162"/>
    <mergeCell ref="BI162:BM162"/>
    <mergeCell ref="BN162:BP162"/>
    <mergeCell ref="B163:C163"/>
    <mergeCell ref="D163:Q163"/>
    <mergeCell ref="R163:S163"/>
    <mergeCell ref="T163:V163"/>
    <mergeCell ref="W163:Y163"/>
    <mergeCell ref="Z163:AC163"/>
    <mergeCell ref="AD163:AF163"/>
    <mergeCell ref="AG163:AJ163"/>
    <mergeCell ref="AK163:AO163"/>
    <mergeCell ref="AP163:AT163"/>
    <mergeCell ref="AU163:AY163"/>
    <mergeCell ref="AZ163:BC163"/>
    <mergeCell ref="BD163:BH163"/>
    <mergeCell ref="BI163:BM163"/>
    <mergeCell ref="BN163:BP163"/>
    <mergeCell ref="B160:C160"/>
    <mergeCell ref="D160:Q160"/>
    <mergeCell ref="R160:S160"/>
    <mergeCell ref="T160:V160"/>
    <mergeCell ref="W160:Y160"/>
    <mergeCell ref="Z160:AC160"/>
    <mergeCell ref="AD160:AF160"/>
    <mergeCell ref="AG160:AJ160"/>
    <mergeCell ref="AK160:AO160"/>
    <mergeCell ref="AP160:AT160"/>
    <mergeCell ref="AU160:AY160"/>
    <mergeCell ref="AZ160:BC160"/>
    <mergeCell ref="BD160:BH160"/>
    <mergeCell ref="BI160:BM160"/>
    <mergeCell ref="BN160:BP160"/>
    <mergeCell ref="B161:C161"/>
    <mergeCell ref="D161:Q161"/>
    <mergeCell ref="R161:S161"/>
    <mergeCell ref="T161:V161"/>
    <mergeCell ref="W161:Y161"/>
    <mergeCell ref="Z161:AC161"/>
    <mergeCell ref="AD161:AF161"/>
    <mergeCell ref="AG161:AJ161"/>
    <mergeCell ref="AP161:AT161"/>
    <mergeCell ref="AZ161:BC161"/>
    <mergeCell ref="BD161:BH161"/>
    <mergeCell ref="BI161:BM161"/>
    <mergeCell ref="BN157:BP157"/>
    <mergeCell ref="B158:C158"/>
    <mergeCell ref="D158:Q158"/>
    <mergeCell ref="R158:S158"/>
    <mergeCell ref="T158:V158"/>
    <mergeCell ref="W158:Y158"/>
    <mergeCell ref="Z158:AC158"/>
    <mergeCell ref="AD158:AF158"/>
    <mergeCell ref="AG158:AJ158"/>
    <mergeCell ref="AK158:AO158"/>
    <mergeCell ref="AP158:AT158"/>
    <mergeCell ref="AU158:AY158"/>
    <mergeCell ref="AZ158:BC158"/>
    <mergeCell ref="BD158:BH158"/>
    <mergeCell ref="BI158:BM158"/>
    <mergeCell ref="BN158:BP158"/>
    <mergeCell ref="B159:C159"/>
    <mergeCell ref="D159:Q159"/>
    <mergeCell ref="R159:S159"/>
    <mergeCell ref="T159:V159"/>
    <mergeCell ref="W159:Y159"/>
    <mergeCell ref="Z159:AC159"/>
    <mergeCell ref="AD159:AF159"/>
    <mergeCell ref="AG159:AJ159"/>
    <mergeCell ref="AK159:AO159"/>
    <mergeCell ref="AP159:AT159"/>
    <mergeCell ref="AU159:AY159"/>
    <mergeCell ref="AZ159:BC159"/>
    <mergeCell ref="BD159:BH159"/>
    <mergeCell ref="BI159:BM159"/>
    <mergeCell ref="BN159:BP159"/>
    <mergeCell ref="B156:C156"/>
    <mergeCell ref="D156:Q156"/>
    <mergeCell ref="R156:S156"/>
    <mergeCell ref="T156:V156"/>
    <mergeCell ref="W156:Y156"/>
    <mergeCell ref="Z156:AC156"/>
    <mergeCell ref="AD156:AF156"/>
    <mergeCell ref="AG156:AJ156"/>
    <mergeCell ref="AP156:AT156"/>
    <mergeCell ref="AZ156:BC156"/>
    <mergeCell ref="BD156:BH156"/>
    <mergeCell ref="BI156:BM156"/>
    <mergeCell ref="B157:C157"/>
    <mergeCell ref="D157:Q157"/>
    <mergeCell ref="R157:S157"/>
    <mergeCell ref="T157:V157"/>
    <mergeCell ref="W157:Y157"/>
    <mergeCell ref="Z157:AC157"/>
    <mergeCell ref="AD157:AF157"/>
    <mergeCell ref="AG157:AJ157"/>
    <mergeCell ref="AK157:AO157"/>
    <mergeCell ref="AP157:AT157"/>
    <mergeCell ref="AU157:AY157"/>
    <mergeCell ref="AZ157:BC157"/>
    <mergeCell ref="BD157:BH157"/>
    <mergeCell ref="BI157:BM157"/>
    <mergeCell ref="B154:C154"/>
    <mergeCell ref="D154:Q154"/>
    <mergeCell ref="R154:S154"/>
    <mergeCell ref="T154:V154"/>
    <mergeCell ref="W154:Y154"/>
    <mergeCell ref="Z154:AC154"/>
    <mergeCell ref="AD154:AF154"/>
    <mergeCell ref="AG154:AJ154"/>
    <mergeCell ref="AK154:AO154"/>
    <mergeCell ref="AP154:AT154"/>
    <mergeCell ref="AU154:AY154"/>
    <mergeCell ref="AZ154:BC154"/>
    <mergeCell ref="BD154:BH154"/>
    <mergeCell ref="BI154:BM154"/>
    <mergeCell ref="BN154:BP154"/>
    <mergeCell ref="B155:C155"/>
    <mergeCell ref="D155:Q155"/>
    <mergeCell ref="R155:S155"/>
    <mergeCell ref="T155:V155"/>
    <mergeCell ref="W155:Y155"/>
    <mergeCell ref="Z155:AC155"/>
    <mergeCell ref="AD155:AF155"/>
    <mergeCell ref="AG155:AJ155"/>
    <mergeCell ref="AK155:AO155"/>
    <mergeCell ref="AP155:AT155"/>
    <mergeCell ref="AU155:AY155"/>
    <mergeCell ref="AZ155:BC155"/>
    <mergeCell ref="BD155:BH155"/>
    <mergeCell ref="BI155:BM155"/>
    <mergeCell ref="BN155:BP155"/>
    <mergeCell ref="B152:C152"/>
    <mergeCell ref="D152:Q152"/>
    <mergeCell ref="R152:S152"/>
    <mergeCell ref="T152:V152"/>
    <mergeCell ref="W152:Y152"/>
    <mergeCell ref="Z152:AC152"/>
    <mergeCell ref="AD152:AF152"/>
    <mergeCell ref="AG152:AJ152"/>
    <mergeCell ref="AK152:AO152"/>
    <mergeCell ref="AP152:AT152"/>
    <mergeCell ref="AU152:AY152"/>
    <mergeCell ref="AZ152:BC152"/>
    <mergeCell ref="BD152:BH152"/>
    <mergeCell ref="BI152:BM152"/>
    <mergeCell ref="BN152:BP152"/>
    <mergeCell ref="B153:C153"/>
    <mergeCell ref="D153:Q153"/>
    <mergeCell ref="R153:S153"/>
    <mergeCell ref="T153:V153"/>
    <mergeCell ref="W153:Y153"/>
    <mergeCell ref="Z153:AC153"/>
    <mergeCell ref="AD153:AF153"/>
    <mergeCell ref="AG153:AJ153"/>
    <mergeCell ref="AK153:AO153"/>
    <mergeCell ref="AP153:AT153"/>
    <mergeCell ref="AU153:AY153"/>
    <mergeCell ref="AZ153:BC153"/>
    <mergeCell ref="BD153:BH153"/>
    <mergeCell ref="BI153:BM153"/>
    <mergeCell ref="BN153:BP153"/>
    <mergeCell ref="B150:C150"/>
    <mergeCell ref="D150:Q150"/>
    <mergeCell ref="R150:S150"/>
    <mergeCell ref="T150:V150"/>
    <mergeCell ref="W150:Y150"/>
    <mergeCell ref="Z150:AC150"/>
    <mergeCell ref="AD150:AF150"/>
    <mergeCell ref="AG150:AJ150"/>
    <mergeCell ref="AK150:AO150"/>
    <mergeCell ref="AP150:AT150"/>
    <mergeCell ref="AU150:AY150"/>
    <mergeCell ref="AZ150:BC150"/>
    <mergeCell ref="BD150:BH150"/>
    <mergeCell ref="BI150:BM150"/>
    <mergeCell ref="BN150:BP150"/>
    <mergeCell ref="B151:C151"/>
    <mergeCell ref="D151:Q151"/>
    <mergeCell ref="R151:S151"/>
    <mergeCell ref="T151:V151"/>
    <mergeCell ref="W151:Y151"/>
    <mergeCell ref="Z151:AC151"/>
    <mergeCell ref="AD151:AF151"/>
    <mergeCell ref="AG151:AJ151"/>
    <mergeCell ref="AK151:AO151"/>
    <mergeCell ref="AP151:AT151"/>
    <mergeCell ref="AU151:AY151"/>
    <mergeCell ref="AZ151:BC151"/>
    <mergeCell ref="BD151:BH151"/>
    <mergeCell ref="BI151:BM151"/>
    <mergeCell ref="BN151:BP151"/>
    <mergeCell ref="B148:C148"/>
    <mergeCell ref="D148:Q148"/>
    <mergeCell ref="R148:S148"/>
    <mergeCell ref="T148:V148"/>
    <mergeCell ref="W148:Y148"/>
    <mergeCell ref="Z148:AC148"/>
    <mergeCell ref="AD148:AF148"/>
    <mergeCell ref="AG148:AJ148"/>
    <mergeCell ref="AK148:AO148"/>
    <mergeCell ref="AP148:AT148"/>
    <mergeCell ref="AU148:AY148"/>
    <mergeCell ref="AZ148:BC148"/>
    <mergeCell ref="BD148:BH148"/>
    <mergeCell ref="BI148:BM148"/>
    <mergeCell ref="BN148:BP148"/>
    <mergeCell ref="B149:C149"/>
    <mergeCell ref="D149:Q149"/>
    <mergeCell ref="R149:S149"/>
    <mergeCell ref="T149:V149"/>
    <mergeCell ref="W149:Y149"/>
    <mergeCell ref="Z149:AC149"/>
    <mergeCell ref="AD149:AF149"/>
    <mergeCell ref="AG149:AJ149"/>
    <mergeCell ref="AK149:AO149"/>
    <mergeCell ref="AP149:AT149"/>
    <mergeCell ref="AU149:AY149"/>
    <mergeCell ref="AZ149:BC149"/>
    <mergeCell ref="BD149:BH149"/>
    <mergeCell ref="BI149:BM149"/>
    <mergeCell ref="BN149:BP149"/>
    <mergeCell ref="B146:C146"/>
    <mergeCell ref="D146:Q146"/>
    <mergeCell ref="R146:S146"/>
    <mergeCell ref="T146:V146"/>
    <mergeCell ref="W146:Y146"/>
    <mergeCell ref="Z146:AC146"/>
    <mergeCell ref="AD146:AF146"/>
    <mergeCell ref="AG146:AJ146"/>
    <mergeCell ref="AK146:AO146"/>
    <mergeCell ref="AP146:AT146"/>
    <mergeCell ref="AU146:AY146"/>
    <mergeCell ref="AZ146:BC146"/>
    <mergeCell ref="BD146:BH146"/>
    <mergeCell ref="BI146:BM146"/>
    <mergeCell ref="BN146:BP146"/>
    <mergeCell ref="B147:C147"/>
    <mergeCell ref="D147:Q147"/>
    <mergeCell ref="R147:S147"/>
    <mergeCell ref="T147:V147"/>
    <mergeCell ref="W147:Y147"/>
    <mergeCell ref="Z147:AC147"/>
    <mergeCell ref="AD147:AF147"/>
    <mergeCell ref="AG147:AJ147"/>
    <mergeCell ref="AK147:AO147"/>
    <mergeCell ref="AP147:AT147"/>
    <mergeCell ref="AU147:AY147"/>
    <mergeCell ref="AZ147:BC147"/>
    <mergeCell ref="BD147:BH147"/>
    <mergeCell ref="BI147:BM147"/>
    <mergeCell ref="BN147:BP147"/>
    <mergeCell ref="B144:C144"/>
    <mergeCell ref="D144:Q144"/>
    <mergeCell ref="R144:S144"/>
    <mergeCell ref="T144:V144"/>
    <mergeCell ref="W144:Y144"/>
    <mergeCell ref="Z144:AC144"/>
    <mergeCell ref="AD144:AF144"/>
    <mergeCell ref="AG144:AJ144"/>
    <mergeCell ref="AK144:AO144"/>
    <mergeCell ref="AP144:AT144"/>
    <mergeCell ref="AU144:AY144"/>
    <mergeCell ref="AZ144:BC144"/>
    <mergeCell ref="BD144:BH144"/>
    <mergeCell ref="BI144:BM144"/>
    <mergeCell ref="BN144:BP144"/>
    <mergeCell ref="B145:C145"/>
    <mergeCell ref="D145:Q145"/>
    <mergeCell ref="R145:S145"/>
    <mergeCell ref="T145:V145"/>
    <mergeCell ref="W145:Y145"/>
    <mergeCell ref="Z145:AC145"/>
    <mergeCell ref="AD145:AF145"/>
    <mergeCell ref="AG145:AJ145"/>
    <mergeCell ref="AK145:AO145"/>
    <mergeCell ref="AP145:AT145"/>
    <mergeCell ref="AU145:AY145"/>
    <mergeCell ref="AZ145:BC145"/>
    <mergeCell ref="BD145:BH145"/>
    <mergeCell ref="BI145:BM145"/>
    <mergeCell ref="BN145:BP145"/>
    <mergeCell ref="B142:C142"/>
    <mergeCell ref="D142:Q142"/>
    <mergeCell ref="R142:S142"/>
    <mergeCell ref="T142:V142"/>
    <mergeCell ref="W142:Y142"/>
    <mergeCell ref="Z142:AC142"/>
    <mergeCell ref="AD142:AF142"/>
    <mergeCell ref="AG142:AJ142"/>
    <mergeCell ref="AK142:AO142"/>
    <mergeCell ref="AP142:AT142"/>
    <mergeCell ref="AU142:AY142"/>
    <mergeCell ref="AZ142:BC142"/>
    <mergeCell ref="BD142:BH142"/>
    <mergeCell ref="BI142:BM142"/>
    <mergeCell ref="BN142:BP142"/>
    <mergeCell ref="B143:C143"/>
    <mergeCell ref="D143:Q143"/>
    <mergeCell ref="R143:S143"/>
    <mergeCell ref="T143:V143"/>
    <mergeCell ref="W143:Y143"/>
    <mergeCell ref="Z143:AC143"/>
    <mergeCell ref="AD143:AF143"/>
    <mergeCell ref="AG143:AJ143"/>
    <mergeCell ref="AK143:AO143"/>
    <mergeCell ref="AP143:AT143"/>
    <mergeCell ref="AU143:AY143"/>
    <mergeCell ref="AZ143:BC143"/>
    <mergeCell ref="BD143:BH143"/>
    <mergeCell ref="BI143:BM143"/>
    <mergeCell ref="BN143:BP143"/>
    <mergeCell ref="B140:C140"/>
    <mergeCell ref="D140:Q140"/>
    <mergeCell ref="R140:S140"/>
    <mergeCell ref="T140:V140"/>
    <mergeCell ref="W140:Y140"/>
    <mergeCell ref="Z140:AC140"/>
    <mergeCell ref="AD140:AF140"/>
    <mergeCell ref="AG140:AJ140"/>
    <mergeCell ref="AK140:AO140"/>
    <mergeCell ref="AP140:AT140"/>
    <mergeCell ref="AU140:AY140"/>
    <mergeCell ref="AZ140:BC140"/>
    <mergeCell ref="BD140:BH140"/>
    <mergeCell ref="BI140:BM140"/>
    <mergeCell ref="BN140:BP140"/>
    <mergeCell ref="B141:C141"/>
    <mergeCell ref="D141:Q141"/>
    <mergeCell ref="R141:S141"/>
    <mergeCell ref="T141:V141"/>
    <mergeCell ref="W141:Y141"/>
    <mergeCell ref="Z141:AC141"/>
    <mergeCell ref="AD141:AF141"/>
    <mergeCell ref="AG141:AJ141"/>
    <mergeCell ref="AK141:AO141"/>
    <mergeCell ref="AP141:AT141"/>
    <mergeCell ref="AU141:AY141"/>
    <mergeCell ref="AZ141:BC141"/>
    <mergeCell ref="BD141:BH141"/>
    <mergeCell ref="BI141:BM141"/>
    <mergeCell ref="BN141:BP141"/>
    <mergeCell ref="B138:C138"/>
    <mergeCell ref="D138:Q138"/>
    <mergeCell ref="R138:S138"/>
    <mergeCell ref="T138:V138"/>
    <mergeCell ref="W138:Y138"/>
    <mergeCell ref="Z138:AC138"/>
    <mergeCell ref="AD138:AF138"/>
    <mergeCell ref="AG138:AJ138"/>
    <mergeCell ref="AK138:AO138"/>
    <mergeCell ref="AP138:AT138"/>
    <mergeCell ref="AU138:AY138"/>
    <mergeCell ref="AZ138:BC138"/>
    <mergeCell ref="BD138:BH138"/>
    <mergeCell ref="BI138:BM138"/>
    <mergeCell ref="BN138:BP138"/>
    <mergeCell ref="B139:C139"/>
    <mergeCell ref="D139:Q139"/>
    <mergeCell ref="R139:S139"/>
    <mergeCell ref="T139:V139"/>
    <mergeCell ref="W139:Y139"/>
    <mergeCell ref="Z139:AC139"/>
    <mergeCell ref="AD139:AF139"/>
    <mergeCell ref="AG139:AJ139"/>
    <mergeCell ref="AK139:AO139"/>
    <mergeCell ref="AP139:AT139"/>
    <mergeCell ref="AU139:AY139"/>
    <mergeCell ref="AZ139:BC139"/>
    <mergeCell ref="BD139:BH139"/>
    <mergeCell ref="BI139:BM139"/>
    <mergeCell ref="BN139:BP139"/>
    <mergeCell ref="B136:C136"/>
    <mergeCell ref="D136:Q136"/>
    <mergeCell ref="R136:S136"/>
    <mergeCell ref="T136:V136"/>
    <mergeCell ref="W136:Y136"/>
    <mergeCell ref="Z136:AC136"/>
    <mergeCell ref="AD136:AF136"/>
    <mergeCell ref="AG136:AJ136"/>
    <mergeCell ref="AK136:AO136"/>
    <mergeCell ref="AP136:AT136"/>
    <mergeCell ref="AU136:AY136"/>
    <mergeCell ref="AZ136:BC136"/>
    <mergeCell ref="BD136:BH136"/>
    <mergeCell ref="BI136:BM136"/>
    <mergeCell ref="BN136:BP136"/>
    <mergeCell ref="B137:C137"/>
    <mergeCell ref="D137:Q137"/>
    <mergeCell ref="R137:S137"/>
    <mergeCell ref="T137:V137"/>
    <mergeCell ref="W137:Y137"/>
    <mergeCell ref="Z137:AC137"/>
    <mergeCell ref="AD137:AF137"/>
    <mergeCell ref="AG137:AJ137"/>
    <mergeCell ref="AK137:AO137"/>
    <mergeCell ref="AP137:AT137"/>
    <mergeCell ref="AU137:AY137"/>
    <mergeCell ref="AZ137:BC137"/>
    <mergeCell ref="BD137:BH137"/>
    <mergeCell ref="BI137:BM137"/>
    <mergeCell ref="BN137:BP137"/>
    <mergeCell ref="B134:C134"/>
    <mergeCell ref="D134:Q134"/>
    <mergeCell ref="R134:S134"/>
    <mergeCell ref="T134:V134"/>
    <mergeCell ref="W134:Y134"/>
    <mergeCell ref="Z134:AC134"/>
    <mergeCell ref="AD134:AF134"/>
    <mergeCell ref="AG134:AJ134"/>
    <mergeCell ref="AK134:AO134"/>
    <mergeCell ref="AP134:AT134"/>
    <mergeCell ref="AU134:AY134"/>
    <mergeCell ref="AZ134:BC134"/>
    <mergeCell ref="BD134:BH134"/>
    <mergeCell ref="BI134:BM134"/>
    <mergeCell ref="BN134:BP134"/>
    <mergeCell ref="B135:C135"/>
    <mergeCell ref="D135:Q135"/>
    <mergeCell ref="R135:S135"/>
    <mergeCell ref="T135:V135"/>
    <mergeCell ref="W135:Y135"/>
    <mergeCell ref="Z135:AC135"/>
    <mergeCell ref="AD135:AF135"/>
    <mergeCell ref="AG135:AJ135"/>
    <mergeCell ref="AK135:AO135"/>
    <mergeCell ref="AP135:AT135"/>
    <mergeCell ref="AU135:AY135"/>
    <mergeCell ref="AZ135:BC135"/>
    <mergeCell ref="BD135:BH135"/>
    <mergeCell ref="BI135:BM135"/>
    <mergeCell ref="BN135:BP135"/>
    <mergeCell ref="B132:C132"/>
    <mergeCell ref="D132:Q132"/>
    <mergeCell ref="R132:S132"/>
    <mergeCell ref="T132:V132"/>
    <mergeCell ref="W132:Y132"/>
    <mergeCell ref="Z132:AC132"/>
    <mergeCell ref="AD132:AF132"/>
    <mergeCell ref="AG132:AJ132"/>
    <mergeCell ref="AK132:AO132"/>
    <mergeCell ref="AP132:AT132"/>
    <mergeCell ref="AU132:AY132"/>
    <mergeCell ref="AZ132:BC132"/>
    <mergeCell ref="BD132:BH132"/>
    <mergeCell ref="BI132:BM132"/>
    <mergeCell ref="BN132:BP132"/>
    <mergeCell ref="B133:C133"/>
    <mergeCell ref="D133:Q133"/>
    <mergeCell ref="R133:S133"/>
    <mergeCell ref="T133:V133"/>
    <mergeCell ref="W133:Y133"/>
    <mergeCell ref="Z133:AC133"/>
    <mergeCell ref="AD133:AF133"/>
    <mergeCell ref="AG133:AJ133"/>
    <mergeCell ref="AK133:AO133"/>
    <mergeCell ref="AP133:AT133"/>
    <mergeCell ref="AU133:AY133"/>
    <mergeCell ref="AZ133:BC133"/>
    <mergeCell ref="BD133:BH133"/>
    <mergeCell ref="BI133:BM133"/>
    <mergeCell ref="BN133:BP133"/>
    <mergeCell ref="B130:C130"/>
    <mergeCell ref="D130:Q130"/>
    <mergeCell ref="R130:S130"/>
    <mergeCell ref="T130:V130"/>
    <mergeCell ref="W130:Y130"/>
    <mergeCell ref="Z130:AC130"/>
    <mergeCell ref="AD130:AF130"/>
    <mergeCell ref="AG130:AJ130"/>
    <mergeCell ref="AK130:AO130"/>
    <mergeCell ref="AP130:AT130"/>
    <mergeCell ref="AU130:AY130"/>
    <mergeCell ref="AZ130:BC130"/>
    <mergeCell ref="BD130:BH130"/>
    <mergeCell ref="BI130:BM130"/>
    <mergeCell ref="BN130:BP130"/>
    <mergeCell ref="B131:C131"/>
    <mergeCell ref="D131:Q131"/>
    <mergeCell ref="R131:S131"/>
    <mergeCell ref="T131:V131"/>
    <mergeCell ref="W131:Y131"/>
    <mergeCell ref="Z131:AC131"/>
    <mergeCell ref="AD131:AF131"/>
    <mergeCell ref="AG131:AJ131"/>
    <mergeCell ref="AK131:AO131"/>
    <mergeCell ref="AP131:AT131"/>
    <mergeCell ref="AU131:AY131"/>
    <mergeCell ref="AZ131:BC131"/>
    <mergeCell ref="BD131:BH131"/>
    <mergeCell ref="BI131:BM131"/>
    <mergeCell ref="BN131:BP131"/>
    <mergeCell ref="B128:C128"/>
    <mergeCell ref="D128:Q128"/>
    <mergeCell ref="R128:S128"/>
    <mergeCell ref="T128:V128"/>
    <mergeCell ref="W128:Y128"/>
    <mergeCell ref="Z128:AC128"/>
    <mergeCell ref="AD128:AF128"/>
    <mergeCell ref="AG128:AJ128"/>
    <mergeCell ref="AK128:AO128"/>
    <mergeCell ref="AP128:AT128"/>
    <mergeCell ref="AU128:AY128"/>
    <mergeCell ref="AZ128:BC128"/>
    <mergeCell ref="BD128:BH128"/>
    <mergeCell ref="BI128:BM128"/>
    <mergeCell ref="BN128:BP128"/>
    <mergeCell ref="B129:C129"/>
    <mergeCell ref="D129:Q129"/>
    <mergeCell ref="R129:S129"/>
    <mergeCell ref="T129:V129"/>
    <mergeCell ref="W129:Y129"/>
    <mergeCell ref="Z129:AC129"/>
    <mergeCell ref="AD129:AF129"/>
    <mergeCell ref="AG129:AJ129"/>
    <mergeCell ref="AK129:AO129"/>
    <mergeCell ref="AP129:AT129"/>
    <mergeCell ref="AU129:AY129"/>
    <mergeCell ref="AZ129:BC129"/>
    <mergeCell ref="BD129:BH129"/>
    <mergeCell ref="BI129:BM129"/>
    <mergeCell ref="BN129:BP129"/>
    <mergeCell ref="B126:C126"/>
    <mergeCell ref="D126:Q126"/>
    <mergeCell ref="R126:S126"/>
    <mergeCell ref="T126:V126"/>
    <mergeCell ref="W126:Y126"/>
    <mergeCell ref="Z126:AC126"/>
    <mergeCell ref="AD126:AF126"/>
    <mergeCell ref="AG126:AJ126"/>
    <mergeCell ref="AK126:AO126"/>
    <mergeCell ref="AP126:AT126"/>
    <mergeCell ref="AU126:AY126"/>
    <mergeCell ref="AZ126:BC126"/>
    <mergeCell ref="BD126:BH126"/>
    <mergeCell ref="BI126:BM126"/>
    <mergeCell ref="BN126:BP126"/>
    <mergeCell ref="B127:C127"/>
    <mergeCell ref="D127:Q127"/>
    <mergeCell ref="R127:S127"/>
    <mergeCell ref="T127:V127"/>
    <mergeCell ref="W127:Y127"/>
    <mergeCell ref="Z127:AC127"/>
    <mergeCell ref="AD127:AF127"/>
    <mergeCell ref="AG127:AJ127"/>
    <mergeCell ref="AK127:AO127"/>
    <mergeCell ref="AP127:AT127"/>
    <mergeCell ref="AU127:AY127"/>
    <mergeCell ref="AZ127:BC127"/>
    <mergeCell ref="BD127:BH127"/>
    <mergeCell ref="BI127:BM127"/>
    <mergeCell ref="BN127:BP127"/>
    <mergeCell ref="B124:C124"/>
    <mergeCell ref="D124:Q124"/>
    <mergeCell ref="R124:S124"/>
    <mergeCell ref="T124:V124"/>
    <mergeCell ref="W124:Y124"/>
    <mergeCell ref="Z124:AC124"/>
    <mergeCell ref="AD124:AF124"/>
    <mergeCell ref="AG124:AJ124"/>
    <mergeCell ref="AK124:AO124"/>
    <mergeCell ref="AP124:AT124"/>
    <mergeCell ref="AU124:AY124"/>
    <mergeCell ref="AZ124:BC124"/>
    <mergeCell ref="BD124:BH124"/>
    <mergeCell ref="BI124:BM124"/>
    <mergeCell ref="BN124:BP124"/>
    <mergeCell ref="B125:C125"/>
    <mergeCell ref="D125:Q125"/>
    <mergeCell ref="R125:S125"/>
    <mergeCell ref="T125:V125"/>
    <mergeCell ref="W125:Y125"/>
    <mergeCell ref="Z125:AC125"/>
    <mergeCell ref="AD125:AF125"/>
    <mergeCell ref="AG125:AJ125"/>
    <mergeCell ref="AK125:AO125"/>
    <mergeCell ref="AP125:AT125"/>
    <mergeCell ref="AU125:AY125"/>
    <mergeCell ref="AZ125:BC125"/>
    <mergeCell ref="BD125:BH125"/>
    <mergeCell ref="BI125:BM125"/>
    <mergeCell ref="BN125:BP125"/>
    <mergeCell ref="B122:C122"/>
    <mergeCell ref="D122:Q122"/>
    <mergeCell ref="R122:S122"/>
    <mergeCell ref="T122:V122"/>
    <mergeCell ref="W122:Y122"/>
    <mergeCell ref="Z122:AC122"/>
    <mergeCell ref="AD122:AF122"/>
    <mergeCell ref="AG122:AJ122"/>
    <mergeCell ref="AK122:AO122"/>
    <mergeCell ref="AP122:AT122"/>
    <mergeCell ref="AU122:AY122"/>
    <mergeCell ref="AZ122:BC122"/>
    <mergeCell ref="BD122:BH122"/>
    <mergeCell ref="BI122:BM122"/>
    <mergeCell ref="BN122:BP122"/>
    <mergeCell ref="B123:C123"/>
    <mergeCell ref="D123:Q123"/>
    <mergeCell ref="R123:S123"/>
    <mergeCell ref="T123:V123"/>
    <mergeCell ref="W123:Y123"/>
    <mergeCell ref="Z123:AC123"/>
    <mergeCell ref="AD123:AF123"/>
    <mergeCell ref="AG123:AJ123"/>
    <mergeCell ref="AP123:AT123"/>
    <mergeCell ref="AZ123:BC123"/>
    <mergeCell ref="BD123:BH123"/>
    <mergeCell ref="BI123:BM123"/>
    <mergeCell ref="B120:C120"/>
    <mergeCell ref="D120:Q120"/>
    <mergeCell ref="R120:S120"/>
    <mergeCell ref="T120:V120"/>
    <mergeCell ref="W120:Y120"/>
    <mergeCell ref="Z120:AC120"/>
    <mergeCell ref="AD120:AF120"/>
    <mergeCell ref="AG120:AJ120"/>
    <mergeCell ref="AK120:AO120"/>
    <mergeCell ref="AP120:AT120"/>
    <mergeCell ref="AU120:AY120"/>
    <mergeCell ref="AZ120:BC120"/>
    <mergeCell ref="BD120:BH120"/>
    <mergeCell ref="BI120:BM120"/>
    <mergeCell ref="BN120:BP120"/>
    <mergeCell ref="B121:C121"/>
    <mergeCell ref="D121:Q121"/>
    <mergeCell ref="R121:S121"/>
    <mergeCell ref="T121:V121"/>
    <mergeCell ref="W121:Y121"/>
    <mergeCell ref="Z121:AC121"/>
    <mergeCell ref="AD121:AF121"/>
    <mergeCell ref="AG121:AJ121"/>
    <mergeCell ref="AK121:AO121"/>
    <mergeCell ref="AP121:AT121"/>
    <mergeCell ref="AU121:AY121"/>
    <mergeCell ref="AZ121:BC121"/>
    <mergeCell ref="BD121:BH121"/>
    <mergeCell ref="BI121:BM121"/>
    <mergeCell ref="BN121:BP121"/>
    <mergeCell ref="B118:C118"/>
    <mergeCell ref="D118:Q118"/>
    <mergeCell ref="R118:S118"/>
    <mergeCell ref="T118:V118"/>
    <mergeCell ref="W118:Y118"/>
    <mergeCell ref="Z118:AC118"/>
    <mergeCell ref="AD118:AF118"/>
    <mergeCell ref="AG118:AJ118"/>
    <mergeCell ref="AK118:AO118"/>
    <mergeCell ref="AP118:AT118"/>
    <mergeCell ref="AU118:AY118"/>
    <mergeCell ref="AZ118:BC118"/>
    <mergeCell ref="BD118:BH118"/>
    <mergeCell ref="BI118:BM118"/>
    <mergeCell ref="BN118:BP118"/>
    <mergeCell ref="B119:C119"/>
    <mergeCell ref="D119:Q119"/>
    <mergeCell ref="R119:S119"/>
    <mergeCell ref="T119:V119"/>
    <mergeCell ref="W119:Y119"/>
    <mergeCell ref="Z119:AC119"/>
    <mergeCell ref="AD119:AF119"/>
    <mergeCell ref="AG119:AJ119"/>
    <mergeCell ref="AK119:AO119"/>
    <mergeCell ref="AP119:AT119"/>
    <mergeCell ref="AU119:AY119"/>
    <mergeCell ref="AZ119:BC119"/>
    <mergeCell ref="BD119:BH119"/>
    <mergeCell ref="BI119:BM119"/>
    <mergeCell ref="BN119:BP119"/>
    <mergeCell ref="B116:C116"/>
    <mergeCell ref="D116:Q116"/>
    <mergeCell ref="R116:S116"/>
    <mergeCell ref="T116:V116"/>
    <mergeCell ref="W116:Y116"/>
    <mergeCell ref="Z116:AC116"/>
    <mergeCell ref="AD116:AF116"/>
    <mergeCell ref="AG116:AJ116"/>
    <mergeCell ref="AK116:AO116"/>
    <mergeCell ref="AP116:AT116"/>
    <mergeCell ref="AU116:AY116"/>
    <mergeCell ref="AZ116:BC116"/>
    <mergeCell ref="BD116:BH116"/>
    <mergeCell ref="BI116:BM116"/>
    <mergeCell ref="BN116:BP116"/>
    <mergeCell ref="B117:C117"/>
    <mergeCell ref="D117:Q117"/>
    <mergeCell ref="R117:S117"/>
    <mergeCell ref="T117:V117"/>
    <mergeCell ref="W117:Y117"/>
    <mergeCell ref="Z117:AC117"/>
    <mergeCell ref="AD117:AF117"/>
    <mergeCell ref="AG117:AJ117"/>
    <mergeCell ref="AK117:AO117"/>
    <mergeCell ref="AP117:AT117"/>
    <mergeCell ref="AU117:AY117"/>
    <mergeCell ref="AZ117:BC117"/>
    <mergeCell ref="BD117:BH117"/>
    <mergeCell ref="BI117:BM117"/>
    <mergeCell ref="BN117:BP117"/>
    <mergeCell ref="B114:C114"/>
    <mergeCell ref="D114:Q114"/>
    <mergeCell ref="R114:S114"/>
    <mergeCell ref="T114:V114"/>
    <mergeCell ref="W114:Y114"/>
    <mergeCell ref="Z114:AC114"/>
    <mergeCell ref="AD114:AF114"/>
    <mergeCell ref="AG114:AJ114"/>
    <mergeCell ref="AK114:AO114"/>
    <mergeCell ref="AP114:AT114"/>
    <mergeCell ref="AU114:AY114"/>
    <mergeCell ref="AZ114:BC114"/>
    <mergeCell ref="BD114:BH114"/>
    <mergeCell ref="BI114:BM114"/>
    <mergeCell ref="BN114:BP114"/>
    <mergeCell ref="B115:C115"/>
    <mergeCell ref="D115:Q115"/>
    <mergeCell ref="R115:S115"/>
    <mergeCell ref="T115:V115"/>
    <mergeCell ref="W115:Y115"/>
    <mergeCell ref="Z115:AC115"/>
    <mergeCell ref="AD115:AF115"/>
    <mergeCell ref="AG115:AJ115"/>
    <mergeCell ref="AK115:AO115"/>
    <mergeCell ref="AP115:AT115"/>
    <mergeCell ref="AU115:AY115"/>
    <mergeCell ref="AZ115:BC115"/>
    <mergeCell ref="BD115:BH115"/>
    <mergeCell ref="BI115:BM115"/>
    <mergeCell ref="BN115:BP115"/>
    <mergeCell ref="B112:C112"/>
    <mergeCell ref="D112:Q112"/>
    <mergeCell ref="R112:S112"/>
    <mergeCell ref="T112:V112"/>
    <mergeCell ref="W112:Y112"/>
    <mergeCell ref="Z112:AC112"/>
    <mergeCell ref="AD112:AF112"/>
    <mergeCell ref="AG112:AJ112"/>
    <mergeCell ref="AK112:AO112"/>
    <mergeCell ref="AP112:AT112"/>
    <mergeCell ref="AU112:AY112"/>
    <mergeCell ref="AZ112:BC112"/>
    <mergeCell ref="BD112:BH112"/>
    <mergeCell ref="BI112:BM112"/>
    <mergeCell ref="BN112:BP112"/>
    <mergeCell ref="B113:C113"/>
    <mergeCell ref="D113:Q113"/>
    <mergeCell ref="R113:S113"/>
    <mergeCell ref="T113:V113"/>
    <mergeCell ref="W113:Y113"/>
    <mergeCell ref="Z113:AC113"/>
    <mergeCell ref="AD113:AF113"/>
    <mergeCell ref="AG113:AJ113"/>
    <mergeCell ref="AK113:AO113"/>
    <mergeCell ref="AP113:AT113"/>
    <mergeCell ref="AU113:AY113"/>
    <mergeCell ref="AZ113:BC113"/>
    <mergeCell ref="BD113:BH113"/>
    <mergeCell ref="BI113:BM113"/>
    <mergeCell ref="BN113:BP113"/>
    <mergeCell ref="B110:C110"/>
    <mergeCell ref="D110:Q110"/>
    <mergeCell ref="R110:S110"/>
    <mergeCell ref="T110:V110"/>
    <mergeCell ref="W110:Y110"/>
    <mergeCell ref="Z110:AC110"/>
    <mergeCell ref="AD110:AF110"/>
    <mergeCell ref="AG110:AJ110"/>
    <mergeCell ref="AK110:AO110"/>
    <mergeCell ref="AP110:AT110"/>
    <mergeCell ref="AU110:AY110"/>
    <mergeCell ref="AZ110:BC110"/>
    <mergeCell ref="BD110:BH110"/>
    <mergeCell ref="BI110:BM110"/>
    <mergeCell ref="BN110:BP110"/>
    <mergeCell ref="B111:C111"/>
    <mergeCell ref="D111:Q111"/>
    <mergeCell ref="R111:S111"/>
    <mergeCell ref="T111:V111"/>
    <mergeCell ref="W111:Y111"/>
    <mergeCell ref="Z111:AC111"/>
    <mergeCell ref="AD111:AF111"/>
    <mergeCell ref="AG111:AJ111"/>
    <mergeCell ref="AK111:AO111"/>
    <mergeCell ref="AP111:AT111"/>
    <mergeCell ref="AU111:AY111"/>
    <mergeCell ref="AZ111:BC111"/>
    <mergeCell ref="BD111:BH111"/>
    <mergeCell ref="BI111:BM111"/>
    <mergeCell ref="BN111:BP111"/>
    <mergeCell ref="B108:C108"/>
    <mergeCell ref="D108:Q108"/>
    <mergeCell ref="R108:S108"/>
    <mergeCell ref="T108:V108"/>
    <mergeCell ref="W108:Y108"/>
    <mergeCell ref="Z108:AC108"/>
    <mergeCell ref="AD108:AF108"/>
    <mergeCell ref="AG108:AJ108"/>
    <mergeCell ref="AK108:AO108"/>
    <mergeCell ref="AP108:AT108"/>
    <mergeCell ref="AU108:AY108"/>
    <mergeCell ref="AZ108:BC108"/>
    <mergeCell ref="BD108:BH108"/>
    <mergeCell ref="BI108:BM108"/>
    <mergeCell ref="BN108:BP108"/>
    <mergeCell ref="B109:C109"/>
    <mergeCell ref="D109:Q109"/>
    <mergeCell ref="R109:S109"/>
    <mergeCell ref="T109:V109"/>
    <mergeCell ref="W109:Y109"/>
    <mergeCell ref="Z109:AC109"/>
    <mergeCell ref="AD109:AF109"/>
    <mergeCell ref="AG109:AJ109"/>
    <mergeCell ref="AK109:AO109"/>
    <mergeCell ref="AP109:AT109"/>
    <mergeCell ref="AU109:AY109"/>
    <mergeCell ref="AZ109:BC109"/>
    <mergeCell ref="BD109:BH109"/>
    <mergeCell ref="BI109:BM109"/>
    <mergeCell ref="BN109:BP109"/>
    <mergeCell ref="B106:C106"/>
    <mergeCell ref="D106:Q106"/>
    <mergeCell ref="R106:S106"/>
    <mergeCell ref="T106:V106"/>
    <mergeCell ref="W106:Y106"/>
    <mergeCell ref="Z106:AC106"/>
    <mergeCell ref="AD106:AF106"/>
    <mergeCell ref="AG106:AJ106"/>
    <mergeCell ref="AK106:AO106"/>
    <mergeCell ref="AP106:AT106"/>
    <mergeCell ref="AU106:AY106"/>
    <mergeCell ref="AZ106:BC106"/>
    <mergeCell ref="BD106:BH106"/>
    <mergeCell ref="BI106:BM106"/>
    <mergeCell ref="BN106:BP106"/>
    <mergeCell ref="B107:C107"/>
    <mergeCell ref="D107:Q107"/>
    <mergeCell ref="R107:S107"/>
    <mergeCell ref="T107:V107"/>
    <mergeCell ref="W107:Y107"/>
    <mergeCell ref="Z107:AC107"/>
    <mergeCell ref="AD107:AF107"/>
    <mergeCell ref="AG107:AJ107"/>
    <mergeCell ref="AK107:AO107"/>
    <mergeCell ref="AP107:AT107"/>
    <mergeCell ref="AU107:AY107"/>
    <mergeCell ref="AZ107:BC107"/>
    <mergeCell ref="BD107:BH107"/>
    <mergeCell ref="BI107:BM107"/>
    <mergeCell ref="BN107:BP107"/>
    <mergeCell ref="B104:C104"/>
    <mergeCell ref="D104:Q104"/>
    <mergeCell ref="R104:S104"/>
    <mergeCell ref="T104:V104"/>
    <mergeCell ref="W104:Y104"/>
    <mergeCell ref="Z104:AC104"/>
    <mergeCell ref="AD104:AF104"/>
    <mergeCell ref="AG104:AJ104"/>
    <mergeCell ref="AK104:AO104"/>
    <mergeCell ref="AP104:AT104"/>
    <mergeCell ref="AU104:AY104"/>
    <mergeCell ref="AZ104:BC104"/>
    <mergeCell ref="BD104:BH104"/>
    <mergeCell ref="BI104:BM104"/>
    <mergeCell ref="BN104:BP104"/>
    <mergeCell ref="B105:C105"/>
    <mergeCell ref="D105:Q105"/>
    <mergeCell ref="R105:S105"/>
    <mergeCell ref="T105:V105"/>
    <mergeCell ref="W105:Y105"/>
    <mergeCell ref="Z105:AC105"/>
    <mergeCell ref="AD105:AF105"/>
    <mergeCell ref="AG105:AJ105"/>
    <mergeCell ref="AK105:AO105"/>
    <mergeCell ref="AP105:AT105"/>
    <mergeCell ref="AU105:AY105"/>
    <mergeCell ref="AZ105:BC105"/>
    <mergeCell ref="BD105:BH105"/>
    <mergeCell ref="BI105:BM105"/>
    <mergeCell ref="BN105:BP105"/>
    <mergeCell ref="B102:C102"/>
    <mergeCell ref="D102:Q102"/>
    <mergeCell ref="R102:S102"/>
    <mergeCell ref="T102:V102"/>
    <mergeCell ref="W102:Y102"/>
    <mergeCell ref="Z102:AC102"/>
    <mergeCell ref="AD102:AF102"/>
    <mergeCell ref="AG102:AJ102"/>
    <mergeCell ref="AK102:AO102"/>
    <mergeCell ref="AP102:AT102"/>
    <mergeCell ref="AU102:AY102"/>
    <mergeCell ref="AZ102:BC102"/>
    <mergeCell ref="BD102:BH102"/>
    <mergeCell ref="BI102:BM102"/>
    <mergeCell ref="BN102:BP102"/>
    <mergeCell ref="B103:C103"/>
    <mergeCell ref="D103:Q103"/>
    <mergeCell ref="R103:S103"/>
    <mergeCell ref="T103:V103"/>
    <mergeCell ref="W103:Y103"/>
    <mergeCell ref="Z103:AC103"/>
    <mergeCell ref="AD103:AF103"/>
    <mergeCell ref="AG103:AJ103"/>
    <mergeCell ref="AK103:AO103"/>
    <mergeCell ref="AP103:AT103"/>
    <mergeCell ref="AU103:AY103"/>
    <mergeCell ref="AZ103:BC103"/>
    <mergeCell ref="BD103:BH103"/>
    <mergeCell ref="BI103:BM103"/>
    <mergeCell ref="BN103:BP103"/>
    <mergeCell ref="B100:C100"/>
    <mergeCell ref="D100:Q100"/>
    <mergeCell ref="R100:S100"/>
    <mergeCell ref="T100:V100"/>
    <mergeCell ref="W100:Y100"/>
    <mergeCell ref="Z100:AC100"/>
    <mergeCell ref="AD100:AF100"/>
    <mergeCell ref="AG100:AJ100"/>
    <mergeCell ref="AK100:AO100"/>
    <mergeCell ref="AP100:AT100"/>
    <mergeCell ref="AU100:AY100"/>
    <mergeCell ref="AZ100:BC100"/>
    <mergeCell ref="BD100:BH100"/>
    <mergeCell ref="BI100:BM100"/>
    <mergeCell ref="BN100:BP100"/>
    <mergeCell ref="B101:C101"/>
    <mergeCell ref="D101:Q101"/>
    <mergeCell ref="R101:S101"/>
    <mergeCell ref="T101:V101"/>
    <mergeCell ref="W101:Y101"/>
    <mergeCell ref="Z101:AC101"/>
    <mergeCell ref="AD101:AF101"/>
    <mergeCell ref="AG101:AJ101"/>
    <mergeCell ref="AK101:AO101"/>
    <mergeCell ref="AP101:AT101"/>
    <mergeCell ref="AU101:AY101"/>
    <mergeCell ref="AZ101:BC101"/>
    <mergeCell ref="BD101:BH101"/>
    <mergeCell ref="BI101:BM101"/>
    <mergeCell ref="BN101:BP101"/>
    <mergeCell ref="B98:C98"/>
    <mergeCell ref="D98:Q98"/>
    <mergeCell ref="R98:S98"/>
    <mergeCell ref="T98:V98"/>
    <mergeCell ref="W98:Y98"/>
    <mergeCell ref="Z98:AC98"/>
    <mergeCell ref="AD98:AF98"/>
    <mergeCell ref="AG98:AJ98"/>
    <mergeCell ref="AK98:AO98"/>
    <mergeCell ref="AP98:AT98"/>
    <mergeCell ref="AU98:AY98"/>
    <mergeCell ref="AZ98:BC98"/>
    <mergeCell ref="BD98:BH98"/>
    <mergeCell ref="BI98:BM98"/>
    <mergeCell ref="BN98:BP98"/>
    <mergeCell ref="B99:C99"/>
    <mergeCell ref="D99:Q99"/>
    <mergeCell ref="R99:S99"/>
    <mergeCell ref="T99:V99"/>
    <mergeCell ref="W99:Y99"/>
    <mergeCell ref="Z99:AC99"/>
    <mergeCell ref="AD99:AF99"/>
    <mergeCell ref="AG99:AJ99"/>
    <mergeCell ref="AK99:AO99"/>
    <mergeCell ref="AP99:AT99"/>
    <mergeCell ref="AU99:AY99"/>
    <mergeCell ref="AZ99:BC99"/>
    <mergeCell ref="BD99:BH99"/>
    <mergeCell ref="BI99:BM99"/>
    <mergeCell ref="BN99:BP99"/>
    <mergeCell ref="B96:C96"/>
    <mergeCell ref="D96:Q96"/>
    <mergeCell ref="R96:S96"/>
    <mergeCell ref="T96:V96"/>
    <mergeCell ref="W96:Y96"/>
    <mergeCell ref="Z96:AC96"/>
    <mergeCell ref="AD96:AF96"/>
    <mergeCell ref="AG96:AJ96"/>
    <mergeCell ref="AK96:AO96"/>
    <mergeCell ref="AP96:AT96"/>
    <mergeCell ref="AU96:AY96"/>
    <mergeCell ref="AZ96:BC96"/>
    <mergeCell ref="BD96:BH96"/>
    <mergeCell ref="BI96:BM96"/>
    <mergeCell ref="BN96:BP96"/>
    <mergeCell ref="B97:C97"/>
    <mergeCell ref="D97:Q97"/>
    <mergeCell ref="R97:S97"/>
    <mergeCell ref="T97:V97"/>
    <mergeCell ref="W97:Y97"/>
    <mergeCell ref="Z97:AC97"/>
    <mergeCell ref="AD97:AF97"/>
    <mergeCell ref="AG97:AJ97"/>
    <mergeCell ref="AK97:AO97"/>
    <mergeCell ref="AP97:AT97"/>
    <mergeCell ref="AU97:AY97"/>
    <mergeCell ref="AZ97:BC97"/>
    <mergeCell ref="BD97:BH97"/>
    <mergeCell ref="BI97:BM97"/>
    <mergeCell ref="BN97:BP97"/>
    <mergeCell ref="B94:C94"/>
    <mergeCell ref="D94:Q94"/>
    <mergeCell ref="R94:S94"/>
    <mergeCell ref="T94:V94"/>
    <mergeCell ref="W94:Y94"/>
    <mergeCell ref="Z94:AC94"/>
    <mergeCell ref="AD94:AF94"/>
    <mergeCell ref="AG94:AJ94"/>
    <mergeCell ref="AK94:AO94"/>
    <mergeCell ref="AP94:AT94"/>
    <mergeCell ref="AU94:AY94"/>
    <mergeCell ref="AZ94:BC94"/>
    <mergeCell ref="BD94:BH94"/>
    <mergeCell ref="BI94:BM94"/>
    <mergeCell ref="BN94:BP94"/>
    <mergeCell ref="B95:C95"/>
    <mergeCell ref="D95:Q95"/>
    <mergeCell ref="R95:S95"/>
    <mergeCell ref="T95:V95"/>
    <mergeCell ref="W95:Y95"/>
    <mergeCell ref="Z95:AC95"/>
    <mergeCell ref="AD95:AF95"/>
    <mergeCell ref="AG95:AJ95"/>
    <mergeCell ref="AK95:AO95"/>
    <mergeCell ref="AP95:AT95"/>
    <mergeCell ref="AU95:AY95"/>
    <mergeCell ref="AZ95:BC95"/>
    <mergeCell ref="BD95:BH95"/>
    <mergeCell ref="BI95:BM95"/>
    <mergeCell ref="BN95:BP95"/>
    <mergeCell ref="B92:C92"/>
    <mergeCell ref="D92:Q92"/>
    <mergeCell ref="R92:S92"/>
    <mergeCell ref="T92:V92"/>
    <mergeCell ref="W92:Y92"/>
    <mergeCell ref="Z92:AC92"/>
    <mergeCell ref="AD92:AF92"/>
    <mergeCell ref="AG92:AJ92"/>
    <mergeCell ref="AK92:AO92"/>
    <mergeCell ref="AP92:AT92"/>
    <mergeCell ref="AU92:AY92"/>
    <mergeCell ref="AZ92:BC92"/>
    <mergeCell ref="BD92:BH92"/>
    <mergeCell ref="BI92:BM92"/>
    <mergeCell ref="BN92:BP92"/>
    <mergeCell ref="B93:C93"/>
    <mergeCell ref="D93:Q93"/>
    <mergeCell ref="R93:S93"/>
    <mergeCell ref="T93:V93"/>
    <mergeCell ref="W93:Y93"/>
    <mergeCell ref="Z93:AC93"/>
    <mergeCell ref="AD93:AF93"/>
    <mergeCell ref="AG93:AJ93"/>
    <mergeCell ref="AK93:AO93"/>
    <mergeCell ref="AP93:AT93"/>
    <mergeCell ref="AU93:AY93"/>
    <mergeCell ref="AZ93:BC93"/>
    <mergeCell ref="BD93:BH93"/>
    <mergeCell ref="BI93:BM93"/>
    <mergeCell ref="BN93:BP93"/>
    <mergeCell ref="B90:C90"/>
    <mergeCell ref="D90:Q90"/>
    <mergeCell ref="R90:S90"/>
    <mergeCell ref="T90:V90"/>
    <mergeCell ref="W90:Y90"/>
    <mergeCell ref="Z90:AC90"/>
    <mergeCell ref="AD90:AF90"/>
    <mergeCell ref="AG90:AJ90"/>
    <mergeCell ref="AK90:AO90"/>
    <mergeCell ref="AP90:AT90"/>
    <mergeCell ref="AU90:AY90"/>
    <mergeCell ref="AZ90:BC90"/>
    <mergeCell ref="BD90:BH90"/>
    <mergeCell ref="BI90:BM90"/>
    <mergeCell ref="BN90:BP90"/>
    <mergeCell ref="B91:C91"/>
    <mergeCell ref="D91:Q91"/>
    <mergeCell ref="R91:S91"/>
    <mergeCell ref="T91:V91"/>
    <mergeCell ref="W91:Y91"/>
    <mergeCell ref="Z91:AC91"/>
    <mergeCell ref="AD91:AF91"/>
    <mergeCell ref="AG91:AJ91"/>
    <mergeCell ref="AK91:AO91"/>
    <mergeCell ref="AP91:AT91"/>
    <mergeCell ref="AU91:AY91"/>
    <mergeCell ref="AZ91:BC91"/>
    <mergeCell ref="BD91:BH91"/>
    <mergeCell ref="BI91:BM91"/>
    <mergeCell ref="BN91:BP91"/>
    <mergeCell ref="BN87:BP87"/>
    <mergeCell ref="B88:C88"/>
    <mergeCell ref="D88:Q88"/>
    <mergeCell ref="R88:S88"/>
    <mergeCell ref="T88:V88"/>
    <mergeCell ref="W88:Y88"/>
    <mergeCell ref="Z88:AC88"/>
    <mergeCell ref="AD88:AF88"/>
    <mergeCell ref="AG88:AJ88"/>
    <mergeCell ref="AK88:AO88"/>
    <mergeCell ref="AP88:AT88"/>
    <mergeCell ref="AU88:AY88"/>
    <mergeCell ref="AZ88:BC88"/>
    <mergeCell ref="BD88:BH88"/>
    <mergeCell ref="BI88:BM88"/>
    <mergeCell ref="BN88:BP88"/>
    <mergeCell ref="B89:C89"/>
    <mergeCell ref="D89:Q89"/>
    <mergeCell ref="R89:S89"/>
    <mergeCell ref="T89:V89"/>
    <mergeCell ref="W89:Y89"/>
    <mergeCell ref="Z89:AC89"/>
    <mergeCell ref="AD89:AF89"/>
    <mergeCell ref="AG89:AJ89"/>
    <mergeCell ref="AK89:AO89"/>
    <mergeCell ref="AP89:AT89"/>
    <mergeCell ref="AU89:AY89"/>
    <mergeCell ref="AZ89:BC89"/>
    <mergeCell ref="BD89:BH89"/>
    <mergeCell ref="BI89:BM89"/>
    <mergeCell ref="BN89:BP89"/>
    <mergeCell ref="B86:C86"/>
    <mergeCell ref="D86:Q86"/>
    <mergeCell ref="R86:S86"/>
    <mergeCell ref="T86:V86"/>
    <mergeCell ref="W86:Y86"/>
    <mergeCell ref="Z86:AC86"/>
    <mergeCell ref="AD86:AF86"/>
    <mergeCell ref="AG86:AJ86"/>
    <mergeCell ref="AP86:AT86"/>
    <mergeCell ref="AZ86:BC86"/>
    <mergeCell ref="BD86:BH86"/>
    <mergeCell ref="BI86:BM86"/>
    <mergeCell ref="B87:C87"/>
    <mergeCell ref="D87:Q87"/>
    <mergeCell ref="R87:S87"/>
    <mergeCell ref="T87:V87"/>
    <mergeCell ref="W87:Y87"/>
    <mergeCell ref="Z87:AC87"/>
    <mergeCell ref="AD87:AF87"/>
    <mergeCell ref="AG87:AJ87"/>
    <mergeCell ref="AK87:AO87"/>
    <mergeCell ref="AP87:AT87"/>
    <mergeCell ref="AU87:AY87"/>
    <mergeCell ref="AZ87:BC87"/>
    <mergeCell ref="BD87:BH87"/>
    <mergeCell ref="BI87:BM87"/>
    <mergeCell ref="B84:C84"/>
    <mergeCell ref="D84:Q84"/>
    <mergeCell ref="R84:S84"/>
    <mergeCell ref="T84:V84"/>
    <mergeCell ref="W84:Y84"/>
    <mergeCell ref="Z84:AC84"/>
    <mergeCell ref="AD84:AF84"/>
    <mergeCell ref="AG84:AJ84"/>
    <mergeCell ref="AK84:AO84"/>
    <mergeCell ref="AP84:AT84"/>
    <mergeCell ref="AU84:AY84"/>
    <mergeCell ref="AZ84:BC84"/>
    <mergeCell ref="BD84:BH84"/>
    <mergeCell ref="BI84:BM84"/>
    <mergeCell ref="BN84:BP84"/>
    <mergeCell ref="B85:C85"/>
    <mergeCell ref="D85:Q85"/>
    <mergeCell ref="R85:S85"/>
    <mergeCell ref="T85:V85"/>
    <mergeCell ref="W85:Y85"/>
    <mergeCell ref="Z85:AC85"/>
    <mergeCell ref="AD85:AF85"/>
    <mergeCell ref="AG85:AJ85"/>
    <mergeCell ref="AK85:AO85"/>
    <mergeCell ref="AP85:AT85"/>
    <mergeCell ref="AU85:AY85"/>
    <mergeCell ref="AZ85:BC85"/>
    <mergeCell ref="BD85:BH85"/>
    <mergeCell ref="BI85:BM85"/>
    <mergeCell ref="BN85:BP85"/>
    <mergeCell ref="BN81:BP81"/>
    <mergeCell ref="B82:C82"/>
    <mergeCell ref="D82:Q82"/>
    <mergeCell ref="R82:S82"/>
    <mergeCell ref="T82:V82"/>
    <mergeCell ref="W82:Y82"/>
    <mergeCell ref="Z82:AC82"/>
    <mergeCell ref="AD82:AF82"/>
    <mergeCell ref="AG82:AJ82"/>
    <mergeCell ref="AK82:AO82"/>
    <mergeCell ref="AP82:AT82"/>
    <mergeCell ref="AU82:AY82"/>
    <mergeCell ref="AZ82:BC82"/>
    <mergeCell ref="BD82:BH82"/>
    <mergeCell ref="BI82:BM82"/>
    <mergeCell ref="BN82:BP82"/>
    <mergeCell ref="B83:C83"/>
    <mergeCell ref="D83:Q83"/>
    <mergeCell ref="R83:S83"/>
    <mergeCell ref="T83:V83"/>
    <mergeCell ref="W83:Y83"/>
    <mergeCell ref="Z83:AC83"/>
    <mergeCell ref="AD83:AF83"/>
    <mergeCell ref="AG83:AJ83"/>
    <mergeCell ref="AK83:AO83"/>
    <mergeCell ref="AP83:AT83"/>
    <mergeCell ref="AU83:AY83"/>
    <mergeCell ref="AZ83:BC83"/>
    <mergeCell ref="BD83:BH83"/>
    <mergeCell ref="BI83:BM83"/>
    <mergeCell ref="BN83:BP83"/>
    <mergeCell ref="B80:C80"/>
    <mergeCell ref="D80:Q80"/>
    <mergeCell ref="R80:S80"/>
    <mergeCell ref="T80:V80"/>
    <mergeCell ref="W80:Y80"/>
    <mergeCell ref="Z80:AC80"/>
    <mergeCell ref="AD80:AF80"/>
    <mergeCell ref="AG80:AJ80"/>
    <mergeCell ref="AP80:AT80"/>
    <mergeCell ref="AZ80:BC80"/>
    <mergeCell ref="BD80:BH80"/>
    <mergeCell ref="BI80:BM80"/>
    <mergeCell ref="B81:C81"/>
    <mergeCell ref="D81:Q81"/>
    <mergeCell ref="R81:S81"/>
    <mergeCell ref="T81:V81"/>
    <mergeCell ref="W81:Y81"/>
    <mergeCell ref="Z81:AC81"/>
    <mergeCell ref="AD81:AF81"/>
    <mergeCell ref="AG81:AJ81"/>
    <mergeCell ref="AK81:AO81"/>
    <mergeCell ref="AP81:AT81"/>
    <mergeCell ref="AU81:AY81"/>
    <mergeCell ref="AZ81:BC81"/>
    <mergeCell ref="BD81:BH81"/>
    <mergeCell ref="BI81:BM81"/>
    <mergeCell ref="B78:C78"/>
    <mergeCell ref="D78:Q78"/>
    <mergeCell ref="R78:S78"/>
    <mergeCell ref="T78:V78"/>
    <mergeCell ref="W78:Y78"/>
    <mergeCell ref="Z78:AC78"/>
    <mergeCell ref="AD78:AF78"/>
    <mergeCell ref="AG78:AJ78"/>
    <mergeCell ref="AK78:AO78"/>
    <mergeCell ref="AP78:AT78"/>
    <mergeCell ref="AU78:AY78"/>
    <mergeCell ref="AZ78:BC78"/>
    <mergeCell ref="BD78:BH78"/>
    <mergeCell ref="BI78:BM78"/>
    <mergeCell ref="BN78:BP78"/>
    <mergeCell ref="B79:C79"/>
    <mergeCell ref="D79:Q79"/>
    <mergeCell ref="R79:S79"/>
    <mergeCell ref="T79:V79"/>
    <mergeCell ref="W79:Y79"/>
    <mergeCell ref="Z79:AC79"/>
    <mergeCell ref="AD79:AF79"/>
    <mergeCell ref="AG79:AJ79"/>
    <mergeCell ref="AK79:AO79"/>
    <mergeCell ref="AP79:AT79"/>
    <mergeCell ref="AU79:AY79"/>
    <mergeCell ref="AZ79:BC79"/>
    <mergeCell ref="BD79:BH79"/>
    <mergeCell ref="BI79:BM79"/>
    <mergeCell ref="BN79:BP79"/>
    <mergeCell ref="B76:C76"/>
    <mergeCell ref="D76:Q76"/>
    <mergeCell ref="R76:S76"/>
    <mergeCell ref="T76:V76"/>
    <mergeCell ref="W76:Y76"/>
    <mergeCell ref="Z76:AC76"/>
    <mergeCell ref="AD76:AF76"/>
    <mergeCell ref="AG76:AJ76"/>
    <mergeCell ref="AK76:AO76"/>
    <mergeCell ref="AP76:AT76"/>
    <mergeCell ref="AU76:AY76"/>
    <mergeCell ref="AZ76:BC76"/>
    <mergeCell ref="BD76:BH76"/>
    <mergeCell ref="BI76:BM76"/>
    <mergeCell ref="BN76:BP76"/>
    <mergeCell ref="B77:C77"/>
    <mergeCell ref="D77:Q77"/>
    <mergeCell ref="R77:S77"/>
    <mergeCell ref="T77:V77"/>
    <mergeCell ref="W77:Y77"/>
    <mergeCell ref="Z77:AC77"/>
    <mergeCell ref="AD77:AF77"/>
    <mergeCell ref="AG77:AJ77"/>
    <mergeCell ref="AK77:AO77"/>
    <mergeCell ref="AP77:AT77"/>
    <mergeCell ref="AU77:AY77"/>
    <mergeCell ref="AZ77:BC77"/>
    <mergeCell ref="BD77:BH77"/>
    <mergeCell ref="BI77:BM77"/>
    <mergeCell ref="BN77:BP77"/>
    <mergeCell ref="B74:C74"/>
    <mergeCell ref="D74:Q74"/>
    <mergeCell ref="R74:S74"/>
    <mergeCell ref="T74:V74"/>
    <mergeCell ref="W74:Y74"/>
    <mergeCell ref="Z74:AC74"/>
    <mergeCell ref="AD74:AF74"/>
    <mergeCell ref="AG74:AJ74"/>
    <mergeCell ref="AK74:AO74"/>
    <mergeCell ref="AP74:AT74"/>
    <mergeCell ref="AU74:AY74"/>
    <mergeCell ref="AZ74:BC74"/>
    <mergeCell ref="BD74:BH74"/>
    <mergeCell ref="BI74:BM74"/>
    <mergeCell ref="BN74:BP74"/>
    <mergeCell ref="B75:C75"/>
    <mergeCell ref="D75:Q75"/>
    <mergeCell ref="R75:S75"/>
    <mergeCell ref="T75:V75"/>
    <mergeCell ref="W75:Y75"/>
    <mergeCell ref="Z75:AC75"/>
    <mergeCell ref="AD75:AF75"/>
    <mergeCell ref="AG75:AJ75"/>
    <mergeCell ref="AK75:AO75"/>
    <mergeCell ref="AP75:AT75"/>
    <mergeCell ref="AU75:AY75"/>
    <mergeCell ref="AZ75:BC75"/>
    <mergeCell ref="BD75:BH75"/>
    <mergeCell ref="BI75:BM75"/>
    <mergeCell ref="BN75:BP75"/>
    <mergeCell ref="B72:C72"/>
    <mergeCell ref="D72:Q72"/>
    <mergeCell ref="R72:S72"/>
    <mergeCell ref="T72:V72"/>
    <mergeCell ref="W72:Y72"/>
    <mergeCell ref="Z72:AC72"/>
    <mergeCell ref="AD72:AF72"/>
    <mergeCell ref="AG72:AJ72"/>
    <mergeCell ref="AK72:AO72"/>
    <mergeCell ref="AP72:AT72"/>
    <mergeCell ref="AU72:AY72"/>
    <mergeCell ref="AZ72:BC72"/>
    <mergeCell ref="BD72:BH72"/>
    <mergeCell ref="BI72:BM72"/>
    <mergeCell ref="BN72:BP72"/>
    <mergeCell ref="B73:C73"/>
    <mergeCell ref="D73:Q73"/>
    <mergeCell ref="R73:S73"/>
    <mergeCell ref="T73:V73"/>
    <mergeCell ref="W73:Y73"/>
    <mergeCell ref="Z73:AC73"/>
    <mergeCell ref="AD73:AF73"/>
    <mergeCell ref="AG73:AJ73"/>
    <mergeCell ref="AK73:AO73"/>
    <mergeCell ref="AP73:AT73"/>
    <mergeCell ref="AU73:AY73"/>
    <mergeCell ref="AZ73:BC73"/>
    <mergeCell ref="BD73:BH73"/>
    <mergeCell ref="BI73:BM73"/>
    <mergeCell ref="BN73:BP73"/>
    <mergeCell ref="B70:C70"/>
    <mergeCell ref="D70:Q70"/>
    <mergeCell ref="R70:S70"/>
    <mergeCell ref="T70:V70"/>
    <mergeCell ref="W70:Y70"/>
    <mergeCell ref="Z70:AC70"/>
    <mergeCell ref="AD70:AF70"/>
    <mergeCell ref="AG70:AJ70"/>
    <mergeCell ref="AK70:AO70"/>
    <mergeCell ref="AP70:AT70"/>
    <mergeCell ref="AU70:AY70"/>
    <mergeCell ref="AZ70:BC70"/>
    <mergeCell ref="BD70:BH70"/>
    <mergeCell ref="BI70:BM70"/>
    <mergeCell ref="BN70:BP70"/>
    <mergeCell ref="B71:C71"/>
    <mergeCell ref="D71:Q71"/>
    <mergeCell ref="R71:S71"/>
    <mergeCell ref="T71:V71"/>
    <mergeCell ref="W71:Y71"/>
    <mergeCell ref="Z71:AC71"/>
    <mergeCell ref="AD71:AF71"/>
    <mergeCell ref="AG71:AJ71"/>
    <mergeCell ref="AK71:AO71"/>
    <mergeCell ref="AP71:AT71"/>
    <mergeCell ref="AU71:AY71"/>
    <mergeCell ref="AZ71:BC71"/>
    <mergeCell ref="BD71:BH71"/>
    <mergeCell ref="BI71:BM71"/>
    <mergeCell ref="BN71:BP71"/>
    <mergeCell ref="B68:C68"/>
    <mergeCell ref="D68:Q68"/>
    <mergeCell ref="R68:S68"/>
    <mergeCell ref="T68:V68"/>
    <mergeCell ref="W68:Y68"/>
    <mergeCell ref="Z68:AC68"/>
    <mergeCell ref="AD68:AF68"/>
    <mergeCell ref="AG68:AJ68"/>
    <mergeCell ref="AK68:AO68"/>
    <mergeCell ref="AP68:AT68"/>
    <mergeCell ref="AU68:AY68"/>
    <mergeCell ref="AZ68:BC68"/>
    <mergeCell ref="BD68:BH68"/>
    <mergeCell ref="BI68:BM68"/>
    <mergeCell ref="BN68:BP68"/>
    <mergeCell ref="B69:C69"/>
    <mergeCell ref="D69:Q69"/>
    <mergeCell ref="R69:S69"/>
    <mergeCell ref="T69:V69"/>
    <mergeCell ref="W69:Y69"/>
    <mergeCell ref="Z69:AC69"/>
    <mergeCell ref="AD69:AF69"/>
    <mergeCell ref="AG69:AJ69"/>
    <mergeCell ref="AK69:AO69"/>
    <mergeCell ref="AP69:AT69"/>
    <mergeCell ref="AU69:AY69"/>
    <mergeCell ref="AZ69:BC69"/>
    <mergeCell ref="BD69:BH69"/>
    <mergeCell ref="BI69:BM69"/>
    <mergeCell ref="BN69:BP69"/>
    <mergeCell ref="B66:C66"/>
    <mergeCell ref="D66:Q66"/>
    <mergeCell ref="R66:S66"/>
    <mergeCell ref="T66:V66"/>
    <mergeCell ref="W66:Y66"/>
    <mergeCell ref="Z66:AC66"/>
    <mergeCell ref="AD66:AF66"/>
    <mergeCell ref="AG66:AJ66"/>
    <mergeCell ref="AK66:AO66"/>
    <mergeCell ref="AP66:AT66"/>
    <mergeCell ref="AU66:AY66"/>
    <mergeCell ref="AZ66:BC66"/>
    <mergeCell ref="BD66:BH66"/>
    <mergeCell ref="BI66:BM66"/>
    <mergeCell ref="BN66:BP66"/>
    <mergeCell ref="B67:C67"/>
    <mergeCell ref="D67:Q67"/>
    <mergeCell ref="R67:S67"/>
    <mergeCell ref="T67:V67"/>
    <mergeCell ref="W67:Y67"/>
    <mergeCell ref="Z67:AC67"/>
    <mergeCell ref="AD67:AF67"/>
    <mergeCell ref="AG67:AJ67"/>
    <mergeCell ref="AK67:AO67"/>
    <mergeCell ref="AP67:AT67"/>
    <mergeCell ref="AU67:AY67"/>
    <mergeCell ref="AZ67:BC67"/>
    <mergeCell ref="BD67:BH67"/>
    <mergeCell ref="BI67:BM67"/>
    <mergeCell ref="BN67:BP67"/>
    <mergeCell ref="B64:C64"/>
    <mergeCell ref="D64:Q64"/>
    <mergeCell ref="R64:S64"/>
    <mergeCell ref="T64:V64"/>
    <mergeCell ref="W64:Y64"/>
    <mergeCell ref="Z64:AC64"/>
    <mergeCell ref="AD64:AF64"/>
    <mergeCell ref="AG64:AJ64"/>
    <mergeCell ref="AK64:AO64"/>
    <mergeCell ref="AP64:AT64"/>
    <mergeCell ref="AU64:AY64"/>
    <mergeCell ref="AZ64:BC64"/>
    <mergeCell ref="BD64:BH64"/>
    <mergeCell ref="BI64:BM64"/>
    <mergeCell ref="BN64:BP64"/>
    <mergeCell ref="B65:C65"/>
    <mergeCell ref="D65:Q65"/>
    <mergeCell ref="R65:S65"/>
    <mergeCell ref="T65:V65"/>
    <mergeCell ref="W65:Y65"/>
    <mergeCell ref="Z65:AC65"/>
    <mergeCell ref="AD65:AF65"/>
    <mergeCell ref="AG65:AJ65"/>
    <mergeCell ref="AK65:AO65"/>
    <mergeCell ref="AP65:AT65"/>
    <mergeCell ref="AU65:AY65"/>
    <mergeCell ref="AZ65:BC65"/>
    <mergeCell ref="BD65:BH65"/>
    <mergeCell ref="BI65:BM65"/>
    <mergeCell ref="BN65:BP65"/>
    <mergeCell ref="B62:C62"/>
    <mergeCell ref="D62:Q62"/>
    <mergeCell ref="R62:S62"/>
    <mergeCell ref="T62:V62"/>
    <mergeCell ref="W62:Y62"/>
    <mergeCell ref="Z62:AC62"/>
    <mergeCell ref="AD62:AF62"/>
    <mergeCell ref="AG62:AJ62"/>
    <mergeCell ref="AK62:AO62"/>
    <mergeCell ref="AP62:AT62"/>
    <mergeCell ref="AU62:AY62"/>
    <mergeCell ref="AZ62:BC62"/>
    <mergeCell ref="BD62:BH62"/>
    <mergeCell ref="BI62:BM62"/>
    <mergeCell ref="BN62:BP62"/>
    <mergeCell ref="B63:C63"/>
    <mergeCell ref="D63:Q63"/>
    <mergeCell ref="R63:S63"/>
    <mergeCell ref="T63:V63"/>
    <mergeCell ref="W63:Y63"/>
    <mergeCell ref="Z63:AC63"/>
    <mergeCell ref="AD63:AF63"/>
    <mergeCell ref="AG63:AJ63"/>
    <mergeCell ref="AK63:AO63"/>
    <mergeCell ref="AP63:AT63"/>
    <mergeCell ref="AU63:AY63"/>
    <mergeCell ref="AZ63:BC63"/>
    <mergeCell ref="BD63:BH63"/>
    <mergeCell ref="BI63:BM63"/>
    <mergeCell ref="BN63:BP63"/>
    <mergeCell ref="BN59:BP59"/>
    <mergeCell ref="B60:C60"/>
    <mergeCell ref="D60:Q60"/>
    <mergeCell ref="R60:S60"/>
    <mergeCell ref="T60:V60"/>
    <mergeCell ref="W60:Y60"/>
    <mergeCell ref="Z60:AC60"/>
    <mergeCell ref="AD60:AF60"/>
    <mergeCell ref="AG60:AJ60"/>
    <mergeCell ref="AK60:AO60"/>
    <mergeCell ref="AP60:AT60"/>
    <mergeCell ref="AU60:AY60"/>
    <mergeCell ref="AZ60:BC60"/>
    <mergeCell ref="BD60:BH60"/>
    <mergeCell ref="BI60:BM60"/>
    <mergeCell ref="BN60:BP60"/>
    <mergeCell ref="B61:C61"/>
    <mergeCell ref="D61:Q61"/>
    <mergeCell ref="R61:S61"/>
    <mergeCell ref="T61:V61"/>
    <mergeCell ref="W61:Y61"/>
    <mergeCell ref="Z61:AC61"/>
    <mergeCell ref="AD61:AF61"/>
    <mergeCell ref="AG61:AJ61"/>
    <mergeCell ref="AK61:AO61"/>
    <mergeCell ref="AP61:AT61"/>
    <mergeCell ref="AU61:AY61"/>
    <mergeCell ref="AZ61:BC61"/>
    <mergeCell ref="BD61:BH61"/>
    <mergeCell ref="BI61:BM61"/>
    <mergeCell ref="BN61:BP61"/>
    <mergeCell ref="B58:C58"/>
    <mergeCell ref="D58:Q58"/>
    <mergeCell ref="R58:S58"/>
    <mergeCell ref="T58:V58"/>
    <mergeCell ref="W58:Y58"/>
    <mergeCell ref="Z58:AC58"/>
    <mergeCell ref="AD58:AF58"/>
    <mergeCell ref="AG58:AJ58"/>
    <mergeCell ref="AP58:AT58"/>
    <mergeCell ref="AZ58:BC58"/>
    <mergeCell ref="BD58:BH58"/>
    <mergeCell ref="BI58:BM58"/>
    <mergeCell ref="B59:C59"/>
    <mergeCell ref="D59:Q59"/>
    <mergeCell ref="R59:S59"/>
    <mergeCell ref="T59:V59"/>
    <mergeCell ref="W59:Y59"/>
    <mergeCell ref="Z59:AC59"/>
    <mergeCell ref="AD59:AF59"/>
    <mergeCell ref="AG59:AJ59"/>
    <mergeCell ref="AK59:AO59"/>
    <mergeCell ref="AP59:AT59"/>
    <mergeCell ref="AU59:AY59"/>
    <mergeCell ref="AZ59:BC59"/>
    <mergeCell ref="BD59:BH59"/>
    <mergeCell ref="BI59:BM59"/>
    <mergeCell ref="B56:C56"/>
    <mergeCell ref="D56:Q56"/>
    <mergeCell ref="R56:S56"/>
    <mergeCell ref="T56:V56"/>
    <mergeCell ref="W56:Y56"/>
    <mergeCell ref="Z56:AC56"/>
    <mergeCell ref="AD56:AF56"/>
    <mergeCell ref="AG56:AJ56"/>
    <mergeCell ref="AK56:AO56"/>
    <mergeCell ref="AP56:AT56"/>
    <mergeCell ref="AU56:AY56"/>
    <mergeCell ref="AZ56:BC56"/>
    <mergeCell ref="BD56:BH56"/>
    <mergeCell ref="BI56:BM56"/>
    <mergeCell ref="BN56:BP56"/>
    <mergeCell ref="B57:C57"/>
    <mergeCell ref="D57:Q57"/>
    <mergeCell ref="R57:S57"/>
    <mergeCell ref="T57:V57"/>
    <mergeCell ref="W57:Y57"/>
    <mergeCell ref="Z57:AC57"/>
    <mergeCell ref="AD57:AF57"/>
    <mergeCell ref="AG57:AJ57"/>
    <mergeCell ref="AK57:AO57"/>
    <mergeCell ref="AP57:AT57"/>
    <mergeCell ref="AU57:AY57"/>
    <mergeCell ref="AZ57:BC57"/>
    <mergeCell ref="BD57:BH57"/>
    <mergeCell ref="BI57:BM57"/>
    <mergeCell ref="BN57:BP57"/>
    <mergeCell ref="BN53:BP53"/>
    <mergeCell ref="B54:C54"/>
    <mergeCell ref="D54:Q54"/>
    <mergeCell ref="R54:S54"/>
    <mergeCell ref="T54:V54"/>
    <mergeCell ref="W54:Y54"/>
    <mergeCell ref="Z54:AC54"/>
    <mergeCell ref="AD54:AF54"/>
    <mergeCell ref="AG54:AJ54"/>
    <mergeCell ref="AK54:AO54"/>
    <mergeCell ref="AP54:AT54"/>
    <mergeCell ref="AU54:AY54"/>
    <mergeCell ref="AZ54:BC54"/>
    <mergeCell ref="BD54:BH54"/>
    <mergeCell ref="BI54:BM54"/>
    <mergeCell ref="BN54:BP54"/>
    <mergeCell ref="B55:C55"/>
    <mergeCell ref="D55:Q55"/>
    <mergeCell ref="R55:S55"/>
    <mergeCell ref="T55:V55"/>
    <mergeCell ref="W55:Y55"/>
    <mergeCell ref="Z55:AC55"/>
    <mergeCell ref="AD55:AF55"/>
    <mergeCell ref="AG55:AJ55"/>
    <mergeCell ref="AK55:AO55"/>
    <mergeCell ref="AP55:AT55"/>
    <mergeCell ref="AU55:AY55"/>
    <mergeCell ref="AZ55:BC55"/>
    <mergeCell ref="BD55:BH55"/>
    <mergeCell ref="BI55:BM55"/>
    <mergeCell ref="BN55:BP55"/>
    <mergeCell ref="B52:C52"/>
    <mergeCell ref="D52:Q52"/>
    <mergeCell ref="R52:S52"/>
    <mergeCell ref="T52:V52"/>
    <mergeCell ref="W52:Y52"/>
    <mergeCell ref="Z52:AC52"/>
    <mergeCell ref="AD52:AF52"/>
    <mergeCell ref="AG52:AJ52"/>
    <mergeCell ref="AP52:AT52"/>
    <mergeCell ref="AZ52:BC52"/>
    <mergeCell ref="BD52:BH52"/>
    <mergeCell ref="BI52:BM52"/>
    <mergeCell ref="B53:C53"/>
    <mergeCell ref="D53:Q53"/>
    <mergeCell ref="R53:S53"/>
    <mergeCell ref="T53:V53"/>
    <mergeCell ref="W53:Y53"/>
    <mergeCell ref="Z53:AC53"/>
    <mergeCell ref="AD53:AF53"/>
    <mergeCell ref="AG53:AJ53"/>
    <mergeCell ref="AK53:AO53"/>
    <mergeCell ref="AP53:AT53"/>
    <mergeCell ref="AU53:AY53"/>
    <mergeCell ref="AZ53:BC53"/>
    <mergeCell ref="BD53:BH53"/>
    <mergeCell ref="BI53:BM53"/>
    <mergeCell ref="B50:C50"/>
    <mergeCell ref="D50:Q50"/>
    <mergeCell ref="R50:S50"/>
    <mergeCell ref="T50:V50"/>
    <mergeCell ref="W50:Y50"/>
    <mergeCell ref="Z50:AC50"/>
    <mergeCell ref="AD50:AF50"/>
    <mergeCell ref="AG50:AJ50"/>
    <mergeCell ref="AK50:AO50"/>
    <mergeCell ref="AP50:AT50"/>
    <mergeCell ref="AU50:AY50"/>
    <mergeCell ref="AZ50:BC50"/>
    <mergeCell ref="BD50:BH50"/>
    <mergeCell ref="BI50:BM50"/>
    <mergeCell ref="BN50:BP50"/>
    <mergeCell ref="B51:C51"/>
    <mergeCell ref="D51:Q51"/>
    <mergeCell ref="R51:S51"/>
    <mergeCell ref="T51:V51"/>
    <mergeCell ref="W51:Y51"/>
    <mergeCell ref="Z51:AC51"/>
    <mergeCell ref="AD51:AF51"/>
    <mergeCell ref="AG51:AJ51"/>
    <mergeCell ref="AK51:AO51"/>
    <mergeCell ref="AP51:AT51"/>
    <mergeCell ref="AU51:AY51"/>
    <mergeCell ref="AZ51:BC51"/>
    <mergeCell ref="BD51:BH51"/>
    <mergeCell ref="BI51:BM51"/>
    <mergeCell ref="BN51:BP51"/>
    <mergeCell ref="B48:C48"/>
    <mergeCell ref="D48:Q48"/>
    <mergeCell ref="R48:S48"/>
    <mergeCell ref="T48:V48"/>
    <mergeCell ref="W48:Y48"/>
    <mergeCell ref="Z48:AC48"/>
    <mergeCell ref="AD48:AF48"/>
    <mergeCell ref="AG48:AJ48"/>
    <mergeCell ref="AK48:AO48"/>
    <mergeCell ref="AP48:AT48"/>
    <mergeCell ref="AU48:AY48"/>
    <mergeCell ref="AZ48:BC48"/>
    <mergeCell ref="BD48:BH48"/>
    <mergeCell ref="BI48:BM48"/>
    <mergeCell ref="BN48:BP48"/>
    <mergeCell ref="B49:C49"/>
    <mergeCell ref="D49:Q49"/>
    <mergeCell ref="R49:S49"/>
    <mergeCell ref="T49:V49"/>
    <mergeCell ref="W49:Y49"/>
    <mergeCell ref="Z49:AC49"/>
    <mergeCell ref="AD49:AF49"/>
    <mergeCell ref="AG49:AJ49"/>
    <mergeCell ref="AK49:AO49"/>
    <mergeCell ref="AP49:AT49"/>
    <mergeCell ref="AU49:AY49"/>
    <mergeCell ref="AZ49:BC49"/>
    <mergeCell ref="BD49:BH49"/>
    <mergeCell ref="BI49:BM49"/>
    <mergeCell ref="BN49:BP49"/>
    <mergeCell ref="B46:C46"/>
    <mergeCell ref="D46:Q46"/>
    <mergeCell ref="R46:S46"/>
    <mergeCell ref="T46:V46"/>
    <mergeCell ref="W46:Y46"/>
    <mergeCell ref="Z46:AC46"/>
    <mergeCell ref="AD46:AF46"/>
    <mergeCell ref="AG46:AJ46"/>
    <mergeCell ref="AK46:AO46"/>
    <mergeCell ref="AP46:AT46"/>
    <mergeCell ref="AU46:AY46"/>
    <mergeCell ref="AZ46:BC46"/>
    <mergeCell ref="BD46:BH46"/>
    <mergeCell ref="BI46:BM46"/>
    <mergeCell ref="BN46:BP46"/>
    <mergeCell ref="B47:C47"/>
    <mergeCell ref="D47:Q47"/>
    <mergeCell ref="R47:S47"/>
    <mergeCell ref="T47:V47"/>
    <mergeCell ref="W47:Y47"/>
    <mergeCell ref="Z47:AC47"/>
    <mergeCell ref="AD47:AF47"/>
    <mergeCell ref="AG47:AJ47"/>
    <mergeCell ref="AK47:AO47"/>
    <mergeCell ref="AP47:AT47"/>
    <mergeCell ref="AU47:AY47"/>
    <mergeCell ref="AZ47:BC47"/>
    <mergeCell ref="BD47:BH47"/>
    <mergeCell ref="BI47:BM47"/>
    <mergeCell ref="BN47:BP47"/>
    <mergeCell ref="B44:C44"/>
    <mergeCell ref="D44:Q44"/>
    <mergeCell ref="R44:S44"/>
    <mergeCell ref="T44:V44"/>
    <mergeCell ref="W44:Y44"/>
    <mergeCell ref="Z44:AC44"/>
    <mergeCell ref="AD44:AF44"/>
    <mergeCell ref="AG44:AJ44"/>
    <mergeCell ref="AK44:AO44"/>
    <mergeCell ref="AP44:AT44"/>
    <mergeCell ref="AU44:AY44"/>
    <mergeCell ref="AZ44:BC44"/>
    <mergeCell ref="BD44:BH44"/>
    <mergeCell ref="BI44:BM44"/>
    <mergeCell ref="BN44:BP44"/>
    <mergeCell ref="B45:C45"/>
    <mergeCell ref="D45:Q45"/>
    <mergeCell ref="R45:S45"/>
    <mergeCell ref="T45:V45"/>
    <mergeCell ref="W45:Y45"/>
    <mergeCell ref="Z45:AC45"/>
    <mergeCell ref="AD45:AF45"/>
    <mergeCell ref="AG45:AJ45"/>
    <mergeCell ref="AK45:AO45"/>
    <mergeCell ref="AP45:AT45"/>
    <mergeCell ref="AU45:AY45"/>
    <mergeCell ref="AZ45:BC45"/>
    <mergeCell ref="BD45:BH45"/>
    <mergeCell ref="BI45:BM45"/>
    <mergeCell ref="BN45:BP45"/>
    <mergeCell ref="B42:C42"/>
    <mergeCell ref="D42:Q42"/>
    <mergeCell ref="R42:S42"/>
    <mergeCell ref="T42:V42"/>
    <mergeCell ref="W42:Y42"/>
    <mergeCell ref="Z42:AC42"/>
    <mergeCell ref="AD42:AF42"/>
    <mergeCell ref="AG42:AJ42"/>
    <mergeCell ref="AK42:AO42"/>
    <mergeCell ref="AP42:AT42"/>
    <mergeCell ref="AU42:AY42"/>
    <mergeCell ref="AZ42:BC42"/>
    <mergeCell ref="BD42:BH42"/>
    <mergeCell ref="BI42:BM42"/>
    <mergeCell ref="BN42:BP42"/>
    <mergeCell ref="B43:C43"/>
    <mergeCell ref="D43:Q43"/>
    <mergeCell ref="R43:S43"/>
    <mergeCell ref="T43:V43"/>
    <mergeCell ref="W43:Y43"/>
    <mergeCell ref="Z43:AC43"/>
    <mergeCell ref="AD43:AF43"/>
    <mergeCell ref="AG43:AJ43"/>
    <mergeCell ref="AK43:AO43"/>
    <mergeCell ref="AP43:AT43"/>
    <mergeCell ref="AU43:AY43"/>
    <mergeCell ref="AZ43:BC43"/>
    <mergeCell ref="BD43:BH43"/>
    <mergeCell ref="BI43:BM43"/>
    <mergeCell ref="BN43:BP43"/>
    <mergeCell ref="B40:C40"/>
    <mergeCell ref="D40:Q40"/>
    <mergeCell ref="R40:S40"/>
    <mergeCell ref="T40:V40"/>
    <mergeCell ref="W40:Y40"/>
    <mergeCell ref="Z40:AC40"/>
    <mergeCell ref="AD40:AF40"/>
    <mergeCell ref="AG40:AJ40"/>
    <mergeCell ref="AK40:AO40"/>
    <mergeCell ref="AP40:AT40"/>
    <mergeCell ref="AU40:AY40"/>
    <mergeCell ref="AZ40:BC40"/>
    <mergeCell ref="BD40:BH40"/>
    <mergeCell ref="BI40:BM40"/>
    <mergeCell ref="BN40:BP40"/>
    <mergeCell ref="B41:C41"/>
    <mergeCell ref="D41:Q41"/>
    <mergeCell ref="R41:S41"/>
    <mergeCell ref="T41:V41"/>
    <mergeCell ref="W41:Y41"/>
    <mergeCell ref="Z41:AC41"/>
    <mergeCell ref="AD41:AF41"/>
    <mergeCell ref="AG41:AJ41"/>
    <mergeCell ref="AK41:AO41"/>
    <mergeCell ref="AP41:AT41"/>
    <mergeCell ref="AU41:AY41"/>
    <mergeCell ref="AZ41:BC41"/>
    <mergeCell ref="BD41:BH41"/>
    <mergeCell ref="BI41:BM41"/>
    <mergeCell ref="BN41:BP41"/>
    <mergeCell ref="BN37:BP37"/>
    <mergeCell ref="B38:C38"/>
    <mergeCell ref="D38:Q38"/>
    <mergeCell ref="R38:S38"/>
    <mergeCell ref="T38:V38"/>
    <mergeCell ref="W38:Y38"/>
    <mergeCell ref="Z38:AC38"/>
    <mergeCell ref="AD38:AF38"/>
    <mergeCell ref="AG38:AJ38"/>
    <mergeCell ref="AK38:AO38"/>
    <mergeCell ref="AP38:AT38"/>
    <mergeCell ref="AU38:AY38"/>
    <mergeCell ref="AZ38:BC38"/>
    <mergeCell ref="BD38:BH38"/>
    <mergeCell ref="BI38:BM38"/>
    <mergeCell ref="BN38:BP38"/>
    <mergeCell ref="B39:C39"/>
    <mergeCell ref="D39:Q39"/>
    <mergeCell ref="R39:S39"/>
    <mergeCell ref="T39:V39"/>
    <mergeCell ref="W39:Y39"/>
    <mergeCell ref="Z39:AC39"/>
    <mergeCell ref="AD39:AF39"/>
    <mergeCell ref="AG39:AJ39"/>
    <mergeCell ref="AK39:AO39"/>
    <mergeCell ref="AP39:AT39"/>
    <mergeCell ref="AU39:AY39"/>
    <mergeCell ref="AZ39:BC39"/>
    <mergeCell ref="BD39:BH39"/>
    <mergeCell ref="BI39:BM39"/>
    <mergeCell ref="BN39:BP39"/>
    <mergeCell ref="B36:C36"/>
    <mergeCell ref="D36:Q36"/>
    <mergeCell ref="R36:S36"/>
    <mergeCell ref="T36:V36"/>
    <mergeCell ref="W36:Y36"/>
    <mergeCell ref="Z36:AC36"/>
    <mergeCell ref="AD36:AF36"/>
    <mergeCell ref="AG36:AJ36"/>
    <mergeCell ref="AP36:AT36"/>
    <mergeCell ref="AZ36:BC36"/>
    <mergeCell ref="BD36:BH36"/>
    <mergeCell ref="BI36:BM36"/>
    <mergeCell ref="B37:C37"/>
    <mergeCell ref="D37:Q37"/>
    <mergeCell ref="R37:S37"/>
    <mergeCell ref="T37:V37"/>
    <mergeCell ref="W37:Y37"/>
    <mergeCell ref="Z37:AC37"/>
    <mergeCell ref="AD37:AF37"/>
    <mergeCell ref="AG37:AJ37"/>
    <mergeCell ref="AK37:AO37"/>
    <mergeCell ref="AP37:AT37"/>
    <mergeCell ref="AU37:AY37"/>
    <mergeCell ref="AZ37:BC37"/>
    <mergeCell ref="BD37:BH37"/>
    <mergeCell ref="BI37:BM37"/>
    <mergeCell ref="B34:C34"/>
    <mergeCell ref="D34:Q34"/>
    <mergeCell ref="R34:S34"/>
    <mergeCell ref="T34:V34"/>
    <mergeCell ref="W34:Y34"/>
    <mergeCell ref="Z34:AC34"/>
    <mergeCell ref="AD34:AF34"/>
    <mergeCell ref="AG34:AJ34"/>
    <mergeCell ref="AK34:AO34"/>
    <mergeCell ref="AP34:AT34"/>
    <mergeCell ref="AU34:AY34"/>
    <mergeCell ref="AZ34:BC34"/>
    <mergeCell ref="BD34:BH34"/>
    <mergeCell ref="BI34:BM34"/>
    <mergeCell ref="BN34:BP34"/>
    <mergeCell ref="B35:C35"/>
    <mergeCell ref="D35:Q35"/>
    <mergeCell ref="R35:S35"/>
    <mergeCell ref="T35:V35"/>
    <mergeCell ref="W35:Y35"/>
    <mergeCell ref="Z35:AC35"/>
    <mergeCell ref="AD35:AF35"/>
    <mergeCell ref="AG35:AJ35"/>
    <mergeCell ref="AK35:AO35"/>
    <mergeCell ref="AP35:AT35"/>
    <mergeCell ref="AU35:AY35"/>
    <mergeCell ref="AZ35:BC35"/>
    <mergeCell ref="BD35:BH35"/>
    <mergeCell ref="BI35:BM35"/>
    <mergeCell ref="BN35:BP35"/>
    <mergeCell ref="B32:C32"/>
    <mergeCell ref="D32:Q32"/>
    <mergeCell ref="R32:S32"/>
    <mergeCell ref="T32:V32"/>
    <mergeCell ref="W32:Y32"/>
    <mergeCell ref="Z32:AC32"/>
    <mergeCell ref="AD32:AF32"/>
    <mergeCell ref="AG32:AJ32"/>
    <mergeCell ref="AK32:AO32"/>
    <mergeCell ref="AP32:AT32"/>
    <mergeCell ref="AU32:AY32"/>
    <mergeCell ref="AZ32:BC32"/>
    <mergeCell ref="BD32:BH32"/>
    <mergeCell ref="BI32:BM32"/>
    <mergeCell ref="BN32:BP32"/>
    <mergeCell ref="B33:C33"/>
    <mergeCell ref="D33:Q33"/>
    <mergeCell ref="R33:S33"/>
    <mergeCell ref="T33:V33"/>
    <mergeCell ref="W33:Y33"/>
    <mergeCell ref="Z33:AC33"/>
    <mergeCell ref="AD33:AF33"/>
    <mergeCell ref="AG33:AJ33"/>
    <mergeCell ref="AK33:AO33"/>
    <mergeCell ref="AP33:AT33"/>
    <mergeCell ref="AU33:AY33"/>
    <mergeCell ref="AZ33:BC33"/>
    <mergeCell ref="BD33:BH33"/>
    <mergeCell ref="BI33:BM33"/>
    <mergeCell ref="BN33:BP33"/>
    <mergeCell ref="B30:C30"/>
    <mergeCell ref="D30:Q30"/>
    <mergeCell ref="R30:S30"/>
    <mergeCell ref="T30:V30"/>
    <mergeCell ref="W30:Y30"/>
    <mergeCell ref="Z30:AC30"/>
    <mergeCell ref="AD30:AF30"/>
    <mergeCell ref="AG30:AJ30"/>
    <mergeCell ref="AK30:AO30"/>
    <mergeCell ref="AP30:AT30"/>
    <mergeCell ref="AU30:AY30"/>
    <mergeCell ref="AZ30:BC30"/>
    <mergeCell ref="BD30:BH30"/>
    <mergeCell ref="BI30:BM30"/>
    <mergeCell ref="BN30:BP30"/>
    <mergeCell ref="B31:C31"/>
    <mergeCell ref="D31:Q31"/>
    <mergeCell ref="R31:S31"/>
    <mergeCell ref="T31:V31"/>
    <mergeCell ref="W31:Y31"/>
    <mergeCell ref="Z31:AC31"/>
    <mergeCell ref="AD31:AF31"/>
    <mergeCell ref="AG31:AJ31"/>
    <mergeCell ref="AK31:AO31"/>
    <mergeCell ref="AP31:AT31"/>
    <mergeCell ref="AU31:AY31"/>
    <mergeCell ref="AZ31:BC31"/>
    <mergeCell ref="BD31:BH31"/>
    <mergeCell ref="BI31:BM31"/>
    <mergeCell ref="BN31:BP31"/>
    <mergeCell ref="B28:C28"/>
    <mergeCell ref="D28:Q28"/>
    <mergeCell ref="R28:S28"/>
    <mergeCell ref="T28:V28"/>
    <mergeCell ref="W28:Y28"/>
    <mergeCell ref="Z28:AC28"/>
    <mergeCell ref="AD28:AF28"/>
    <mergeCell ref="AG28:AJ28"/>
    <mergeCell ref="AK28:AO28"/>
    <mergeCell ref="AP28:AT28"/>
    <mergeCell ref="AU28:AY28"/>
    <mergeCell ref="AZ28:BC28"/>
    <mergeCell ref="BD28:BH28"/>
    <mergeCell ref="BI28:BM28"/>
    <mergeCell ref="BN28:BP28"/>
    <mergeCell ref="B29:C29"/>
    <mergeCell ref="D29:Q29"/>
    <mergeCell ref="R29:S29"/>
    <mergeCell ref="T29:V29"/>
    <mergeCell ref="W29:Y29"/>
    <mergeCell ref="Z29:AC29"/>
    <mergeCell ref="AD29:AF29"/>
    <mergeCell ref="AG29:AJ29"/>
    <mergeCell ref="AK29:AO29"/>
    <mergeCell ref="AP29:AT29"/>
    <mergeCell ref="AU29:AY29"/>
    <mergeCell ref="AZ29:BC29"/>
    <mergeCell ref="BD29:BH29"/>
    <mergeCell ref="BI29:BM29"/>
    <mergeCell ref="BN29:BP29"/>
    <mergeCell ref="B26:C26"/>
    <mergeCell ref="D26:Q26"/>
    <mergeCell ref="R26:S26"/>
    <mergeCell ref="T26:V26"/>
    <mergeCell ref="W26:Y26"/>
    <mergeCell ref="Z26:AC26"/>
    <mergeCell ref="AD26:AF26"/>
    <mergeCell ref="AG26:AJ26"/>
    <mergeCell ref="AK26:AO26"/>
    <mergeCell ref="AP26:AT26"/>
    <mergeCell ref="AU26:AY26"/>
    <mergeCell ref="AZ26:BC26"/>
    <mergeCell ref="BD26:BH26"/>
    <mergeCell ref="BI26:BM26"/>
    <mergeCell ref="BN26:BP26"/>
    <mergeCell ref="B27:C27"/>
    <mergeCell ref="D27:Q27"/>
    <mergeCell ref="R27:S27"/>
    <mergeCell ref="T27:V27"/>
    <mergeCell ref="W27:Y27"/>
    <mergeCell ref="Z27:AC27"/>
    <mergeCell ref="AD27:AF27"/>
    <mergeCell ref="AG27:AJ27"/>
    <mergeCell ref="AK27:AO27"/>
    <mergeCell ref="AP27:AT27"/>
    <mergeCell ref="AU27:AY27"/>
    <mergeCell ref="AZ27:BC27"/>
    <mergeCell ref="BD27:BH27"/>
    <mergeCell ref="BI27:BM27"/>
    <mergeCell ref="BN27:BP27"/>
    <mergeCell ref="BI24:BM24"/>
    <mergeCell ref="BN24:BP24"/>
    <mergeCell ref="B25:C25"/>
    <mergeCell ref="D25:Q25"/>
    <mergeCell ref="R25:S25"/>
    <mergeCell ref="T25:V25"/>
    <mergeCell ref="W25:Y25"/>
    <mergeCell ref="Z25:AC25"/>
    <mergeCell ref="AD25:AF25"/>
    <mergeCell ref="AG25:AJ25"/>
    <mergeCell ref="AK25:AO25"/>
    <mergeCell ref="AP25:AT25"/>
    <mergeCell ref="AU25:AY25"/>
    <mergeCell ref="AZ25:BC25"/>
    <mergeCell ref="BD25:BH25"/>
    <mergeCell ref="BI25:BM25"/>
    <mergeCell ref="BN25:BP25"/>
    <mergeCell ref="B19:K19"/>
    <mergeCell ref="L19:P19"/>
    <mergeCell ref="R19:BA19"/>
    <mergeCell ref="BK19:BP19"/>
    <mergeCell ref="B21:Q21"/>
    <mergeCell ref="R21:AC21"/>
    <mergeCell ref="AD21:AJ21"/>
    <mergeCell ref="AK21:AY21"/>
    <mergeCell ref="AZ21:BM21"/>
    <mergeCell ref="BN21:BP21"/>
    <mergeCell ref="R23:S24"/>
    <mergeCell ref="T23:V23"/>
    <mergeCell ref="Z23:AC23"/>
    <mergeCell ref="AD23:AF23"/>
    <mergeCell ref="AG23:AJ23"/>
    <mergeCell ref="AK23:AO23"/>
    <mergeCell ref="AP23:AT23"/>
    <mergeCell ref="AU23:AY23"/>
    <mergeCell ref="AZ23:BC23"/>
    <mergeCell ref="BD23:BH23"/>
    <mergeCell ref="BI23:BM23"/>
    <mergeCell ref="BN23:BP23"/>
    <mergeCell ref="D24:Q24"/>
    <mergeCell ref="T24:V24"/>
    <mergeCell ref="Z24:AC24"/>
    <mergeCell ref="AD24:AF24"/>
    <mergeCell ref="AG24:AJ24"/>
    <mergeCell ref="AK24:AO24"/>
    <mergeCell ref="AP24:AT24"/>
    <mergeCell ref="AU24:AY24"/>
    <mergeCell ref="AZ24:BC24"/>
    <mergeCell ref="BD24:BH24"/>
    <mergeCell ref="B7:Q7"/>
    <mergeCell ref="R7:Y7"/>
    <mergeCell ref="Z7:AF7"/>
    <mergeCell ref="AJ7:AN7"/>
    <mergeCell ref="AR7:AV7"/>
    <mergeCell ref="BB7:BK7"/>
    <mergeCell ref="BL7:BP7"/>
    <mergeCell ref="B11:F11"/>
    <mergeCell ref="J11:N11"/>
    <mergeCell ref="R11:AS11"/>
    <mergeCell ref="AT11:BA11"/>
    <mergeCell ref="BB11:BP11"/>
    <mergeCell ref="AK14:AO14"/>
    <mergeCell ref="B15:K15"/>
    <mergeCell ref="L15:P15"/>
    <mergeCell ref="R15:BA15"/>
    <mergeCell ref="BB15:BP15"/>
  </mergeCells>
  <conditionalFormatting sqref="BE19">
    <cfRule type="expression" dxfId="7" priority="2">
      <formula>$BD$19&lt;&gt;""</formula>
    </cfRule>
  </conditionalFormatting>
  <conditionalFormatting sqref="BH19">
    <cfRule type="expression" dxfId="6" priority="3">
      <formula>$BG$19&lt;&gt;""</formula>
    </cfRule>
  </conditionalFormatting>
  <printOptions horizontalCentered="1"/>
  <pageMargins left="7.8472222222222193E-2" right="7.8472222222222193E-2" top="0.39374999999999999" bottom="0.34027777777777801" header="0.511811023622047" footer="0.118055555555556"/>
  <pageSetup paperSize="9" scale="61" fitToHeight="0" orientation="landscape" horizontalDpi="300" verticalDpi="300" r:id="rId1"/>
  <headerFooter>
    <oddFooter>&amp;L&amp;9 37.587 v003 micro&amp;C &amp;R&amp;9 &amp;P</oddFooter>
  </headerFooter>
  <rowBreaks count="1" manualBreakCount="1">
    <brk id="32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GH63"/>
  <sheetViews>
    <sheetView view="pageBreakPreview" topLeftCell="A52" zoomScale="90" zoomScaleNormal="80" zoomScalePageLayoutView="90" workbookViewId="0">
      <selection activeCell="BX57" sqref="BX57"/>
    </sheetView>
  </sheetViews>
  <sheetFormatPr defaultColWidth="5.6640625" defaultRowHeight="11.4"/>
  <cols>
    <col min="1" max="1" width="2.33203125" style="471" customWidth="1"/>
    <col min="2" max="2" width="3.5546875" style="471" customWidth="1"/>
    <col min="3" max="13" width="4.44140625" style="471" customWidth="1"/>
    <col min="14" max="15" width="2.6640625" style="471" customWidth="1"/>
    <col min="16" max="16" width="6.44140625" style="471" customWidth="1"/>
    <col min="17" max="17" width="4.5546875" style="471" customWidth="1"/>
    <col min="18" max="18" width="3.88671875" style="471" customWidth="1"/>
    <col min="19" max="21" width="2.6640625" style="471" customWidth="1"/>
    <col min="22" max="22" width="6" style="471" customWidth="1"/>
    <col min="23" max="24" width="5.5546875" style="471" customWidth="1"/>
    <col min="25" max="25" width="11.5546875" style="471" hidden="1" customWidth="1"/>
    <col min="26" max="26" width="0.109375" style="471" customWidth="1"/>
    <col min="27" max="31" width="3" style="471" customWidth="1"/>
    <col min="32" max="36" width="3.109375" style="471" customWidth="1"/>
    <col min="37" max="190" width="2.6640625" style="471" customWidth="1"/>
    <col min="191" max="16384" width="5.6640625" style="471"/>
  </cols>
  <sheetData>
    <row r="1" spans="1:190" ht="12" customHeight="1">
      <c r="BK1" s="472" t="s">
        <v>1499</v>
      </c>
      <c r="BL1" s="473"/>
      <c r="BM1" s="473"/>
      <c r="BN1" s="473"/>
      <c r="BO1" s="474"/>
      <c r="BQ1" s="475"/>
      <c r="BR1" s="475"/>
      <c r="BS1" s="475"/>
      <c r="BT1" s="475"/>
      <c r="BU1" s="475"/>
      <c r="BV1" s="475"/>
      <c r="BW1" s="475"/>
      <c r="BX1" s="475"/>
      <c r="BY1" s="475"/>
      <c r="BZ1" s="475"/>
      <c r="CA1" s="475"/>
      <c r="CB1" s="475"/>
      <c r="CC1" s="475"/>
      <c r="CD1" s="475"/>
      <c r="CE1" s="475"/>
      <c r="CF1" s="475"/>
      <c r="CG1" s="475"/>
      <c r="CH1" s="475"/>
      <c r="CI1" s="475"/>
      <c r="CJ1" s="475"/>
      <c r="CK1" s="475"/>
      <c r="CL1" s="475"/>
    </row>
    <row r="2" spans="1:190" ht="3.75" customHeight="1">
      <c r="BK2" s="472"/>
      <c r="BL2" s="473"/>
      <c r="BM2" s="473"/>
      <c r="BN2" s="473"/>
      <c r="BO2" s="474"/>
      <c r="BQ2" s="475"/>
      <c r="BR2" s="475"/>
      <c r="BS2" s="475"/>
      <c r="BT2" s="475"/>
      <c r="BU2" s="475"/>
      <c r="BV2" s="475"/>
      <c r="BW2" s="475"/>
      <c r="BX2" s="475"/>
      <c r="BY2" s="475"/>
      <c r="BZ2" s="475"/>
      <c r="CA2" s="475"/>
      <c r="CB2" s="475"/>
      <c r="CC2" s="475"/>
      <c r="CD2" s="475"/>
      <c r="CE2" s="475"/>
      <c r="CF2" s="475"/>
      <c r="CG2" s="475"/>
      <c r="CH2" s="475"/>
      <c r="CI2" s="475"/>
      <c r="CJ2" s="475"/>
      <c r="CK2" s="475"/>
      <c r="CL2" s="475"/>
    </row>
    <row r="3" spans="1:190" ht="15.6">
      <c r="H3" s="476"/>
      <c r="I3" s="476"/>
      <c r="K3" s="477" t="str">
        <f>IF($X$19&lt;&gt;"","Relatório Resumo de Empreeendimento - OGU",IF($AB$19&lt;&gt;"","Relatório Resumo de Empreendimento - Financiamento","Relatório Resumo de Empreendimento"))</f>
        <v>Relatório Resumo de Empreeendimento - OGU</v>
      </c>
      <c r="Z3" s="471" t="s">
        <v>1570</v>
      </c>
      <c r="AA3" s="478" t="s">
        <v>1571</v>
      </c>
      <c r="AB3" s="478"/>
      <c r="BJ3" s="479"/>
      <c r="BK3" s="480" t="s">
        <v>1501</v>
      </c>
      <c r="BL3" s="481"/>
      <c r="BM3" s="481"/>
      <c r="BN3" s="481"/>
      <c r="BO3" s="482"/>
      <c r="BQ3" s="475"/>
      <c r="BR3" s="475"/>
      <c r="BS3" s="475"/>
      <c r="BT3" s="475"/>
      <c r="BU3" s="475"/>
      <c r="BV3" s="475"/>
      <c r="BW3" s="475"/>
      <c r="BX3" s="475"/>
      <c r="BY3" s="475"/>
      <c r="BZ3" s="475"/>
      <c r="CA3" s="475"/>
      <c r="CB3" s="475"/>
      <c r="CC3" s="475"/>
      <c r="CD3" s="475"/>
      <c r="CE3" s="475"/>
      <c r="CF3" s="475"/>
      <c r="CG3" s="475"/>
      <c r="CH3" s="475"/>
      <c r="CI3" s="475"/>
      <c r="CJ3" s="475"/>
      <c r="CK3" s="475"/>
      <c r="CL3" s="475"/>
    </row>
    <row r="4" spans="1:190" s="483" customFormat="1" ht="13.2">
      <c r="F4" s="484"/>
      <c r="H4" s="485"/>
      <c r="I4" s="485"/>
      <c r="J4" s="485"/>
      <c r="K4" s="485"/>
      <c r="BJ4" s="473"/>
      <c r="BK4" s="473"/>
      <c r="BL4" s="473"/>
      <c r="BM4" s="473"/>
      <c r="BN4" s="473"/>
      <c r="BQ4" s="475"/>
      <c r="BR4" s="475"/>
      <c r="BS4" s="475"/>
      <c r="BT4" s="475"/>
      <c r="BU4" s="475"/>
      <c r="BV4" s="475"/>
      <c r="BW4" s="475"/>
      <c r="BX4" s="475"/>
      <c r="BY4" s="475"/>
      <c r="BZ4" s="475"/>
      <c r="CA4" s="475"/>
      <c r="CB4" s="475"/>
      <c r="CC4" s="475"/>
      <c r="CD4" s="475"/>
      <c r="CE4" s="475"/>
      <c r="CF4" s="475"/>
      <c r="CG4" s="475"/>
      <c r="CH4" s="475"/>
      <c r="CI4" s="475"/>
      <c r="CJ4" s="475"/>
      <c r="CK4" s="475"/>
      <c r="CL4" s="475"/>
    </row>
    <row r="5" spans="1:190" ht="12" customHeight="1">
      <c r="A5" s="1359" t="s">
        <v>1572</v>
      </c>
      <c r="B5" s="1359"/>
      <c r="C5" s="1359"/>
      <c r="G5" s="479"/>
      <c r="I5" s="487" t="s">
        <v>1573</v>
      </c>
      <c r="N5" s="479"/>
      <c r="P5" s="487" t="s">
        <v>1574</v>
      </c>
      <c r="V5" s="479"/>
      <c r="X5" s="472" t="s">
        <v>1506</v>
      </c>
      <c r="Y5" s="473"/>
      <c r="Z5" s="473"/>
      <c r="AA5" s="473"/>
      <c r="AB5" s="473"/>
      <c r="AC5" s="473"/>
      <c r="AD5" s="473"/>
      <c r="AE5" s="473"/>
      <c r="AF5" s="473"/>
      <c r="AG5" s="472" t="s">
        <v>1507</v>
      </c>
      <c r="AH5" s="474"/>
      <c r="AI5" s="473"/>
      <c r="AJ5" s="473"/>
      <c r="AK5" s="474"/>
      <c r="AM5" s="487" t="s">
        <v>1575</v>
      </c>
      <c r="AR5" s="479"/>
      <c r="AT5" s="487" t="s">
        <v>1576</v>
      </c>
      <c r="AX5" s="488"/>
      <c r="AY5" s="488"/>
      <c r="AZ5" s="488"/>
      <c r="BM5" s="488"/>
      <c r="BN5" s="488"/>
      <c r="BO5" s="479"/>
      <c r="BQ5" s="475"/>
      <c r="BR5" s="475"/>
      <c r="BS5" s="475"/>
      <c r="BT5" s="475"/>
      <c r="BU5" s="475"/>
      <c r="BV5" s="475"/>
      <c r="BW5" s="475"/>
      <c r="BX5" s="475"/>
      <c r="BY5" s="475"/>
      <c r="BZ5" s="475"/>
      <c r="CA5" s="475"/>
      <c r="CB5" s="475"/>
      <c r="CC5" s="475"/>
      <c r="CD5" s="475"/>
      <c r="CE5" s="475"/>
      <c r="CF5" s="475"/>
      <c r="CG5" s="475"/>
      <c r="CH5" s="475"/>
      <c r="CI5" s="475"/>
      <c r="CJ5" s="475"/>
      <c r="CK5" s="475"/>
      <c r="CL5" s="475"/>
    </row>
    <row r="6" spans="1:190" ht="3.75" customHeight="1">
      <c r="A6" s="486"/>
      <c r="B6" s="489"/>
      <c r="C6" s="489"/>
      <c r="G6" s="479"/>
      <c r="I6" s="487"/>
      <c r="N6" s="479"/>
      <c r="P6" s="487"/>
      <c r="V6" s="479"/>
      <c r="X6" s="472"/>
      <c r="Y6" s="473"/>
      <c r="Z6" s="473"/>
      <c r="AA6" s="473"/>
      <c r="AB6" s="473"/>
      <c r="AC6" s="473"/>
      <c r="AD6" s="473"/>
      <c r="AE6" s="473"/>
      <c r="AF6" s="473"/>
      <c r="AG6" s="472"/>
      <c r="AH6" s="473"/>
      <c r="AI6" s="473"/>
      <c r="AJ6" s="473"/>
      <c r="AK6" s="474"/>
      <c r="AM6" s="487"/>
      <c r="AR6" s="479"/>
      <c r="AT6" s="487"/>
      <c r="AX6" s="488"/>
      <c r="AY6" s="488"/>
      <c r="AZ6" s="488"/>
      <c r="BM6" s="488"/>
      <c r="BN6" s="488"/>
      <c r="BO6" s="479"/>
      <c r="BQ6" s="475"/>
      <c r="BR6" s="475"/>
      <c r="BS6" s="475"/>
      <c r="BT6" s="475"/>
      <c r="BU6" s="475"/>
      <c r="BV6" s="475"/>
      <c r="BW6" s="475"/>
      <c r="BX6" s="475"/>
      <c r="BY6" s="475"/>
      <c r="BZ6" s="475"/>
      <c r="CA6" s="475"/>
      <c r="CB6" s="475"/>
      <c r="CC6" s="475"/>
      <c r="CD6" s="475"/>
      <c r="CE6" s="475"/>
      <c r="CF6" s="475"/>
      <c r="CG6" s="475"/>
      <c r="CH6" s="475"/>
      <c r="CI6" s="475"/>
      <c r="CJ6" s="475"/>
      <c r="CK6" s="475"/>
      <c r="CL6" s="475"/>
    </row>
    <row r="7" spans="1:190" ht="12" customHeight="1">
      <c r="A7" s="490"/>
      <c r="B7" s="491"/>
      <c r="C7" s="492" t="s">
        <v>1577</v>
      </c>
      <c r="D7" s="1360"/>
      <c r="E7" s="1360"/>
      <c r="F7" s="1360"/>
      <c r="G7" s="1360"/>
      <c r="I7" s="1361"/>
      <c r="J7" s="1361"/>
      <c r="K7" s="1361"/>
      <c r="L7" s="1361"/>
      <c r="M7" s="1361"/>
      <c r="N7" s="1361"/>
      <c r="P7" s="1362"/>
      <c r="Q7" s="1362"/>
      <c r="R7" s="1362"/>
      <c r="S7" s="1362"/>
      <c r="T7" s="1362"/>
      <c r="U7" s="1362"/>
      <c r="V7" s="1362"/>
      <c r="X7" s="1363"/>
      <c r="Y7" s="1363"/>
      <c r="Z7" s="1363"/>
      <c r="AA7" s="1363"/>
      <c r="AB7" s="1363"/>
      <c r="AC7" s="1363"/>
      <c r="AD7" s="1363"/>
      <c r="AE7" s="1363"/>
      <c r="AF7" s="1363"/>
      <c r="AG7" s="1364"/>
      <c r="AH7" s="1364"/>
      <c r="AI7" s="1364"/>
      <c r="AJ7" s="1364"/>
      <c r="AK7" s="1364"/>
      <c r="AM7" s="487" t="s">
        <v>1578</v>
      </c>
      <c r="AR7" s="479"/>
      <c r="AT7" s="1365"/>
      <c r="AU7" s="1365"/>
      <c r="AV7" s="1365"/>
      <c r="AW7" s="1365"/>
      <c r="AX7" s="1365"/>
      <c r="AY7" s="1365"/>
      <c r="AZ7" s="1365"/>
      <c r="BA7" s="1365"/>
      <c r="BB7" s="1365"/>
      <c r="BC7" s="1365"/>
      <c r="BD7" s="1365"/>
      <c r="BE7" s="1365"/>
      <c r="BF7" s="1365"/>
      <c r="BG7" s="1365"/>
      <c r="BH7" s="1365"/>
      <c r="BI7" s="1365"/>
      <c r="BJ7" s="1365"/>
      <c r="BK7" s="1365"/>
      <c r="BL7" s="1365"/>
      <c r="BM7" s="1365"/>
      <c r="BN7" s="1365"/>
      <c r="BO7" s="1365"/>
      <c r="BQ7" s="475"/>
      <c r="BR7" s="475"/>
      <c r="BS7" s="475"/>
      <c r="BT7" s="475"/>
      <c r="BU7" s="475"/>
      <c r="BV7" s="475"/>
      <c r="BW7" s="475"/>
      <c r="BX7" s="475"/>
      <c r="BY7" s="475"/>
      <c r="BZ7" s="475"/>
      <c r="CA7" s="475"/>
      <c r="CB7" s="475"/>
      <c r="CC7" s="475"/>
      <c r="CD7" s="475"/>
      <c r="CE7" s="475"/>
      <c r="CF7" s="475"/>
      <c r="CG7" s="475"/>
      <c r="CH7" s="475"/>
      <c r="CI7" s="475"/>
      <c r="CJ7" s="475"/>
      <c r="CK7" s="475"/>
      <c r="CL7" s="475"/>
    </row>
    <row r="8" spans="1:190" ht="3.75" customHeight="1">
      <c r="A8" s="493"/>
      <c r="B8" s="493"/>
      <c r="C8" s="493"/>
      <c r="D8" s="493"/>
      <c r="E8" s="493"/>
      <c r="F8" s="493"/>
      <c r="G8" s="493"/>
      <c r="H8" s="493"/>
      <c r="I8" s="493"/>
      <c r="J8" s="493"/>
      <c r="K8" s="493"/>
      <c r="L8" s="493"/>
      <c r="M8" s="493"/>
      <c r="N8" s="493"/>
      <c r="O8" s="493"/>
      <c r="P8" s="493"/>
      <c r="Q8" s="493"/>
      <c r="R8" s="493"/>
      <c r="S8" s="493"/>
      <c r="T8" s="493"/>
      <c r="U8" s="493"/>
      <c r="V8" s="493"/>
      <c r="W8" s="493"/>
      <c r="X8" s="473"/>
      <c r="Y8" s="473"/>
      <c r="Z8" s="473"/>
      <c r="AA8" s="473"/>
      <c r="AB8" s="473"/>
      <c r="AC8" s="473"/>
      <c r="AD8" s="473"/>
      <c r="AE8" s="473"/>
      <c r="AF8" s="473"/>
      <c r="AG8" s="473"/>
      <c r="AH8" s="473"/>
      <c r="AI8" s="473"/>
      <c r="AJ8" s="473"/>
      <c r="AK8" s="473"/>
      <c r="AL8" s="493"/>
      <c r="AM8" s="494"/>
      <c r="AN8" s="494"/>
      <c r="AO8" s="495"/>
      <c r="AP8" s="494"/>
      <c r="AQ8" s="494"/>
      <c r="AR8" s="494"/>
      <c r="AS8" s="493"/>
      <c r="AT8" s="493"/>
      <c r="AU8" s="493"/>
      <c r="AV8" s="493"/>
      <c r="AW8" s="493"/>
      <c r="AX8" s="493"/>
      <c r="AY8" s="493"/>
      <c r="AZ8" s="493"/>
      <c r="BA8" s="493"/>
      <c r="BB8" s="493"/>
      <c r="BC8" s="493"/>
      <c r="BD8" s="493"/>
      <c r="BE8" s="493"/>
      <c r="BF8" s="493"/>
      <c r="BG8" s="493"/>
      <c r="BH8" s="493"/>
      <c r="BI8" s="493"/>
      <c r="BJ8" s="493"/>
      <c r="BK8" s="493"/>
      <c r="BL8" s="496"/>
      <c r="BM8" s="496"/>
      <c r="BN8" s="496"/>
      <c r="BO8" s="496"/>
      <c r="BP8" s="493"/>
      <c r="BQ8" s="475"/>
      <c r="BR8" s="475"/>
      <c r="BS8" s="475"/>
      <c r="BT8" s="475"/>
      <c r="BU8" s="475"/>
      <c r="BV8" s="475"/>
      <c r="BW8" s="475"/>
      <c r="BX8" s="475"/>
      <c r="BY8" s="475"/>
      <c r="BZ8" s="475"/>
      <c r="CA8" s="475"/>
      <c r="CB8" s="475"/>
      <c r="CC8" s="475"/>
      <c r="CD8" s="475"/>
      <c r="CE8" s="475"/>
      <c r="CF8" s="475"/>
      <c r="CG8" s="475"/>
      <c r="CH8" s="475"/>
      <c r="CI8" s="475"/>
      <c r="CJ8" s="475"/>
      <c r="CK8" s="475"/>
      <c r="CL8" s="475"/>
      <c r="CM8" s="493"/>
      <c r="CN8" s="493"/>
      <c r="CO8" s="493"/>
      <c r="CP8" s="493"/>
      <c r="CQ8" s="493"/>
      <c r="CR8" s="493"/>
      <c r="CS8" s="493"/>
      <c r="CT8" s="493"/>
      <c r="CU8" s="493"/>
      <c r="CV8" s="493"/>
      <c r="CW8" s="493"/>
      <c r="CX8" s="493"/>
      <c r="CY8" s="493"/>
      <c r="CZ8" s="493"/>
      <c r="DA8" s="493"/>
      <c r="DB8" s="493"/>
      <c r="DC8" s="493"/>
      <c r="DD8" s="493"/>
      <c r="DE8" s="493"/>
      <c r="DF8" s="493"/>
      <c r="DG8" s="493"/>
      <c r="DH8" s="493"/>
      <c r="DI8" s="493"/>
      <c r="DJ8" s="493"/>
      <c r="DK8" s="493"/>
      <c r="DL8" s="493"/>
      <c r="DM8" s="493"/>
      <c r="DN8" s="493"/>
      <c r="DO8" s="493"/>
      <c r="DP8" s="493"/>
      <c r="DQ8" s="493"/>
      <c r="DR8" s="493"/>
      <c r="DS8" s="493"/>
      <c r="DT8" s="493"/>
      <c r="DU8" s="493"/>
      <c r="DV8" s="493"/>
      <c r="DW8" s="493"/>
      <c r="DX8" s="493"/>
      <c r="DY8" s="493"/>
      <c r="DZ8" s="493"/>
      <c r="EA8" s="493"/>
      <c r="EB8" s="493"/>
      <c r="EC8" s="493"/>
      <c r="ED8" s="493"/>
      <c r="EE8" s="493"/>
      <c r="EF8" s="493"/>
      <c r="EG8" s="493"/>
      <c r="EH8" s="493"/>
      <c r="EI8" s="493"/>
      <c r="EJ8" s="493"/>
      <c r="EK8" s="493"/>
      <c r="EL8" s="493"/>
      <c r="EM8" s="493"/>
      <c r="EN8" s="493"/>
      <c r="EO8" s="493"/>
      <c r="EP8" s="493"/>
      <c r="EQ8" s="493"/>
      <c r="ER8" s="493"/>
      <c r="ES8" s="493"/>
      <c r="ET8" s="493"/>
      <c r="EU8" s="493"/>
      <c r="EV8" s="493"/>
      <c r="EW8" s="493"/>
      <c r="EX8" s="493"/>
      <c r="EY8" s="493"/>
      <c r="EZ8" s="493"/>
      <c r="FA8" s="493"/>
      <c r="FB8" s="493"/>
      <c r="FC8" s="493"/>
      <c r="FD8" s="493"/>
      <c r="FE8" s="493"/>
      <c r="FF8" s="493"/>
      <c r="FG8" s="493"/>
      <c r="FH8" s="493"/>
      <c r="FI8" s="493"/>
      <c r="FJ8" s="493"/>
      <c r="FK8" s="493"/>
      <c r="FL8" s="493"/>
      <c r="FM8" s="493"/>
      <c r="FN8" s="493"/>
      <c r="FO8" s="493"/>
      <c r="FP8" s="493"/>
      <c r="FQ8" s="493"/>
      <c r="FR8" s="493"/>
      <c r="FS8" s="493"/>
      <c r="FT8" s="493"/>
      <c r="FU8" s="493"/>
      <c r="FV8" s="493"/>
      <c r="FW8" s="493"/>
      <c r="FX8" s="493"/>
      <c r="FY8" s="493"/>
      <c r="FZ8" s="493"/>
      <c r="GA8" s="493"/>
      <c r="GB8" s="493"/>
      <c r="GC8" s="493"/>
      <c r="GD8" s="493"/>
      <c r="GE8" s="493"/>
      <c r="GF8" s="493"/>
      <c r="GG8" s="493"/>
      <c r="GH8" s="493"/>
    </row>
    <row r="9" spans="1:190" s="493" customFormat="1" ht="12" customHeight="1">
      <c r="A9" s="472" t="s">
        <v>1579</v>
      </c>
      <c r="B9" s="473"/>
      <c r="C9" s="473"/>
      <c r="D9" s="473"/>
      <c r="E9" s="473"/>
      <c r="F9" s="473"/>
      <c r="G9" s="471"/>
      <c r="H9" s="472" t="s">
        <v>1580</v>
      </c>
      <c r="I9" s="473"/>
      <c r="J9" s="472" t="s">
        <v>1581</v>
      </c>
      <c r="K9" s="473"/>
      <c r="L9" s="472" t="s">
        <v>1582</v>
      </c>
      <c r="M9" s="473"/>
      <c r="N9" s="473"/>
      <c r="O9" s="473"/>
      <c r="P9" s="473"/>
      <c r="Q9" s="473"/>
      <c r="R9" s="479"/>
      <c r="S9" s="472" t="s">
        <v>1580</v>
      </c>
      <c r="T9" s="473"/>
      <c r="U9" s="472" t="s">
        <v>1581</v>
      </c>
      <c r="V9" s="474"/>
      <c r="W9" s="471"/>
      <c r="X9" s="362" t="str">
        <f>IF($X$19&lt;&gt;"","Tomador",IF($AB$19&lt;&gt;"","Tomador /Ag. Promotor","Tomador/Ag.Promotor ou Tomador "))</f>
        <v>Tomador</v>
      </c>
      <c r="Y9" s="355"/>
      <c r="Z9" s="473"/>
      <c r="AA9" s="473"/>
      <c r="AB9" s="473"/>
      <c r="AC9" s="473"/>
      <c r="AD9" s="473"/>
      <c r="AE9" s="473"/>
      <c r="AF9" s="473"/>
      <c r="AG9" s="473"/>
      <c r="AH9" s="473"/>
      <c r="AI9" s="473"/>
      <c r="AJ9" s="473"/>
      <c r="AK9" s="474"/>
      <c r="AL9" s="471"/>
      <c r="AM9" s="497" t="s">
        <v>1583</v>
      </c>
      <c r="AN9" s="471"/>
      <c r="AO9" s="471"/>
      <c r="AP9" s="471"/>
      <c r="AQ9" s="471"/>
      <c r="AR9" s="479"/>
      <c r="AS9" s="471"/>
      <c r="AT9" s="487" t="s">
        <v>1584</v>
      </c>
      <c r="AU9" s="471"/>
      <c r="AV9" s="471"/>
      <c r="AW9" s="471"/>
      <c r="AX9" s="488"/>
      <c r="AY9" s="488"/>
      <c r="AZ9" s="488"/>
      <c r="BA9" s="471"/>
      <c r="BB9" s="471"/>
      <c r="BC9" s="471"/>
      <c r="BD9" s="471"/>
      <c r="BE9" s="471"/>
      <c r="BF9" s="471"/>
      <c r="BG9" s="471"/>
      <c r="BH9" s="471"/>
      <c r="BI9" s="471"/>
      <c r="BJ9" s="471"/>
      <c r="BK9" s="471"/>
      <c r="BL9" s="471"/>
      <c r="BM9" s="488"/>
      <c r="BN9" s="488"/>
      <c r="BO9" s="479"/>
      <c r="BP9" s="471"/>
      <c r="BQ9" s="475"/>
      <c r="BR9" s="475"/>
      <c r="BS9" s="475"/>
      <c r="BT9" s="475"/>
      <c r="BU9" s="475"/>
      <c r="BV9" s="475"/>
      <c r="BW9" s="475"/>
      <c r="BX9" s="475"/>
      <c r="BY9" s="475"/>
      <c r="BZ9" s="475"/>
      <c r="CA9" s="475"/>
      <c r="CB9" s="475"/>
      <c r="CC9" s="475"/>
      <c r="CD9" s="475"/>
      <c r="CE9" s="475"/>
      <c r="CF9" s="475"/>
      <c r="CG9" s="475"/>
      <c r="CH9" s="475"/>
      <c r="CI9" s="475"/>
      <c r="CJ9" s="475"/>
      <c r="CK9" s="475"/>
      <c r="CL9" s="475"/>
      <c r="CM9" s="471"/>
      <c r="CN9" s="471"/>
      <c r="CO9" s="471"/>
      <c r="CP9" s="471"/>
      <c r="CQ9" s="471"/>
      <c r="CR9" s="471"/>
      <c r="CS9" s="471"/>
      <c r="CT9" s="471"/>
      <c r="CU9" s="471"/>
      <c r="CV9" s="471"/>
      <c r="CW9" s="471"/>
      <c r="CX9" s="471"/>
      <c r="CY9" s="471"/>
      <c r="CZ9" s="471"/>
      <c r="DA9" s="471"/>
      <c r="DB9" s="471"/>
      <c r="DC9" s="471"/>
      <c r="DD9" s="471"/>
      <c r="DE9" s="471"/>
      <c r="DF9" s="471"/>
      <c r="DG9" s="471"/>
      <c r="DH9" s="471"/>
      <c r="DI9" s="471"/>
      <c r="DJ9" s="471"/>
      <c r="DK9" s="471"/>
      <c r="DL9" s="471"/>
      <c r="DM9" s="471"/>
      <c r="DN9" s="471"/>
      <c r="DO9" s="471"/>
      <c r="DP9" s="471"/>
      <c r="DQ9" s="471"/>
      <c r="DR9" s="471"/>
      <c r="DS9" s="471"/>
      <c r="DT9" s="471"/>
      <c r="DU9" s="471"/>
      <c r="DV9" s="471"/>
      <c r="DW9" s="471"/>
      <c r="DX9" s="471"/>
      <c r="DY9" s="471"/>
      <c r="DZ9" s="471"/>
      <c r="EA9" s="471"/>
      <c r="EB9" s="471"/>
      <c r="EC9" s="471"/>
      <c r="ED9" s="471"/>
      <c r="EE9" s="471"/>
      <c r="EF9" s="471"/>
      <c r="EG9" s="471"/>
      <c r="EH9" s="471"/>
      <c r="EI9" s="471"/>
      <c r="EJ9" s="471"/>
      <c r="EK9" s="471"/>
      <c r="EL9" s="471"/>
      <c r="EM9" s="471"/>
      <c r="EN9" s="471"/>
      <c r="EO9" s="471"/>
      <c r="EP9" s="471"/>
      <c r="EQ9" s="471"/>
      <c r="ER9" s="471"/>
      <c r="ES9" s="471"/>
      <c r="ET9" s="471"/>
      <c r="EU9" s="471"/>
      <c r="EV9" s="471"/>
      <c r="EW9" s="471"/>
      <c r="EX9" s="471"/>
      <c r="EY9" s="471"/>
      <c r="EZ9" s="471"/>
      <c r="FA9" s="471"/>
      <c r="FB9" s="471"/>
      <c r="FC9" s="471"/>
      <c r="FD9" s="471"/>
      <c r="FE9" s="471"/>
      <c r="FF9" s="471"/>
      <c r="FG9" s="471"/>
      <c r="FH9" s="471"/>
      <c r="FI9" s="471"/>
      <c r="FJ9" s="471"/>
      <c r="FK9" s="471"/>
      <c r="FL9" s="471"/>
      <c r="FM9" s="471"/>
      <c r="FN9" s="471"/>
      <c r="FO9" s="471"/>
      <c r="FP9" s="471"/>
      <c r="FQ9" s="471"/>
      <c r="FR9" s="471"/>
      <c r="FS9" s="471"/>
      <c r="FT9" s="471"/>
      <c r="FU9" s="471"/>
      <c r="FV9" s="471"/>
      <c r="FW9" s="471"/>
      <c r="FX9" s="471"/>
      <c r="FY9" s="471"/>
      <c r="FZ9" s="471"/>
      <c r="GA9" s="471"/>
      <c r="GB9" s="471"/>
      <c r="GC9" s="471"/>
      <c r="GD9" s="471"/>
      <c r="GE9" s="471"/>
      <c r="GF9" s="471"/>
      <c r="GG9" s="471"/>
      <c r="GH9" s="471"/>
    </row>
    <row r="10" spans="1:190" ht="3.75" customHeight="1">
      <c r="A10" s="472"/>
      <c r="B10" s="473"/>
      <c r="C10" s="473"/>
      <c r="D10" s="473"/>
      <c r="E10" s="473"/>
      <c r="F10" s="473"/>
      <c r="H10" s="472"/>
      <c r="I10" s="473"/>
      <c r="J10" s="472"/>
      <c r="K10" s="473"/>
      <c r="L10" s="472"/>
      <c r="M10" s="473"/>
      <c r="N10" s="473"/>
      <c r="O10" s="473"/>
      <c r="P10" s="473"/>
      <c r="Q10" s="473"/>
      <c r="R10" s="479"/>
      <c r="S10" s="472"/>
      <c r="T10" s="473"/>
      <c r="U10" s="472"/>
      <c r="V10" s="474"/>
      <c r="X10" s="362"/>
      <c r="Y10" s="355"/>
      <c r="Z10" s="473"/>
      <c r="AA10" s="473"/>
      <c r="AB10" s="473"/>
      <c r="AC10" s="473"/>
      <c r="AD10" s="473"/>
      <c r="AE10" s="473"/>
      <c r="AF10" s="473"/>
      <c r="AG10" s="473"/>
      <c r="AH10" s="473"/>
      <c r="AI10" s="473"/>
      <c r="AJ10" s="473"/>
      <c r="AK10" s="474"/>
      <c r="AM10" s="497"/>
      <c r="AR10" s="479"/>
      <c r="AT10" s="487"/>
      <c r="AX10" s="488"/>
      <c r="AY10" s="488"/>
      <c r="AZ10" s="488"/>
      <c r="BM10" s="488"/>
      <c r="BN10" s="488"/>
      <c r="BO10" s="479"/>
      <c r="BQ10" s="475"/>
      <c r="BR10" s="475"/>
      <c r="BS10" s="475"/>
      <c r="BT10" s="475"/>
      <c r="BU10" s="475"/>
      <c r="BV10" s="475"/>
      <c r="BW10" s="475"/>
      <c r="BX10" s="475"/>
      <c r="BY10" s="475"/>
      <c r="BZ10" s="475"/>
      <c r="CA10" s="475"/>
      <c r="CB10" s="475"/>
      <c r="CC10" s="475"/>
      <c r="CD10" s="475"/>
      <c r="CE10" s="475"/>
      <c r="CF10" s="475"/>
      <c r="CG10" s="475"/>
      <c r="CH10" s="475"/>
      <c r="CI10" s="475"/>
      <c r="CJ10" s="475"/>
      <c r="CK10" s="475"/>
      <c r="CL10" s="475"/>
    </row>
    <row r="11" spans="1:190" ht="12" customHeight="1">
      <c r="A11" s="1366"/>
      <c r="B11" s="1366"/>
      <c r="C11" s="1366"/>
      <c r="D11" s="1366"/>
      <c r="E11" s="1366"/>
      <c r="F11" s="1366"/>
      <c r="G11" s="1366"/>
      <c r="H11" s="1367"/>
      <c r="I11" s="1367"/>
      <c r="J11" s="1367"/>
      <c r="K11" s="1367"/>
      <c r="L11" s="1368"/>
      <c r="M11" s="1368"/>
      <c r="N11" s="1368"/>
      <c r="O11" s="1368"/>
      <c r="P11" s="1368"/>
      <c r="Q11" s="1368"/>
      <c r="R11" s="1368"/>
      <c r="S11" s="1367"/>
      <c r="T11" s="1367"/>
      <c r="U11" s="1369"/>
      <c r="V11" s="1369"/>
      <c r="X11" s="1370"/>
      <c r="Y11" s="1370"/>
      <c r="Z11" s="1370"/>
      <c r="AA11" s="1370"/>
      <c r="AB11" s="1370"/>
      <c r="AC11" s="1370"/>
      <c r="AD11" s="1370"/>
      <c r="AE11" s="1370"/>
      <c r="AF11" s="1370"/>
      <c r="AG11" s="1370"/>
      <c r="AH11" s="1370"/>
      <c r="AI11" s="1370"/>
      <c r="AJ11" s="1370"/>
      <c r="AK11" s="1370"/>
      <c r="AM11" s="1371">
        <f>AM15+AM19</f>
        <v>0</v>
      </c>
      <c r="AN11" s="1371"/>
      <c r="AO11" s="1371"/>
      <c r="AP11" s="1371"/>
      <c r="AQ11" s="1371"/>
      <c r="AR11" s="1371"/>
      <c r="AT11" s="1365"/>
      <c r="AU11" s="1365"/>
      <c r="AV11" s="1365"/>
      <c r="AW11" s="1365"/>
      <c r="AX11" s="1365"/>
      <c r="AY11" s="1365"/>
      <c r="AZ11" s="1365"/>
      <c r="BA11" s="1365"/>
      <c r="BB11" s="1365"/>
      <c r="BC11" s="1365"/>
      <c r="BD11" s="1365"/>
      <c r="BE11" s="1365"/>
      <c r="BF11" s="1365"/>
      <c r="BG11" s="1365"/>
      <c r="BH11" s="1365"/>
      <c r="BI11" s="1365"/>
      <c r="BJ11" s="1365"/>
      <c r="BK11" s="1365"/>
      <c r="BL11" s="1365"/>
      <c r="BM11" s="1365"/>
      <c r="BN11" s="1365"/>
      <c r="BO11" s="1365"/>
      <c r="BQ11" s="475"/>
      <c r="BR11" s="475"/>
      <c r="BS11" s="475"/>
      <c r="BT11" s="475"/>
      <c r="BU11" s="475"/>
      <c r="BV11" s="475"/>
      <c r="BW11" s="475"/>
      <c r="BX11" s="475"/>
      <c r="BY11" s="475"/>
      <c r="BZ11" s="475"/>
      <c r="CA11" s="475"/>
      <c r="CB11" s="475"/>
      <c r="CC11" s="475"/>
      <c r="CD11" s="475"/>
      <c r="CE11" s="475"/>
      <c r="CF11" s="475"/>
      <c r="CG11" s="475"/>
      <c r="CH11" s="475"/>
      <c r="CI11" s="475"/>
      <c r="CJ11" s="475"/>
      <c r="CK11" s="475"/>
      <c r="CL11" s="475"/>
    </row>
    <row r="12" spans="1:190" ht="3.75" customHeight="1">
      <c r="A12" s="472"/>
      <c r="B12" s="473"/>
      <c r="C12" s="473"/>
      <c r="D12" s="473"/>
      <c r="E12" s="473"/>
      <c r="F12" s="473"/>
      <c r="G12" s="493"/>
      <c r="H12" s="498"/>
      <c r="I12" s="499"/>
      <c r="J12" s="498"/>
      <c r="K12" s="473"/>
      <c r="L12" s="472"/>
      <c r="M12" s="473"/>
      <c r="N12" s="473"/>
      <c r="O12" s="473"/>
      <c r="P12" s="473"/>
      <c r="Q12" s="473"/>
      <c r="R12" s="500"/>
      <c r="S12" s="498"/>
      <c r="T12" s="499"/>
      <c r="U12" s="498"/>
      <c r="V12" s="474"/>
      <c r="W12" s="493"/>
      <c r="X12" s="473"/>
      <c r="Y12" s="473"/>
      <c r="Z12" s="473"/>
      <c r="AA12" s="473"/>
      <c r="AB12" s="473"/>
      <c r="AC12" s="473"/>
      <c r="AD12" s="473"/>
      <c r="AE12" s="473"/>
      <c r="AF12" s="473"/>
      <c r="AG12" s="473"/>
      <c r="AH12" s="473"/>
      <c r="AI12" s="473"/>
      <c r="AJ12" s="473"/>
      <c r="AK12" s="473"/>
      <c r="AL12" s="493"/>
      <c r="AM12" s="494"/>
      <c r="AN12" s="494"/>
      <c r="AO12" s="494"/>
      <c r="AP12" s="494"/>
      <c r="AQ12" s="494"/>
      <c r="AR12" s="494"/>
      <c r="AS12" s="493"/>
      <c r="AT12" s="493"/>
      <c r="AU12" s="493"/>
      <c r="AV12" s="493"/>
      <c r="AW12" s="493"/>
      <c r="AX12" s="493"/>
      <c r="AY12" s="493"/>
      <c r="AZ12" s="493"/>
      <c r="BA12" s="493"/>
      <c r="BB12" s="493"/>
      <c r="BC12" s="493"/>
      <c r="BD12" s="493"/>
      <c r="BE12" s="493"/>
      <c r="BF12" s="493"/>
      <c r="BG12" s="493"/>
      <c r="BH12" s="493"/>
      <c r="BI12" s="493"/>
      <c r="BJ12" s="493"/>
      <c r="BK12" s="493"/>
      <c r="BL12" s="493"/>
      <c r="BM12" s="493"/>
      <c r="BN12" s="493"/>
      <c r="BO12" s="493"/>
      <c r="BP12" s="493"/>
      <c r="BQ12" s="475"/>
      <c r="BR12" s="475"/>
      <c r="BS12" s="475"/>
      <c r="BT12" s="475"/>
      <c r="BU12" s="475"/>
      <c r="BV12" s="475"/>
      <c r="BW12" s="475"/>
      <c r="BX12" s="475"/>
      <c r="BY12" s="475"/>
      <c r="BZ12" s="475"/>
      <c r="CA12" s="475"/>
      <c r="CB12" s="475"/>
      <c r="CC12" s="475"/>
      <c r="CD12" s="475"/>
      <c r="CE12" s="475"/>
      <c r="CF12" s="475"/>
      <c r="CG12" s="475"/>
      <c r="CH12" s="475"/>
      <c r="CI12" s="475"/>
      <c r="CJ12" s="475"/>
      <c r="CK12" s="475"/>
      <c r="CL12" s="475"/>
      <c r="CM12" s="493"/>
      <c r="CN12" s="493"/>
      <c r="CO12" s="493"/>
      <c r="CP12" s="493"/>
      <c r="CQ12" s="493"/>
      <c r="CR12" s="493"/>
      <c r="CS12" s="493"/>
      <c r="CT12" s="493"/>
      <c r="CU12" s="493"/>
      <c r="CV12" s="493"/>
      <c r="CW12" s="493"/>
      <c r="CX12" s="493"/>
      <c r="CY12" s="493"/>
      <c r="CZ12" s="493"/>
      <c r="DA12" s="493"/>
      <c r="DB12" s="493"/>
      <c r="DC12" s="493"/>
      <c r="DD12" s="493"/>
      <c r="DE12" s="493"/>
      <c r="DF12" s="493"/>
      <c r="DG12" s="493"/>
      <c r="DH12" s="493"/>
      <c r="DI12" s="493"/>
      <c r="DJ12" s="493"/>
      <c r="DK12" s="493"/>
      <c r="DL12" s="493"/>
      <c r="DM12" s="493"/>
      <c r="DN12" s="493"/>
      <c r="DO12" s="493"/>
      <c r="DP12" s="493"/>
      <c r="DQ12" s="493"/>
      <c r="DR12" s="493"/>
      <c r="DS12" s="493"/>
      <c r="DT12" s="493"/>
      <c r="DU12" s="493"/>
      <c r="DV12" s="493"/>
      <c r="DW12" s="493"/>
      <c r="DX12" s="493"/>
      <c r="DY12" s="493"/>
      <c r="DZ12" s="493"/>
      <c r="EA12" s="493"/>
      <c r="EB12" s="493"/>
      <c r="EC12" s="493"/>
      <c r="ED12" s="493"/>
      <c r="EE12" s="493"/>
      <c r="EF12" s="493"/>
      <c r="EG12" s="493"/>
      <c r="EH12" s="493"/>
      <c r="EI12" s="493"/>
      <c r="EJ12" s="493"/>
      <c r="EK12" s="493"/>
      <c r="EL12" s="493"/>
      <c r="EM12" s="493"/>
      <c r="EN12" s="493"/>
      <c r="EO12" s="493"/>
      <c r="EP12" s="493"/>
      <c r="EQ12" s="493"/>
      <c r="ER12" s="493"/>
      <c r="ES12" s="493"/>
      <c r="ET12" s="493"/>
      <c r="EU12" s="493"/>
      <c r="EV12" s="493"/>
      <c r="EW12" s="493"/>
      <c r="EX12" s="493"/>
      <c r="EY12" s="493"/>
      <c r="EZ12" s="493"/>
      <c r="FA12" s="493"/>
      <c r="FB12" s="493"/>
      <c r="FC12" s="493"/>
      <c r="FD12" s="493"/>
      <c r="FE12" s="493"/>
      <c r="FF12" s="493"/>
      <c r="FG12" s="493"/>
      <c r="FH12" s="493"/>
      <c r="FI12" s="493"/>
      <c r="FJ12" s="493"/>
      <c r="FK12" s="493"/>
      <c r="FL12" s="493"/>
      <c r="FM12" s="493"/>
      <c r="FN12" s="493"/>
      <c r="FO12" s="493"/>
      <c r="FP12" s="493"/>
      <c r="FQ12" s="493"/>
      <c r="FR12" s="493"/>
      <c r="FS12" s="493"/>
      <c r="FT12" s="493"/>
      <c r="FU12" s="493"/>
      <c r="FV12" s="493"/>
      <c r="FW12" s="493"/>
      <c r="FX12" s="493"/>
      <c r="FY12" s="493"/>
      <c r="FZ12" s="493"/>
      <c r="GA12" s="493"/>
      <c r="GB12" s="493"/>
      <c r="GC12" s="493"/>
      <c r="GD12" s="493"/>
      <c r="GE12" s="493"/>
      <c r="GF12" s="493"/>
      <c r="GG12" s="493"/>
      <c r="GH12" s="493"/>
    </row>
    <row r="13" spans="1:190" s="493" customFormat="1" ht="12" customHeight="1">
      <c r="A13" s="1366"/>
      <c r="B13" s="1366"/>
      <c r="C13" s="1366"/>
      <c r="D13" s="1366"/>
      <c r="E13" s="1366"/>
      <c r="F13" s="1366"/>
      <c r="G13" s="1366"/>
      <c r="H13" s="1367"/>
      <c r="I13" s="1367"/>
      <c r="J13" s="1367"/>
      <c r="K13" s="1367"/>
      <c r="L13" s="1368"/>
      <c r="M13" s="1368"/>
      <c r="N13" s="1368"/>
      <c r="O13" s="1368"/>
      <c r="P13" s="1368"/>
      <c r="Q13" s="1368"/>
      <c r="R13" s="1368"/>
      <c r="S13" s="1367"/>
      <c r="T13" s="1367"/>
      <c r="U13" s="1369"/>
      <c r="V13" s="1369"/>
      <c r="W13" s="471"/>
      <c r="X13" s="472" t="str">
        <f>IF(X19&lt;&gt;"","Agente Operador - Repasse",IF(AB19&lt;&gt;"","Agente Financeiro ","Agente Financeiro ou Ag. Operador Repasse"))</f>
        <v>Agente Operador - Repasse</v>
      </c>
      <c r="Y13" s="473"/>
      <c r="Z13" s="473"/>
      <c r="AA13" s="473"/>
      <c r="AB13" s="473"/>
      <c r="AC13" s="473"/>
      <c r="AD13" s="473"/>
      <c r="AE13" s="473"/>
      <c r="AF13" s="473"/>
      <c r="AG13" s="473"/>
      <c r="AH13" s="473"/>
      <c r="AI13" s="473"/>
      <c r="AJ13" s="473"/>
      <c r="AK13" s="474"/>
      <c r="AL13" s="471"/>
      <c r="AM13" s="497" t="str">
        <f>IF($X$19&lt;&gt;"","Repasse",IF($AB$19&lt;&gt;"","Financ.","Rep./Financ."))</f>
        <v>Repasse</v>
      </c>
      <c r="AN13" s="471"/>
      <c r="AO13" s="471"/>
      <c r="AP13" s="471"/>
      <c r="AQ13" s="471"/>
      <c r="AR13" s="479"/>
      <c r="AS13" s="471"/>
      <c r="AT13" s="487" t="s">
        <v>1585</v>
      </c>
      <c r="AU13" s="471"/>
      <c r="AV13" s="471"/>
      <c r="AW13" s="471"/>
      <c r="AX13" s="471"/>
      <c r="AY13" s="471"/>
      <c r="AZ13" s="471"/>
      <c r="BA13" s="471"/>
      <c r="BB13" s="471"/>
      <c r="BC13" s="471"/>
      <c r="BD13" s="471"/>
      <c r="BE13" s="471"/>
      <c r="BF13" s="471"/>
      <c r="BG13" s="471"/>
      <c r="BH13" s="471"/>
      <c r="BI13" s="471"/>
      <c r="BJ13" s="471"/>
      <c r="BK13" s="471"/>
      <c r="BL13" s="471"/>
      <c r="BM13" s="471"/>
      <c r="BN13" s="471"/>
      <c r="BO13" s="479"/>
      <c r="BP13" s="471"/>
      <c r="BQ13" s="475"/>
      <c r="BR13" s="475"/>
      <c r="BS13" s="475"/>
      <c r="BT13" s="475"/>
      <c r="BU13" s="475"/>
      <c r="BV13" s="475"/>
      <c r="BW13" s="475"/>
      <c r="BX13" s="475"/>
      <c r="BY13" s="475"/>
      <c r="BZ13" s="475"/>
      <c r="CA13" s="475"/>
      <c r="CB13" s="475"/>
      <c r="CC13" s="475"/>
      <c r="CD13" s="475"/>
      <c r="CE13" s="475"/>
      <c r="CF13" s="475"/>
      <c r="CG13" s="475"/>
      <c r="CH13" s="475"/>
      <c r="CI13" s="475"/>
      <c r="CJ13" s="475"/>
      <c r="CK13" s="475"/>
      <c r="CL13" s="475"/>
      <c r="CM13" s="471"/>
      <c r="CN13" s="471"/>
      <c r="CO13" s="471"/>
      <c r="CP13" s="471"/>
      <c r="CQ13" s="471"/>
      <c r="CR13" s="471"/>
      <c r="CS13" s="471"/>
      <c r="CT13" s="471"/>
      <c r="CU13" s="471"/>
      <c r="CV13" s="471"/>
      <c r="CW13" s="471"/>
      <c r="CX13" s="471"/>
      <c r="CY13" s="471"/>
      <c r="CZ13" s="471"/>
      <c r="DA13" s="471"/>
      <c r="DB13" s="471"/>
      <c r="DC13" s="471"/>
      <c r="DD13" s="471"/>
      <c r="DE13" s="471"/>
      <c r="DF13" s="471"/>
      <c r="DG13" s="471"/>
      <c r="DH13" s="471"/>
      <c r="DI13" s="471"/>
      <c r="DJ13" s="471"/>
      <c r="DK13" s="471"/>
      <c r="DL13" s="471"/>
      <c r="DM13" s="471"/>
      <c r="DN13" s="471"/>
      <c r="DO13" s="471"/>
      <c r="DP13" s="471"/>
      <c r="DQ13" s="471"/>
      <c r="DR13" s="471"/>
      <c r="DS13" s="471"/>
      <c r="DT13" s="471"/>
      <c r="DU13" s="471"/>
      <c r="DV13" s="471"/>
      <c r="DW13" s="471"/>
      <c r="DX13" s="471"/>
      <c r="DY13" s="471"/>
      <c r="DZ13" s="471"/>
      <c r="EA13" s="471"/>
      <c r="EB13" s="471"/>
      <c r="EC13" s="471"/>
      <c r="ED13" s="471"/>
      <c r="EE13" s="471"/>
      <c r="EF13" s="471"/>
      <c r="EG13" s="471"/>
      <c r="EH13" s="471"/>
      <c r="EI13" s="471"/>
      <c r="EJ13" s="471"/>
      <c r="EK13" s="471"/>
      <c r="EL13" s="471"/>
      <c r="EM13" s="471"/>
      <c r="EN13" s="471"/>
      <c r="EO13" s="471"/>
      <c r="EP13" s="471"/>
      <c r="EQ13" s="471"/>
      <c r="ER13" s="471"/>
      <c r="ES13" s="471"/>
      <c r="ET13" s="471"/>
      <c r="EU13" s="471"/>
      <c r="EV13" s="471"/>
      <c r="EW13" s="471"/>
      <c r="EX13" s="471"/>
      <c r="EY13" s="471"/>
      <c r="EZ13" s="471"/>
      <c r="FA13" s="471"/>
      <c r="FB13" s="471"/>
      <c r="FC13" s="471"/>
      <c r="FD13" s="471"/>
      <c r="FE13" s="471"/>
      <c r="FF13" s="471"/>
      <c r="FG13" s="471"/>
      <c r="FH13" s="471"/>
      <c r="FI13" s="471"/>
      <c r="FJ13" s="471"/>
      <c r="FK13" s="471"/>
      <c r="FL13" s="471"/>
      <c r="FM13" s="471"/>
      <c r="FN13" s="471"/>
      <c r="FO13" s="471"/>
      <c r="FP13" s="471"/>
      <c r="FQ13" s="471"/>
      <c r="FR13" s="471"/>
      <c r="FS13" s="471"/>
      <c r="FT13" s="471"/>
      <c r="FU13" s="471"/>
      <c r="FV13" s="471"/>
      <c r="FW13" s="471"/>
      <c r="FX13" s="471"/>
      <c r="FY13" s="471"/>
      <c r="FZ13" s="471"/>
      <c r="GA13" s="471"/>
      <c r="GB13" s="471"/>
      <c r="GC13" s="471"/>
      <c r="GD13" s="471"/>
      <c r="GE13" s="471"/>
      <c r="GF13" s="471"/>
      <c r="GG13" s="471"/>
      <c r="GH13" s="471"/>
    </row>
    <row r="14" spans="1:190" ht="3.75" customHeight="1">
      <c r="A14" s="498"/>
      <c r="B14" s="473"/>
      <c r="C14" s="473"/>
      <c r="D14" s="473"/>
      <c r="E14" s="473"/>
      <c r="F14" s="473"/>
      <c r="H14" s="501"/>
      <c r="I14" s="502"/>
      <c r="J14" s="501"/>
      <c r="K14" s="502"/>
      <c r="L14" s="498"/>
      <c r="M14" s="499"/>
      <c r="N14" s="473"/>
      <c r="O14" s="473"/>
      <c r="P14" s="473"/>
      <c r="Q14" s="473"/>
      <c r="R14" s="479"/>
      <c r="S14" s="501"/>
      <c r="T14" s="502"/>
      <c r="U14" s="501"/>
      <c r="V14" s="503"/>
      <c r="X14" s="472"/>
      <c r="Y14" s="473"/>
      <c r="Z14" s="473"/>
      <c r="AA14" s="473"/>
      <c r="AB14" s="473"/>
      <c r="AC14" s="473"/>
      <c r="AD14" s="473"/>
      <c r="AE14" s="473"/>
      <c r="AF14" s="473"/>
      <c r="AG14" s="473"/>
      <c r="AH14" s="473"/>
      <c r="AI14" s="473"/>
      <c r="AJ14" s="473"/>
      <c r="AK14" s="474"/>
      <c r="AM14" s="497"/>
      <c r="AR14" s="479"/>
      <c r="AT14" s="487"/>
      <c r="BO14" s="479"/>
      <c r="BQ14" s="475"/>
      <c r="BR14" s="475"/>
      <c r="BS14" s="475"/>
      <c r="BT14" s="475"/>
      <c r="BU14" s="475"/>
      <c r="BV14" s="475"/>
      <c r="BW14" s="475"/>
      <c r="BX14" s="475"/>
      <c r="BY14" s="475"/>
      <c r="BZ14" s="475"/>
      <c r="CA14" s="475"/>
      <c r="CB14" s="475"/>
      <c r="CC14" s="475"/>
      <c r="CD14" s="475"/>
      <c r="CE14" s="475"/>
      <c r="CF14" s="475"/>
      <c r="CG14" s="475"/>
      <c r="CH14" s="475"/>
      <c r="CI14" s="475"/>
      <c r="CJ14" s="475"/>
      <c r="CK14" s="475"/>
      <c r="CL14" s="475"/>
    </row>
    <row r="15" spans="1:190" ht="12" customHeight="1">
      <c r="A15" s="1366"/>
      <c r="B15" s="1366"/>
      <c r="C15" s="1366"/>
      <c r="D15" s="1366"/>
      <c r="E15" s="1366"/>
      <c r="F15" s="1366"/>
      <c r="G15" s="1366"/>
      <c r="H15" s="1367"/>
      <c r="I15" s="1367"/>
      <c r="J15" s="1367"/>
      <c r="K15" s="1367"/>
      <c r="L15" s="1368"/>
      <c r="M15" s="1368"/>
      <c r="N15" s="1368"/>
      <c r="O15" s="1368"/>
      <c r="P15" s="1368"/>
      <c r="Q15" s="1368"/>
      <c r="R15" s="1368"/>
      <c r="S15" s="1367"/>
      <c r="T15" s="1367"/>
      <c r="U15" s="1369"/>
      <c r="V15" s="1369"/>
      <c r="X15" s="1370"/>
      <c r="Y15" s="1370"/>
      <c r="Z15" s="1370"/>
      <c r="AA15" s="1370"/>
      <c r="AB15" s="1370"/>
      <c r="AC15" s="1370"/>
      <c r="AD15" s="1370"/>
      <c r="AE15" s="1370"/>
      <c r="AF15" s="1370"/>
      <c r="AG15" s="1370"/>
      <c r="AH15" s="1370"/>
      <c r="AI15" s="1370"/>
      <c r="AJ15" s="1370"/>
      <c r="AK15" s="1370"/>
      <c r="AM15" s="1372"/>
      <c r="AN15" s="1372"/>
      <c r="AO15" s="1372"/>
      <c r="AP15" s="1372"/>
      <c r="AQ15" s="1372"/>
      <c r="AR15" s="1372"/>
      <c r="AT15" s="1373" t="s">
        <v>1586</v>
      </c>
      <c r="AU15" s="1373"/>
      <c r="AV15" s="1373"/>
      <c r="AW15" s="1373"/>
      <c r="AX15" s="1373"/>
      <c r="AY15" s="1373"/>
      <c r="AZ15" s="1373"/>
      <c r="BA15" s="1373"/>
      <c r="BB15" s="1373"/>
      <c r="BC15" s="1373"/>
      <c r="BD15" s="1373"/>
      <c r="BE15" s="1373"/>
      <c r="BF15" s="1373"/>
      <c r="BG15" s="1373"/>
      <c r="BH15" s="1373"/>
      <c r="BI15" s="1373"/>
      <c r="BJ15" s="1373"/>
      <c r="BK15" s="1373"/>
      <c r="BL15" s="1373"/>
      <c r="BM15" s="1373"/>
      <c r="BN15" s="1373"/>
      <c r="BO15" s="1373"/>
      <c r="BQ15" s="475"/>
      <c r="BR15" s="475"/>
      <c r="BS15" s="475"/>
      <c r="BT15" s="475"/>
      <c r="BU15" s="475"/>
      <c r="BV15" s="475"/>
      <c r="BW15" s="475"/>
      <c r="BX15" s="475"/>
      <c r="BY15" s="475"/>
      <c r="BZ15" s="475"/>
      <c r="CA15" s="475"/>
      <c r="CB15" s="475"/>
      <c r="CC15" s="475"/>
      <c r="CD15" s="475"/>
      <c r="CE15" s="475"/>
      <c r="CF15" s="475"/>
      <c r="CG15" s="475"/>
      <c r="CH15" s="475"/>
      <c r="CI15" s="475"/>
      <c r="CJ15" s="475"/>
      <c r="CK15" s="475"/>
      <c r="CL15" s="475"/>
    </row>
    <row r="16" spans="1:190" ht="3.75" customHeight="1">
      <c r="A16" s="472"/>
      <c r="B16" s="473"/>
      <c r="C16" s="473"/>
      <c r="D16" s="473"/>
      <c r="E16" s="473"/>
      <c r="F16" s="473"/>
      <c r="G16" s="493"/>
      <c r="H16" s="498"/>
      <c r="I16" s="499"/>
      <c r="J16" s="498"/>
      <c r="K16" s="473"/>
      <c r="L16" s="472"/>
      <c r="M16" s="473"/>
      <c r="N16" s="473"/>
      <c r="O16" s="473"/>
      <c r="P16" s="473"/>
      <c r="Q16" s="473"/>
      <c r="R16" s="500"/>
      <c r="S16" s="498"/>
      <c r="T16" s="499"/>
      <c r="U16" s="498"/>
      <c r="V16" s="474"/>
      <c r="W16" s="493"/>
      <c r="X16" s="504"/>
      <c r="Y16" s="504"/>
      <c r="Z16" s="504"/>
      <c r="AA16" s="504"/>
      <c r="AB16" s="505"/>
      <c r="AC16" s="505"/>
      <c r="AD16" s="505"/>
      <c r="AE16" s="505"/>
      <c r="AF16" s="505"/>
      <c r="AG16" s="505"/>
      <c r="AH16" s="505"/>
      <c r="AI16" s="505"/>
      <c r="AJ16" s="505"/>
      <c r="AK16" s="473"/>
      <c r="AL16" s="493"/>
      <c r="AM16" s="494"/>
      <c r="AN16" s="494"/>
      <c r="AO16" s="494"/>
      <c r="AP16" s="494"/>
      <c r="AQ16" s="494"/>
      <c r="AR16" s="494"/>
      <c r="AS16" s="493"/>
      <c r="AT16" s="1373"/>
      <c r="AU16" s="1373"/>
      <c r="AV16" s="1373"/>
      <c r="AW16" s="1373"/>
      <c r="AX16" s="1373"/>
      <c r="AY16" s="1373"/>
      <c r="AZ16" s="1373"/>
      <c r="BA16" s="1373"/>
      <c r="BB16" s="1373"/>
      <c r="BC16" s="1373"/>
      <c r="BD16" s="1373"/>
      <c r="BE16" s="1373"/>
      <c r="BF16" s="1373"/>
      <c r="BG16" s="1373"/>
      <c r="BH16" s="1373"/>
      <c r="BI16" s="1373"/>
      <c r="BJ16" s="1373"/>
      <c r="BK16" s="1373"/>
      <c r="BL16" s="1373"/>
      <c r="BM16" s="1373"/>
      <c r="BN16" s="1373"/>
      <c r="BO16" s="1373"/>
      <c r="BP16" s="493"/>
      <c r="BQ16" s="475"/>
      <c r="BR16" s="475"/>
      <c r="BS16" s="475"/>
      <c r="BT16" s="475"/>
      <c r="BU16" s="475"/>
      <c r="BV16" s="475"/>
      <c r="BW16" s="475"/>
      <c r="BX16" s="475"/>
      <c r="BY16" s="475"/>
      <c r="BZ16" s="475"/>
      <c r="CA16" s="475"/>
      <c r="CB16" s="475"/>
      <c r="CC16" s="475"/>
      <c r="CD16" s="475"/>
      <c r="CE16" s="475"/>
      <c r="CF16" s="475"/>
      <c r="CG16" s="475"/>
      <c r="CH16" s="475"/>
      <c r="CI16" s="475"/>
      <c r="CJ16" s="475"/>
      <c r="CK16" s="475"/>
      <c r="CL16" s="475"/>
      <c r="CM16" s="493"/>
      <c r="CN16" s="493"/>
      <c r="CO16" s="493"/>
      <c r="CP16" s="493"/>
      <c r="CQ16" s="493"/>
      <c r="CR16" s="493"/>
      <c r="CS16" s="493"/>
      <c r="CT16" s="493"/>
      <c r="CU16" s="493"/>
      <c r="CV16" s="493"/>
      <c r="CW16" s="493"/>
      <c r="CX16" s="493"/>
      <c r="CY16" s="493"/>
      <c r="CZ16" s="493"/>
      <c r="DA16" s="493"/>
      <c r="DB16" s="493"/>
      <c r="DC16" s="493"/>
      <c r="DD16" s="493"/>
      <c r="DE16" s="493"/>
      <c r="DF16" s="493"/>
      <c r="DG16" s="493"/>
      <c r="DH16" s="493"/>
      <c r="DI16" s="493"/>
      <c r="DJ16" s="493"/>
      <c r="DK16" s="493"/>
      <c r="DL16" s="493"/>
      <c r="DM16" s="493"/>
      <c r="DN16" s="493"/>
      <c r="DO16" s="493"/>
      <c r="DP16" s="493"/>
      <c r="DQ16" s="493"/>
      <c r="DR16" s="493"/>
      <c r="DS16" s="493"/>
      <c r="DT16" s="493"/>
      <c r="DU16" s="493"/>
      <c r="DV16" s="493"/>
      <c r="DW16" s="493"/>
      <c r="DX16" s="493"/>
      <c r="DY16" s="493"/>
      <c r="DZ16" s="493"/>
      <c r="EA16" s="493"/>
      <c r="EB16" s="493"/>
      <c r="EC16" s="493"/>
      <c r="ED16" s="493"/>
      <c r="EE16" s="493"/>
      <c r="EF16" s="493"/>
      <c r="EG16" s="493"/>
      <c r="EH16" s="493"/>
      <c r="EI16" s="493"/>
      <c r="EJ16" s="493"/>
      <c r="EK16" s="493"/>
      <c r="EL16" s="493"/>
      <c r="EM16" s="493"/>
      <c r="EN16" s="493"/>
      <c r="EO16" s="493"/>
      <c r="EP16" s="493"/>
      <c r="EQ16" s="493"/>
      <c r="ER16" s="493"/>
      <c r="ES16" s="493"/>
      <c r="ET16" s="493"/>
      <c r="EU16" s="493"/>
      <c r="EV16" s="493"/>
      <c r="EW16" s="493"/>
      <c r="EX16" s="493"/>
      <c r="EY16" s="493"/>
      <c r="EZ16" s="493"/>
      <c r="FA16" s="493"/>
      <c r="FB16" s="493"/>
      <c r="FC16" s="493"/>
      <c r="FD16" s="493"/>
      <c r="FE16" s="493"/>
      <c r="FF16" s="493"/>
      <c r="FG16" s="493"/>
      <c r="FH16" s="493"/>
      <c r="FI16" s="493"/>
      <c r="FJ16" s="493"/>
      <c r="FK16" s="493"/>
      <c r="FL16" s="493"/>
      <c r="FM16" s="493"/>
      <c r="FN16" s="493"/>
      <c r="FO16" s="493"/>
      <c r="FP16" s="493"/>
      <c r="FQ16" s="493"/>
      <c r="FR16" s="493"/>
      <c r="FS16" s="493"/>
      <c r="FT16" s="493"/>
      <c r="FU16" s="493"/>
      <c r="FV16" s="493"/>
      <c r="FW16" s="493"/>
      <c r="FX16" s="493"/>
      <c r="FY16" s="493"/>
      <c r="FZ16" s="493"/>
      <c r="GA16" s="493"/>
      <c r="GB16" s="493"/>
      <c r="GC16" s="493"/>
      <c r="GD16" s="493"/>
      <c r="GE16" s="493"/>
      <c r="GF16" s="493"/>
      <c r="GG16" s="493"/>
      <c r="GH16" s="493"/>
    </row>
    <row r="17" spans="1:190" s="493" customFormat="1" ht="12" customHeight="1">
      <c r="A17" s="1366"/>
      <c r="B17" s="1366"/>
      <c r="C17" s="1366"/>
      <c r="D17" s="1366"/>
      <c r="E17" s="1366"/>
      <c r="F17" s="1366"/>
      <c r="G17" s="1366"/>
      <c r="H17" s="1367"/>
      <c r="I17" s="1367"/>
      <c r="J17" s="1367"/>
      <c r="K17" s="1367"/>
      <c r="L17" s="1368"/>
      <c r="M17" s="1368"/>
      <c r="N17" s="1368"/>
      <c r="O17" s="1368"/>
      <c r="P17" s="1368"/>
      <c r="Q17" s="1368"/>
      <c r="R17" s="1368"/>
      <c r="S17" s="1367"/>
      <c r="T17" s="1367"/>
      <c r="U17" s="1369"/>
      <c r="V17" s="1369"/>
      <c r="W17" s="471"/>
      <c r="X17" s="473" t="s">
        <v>1520</v>
      </c>
      <c r="Y17" s="506"/>
      <c r="Z17" s="473"/>
      <c r="AA17" s="473"/>
      <c r="AB17" s="473"/>
      <c r="AC17" s="506"/>
      <c r="AD17" s="473"/>
      <c r="AE17" s="473"/>
      <c r="AF17" s="473"/>
      <c r="AG17" s="472" t="s">
        <v>1587</v>
      </c>
      <c r="AH17" s="471"/>
      <c r="AI17" s="473"/>
      <c r="AJ17" s="471"/>
      <c r="AK17" s="474"/>
      <c r="AL17" s="471"/>
      <c r="AM17" s="497" t="s">
        <v>1588</v>
      </c>
      <c r="AN17" s="471"/>
      <c r="AO17" s="471"/>
      <c r="AP17" s="471"/>
      <c r="AQ17" s="471"/>
      <c r="AR17" s="479"/>
      <c r="AS17" s="471"/>
      <c r="AT17" s="1373"/>
      <c r="AU17" s="1373"/>
      <c r="AV17" s="1373"/>
      <c r="AW17" s="1373"/>
      <c r="AX17" s="1373"/>
      <c r="AY17" s="1373"/>
      <c r="AZ17" s="1373"/>
      <c r="BA17" s="1373"/>
      <c r="BB17" s="1373"/>
      <c r="BC17" s="1373"/>
      <c r="BD17" s="1373"/>
      <c r="BE17" s="1373"/>
      <c r="BF17" s="1373"/>
      <c r="BG17" s="1373"/>
      <c r="BH17" s="1373"/>
      <c r="BI17" s="1373"/>
      <c r="BJ17" s="1373"/>
      <c r="BK17" s="1373"/>
      <c r="BL17" s="1373"/>
      <c r="BM17" s="1373"/>
      <c r="BN17" s="1373"/>
      <c r="BO17" s="1373"/>
      <c r="BP17" s="471"/>
      <c r="BQ17" s="475"/>
      <c r="BR17" s="475"/>
      <c r="BS17" s="475"/>
      <c r="BT17" s="475"/>
      <c r="BU17" s="475"/>
      <c r="BV17" s="475"/>
      <c r="BW17" s="475"/>
      <c r="BX17" s="475"/>
      <c r="BY17" s="475"/>
      <c r="BZ17" s="475"/>
      <c r="CA17" s="475"/>
      <c r="CB17" s="475"/>
      <c r="CC17" s="475"/>
      <c r="CD17" s="475"/>
      <c r="CE17" s="475"/>
      <c r="CF17" s="475"/>
      <c r="CG17" s="475"/>
      <c r="CH17" s="475"/>
      <c r="CI17" s="475"/>
      <c r="CJ17" s="475"/>
      <c r="CK17" s="475"/>
      <c r="CL17" s="475"/>
      <c r="CM17" s="471"/>
      <c r="CN17" s="471"/>
      <c r="CO17" s="471"/>
      <c r="CP17" s="471"/>
      <c r="CQ17" s="471"/>
      <c r="CR17" s="471"/>
      <c r="CS17" s="471"/>
      <c r="CT17" s="471"/>
      <c r="CU17" s="471"/>
      <c r="CV17" s="471"/>
      <c r="CW17" s="471"/>
      <c r="CX17" s="471"/>
      <c r="CY17" s="471"/>
      <c r="CZ17" s="471"/>
      <c r="DA17" s="471"/>
      <c r="DB17" s="471"/>
      <c r="DC17" s="471"/>
      <c r="DD17" s="471"/>
      <c r="DE17" s="471"/>
      <c r="DF17" s="471"/>
      <c r="DG17" s="471"/>
      <c r="DH17" s="471"/>
      <c r="DI17" s="471"/>
      <c r="DJ17" s="471"/>
      <c r="DK17" s="471"/>
      <c r="DL17" s="471"/>
      <c r="DM17" s="471"/>
      <c r="DN17" s="471"/>
      <c r="DO17" s="471"/>
      <c r="DP17" s="471"/>
      <c r="DQ17" s="471"/>
      <c r="DR17" s="471"/>
      <c r="DS17" s="471"/>
      <c r="DT17" s="471"/>
      <c r="DU17" s="471"/>
      <c r="DV17" s="471"/>
      <c r="DW17" s="471"/>
      <c r="DX17" s="471"/>
      <c r="DY17" s="471"/>
      <c r="DZ17" s="471"/>
      <c r="EA17" s="471"/>
      <c r="EB17" s="471"/>
      <c r="EC17" s="471"/>
      <c r="ED17" s="471"/>
      <c r="EE17" s="471"/>
      <c r="EF17" s="471"/>
      <c r="EG17" s="471"/>
      <c r="EH17" s="471"/>
      <c r="EI17" s="471"/>
      <c r="EJ17" s="471"/>
      <c r="EK17" s="471"/>
      <c r="EL17" s="471"/>
      <c r="EM17" s="471"/>
      <c r="EN17" s="471"/>
      <c r="EO17" s="471"/>
      <c r="EP17" s="471"/>
      <c r="EQ17" s="471"/>
      <c r="ER17" s="471"/>
      <c r="ES17" s="471"/>
      <c r="ET17" s="471"/>
      <c r="EU17" s="471"/>
      <c r="EV17" s="471"/>
      <c r="EW17" s="471"/>
      <c r="EX17" s="471"/>
      <c r="EY17" s="471"/>
      <c r="EZ17" s="471"/>
      <c r="FA17" s="471"/>
      <c r="FB17" s="471"/>
      <c r="FC17" s="471"/>
      <c r="FD17" s="471"/>
      <c r="FE17" s="471"/>
      <c r="FF17" s="471"/>
      <c r="FG17" s="471"/>
      <c r="FH17" s="471"/>
      <c r="FI17" s="471"/>
      <c r="FJ17" s="471"/>
      <c r="FK17" s="471"/>
      <c r="FL17" s="471"/>
      <c r="FM17" s="471"/>
      <c r="FN17" s="471"/>
      <c r="FO17" s="471"/>
      <c r="FP17" s="471"/>
      <c r="FQ17" s="471"/>
      <c r="FR17" s="471"/>
      <c r="FS17" s="471"/>
      <c r="FT17" s="471"/>
      <c r="FU17" s="471"/>
      <c r="FV17" s="471"/>
      <c r="FW17" s="471"/>
      <c r="FX17" s="471"/>
      <c r="FY17" s="471"/>
      <c r="FZ17" s="471"/>
      <c r="GA17" s="471"/>
      <c r="GB17" s="471"/>
      <c r="GC17" s="471"/>
      <c r="GD17" s="471"/>
      <c r="GE17" s="471"/>
      <c r="GF17" s="471"/>
      <c r="GG17" s="471"/>
      <c r="GH17" s="471"/>
    </row>
    <row r="18" spans="1:190" s="493" customFormat="1" ht="3.75" customHeight="1">
      <c r="A18" s="498"/>
      <c r="B18" s="473"/>
      <c r="C18" s="473"/>
      <c r="D18" s="473"/>
      <c r="E18" s="473"/>
      <c r="F18" s="473"/>
      <c r="G18" s="471"/>
      <c r="H18" s="501"/>
      <c r="I18" s="502"/>
      <c r="J18" s="501"/>
      <c r="K18" s="502"/>
      <c r="L18" s="498"/>
      <c r="M18" s="499"/>
      <c r="N18" s="473"/>
      <c r="O18" s="473"/>
      <c r="P18" s="473"/>
      <c r="Q18" s="473"/>
      <c r="R18" s="479"/>
      <c r="S18" s="501"/>
      <c r="T18" s="502"/>
      <c r="U18" s="501"/>
      <c r="V18" s="503"/>
      <c r="W18" s="471"/>
      <c r="X18" s="473"/>
      <c r="Y18" s="506"/>
      <c r="Z18" s="473"/>
      <c r="AA18" s="473"/>
      <c r="AB18" s="473"/>
      <c r="AC18" s="506"/>
      <c r="AD18" s="473"/>
      <c r="AE18" s="473"/>
      <c r="AF18" s="473"/>
      <c r="AG18" s="472"/>
      <c r="AH18" s="471"/>
      <c r="AI18" s="473"/>
      <c r="AJ18" s="471"/>
      <c r="AK18" s="474"/>
      <c r="AL18" s="471"/>
      <c r="AM18" s="497"/>
      <c r="AN18" s="471"/>
      <c r="AO18" s="471"/>
      <c r="AP18" s="471"/>
      <c r="AQ18" s="471"/>
      <c r="AR18" s="479"/>
      <c r="AS18" s="471"/>
      <c r="AT18" s="1373"/>
      <c r="AU18" s="1373"/>
      <c r="AV18" s="1373"/>
      <c r="AW18" s="1373"/>
      <c r="AX18" s="1373"/>
      <c r="AY18" s="1373"/>
      <c r="AZ18" s="1373"/>
      <c r="BA18" s="1373"/>
      <c r="BB18" s="1373"/>
      <c r="BC18" s="1373"/>
      <c r="BD18" s="1373"/>
      <c r="BE18" s="1373"/>
      <c r="BF18" s="1373"/>
      <c r="BG18" s="1373"/>
      <c r="BH18" s="1373"/>
      <c r="BI18" s="1373"/>
      <c r="BJ18" s="1373"/>
      <c r="BK18" s="1373"/>
      <c r="BL18" s="1373"/>
      <c r="BM18" s="1373"/>
      <c r="BN18" s="1373"/>
      <c r="BO18" s="1373"/>
      <c r="BP18" s="471"/>
      <c r="BQ18" s="475"/>
      <c r="BR18" s="475"/>
      <c r="BS18" s="475"/>
      <c r="BT18" s="475"/>
      <c r="BU18" s="475"/>
      <c r="BV18" s="475"/>
      <c r="BW18" s="475"/>
      <c r="BX18" s="475"/>
      <c r="BY18" s="475"/>
      <c r="BZ18" s="475"/>
      <c r="CA18" s="475"/>
      <c r="CB18" s="475"/>
      <c r="CC18" s="475"/>
      <c r="CD18" s="475"/>
      <c r="CE18" s="475"/>
      <c r="CF18" s="475"/>
      <c r="CG18" s="475"/>
      <c r="CH18" s="475"/>
      <c r="CI18" s="475"/>
      <c r="CJ18" s="475"/>
      <c r="CK18" s="475"/>
      <c r="CL18" s="475"/>
      <c r="CM18" s="471"/>
      <c r="CN18" s="471"/>
      <c r="CO18" s="471"/>
      <c r="CP18" s="471"/>
      <c r="CQ18" s="471"/>
      <c r="CR18" s="471"/>
      <c r="CS18" s="471"/>
      <c r="CT18" s="471"/>
      <c r="CU18" s="471"/>
      <c r="CV18" s="471"/>
      <c r="CW18" s="471"/>
      <c r="CX18" s="471"/>
      <c r="CY18" s="471"/>
      <c r="CZ18" s="471"/>
      <c r="DA18" s="471"/>
      <c r="DB18" s="471"/>
      <c r="DC18" s="471"/>
      <c r="DD18" s="471"/>
      <c r="DE18" s="471"/>
      <c r="DF18" s="471"/>
      <c r="DG18" s="471"/>
      <c r="DH18" s="471"/>
      <c r="DI18" s="471"/>
      <c r="DJ18" s="471"/>
      <c r="DK18" s="471"/>
      <c r="DL18" s="471"/>
      <c r="DM18" s="471"/>
      <c r="DN18" s="471"/>
      <c r="DO18" s="471"/>
      <c r="DP18" s="471"/>
      <c r="DQ18" s="471"/>
      <c r="DR18" s="471"/>
      <c r="DS18" s="471"/>
      <c r="DT18" s="471"/>
      <c r="DU18" s="471"/>
      <c r="DV18" s="471"/>
      <c r="DW18" s="471"/>
      <c r="DX18" s="471"/>
      <c r="DY18" s="471"/>
      <c r="DZ18" s="471"/>
      <c r="EA18" s="471"/>
      <c r="EB18" s="471"/>
      <c r="EC18" s="471"/>
      <c r="ED18" s="471"/>
      <c r="EE18" s="471"/>
      <c r="EF18" s="471"/>
      <c r="EG18" s="471"/>
      <c r="EH18" s="471"/>
      <c r="EI18" s="471"/>
      <c r="EJ18" s="471"/>
      <c r="EK18" s="471"/>
      <c r="EL18" s="471"/>
      <c r="EM18" s="471"/>
      <c r="EN18" s="471"/>
      <c r="EO18" s="471"/>
      <c r="EP18" s="471"/>
      <c r="EQ18" s="471"/>
      <c r="ER18" s="471"/>
      <c r="ES18" s="471"/>
      <c r="ET18" s="471"/>
      <c r="EU18" s="471"/>
      <c r="EV18" s="471"/>
      <c r="EW18" s="471"/>
      <c r="EX18" s="471"/>
      <c r="EY18" s="471"/>
      <c r="EZ18" s="471"/>
      <c r="FA18" s="471"/>
      <c r="FB18" s="471"/>
      <c r="FC18" s="471"/>
      <c r="FD18" s="471"/>
      <c r="FE18" s="471"/>
      <c r="FF18" s="471"/>
      <c r="FG18" s="471"/>
      <c r="FH18" s="471"/>
      <c r="FI18" s="471"/>
      <c r="FJ18" s="471"/>
      <c r="FK18" s="471"/>
      <c r="FL18" s="471"/>
      <c r="FM18" s="471"/>
      <c r="FN18" s="471"/>
      <c r="FO18" s="471"/>
      <c r="FP18" s="471"/>
      <c r="FQ18" s="471"/>
      <c r="FR18" s="471"/>
      <c r="FS18" s="471"/>
      <c r="FT18" s="471"/>
      <c r="FU18" s="471"/>
      <c r="FV18" s="471"/>
      <c r="FW18" s="471"/>
      <c r="FX18" s="471"/>
      <c r="FY18" s="471"/>
      <c r="FZ18" s="471"/>
      <c r="GA18" s="471"/>
      <c r="GB18" s="471"/>
      <c r="GC18" s="471"/>
      <c r="GD18" s="471"/>
      <c r="GE18" s="471"/>
      <c r="GF18" s="471"/>
      <c r="GG18" s="471"/>
      <c r="GH18" s="471"/>
    </row>
    <row r="19" spans="1:190" s="493" customFormat="1" ht="12" customHeight="1">
      <c r="A19" s="1366"/>
      <c r="B19" s="1366"/>
      <c r="C19" s="1366"/>
      <c r="D19" s="1366"/>
      <c r="E19" s="1366"/>
      <c r="F19" s="1366"/>
      <c r="G19" s="1366"/>
      <c r="H19" s="1367"/>
      <c r="I19" s="1367"/>
      <c r="J19" s="1367"/>
      <c r="K19" s="1367"/>
      <c r="L19" s="1368"/>
      <c r="M19" s="1368"/>
      <c r="N19" s="1368"/>
      <c r="O19" s="1368"/>
      <c r="P19" s="1368"/>
      <c r="Q19" s="1368"/>
      <c r="R19" s="1368"/>
      <c r="S19" s="1367"/>
      <c r="T19" s="1367"/>
      <c r="U19" s="1369"/>
      <c r="V19" s="1369"/>
      <c r="W19" s="471"/>
      <c r="X19" s="507" t="s">
        <v>1227</v>
      </c>
      <c r="Y19" s="506" t="s">
        <v>1522</v>
      </c>
      <c r="Z19" s="473"/>
      <c r="AA19" s="473"/>
      <c r="AB19" s="507"/>
      <c r="AC19" s="506" t="s">
        <v>1589</v>
      </c>
      <c r="AD19" s="471"/>
      <c r="AE19" s="473"/>
      <c r="AF19" s="508"/>
      <c r="AG19" s="1370"/>
      <c r="AH19" s="1370"/>
      <c r="AI19" s="1370"/>
      <c r="AJ19" s="1370"/>
      <c r="AK19" s="1370"/>
      <c r="AL19" s="471"/>
      <c r="AM19" s="1374"/>
      <c r="AN19" s="1374"/>
      <c r="AO19" s="1374"/>
      <c r="AP19" s="1374"/>
      <c r="AQ19" s="1374"/>
      <c r="AR19" s="1374"/>
      <c r="AS19" s="471"/>
      <c r="AT19" s="1373"/>
      <c r="AU19" s="1373"/>
      <c r="AV19" s="1373"/>
      <c r="AW19" s="1373"/>
      <c r="AX19" s="1373"/>
      <c r="AY19" s="1373"/>
      <c r="AZ19" s="1373"/>
      <c r="BA19" s="1373"/>
      <c r="BB19" s="1373"/>
      <c r="BC19" s="1373"/>
      <c r="BD19" s="1373"/>
      <c r="BE19" s="1373"/>
      <c r="BF19" s="1373"/>
      <c r="BG19" s="1373"/>
      <c r="BH19" s="1373"/>
      <c r="BI19" s="1373"/>
      <c r="BJ19" s="1373"/>
      <c r="BK19" s="1373"/>
      <c r="BL19" s="1373"/>
      <c r="BM19" s="1373"/>
      <c r="BN19" s="1373"/>
      <c r="BO19" s="1373"/>
      <c r="BP19" s="471"/>
      <c r="BQ19" s="475"/>
      <c r="BR19" s="475"/>
      <c r="BS19" s="475"/>
      <c r="BT19" s="475"/>
      <c r="BU19" s="475"/>
      <c r="BV19" s="475"/>
      <c r="BW19" s="475"/>
      <c r="BX19" s="475"/>
      <c r="BY19" s="475"/>
      <c r="BZ19" s="475"/>
      <c r="CA19" s="475"/>
      <c r="CB19" s="475"/>
      <c r="CC19" s="475"/>
      <c r="CD19" s="475"/>
      <c r="CE19" s="475"/>
      <c r="CF19" s="475"/>
      <c r="CG19" s="475"/>
      <c r="CH19" s="475"/>
      <c r="CI19" s="475"/>
      <c r="CJ19" s="475"/>
      <c r="CK19" s="475"/>
      <c r="CL19" s="475"/>
      <c r="CM19" s="471"/>
      <c r="CN19" s="471"/>
      <c r="CO19" s="471"/>
      <c r="CP19" s="471"/>
      <c r="CQ19" s="471"/>
      <c r="CR19" s="471"/>
      <c r="CS19" s="471"/>
      <c r="CT19" s="471"/>
      <c r="CU19" s="471"/>
      <c r="CV19" s="471"/>
      <c r="CW19" s="471"/>
      <c r="CX19" s="471"/>
      <c r="CY19" s="471"/>
      <c r="CZ19" s="471"/>
      <c r="DA19" s="471"/>
      <c r="DB19" s="471"/>
      <c r="DC19" s="471"/>
      <c r="DD19" s="471"/>
      <c r="DE19" s="471"/>
      <c r="DF19" s="471"/>
      <c r="DG19" s="471"/>
      <c r="DH19" s="471"/>
      <c r="DI19" s="471"/>
      <c r="DJ19" s="471"/>
      <c r="DK19" s="471"/>
      <c r="DL19" s="471"/>
      <c r="DM19" s="471"/>
      <c r="DN19" s="471"/>
      <c r="DO19" s="471"/>
      <c r="DP19" s="471"/>
      <c r="DQ19" s="471"/>
      <c r="DR19" s="471"/>
      <c r="DS19" s="471"/>
      <c r="DT19" s="471"/>
      <c r="DU19" s="471"/>
      <c r="DV19" s="471"/>
      <c r="DW19" s="471"/>
      <c r="DX19" s="471"/>
      <c r="DY19" s="471"/>
      <c r="DZ19" s="471"/>
      <c r="EA19" s="471"/>
      <c r="EB19" s="471"/>
      <c r="EC19" s="471"/>
      <c r="ED19" s="471"/>
      <c r="EE19" s="471"/>
      <c r="EF19" s="471"/>
      <c r="EG19" s="471"/>
      <c r="EH19" s="471"/>
      <c r="EI19" s="471"/>
      <c r="EJ19" s="471"/>
      <c r="EK19" s="471"/>
      <c r="EL19" s="471"/>
      <c r="EM19" s="471"/>
      <c r="EN19" s="471"/>
      <c r="EO19" s="471"/>
      <c r="EP19" s="471"/>
      <c r="EQ19" s="471"/>
      <c r="ER19" s="471"/>
      <c r="ES19" s="471"/>
      <c r="ET19" s="471"/>
      <c r="EU19" s="471"/>
      <c r="EV19" s="471"/>
      <c r="EW19" s="471"/>
      <c r="EX19" s="471"/>
      <c r="EY19" s="471"/>
      <c r="EZ19" s="471"/>
      <c r="FA19" s="471"/>
      <c r="FB19" s="471"/>
      <c r="FC19" s="471"/>
      <c r="FD19" s="471"/>
      <c r="FE19" s="471"/>
      <c r="FF19" s="471"/>
      <c r="FG19" s="471"/>
      <c r="FH19" s="471"/>
      <c r="FI19" s="471"/>
      <c r="FJ19" s="471"/>
      <c r="FK19" s="471"/>
      <c r="FL19" s="471"/>
      <c r="FM19" s="471"/>
      <c r="FN19" s="471"/>
      <c r="FO19" s="471"/>
      <c r="FP19" s="471"/>
      <c r="FQ19" s="471"/>
      <c r="FR19" s="471"/>
      <c r="FS19" s="471"/>
      <c r="FT19" s="471"/>
      <c r="FU19" s="471"/>
      <c r="FV19" s="471"/>
      <c r="FW19" s="471"/>
      <c r="FX19" s="471"/>
      <c r="FY19" s="471"/>
      <c r="FZ19" s="471"/>
      <c r="GA19" s="471"/>
      <c r="GB19" s="471"/>
      <c r="GC19" s="471"/>
      <c r="GD19" s="471"/>
      <c r="GE19" s="471"/>
      <c r="GF19" s="471"/>
      <c r="GG19" s="471"/>
      <c r="GH19" s="471"/>
    </row>
    <row r="20" spans="1:190" s="510" customFormat="1" ht="13.2">
      <c r="A20" s="493"/>
      <c r="B20" s="493"/>
      <c r="C20" s="493"/>
      <c r="D20" s="493"/>
      <c r="E20" s="493"/>
      <c r="F20" s="493"/>
      <c r="G20" s="493"/>
      <c r="H20" s="493"/>
      <c r="I20" s="493"/>
      <c r="J20" s="493"/>
      <c r="K20" s="493"/>
      <c r="L20" s="493"/>
      <c r="M20" s="509"/>
      <c r="N20" s="509"/>
      <c r="O20" s="509"/>
      <c r="P20" s="509"/>
      <c r="Q20" s="493"/>
      <c r="R20" s="493"/>
      <c r="S20" s="493"/>
      <c r="T20" s="493"/>
      <c r="U20" s="493"/>
      <c r="V20" s="493"/>
      <c r="W20" s="493"/>
      <c r="X20" s="493"/>
      <c r="Y20" s="493"/>
      <c r="Z20" s="493"/>
      <c r="AA20" s="493"/>
      <c r="AB20" s="493"/>
      <c r="AC20" s="493"/>
      <c r="AD20" s="493"/>
      <c r="AE20" s="493"/>
      <c r="AF20" s="493"/>
      <c r="AG20" s="493"/>
      <c r="AH20" s="493"/>
      <c r="AI20" s="493"/>
      <c r="AJ20" s="493"/>
      <c r="AK20" s="493"/>
      <c r="AL20" s="493"/>
      <c r="AM20" s="493"/>
      <c r="AN20" s="493"/>
      <c r="AO20" s="493"/>
      <c r="AP20" s="493"/>
      <c r="AQ20" s="493"/>
      <c r="AR20" s="493"/>
      <c r="AS20" s="493"/>
      <c r="AT20" s="493"/>
      <c r="AU20" s="493"/>
      <c r="AV20" s="493"/>
      <c r="AW20" s="493"/>
      <c r="AX20" s="493"/>
      <c r="AY20" s="493"/>
      <c r="AZ20" s="493"/>
      <c r="BA20" s="493"/>
      <c r="BB20" s="493"/>
      <c r="BC20" s="493"/>
      <c r="BD20" s="493"/>
      <c r="BE20" s="493"/>
      <c r="BF20" s="493"/>
      <c r="BG20" s="493"/>
      <c r="BH20" s="493"/>
      <c r="BI20" s="493"/>
      <c r="BJ20" s="493"/>
      <c r="BK20" s="493"/>
      <c r="BL20" s="493"/>
      <c r="BM20" s="493"/>
      <c r="BN20" s="493"/>
      <c r="BO20" s="493"/>
      <c r="BP20" s="493"/>
      <c r="BQ20" s="475"/>
      <c r="BR20" s="475"/>
      <c r="BS20" s="475"/>
      <c r="BT20" s="475"/>
      <c r="BU20" s="475"/>
      <c r="BV20" s="475"/>
      <c r="BW20" s="475"/>
      <c r="BX20" s="475"/>
      <c r="BY20" s="475"/>
      <c r="BZ20" s="475"/>
      <c r="CA20" s="475"/>
      <c r="CB20" s="475"/>
      <c r="CC20" s="475"/>
      <c r="CD20" s="475"/>
      <c r="CE20" s="475"/>
      <c r="CF20" s="475"/>
      <c r="CG20" s="475"/>
      <c r="CH20" s="475"/>
      <c r="CI20" s="475"/>
      <c r="CJ20" s="475"/>
      <c r="CK20" s="475"/>
      <c r="CL20" s="475"/>
      <c r="CM20" s="493"/>
      <c r="CN20" s="493"/>
      <c r="CO20" s="493"/>
      <c r="CP20" s="493"/>
      <c r="CQ20" s="493"/>
      <c r="CR20" s="493"/>
      <c r="CS20" s="493"/>
      <c r="CT20" s="493"/>
      <c r="CU20" s="493"/>
      <c r="CV20" s="493"/>
      <c r="CW20" s="493"/>
      <c r="CX20" s="493"/>
      <c r="CY20" s="493"/>
      <c r="CZ20" s="493"/>
      <c r="DA20" s="493"/>
      <c r="DB20" s="493"/>
      <c r="DC20" s="493"/>
      <c r="DD20" s="493"/>
      <c r="DE20" s="493"/>
      <c r="DF20" s="493"/>
      <c r="DG20" s="493"/>
      <c r="DH20" s="493"/>
      <c r="DI20" s="493"/>
      <c r="DJ20" s="493"/>
      <c r="DK20" s="493"/>
      <c r="DL20" s="493"/>
      <c r="DM20" s="493"/>
      <c r="DN20" s="493"/>
      <c r="DO20" s="493"/>
      <c r="DP20" s="493"/>
      <c r="DQ20" s="493"/>
      <c r="DR20" s="493"/>
      <c r="DS20" s="493"/>
      <c r="DT20" s="493"/>
      <c r="DU20" s="493"/>
      <c r="DV20" s="493"/>
      <c r="DW20" s="493"/>
      <c r="DX20" s="493"/>
      <c r="DY20" s="493"/>
      <c r="DZ20" s="493"/>
      <c r="EA20" s="493"/>
      <c r="EB20" s="493"/>
      <c r="EC20" s="493"/>
      <c r="ED20" s="493"/>
      <c r="EE20" s="493"/>
      <c r="EF20" s="493"/>
      <c r="EG20" s="493"/>
      <c r="EH20" s="493"/>
      <c r="EI20" s="493"/>
      <c r="EJ20" s="493"/>
      <c r="EK20" s="493"/>
      <c r="EL20" s="493"/>
      <c r="EM20" s="493"/>
      <c r="EN20" s="493"/>
      <c r="EO20" s="493"/>
      <c r="EP20" s="493"/>
      <c r="EQ20" s="493"/>
      <c r="ER20" s="493"/>
      <c r="ES20" s="493"/>
      <c r="ET20" s="493"/>
      <c r="EU20" s="493"/>
      <c r="EV20" s="493"/>
      <c r="EW20" s="493"/>
      <c r="EX20" s="493"/>
      <c r="EY20" s="493"/>
      <c r="EZ20" s="493"/>
      <c r="FA20" s="493"/>
      <c r="FB20" s="493"/>
      <c r="FC20" s="493"/>
      <c r="FD20" s="493"/>
      <c r="FE20" s="493"/>
      <c r="FF20" s="493"/>
      <c r="FG20" s="493"/>
      <c r="FH20" s="493"/>
      <c r="FI20" s="493"/>
      <c r="FJ20" s="493"/>
      <c r="FK20" s="493"/>
      <c r="FL20" s="493"/>
      <c r="FM20" s="493"/>
      <c r="FN20" s="493"/>
      <c r="FO20" s="493"/>
      <c r="FP20" s="493"/>
      <c r="FQ20" s="493"/>
      <c r="FR20" s="493"/>
      <c r="FS20" s="493"/>
      <c r="FT20" s="493"/>
      <c r="FU20" s="493"/>
      <c r="FV20" s="493"/>
      <c r="FW20" s="493"/>
      <c r="FX20" s="493"/>
      <c r="FY20" s="493"/>
      <c r="FZ20" s="493"/>
      <c r="GA20" s="493"/>
      <c r="GB20" s="493"/>
      <c r="GC20" s="493"/>
      <c r="GD20" s="493"/>
      <c r="GE20" s="493"/>
      <c r="GF20" s="493"/>
      <c r="GG20" s="493"/>
      <c r="GH20" s="493"/>
    </row>
    <row r="21" spans="1:190" s="475" customFormat="1" ht="12.75" customHeight="1">
      <c r="A21" s="511" t="s">
        <v>1590</v>
      </c>
      <c r="B21" s="512"/>
      <c r="C21" s="512"/>
      <c r="D21" s="512"/>
      <c r="E21" s="512"/>
      <c r="F21" s="512"/>
      <c r="G21" s="512"/>
      <c r="H21" s="512"/>
      <c r="I21" s="512"/>
      <c r="J21" s="512"/>
      <c r="K21" s="512"/>
      <c r="L21" s="512"/>
      <c r="M21" s="512"/>
      <c r="N21" s="513" t="s">
        <v>1591</v>
      </c>
      <c r="O21" s="514"/>
      <c r="P21" s="515"/>
      <c r="Q21" s="511"/>
      <c r="R21" s="516"/>
      <c r="S21" s="516"/>
      <c r="T21" s="516"/>
      <c r="U21" s="516"/>
      <c r="V21" s="1375" t="s">
        <v>1592</v>
      </c>
      <c r="W21" s="1375"/>
      <c r="X21" s="1375"/>
      <c r="Y21" s="1375"/>
      <c r="Z21" s="1375"/>
      <c r="AA21" s="1375" t="s">
        <v>1593</v>
      </c>
      <c r="AB21" s="1375"/>
      <c r="AC21" s="1375"/>
      <c r="AD21" s="1375"/>
      <c r="AE21" s="1375"/>
      <c r="AF21" s="1375" t="s">
        <v>1594</v>
      </c>
      <c r="AG21" s="1375"/>
      <c r="AH21" s="1375"/>
      <c r="AI21" s="1375"/>
      <c r="AJ21" s="1375"/>
      <c r="AK21" s="1375"/>
      <c r="AL21" s="1375"/>
      <c r="AM21" s="1375"/>
      <c r="AN21" s="1375"/>
      <c r="AO21" s="1375"/>
      <c r="AP21" s="1375"/>
      <c r="AQ21" s="1375"/>
      <c r="AR21" s="1375"/>
      <c r="AS21" s="1375"/>
      <c r="AT21" s="1375"/>
      <c r="AU21" s="1375" t="s">
        <v>1595</v>
      </c>
      <c r="AV21" s="1375"/>
      <c r="AW21" s="1375"/>
      <c r="AX21" s="1375"/>
      <c r="AY21" s="1375"/>
      <c r="AZ21" s="1375"/>
      <c r="BA21" s="1375"/>
      <c r="BB21" s="1375"/>
      <c r="BC21" s="1375"/>
      <c r="BD21" s="1375"/>
      <c r="BE21" s="1375"/>
      <c r="BF21" s="1375"/>
      <c r="BG21" s="1375"/>
      <c r="BH21" s="1375"/>
      <c r="BI21" s="1375"/>
      <c r="BJ21" s="1375"/>
      <c r="BK21" s="1375"/>
      <c r="BL21" s="1375"/>
      <c r="BM21" s="1375"/>
      <c r="BN21" s="1375"/>
      <c r="BO21" s="1375"/>
      <c r="BP21" s="493"/>
      <c r="CM21" s="493"/>
      <c r="CN21" s="493"/>
      <c r="CO21" s="493"/>
      <c r="CP21" s="493"/>
      <c r="CQ21" s="493"/>
      <c r="CR21" s="493"/>
      <c r="CS21" s="493"/>
      <c r="CT21" s="493"/>
      <c r="CU21" s="493"/>
      <c r="CV21" s="493"/>
      <c r="CW21" s="493"/>
      <c r="CX21" s="493"/>
      <c r="CY21" s="493"/>
      <c r="CZ21" s="493"/>
      <c r="DA21" s="493"/>
      <c r="DB21" s="493"/>
      <c r="DC21" s="493"/>
      <c r="DD21" s="493"/>
      <c r="DE21" s="493"/>
      <c r="DF21" s="493"/>
      <c r="DG21" s="493"/>
      <c r="DH21" s="493"/>
      <c r="DI21" s="493"/>
      <c r="DJ21" s="493"/>
      <c r="DK21" s="493"/>
      <c r="DL21" s="493"/>
      <c r="DM21" s="493"/>
      <c r="DN21" s="493"/>
      <c r="DO21" s="493"/>
      <c r="DP21" s="493"/>
      <c r="DQ21" s="493"/>
      <c r="DR21" s="493"/>
      <c r="DS21" s="493"/>
      <c r="DT21" s="493"/>
      <c r="DU21" s="493"/>
      <c r="DV21" s="493"/>
      <c r="DW21" s="493"/>
      <c r="DX21" s="493"/>
      <c r="DY21" s="493"/>
      <c r="DZ21" s="493"/>
      <c r="EA21" s="493"/>
      <c r="EB21" s="493"/>
      <c r="EC21" s="493"/>
      <c r="ED21" s="493"/>
      <c r="EE21" s="493"/>
      <c r="EF21" s="493"/>
      <c r="EG21" s="493"/>
      <c r="EH21" s="493"/>
      <c r="EI21" s="493"/>
      <c r="EJ21" s="493"/>
      <c r="EK21" s="493"/>
      <c r="EL21" s="493"/>
      <c r="EM21" s="493"/>
      <c r="EN21" s="493"/>
      <c r="EO21" s="493"/>
      <c r="EP21" s="493"/>
      <c r="EQ21" s="493"/>
      <c r="ER21" s="493"/>
      <c r="ES21" s="493"/>
      <c r="ET21" s="493"/>
      <c r="EU21" s="493"/>
      <c r="EV21" s="493"/>
      <c r="EW21" s="493"/>
      <c r="EX21" s="493"/>
      <c r="EY21" s="493"/>
      <c r="EZ21" s="493"/>
      <c r="FA21" s="493"/>
      <c r="FB21" s="493"/>
      <c r="FC21" s="493"/>
      <c r="FD21" s="493"/>
      <c r="FE21" s="493"/>
      <c r="FF21" s="493"/>
      <c r="FG21" s="493"/>
      <c r="FH21" s="493"/>
      <c r="FI21" s="493"/>
      <c r="FJ21" s="493"/>
      <c r="FK21" s="493"/>
      <c r="FL21" s="493"/>
      <c r="FM21" s="493"/>
      <c r="FN21" s="493"/>
      <c r="FO21" s="493"/>
      <c r="FP21" s="493"/>
      <c r="FQ21" s="493"/>
      <c r="FR21" s="493"/>
      <c r="FS21" s="493"/>
      <c r="FT21" s="493"/>
      <c r="FU21" s="493"/>
      <c r="FV21" s="493"/>
      <c r="FW21" s="493"/>
      <c r="FX21" s="493"/>
      <c r="FY21" s="493"/>
      <c r="FZ21" s="493"/>
      <c r="GA21" s="493"/>
      <c r="GB21" s="493"/>
      <c r="GC21" s="493"/>
      <c r="GD21" s="493"/>
      <c r="GE21" s="493"/>
      <c r="GF21" s="493"/>
      <c r="GG21" s="493"/>
      <c r="GH21" s="493"/>
    </row>
    <row r="22" spans="1:190" s="475" customFormat="1" ht="3.75" customHeight="1">
      <c r="A22" s="511"/>
      <c r="B22" s="512"/>
      <c r="C22" s="512"/>
      <c r="D22" s="512"/>
      <c r="E22" s="512"/>
      <c r="F22" s="512"/>
      <c r="G22" s="512"/>
      <c r="H22" s="512"/>
      <c r="I22" s="512"/>
      <c r="J22" s="512"/>
      <c r="K22" s="512"/>
      <c r="L22" s="512"/>
      <c r="M22" s="512"/>
      <c r="N22" s="513"/>
      <c r="O22" s="514"/>
      <c r="P22" s="515"/>
      <c r="Q22" s="511"/>
      <c r="R22" s="516"/>
      <c r="S22" s="516"/>
      <c r="T22" s="516"/>
      <c r="U22" s="516"/>
      <c r="V22" s="517"/>
      <c r="W22" s="516"/>
      <c r="X22" s="516"/>
      <c r="Y22" s="516"/>
      <c r="Z22" s="518"/>
      <c r="AA22" s="517"/>
      <c r="AB22" s="516"/>
      <c r="AC22" s="516"/>
      <c r="AD22" s="516"/>
      <c r="AE22" s="518"/>
      <c r="AF22" s="517"/>
      <c r="AG22" s="516"/>
      <c r="AH22" s="516"/>
      <c r="AI22" s="516"/>
      <c r="AJ22" s="516"/>
      <c r="AK22" s="516"/>
      <c r="AL22" s="516"/>
      <c r="AM22" s="516"/>
      <c r="AN22" s="516"/>
      <c r="AO22" s="516"/>
      <c r="AP22" s="516"/>
      <c r="AQ22" s="516"/>
      <c r="AR22" s="516"/>
      <c r="AS22" s="516"/>
      <c r="AT22" s="518"/>
      <c r="AU22" s="517"/>
      <c r="AV22" s="516"/>
      <c r="AW22" s="516"/>
      <c r="AX22" s="516"/>
      <c r="AY22" s="516"/>
      <c r="AZ22" s="516"/>
      <c r="BA22" s="516"/>
      <c r="BB22" s="516"/>
      <c r="BC22" s="516"/>
      <c r="BD22" s="516"/>
      <c r="BE22" s="516"/>
      <c r="BF22" s="516"/>
      <c r="BG22" s="516"/>
      <c r="BH22" s="516"/>
      <c r="BI22" s="516"/>
      <c r="BJ22" s="516"/>
      <c r="BK22" s="516"/>
      <c r="BL22" s="516"/>
      <c r="BM22" s="516"/>
      <c r="BN22" s="516"/>
      <c r="BO22" s="518"/>
      <c r="BP22" s="493"/>
      <c r="CM22" s="493"/>
      <c r="CN22" s="493"/>
      <c r="CO22" s="493"/>
      <c r="CP22" s="493"/>
      <c r="CQ22" s="493"/>
      <c r="CR22" s="493"/>
      <c r="CS22" s="493"/>
      <c r="CT22" s="493"/>
      <c r="CU22" s="493"/>
      <c r="CV22" s="493"/>
      <c r="CW22" s="493"/>
      <c r="CX22" s="493"/>
      <c r="CY22" s="493"/>
      <c r="CZ22" s="493"/>
      <c r="DA22" s="493"/>
      <c r="DB22" s="493"/>
      <c r="DC22" s="493"/>
      <c r="DD22" s="493"/>
      <c r="DE22" s="493"/>
      <c r="DF22" s="493"/>
      <c r="DG22" s="493"/>
      <c r="DH22" s="493"/>
      <c r="DI22" s="493"/>
      <c r="DJ22" s="493"/>
      <c r="DK22" s="493"/>
      <c r="DL22" s="493"/>
      <c r="DM22" s="493"/>
      <c r="DN22" s="493"/>
      <c r="DO22" s="493"/>
      <c r="DP22" s="493"/>
      <c r="DQ22" s="493"/>
      <c r="DR22" s="493"/>
      <c r="DS22" s="493"/>
      <c r="DT22" s="493"/>
      <c r="DU22" s="493"/>
      <c r="DV22" s="493"/>
      <c r="DW22" s="493"/>
      <c r="DX22" s="493"/>
      <c r="DY22" s="493"/>
      <c r="DZ22" s="493"/>
      <c r="EA22" s="493"/>
      <c r="EB22" s="493"/>
      <c r="EC22" s="493"/>
      <c r="ED22" s="493"/>
      <c r="EE22" s="493"/>
      <c r="EF22" s="493"/>
      <c r="EG22" s="493"/>
      <c r="EH22" s="493"/>
      <c r="EI22" s="493"/>
      <c r="EJ22" s="493"/>
      <c r="EK22" s="493"/>
      <c r="EL22" s="493"/>
      <c r="EM22" s="493"/>
      <c r="EN22" s="493"/>
      <c r="EO22" s="493"/>
      <c r="EP22" s="493"/>
      <c r="EQ22" s="493"/>
      <c r="ER22" s="493"/>
      <c r="ES22" s="493"/>
      <c r="ET22" s="493"/>
      <c r="EU22" s="493"/>
      <c r="EV22" s="493"/>
      <c r="EW22" s="493"/>
      <c r="EX22" s="493"/>
      <c r="EY22" s="493"/>
      <c r="EZ22" s="493"/>
      <c r="FA22" s="493"/>
      <c r="FB22" s="493"/>
      <c r="FC22" s="493"/>
      <c r="FD22" s="493"/>
      <c r="FE22" s="493"/>
      <c r="FF22" s="493"/>
      <c r="FG22" s="493"/>
      <c r="FH22" s="493"/>
      <c r="FI22" s="493"/>
      <c r="FJ22" s="493"/>
      <c r="FK22" s="493"/>
      <c r="FL22" s="493"/>
      <c r="FM22" s="493"/>
      <c r="FN22" s="493"/>
      <c r="FO22" s="493"/>
      <c r="FP22" s="493"/>
      <c r="FQ22" s="493"/>
      <c r="FR22" s="493"/>
      <c r="FS22" s="493"/>
      <c r="FT22" s="493"/>
      <c r="FU22" s="493"/>
      <c r="FV22" s="493"/>
      <c r="FW22" s="493"/>
      <c r="FX22" s="493"/>
      <c r="FY22" s="493"/>
      <c r="FZ22" s="493"/>
      <c r="GA22" s="493"/>
      <c r="GB22" s="493"/>
      <c r="GC22" s="493"/>
      <c r="GD22" s="493"/>
      <c r="GE22" s="493"/>
      <c r="GF22" s="493"/>
      <c r="GG22" s="493"/>
      <c r="GH22" s="493"/>
    </row>
    <row r="23" spans="1:190" s="475" customFormat="1" ht="12.75" customHeight="1">
      <c r="A23" s="1376" t="s">
        <v>1581</v>
      </c>
      <c r="B23" s="1376"/>
      <c r="C23" s="519" t="s">
        <v>1596</v>
      </c>
      <c r="D23" s="520"/>
      <c r="E23" s="520"/>
      <c r="F23" s="520"/>
      <c r="G23" s="520"/>
      <c r="H23" s="520"/>
      <c r="I23" s="520"/>
      <c r="J23" s="520"/>
      <c r="K23" s="520"/>
      <c r="L23" s="520"/>
      <c r="M23" s="521"/>
      <c r="N23" s="1377" t="s">
        <v>1171</v>
      </c>
      <c r="O23" s="1377"/>
      <c r="P23" s="1377"/>
      <c r="Q23" s="1378" t="s">
        <v>1578</v>
      </c>
      <c r="R23" s="1378"/>
      <c r="S23" s="1378"/>
      <c r="T23" s="1378"/>
      <c r="U23" s="1378"/>
      <c r="V23" s="1378" t="s">
        <v>1578</v>
      </c>
      <c r="W23" s="1378"/>
      <c r="X23" s="1378"/>
      <c r="Y23" s="1378"/>
      <c r="Z23" s="1378"/>
      <c r="AA23" s="1378" t="s">
        <v>1578</v>
      </c>
      <c r="AB23" s="1378"/>
      <c r="AC23" s="1378"/>
      <c r="AD23" s="1378"/>
      <c r="AE23" s="1378"/>
      <c r="AF23" s="1378" t="str">
        <f>IF($X$19&lt;&gt;"","Repasse",IF($AB$19&lt;&gt;"","Financia.","Rep/Financ"))</f>
        <v>Repasse</v>
      </c>
      <c r="AG23" s="1378"/>
      <c r="AH23" s="1378"/>
      <c r="AI23" s="1378"/>
      <c r="AJ23" s="1378"/>
      <c r="AK23" s="1378" t="s">
        <v>1597</v>
      </c>
      <c r="AL23" s="1378"/>
      <c r="AM23" s="1378"/>
      <c r="AN23" s="1378"/>
      <c r="AO23" s="1378"/>
      <c r="AP23" s="1378" t="s">
        <v>1598</v>
      </c>
      <c r="AQ23" s="1378"/>
      <c r="AR23" s="1378"/>
      <c r="AS23" s="1378"/>
      <c r="AT23" s="1378"/>
      <c r="AU23" s="1378" t="str">
        <f>IF($X$19&lt;&gt;"","Repasse (R$)",IF($AB$19&lt;&gt;"","Financ.(R$)","Rep/Financ."))</f>
        <v>Repasse (R$)</v>
      </c>
      <c r="AV23" s="1378"/>
      <c r="AW23" s="1378"/>
      <c r="AX23" s="1378"/>
      <c r="AY23" s="1378"/>
      <c r="AZ23" s="1378" t="s">
        <v>1599</v>
      </c>
      <c r="BA23" s="1378"/>
      <c r="BB23" s="1378"/>
      <c r="BC23" s="1378"/>
      <c r="BD23" s="1378"/>
      <c r="BE23" s="1378" t="s">
        <v>1600</v>
      </c>
      <c r="BF23" s="1378"/>
      <c r="BG23" s="1378"/>
      <c r="BH23" s="1378"/>
      <c r="BI23" s="1378"/>
      <c r="BJ23" s="1379" t="s">
        <v>1601</v>
      </c>
      <c r="BK23" s="1379"/>
      <c r="BL23" s="1379"/>
      <c r="BM23" s="1380" t="s">
        <v>1602</v>
      </c>
      <c r="BN23" s="1380"/>
      <c r="BO23" s="1380"/>
      <c r="BP23" s="510"/>
      <c r="BQ23" s="510"/>
      <c r="BR23" s="510"/>
      <c r="BS23" s="510"/>
      <c r="BT23" s="510"/>
      <c r="BU23" s="510"/>
      <c r="BV23" s="510"/>
      <c r="BW23" s="510"/>
      <c r="BX23" s="510"/>
      <c r="BY23" s="510"/>
      <c r="BZ23" s="510"/>
      <c r="CA23" s="510"/>
      <c r="CB23" s="510"/>
      <c r="CC23" s="510"/>
      <c r="CD23" s="510"/>
      <c r="CE23" s="510"/>
      <c r="CF23" s="510"/>
      <c r="CG23" s="510"/>
      <c r="CH23" s="510"/>
      <c r="CI23" s="510"/>
      <c r="CJ23" s="510"/>
      <c r="CK23" s="510"/>
      <c r="CL23" s="510"/>
      <c r="CM23" s="510"/>
      <c r="CN23" s="510"/>
      <c r="CO23" s="510"/>
      <c r="CP23" s="510"/>
      <c r="CQ23" s="510"/>
      <c r="CR23" s="510"/>
      <c r="CS23" s="510"/>
      <c r="CT23" s="510"/>
      <c r="CU23" s="510"/>
      <c r="CV23" s="510"/>
      <c r="CW23" s="510"/>
      <c r="CX23" s="510"/>
      <c r="CY23" s="510"/>
      <c r="CZ23" s="510"/>
      <c r="DA23" s="510"/>
      <c r="DB23" s="510"/>
      <c r="DC23" s="510"/>
      <c r="DD23" s="510"/>
      <c r="DE23" s="510"/>
      <c r="DF23" s="510"/>
      <c r="DG23" s="510"/>
      <c r="DH23" s="510"/>
      <c r="DI23" s="510"/>
      <c r="DJ23" s="510"/>
      <c r="DK23" s="510"/>
      <c r="DL23" s="510"/>
      <c r="DM23" s="510"/>
      <c r="DN23" s="510"/>
      <c r="DO23" s="510"/>
      <c r="DP23" s="510"/>
      <c r="DQ23" s="510"/>
      <c r="DR23" s="510"/>
      <c r="DS23" s="510"/>
      <c r="DT23" s="510"/>
      <c r="DU23" s="510"/>
      <c r="DV23" s="510"/>
      <c r="DW23" s="510"/>
      <c r="DX23" s="510"/>
      <c r="DY23" s="510"/>
      <c r="DZ23" s="510"/>
      <c r="EA23" s="510"/>
      <c r="EB23" s="510"/>
      <c r="EC23" s="510"/>
      <c r="ED23" s="510"/>
      <c r="EE23" s="510"/>
      <c r="EF23" s="510"/>
      <c r="EG23" s="510"/>
      <c r="EH23" s="510"/>
      <c r="EI23" s="510"/>
      <c r="EJ23" s="510"/>
      <c r="EK23" s="510"/>
      <c r="EL23" s="510"/>
      <c r="EM23" s="510"/>
      <c r="EN23" s="510"/>
      <c r="EO23" s="510"/>
      <c r="EP23" s="510"/>
      <c r="EQ23" s="510"/>
      <c r="ER23" s="510"/>
      <c r="ES23" s="510"/>
      <c r="ET23" s="510"/>
      <c r="EU23" s="510"/>
      <c r="EV23" s="510"/>
      <c r="EW23" s="510"/>
      <c r="EX23" s="510"/>
      <c r="EY23" s="510"/>
      <c r="EZ23" s="510"/>
      <c r="FA23" s="510"/>
      <c r="FB23" s="510"/>
      <c r="FC23" s="510"/>
      <c r="FD23" s="510"/>
      <c r="FE23" s="510"/>
      <c r="FF23" s="510"/>
      <c r="FG23" s="510"/>
      <c r="FH23" s="510"/>
      <c r="FI23" s="510"/>
      <c r="FJ23" s="510"/>
      <c r="FK23" s="510"/>
      <c r="FL23" s="510"/>
      <c r="FM23" s="510"/>
      <c r="FN23" s="510"/>
      <c r="FO23" s="510"/>
      <c r="FP23" s="510"/>
      <c r="FQ23" s="510"/>
      <c r="FR23" s="510"/>
      <c r="FS23" s="510"/>
      <c r="FT23" s="510"/>
      <c r="FU23" s="510"/>
      <c r="FV23" s="510"/>
      <c r="FW23" s="510"/>
      <c r="FX23" s="510"/>
      <c r="FY23" s="510"/>
      <c r="FZ23" s="510"/>
      <c r="GA23" s="510"/>
      <c r="GB23" s="510"/>
      <c r="GC23" s="510"/>
      <c r="GD23" s="510"/>
      <c r="GE23" s="510"/>
      <c r="GF23" s="510"/>
      <c r="GG23" s="510"/>
      <c r="GH23" s="510"/>
    </row>
    <row r="24" spans="1:190" s="475" customFormat="1" ht="12" customHeight="1">
      <c r="A24" s="1381"/>
      <c r="B24" s="1381"/>
      <c r="C24" s="1382"/>
      <c r="D24" s="1382"/>
      <c r="E24" s="1382"/>
      <c r="F24" s="1382"/>
      <c r="G24" s="1382"/>
      <c r="H24" s="1382"/>
      <c r="I24" s="1382"/>
      <c r="J24" s="1382"/>
      <c r="K24" s="1382"/>
      <c r="L24" s="1382"/>
      <c r="M24" s="1382"/>
      <c r="N24" s="1383"/>
      <c r="O24" s="1383"/>
      <c r="P24" s="1383"/>
      <c r="Q24" s="1384"/>
      <c r="R24" s="1384"/>
      <c r="S24" s="1384"/>
      <c r="T24" s="1384"/>
      <c r="U24" s="1384"/>
      <c r="V24" s="1384"/>
      <c r="W24" s="1384"/>
      <c r="X24" s="1384"/>
      <c r="Y24" s="1384"/>
      <c r="Z24" s="1384"/>
      <c r="AA24" s="1385"/>
      <c r="AB24" s="1385"/>
      <c r="AC24" s="1385"/>
      <c r="AD24" s="1385"/>
      <c r="AE24" s="1385"/>
      <c r="AF24" s="1386"/>
      <c r="AG24" s="1386"/>
      <c r="AH24" s="1386"/>
      <c r="AI24" s="1386"/>
      <c r="AJ24" s="1386"/>
      <c r="AK24" s="1385"/>
      <c r="AL24" s="1385"/>
      <c r="AM24" s="1385"/>
      <c r="AN24" s="1385"/>
      <c r="AO24" s="1385"/>
      <c r="AP24" s="1387"/>
      <c r="AQ24" s="1387"/>
      <c r="AR24" s="1387"/>
      <c r="AS24" s="1387"/>
      <c r="AT24" s="1387"/>
      <c r="AU24" s="1386"/>
      <c r="AV24" s="1386"/>
      <c r="AW24" s="1386"/>
      <c r="AX24" s="1386"/>
      <c r="AY24" s="1386"/>
      <c r="AZ24" s="1386"/>
      <c r="BA24" s="1386"/>
      <c r="BB24" s="1386"/>
      <c r="BC24" s="1386"/>
      <c r="BD24" s="1386"/>
      <c r="BE24" s="1387"/>
      <c r="BF24" s="1387"/>
      <c r="BG24" s="1387"/>
      <c r="BH24" s="1387"/>
      <c r="BI24" s="1387"/>
      <c r="BJ24" s="1383"/>
      <c r="BK24" s="1383"/>
      <c r="BL24" s="1383"/>
      <c r="BM24" s="1383"/>
      <c r="BN24" s="1383"/>
      <c r="BO24" s="1383"/>
    </row>
    <row r="25" spans="1:190" s="475" customFormat="1" ht="12" customHeight="1">
      <c r="A25" s="1381"/>
      <c r="B25" s="1381"/>
      <c r="C25" s="1382"/>
      <c r="D25" s="1382"/>
      <c r="E25" s="1382"/>
      <c r="F25" s="1382"/>
      <c r="G25" s="1382"/>
      <c r="H25" s="1382"/>
      <c r="I25" s="1382"/>
      <c r="J25" s="1382"/>
      <c r="K25" s="1382"/>
      <c r="L25" s="1382"/>
      <c r="M25" s="1382"/>
      <c r="N25" s="1388"/>
      <c r="O25" s="1388"/>
      <c r="P25" s="1388"/>
      <c r="Q25" s="1384"/>
      <c r="R25" s="1384"/>
      <c r="S25" s="1384"/>
      <c r="T25" s="1384"/>
      <c r="U25" s="1384"/>
      <c r="V25" s="1384"/>
      <c r="W25" s="1384"/>
      <c r="X25" s="1384"/>
      <c r="Y25" s="1384"/>
      <c r="Z25" s="1384"/>
      <c r="AA25" s="1385"/>
      <c r="AB25" s="1385"/>
      <c r="AC25" s="1385"/>
      <c r="AD25" s="1385"/>
      <c r="AE25" s="1385"/>
      <c r="AF25" s="1386"/>
      <c r="AG25" s="1386"/>
      <c r="AH25" s="1386"/>
      <c r="AI25" s="1386"/>
      <c r="AJ25" s="1386"/>
      <c r="AK25" s="1385"/>
      <c r="AL25" s="1385"/>
      <c r="AM25" s="1385"/>
      <c r="AN25" s="1385"/>
      <c r="AO25" s="1385"/>
      <c r="AP25" s="1387"/>
      <c r="AQ25" s="1387"/>
      <c r="AR25" s="1387"/>
      <c r="AS25" s="1387"/>
      <c r="AT25" s="1387"/>
      <c r="AU25" s="1386"/>
      <c r="AV25" s="1386"/>
      <c r="AW25" s="1386"/>
      <c r="AX25" s="1386"/>
      <c r="AY25" s="1386"/>
      <c r="AZ25" s="1386"/>
      <c r="BA25" s="1386"/>
      <c r="BB25" s="1386"/>
      <c r="BC25" s="1386"/>
      <c r="BD25" s="1386"/>
      <c r="BE25" s="1387"/>
      <c r="BF25" s="1387"/>
      <c r="BG25" s="1387"/>
      <c r="BH25" s="1387"/>
      <c r="BI25" s="1387"/>
      <c r="BJ25" s="1383"/>
      <c r="BK25" s="1383"/>
      <c r="BL25" s="1383"/>
      <c r="BM25" s="1383"/>
      <c r="BN25" s="1383"/>
      <c r="BO25" s="1383"/>
    </row>
    <row r="26" spans="1:190" s="475" customFormat="1" ht="12" customHeight="1">
      <c r="A26" s="1381"/>
      <c r="B26" s="1381"/>
      <c r="C26" s="1382"/>
      <c r="D26" s="1382"/>
      <c r="E26" s="1382"/>
      <c r="F26" s="1382"/>
      <c r="G26" s="1382"/>
      <c r="H26" s="1382"/>
      <c r="I26" s="1382"/>
      <c r="J26" s="1382"/>
      <c r="K26" s="1382"/>
      <c r="L26" s="1382"/>
      <c r="M26" s="1382"/>
      <c r="N26" s="1388"/>
      <c r="O26" s="1388"/>
      <c r="P26" s="1388"/>
      <c r="Q26" s="1384"/>
      <c r="R26" s="1384"/>
      <c r="S26" s="1384"/>
      <c r="T26" s="1384"/>
      <c r="U26" s="1384"/>
      <c r="V26" s="1384"/>
      <c r="W26" s="1384"/>
      <c r="X26" s="1384"/>
      <c r="Y26" s="1384"/>
      <c r="Z26" s="1384"/>
      <c r="AA26" s="1385"/>
      <c r="AB26" s="1385"/>
      <c r="AC26" s="1385"/>
      <c r="AD26" s="1385"/>
      <c r="AE26" s="1385"/>
      <c r="AF26" s="1386"/>
      <c r="AG26" s="1386"/>
      <c r="AH26" s="1386"/>
      <c r="AI26" s="1386"/>
      <c r="AJ26" s="1386"/>
      <c r="AK26" s="1386"/>
      <c r="AL26" s="1386"/>
      <c r="AM26" s="1386"/>
      <c r="AN26" s="1386"/>
      <c r="AO26" s="1386"/>
      <c r="AP26" s="1387"/>
      <c r="AQ26" s="1387"/>
      <c r="AR26" s="1387"/>
      <c r="AS26" s="1387"/>
      <c r="AT26" s="1387"/>
      <c r="AU26" s="1386"/>
      <c r="AV26" s="1386"/>
      <c r="AW26" s="1386"/>
      <c r="AX26" s="1386"/>
      <c r="AY26" s="1386"/>
      <c r="AZ26" s="1386"/>
      <c r="BA26" s="1386"/>
      <c r="BB26" s="1386"/>
      <c r="BC26" s="1386"/>
      <c r="BD26" s="1386"/>
      <c r="BE26" s="1387"/>
      <c r="BF26" s="1387"/>
      <c r="BG26" s="1387"/>
      <c r="BH26" s="1387"/>
      <c r="BI26" s="1387"/>
      <c r="BJ26" s="1383"/>
      <c r="BK26" s="1383"/>
      <c r="BL26" s="1383"/>
      <c r="BM26" s="1383"/>
      <c r="BN26" s="1383"/>
      <c r="BO26" s="1383"/>
    </row>
    <row r="27" spans="1:190" s="475" customFormat="1" ht="12" customHeight="1">
      <c r="A27" s="1381"/>
      <c r="B27" s="1381"/>
      <c r="C27" s="1382"/>
      <c r="D27" s="1382"/>
      <c r="E27" s="1382"/>
      <c r="F27" s="1382"/>
      <c r="G27" s="1382"/>
      <c r="H27" s="1382"/>
      <c r="I27" s="1382"/>
      <c r="J27" s="1382"/>
      <c r="K27" s="1382"/>
      <c r="L27" s="1382"/>
      <c r="M27" s="1382"/>
      <c r="N27" s="1388"/>
      <c r="O27" s="1388"/>
      <c r="P27" s="1388"/>
      <c r="Q27" s="1384"/>
      <c r="R27" s="1384"/>
      <c r="S27" s="1384"/>
      <c r="T27" s="1384"/>
      <c r="U27" s="1384"/>
      <c r="V27" s="1384"/>
      <c r="W27" s="1384"/>
      <c r="X27" s="1384"/>
      <c r="Y27" s="1384"/>
      <c r="Z27" s="1384"/>
      <c r="AA27" s="1385"/>
      <c r="AB27" s="1385"/>
      <c r="AC27" s="1385"/>
      <c r="AD27" s="1385"/>
      <c r="AE27" s="1385"/>
      <c r="AF27" s="1386"/>
      <c r="AG27" s="1386"/>
      <c r="AH27" s="1386"/>
      <c r="AI27" s="1386"/>
      <c r="AJ27" s="1386"/>
      <c r="AK27" s="1385"/>
      <c r="AL27" s="1385"/>
      <c r="AM27" s="1385"/>
      <c r="AN27" s="1385"/>
      <c r="AO27" s="1385"/>
      <c r="AP27" s="1384"/>
      <c r="AQ27" s="1384"/>
      <c r="AR27" s="1384"/>
      <c r="AS27" s="1384"/>
      <c r="AT27" s="1384"/>
      <c r="AU27" s="1386"/>
      <c r="AV27" s="1386"/>
      <c r="AW27" s="1386"/>
      <c r="AX27" s="1386"/>
      <c r="AY27" s="1386"/>
      <c r="AZ27" s="1386"/>
      <c r="BA27" s="1386"/>
      <c r="BB27" s="1386"/>
      <c r="BC27" s="1386"/>
      <c r="BD27" s="1386"/>
      <c r="BE27" s="1384"/>
      <c r="BF27" s="1384"/>
      <c r="BG27" s="1384"/>
      <c r="BH27" s="1384"/>
      <c r="BI27" s="1384"/>
      <c r="BJ27" s="1383"/>
      <c r="BK27" s="1383"/>
      <c r="BL27" s="1383"/>
      <c r="BM27" s="1383"/>
      <c r="BN27" s="1383"/>
      <c r="BO27" s="1383"/>
    </row>
    <row r="28" spans="1:190" s="475" customFormat="1" ht="12" customHeight="1">
      <c r="A28" s="1381"/>
      <c r="B28" s="1381"/>
      <c r="C28" s="1382"/>
      <c r="D28" s="1382"/>
      <c r="E28" s="1382"/>
      <c r="F28" s="1382"/>
      <c r="G28" s="1382"/>
      <c r="H28" s="1382"/>
      <c r="I28" s="1382"/>
      <c r="J28" s="1382"/>
      <c r="K28" s="1382"/>
      <c r="L28" s="1382"/>
      <c r="M28" s="1382"/>
      <c r="N28" s="1388"/>
      <c r="O28" s="1388"/>
      <c r="P28" s="1388"/>
      <c r="Q28" s="1384"/>
      <c r="R28" s="1384"/>
      <c r="S28" s="1384"/>
      <c r="T28" s="1384"/>
      <c r="U28" s="1384"/>
      <c r="V28" s="1384"/>
      <c r="W28" s="1384"/>
      <c r="X28" s="1384"/>
      <c r="Y28" s="1384"/>
      <c r="Z28" s="1384"/>
      <c r="AA28" s="1385"/>
      <c r="AB28" s="1385"/>
      <c r="AC28" s="1385"/>
      <c r="AD28" s="1385"/>
      <c r="AE28" s="1385"/>
      <c r="AF28" s="1386"/>
      <c r="AG28" s="1386"/>
      <c r="AH28" s="1386"/>
      <c r="AI28" s="1386"/>
      <c r="AJ28" s="1386"/>
      <c r="AK28" s="1385"/>
      <c r="AL28" s="1385"/>
      <c r="AM28" s="1385"/>
      <c r="AN28" s="1385"/>
      <c r="AO28" s="1385"/>
      <c r="AP28" s="1384"/>
      <c r="AQ28" s="1384"/>
      <c r="AR28" s="1384"/>
      <c r="AS28" s="1384"/>
      <c r="AT28" s="1384"/>
      <c r="AU28" s="1386"/>
      <c r="AV28" s="1386"/>
      <c r="AW28" s="1386"/>
      <c r="AX28" s="1386"/>
      <c r="AY28" s="1386"/>
      <c r="AZ28" s="1386"/>
      <c r="BA28" s="1386"/>
      <c r="BB28" s="1386"/>
      <c r="BC28" s="1386"/>
      <c r="BD28" s="1386"/>
      <c r="BE28" s="1387"/>
      <c r="BF28" s="1387"/>
      <c r="BG28" s="1387"/>
      <c r="BH28" s="1387"/>
      <c r="BI28" s="1387"/>
      <c r="BJ28" s="1383"/>
      <c r="BK28" s="1383"/>
      <c r="BL28" s="1383"/>
      <c r="BM28" s="1383"/>
      <c r="BN28" s="1383"/>
      <c r="BO28" s="1383"/>
    </row>
    <row r="29" spans="1:190" s="475" customFormat="1" ht="12" customHeight="1">
      <c r="A29" s="1381"/>
      <c r="B29" s="1381"/>
      <c r="C29" s="1382"/>
      <c r="D29" s="1382"/>
      <c r="E29" s="1382"/>
      <c r="F29" s="1382"/>
      <c r="G29" s="1382"/>
      <c r="H29" s="1382"/>
      <c r="I29" s="1382"/>
      <c r="J29" s="1382"/>
      <c r="K29" s="1382"/>
      <c r="L29" s="1382"/>
      <c r="M29" s="1382"/>
      <c r="N29" s="1388"/>
      <c r="O29" s="1388"/>
      <c r="P29" s="1388"/>
      <c r="Q29" s="1384"/>
      <c r="R29" s="1384"/>
      <c r="S29" s="1384"/>
      <c r="T29" s="1384"/>
      <c r="U29" s="1384"/>
      <c r="V29" s="1384"/>
      <c r="W29" s="1384"/>
      <c r="X29" s="1384"/>
      <c r="Y29" s="1384"/>
      <c r="Z29" s="1384"/>
      <c r="AA29" s="1385"/>
      <c r="AB29" s="1385"/>
      <c r="AC29" s="1385"/>
      <c r="AD29" s="1385"/>
      <c r="AE29" s="1385"/>
      <c r="AF29" s="1386"/>
      <c r="AG29" s="1386"/>
      <c r="AH29" s="1386"/>
      <c r="AI29" s="1386"/>
      <c r="AJ29" s="1386"/>
      <c r="AK29" s="1385"/>
      <c r="AL29" s="1385"/>
      <c r="AM29" s="1385"/>
      <c r="AN29" s="1385"/>
      <c r="AO29" s="1385"/>
      <c r="AP29" s="1387"/>
      <c r="AQ29" s="1387"/>
      <c r="AR29" s="1387"/>
      <c r="AS29" s="1387"/>
      <c r="AT29" s="1387"/>
      <c r="AU29" s="1386"/>
      <c r="AV29" s="1386"/>
      <c r="AW29" s="1386"/>
      <c r="AX29" s="1386"/>
      <c r="AY29" s="1386"/>
      <c r="AZ29" s="1386"/>
      <c r="BA29" s="1386"/>
      <c r="BB29" s="1386"/>
      <c r="BC29" s="1386"/>
      <c r="BD29" s="1386"/>
      <c r="BE29" s="1387"/>
      <c r="BF29" s="1387"/>
      <c r="BG29" s="1387"/>
      <c r="BH29" s="1387"/>
      <c r="BI29" s="1387"/>
      <c r="BJ29" s="1383"/>
      <c r="BK29" s="1383"/>
      <c r="BL29" s="1383"/>
      <c r="BM29" s="1383"/>
      <c r="BN29" s="1383"/>
      <c r="BO29" s="1383"/>
    </row>
    <row r="30" spans="1:190" s="475" customFormat="1" ht="12" customHeight="1">
      <c r="A30" s="1381"/>
      <c r="B30" s="1381"/>
      <c r="C30" s="1382"/>
      <c r="D30" s="1382"/>
      <c r="E30" s="1382"/>
      <c r="F30" s="1382"/>
      <c r="G30" s="1382"/>
      <c r="H30" s="1382"/>
      <c r="I30" s="1382"/>
      <c r="J30" s="1382"/>
      <c r="K30" s="1382"/>
      <c r="L30" s="1382"/>
      <c r="M30" s="1382"/>
      <c r="N30" s="1388"/>
      <c r="O30" s="1388"/>
      <c r="P30" s="1388"/>
      <c r="Q30" s="1384"/>
      <c r="R30" s="1384"/>
      <c r="S30" s="1384"/>
      <c r="T30" s="1384"/>
      <c r="U30" s="1384"/>
      <c r="V30" s="1384"/>
      <c r="W30" s="1384"/>
      <c r="X30" s="1384"/>
      <c r="Y30" s="1384"/>
      <c r="Z30" s="1384"/>
      <c r="AA30" s="1385"/>
      <c r="AB30" s="1385"/>
      <c r="AC30" s="1385"/>
      <c r="AD30" s="1385"/>
      <c r="AE30" s="1385"/>
      <c r="AF30" s="1386"/>
      <c r="AG30" s="1386"/>
      <c r="AH30" s="1386"/>
      <c r="AI30" s="1386"/>
      <c r="AJ30" s="1386"/>
      <c r="AK30" s="1385"/>
      <c r="AL30" s="1385"/>
      <c r="AM30" s="1385"/>
      <c r="AN30" s="1385"/>
      <c r="AO30" s="1385"/>
      <c r="AP30" s="1387"/>
      <c r="AQ30" s="1387"/>
      <c r="AR30" s="1387"/>
      <c r="AS30" s="1387"/>
      <c r="AT30" s="1387"/>
      <c r="AU30" s="1386"/>
      <c r="AV30" s="1386"/>
      <c r="AW30" s="1386"/>
      <c r="AX30" s="1386"/>
      <c r="AY30" s="1386"/>
      <c r="AZ30" s="1386"/>
      <c r="BA30" s="1386"/>
      <c r="BB30" s="1386"/>
      <c r="BC30" s="1386"/>
      <c r="BD30" s="1386"/>
      <c r="BE30" s="1387"/>
      <c r="BF30" s="1387"/>
      <c r="BG30" s="1387"/>
      <c r="BH30" s="1387"/>
      <c r="BI30" s="1387"/>
      <c r="BJ30" s="1383"/>
      <c r="BK30" s="1383"/>
      <c r="BL30" s="1383"/>
      <c r="BM30" s="1383"/>
      <c r="BN30" s="1383"/>
      <c r="BO30" s="1383"/>
    </row>
    <row r="31" spans="1:190" s="475" customFormat="1" ht="12" customHeight="1">
      <c r="A31" s="1381"/>
      <c r="B31" s="1381"/>
      <c r="C31" s="1382"/>
      <c r="D31" s="1382"/>
      <c r="E31" s="1382"/>
      <c r="F31" s="1382"/>
      <c r="G31" s="1382"/>
      <c r="H31" s="1382"/>
      <c r="I31" s="1382"/>
      <c r="J31" s="1382"/>
      <c r="K31" s="1382"/>
      <c r="L31" s="1382"/>
      <c r="M31" s="1382"/>
      <c r="N31" s="1388"/>
      <c r="O31" s="1388"/>
      <c r="P31" s="1388"/>
      <c r="Q31" s="1384"/>
      <c r="R31" s="1384"/>
      <c r="S31" s="1384"/>
      <c r="T31" s="1384"/>
      <c r="U31" s="1384"/>
      <c r="V31" s="1384"/>
      <c r="W31" s="1384"/>
      <c r="X31" s="1384"/>
      <c r="Y31" s="1384"/>
      <c r="Z31" s="1384"/>
      <c r="AA31" s="1385"/>
      <c r="AB31" s="1385"/>
      <c r="AC31" s="1385"/>
      <c r="AD31" s="1385"/>
      <c r="AE31" s="1385"/>
      <c r="AF31" s="1386"/>
      <c r="AG31" s="1386"/>
      <c r="AH31" s="1386"/>
      <c r="AI31" s="1386"/>
      <c r="AJ31" s="1386"/>
      <c r="AK31" s="1385"/>
      <c r="AL31" s="1385"/>
      <c r="AM31" s="1385"/>
      <c r="AN31" s="1385"/>
      <c r="AO31" s="1385"/>
      <c r="AP31" s="1387"/>
      <c r="AQ31" s="1387"/>
      <c r="AR31" s="1387"/>
      <c r="AS31" s="1387"/>
      <c r="AT31" s="1387"/>
      <c r="AU31" s="1386"/>
      <c r="AV31" s="1386"/>
      <c r="AW31" s="1386"/>
      <c r="AX31" s="1386"/>
      <c r="AY31" s="1386"/>
      <c r="AZ31" s="1386"/>
      <c r="BA31" s="1386"/>
      <c r="BB31" s="1386"/>
      <c r="BC31" s="1386"/>
      <c r="BD31" s="1386"/>
      <c r="BE31" s="1384"/>
      <c r="BF31" s="1384"/>
      <c r="BG31" s="1384"/>
      <c r="BH31" s="1384"/>
      <c r="BI31" s="1384"/>
      <c r="BJ31" s="1383"/>
      <c r="BK31" s="1383"/>
      <c r="BL31" s="1383"/>
      <c r="BM31" s="1383"/>
      <c r="BN31" s="1383"/>
      <c r="BO31" s="1383"/>
    </row>
    <row r="32" spans="1:190" s="475" customFormat="1" ht="12" customHeight="1">
      <c r="A32" s="1381"/>
      <c r="B32" s="1381"/>
      <c r="C32" s="1382"/>
      <c r="D32" s="1382"/>
      <c r="E32" s="1382"/>
      <c r="F32" s="1382"/>
      <c r="G32" s="1382"/>
      <c r="H32" s="1382"/>
      <c r="I32" s="1382"/>
      <c r="J32" s="1382"/>
      <c r="K32" s="1382"/>
      <c r="L32" s="1382"/>
      <c r="M32" s="1382"/>
      <c r="N32" s="1388"/>
      <c r="O32" s="1388"/>
      <c r="P32" s="1388"/>
      <c r="Q32" s="1384"/>
      <c r="R32" s="1384"/>
      <c r="S32" s="1384"/>
      <c r="T32" s="1384"/>
      <c r="U32" s="1384"/>
      <c r="V32" s="1384"/>
      <c r="W32" s="1384"/>
      <c r="X32" s="1384"/>
      <c r="Y32" s="1384"/>
      <c r="Z32" s="1384"/>
      <c r="AA32" s="1385"/>
      <c r="AB32" s="1385"/>
      <c r="AC32" s="1385"/>
      <c r="AD32" s="1385"/>
      <c r="AE32" s="1385"/>
      <c r="AF32" s="1386"/>
      <c r="AG32" s="1386"/>
      <c r="AH32" s="1386"/>
      <c r="AI32" s="1386"/>
      <c r="AJ32" s="1386"/>
      <c r="AK32" s="1385"/>
      <c r="AL32" s="1385"/>
      <c r="AM32" s="1385"/>
      <c r="AN32" s="1385"/>
      <c r="AO32" s="1385"/>
      <c r="AP32" s="1387"/>
      <c r="AQ32" s="1387"/>
      <c r="AR32" s="1387"/>
      <c r="AS32" s="1387"/>
      <c r="AT32" s="1387"/>
      <c r="AU32" s="1386"/>
      <c r="AV32" s="1386"/>
      <c r="AW32" s="1386"/>
      <c r="AX32" s="1386"/>
      <c r="AY32" s="1386"/>
      <c r="AZ32" s="1386"/>
      <c r="BA32" s="1386"/>
      <c r="BB32" s="1386"/>
      <c r="BC32" s="1386"/>
      <c r="BD32" s="1386"/>
      <c r="BE32" s="1384"/>
      <c r="BF32" s="1384"/>
      <c r="BG32" s="1384"/>
      <c r="BH32" s="1384"/>
      <c r="BI32" s="1384"/>
      <c r="BJ32" s="1383"/>
      <c r="BK32" s="1383"/>
      <c r="BL32" s="1383"/>
      <c r="BM32" s="1383"/>
      <c r="BN32" s="1383"/>
      <c r="BO32" s="1383"/>
    </row>
    <row r="33" spans="1:190" s="475" customFormat="1" ht="12" customHeight="1">
      <c r="A33" s="1381"/>
      <c r="B33" s="1381"/>
      <c r="C33" s="1382"/>
      <c r="D33" s="1382"/>
      <c r="E33" s="1382"/>
      <c r="F33" s="1382"/>
      <c r="G33" s="1382"/>
      <c r="H33" s="1382"/>
      <c r="I33" s="1382"/>
      <c r="J33" s="1382"/>
      <c r="K33" s="1382"/>
      <c r="L33" s="1382"/>
      <c r="M33" s="1382"/>
      <c r="N33" s="1388"/>
      <c r="O33" s="1388"/>
      <c r="P33" s="1388"/>
      <c r="Q33" s="1384"/>
      <c r="R33" s="1384"/>
      <c r="S33" s="1384"/>
      <c r="T33" s="1384"/>
      <c r="U33" s="1384"/>
      <c r="V33" s="1384"/>
      <c r="W33" s="1384"/>
      <c r="X33" s="1384"/>
      <c r="Y33" s="1384"/>
      <c r="Z33" s="1384"/>
      <c r="AA33" s="1385"/>
      <c r="AB33" s="1385"/>
      <c r="AC33" s="1385"/>
      <c r="AD33" s="1385"/>
      <c r="AE33" s="1385"/>
      <c r="AF33" s="1386"/>
      <c r="AG33" s="1386"/>
      <c r="AH33" s="1386"/>
      <c r="AI33" s="1386"/>
      <c r="AJ33" s="1386"/>
      <c r="AK33" s="1385"/>
      <c r="AL33" s="1385"/>
      <c r="AM33" s="1385"/>
      <c r="AN33" s="1385"/>
      <c r="AO33" s="1385"/>
      <c r="AP33" s="1387"/>
      <c r="AQ33" s="1387"/>
      <c r="AR33" s="1387"/>
      <c r="AS33" s="1387"/>
      <c r="AT33" s="1387"/>
      <c r="AU33" s="1386"/>
      <c r="AV33" s="1386"/>
      <c r="AW33" s="1386"/>
      <c r="AX33" s="1386"/>
      <c r="AY33" s="1386"/>
      <c r="AZ33" s="1386"/>
      <c r="BA33" s="1386"/>
      <c r="BB33" s="1386"/>
      <c r="BC33" s="1386"/>
      <c r="BD33" s="1386"/>
      <c r="BE33" s="1387"/>
      <c r="BF33" s="1387"/>
      <c r="BG33" s="1387"/>
      <c r="BH33" s="1387"/>
      <c r="BI33" s="1387"/>
      <c r="BJ33" s="522"/>
      <c r="BK33" s="523"/>
      <c r="BL33" s="524"/>
      <c r="BM33" s="1383"/>
      <c r="BN33" s="1383"/>
      <c r="BO33" s="1383"/>
    </row>
    <row r="34" spans="1:190" s="475" customFormat="1" ht="12" customHeight="1">
      <c r="A34" s="1381"/>
      <c r="B34" s="1381"/>
      <c r="C34" s="1382"/>
      <c r="D34" s="1382"/>
      <c r="E34" s="1382"/>
      <c r="F34" s="1382"/>
      <c r="G34" s="1382"/>
      <c r="H34" s="1382"/>
      <c r="I34" s="1382"/>
      <c r="J34" s="1382"/>
      <c r="K34" s="1382"/>
      <c r="L34" s="1382"/>
      <c r="M34" s="1382"/>
      <c r="N34" s="1388"/>
      <c r="O34" s="1388"/>
      <c r="P34" s="1388"/>
      <c r="Q34" s="1384"/>
      <c r="R34" s="1384"/>
      <c r="S34" s="1384"/>
      <c r="T34" s="1384"/>
      <c r="U34" s="1384"/>
      <c r="V34" s="1384"/>
      <c r="W34" s="1384"/>
      <c r="X34" s="1384"/>
      <c r="Y34" s="1384"/>
      <c r="Z34" s="1384"/>
      <c r="AA34" s="1385"/>
      <c r="AB34" s="1385"/>
      <c r="AC34" s="1385"/>
      <c r="AD34" s="1385"/>
      <c r="AE34" s="1385"/>
      <c r="AF34" s="1386"/>
      <c r="AG34" s="1386"/>
      <c r="AH34" s="1386"/>
      <c r="AI34" s="1386"/>
      <c r="AJ34" s="1386"/>
      <c r="AK34" s="1385"/>
      <c r="AL34" s="1385"/>
      <c r="AM34" s="1385"/>
      <c r="AN34" s="1385"/>
      <c r="AO34" s="1385"/>
      <c r="AP34" s="1387"/>
      <c r="AQ34" s="1387"/>
      <c r="AR34" s="1387"/>
      <c r="AS34" s="1387"/>
      <c r="AT34" s="1387"/>
      <c r="AU34" s="1386"/>
      <c r="AV34" s="1386"/>
      <c r="AW34" s="1386"/>
      <c r="AX34" s="1386"/>
      <c r="AY34" s="1386"/>
      <c r="AZ34" s="1386"/>
      <c r="BA34" s="1386"/>
      <c r="BB34" s="1386"/>
      <c r="BC34" s="1386"/>
      <c r="BD34" s="1386"/>
      <c r="BE34" s="1387"/>
      <c r="BF34" s="1387"/>
      <c r="BG34" s="1387"/>
      <c r="BH34" s="1387"/>
      <c r="BI34" s="1387"/>
      <c r="BJ34" s="522"/>
      <c r="BK34" s="523"/>
      <c r="BL34" s="524"/>
      <c r="BM34" s="1383"/>
      <c r="BN34" s="1383"/>
      <c r="BO34" s="1383"/>
    </row>
    <row r="35" spans="1:190" s="525" customFormat="1" ht="12" customHeight="1">
      <c r="A35" s="1381"/>
      <c r="B35" s="1381"/>
      <c r="C35" s="1382"/>
      <c r="D35" s="1382"/>
      <c r="E35" s="1382"/>
      <c r="F35" s="1382"/>
      <c r="G35" s="1382"/>
      <c r="H35" s="1382"/>
      <c r="I35" s="1382"/>
      <c r="J35" s="1382"/>
      <c r="K35" s="1382"/>
      <c r="L35" s="1382"/>
      <c r="M35" s="1382"/>
      <c r="N35" s="1388"/>
      <c r="O35" s="1388"/>
      <c r="P35" s="1388"/>
      <c r="Q35" s="1384"/>
      <c r="R35" s="1384"/>
      <c r="S35" s="1384"/>
      <c r="T35" s="1384"/>
      <c r="U35" s="1384"/>
      <c r="V35" s="1384"/>
      <c r="W35" s="1384"/>
      <c r="X35" s="1384"/>
      <c r="Y35" s="1384"/>
      <c r="Z35" s="1384"/>
      <c r="AA35" s="1385"/>
      <c r="AB35" s="1385"/>
      <c r="AC35" s="1385"/>
      <c r="AD35" s="1385"/>
      <c r="AE35" s="1385"/>
      <c r="AF35" s="1386"/>
      <c r="AG35" s="1386"/>
      <c r="AH35" s="1386"/>
      <c r="AI35" s="1386"/>
      <c r="AJ35" s="1386"/>
      <c r="AK35" s="1385"/>
      <c r="AL35" s="1385"/>
      <c r="AM35" s="1385"/>
      <c r="AN35" s="1385"/>
      <c r="AO35" s="1385"/>
      <c r="AP35" s="1387"/>
      <c r="AQ35" s="1387"/>
      <c r="AR35" s="1387"/>
      <c r="AS35" s="1387"/>
      <c r="AT35" s="1387"/>
      <c r="AU35" s="1386"/>
      <c r="AV35" s="1386"/>
      <c r="AW35" s="1386"/>
      <c r="AX35" s="1386"/>
      <c r="AY35" s="1386"/>
      <c r="AZ35" s="1386"/>
      <c r="BA35" s="1386"/>
      <c r="BB35" s="1386"/>
      <c r="BC35" s="1386"/>
      <c r="BD35" s="1386"/>
      <c r="BE35" s="1387"/>
      <c r="BF35" s="1387"/>
      <c r="BG35" s="1387"/>
      <c r="BH35" s="1387"/>
      <c r="BI35" s="1387"/>
      <c r="BJ35" s="1383"/>
      <c r="BK35" s="1383"/>
      <c r="BL35" s="1383"/>
      <c r="BM35" s="1383"/>
      <c r="BN35" s="1383"/>
      <c r="BO35" s="1383"/>
      <c r="BP35" s="475"/>
      <c r="BQ35" s="475"/>
      <c r="BR35" s="475"/>
      <c r="BS35" s="475"/>
      <c r="BT35" s="475"/>
      <c r="BU35" s="475"/>
      <c r="BV35" s="475"/>
      <c r="BW35" s="475"/>
      <c r="BX35" s="475"/>
      <c r="BY35" s="475"/>
      <c r="BZ35" s="475"/>
      <c r="CA35" s="475"/>
      <c r="CB35" s="475"/>
      <c r="CC35" s="475"/>
      <c r="CD35" s="475"/>
      <c r="CE35" s="475"/>
      <c r="CF35" s="475"/>
      <c r="CG35" s="475"/>
      <c r="CH35" s="475"/>
      <c r="CI35" s="475"/>
      <c r="CJ35" s="475"/>
      <c r="CK35" s="475"/>
      <c r="CL35" s="475"/>
      <c r="CM35" s="475"/>
      <c r="CN35" s="475"/>
      <c r="CO35" s="475"/>
      <c r="CP35" s="475"/>
      <c r="CQ35" s="475"/>
      <c r="CR35" s="475"/>
      <c r="CS35" s="475"/>
      <c r="CT35" s="475"/>
      <c r="CU35" s="475"/>
      <c r="CV35" s="475"/>
      <c r="CW35" s="475"/>
      <c r="CX35" s="475"/>
      <c r="CY35" s="475"/>
      <c r="CZ35" s="475"/>
      <c r="DA35" s="475"/>
      <c r="DB35" s="475"/>
      <c r="DC35" s="475"/>
      <c r="DD35" s="475"/>
      <c r="DE35" s="475"/>
      <c r="DF35" s="475"/>
      <c r="DG35" s="475"/>
      <c r="DH35" s="475"/>
      <c r="DI35" s="475"/>
      <c r="DJ35" s="475"/>
      <c r="DK35" s="475"/>
      <c r="DL35" s="475"/>
      <c r="DM35" s="475"/>
      <c r="DN35" s="475"/>
      <c r="DO35" s="475"/>
      <c r="DP35" s="475"/>
      <c r="DQ35" s="475"/>
      <c r="DR35" s="475"/>
      <c r="DS35" s="475"/>
      <c r="DT35" s="475"/>
      <c r="DU35" s="475"/>
      <c r="DV35" s="475"/>
      <c r="DW35" s="475"/>
      <c r="DX35" s="475"/>
      <c r="DY35" s="475"/>
      <c r="DZ35" s="475"/>
      <c r="EA35" s="475"/>
      <c r="EB35" s="475"/>
      <c r="EC35" s="475"/>
      <c r="ED35" s="475"/>
      <c r="EE35" s="475"/>
      <c r="EF35" s="475"/>
      <c r="EG35" s="475"/>
      <c r="EH35" s="475"/>
      <c r="EI35" s="475"/>
      <c r="EJ35" s="475"/>
      <c r="EK35" s="475"/>
      <c r="EL35" s="475"/>
      <c r="EM35" s="475"/>
      <c r="EN35" s="475"/>
      <c r="EO35" s="475"/>
      <c r="EP35" s="475"/>
      <c r="EQ35" s="475"/>
      <c r="ER35" s="475"/>
      <c r="ES35" s="475"/>
      <c r="ET35" s="475"/>
      <c r="EU35" s="475"/>
      <c r="EV35" s="475"/>
      <c r="EW35" s="475"/>
      <c r="EX35" s="475"/>
      <c r="EY35" s="475"/>
      <c r="EZ35" s="475"/>
      <c r="FA35" s="475"/>
      <c r="FB35" s="475"/>
      <c r="FC35" s="475"/>
      <c r="FD35" s="475"/>
      <c r="FE35" s="475"/>
      <c r="FF35" s="475"/>
      <c r="FG35" s="475"/>
      <c r="FH35" s="475"/>
      <c r="FI35" s="475"/>
      <c r="FJ35" s="475"/>
      <c r="FK35" s="475"/>
      <c r="FL35" s="475"/>
      <c r="FM35" s="475"/>
      <c r="FN35" s="475"/>
      <c r="FO35" s="475"/>
      <c r="FP35" s="475"/>
      <c r="FQ35" s="475"/>
      <c r="FR35" s="475"/>
      <c r="FS35" s="475"/>
      <c r="FT35" s="475"/>
      <c r="FU35" s="475"/>
      <c r="FV35" s="475"/>
      <c r="FW35" s="475"/>
      <c r="FX35" s="475"/>
      <c r="FY35" s="475"/>
      <c r="FZ35" s="475"/>
      <c r="GA35" s="475"/>
      <c r="GB35" s="475"/>
      <c r="GC35" s="475"/>
      <c r="GD35" s="475"/>
      <c r="GE35" s="475"/>
      <c r="GF35" s="475"/>
      <c r="GG35" s="475"/>
      <c r="GH35" s="475"/>
    </row>
    <row r="36" spans="1:190" s="525" customFormat="1" ht="12" customHeight="1">
      <c r="A36" s="1381"/>
      <c r="B36" s="1381"/>
      <c r="C36" s="1382"/>
      <c r="D36" s="1382"/>
      <c r="E36" s="1382"/>
      <c r="F36" s="1382"/>
      <c r="G36" s="1382"/>
      <c r="H36" s="1382"/>
      <c r="I36" s="1382"/>
      <c r="J36" s="1382"/>
      <c r="K36" s="1382"/>
      <c r="L36" s="1382"/>
      <c r="M36" s="1382"/>
      <c r="N36" s="1388"/>
      <c r="O36" s="1388"/>
      <c r="P36" s="1388"/>
      <c r="Q36" s="1384"/>
      <c r="R36" s="1384"/>
      <c r="S36" s="1384"/>
      <c r="T36" s="1384"/>
      <c r="U36" s="1384"/>
      <c r="V36" s="1384"/>
      <c r="W36" s="1384"/>
      <c r="X36" s="1384"/>
      <c r="Y36" s="1384"/>
      <c r="Z36" s="1384"/>
      <c r="AA36" s="1385"/>
      <c r="AB36" s="1385"/>
      <c r="AC36" s="1385"/>
      <c r="AD36" s="1385"/>
      <c r="AE36" s="1385"/>
      <c r="AF36" s="1386"/>
      <c r="AG36" s="1386"/>
      <c r="AH36" s="1386"/>
      <c r="AI36" s="1386"/>
      <c r="AJ36" s="1386"/>
      <c r="AK36" s="1385"/>
      <c r="AL36" s="1385"/>
      <c r="AM36" s="1385"/>
      <c r="AN36" s="1385"/>
      <c r="AO36" s="1385"/>
      <c r="AP36" s="1387"/>
      <c r="AQ36" s="1387"/>
      <c r="AR36" s="1387"/>
      <c r="AS36" s="1387"/>
      <c r="AT36" s="1387"/>
      <c r="AU36" s="1386"/>
      <c r="AV36" s="1386"/>
      <c r="AW36" s="1386"/>
      <c r="AX36" s="1386"/>
      <c r="AY36" s="1386"/>
      <c r="AZ36" s="1386"/>
      <c r="BA36" s="1386"/>
      <c r="BB36" s="1386"/>
      <c r="BC36" s="1386"/>
      <c r="BD36" s="1386"/>
      <c r="BE36" s="1387"/>
      <c r="BF36" s="1387"/>
      <c r="BG36" s="1387"/>
      <c r="BH36" s="1387"/>
      <c r="BI36" s="1387"/>
      <c r="BJ36" s="1383"/>
      <c r="BK36" s="1383"/>
      <c r="BL36" s="1383"/>
      <c r="BM36" s="1383"/>
      <c r="BN36" s="1383"/>
      <c r="BO36" s="1383"/>
      <c r="BP36" s="475"/>
      <c r="BQ36" s="475"/>
      <c r="BR36" s="475"/>
      <c r="BS36" s="475"/>
      <c r="BT36" s="475"/>
      <c r="BU36" s="475"/>
      <c r="BV36" s="475"/>
      <c r="BW36" s="475"/>
      <c r="BX36" s="475"/>
      <c r="BY36" s="475"/>
      <c r="BZ36" s="475"/>
      <c r="CA36" s="475"/>
      <c r="CB36" s="475"/>
      <c r="CC36" s="475"/>
      <c r="CD36" s="475"/>
      <c r="CE36" s="475"/>
      <c r="CF36" s="475"/>
      <c r="CG36" s="475"/>
      <c r="CH36" s="475"/>
      <c r="CI36" s="475"/>
      <c r="CJ36" s="475"/>
      <c r="CK36" s="475"/>
      <c r="CL36" s="475"/>
      <c r="CM36" s="475"/>
      <c r="CN36" s="475"/>
      <c r="CO36" s="475"/>
      <c r="CP36" s="475"/>
      <c r="CQ36" s="475"/>
      <c r="CR36" s="475"/>
      <c r="CS36" s="475"/>
      <c r="CT36" s="475"/>
      <c r="CU36" s="475"/>
      <c r="CV36" s="475"/>
      <c r="CW36" s="475"/>
      <c r="CX36" s="475"/>
      <c r="CY36" s="475"/>
      <c r="CZ36" s="475"/>
      <c r="DA36" s="475"/>
      <c r="DB36" s="475"/>
      <c r="DC36" s="475"/>
      <c r="DD36" s="475"/>
      <c r="DE36" s="475"/>
      <c r="DF36" s="475"/>
      <c r="DG36" s="475"/>
      <c r="DH36" s="475"/>
      <c r="DI36" s="475"/>
      <c r="DJ36" s="475"/>
      <c r="DK36" s="475"/>
      <c r="DL36" s="475"/>
      <c r="DM36" s="475"/>
      <c r="DN36" s="475"/>
      <c r="DO36" s="475"/>
      <c r="DP36" s="475"/>
      <c r="DQ36" s="475"/>
      <c r="DR36" s="475"/>
      <c r="DS36" s="475"/>
      <c r="DT36" s="475"/>
      <c r="DU36" s="475"/>
      <c r="DV36" s="475"/>
      <c r="DW36" s="475"/>
      <c r="DX36" s="475"/>
      <c r="DY36" s="475"/>
      <c r="DZ36" s="475"/>
      <c r="EA36" s="475"/>
      <c r="EB36" s="475"/>
      <c r="EC36" s="475"/>
      <c r="ED36" s="475"/>
      <c r="EE36" s="475"/>
      <c r="EF36" s="475"/>
      <c r="EG36" s="475"/>
      <c r="EH36" s="475"/>
      <c r="EI36" s="475"/>
      <c r="EJ36" s="475"/>
      <c r="EK36" s="475"/>
      <c r="EL36" s="475"/>
      <c r="EM36" s="475"/>
      <c r="EN36" s="475"/>
      <c r="EO36" s="475"/>
      <c r="EP36" s="475"/>
      <c r="EQ36" s="475"/>
      <c r="ER36" s="475"/>
      <c r="ES36" s="475"/>
      <c r="ET36" s="475"/>
      <c r="EU36" s="475"/>
      <c r="EV36" s="475"/>
      <c r="EW36" s="475"/>
      <c r="EX36" s="475"/>
      <c r="EY36" s="475"/>
      <c r="EZ36" s="475"/>
      <c r="FA36" s="475"/>
      <c r="FB36" s="475"/>
      <c r="FC36" s="475"/>
      <c r="FD36" s="475"/>
      <c r="FE36" s="475"/>
      <c r="FF36" s="475"/>
      <c r="FG36" s="475"/>
      <c r="FH36" s="475"/>
      <c r="FI36" s="475"/>
      <c r="FJ36" s="475"/>
      <c r="FK36" s="475"/>
      <c r="FL36" s="475"/>
      <c r="FM36" s="475"/>
      <c r="FN36" s="475"/>
      <c r="FO36" s="475"/>
      <c r="FP36" s="475"/>
      <c r="FQ36" s="475"/>
      <c r="FR36" s="475"/>
      <c r="FS36" s="475"/>
      <c r="FT36" s="475"/>
      <c r="FU36" s="475"/>
      <c r="FV36" s="475"/>
      <c r="FW36" s="475"/>
      <c r="FX36" s="475"/>
      <c r="FY36" s="475"/>
      <c r="FZ36" s="475"/>
      <c r="GA36" s="475"/>
      <c r="GB36" s="475"/>
      <c r="GC36" s="475"/>
      <c r="GD36" s="475"/>
      <c r="GE36" s="475"/>
      <c r="GF36" s="475"/>
      <c r="GG36" s="475"/>
      <c r="GH36" s="475"/>
    </row>
    <row r="37" spans="1:190" s="473" customFormat="1" ht="12" customHeight="1">
      <c r="A37" s="526"/>
      <c r="B37" s="527"/>
      <c r="C37" s="528"/>
      <c r="D37" s="529"/>
      <c r="E37" s="529"/>
      <c r="F37" s="529"/>
      <c r="G37" s="529"/>
      <c r="H37" s="529"/>
      <c r="I37" s="529"/>
      <c r="J37" s="529"/>
      <c r="K37" s="529"/>
      <c r="L37" s="529"/>
      <c r="M37" s="530"/>
      <c r="N37" s="531"/>
      <c r="O37" s="532"/>
      <c r="P37" s="533"/>
      <c r="Q37" s="534"/>
      <c r="R37" s="535"/>
      <c r="S37" s="535"/>
      <c r="T37" s="535"/>
      <c r="U37" s="536"/>
      <c r="V37" s="534"/>
      <c r="W37" s="535"/>
      <c r="X37" s="535"/>
      <c r="Y37" s="535"/>
      <c r="Z37" s="536"/>
      <c r="AA37" s="537"/>
      <c r="AB37" s="538"/>
      <c r="AC37" s="538"/>
      <c r="AD37" s="538"/>
      <c r="AE37" s="539"/>
      <c r="AF37" s="537"/>
      <c r="AG37" s="538"/>
      <c r="AH37" s="538"/>
      <c r="AI37" s="538"/>
      <c r="AJ37" s="539"/>
      <c r="AK37" s="537"/>
      <c r="AL37" s="538"/>
      <c r="AM37" s="538"/>
      <c r="AN37" s="538"/>
      <c r="AO37" s="539"/>
      <c r="AP37" s="534"/>
      <c r="AQ37" s="535"/>
      <c r="AR37" s="535"/>
      <c r="AS37" s="535"/>
      <c r="AT37" s="536"/>
      <c r="AU37" s="540"/>
      <c r="AV37" s="541"/>
      <c r="AW37" s="541"/>
      <c r="AX37" s="541"/>
      <c r="AY37" s="542"/>
      <c r="AZ37" s="540"/>
      <c r="BA37" s="541"/>
      <c r="BB37" s="541"/>
      <c r="BC37" s="541"/>
      <c r="BD37" s="542"/>
      <c r="BE37" s="534"/>
      <c r="BF37" s="535"/>
      <c r="BG37" s="535"/>
      <c r="BH37" s="535"/>
      <c r="BI37" s="536"/>
      <c r="BJ37" s="522"/>
      <c r="BK37" s="523"/>
      <c r="BL37" s="524"/>
      <c r="BM37" s="522"/>
      <c r="BN37" s="523"/>
      <c r="BO37" s="524"/>
      <c r="BP37" s="475"/>
      <c r="BQ37" s="475"/>
      <c r="BR37" s="475"/>
      <c r="BS37" s="475"/>
      <c r="BT37" s="475"/>
      <c r="BU37" s="475"/>
      <c r="BV37" s="475"/>
      <c r="BW37" s="475"/>
      <c r="BX37" s="475"/>
      <c r="BY37" s="475"/>
      <c r="BZ37" s="475"/>
      <c r="CA37" s="475"/>
      <c r="CB37" s="475"/>
      <c r="CC37" s="475"/>
      <c r="CD37" s="475"/>
      <c r="CE37" s="475"/>
      <c r="CF37" s="475"/>
      <c r="CG37" s="475"/>
      <c r="CH37" s="475"/>
      <c r="CI37" s="475"/>
      <c r="CJ37" s="475"/>
      <c r="CK37" s="475"/>
      <c r="CL37" s="475"/>
      <c r="CM37" s="475"/>
      <c r="CN37" s="475"/>
      <c r="CO37" s="475"/>
      <c r="CP37" s="475"/>
      <c r="CQ37" s="475"/>
      <c r="CR37" s="475"/>
      <c r="CS37" s="475"/>
      <c r="CT37" s="475"/>
      <c r="CU37" s="475"/>
      <c r="CV37" s="475"/>
      <c r="CW37" s="475"/>
      <c r="CX37" s="475"/>
      <c r="CY37" s="475"/>
      <c r="CZ37" s="475"/>
      <c r="DA37" s="475"/>
      <c r="DB37" s="475"/>
      <c r="DC37" s="475"/>
      <c r="DD37" s="475"/>
      <c r="DE37" s="475"/>
      <c r="DF37" s="475"/>
      <c r="DG37" s="475"/>
      <c r="DH37" s="475"/>
      <c r="DI37" s="475"/>
      <c r="DJ37" s="475"/>
      <c r="DK37" s="475"/>
      <c r="DL37" s="475"/>
      <c r="DM37" s="475"/>
      <c r="DN37" s="475"/>
      <c r="DO37" s="475"/>
      <c r="DP37" s="475"/>
      <c r="DQ37" s="475"/>
      <c r="DR37" s="475"/>
      <c r="DS37" s="475"/>
      <c r="DT37" s="475"/>
      <c r="DU37" s="475"/>
      <c r="DV37" s="475"/>
      <c r="DW37" s="475"/>
      <c r="DX37" s="475"/>
      <c r="DY37" s="475"/>
      <c r="DZ37" s="475"/>
      <c r="EA37" s="475"/>
      <c r="EB37" s="475"/>
      <c r="EC37" s="475"/>
      <c r="ED37" s="475"/>
      <c r="EE37" s="475"/>
      <c r="EF37" s="475"/>
      <c r="EG37" s="475"/>
      <c r="EH37" s="475"/>
      <c r="EI37" s="475"/>
      <c r="EJ37" s="475"/>
      <c r="EK37" s="475"/>
      <c r="EL37" s="475"/>
      <c r="EM37" s="475"/>
      <c r="EN37" s="475"/>
      <c r="EO37" s="475"/>
      <c r="EP37" s="475"/>
      <c r="EQ37" s="475"/>
      <c r="ER37" s="475"/>
      <c r="ES37" s="475"/>
      <c r="ET37" s="475"/>
      <c r="EU37" s="475"/>
      <c r="EV37" s="475"/>
      <c r="EW37" s="475"/>
      <c r="EX37" s="475"/>
      <c r="EY37" s="475"/>
      <c r="EZ37" s="475"/>
      <c r="FA37" s="475"/>
      <c r="FB37" s="475"/>
      <c r="FC37" s="475"/>
      <c r="FD37" s="475"/>
      <c r="FE37" s="475"/>
      <c r="FF37" s="475"/>
      <c r="FG37" s="475"/>
      <c r="FH37" s="475"/>
      <c r="FI37" s="475"/>
      <c r="FJ37" s="475"/>
      <c r="FK37" s="475"/>
      <c r="FL37" s="475"/>
      <c r="FM37" s="475"/>
      <c r="FN37" s="475"/>
      <c r="FO37" s="475"/>
      <c r="FP37" s="475"/>
      <c r="FQ37" s="475"/>
      <c r="FR37" s="475"/>
      <c r="FS37" s="475"/>
      <c r="FT37" s="475"/>
      <c r="FU37" s="475"/>
      <c r="FV37" s="475"/>
      <c r="FW37" s="475"/>
      <c r="FX37" s="475"/>
      <c r="FY37" s="475"/>
      <c r="FZ37" s="475"/>
      <c r="GA37" s="475"/>
      <c r="GB37" s="475"/>
      <c r="GC37" s="475"/>
      <c r="GD37" s="475"/>
      <c r="GE37" s="475"/>
      <c r="GF37" s="475"/>
      <c r="GG37" s="475"/>
      <c r="GH37" s="475"/>
    </row>
    <row r="38" spans="1:190" s="493" customFormat="1" ht="12" customHeight="1">
      <c r="A38" s="543" t="s">
        <v>1603</v>
      </c>
      <c r="B38" s="544"/>
      <c r="C38" s="544"/>
      <c r="D38" s="544"/>
      <c r="E38" s="544"/>
      <c r="F38" s="544"/>
      <c r="G38" s="544"/>
      <c r="H38" s="544"/>
      <c r="I38" s="544"/>
      <c r="J38" s="544"/>
      <c r="K38" s="544"/>
      <c r="L38" s="544"/>
      <c r="M38" s="544"/>
      <c r="N38" s="1389">
        <f>SUM(N24:P37)</f>
        <v>0</v>
      </c>
      <c r="O38" s="1389"/>
      <c r="P38" s="1389"/>
      <c r="Q38" s="1390">
        <f>SUM(Q21:U37)</f>
        <v>0</v>
      </c>
      <c r="R38" s="1390"/>
      <c r="S38" s="1390"/>
      <c r="T38" s="1390"/>
      <c r="U38" s="1390"/>
      <c r="V38" s="1390">
        <f>SUM(V21:Z37)</f>
        <v>0</v>
      </c>
      <c r="W38" s="1390"/>
      <c r="X38" s="1390"/>
      <c r="Y38" s="1390"/>
      <c r="Z38" s="1390"/>
      <c r="AA38" s="1390">
        <f>SUM(AA21:AE37)</f>
        <v>0</v>
      </c>
      <c r="AB38" s="1390"/>
      <c r="AC38" s="1390"/>
      <c r="AD38" s="1390"/>
      <c r="AE38" s="1390"/>
      <c r="AF38" s="1390">
        <f>SUM(AF21:AJ37)</f>
        <v>0</v>
      </c>
      <c r="AG38" s="1390"/>
      <c r="AH38" s="1390"/>
      <c r="AI38" s="1390"/>
      <c r="AJ38" s="1390"/>
      <c r="AK38" s="1390">
        <f>SUM(AK21:AK37)</f>
        <v>0</v>
      </c>
      <c r="AL38" s="1390"/>
      <c r="AM38" s="1390"/>
      <c r="AN38" s="1390"/>
      <c r="AO38" s="1390"/>
      <c r="AP38" s="1390">
        <f>SUM(AP21:AT37)</f>
        <v>0</v>
      </c>
      <c r="AQ38" s="1390"/>
      <c r="AR38" s="1390"/>
      <c r="AS38" s="1390"/>
      <c r="AT38" s="1390"/>
      <c r="AU38" s="1390">
        <f>SUM(AU21:AY37)</f>
        <v>0</v>
      </c>
      <c r="AV38" s="1390"/>
      <c r="AW38" s="1390"/>
      <c r="AX38" s="1390"/>
      <c r="AY38" s="1390"/>
      <c r="AZ38" s="1390">
        <f>SUM(AZ21:BD37)</f>
        <v>0</v>
      </c>
      <c r="BA38" s="1390"/>
      <c r="BB38" s="1390"/>
      <c r="BC38" s="1390"/>
      <c r="BD38" s="1390"/>
      <c r="BE38" s="1390">
        <f>SUM(BE21:BI37)</f>
        <v>0</v>
      </c>
      <c r="BF38" s="1390"/>
      <c r="BG38" s="1390"/>
      <c r="BH38" s="1390"/>
      <c r="BI38" s="1390"/>
      <c r="BJ38" s="1391">
        <f>IF(V38=0,0,(BE38/V38)*100)</f>
        <v>0</v>
      </c>
      <c r="BK38" s="1391"/>
      <c r="BL38" s="1391"/>
      <c r="BM38" s="1391">
        <f>IF(Q38=0,0,(BE38/Q38)*100)</f>
        <v>0</v>
      </c>
      <c r="BN38" s="1391"/>
      <c r="BO38" s="1391"/>
      <c r="BP38" s="473"/>
      <c r="BQ38" s="475"/>
      <c r="BR38" s="475"/>
      <c r="BS38" s="475"/>
      <c r="BT38" s="475"/>
      <c r="BU38" s="475"/>
      <c r="BV38" s="475"/>
      <c r="BW38" s="475"/>
      <c r="BX38" s="475"/>
      <c r="BY38" s="475"/>
      <c r="BZ38" s="475"/>
      <c r="CA38" s="475"/>
      <c r="CB38" s="475"/>
      <c r="CC38" s="475"/>
      <c r="CD38" s="475"/>
      <c r="CE38" s="475"/>
      <c r="CF38" s="475"/>
      <c r="CG38" s="475"/>
      <c r="CH38" s="475"/>
      <c r="CI38" s="475"/>
      <c r="CJ38" s="475"/>
      <c r="CK38" s="475"/>
      <c r="CL38" s="475"/>
      <c r="CM38" s="473"/>
      <c r="CN38" s="473"/>
      <c r="CO38" s="473"/>
      <c r="CP38" s="473"/>
      <c r="CQ38" s="473"/>
      <c r="CR38" s="473"/>
      <c r="CS38" s="473"/>
      <c r="CT38" s="473"/>
      <c r="CU38" s="473"/>
      <c r="CV38" s="473"/>
      <c r="CW38" s="473"/>
      <c r="CX38" s="473"/>
      <c r="CY38" s="473"/>
      <c r="CZ38" s="473"/>
      <c r="DA38" s="473"/>
      <c r="DB38" s="473"/>
      <c r="DC38" s="473"/>
      <c r="DD38" s="473"/>
      <c r="DE38" s="473"/>
      <c r="DF38" s="473"/>
      <c r="DG38" s="473"/>
      <c r="DH38" s="473"/>
      <c r="DI38" s="473"/>
      <c r="DJ38" s="473"/>
      <c r="DK38" s="473"/>
      <c r="DL38" s="473"/>
      <c r="DM38" s="473"/>
      <c r="DN38" s="473"/>
      <c r="DO38" s="473"/>
      <c r="DP38" s="473"/>
      <c r="DQ38" s="473"/>
      <c r="DR38" s="473"/>
      <c r="DS38" s="473"/>
      <c r="DT38" s="473"/>
      <c r="DU38" s="473"/>
      <c r="DV38" s="473"/>
      <c r="DW38" s="473"/>
      <c r="DX38" s="473"/>
      <c r="DY38" s="473"/>
      <c r="DZ38" s="473"/>
      <c r="EA38" s="473"/>
      <c r="EB38" s="473"/>
      <c r="EC38" s="473"/>
      <c r="ED38" s="473"/>
      <c r="EE38" s="473"/>
      <c r="EF38" s="473"/>
      <c r="EG38" s="473"/>
      <c r="EH38" s="473"/>
      <c r="EI38" s="473"/>
      <c r="EJ38" s="473"/>
      <c r="EK38" s="473"/>
      <c r="EL38" s="473"/>
      <c r="EM38" s="473"/>
      <c r="EN38" s="473"/>
      <c r="EO38" s="473"/>
      <c r="EP38" s="473"/>
      <c r="EQ38" s="473"/>
      <c r="ER38" s="473"/>
      <c r="ES38" s="473"/>
      <c r="ET38" s="473"/>
      <c r="EU38" s="473"/>
      <c r="EV38" s="473"/>
      <c r="EW38" s="473"/>
      <c r="EX38" s="473"/>
      <c r="EY38" s="473"/>
      <c r="EZ38" s="473"/>
      <c r="FA38" s="473"/>
      <c r="FB38" s="473"/>
      <c r="FC38" s="473"/>
      <c r="FD38" s="473"/>
      <c r="FE38" s="473"/>
      <c r="FF38" s="473"/>
      <c r="FG38" s="473"/>
      <c r="FH38" s="473"/>
      <c r="FI38" s="473"/>
      <c r="FJ38" s="473"/>
      <c r="FK38" s="473"/>
      <c r="FL38" s="473"/>
      <c r="FM38" s="473"/>
      <c r="FN38" s="473"/>
      <c r="FO38" s="473"/>
      <c r="FP38" s="473"/>
      <c r="FQ38" s="473"/>
      <c r="FR38" s="473"/>
      <c r="FS38" s="473"/>
      <c r="FT38" s="473"/>
      <c r="FU38" s="473"/>
      <c r="FV38" s="473"/>
      <c r="FW38" s="473"/>
      <c r="FX38" s="473"/>
      <c r="FY38" s="473"/>
      <c r="FZ38" s="473"/>
      <c r="GA38" s="473"/>
      <c r="GB38" s="473"/>
      <c r="GC38" s="473"/>
      <c r="GD38" s="473"/>
      <c r="GE38" s="473"/>
      <c r="GF38" s="473"/>
      <c r="GG38" s="473"/>
      <c r="GH38" s="473"/>
    </row>
    <row r="39" spans="1:190" ht="12" customHeight="1">
      <c r="A39" s="545"/>
      <c r="B39" s="546"/>
      <c r="C39" s="547"/>
      <c r="D39" s="548"/>
      <c r="E39" s="548"/>
      <c r="F39" s="548"/>
      <c r="G39" s="548"/>
      <c r="H39" s="548"/>
      <c r="I39" s="548"/>
      <c r="J39" s="548"/>
      <c r="K39" s="548"/>
      <c r="L39" s="548"/>
      <c r="M39" s="549"/>
      <c r="N39" s="550"/>
      <c r="O39" s="551"/>
      <c r="P39" s="552"/>
      <c r="Q39" s="553"/>
      <c r="R39" s="554"/>
      <c r="S39" s="554"/>
      <c r="T39" s="554"/>
      <c r="U39" s="555"/>
      <c r="V39" s="553"/>
      <c r="W39" s="554"/>
      <c r="X39" s="554"/>
      <c r="Y39" s="554"/>
      <c r="Z39" s="555"/>
      <c r="AA39" s="556"/>
      <c r="AB39" s="557"/>
      <c r="AC39" s="557"/>
      <c r="AD39" s="557"/>
      <c r="AE39" s="558"/>
      <c r="AF39" s="556"/>
      <c r="AG39" s="557"/>
      <c r="AH39" s="557"/>
      <c r="AI39" s="557"/>
      <c r="AJ39" s="558"/>
      <c r="AK39" s="559"/>
      <c r="AL39" s="560"/>
      <c r="AM39" s="560"/>
      <c r="AN39" s="560"/>
      <c r="AO39" s="561"/>
      <c r="AP39" s="553"/>
      <c r="AQ39" s="554"/>
      <c r="AR39" s="554"/>
      <c r="AS39" s="554"/>
      <c r="AT39" s="555"/>
      <c r="AU39" s="562"/>
      <c r="AV39" s="563"/>
      <c r="AW39" s="563"/>
      <c r="AX39" s="563"/>
      <c r="AY39" s="564"/>
      <c r="AZ39" s="562"/>
      <c r="BA39" s="563"/>
      <c r="BB39" s="565"/>
      <c r="BC39" s="565"/>
      <c r="BD39" s="564"/>
      <c r="BE39" s="553"/>
      <c r="BF39" s="554"/>
      <c r="BG39" s="554"/>
      <c r="BH39" s="554"/>
      <c r="BI39" s="555"/>
      <c r="BJ39" s="566"/>
      <c r="BK39" s="567"/>
      <c r="BL39" s="568"/>
      <c r="BM39" s="566"/>
      <c r="BN39" s="567"/>
      <c r="BO39" s="568"/>
      <c r="BP39" s="525"/>
      <c r="BQ39" s="525"/>
      <c r="BR39" s="525"/>
      <c r="BS39" s="525"/>
      <c r="BT39" s="525"/>
      <c r="BU39" s="525"/>
      <c r="BV39" s="525"/>
      <c r="BW39" s="525"/>
      <c r="BX39" s="525"/>
      <c r="BY39" s="525"/>
      <c r="BZ39" s="525"/>
      <c r="CA39" s="525"/>
      <c r="CB39" s="525"/>
      <c r="CC39" s="525"/>
      <c r="CD39" s="525"/>
      <c r="CE39" s="525"/>
      <c r="CF39" s="525"/>
      <c r="CG39" s="525"/>
      <c r="CH39" s="525"/>
      <c r="CI39" s="525"/>
      <c r="CJ39" s="525"/>
      <c r="CK39" s="525"/>
      <c r="CL39" s="525"/>
      <c r="CM39" s="525"/>
      <c r="CN39" s="525"/>
      <c r="CO39" s="525"/>
      <c r="CP39" s="525"/>
      <c r="CQ39" s="525"/>
      <c r="CR39" s="525"/>
      <c r="CS39" s="525"/>
      <c r="CT39" s="525"/>
      <c r="CU39" s="525"/>
      <c r="CV39" s="525"/>
      <c r="CW39" s="525"/>
      <c r="CX39" s="525"/>
      <c r="CY39" s="525"/>
      <c r="CZ39" s="525"/>
      <c r="DA39" s="525"/>
      <c r="DB39" s="525"/>
      <c r="DC39" s="525"/>
      <c r="DD39" s="525"/>
      <c r="DE39" s="525"/>
      <c r="DF39" s="525"/>
      <c r="DG39" s="525"/>
      <c r="DH39" s="525"/>
      <c r="DI39" s="525"/>
      <c r="DJ39" s="525"/>
      <c r="DK39" s="525"/>
      <c r="DL39" s="525"/>
      <c r="DM39" s="525"/>
      <c r="DN39" s="525"/>
      <c r="DO39" s="525"/>
      <c r="DP39" s="525"/>
      <c r="DQ39" s="525"/>
      <c r="DR39" s="525"/>
      <c r="DS39" s="525"/>
      <c r="DT39" s="525"/>
      <c r="DU39" s="525"/>
      <c r="DV39" s="525"/>
      <c r="DW39" s="525"/>
      <c r="DX39" s="525"/>
      <c r="DY39" s="525"/>
      <c r="DZ39" s="525"/>
      <c r="EA39" s="525"/>
      <c r="EB39" s="525"/>
      <c r="EC39" s="525"/>
      <c r="ED39" s="525"/>
      <c r="EE39" s="525"/>
      <c r="EF39" s="525"/>
      <c r="EG39" s="525"/>
      <c r="EH39" s="525"/>
      <c r="EI39" s="525"/>
      <c r="EJ39" s="525"/>
      <c r="EK39" s="525"/>
      <c r="EL39" s="525"/>
      <c r="EM39" s="525"/>
      <c r="EN39" s="525"/>
      <c r="EO39" s="525"/>
      <c r="EP39" s="525"/>
      <c r="EQ39" s="525"/>
      <c r="ER39" s="525"/>
      <c r="ES39" s="525"/>
      <c r="ET39" s="525"/>
      <c r="EU39" s="525"/>
      <c r="EV39" s="525"/>
      <c r="EW39" s="525"/>
      <c r="EX39" s="525"/>
      <c r="EY39" s="525"/>
      <c r="EZ39" s="525"/>
      <c r="FA39" s="525"/>
      <c r="FB39" s="525"/>
      <c r="FC39" s="525"/>
      <c r="FD39" s="525"/>
      <c r="FE39" s="525"/>
      <c r="FF39" s="525"/>
      <c r="FG39" s="525"/>
      <c r="FH39" s="525"/>
      <c r="FI39" s="525"/>
      <c r="FJ39" s="525"/>
      <c r="FK39" s="525"/>
      <c r="FL39" s="525"/>
      <c r="FM39" s="525"/>
      <c r="FN39" s="525"/>
      <c r="FO39" s="525"/>
      <c r="FP39" s="525"/>
      <c r="FQ39" s="525"/>
      <c r="FR39" s="525"/>
      <c r="FS39" s="525"/>
      <c r="FT39" s="525"/>
      <c r="FU39" s="525"/>
      <c r="FV39" s="525"/>
      <c r="FW39" s="525"/>
      <c r="FX39" s="525"/>
      <c r="FY39" s="525"/>
      <c r="FZ39" s="525"/>
      <c r="GA39" s="525"/>
      <c r="GB39" s="525"/>
      <c r="GC39" s="525"/>
      <c r="GD39" s="525"/>
      <c r="GE39" s="525"/>
      <c r="GF39" s="525"/>
      <c r="GG39" s="525"/>
      <c r="GH39" s="525"/>
    </row>
    <row r="40" spans="1:190" ht="12" customHeight="1">
      <c r="A40" s="545"/>
      <c r="B40" s="546"/>
      <c r="C40" s="547"/>
      <c r="D40" s="548"/>
      <c r="E40" s="548"/>
      <c r="F40" s="548"/>
      <c r="G40" s="548"/>
      <c r="H40" s="548"/>
      <c r="I40" s="548"/>
      <c r="J40" s="548"/>
      <c r="K40" s="548"/>
      <c r="L40" s="548"/>
      <c r="M40" s="549"/>
      <c r="N40" s="550"/>
      <c r="O40" s="551"/>
      <c r="P40" s="552"/>
      <c r="Q40" s="553"/>
      <c r="R40" s="554"/>
      <c r="S40" s="554"/>
      <c r="T40" s="554"/>
      <c r="U40" s="555"/>
      <c r="V40" s="553"/>
      <c r="W40" s="554"/>
      <c r="X40" s="554"/>
      <c r="Y40" s="554"/>
      <c r="Z40" s="555"/>
      <c r="AA40" s="556"/>
      <c r="AB40" s="557"/>
      <c r="AC40" s="557"/>
      <c r="AD40" s="557"/>
      <c r="AE40" s="558"/>
      <c r="AF40" s="556"/>
      <c r="AG40" s="557"/>
      <c r="AH40" s="557"/>
      <c r="AI40" s="557"/>
      <c r="AJ40" s="558"/>
      <c r="AK40" s="559"/>
      <c r="AL40" s="560"/>
      <c r="AM40" s="560"/>
      <c r="AN40" s="560"/>
      <c r="AO40" s="561"/>
      <c r="AP40" s="553"/>
      <c r="AQ40" s="554"/>
      <c r="AR40" s="554"/>
      <c r="AS40" s="554"/>
      <c r="AT40" s="555"/>
      <c r="AU40" s="562"/>
      <c r="AV40" s="563"/>
      <c r="AW40" s="563"/>
      <c r="AX40" s="563"/>
      <c r="AY40" s="564"/>
      <c r="AZ40" s="562"/>
      <c r="BA40" s="563"/>
      <c r="BB40" s="565"/>
      <c r="BC40" s="565"/>
      <c r="BD40" s="564"/>
      <c r="BE40" s="553"/>
      <c r="BF40" s="554"/>
      <c r="BG40" s="554"/>
      <c r="BH40" s="554"/>
      <c r="BI40" s="555"/>
      <c r="BJ40" s="566"/>
      <c r="BK40" s="567"/>
      <c r="BL40" s="568"/>
      <c r="BM40" s="566"/>
      <c r="BN40" s="567"/>
      <c r="BO40" s="568"/>
      <c r="BP40" s="525"/>
      <c r="BQ40" s="525"/>
      <c r="BR40" s="525"/>
      <c r="BS40" s="525"/>
      <c r="BT40" s="525"/>
      <c r="BU40" s="525"/>
      <c r="BV40" s="525"/>
      <c r="BW40" s="525"/>
      <c r="BX40" s="525"/>
      <c r="BY40" s="525"/>
      <c r="BZ40" s="525"/>
      <c r="CA40" s="525"/>
      <c r="CB40" s="525"/>
      <c r="CC40" s="525"/>
      <c r="CD40" s="525"/>
      <c r="CE40" s="525"/>
      <c r="CF40" s="525"/>
      <c r="CG40" s="525"/>
      <c r="CH40" s="525"/>
      <c r="CI40" s="525"/>
      <c r="CJ40" s="525"/>
      <c r="CK40" s="525"/>
      <c r="CL40" s="525"/>
      <c r="CM40" s="525"/>
      <c r="CN40" s="525"/>
      <c r="CO40" s="525"/>
      <c r="CP40" s="525"/>
      <c r="CQ40" s="525"/>
      <c r="CR40" s="525"/>
      <c r="CS40" s="525"/>
      <c r="CT40" s="525"/>
      <c r="CU40" s="525"/>
      <c r="CV40" s="525"/>
      <c r="CW40" s="525"/>
      <c r="CX40" s="525"/>
      <c r="CY40" s="525"/>
      <c r="CZ40" s="525"/>
      <c r="DA40" s="525"/>
      <c r="DB40" s="525"/>
      <c r="DC40" s="525"/>
      <c r="DD40" s="525"/>
      <c r="DE40" s="525"/>
      <c r="DF40" s="525"/>
      <c r="DG40" s="525"/>
      <c r="DH40" s="525"/>
      <c r="DI40" s="525"/>
      <c r="DJ40" s="525"/>
      <c r="DK40" s="525"/>
      <c r="DL40" s="525"/>
      <c r="DM40" s="525"/>
      <c r="DN40" s="525"/>
      <c r="DO40" s="525"/>
      <c r="DP40" s="525"/>
      <c r="DQ40" s="525"/>
      <c r="DR40" s="525"/>
      <c r="DS40" s="525"/>
      <c r="DT40" s="525"/>
      <c r="DU40" s="525"/>
      <c r="DV40" s="525"/>
      <c r="DW40" s="525"/>
      <c r="DX40" s="525"/>
      <c r="DY40" s="525"/>
      <c r="DZ40" s="525"/>
      <c r="EA40" s="525"/>
      <c r="EB40" s="525"/>
      <c r="EC40" s="525"/>
      <c r="ED40" s="525"/>
      <c r="EE40" s="525"/>
      <c r="EF40" s="525"/>
      <c r="EG40" s="525"/>
      <c r="EH40" s="525"/>
      <c r="EI40" s="525"/>
      <c r="EJ40" s="525"/>
      <c r="EK40" s="525"/>
      <c r="EL40" s="525"/>
      <c r="EM40" s="525"/>
      <c r="EN40" s="525"/>
      <c r="EO40" s="525"/>
      <c r="EP40" s="525"/>
      <c r="EQ40" s="525"/>
      <c r="ER40" s="525"/>
      <c r="ES40" s="525"/>
      <c r="ET40" s="525"/>
      <c r="EU40" s="525"/>
      <c r="EV40" s="525"/>
      <c r="EW40" s="525"/>
      <c r="EX40" s="525"/>
      <c r="EY40" s="525"/>
      <c r="EZ40" s="525"/>
      <c r="FA40" s="525"/>
      <c r="FB40" s="525"/>
      <c r="FC40" s="525"/>
      <c r="FD40" s="525"/>
      <c r="FE40" s="525"/>
      <c r="FF40" s="525"/>
      <c r="FG40" s="525"/>
      <c r="FH40" s="525"/>
      <c r="FI40" s="525"/>
      <c r="FJ40" s="525"/>
      <c r="FK40" s="525"/>
      <c r="FL40" s="525"/>
      <c r="FM40" s="525"/>
      <c r="FN40" s="525"/>
      <c r="FO40" s="525"/>
      <c r="FP40" s="525"/>
      <c r="FQ40" s="525"/>
      <c r="FR40" s="525"/>
      <c r="FS40" s="525"/>
      <c r="FT40" s="525"/>
      <c r="FU40" s="525"/>
      <c r="FV40" s="525"/>
      <c r="FW40" s="525"/>
      <c r="FX40" s="525"/>
      <c r="FY40" s="525"/>
      <c r="FZ40" s="525"/>
      <c r="GA40" s="525"/>
      <c r="GB40" s="525"/>
      <c r="GC40" s="525"/>
      <c r="GD40" s="525"/>
      <c r="GE40" s="525"/>
      <c r="GF40" s="525"/>
      <c r="GG40" s="525"/>
      <c r="GH40" s="525"/>
    </row>
    <row r="41" spans="1:190" ht="12" customHeight="1">
      <c r="A41" s="545"/>
      <c r="B41" s="546"/>
      <c r="C41" s="547"/>
      <c r="D41" s="548"/>
      <c r="E41" s="548"/>
      <c r="F41" s="548"/>
      <c r="G41" s="548"/>
      <c r="H41" s="548"/>
      <c r="I41" s="548"/>
      <c r="J41" s="548"/>
      <c r="K41" s="548"/>
      <c r="L41" s="548"/>
      <c r="M41" s="549"/>
      <c r="N41" s="550"/>
      <c r="O41" s="551"/>
      <c r="P41" s="552"/>
      <c r="Q41" s="553"/>
      <c r="R41" s="554"/>
      <c r="S41" s="554"/>
      <c r="T41" s="554"/>
      <c r="U41" s="555"/>
      <c r="V41" s="553"/>
      <c r="W41" s="554"/>
      <c r="X41" s="554"/>
      <c r="Y41" s="554"/>
      <c r="Z41" s="555"/>
      <c r="AA41" s="556"/>
      <c r="AB41" s="557"/>
      <c r="AC41" s="557"/>
      <c r="AD41" s="557"/>
      <c r="AE41" s="558"/>
      <c r="AF41" s="556"/>
      <c r="AG41" s="557"/>
      <c r="AH41" s="557"/>
      <c r="AI41" s="557"/>
      <c r="AJ41" s="558"/>
      <c r="AK41" s="559"/>
      <c r="AL41" s="560"/>
      <c r="AM41" s="560"/>
      <c r="AN41" s="560"/>
      <c r="AO41" s="561"/>
      <c r="AP41" s="553"/>
      <c r="AQ41" s="554"/>
      <c r="AR41" s="554"/>
      <c r="AS41" s="554"/>
      <c r="AT41" s="555"/>
      <c r="AU41" s="562"/>
      <c r="AV41" s="563"/>
      <c r="AW41" s="563"/>
      <c r="AX41" s="563"/>
      <c r="AY41" s="564"/>
      <c r="AZ41" s="562"/>
      <c r="BA41" s="563"/>
      <c r="BB41" s="565"/>
      <c r="BC41" s="565"/>
      <c r="BD41" s="564"/>
      <c r="BE41" s="553"/>
      <c r="BF41" s="554"/>
      <c r="BG41" s="554"/>
      <c r="BH41" s="554"/>
      <c r="BI41" s="555"/>
      <c r="BJ41" s="566"/>
      <c r="BK41" s="567"/>
      <c r="BL41" s="568"/>
      <c r="BM41" s="566"/>
      <c r="BN41" s="567"/>
      <c r="BO41" s="568"/>
      <c r="BP41" s="525"/>
      <c r="BQ41" s="525"/>
      <c r="BR41" s="525"/>
      <c r="BS41" s="525"/>
      <c r="BT41" s="525"/>
      <c r="BU41" s="525"/>
      <c r="BV41" s="525"/>
      <c r="BW41" s="525"/>
      <c r="BX41" s="525"/>
      <c r="BY41" s="525"/>
      <c r="BZ41" s="525"/>
      <c r="CA41" s="525"/>
      <c r="CB41" s="525"/>
      <c r="CC41" s="525"/>
      <c r="CD41" s="525"/>
      <c r="CE41" s="525"/>
      <c r="CF41" s="525"/>
      <c r="CG41" s="525"/>
      <c r="CH41" s="525"/>
      <c r="CI41" s="525"/>
      <c r="CJ41" s="525"/>
      <c r="CK41" s="525"/>
      <c r="CL41" s="525"/>
      <c r="CM41" s="525"/>
      <c r="CN41" s="525"/>
      <c r="CO41" s="525"/>
      <c r="CP41" s="525"/>
      <c r="CQ41" s="525"/>
      <c r="CR41" s="525"/>
      <c r="CS41" s="525"/>
      <c r="CT41" s="525"/>
      <c r="CU41" s="525"/>
      <c r="CV41" s="525"/>
      <c r="CW41" s="525"/>
      <c r="CX41" s="525"/>
      <c r="CY41" s="525"/>
      <c r="CZ41" s="525"/>
      <c r="DA41" s="525"/>
      <c r="DB41" s="525"/>
      <c r="DC41" s="525"/>
      <c r="DD41" s="525"/>
      <c r="DE41" s="525"/>
      <c r="DF41" s="525"/>
      <c r="DG41" s="525"/>
      <c r="DH41" s="525"/>
      <c r="DI41" s="525"/>
      <c r="DJ41" s="525"/>
      <c r="DK41" s="525"/>
      <c r="DL41" s="525"/>
      <c r="DM41" s="525"/>
      <c r="DN41" s="525"/>
      <c r="DO41" s="525"/>
      <c r="DP41" s="525"/>
      <c r="DQ41" s="525"/>
      <c r="DR41" s="525"/>
      <c r="DS41" s="525"/>
      <c r="DT41" s="525"/>
      <c r="DU41" s="525"/>
      <c r="DV41" s="525"/>
      <c r="DW41" s="525"/>
      <c r="DX41" s="525"/>
      <c r="DY41" s="525"/>
      <c r="DZ41" s="525"/>
      <c r="EA41" s="525"/>
      <c r="EB41" s="525"/>
      <c r="EC41" s="525"/>
      <c r="ED41" s="525"/>
      <c r="EE41" s="525"/>
      <c r="EF41" s="525"/>
      <c r="EG41" s="525"/>
      <c r="EH41" s="525"/>
      <c r="EI41" s="525"/>
      <c r="EJ41" s="525"/>
      <c r="EK41" s="525"/>
      <c r="EL41" s="525"/>
      <c r="EM41" s="525"/>
      <c r="EN41" s="525"/>
      <c r="EO41" s="525"/>
      <c r="EP41" s="525"/>
      <c r="EQ41" s="525"/>
      <c r="ER41" s="525"/>
      <c r="ES41" s="525"/>
      <c r="ET41" s="525"/>
      <c r="EU41" s="525"/>
      <c r="EV41" s="525"/>
      <c r="EW41" s="525"/>
      <c r="EX41" s="525"/>
      <c r="EY41" s="525"/>
      <c r="EZ41" s="525"/>
      <c r="FA41" s="525"/>
      <c r="FB41" s="525"/>
      <c r="FC41" s="525"/>
      <c r="FD41" s="525"/>
      <c r="FE41" s="525"/>
      <c r="FF41" s="525"/>
      <c r="FG41" s="525"/>
      <c r="FH41" s="525"/>
      <c r="FI41" s="525"/>
      <c r="FJ41" s="525"/>
      <c r="FK41" s="525"/>
      <c r="FL41" s="525"/>
      <c r="FM41" s="525"/>
      <c r="FN41" s="525"/>
      <c r="FO41" s="525"/>
      <c r="FP41" s="525"/>
      <c r="FQ41" s="525"/>
      <c r="FR41" s="525"/>
      <c r="FS41" s="525"/>
      <c r="FT41" s="525"/>
      <c r="FU41" s="525"/>
      <c r="FV41" s="525"/>
      <c r="FW41" s="525"/>
      <c r="FX41" s="525"/>
      <c r="FY41" s="525"/>
      <c r="FZ41" s="525"/>
      <c r="GA41" s="525"/>
      <c r="GB41" s="525"/>
      <c r="GC41" s="525"/>
      <c r="GD41" s="525"/>
      <c r="GE41" s="525"/>
      <c r="GF41" s="525"/>
      <c r="GG41" s="525"/>
      <c r="GH41" s="525"/>
    </row>
    <row r="42" spans="1:190" ht="12" customHeight="1">
      <c r="A42" s="1381"/>
      <c r="B42" s="1381"/>
      <c r="C42" s="1392"/>
      <c r="D42" s="1392"/>
      <c r="E42" s="1392"/>
      <c r="F42" s="1392"/>
      <c r="G42" s="1392"/>
      <c r="H42" s="1392"/>
      <c r="I42" s="1392"/>
      <c r="J42" s="1392"/>
      <c r="K42" s="1392"/>
      <c r="L42" s="1392"/>
      <c r="M42" s="1392"/>
      <c r="N42" s="1388" t="str">
        <f>IF(Q$43&lt;&gt;0,(Q42/Q$43)*100,"")</f>
        <v/>
      </c>
      <c r="O42" s="1388"/>
      <c r="P42" s="1388"/>
      <c r="Q42" s="1387"/>
      <c r="R42" s="1387"/>
      <c r="S42" s="1387"/>
      <c r="T42" s="1387"/>
      <c r="U42" s="1387"/>
      <c r="V42" s="1387"/>
      <c r="W42" s="1387"/>
      <c r="X42" s="1387"/>
      <c r="Y42" s="1387"/>
      <c r="Z42" s="1387"/>
      <c r="AA42" s="1385">
        <f>Q42-V42</f>
        <v>0</v>
      </c>
      <c r="AB42" s="1385"/>
      <c r="AC42" s="1385"/>
      <c r="AD42" s="1385"/>
      <c r="AE42" s="1385"/>
      <c r="AF42" s="1385"/>
      <c r="AG42" s="1385"/>
      <c r="AH42" s="1385"/>
      <c r="AI42" s="1385"/>
      <c r="AJ42" s="1385"/>
      <c r="AK42" s="1385"/>
      <c r="AL42" s="1385"/>
      <c r="AM42" s="1385"/>
      <c r="AN42" s="1385"/>
      <c r="AO42" s="1385"/>
      <c r="AP42" s="1387"/>
      <c r="AQ42" s="1387"/>
      <c r="AR42" s="1387"/>
      <c r="AS42" s="1387"/>
      <c r="AT42" s="1387"/>
      <c r="AU42" s="1386"/>
      <c r="AV42" s="1386"/>
      <c r="AW42" s="1386"/>
      <c r="AX42" s="1386"/>
      <c r="AY42" s="1386"/>
      <c r="AZ42" s="1386"/>
      <c r="BA42" s="1386"/>
      <c r="BB42" s="1386"/>
      <c r="BC42" s="1386"/>
      <c r="BD42" s="1386"/>
      <c r="BE42" s="1387"/>
      <c r="BF42" s="1387"/>
      <c r="BG42" s="1387"/>
      <c r="BH42" s="1387"/>
      <c r="BI42" s="1387"/>
      <c r="BJ42" s="1383">
        <f>IF(V42="",0,(BE42/V42)*100)</f>
        <v>0</v>
      </c>
      <c r="BK42" s="1383"/>
      <c r="BL42" s="1383"/>
      <c r="BM42" s="1383">
        <f>IF(Q42="",0,(BE42/Q42)*100)</f>
        <v>0</v>
      </c>
      <c r="BN42" s="1383"/>
      <c r="BO42" s="1383"/>
      <c r="BP42" s="475"/>
      <c r="BQ42" s="475"/>
      <c r="BR42" s="475"/>
      <c r="BS42" s="475"/>
      <c r="BT42" s="475"/>
      <c r="BU42" s="475"/>
      <c r="BV42" s="475"/>
      <c r="BW42" s="475"/>
      <c r="BX42" s="475"/>
      <c r="BY42" s="475"/>
      <c r="BZ42" s="475"/>
      <c r="CA42" s="475"/>
      <c r="CB42" s="475"/>
      <c r="CC42" s="475"/>
      <c r="CD42" s="475"/>
      <c r="CE42" s="475"/>
      <c r="CF42" s="475"/>
      <c r="CG42" s="475"/>
      <c r="CH42" s="475"/>
      <c r="CI42" s="475"/>
      <c r="CJ42" s="475"/>
      <c r="CK42" s="475"/>
      <c r="CL42" s="475"/>
      <c r="CM42" s="475"/>
      <c r="CN42" s="475"/>
      <c r="CO42" s="475"/>
      <c r="CP42" s="475"/>
      <c r="CQ42" s="475"/>
      <c r="CR42" s="475"/>
      <c r="CS42" s="475"/>
      <c r="CT42" s="475"/>
      <c r="CU42" s="475"/>
      <c r="CV42" s="475"/>
      <c r="CW42" s="475"/>
      <c r="CX42" s="475"/>
      <c r="CY42" s="475"/>
      <c r="CZ42" s="475"/>
      <c r="DA42" s="475"/>
      <c r="DB42" s="475"/>
      <c r="DC42" s="475"/>
      <c r="DD42" s="475"/>
      <c r="DE42" s="475"/>
      <c r="DF42" s="475"/>
      <c r="DG42" s="475"/>
      <c r="DH42" s="475"/>
      <c r="DI42" s="475"/>
      <c r="DJ42" s="475"/>
      <c r="DK42" s="475"/>
      <c r="DL42" s="475"/>
      <c r="DM42" s="475"/>
      <c r="DN42" s="475"/>
      <c r="DO42" s="475"/>
      <c r="DP42" s="475"/>
      <c r="DQ42" s="475"/>
      <c r="DR42" s="475"/>
      <c r="DS42" s="475"/>
      <c r="DT42" s="475"/>
      <c r="DU42" s="475"/>
      <c r="DV42" s="475"/>
      <c r="DW42" s="475"/>
      <c r="DX42" s="475"/>
      <c r="DY42" s="475"/>
      <c r="DZ42" s="475"/>
      <c r="EA42" s="475"/>
      <c r="EB42" s="475"/>
      <c r="EC42" s="475"/>
      <c r="ED42" s="475"/>
      <c r="EE42" s="475"/>
      <c r="EF42" s="475"/>
      <c r="EG42" s="475"/>
      <c r="EH42" s="475"/>
      <c r="EI42" s="475"/>
      <c r="EJ42" s="475"/>
      <c r="EK42" s="475"/>
      <c r="EL42" s="475"/>
      <c r="EM42" s="475"/>
      <c r="EN42" s="475"/>
      <c r="EO42" s="475"/>
      <c r="EP42" s="475"/>
      <c r="EQ42" s="475"/>
      <c r="ER42" s="475"/>
      <c r="ES42" s="475"/>
      <c r="ET42" s="475"/>
      <c r="EU42" s="475"/>
      <c r="EV42" s="475"/>
      <c r="EW42" s="475"/>
      <c r="EX42" s="475"/>
      <c r="EY42" s="475"/>
      <c r="EZ42" s="475"/>
      <c r="FA42" s="475"/>
      <c r="FB42" s="475"/>
      <c r="FC42" s="475"/>
      <c r="FD42" s="475"/>
      <c r="FE42" s="475"/>
      <c r="FF42" s="475"/>
      <c r="FG42" s="475"/>
      <c r="FH42" s="475"/>
      <c r="FI42" s="475"/>
      <c r="FJ42" s="475"/>
      <c r="FK42" s="475"/>
      <c r="FL42" s="475"/>
      <c r="FM42" s="475"/>
      <c r="FN42" s="475"/>
      <c r="FO42" s="475"/>
      <c r="FP42" s="475"/>
      <c r="FQ42" s="475"/>
      <c r="FR42" s="475"/>
      <c r="FS42" s="475"/>
      <c r="FT42" s="475"/>
      <c r="FU42" s="475"/>
      <c r="FV42" s="475"/>
      <c r="FW42" s="475"/>
      <c r="FX42" s="475"/>
      <c r="FY42" s="475"/>
      <c r="FZ42" s="475"/>
      <c r="GA42" s="475"/>
      <c r="GB42" s="475"/>
      <c r="GC42" s="475"/>
      <c r="GD42" s="475"/>
      <c r="GE42" s="475"/>
      <c r="GF42" s="475"/>
      <c r="GG42" s="475"/>
      <c r="GH42" s="475"/>
    </row>
    <row r="43" spans="1:190" ht="12.75" customHeight="1">
      <c r="A43" s="543" t="s">
        <v>1604</v>
      </c>
      <c r="B43" s="544"/>
      <c r="C43" s="544"/>
      <c r="D43" s="544"/>
      <c r="E43" s="544"/>
      <c r="F43" s="544"/>
      <c r="G43" s="544"/>
      <c r="H43" s="544"/>
      <c r="I43" s="544"/>
      <c r="J43" s="544"/>
      <c r="K43" s="544"/>
      <c r="L43" s="544"/>
      <c r="M43" s="544"/>
      <c r="N43" s="1389">
        <f>SUM(N38:P42)</f>
        <v>0</v>
      </c>
      <c r="O43" s="1389"/>
      <c r="P43" s="1389"/>
      <c r="Q43" s="1393">
        <f>SUM(Q38:U42)</f>
        <v>0</v>
      </c>
      <c r="R43" s="1393"/>
      <c r="S43" s="1393"/>
      <c r="T43" s="1393"/>
      <c r="U43" s="1393"/>
      <c r="V43" s="1393">
        <f>SUM(V38:Z42)</f>
        <v>0</v>
      </c>
      <c r="W43" s="1393"/>
      <c r="X43" s="1393"/>
      <c r="Y43" s="1393"/>
      <c r="Z43" s="1393"/>
      <c r="AA43" s="1393">
        <f>SUM(AA24:AE42)</f>
        <v>0</v>
      </c>
      <c r="AB43" s="1393"/>
      <c r="AC43" s="1393"/>
      <c r="AD43" s="1393"/>
      <c r="AE43" s="1393"/>
      <c r="AF43" s="1393">
        <f>SUM(AF38:AJ42)</f>
        <v>0</v>
      </c>
      <c r="AG43" s="1393"/>
      <c r="AH43" s="1393"/>
      <c r="AI43" s="1393"/>
      <c r="AJ43" s="1393"/>
      <c r="AK43" s="1393">
        <f>SUM(AK38:AO42)</f>
        <v>0</v>
      </c>
      <c r="AL43" s="1393"/>
      <c r="AM43" s="1393"/>
      <c r="AN43" s="1393"/>
      <c r="AO43" s="1393"/>
      <c r="AP43" s="1393">
        <f>SUM(AP38:AT42)</f>
        <v>0</v>
      </c>
      <c r="AQ43" s="1393"/>
      <c r="AR43" s="1393"/>
      <c r="AS43" s="1393"/>
      <c r="AT43" s="1393"/>
      <c r="AU43" s="1394">
        <f>SUM(AU38:AY42)</f>
        <v>0</v>
      </c>
      <c r="AV43" s="1394"/>
      <c r="AW43" s="1394"/>
      <c r="AX43" s="1394"/>
      <c r="AY43" s="1394"/>
      <c r="AZ43" s="1393">
        <f>SUM(AZ38:BD42)</f>
        <v>0</v>
      </c>
      <c r="BA43" s="1393"/>
      <c r="BB43" s="1393"/>
      <c r="BC43" s="1393"/>
      <c r="BD43" s="1393"/>
      <c r="BE43" s="1393">
        <f>SUM(BE38:BI42)</f>
        <v>0</v>
      </c>
      <c r="BF43" s="1393"/>
      <c r="BG43" s="1393"/>
      <c r="BH43" s="1393"/>
      <c r="BI43" s="1393"/>
      <c r="BJ43" s="1389">
        <f>IF(V43=0,0,(BE43/V43)*100)</f>
        <v>0</v>
      </c>
      <c r="BK43" s="1389"/>
      <c r="BL43" s="1389"/>
      <c r="BM43" s="1389">
        <f>IF(Q43=0,0,(BE43/Q43)*100)</f>
        <v>0</v>
      </c>
      <c r="BN43" s="1389"/>
      <c r="BO43" s="1389"/>
      <c r="BP43" s="473"/>
      <c r="BQ43" s="475"/>
      <c r="BR43" s="475"/>
      <c r="BS43" s="475"/>
      <c r="BT43" s="475"/>
      <c r="BU43" s="475"/>
      <c r="BV43" s="475"/>
      <c r="BW43" s="475"/>
      <c r="BX43" s="475"/>
      <c r="BY43" s="475"/>
      <c r="BZ43" s="475"/>
      <c r="CA43" s="475"/>
      <c r="CB43" s="475"/>
      <c r="CC43" s="475"/>
      <c r="CD43" s="475"/>
      <c r="CE43" s="475"/>
      <c r="CF43" s="475"/>
      <c r="CG43" s="475"/>
      <c r="CH43" s="475"/>
      <c r="CI43" s="475"/>
      <c r="CJ43" s="475"/>
      <c r="CK43" s="475"/>
      <c r="CL43" s="475"/>
      <c r="CM43" s="473"/>
      <c r="CN43" s="473"/>
      <c r="CO43" s="473"/>
      <c r="CP43" s="473"/>
      <c r="CQ43" s="473"/>
      <c r="CR43" s="473"/>
      <c r="CS43" s="473"/>
      <c r="CT43" s="473"/>
      <c r="CU43" s="473"/>
      <c r="CV43" s="473"/>
      <c r="CW43" s="473"/>
      <c r="CX43" s="473"/>
      <c r="CY43" s="473"/>
      <c r="CZ43" s="473"/>
      <c r="DA43" s="473"/>
      <c r="DB43" s="473"/>
      <c r="DC43" s="473"/>
      <c r="DD43" s="473"/>
      <c r="DE43" s="473"/>
      <c r="DF43" s="473"/>
      <c r="DG43" s="473"/>
      <c r="DH43" s="473"/>
      <c r="DI43" s="473"/>
      <c r="DJ43" s="473"/>
      <c r="DK43" s="473"/>
      <c r="DL43" s="473"/>
      <c r="DM43" s="473"/>
      <c r="DN43" s="473"/>
      <c r="DO43" s="473"/>
      <c r="DP43" s="473"/>
      <c r="DQ43" s="473"/>
      <c r="DR43" s="473"/>
      <c r="DS43" s="473"/>
      <c r="DT43" s="473"/>
      <c r="DU43" s="473"/>
      <c r="DV43" s="473"/>
      <c r="DW43" s="473"/>
      <c r="DX43" s="473"/>
      <c r="DY43" s="473"/>
      <c r="DZ43" s="473"/>
      <c r="EA43" s="473"/>
      <c r="EB43" s="473"/>
      <c r="EC43" s="473"/>
      <c r="ED43" s="473"/>
      <c r="EE43" s="473"/>
      <c r="EF43" s="473"/>
      <c r="EG43" s="473"/>
      <c r="EH43" s="473"/>
      <c r="EI43" s="473"/>
      <c r="EJ43" s="473"/>
      <c r="EK43" s="473"/>
      <c r="EL43" s="473"/>
      <c r="EM43" s="473"/>
      <c r="EN43" s="473"/>
      <c r="EO43" s="473"/>
      <c r="EP43" s="473"/>
      <c r="EQ43" s="473"/>
      <c r="ER43" s="473"/>
      <c r="ES43" s="473"/>
      <c r="ET43" s="473"/>
      <c r="EU43" s="473"/>
      <c r="EV43" s="473"/>
      <c r="EW43" s="473"/>
      <c r="EX43" s="473"/>
      <c r="EY43" s="473"/>
      <c r="EZ43" s="473"/>
      <c r="FA43" s="473"/>
      <c r="FB43" s="473"/>
      <c r="FC43" s="473"/>
      <c r="FD43" s="473"/>
      <c r="FE43" s="473"/>
      <c r="FF43" s="473"/>
      <c r="FG43" s="473"/>
      <c r="FH43" s="473"/>
      <c r="FI43" s="473"/>
      <c r="FJ43" s="473"/>
      <c r="FK43" s="473"/>
      <c r="FL43" s="473"/>
      <c r="FM43" s="473"/>
      <c r="FN43" s="473"/>
      <c r="FO43" s="473"/>
      <c r="FP43" s="473"/>
      <c r="FQ43" s="473"/>
      <c r="FR43" s="473"/>
      <c r="FS43" s="473"/>
      <c r="FT43" s="473"/>
      <c r="FU43" s="473"/>
      <c r="FV43" s="473"/>
      <c r="FW43" s="473"/>
      <c r="FX43" s="473"/>
      <c r="FY43" s="473"/>
      <c r="FZ43" s="473"/>
      <c r="GA43" s="473"/>
      <c r="GB43" s="473"/>
      <c r="GC43" s="473"/>
      <c r="GD43" s="473"/>
      <c r="GE43" s="473"/>
      <c r="GF43" s="473"/>
      <c r="GG43" s="473"/>
      <c r="GH43" s="473"/>
    </row>
    <row r="44" spans="1:190" ht="13.2">
      <c r="A44" s="493"/>
      <c r="B44" s="493"/>
      <c r="C44" s="493"/>
      <c r="D44" s="493"/>
      <c r="E44" s="493"/>
      <c r="F44" s="493"/>
      <c r="G44" s="493"/>
      <c r="H44" s="493"/>
      <c r="I44" s="493"/>
      <c r="J44" s="493"/>
      <c r="K44" s="493"/>
      <c r="L44" s="493"/>
      <c r="M44" s="493"/>
      <c r="N44" s="493"/>
      <c r="O44" s="493"/>
      <c r="P44" s="493"/>
      <c r="Q44" s="493"/>
      <c r="R44" s="493"/>
      <c r="S44" s="493"/>
      <c r="T44" s="493"/>
      <c r="U44" s="493"/>
      <c r="V44" s="493"/>
      <c r="W44" s="493"/>
      <c r="X44" s="493"/>
      <c r="Y44" s="493"/>
      <c r="Z44" s="493"/>
      <c r="AA44" s="493"/>
      <c r="AB44" s="493"/>
      <c r="AC44" s="493"/>
      <c r="AD44" s="493"/>
      <c r="AE44" s="493"/>
      <c r="AF44" s="493"/>
      <c r="AG44" s="493"/>
      <c r="AH44" s="493"/>
      <c r="AI44" s="493"/>
      <c r="AJ44" s="493"/>
      <c r="AK44" s="493"/>
      <c r="AL44" s="493"/>
      <c r="AM44" s="493"/>
      <c r="AN44" s="493"/>
      <c r="AO44" s="493"/>
      <c r="AP44" s="493"/>
      <c r="AQ44" s="493"/>
      <c r="AR44" s="493"/>
      <c r="AS44" s="493"/>
      <c r="AT44" s="493"/>
      <c r="AU44" s="493"/>
      <c r="AV44" s="493"/>
      <c r="AW44" s="493"/>
      <c r="AX44" s="493"/>
      <c r="AY44" s="493"/>
      <c r="AZ44" s="493"/>
      <c r="BA44" s="493"/>
      <c r="BB44" s="493"/>
      <c r="BC44" s="493"/>
      <c r="BD44" s="493"/>
      <c r="BE44" s="493"/>
      <c r="BF44" s="493"/>
      <c r="BG44" s="493"/>
      <c r="BH44" s="493"/>
      <c r="BI44" s="493"/>
      <c r="BJ44" s="493"/>
      <c r="BK44" s="493"/>
      <c r="BL44" s="493"/>
      <c r="BM44" s="493"/>
      <c r="BN44" s="493"/>
      <c r="BO44" s="493"/>
      <c r="BP44" s="493"/>
      <c r="BQ44" s="475"/>
      <c r="BR44" s="475"/>
      <c r="BS44" s="475"/>
      <c r="BT44" s="475"/>
      <c r="BU44" s="475"/>
      <c r="BV44" s="475"/>
      <c r="BW44" s="475"/>
      <c r="BX44" s="475"/>
      <c r="BY44" s="475"/>
      <c r="BZ44" s="475"/>
      <c r="CA44" s="475"/>
      <c r="CB44" s="475"/>
      <c r="CC44" s="475"/>
      <c r="CD44" s="475"/>
      <c r="CE44" s="475"/>
      <c r="CF44" s="475"/>
      <c r="CG44" s="475"/>
      <c r="CH44" s="475"/>
      <c r="CI44" s="475"/>
      <c r="CJ44" s="475"/>
      <c r="CK44" s="475"/>
      <c r="CL44" s="475"/>
      <c r="CM44" s="493"/>
      <c r="CN44" s="493"/>
      <c r="CO44" s="493"/>
      <c r="CP44" s="493"/>
      <c r="CQ44" s="493"/>
      <c r="CR44" s="493"/>
      <c r="CS44" s="493"/>
      <c r="CT44" s="493"/>
      <c r="CU44" s="493"/>
      <c r="CV44" s="493"/>
      <c r="CW44" s="493"/>
      <c r="CX44" s="493"/>
      <c r="CY44" s="493"/>
      <c r="CZ44" s="493"/>
      <c r="DA44" s="493"/>
      <c r="DB44" s="493"/>
      <c r="DC44" s="493"/>
      <c r="DD44" s="493"/>
      <c r="DE44" s="493"/>
      <c r="DF44" s="493"/>
      <c r="DG44" s="493"/>
      <c r="DH44" s="493"/>
      <c r="DI44" s="493"/>
      <c r="DJ44" s="493"/>
      <c r="DK44" s="493"/>
      <c r="DL44" s="493"/>
      <c r="DM44" s="493"/>
      <c r="DN44" s="493"/>
      <c r="DO44" s="493"/>
      <c r="DP44" s="493"/>
      <c r="DQ44" s="493"/>
      <c r="DR44" s="493"/>
      <c r="DS44" s="493"/>
      <c r="DT44" s="493"/>
      <c r="DU44" s="493"/>
      <c r="DV44" s="493"/>
      <c r="DW44" s="493"/>
      <c r="DX44" s="493"/>
      <c r="DY44" s="493"/>
      <c r="DZ44" s="493"/>
      <c r="EA44" s="493"/>
      <c r="EB44" s="493"/>
      <c r="EC44" s="493"/>
      <c r="ED44" s="493"/>
      <c r="EE44" s="493"/>
      <c r="EF44" s="493"/>
      <c r="EG44" s="493"/>
      <c r="EH44" s="493"/>
      <c r="EI44" s="493"/>
      <c r="EJ44" s="493"/>
      <c r="EK44" s="493"/>
      <c r="EL44" s="493"/>
      <c r="EM44" s="493"/>
      <c r="EN44" s="493"/>
      <c r="EO44" s="493"/>
      <c r="EP44" s="493"/>
      <c r="EQ44" s="493"/>
      <c r="ER44" s="493"/>
      <c r="ES44" s="493"/>
      <c r="ET44" s="493"/>
      <c r="EU44" s="493"/>
      <c r="EV44" s="493"/>
      <c r="EW44" s="493"/>
      <c r="EX44" s="493"/>
      <c r="EY44" s="493"/>
      <c r="EZ44" s="493"/>
      <c r="FA44" s="493"/>
      <c r="FB44" s="493"/>
      <c r="FC44" s="493"/>
      <c r="FD44" s="493"/>
      <c r="FE44" s="493"/>
      <c r="FF44" s="493"/>
      <c r="FG44" s="493"/>
      <c r="FH44" s="493"/>
      <c r="FI44" s="493"/>
      <c r="FJ44" s="493"/>
      <c r="FK44" s="493"/>
      <c r="FL44" s="493"/>
      <c r="FM44" s="493"/>
      <c r="FN44" s="493"/>
      <c r="FO44" s="493"/>
      <c r="FP44" s="493"/>
      <c r="FQ44" s="493"/>
      <c r="FR44" s="493"/>
      <c r="FS44" s="493"/>
      <c r="FT44" s="493"/>
      <c r="FU44" s="493"/>
      <c r="FV44" s="493"/>
      <c r="FW44" s="493"/>
      <c r="FX44" s="493"/>
      <c r="FY44" s="493"/>
      <c r="FZ44" s="493"/>
      <c r="GA44" s="493"/>
      <c r="GB44" s="493"/>
      <c r="GC44" s="493"/>
      <c r="GD44" s="493"/>
      <c r="GE44" s="493"/>
      <c r="GF44" s="493"/>
      <c r="GG44" s="493"/>
      <c r="GH44" s="493"/>
    </row>
    <row r="45" spans="1:190" s="496" customFormat="1" ht="12" customHeight="1">
      <c r="A45" s="487" t="s">
        <v>1605</v>
      </c>
      <c r="B45" s="471"/>
      <c r="C45" s="471"/>
      <c r="D45" s="471"/>
      <c r="E45" s="471"/>
      <c r="F45" s="471"/>
      <c r="G45" s="471"/>
      <c r="H45" s="569"/>
      <c r="I45" s="569"/>
      <c r="J45" s="569"/>
      <c r="K45" s="569"/>
      <c r="L45" s="569"/>
      <c r="M45" s="569"/>
      <c r="N45" s="569"/>
      <c r="O45" s="569"/>
      <c r="P45" s="569"/>
      <c r="Q45" s="569"/>
      <c r="R45" s="569"/>
      <c r="S45" s="569"/>
      <c r="T45" s="569"/>
      <c r="U45" s="569"/>
      <c r="V45" s="569"/>
      <c r="W45" s="569"/>
      <c r="X45" s="569"/>
      <c r="Y45" s="569"/>
      <c r="Z45" s="569"/>
      <c r="AA45" s="569"/>
      <c r="AB45" s="569"/>
      <c r="AC45" s="569"/>
      <c r="AD45" s="569"/>
      <c r="AE45" s="471"/>
      <c r="AF45" s="471"/>
      <c r="AG45" s="471"/>
      <c r="AH45" s="471"/>
      <c r="AI45" s="471"/>
      <c r="AJ45" s="471"/>
      <c r="AK45" s="471"/>
      <c r="AL45" s="471"/>
      <c r="AM45" s="471"/>
      <c r="AN45" s="471"/>
      <c r="AO45" s="471"/>
      <c r="AP45" s="471"/>
      <c r="AQ45" s="471"/>
      <c r="AR45" s="471"/>
      <c r="AS45" s="471"/>
      <c r="AT45" s="471"/>
      <c r="AU45" s="471"/>
      <c r="AV45" s="471"/>
      <c r="AW45" s="471"/>
      <c r="AX45" s="471"/>
      <c r="AY45" s="471"/>
      <c r="AZ45" s="471"/>
      <c r="BA45" s="471"/>
      <c r="BB45" s="471"/>
      <c r="BC45" s="471"/>
      <c r="BD45" s="471"/>
      <c r="BE45" s="471"/>
      <c r="BF45" s="471"/>
      <c r="BG45" s="471"/>
      <c r="BH45" s="471"/>
      <c r="BI45" s="471"/>
      <c r="BJ45" s="471"/>
      <c r="BK45" s="471"/>
      <c r="BL45" s="471"/>
      <c r="BM45" s="471"/>
      <c r="BN45" s="471"/>
      <c r="BO45" s="479"/>
      <c r="BP45" s="471"/>
      <c r="BQ45" s="475"/>
      <c r="BR45" s="475"/>
      <c r="BS45" s="475"/>
      <c r="BT45" s="475"/>
      <c r="BU45" s="475"/>
      <c r="BV45" s="475"/>
      <c r="BW45" s="475"/>
      <c r="BX45" s="475"/>
      <c r="BY45" s="475"/>
      <c r="BZ45" s="475"/>
      <c r="CA45" s="475"/>
      <c r="CB45" s="475"/>
      <c r="CC45" s="475"/>
      <c r="CD45" s="475"/>
      <c r="CE45" s="475"/>
      <c r="CF45" s="475"/>
      <c r="CG45" s="475"/>
      <c r="CH45" s="475"/>
      <c r="CI45" s="475"/>
      <c r="CJ45" s="475"/>
      <c r="CK45" s="475"/>
      <c r="CL45" s="475"/>
      <c r="CM45" s="471"/>
      <c r="CN45" s="471"/>
      <c r="CO45" s="471"/>
      <c r="CP45" s="471"/>
      <c r="CQ45" s="471"/>
      <c r="CR45" s="471"/>
      <c r="CS45" s="471"/>
      <c r="CT45" s="471"/>
      <c r="CU45" s="471"/>
      <c r="CV45" s="471"/>
      <c r="CW45" s="471"/>
      <c r="CX45" s="471"/>
      <c r="CY45" s="471"/>
      <c r="CZ45" s="471"/>
      <c r="DA45" s="471"/>
      <c r="DB45" s="471"/>
      <c r="DC45" s="471"/>
      <c r="DD45" s="471"/>
      <c r="DE45" s="471"/>
      <c r="DF45" s="471"/>
      <c r="DG45" s="471"/>
      <c r="DH45" s="471"/>
      <c r="DI45" s="471"/>
      <c r="DJ45" s="471"/>
      <c r="DK45" s="471"/>
      <c r="DL45" s="471"/>
      <c r="DM45" s="471"/>
      <c r="DN45" s="471"/>
      <c r="DO45" s="471"/>
      <c r="DP45" s="471"/>
      <c r="DQ45" s="471"/>
      <c r="DR45" s="471"/>
      <c r="DS45" s="471"/>
      <c r="DT45" s="471"/>
      <c r="DU45" s="471"/>
      <c r="DV45" s="471"/>
      <c r="DW45" s="471"/>
      <c r="DX45" s="471"/>
      <c r="DY45" s="471"/>
      <c r="DZ45" s="471"/>
      <c r="EA45" s="471"/>
      <c r="EB45" s="471"/>
      <c r="EC45" s="471"/>
      <c r="ED45" s="471"/>
      <c r="EE45" s="471"/>
      <c r="EF45" s="471"/>
      <c r="EG45" s="471"/>
      <c r="EH45" s="471"/>
      <c r="EI45" s="471"/>
      <c r="EJ45" s="471"/>
      <c r="EK45" s="471"/>
      <c r="EL45" s="471"/>
      <c r="EM45" s="471"/>
      <c r="EN45" s="471"/>
      <c r="EO45" s="471"/>
      <c r="EP45" s="471"/>
      <c r="EQ45" s="471"/>
      <c r="ER45" s="471"/>
      <c r="ES45" s="471"/>
      <c r="ET45" s="471"/>
      <c r="EU45" s="471"/>
      <c r="EV45" s="471"/>
      <c r="EW45" s="471"/>
      <c r="EX45" s="471"/>
      <c r="EY45" s="471"/>
      <c r="EZ45" s="471"/>
      <c r="FA45" s="471"/>
      <c r="FB45" s="471"/>
      <c r="FC45" s="471"/>
      <c r="FD45" s="471"/>
      <c r="FE45" s="471"/>
      <c r="FF45" s="471"/>
      <c r="FG45" s="471"/>
      <c r="FH45" s="471"/>
      <c r="FI45" s="471"/>
      <c r="FJ45" s="471"/>
      <c r="FK45" s="471"/>
      <c r="FL45" s="471"/>
      <c r="FM45" s="471"/>
      <c r="FN45" s="471"/>
      <c r="FO45" s="471"/>
      <c r="FP45" s="471"/>
      <c r="FQ45" s="471"/>
      <c r="FR45" s="471"/>
      <c r="FS45" s="471"/>
      <c r="FT45" s="471"/>
      <c r="FU45" s="471"/>
      <c r="FV45" s="471"/>
      <c r="FW45" s="471"/>
      <c r="FX45" s="471"/>
      <c r="FY45" s="471"/>
      <c r="FZ45" s="471"/>
      <c r="GA45" s="471"/>
      <c r="GB45" s="471"/>
      <c r="GC45" s="471"/>
      <c r="GD45" s="471"/>
      <c r="GE45" s="471"/>
      <c r="GF45" s="471"/>
      <c r="GG45" s="471"/>
      <c r="GH45" s="471"/>
    </row>
    <row r="46" spans="1:190" s="496" customFormat="1" ht="12.75" customHeight="1">
      <c r="A46" s="1395" t="s">
        <v>1549</v>
      </c>
      <c r="B46" s="1395"/>
      <c r="C46" s="1395"/>
      <c r="D46" s="1395"/>
      <c r="E46" s="1395"/>
      <c r="F46" s="1395"/>
      <c r="G46" s="1395"/>
      <c r="H46" s="1395"/>
      <c r="I46" s="1395"/>
      <c r="J46" s="1395"/>
      <c r="K46" s="1395"/>
      <c r="L46" s="1395"/>
      <c r="M46" s="1395"/>
      <c r="N46" s="1395"/>
      <c r="O46" s="1395"/>
      <c r="P46" s="1395"/>
      <c r="Q46" s="1395"/>
      <c r="R46" s="1395"/>
      <c r="S46" s="1395"/>
      <c r="T46" s="1395"/>
      <c r="U46" s="1395"/>
      <c r="V46" s="1395"/>
      <c r="W46" s="1395"/>
      <c r="X46" s="1395"/>
      <c r="Y46" s="1395"/>
      <c r="Z46" s="1395"/>
      <c r="AA46" s="1395"/>
      <c r="AB46" s="1395"/>
      <c r="AC46" s="1395"/>
      <c r="AD46" s="1395"/>
      <c r="AE46" s="1395"/>
      <c r="AF46" s="1395"/>
      <c r="AG46" s="1395"/>
      <c r="AH46" s="1395"/>
      <c r="AI46" s="1395"/>
      <c r="AJ46" s="1395"/>
      <c r="AK46" s="1395"/>
      <c r="AL46" s="1395"/>
      <c r="AM46" s="1395"/>
      <c r="AN46" s="1395"/>
      <c r="AO46" s="1395"/>
      <c r="AP46" s="1395"/>
      <c r="AQ46" s="1395"/>
      <c r="AR46" s="1395"/>
      <c r="AS46" s="1395"/>
      <c r="AT46" s="1395"/>
      <c r="AU46" s="1395"/>
      <c r="AV46" s="1395"/>
      <c r="AW46" s="1395"/>
      <c r="AX46" s="1395"/>
      <c r="AY46" s="1395"/>
      <c r="AZ46" s="1395"/>
      <c r="BA46" s="1395"/>
      <c r="BB46" s="1395"/>
      <c r="BC46" s="1395"/>
      <c r="BD46" s="1395"/>
      <c r="BE46" s="1395"/>
      <c r="BF46" s="1395"/>
      <c r="BG46" s="1395"/>
      <c r="BH46" s="1395"/>
      <c r="BI46" s="1395"/>
      <c r="BJ46" s="1395"/>
      <c r="BK46" s="1395"/>
      <c r="BL46" s="1395"/>
      <c r="BM46" s="1395"/>
      <c r="BN46" s="1395"/>
      <c r="BO46" s="1395"/>
      <c r="BP46" s="475"/>
      <c r="BQ46" s="475"/>
      <c r="BR46" s="475"/>
      <c r="BS46" s="475"/>
      <c r="BT46" s="475"/>
      <c r="BU46" s="475"/>
      <c r="BV46" s="475"/>
      <c r="BW46" s="475"/>
      <c r="BX46" s="475"/>
      <c r="BY46" s="475"/>
      <c r="BZ46" s="475"/>
      <c r="CA46" s="475"/>
      <c r="CB46" s="475"/>
      <c r="CC46" s="475"/>
      <c r="CD46" s="475"/>
      <c r="CE46" s="475"/>
      <c r="CF46" s="475"/>
      <c r="CG46" s="475"/>
      <c r="CH46" s="475"/>
      <c r="CI46" s="475"/>
      <c r="CJ46" s="475"/>
      <c r="CK46" s="475"/>
      <c r="CL46" s="475"/>
      <c r="CM46" s="471"/>
      <c r="CN46" s="471"/>
      <c r="CO46" s="471"/>
      <c r="CP46" s="471"/>
      <c r="CQ46" s="471"/>
      <c r="CR46" s="471"/>
      <c r="CS46" s="471"/>
      <c r="CT46" s="471"/>
      <c r="CU46" s="471"/>
      <c r="CV46" s="471"/>
      <c r="CW46" s="471"/>
      <c r="CX46" s="471"/>
      <c r="CY46" s="471"/>
      <c r="CZ46" s="471"/>
      <c r="DA46" s="471"/>
      <c r="DB46" s="471"/>
      <c r="DC46" s="471"/>
      <c r="DD46" s="471"/>
      <c r="DE46" s="471"/>
      <c r="DF46" s="471"/>
      <c r="DG46" s="471"/>
      <c r="DH46" s="471"/>
      <c r="DI46" s="471"/>
      <c r="DJ46" s="471"/>
      <c r="DK46" s="471"/>
      <c r="DL46" s="471"/>
      <c r="DM46" s="471"/>
      <c r="DN46" s="471"/>
      <c r="DO46" s="471"/>
      <c r="DP46" s="471"/>
      <c r="DQ46" s="471"/>
      <c r="DR46" s="471"/>
      <c r="DS46" s="471"/>
      <c r="DT46" s="471"/>
      <c r="DU46" s="471"/>
      <c r="DV46" s="471"/>
      <c r="DW46" s="471"/>
      <c r="DX46" s="471"/>
      <c r="DY46" s="471"/>
      <c r="DZ46" s="471"/>
      <c r="EA46" s="471"/>
      <c r="EB46" s="471"/>
      <c r="EC46" s="471"/>
      <c r="ED46" s="471"/>
      <c r="EE46" s="471"/>
      <c r="EF46" s="471"/>
      <c r="EG46" s="471"/>
      <c r="EH46" s="471"/>
      <c r="EI46" s="471"/>
      <c r="EJ46" s="471"/>
      <c r="EK46" s="471"/>
      <c r="EL46" s="471"/>
      <c r="EM46" s="471"/>
      <c r="EN46" s="471"/>
      <c r="EO46" s="471"/>
      <c r="EP46" s="471"/>
      <c r="EQ46" s="471"/>
      <c r="ER46" s="471"/>
      <c r="ES46" s="471"/>
      <c r="ET46" s="471"/>
      <c r="EU46" s="471"/>
      <c r="EV46" s="471"/>
      <c r="EW46" s="471"/>
      <c r="EX46" s="471"/>
      <c r="EY46" s="471"/>
      <c r="EZ46" s="471"/>
      <c r="FA46" s="471"/>
      <c r="FB46" s="471"/>
      <c r="FC46" s="471"/>
      <c r="FD46" s="471"/>
      <c r="FE46" s="471"/>
      <c r="FF46" s="471"/>
      <c r="FG46" s="471"/>
      <c r="FH46" s="471"/>
      <c r="FI46" s="471"/>
      <c r="FJ46" s="471"/>
      <c r="FK46" s="471"/>
      <c r="FL46" s="471"/>
      <c r="FM46" s="471"/>
      <c r="FN46" s="471"/>
      <c r="FO46" s="471"/>
      <c r="FP46" s="471"/>
      <c r="FQ46" s="471"/>
      <c r="FR46" s="471"/>
      <c r="FS46" s="471"/>
      <c r="FT46" s="471"/>
      <c r="FU46" s="471"/>
      <c r="FV46" s="471"/>
      <c r="FW46" s="471"/>
      <c r="FX46" s="471"/>
      <c r="FY46" s="471"/>
      <c r="FZ46" s="471"/>
      <c r="GA46" s="471"/>
      <c r="GB46" s="471"/>
      <c r="GC46" s="471"/>
      <c r="GD46" s="471"/>
      <c r="GE46" s="471"/>
      <c r="GF46" s="471"/>
      <c r="GG46" s="471"/>
      <c r="GH46" s="471"/>
    </row>
    <row r="47" spans="1:190" s="496" customFormat="1" ht="13.2">
      <c r="A47" s="1395"/>
      <c r="B47" s="1395"/>
      <c r="C47" s="1395"/>
      <c r="D47" s="1395"/>
      <c r="E47" s="1395"/>
      <c r="F47" s="1395"/>
      <c r="G47" s="1395"/>
      <c r="H47" s="1395"/>
      <c r="I47" s="1395"/>
      <c r="J47" s="1395"/>
      <c r="K47" s="1395"/>
      <c r="L47" s="1395"/>
      <c r="M47" s="1395"/>
      <c r="N47" s="1395"/>
      <c r="O47" s="1395"/>
      <c r="P47" s="1395"/>
      <c r="Q47" s="1395"/>
      <c r="R47" s="1395"/>
      <c r="S47" s="1395"/>
      <c r="T47" s="1395"/>
      <c r="U47" s="1395"/>
      <c r="V47" s="1395"/>
      <c r="W47" s="1395"/>
      <c r="X47" s="1395"/>
      <c r="Y47" s="1395"/>
      <c r="Z47" s="1395"/>
      <c r="AA47" s="1395"/>
      <c r="AB47" s="1395"/>
      <c r="AC47" s="1395"/>
      <c r="AD47" s="1395"/>
      <c r="AE47" s="1395"/>
      <c r="AF47" s="1395"/>
      <c r="AG47" s="1395"/>
      <c r="AH47" s="1395"/>
      <c r="AI47" s="1395"/>
      <c r="AJ47" s="1395"/>
      <c r="AK47" s="1395"/>
      <c r="AL47" s="1395"/>
      <c r="AM47" s="1395"/>
      <c r="AN47" s="1395"/>
      <c r="AO47" s="1395"/>
      <c r="AP47" s="1395"/>
      <c r="AQ47" s="1395"/>
      <c r="AR47" s="1395"/>
      <c r="AS47" s="1395"/>
      <c r="AT47" s="1395"/>
      <c r="AU47" s="1395"/>
      <c r="AV47" s="1395"/>
      <c r="AW47" s="1395"/>
      <c r="AX47" s="1395"/>
      <c r="AY47" s="1395"/>
      <c r="AZ47" s="1395"/>
      <c r="BA47" s="1395"/>
      <c r="BB47" s="1395"/>
      <c r="BC47" s="1395"/>
      <c r="BD47" s="1395"/>
      <c r="BE47" s="1395"/>
      <c r="BF47" s="1395"/>
      <c r="BG47" s="1395"/>
      <c r="BH47" s="1395"/>
      <c r="BI47" s="1395"/>
      <c r="BJ47" s="1395"/>
      <c r="BK47" s="1395"/>
      <c r="BL47" s="1395"/>
      <c r="BM47" s="1395"/>
      <c r="BN47" s="1395"/>
      <c r="BO47" s="1395"/>
      <c r="BP47" s="475"/>
      <c r="BQ47" s="475"/>
      <c r="BR47" s="475"/>
      <c r="BS47" s="475"/>
      <c r="BT47" s="475"/>
      <c r="BU47" s="475"/>
      <c r="BV47" s="475"/>
      <c r="BW47" s="475"/>
      <c r="BX47" s="475"/>
      <c r="BY47" s="475"/>
      <c r="BZ47" s="475"/>
      <c r="CA47" s="475"/>
      <c r="CB47" s="475"/>
      <c r="CC47" s="475"/>
      <c r="CD47" s="475"/>
      <c r="CE47" s="475"/>
      <c r="CF47" s="475"/>
      <c r="CG47" s="475"/>
      <c r="CH47" s="475"/>
      <c r="CI47" s="475"/>
      <c r="CJ47" s="475"/>
      <c r="CK47" s="475"/>
      <c r="CL47" s="475"/>
      <c r="CM47" s="471"/>
      <c r="CN47" s="471"/>
      <c r="CO47" s="471"/>
      <c r="CP47" s="471"/>
      <c r="CQ47" s="471"/>
      <c r="CR47" s="471"/>
      <c r="CS47" s="471"/>
      <c r="CT47" s="471"/>
      <c r="CU47" s="471"/>
      <c r="CV47" s="471"/>
      <c r="CW47" s="471"/>
      <c r="CX47" s="471"/>
      <c r="CY47" s="471"/>
      <c r="CZ47" s="471"/>
      <c r="DA47" s="471"/>
      <c r="DB47" s="471"/>
      <c r="DC47" s="471"/>
      <c r="DD47" s="471"/>
      <c r="DE47" s="471"/>
      <c r="DF47" s="471"/>
      <c r="DG47" s="471"/>
      <c r="DH47" s="471"/>
      <c r="DI47" s="471"/>
      <c r="DJ47" s="471"/>
      <c r="DK47" s="471"/>
      <c r="DL47" s="471"/>
      <c r="DM47" s="471"/>
      <c r="DN47" s="471"/>
      <c r="DO47" s="471"/>
      <c r="DP47" s="471"/>
      <c r="DQ47" s="471"/>
      <c r="DR47" s="471"/>
      <c r="DS47" s="471"/>
      <c r="DT47" s="471"/>
      <c r="DU47" s="471"/>
      <c r="DV47" s="471"/>
      <c r="DW47" s="471"/>
      <c r="DX47" s="471"/>
      <c r="DY47" s="471"/>
      <c r="DZ47" s="471"/>
      <c r="EA47" s="471"/>
      <c r="EB47" s="471"/>
      <c r="EC47" s="471"/>
      <c r="ED47" s="471"/>
      <c r="EE47" s="471"/>
      <c r="EF47" s="471"/>
      <c r="EG47" s="471"/>
      <c r="EH47" s="471"/>
      <c r="EI47" s="471"/>
      <c r="EJ47" s="471"/>
      <c r="EK47" s="471"/>
      <c r="EL47" s="471"/>
      <c r="EM47" s="471"/>
      <c r="EN47" s="471"/>
      <c r="EO47" s="471"/>
      <c r="EP47" s="471"/>
      <c r="EQ47" s="471"/>
      <c r="ER47" s="471"/>
      <c r="ES47" s="471"/>
      <c r="ET47" s="471"/>
      <c r="EU47" s="471"/>
      <c r="EV47" s="471"/>
      <c r="EW47" s="471"/>
      <c r="EX47" s="471"/>
      <c r="EY47" s="471"/>
      <c r="EZ47" s="471"/>
      <c r="FA47" s="471"/>
      <c r="FB47" s="471"/>
      <c r="FC47" s="471"/>
      <c r="FD47" s="471"/>
      <c r="FE47" s="471"/>
      <c r="FF47" s="471"/>
      <c r="FG47" s="471"/>
      <c r="FH47" s="471"/>
      <c r="FI47" s="471"/>
      <c r="FJ47" s="471"/>
      <c r="FK47" s="471"/>
      <c r="FL47" s="471"/>
      <c r="FM47" s="471"/>
      <c r="FN47" s="471"/>
      <c r="FO47" s="471"/>
      <c r="FP47" s="471"/>
      <c r="FQ47" s="471"/>
      <c r="FR47" s="471"/>
      <c r="FS47" s="471"/>
      <c r="FT47" s="471"/>
      <c r="FU47" s="471"/>
      <c r="FV47" s="471"/>
      <c r="FW47" s="471"/>
      <c r="FX47" s="471"/>
      <c r="FY47" s="471"/>
      <c r="FZ47" s="471"/>
      <c r="GA47" s="471"/>
      <c r="GB47" s="471"/>
      <c r="GC47" s="471"/>
      <c r="GD47" s="471"/>
      <c r="GE47" s="471"/>
      <c r="GF47" s="471"/>
      <c r="GG47" s="471"/>
      <c r="GH47" s="471"/>
    </row>
    <row r="48" spans="1:190" s="496" customFormat="1" ht="12" customHeight="1">
      <c r="A48" s="1395"/>
      <c r="B48" s="1395"/>
      <c r="C48" s="1395"/>
      <c r="D48" s="1395"/>
      <c r="E48" s="1395"/>
      <c r="F48" s="1395"/>
      <c r="G48" s="1395"/>
      <c r="H48" s="1395"/>
      <c r="I48" s="1395"/>
      <c r="J48" s="1395"/>
      <c r="K48" s="1395"/>
      <c r="L48" s="1395"/>
      <c r="M48" s="1395"/>
      <c r="N48" s="1395"/>
      <c r="O48" s="1395"/>
      <c r="P48" s="1395"/>
      <c r="Q48" s="1395"/>
      <c r="R48" s="1395"/>
      <c r="S48" s="1395"/>
      <c r="T48" s="1395"/>
      <c r="U48" s="1395"/>
      <c r="V48" s="1395"/>
      <c r="W48" s="1395"/>
      <c r="X48" s="1395"/>
      <c r="Y48" s="1395"/>
      <c r="Z48" s="1395"/>
      <c r="AA48" s="1395"/>
      <c r="AB48" s="1395"/>
      <c r="AC48" s="1395"/>
      <c r="AD48" s="1395"/>
      <c r="AE48" s="1395"/>
      <c r="AF48" s="1395"/>
      <c r="AG48" s="1395"/>
      <c r="AH48" s="1395"/>
      <c r="AI48" s="1395"/>
      <c r="AJ48" s="1395"/>
      <c r="AK48" s="1395"/>
      <c r="AL48" s="1395"/>
      <c r="AM48" s="1395"/>
      <c r="AN48" s="1395"/>
      <c r="AO48" s="1395"/>
      <c r="AP48" s="1395"/>
      <c r="AQ48" s="1395"/>
      <c r="AR48" s="1395"/>
      <c r="AS48" s="1395"/>
      <c r="AT48" s="1395"/>
      <c r="AU48" s="1395"/>
      <c r="AV48" s="1395"/>
      <c r="AW48" s="1395"/>
      <c r="AX48" s="1395"/>
      <c r="AY48" s="1395"/>
      <c r="AZ48" s="1395"/>
      <c r="BA48" s="1395"/>
      <c r="BB48" s="1395"/>
      <c r="BC48" s="1395"/>
      <c r="BD48" s="1395"/>
      <c r="BE48" s="1395"/>
      <c r="BF48" s="1395"/>
      <c r="BG48" s="1395"/>
      <c r="BH48" s="1395"/>
      <c r="BI48" s="1395"/>
      <c r="BJ48" s="1395"/>
      <c r="BK48" s="1395"/>
      <c r="BL48" s="1395"/>
      <c r="BM48" s="1395"/>
      <c r="BN48" s="1395"/>
      <c r="BO48" s="1395"/>
      <c r="BP48" s="475"/>
      <c r="BQ48" s="475"/>
      <c r="BR48" s="475"/>
      <c r="BS48" s="475"/>
      <c r="BT48" s="475"/>
      <c r="BU48" s="475"/>
      <c r="BV48" s="475"/>
      <c r="BW48" s="475"/>
      <c r="BX48" s="475"/>
      <c r="BY48" s="475"/>
      <c r="BZ48" s="475"/>
      <c r="CA48" s="475"/>
      <c r="CB48" s="475"/>
      <c r="CC48" s="475"/>
      <c r="CD48" s="475"/>
      <c r="CE48" s="475"/>
      <c r="CF48" s="475"/>
      <c r="CG48" s="475"/>
      <c r="CH48" s="475"/>
      <c r="CI48" s="475"/>
      <c r="CJ48" s="475"/>
      <c r="CK48" s="475"/>
      <c r="CL48" s="475"/>
      <c r="CM48" s="471"/>
      <c r="CN48" s="471"/>
      <c r="CO48" s="471"/>
      <c r="CP48" s="471"/>
      <c r="CQ48" s="471"/>
      <c r="CR48" s="471"/>
      <c r="CS48" s="471"/>
      <c r="CT48" s="471"/>
      <c r="CU48" s="471"/>
      <c r="CV48" s="471"/>
      <c r="CW48" s="471"/>
      <c r="CX48" s="471"/>
      <c r="CY48" s="471"/>
      <c r="CZ48" s="471"/>
      <c r="DA48" s="471"/>
      <c r="DB48" s="471"/>
      <c r="DC48" s="471"/>
      <c r="DD48" s="471"/>
      <c r="DE48" s="471"/>
      <c r="DF48" s="471"/>
      <c r="DG48" s="471"/>
      <c r="DH48" s="471"/>
      <c r="DI48" s="471"/>
      <c r="DJ48" s="471"/>
      <c r="DK48" s="471"/>
      <c r="DL48" s="471"/>
      <c r="DM48" s="471"/>
      <c r="DN48" s="471"/>
      <c r="DO48" s="471"/>
      <c r="DP48" s="471"/>
      <c r="DQ48" s="471"/>
      <c r="DR48" s="471"/>
      <c r="DS48" s="471"/>
      <c r="DT48" s="471"/>
      <c r="DU48" s="471"/>
      <c r="DV48" s="471"/>
      <c r="DW48" s="471"/>
      <c r="DX48" s="471"/>
      <c r="DY48" s="471"/>
      <c r="DZ48" s="471"/>
      <c r="EA48" s="471"/>
      <c r="EB48" s="471"/>
      <c r="EC48" s="471"/>
      <c r="ED48" s="471"/>
      <c r="EE48" s="471"/>
      <c r="EF48" s="471"/>
      <c r="EG48" s="471"/>
      <c r="EH48" s="471"/>
      <c r="EI48" s="471"/>
      <c r="EJ48" s="471"/>
      <c r="EK48" s="471"/>
      <c r="EL48" s="471"/>
      <c r="EM48" s="471"/>
      <c r="EN48" s="471"/>
      <c r="EO48" s="471"/>
      <c r="EP48" s="471"/>
      <c r="EQ48" s="471"/>
      <c r="ER48" s="471"/>
      <c r="ES48" s="471"/>
      <c r="ET48" s="471"/>
      <c r="EU48" s="471"/>
      <c r="EV48" s="471"/>
      <c r="EW48" s="471"/>
      <c r="EX48" s="471"/>
      <c r="EY48" s="471"/>
      <c r="EZ48" s="471"/>
      <c r="FA48" s="471"/>
      <c r="FB48" s="471"/>
      <c r="FC48" s="471"/>
      <c r="FD48" s="471"/>
      <c r="FE48" s="471"/>
      <c r="FF48" s="471"/>
      <c r="FG48" s="471"/>
      <c r="FH48" s="471"/>
      <c r="FI48" s="471"/>
      <c r="FJ48" s="471"/>
      <c r="FK48" s="471"/>
      <c r="FL48" s="471"/>
      <c r="FM48" s="471"/>
      <c r="FN48" s="471"/>
      <c r="FO48" s="471"/>
      <c r="FP48" s="471"/>
      <c r="FQ48" s="471"/>
      <c r="FR48" s="471"/>
      <c r="FS48" s="471"/>
      <c r="FT48" s="471"/>
      <c r="FU48" s="471"/>
      <c r="FV48" s="471"/>
      <c r="FW48" s="471"/>
      <c r="FX48" s="471"/>
      <c r="FY48" s="471"/>
      <c r="FZ48" s="471"/>
      <c r="GA48" s="471"/>
      <c r="GB48" s="471"/>
      <c r="GC48" s="471"/>
      <c r="GD48" s="471"/>
      <c r="GE48" s="471"/>
      <c r="GF48" s="471"/>
      <c r="GG48" s="471"/>
      <c r="GH48" s="471"/>
    </row>
    <row r="49" spans="1:190" s="496" customFormat="1" ht="12" customHeight="1">
      <c r="A49" s="1395"/>
      <c r="B49" s="1395"/>
      <c r="C49" s="1395"/>
      <c r="D49" s="1395"/>
      <c r="E49" s="1395"/>
      <c r="F49" s="1395"/>
      <c r="G49" s="1395"/>
      <c r="H49" s="1395"/>
      <c r="I49" s="1395"/>
      <c r="J49" s="1395"/>
      <c r="K49" s="1395"/>
      <c r="L49" s="1395"/>
      <c r="M49" s="1395"/>
      <c r="N49" s="1395"/>
      <c r="O49" s="1395"/>
      <c r="P49" s="1395"/>
      <c r="Q49" s="1395"/>
      <c r="R49" s="1395"/>
      <c r="S49" s="1395"/>
      <c r="T49" s="1395"/>
      <c r="U49" s="1395"/>
      <c r="V49" s="1395"/>
      <c r="W49" s="1395"/>
      <c r="X49" s="1395"/>
      <c r="Y49" s="1395"/>
      <c r="Z49" s="1395"/>
      <c r="AA49" s="1395"/>
      <c r="AB49" s="1395"/>
      <c r="AC49" s="1395"/>
      <c r="AD49" s="1395"/>
      <c r="AE49" s="1395"/>
      <c r="AF49" s="1395"/>
      <c r="AG49" s="1395"/>
      <c r="AH49" s="1395"/>
      <c r="AI49" s="1395"/>
      <c r="AJ49" s="1395"/>
      <c r="AK49" s="1395"/>
      <c r="AL49" s="1395"/>
      <c r="AM49" s="1395"/>
      <c r="AN49" s="1395"/>
      <c r="AO49" s="1395"/>
      <c r="AP49" s="1395"/>
      <c r="AQ49" s="1395"/>
      <c r="AR49" s="1395"/>
      <c r="AS49" s="1395"/>
      <c r="AT49" s="1395"/>
      <c r="AU49" s="1395"/>
      <c r="AV49" s="1395"/>
      <c r="AW49" s="1395"/>
      <c r="AX49" s="1395"/>
      <c r="AY49" s="1395"/>
      <c r="AZ49" s="1395"/>
      <c r="BA49" s="1395"/>
      <c r="BB49" s="1395"/>
      <c r="BC49" s="1395"/>
      <c r="BD49" s="1395"/>
      <c r="BE49" s="1395"/>
      <c r="BF49" s="1395"/>
      <c r="BG49" s="1395"/>
      <c r="BH49" s="1395"/>
      <c r="BI49" s="1395"/>
      <c r="BJ49" s="1395"/>
      <c r="BK49" s="1395"/>
      <c r="BL49" s="1395"/>
      <c r="BM49" s="1395"/>
      <c r="BN49" s="1395"/>
      <c r="BO49" s="1395"/>
      <c r="BP49" s="475"/>
      <c r="BQ49" s="475"/>
      <c r="BR49" s="475"/>
      <c r="BS49" s="475"/>
      <c r="BT49" s="475"/>
      <c r="BU49" s="475"/>
      <c r="BV49" s="475"/>
      <c r="BW49" s="475"/>
      <c r="BX49" s="475"/>
      <c r="BY49" s="475"/>
      <c r="BZ49" s="475"/>
      <c r="CA49" s="475"/>
      <c r="CB49" s="475"/>
      <c r="CC49" s="475"/>
      <c r="CD49" s="475"/>
      <c r="CE49" s="475"/>
      <c r="CF49" s="475"/>
      <c r="CG49" s="475"/>
      <c r="CH49" s="475"/>
      <c r="CI49" s="475"/>
      <c r="CJ49" s="475"/>
      <c r="CK49" s="475"/>
      <c r="CL49" s="475"/>
      <c r="CM49" s="471"/>
      <c r="CN49" s="471"/>
      <c r="CO49" s="471"/>
      <c r="CP49" s="471"/>
      <c r="CQ49" s="471"/>
      <c r="CR49" s="471"/>
      <c r="CS49" s="471"/>
      <c r="CT49" s="471"/>
      <c r="CU49" s="471"/>
      <c r="CV49" s="471"/>
      <c r="CW49" s="471"/>
      <c r="CX49" s="471"/>
      <c r="CY49" s="471"/>
      <c r="CZ49" s="471"/>
      <c r="DA49" s="471"/>
      <c r="DB49" s="471"/>
      <c r="DC49" s="471"/>
      <c r="DD49" s="471"/>
      <c r="DE49" s="471"/>
      <c r="DF49" s="471"/>
      <c r="DG49" s="471"/>
      <c r="DH49" s="471"/>
      <c r="DI49" s="471"/>
      <c r="DJ49" s="471"/>
      <c r="DK49" s="471"/>
      <c r="DL49" s="471"/>
      <c r="DM49" s="471"/>
      <c r="DN49" s="471"/>
      <c r="DO49" s="471"/>
      <c r="DP49" s="471"/>
      <c r="DQ49" s="471"/>
      <c r="DR49" s="471"/>
      <c r="DS49" s="471"/>
      <c r="DT49" s="471"/>
      <c r="DU49" s="471"/>
      <c r="DV49" s="471"/>
      <c r="DW49" s="471"/>
      <c r="DX49" s="471"/>
      <c r="DY49" s="471"/>
      <c r="DZ49" s="471"/>
      <c r="EA49" s="471"/>
      <c r="EB49" s="471"/>
      <c r="EC49" s="471"/>
      <c r="ED49" s="471"/>
      <c r="EE49" s="471"/>
      <c r="EF49" s="471"/>
      <c r="EG49" s="471"/>
      <c r="EH49" s="471"/>
      <c r="EI49" s="471"/>
      <c r="EJ49" s="471"/>
      <c r="EK49" s="471"/>
      <c r="EL49" s="471"/>
      <c r="EM49" s="471"/>
      <c r="EN49" s="471"/>
      <c r="EO49" s="471"/>
      <c r="EP49" s="471"/>
      <c r="EQ49" s="471"/>
      <c r="ER49" s="471"/>
      <c r="ES49" s="471"/>
      <c r="ET49" s="471"/>
      <c r="EU49" s="471"/>
      <c r="EV49" s="471"/>
      <c r="EW49" s="471"/>
      <c r="EX49" s="471"/>
      <c r="EY49" s="471"/>
      <c r="EZ49" s="471"/>
      <c r="FA49" s="471"/>
      <c r="FB49" s="471"/>
      <c r="FC49" s="471"/>
      <c r="FD49" s="471"/>
      <c r="FE49" s="471"/>
      <c r="FF49" s="471"/>
      <c r="FG49" s="471"/>
      <c r="FH49" s="471"/>
      <c r="FI49" s="471"/>
      <c r="FJ49" s="471"/>
      <c r="FK49" s="471"/>
      <c r="FL49" s="471"/>
      <c r="FM49" s="471"/>
      <c r="FN49" s="471"/>
      <c r="FO49" s="471"/>
      <c r="FP49" s="471"/>
      <c r="FQ49" s="471"/>
      <c r="FR49" s="471"/>
      <c r="FS49" s="471"/>
      <c r="FT49" s="471"/>
      <c r="FU49" s="471"/>
      <c r="FV49" s="471"/>
      <c r="FW49" s="471"/>
      <c r="FX49" s="471"/>
      <c r="FY49" s="471"/>
      <c r="FZ49" s="471"/>
      <c r="GA49" s="471"/>
      <c r="GB49" s="471"/>
      <c r="GC49" s="471"/>
      <c r="GD49" s="471"/>
      <c r="GE49" s="471"/>
      <c r="GF49" s="471"/>
      <c r="GG49" s="471"/>
      <c r="GH49" s="471"/>
    </row>
    <row r="50" spans="1:190" ht="12.75" customHeight="1">
      <c r="BP50" s="475"/>
      <c r="BQ50" s="475"/>
      <c r="BR50" s="475"/>
      <c r="BS50" s="475"/>
      <c r="BT50" s="475"/>
      <c r="BU50" s="475"/>
      <c r="BV50" s="475"/>
      <c r="BW50" s="475"/>
      <c r="BX50" s="475"/>
      <c r="BY50" s="475"/>
      <c r="BZ50" s="475"/>
      <c r="CA50" s="475"/>
      <c r="CB50" s="475"/>
      <c r="CC50" s="475"/>
      <c r="CD50" s="475"/>
      <c r="CE50" s="475"/>
      <c r="CF50" s="475"/>
      <c r="CG50" s="475"/>
      <c r="CH50" s="475"/>
      <c r="CI50" s="475"/>
      <c r="CJ50" s="475"/>
      <c r="CK50" s="475"/>
      <c r="CL50" s="475"/>
    </row>
    <row r="51" spans="1:190" ht="12" customHeight="1">
      <c r="A51" s="1396"/>
      <c r="B51" s="1396"/>
      <c r="C51" s="1396"/>
      <c r="D51" s="1396"/>
      <c r="E51" s="1396"/>
      <c r="F51" s="1396"/>
      <c r="G51" s="1396"/>
      <c r="H51" s="1396"/>
      <c r="I51" s="1396"/>
      <c r="J51" s="1396"/>
      <c r="K51" s="1396"/>
      <c r="L51" s="1396"/>
      <c r="M51" s="1396"/>
      <c r="N51" s="1396"/>
      <c r="O51" s="1396"/>
      <c r="P51" s="1396"/>
      <c r="Q51" s="1396"/>
      <c r="R51" s="1396"/>
      <c r="BP51" s="475"/>
      <c r="BQ51" s="475"/>
      <c r="BR51" s="475"/>
      <c r="BS51" s="475"/>
      <c r="BT51" s="475"/>
      <c r="BU51" s="475"/>
      <c r="BV51" s="475"/>
      <c r="BW51" s="475"/>
      <c r="BX51" s="475"/>
      <c r="BY51" s="475"/>
      <c r="BZ51" s="475"/>
      <c r="CA51" s="475"/>
      <c r="CB51" s="475"/>
      <c r="CC51" s="475"/>
      <c r="CD51" s="475"/>
      <c r="CE51" s="475"/>
      <c r="CF51" s="475"/>
      <c r="CG51" s="475"/>
      <c r="CH51" s="475"/>
      <c r="CI51" s="475"/>
      <c r="CJ51" s="475"/>
      <c r="CK51" s="475"/>
      <c r="CL51" s="475"/>
    </row>
    <row r="52" spans="1:190" ht="12" customHeight="1">
      <c r="A52" s="496" t="s">
        <v>1606</v>
      </c>
      <c r="B52" s="496"/>
      <c r="C52" s="496"/>
      <c r="D52" s="496"/>
      <c r="E52" s="496"/>
      <c r="F52" s="496"/>
      <c r="G52" s="496"/>
      <c r="H52" s="496"/>
      <c r="I52" s="496"/>
      <c r="J52" s="496"/>
      <c r="K52" s="496"/>
      <c r="L52" s="496"/>
      <c r="M52" s="496"/>
      <c r="N52" s="496"/>
      <c r="O52" s="496"/>
      <c r="P52" s="496"/>
      <c r="Q52" s="496"/>
      <c r="R52" s="496"/>
      <c r="S52" s="496"/>
      <c r="T52" s="496"/>
      <c r="U52" s="496"/>
      <c r="V52" s="496"/>
      <c r="W52" s="496"/>
      <c r="X52" s="496"/>
      <c r="Y52" s="496"/>
      <c r="Z52" s="496"/>
      <c r="AA52" s="496"/>
      <c r="AB52" s="496"/>
      <c r="AC52" s="496"/>
      <c r="AD52" s="496"/>
      <c r="AE52" s="496"/>
      <c r="AF52" s="496"/>
      <c r="AG52" s="496"/>
      <c r="AH52" s="496"/>
      <c r="AI52" s="496"/>
      <c r="AJ52" s="496"/>
      <c r="AK52" s="496"/>
      <c r="AL52" s="496"/>
      <c r="AM52" s="496"/>
      <c r="AN52" s="496"/>
      <c r="AO52" s="496"/>
      <c r="AP52" s="496"/>
      <c r="AQ52" s="496"/>
      <c r="AR52" s="496"/>
      <c r="AS52" s="496"/>
      <c r="AT52" s="496"/>
      <c r="AU52" s="496"/>
      <c r="AV52" s="496"/>
      <c r="AW52" s="496"/>
      <c r="AX52" s="496"/>
      <c r="AY52" s="496"/>
      <c r="AZ52" s="496"/>
      <c r="BA52" s="496"/>
      <c r="BB52" s="496"/>
      <c r="BC52" s="496"/>
      <c r="BD52" s="496"/>
      <c r="BE52" s="496"/>
      <c r="BF52" s="496"/>
      <c r="BG52" s="496"/>
      <c r="BH52" s="496"/>
      <c r="BI52" s="496"/>
      <c r="BJ52" s="496"/>
      <c r="BK52" s="496"/>
      <c r="BL52" s="496"/>
      <c r="BM52" s="496"/>
      <c r="BN52" s="496"/>
      <c r="BO52" s="496"/>
      <c r="BP52" s="475"/>
      <c r="BQ52" s="475"/>
      <c r="BR52" s="475"/>
      <c r="BS52" s="475"/>
      <c r="BT52" s="475"/>
      <c r="BU52" s="475"/>
      <c r="BV52" s="475"/>
      <c r="BW52" s="475"/>
      <c r="BX52" s="475"/>
      <c r="BY52" s="475"/>
      <c r="BZ52" s="475"/>
      <c r="CA52" s="475"/>
      <c r="CB52" s="475"/>
      <c r="CC52" s="475"/>
      <c r="CD52" s="475"/>
      <c r="CE52" s="475"/>
      <c r="CF52" s="475"/>
      <c r="CG52" s="475"/>
      <c r="CH52" s="475"/>
      <c r="CI52" s="475"/>
      <c r="CJ52" s="475"/>
      <c r="CK52" s="475"/>
      <c r="CL52" s="475"/>
      <c r="CM52" s="496"/>
      <c r="CN52" s="496"/>
      <c r="CO52" s="496"/>
      <c r="CP52" s="496"/>
      <c r="CQ52" s="496"/>
      <c r="CR52" s="496"/>
      <c r="CS52" s="496"/>
      <c r="CT52" s="496"/>
      <c r="CU52" s="496"/>
      <c r="CV52" s="496"/>
      <c r="CW52" s="496"/>
      <c r="CX52" s="496"/>
      <c r="CY52" s="496"/>
      <c r="CZ52" s="496"/>
      <c r="DA52" s="496"/>
      <c r="DB52" s="496"/>
      <c r="DC52" s="496"/>
      <c r="DD52" s="496"/>
      <c r="DE52" s="496"/>
      <c r="DF52" s="496"/>
      <c r="DG52" s="496"/>
      <c r="DH52" s="496"/>
      <c r="DI52" s="496"/>
      <c r="DJ52" s="496"/>
      <c r="DK52" s="496"/>
      <c r="DL52" s="496"/>
      <c r="DM52" s="496"/>
      <c r="DN52" s="496"/>
      <c r="DO52" s="496"/>
      <c r="DP52" s="496"/>
      <c r="DQ52" s="496"/>
      <c r="DR52" s="496"/>
      <c r="DS52" s="496"/>
      <c r="DT52" s="496"/>
      <c r="DU52" s="496"/>
      <c r="DV52" s="496"/>
      <c r="DW52" s="496"/>
      <c r="DX52" s="496"/>
      <c r="DY52" s="496"/>
      <c r="DZ52" s="496"/>
      <c r="EA52" s="496"/>
      <c r="EB52" s="496"/>
      <c r="EC52" s="496"/>
      <c r="ED52" s="496"/>
      <c r="EE52" s="496"/>
      <c r="EF52" s="496"/>
      <c r="EG52" s="496"/>
      <c r="EH52" s="496"/>
      <c r="EI52" s="496"/>
      <c r="EJ52" s="496"/>
      <c r="EK52" s="496"/>
      <c r="EL52" s="496"/>
      <c r="EM52" s="496"/>
      <c r="EN52" s="496"/>
      <c r="EO52" s="496"/>
      <c r="EP52" s="496"/>
      <c r="EQ52" s="496"/>
      <c r="ER52" s="496"/>
      <c r="ES52" s="496"/>
      <c r="ET52" s="496"/>
      <c r="EU52" s="496"/>
      <c r="EV52" s="496"/>
      <c r="EW52" s="496"/>
      <c r="EX52" s="496"/>
      <c r="EY52" s="496"/>
      <c r="EZ52" s="496"/>
      <c r="FA52" s="496"/>
      <c r="FB52" s="496"/>
      <c r="FC52" s="496"/>
      <c r="FD52" s="496"/>
      <c r="FE52" s="496"/>
      <c r="FF52" s="496"/>
      <c r="FG52" s="496"/>
      <c r="FH52" s="496"/>
      <c r="FI52" s="496"/>
      <c r="FJ52" s="496"/>
      <c r="FK52" s="496"/>
      <c r="FL52" s="496"/>
      <c r="FM52" s="496"/>
      <c r="FN52" s="496"/>
      <c r="FO52" s="496"/>
      <c r="FP52" s="496"/>
      <c r="FQ52" s="496"/>
      <c r="FR52" s="496"/>
      <c r="FS52" s="496"/>
      <c r="FT52" s="496"/>
      <c r="FU52" s="496"/>
      <c r="FV52" s="496"/>
      <c r="FW52" s="496"/>
      <c r="FX52" s="496"/>
      <c r="FY52" s="496"/>
      <c r="FZ52" s="496"/>
      <c r="GA52" s="496"/>
      <c r="GB52" s="496"/>
      <c r="GC52" s="496"/>
      <c r="GD52" s="496"/>
      <c r="GE52" s="496"/>
      <c r="GF52" s="496"/>
      <c r="GG52" s="496"/>
      <c r="GH52" s="496"/>
    </row>
    <row r="53" spans="1:190" ht="12" customHeight="1">
      <c r="A53" s="496"/>
      <c r="B53" s="496"/>
      <c r="C53" s="496"/>
      <c r="D53" s="496"/>
      <c r="E53" s="496"/>
      <c r="F53" s="496"/>
      <c r="G53" s="496"/>
      <c r="H53" s="496"/>
      <c r="I53" s="496"/>
      <c r="J53" s="496"/>
      <c r="K53" s="496"/>
      <c r="L53" s="496"/>
      <c r="M53" s="496"/>
      <c r="N53" s="496"/>
      <c r="O53" s="496"/>
      <c r="P53" s="496"/>
      <c r="Q53" s="496"/>
      <c r="R53" s="496"/>
      <c r="S53" s="496"/>
      <c r="T53" s="496"/>
      <c r="U53" s="496"/>
      <c r="V53" s="496"/>
      <c r="W53" s="496"/>
      <c r="X53" s="496"/>
      <c r="Y53" s="496"/>
      <c r="Z53" s="496"/>
      <c r="AA53" s="496"/>
      <c r="AB53" s="496"/>
      <c r="AC53" s="496"/>
      <c r="AD53" s="496"/>
      <c r="AE53" s="496"/>
      <c r="AF53" s="496"/>
      <c r="AG53" s="496"/>
      <c r="AH53" s="496"/>
      <c r="AI53" s="496"/>
      <c r="AJ53" s="496"/>
      <c r="AK53" s="496"/>
      <c r="AL53" s="496"/>
      <c r="AM53" s="496"/>
      <c r="AN53" s="496"/>
      <c r="AO53" s="496"/>
      <c r="AP53" s="496"/>
      <c r="AQ53" s="496"/>
      <c r="AR53" s="496"/>
      <c r="AS53" s="496"/>
      <c r="AT53" s="496"/>
      <c r="AU53" s="496"/>
      <c r="AV53" s="496"/>
      <c r="AW53" s="496"/>
      <c r="AX53" s="496"/>
      <c r="AY53" s="496"/>
      <c r="AZ53" s="496"/>
      <c r="BA53" s="496"/>
      <c r="BB53" s="496"/>
      <c r="BC53" s="496"/>
      <c r="BD53" s="496"/>
      <c r="BE53" s="496"/>
      <c r="BF53" s="496"/>
      <c r="BG53" s="496"/>
      <c r="BH53" s="496"/>
      <c r="BI53" s="496"/>
      <c r="BJ53" s="496"/>
      <c r="BK53" s="496"/>
      <c r="BL53" s="496"/>
      <c r="BM53" s="496"/>
      <c r="BN53" s="496"/>
      <c r="BO53" s="475"/>
      <c r="BP53" s="475"/>
      <c r="BQ53" s="475"/>
      <c r="BR53" s="475"/>
      <c r="BS53" s="475"/>
      <c r="BT53" s="475"/>
      <c r="BU53" s="475"/>
      <c r="BV53" s="475"/>
      <c r="BW53" s="475"/>
      <c r="BX53" s="475"/>
      <c r="BY53" s="475"/>
      <c r="BZ53" s="475"/>
      <c r="CA53" s="475"/>
      <c r="CB53" s="475"/>
      <c r="CC53" s="475"/>
      <c r="CD53" s="475"/>
      <c r="CE53" s="475"/>
      <c r="CF53" s="475"/>
      <c r="CG53" s="475"/>
      <c r="CH53" s="475"/>
      <c r="CI53" s="475"/>
      <c r="CJ53" s="475"/>
      <c r="CK53" s="475"/>
      <c r="CL53" s="475"/>
      <c r="CM53" s="496"/>
      <c r="CN53" s="496"/>
      <c r="CO53" s="496"/>
      <c r="CP53" s="496"/>
      <c r="CQ53" s="496"/>
      <c r="CR53" s="496"/>
      <c r="CS53" s="496"/>
      <c r="CT53" s="496"/>
      <c r="CU53" s="496"/>
      <c r="CV53" s="496"/>
      <c r="CW53" s="496"/>
      <c r="CX53" s="496"/>
      <c r="CY53" s="496"/>
      <c r="CZ53" s="496"/>
      <c r="DA53" s="496"/>
      <c r="DB53" s="496"/>
      <c r="DC53" s="496"/>
      <c r="DD53" s="496"/>
      <c r="DE53" s="496"/>
      <c r="DF53" s="496"/>
      <c r="DG53" s="496"/>
      <c r="DH53" s="496"/>
      <c r="DI53" s="496"/>
      <c r="DJ53" s="496"/>
      <c r="DK53" s="496"/>
      <c r="DL53" s="496"/>
      <c r="DM53" s="496"/>
      <c r="DN53" s="496"/>
      <c r="DO53" s="496"/>
      <c r="DP53" s="496"/>
      <c r="DQ53" s="496"/>
      <c r="DR53" s="496"/>
      <c r="DS53" s="496"/>
      <c r="DT53" s="496"/>
      <c r="DU53" s="496"/>
      <c r="DV53" s="496"/>
      <c r="DW53" s="496"/>
      <c r="DX53" s="496"/>
      <c r="DY53" s="496"/>
      <c r="DZ53" s="496"/>
      <c r="EA53" s="496"/>
      <c r="EB53" s="496"/>
      <c r="EC53" s="496"/>
      <c r="ED53" s="496"/>
      <c r="EE53" s="496"/>
      <c r="EF53" s="496"/>
      <c r="EG53" s="496"/>
      <c r="EH53" s="496"/>
      <c r="EI53" s="496"/>
      <c r="EJ53" s="496"/>
      <c r="EK53" s="496"/>
      <c r="EL53" s="496"/>
      <c r="EM53" s="496"/>
      <c r="EN53" s="496"/>
      <c r="EO53" s="496"/>
      <c r="EP53" s="496"/>
      <c r="EQ53" s="496"/>
      <c r="ER53" s="496"/>
      <c r="ES53" s="496"/>
      <c r="ET53" s="496"/>
      <c r="EU53" s="496"/>
      <c r="EV53" s="496"/>
      <c r="EW53" s="496"/>
      <c r="EX53" s="496"/>
      <c r="EY53" s="496"/>
      <c r="EZ53" s="496"/>
      <c r="FA53" s="496"/>
      <c r="FB53" s="496"/>
      <c r="FC53" s="496"/>
      <c r="FD53" s="496"/>
      <c r="FE53" s="496"/>
      <c r="FF53" s="496"/>
      <c r="FG53" s="496"/>
      <c r="FH53" s="496"/>
      <c r="FI53" s="496"/>
      <c r="FJ53" s="496"/>
      <c r="FK53" s="496"/>
      <c r="FL53" s="496"/>
      <c r="FM53" s="496"/>
      <c r="FN53" s="496"/>
      <c r="FO53" s="496"/>
      <c r="FP53" s="496"/>
      <c r="FQ53" s="496"/>
      <c r="FR53" s="496"/>
      <c r="FS53" s="496"/>
      <c r="FT53" s="496"/>
      <c r="FU53" s="496"/>
      <c r="FV53" s="496"/>
      <c r="FW53" s="496"/>
      <c r="FX53" s="496"/>
      <c r="FY53" s="496"/>
      <c r="FZ53" s="496"/>
      <c r="GA53" s="496"/>
      <c r="GB53" s="496"/>
      <c r="GC53" s="496"/>
      <c r="GD53" s="496"/>
      <c r="GE53" s="496"/>
      <c r="GF53" s="496"/>
      <c r="GG53" s="496"/>
      <c r="GH53" s="496"/>
    </row>
    <row r="54" spans="1:190" ht="12" customHeight="1">
      <c r="A54" s="496"/>
      <c r="B54" s="496"/>
      <c r="C54" s="496"/>
      <c r="D54" s="496"/>
      <c r="E54" s="496"/>
      <c r="F54" s="496"/>
      <c r="G54" s="496"/>
      <c r="H54" s="496"/>
      <c r="I54" s="496"/>
      <c r="J54" s="496"/>
      <c r="K54" s="496"/>
      <c r="L54" s="496"/>
      <c r="M54" s="496"/>
      <c r="N54" s="496"/>
      <c r="O54" s="496"/>
      <c r="P54" s="496"/>
      <c r="Q54" s="496"/>
      <c r="R54" s="496"/>
      <c r="S54" s="496"/>
      <c r="T54" s="496"/>
      <c r="U54" s="496"/>
      <c r="V54" s="570" t="s">
        <v>1607</v>
      </c>
      <c r="W54" s="570"/>
      <c r="X54" s="570"/>
      <c r="Y54" s="571"/>
      <c r="Z54" s="572"/>
      <c r="AA54" s="572"/>
      <c r="AB54" s="573"/>
      <c r="AC54" s="573"/>
      <c r="AD54" s="573"/>
      <c r="AE54" s="573"/>
      <c r="AF54" s="573"/>
      <c r="AG54" s="573"/>
      <c r="AH54" s="573"/>
      <c r="AI54" s="573"/>
      <c r="AJ54" s="573"/>
      <c r="AK54" s="573"/>
      <c r="AL54" s="489"/>
      <c r="AM54" s="489"/>
      <c r="AN54" s="489"/>
      <c r="AO54" s="489"/>
      <c r="AP54" s="496"/>
      <c r="AQ54" s="496"/>
      <c r="AR54" s="496"/>
      <c r="AS54" s="496"/>
      <c r="AT54" s="496"/>
      <c r="AU54" s="496"/>
      <c r="AV54" s="496"/>
      <c r="AW54" s="495"/>
      <c r="AX54" s="495"/>
      <c r="AY54" s="495"/>
      <c r="AZ54" s="495"/>
      <c r="BA54" s="574" t="s">
        <v>1608</v>
      </c>
      <c r="BB54" s="465" t="str">
        <f>IF($X$19&lt;&gt;"","Tomador",IF($AB$19&lt;&gt;"","Tomador/Ag. Promotor","Tomador/Ag.Promotor ou Tomador "))</f>
        <v>Tomador</v>
      </c>
      <c r="BC54" s="573"/>
      <c r="BD54" s="573"/>
      <c r="BE54" s="573"/>
      <c r="BF54" s="573"/>
      <c r="BG54" s="573"/>
      <c r="BH54" s="573"/>
      <c r="BI54" s="573"/>
      <c r="BJ54" s="573"/>
      <c r="BK54" s="573"/>
      <c r="BL54" s="573"/>
      <c r="BM54" s="489"/>
      <c r="BN54" s="489"/>
      <c r="BO54" s="475"/>
      <c r="BP54" s="496"/>
      <c r="BQ54" s="475"/>
      <c r="BR54" s="475"/>
      <c r="BS54" s="475"/>
      <c r="BT54" s="475"/>
      <c r="BU54" s="475"/>
      <c r="BV54" s="475"/>
      <c r="BW54" s="475"/>
      <c r="BX54" s="475"/>
      <c r="BY54" s="475"/>
      <c r="BZ54" s="475"/>
      <c r="CA54" s="475"/>
      <c r="CB54" s="475"/>
      <c r="CC54" s="475"/>
      <c r="CD54" s="475"/>
      <c r="CE54" s="475"/>
      <c r="CF54" s="475"/>
      <c r="CG54" s="475"/>
      <c r="CH54" s="475"/>
      <c r="CI54" s="475"/>
      <c r="CJ54" s="475"/>
      <c r="CK54" s="475"/>
      <c r="CL54" s="475"/>
      <c r="CM54" s="496"/>
      <c r="CN54" s="496"/>
      <c r="CO54" s="496"/>
      <c r="CP54" s="496"/>
      <c r="CQ54" s="496"/>
      <c r="CR54" s="496"/>
      <c r="CS54" s="496"/>
      <c r="CT54" s="496"/>
      <c r="CU54" s="496"/>
      <c r="CV54" s="496"/>
      <c r="CW54" s="496"/>
      <c r="CX54" s="496"/>
      <c r="CY54" s="496"/>
      <c r="CZ54" s="496"/>
      <c r="DA54" s="496"/>
      <c r="DB54" s="496"/>
      <c r="DC54" s="496"/>
      <c r="DD54" s="496"/>
      <c r="DE54" s="496"/>
      <c r="DF54" s="496"/>
      <c r="DG54" s="496"/>
      <c r="DH54" s="496"/>
      <c r="DI54" s="496"/>
      <c r="DJ54" s="496"/>
      <c r="DK54" s="496"/>
      <c r="DL54" s="496"/>
      <c r="DM54" s="496"/>
      <c r="DN54" s="496"/>
      <c r="DO54" s="496"/>
      <c r="DP54" s="496"/>
      <c r="DQ54" s="496"/>
      <c r="DR54" s="496"/>
      <c r="DS54" s="496"/>
      <c r="DT54" s="496"/>
      <c r="DU54" s="496"/>
      <c r="DV54" s="496"/>
      <c r="DW54" s="496"/>
      <c r="DX54" s="496"/>
      <c r="DY54" s="496"/>
      <c r="DZ54" s="496"/>
      <c r="EA54" s="496"/>
      <c r="EB54" s="496"/>
      <c r="EC54" s="496"/>
      <c r="ED54" s="496"/>
      <c r="EE54" s="496"/>
      <c r="EF54" s="496"/>
      <c r="EG54" s="496"/>
      <c r="EH54" s="496"/>
      <c r="EI54" s="496"/>
      <c r="EJ54" s="496"/>
      <c r="EK54" s="496"/>
      <c r="EL54" s="496"/>
      <c r="EM54" s="496"/>
      <c r="EN54" s="496"/>
      <c r="EO54" s="496"/>
      <c r="EP54" s="496"/>
      <c r="EQ54" s="496"/>
      <c r="ER54" s="496"/>
      <c r="ES54" s="496"/>
      <c r="ET54" s="496"/>
      <c r="EU54" s="496"/>
      <c r="EV54" s="496"/>
      <c r="EW54" s="496"/>
      <c r="EX54" s="496"/>
      <c r="EY54" s="496"/>
      <c r="EZ54" s="496"/>
      <c r="FA54" s="496"/>
      <c r="FB54" s="496"/>
      <c r="FC54" s="496"/>
      <c r="FD54" s="496"/>
      <c r="FE54" s="496"/>
      <c r="FF54" s="496"/>
      <c r="FG54" s="496"/>
      <c r="FH54" s="496"/>
      <c r="FI54" s="496"/>
      <c r="FJ54" s="496"/>
      <c r="FK54" s="496"/>
      <c r="FL54" s="496"/>
      <c r="FM54" s="496"/>
      <c r="FN54" s="496"/>
      <c r="FO54" s="496"/>
      <c r="FP54" s="496"/>
      <c r="FQ54" s="496"/>
      <c r="FR54" s="496"/>
      <c r="FS54" s="496"/>
      <c r="FT54" s="496"/>
      <c r="FU54" s="496"/>
      <c r="FV54" s="496"/>
      <c r="FW54" s="496"/>
      <c r="FX54" s="496"/>
      <c r="FY54" s="496"/>
      <c r="FZ54" s="496"/>
      <c r="GA54" s="496"/>
      <c r="GB54" s="496"/>
      <c r="GC54" s="496"/>
      <c r="GD54" s="496"/>
      <c r="GE54" s="496"/>
      <c r="GF54" s="496"/>
      <c r="GG54" s="496"/>
      <c r="GH54" s="496"/>
    </row>
    <row r="55" spans="1:190" ht="12" customHeight="1">
      <c r="A55" s="496"/>
      <c r="B55" s="496"/>
      <c r="C55" s="496"/>
      <c r="D55" s="496"/>
      <c r="E55" s="496"/>
      <c r="F55" s="575"/>
      <c r="G55" s="575"/>
      <c r="H55" s="575"/>
      <c r="I55" s="575"/>
      <c r="J55" s="575"/>
      <c r="K55" s="575"/>
      <c r="L55" s="496"/>
      <c r="M55" s="575"/>
      <c r="N55" s="575"/>
      <c r="O55" s="575"/>
      <c r="P55" s="575"/>
      <c r="Q55" s="575"/>
      <c r="R55" s="496"/>
      <c r="S55" s="496"/>
      <c r="T55" s="496"/>
      <c r="U55" s="496"/>
      <c r="V55" s="1397" t="s">
        <v>1609</v>
      </c>
      <c r="W55" s="1397"/>
      <c r="X55" s="1397"/>
      <c r="Y55" s="1397"/>
      <c r="Z55" s="1397"/>
      <c r="AA55" s="1397"/>
      <c r="AB55" s="1397"/>
      <c r="AC55" s="1397"/>
      <c r="AD55" s="1397"/>
      <c r="AE55" s="1397"/>
      <c r="AF55" s="1397"/>
      <c r="AG55" s="1397"/>
      <c r="AH55" s="1397"/>
      <c r="AI55" s="1397"/>
      <c r="AJ55" s="1397"/>
      <c r="AK55" s="1397"/>
      <c r="AL55" s="496"/>
      <c r="AM55" s="496"/>
      <c r="AN55" s="496"/>
      <c r="AO55" s="496"/>
      <c r="AP55" s="496"/>
      <c r="AQ55" s="496"/>
      <c r="AR55" s="496"/>
      <c r="AS55" s="496"/>
      <c r="AT55" s="496"/>
      <c r="AU55" s="496"/>
      <c r="AV55" s="496"/>
      <c r="AW55" s="496" t="s">
        <v>1560</v>
      </c>
      <c r="AX55" s="496"/>
      <c r="AY55" s="496"/>
      <c r="AZ55" s="1398" t="s">
        <v>1610</v>
      </c>
      <c r="BA55" s="1398"/>
      <c r="BB55" s="1398"/>
      <c r="BC55" s="1398"/>
      <c r="BD55" s="1398"/>
      <c r="BE55" s="1398"/>
      <c r="BF55" s="1398"/>
      <c r="BG55" s="1398"/>
      <c r="BH55" s="1398"/>
      <c r="BI55" s="1398"/>
      <c r="BJ55" s="1398"/>
      <c r="BK55" s="1398"/>
      <c r="BL55" s="1398"/>
      <c r="BM55" s="496"/>
      <c r="BN55" s="496"/>
      <c r="BO55" s="496"/>
      <c r="BP55" s="496"/>
      <c r="BQ55" s="475"/>
      <c r="BR55" s="475"/>
      <c r="BS55" s="475"/>
      <c r="BT55" s="475"/>
      <c r="BU55" s="475"/>
      <c r="BV55" s="475"/>
      <c r="BW55" s="475"/>
      <c r="BX55" s="475"/>
      <c r="BY55" s="475"/>
      <c r="BZ55" s="475"/>
      <c r="CA55" s="475"/>
      <c r="CB55" s="475"/>
      <c r="CC55" s="475"/>
      <c r="CD55" s="475"/>
      <c r="CE55" s="475"/>
      <c r="CF55" s="475"/>
      <c r="CG55" s="475"/>
      <c r="CH55" s="475"/>
      <c r="CI55" s="475"/>
      <c r="CJ55" s="475"/>
      <c r="CK55" s="475"/>
      <c r="CL55" s="475"/>
      <c r="CM55" s="496"/>
      <c r="CN55" s="496"/>
      <c r="CO55" s="496"/>
      <c r="CP55" s="496"/>
      <c r="CQ55" s="496"/>
      <c r="CR55" s="496"/>
      <c r="CS55" s="496"/>
      <c r="CT55" s="496"/>
      <c r="CU55" s="496"/>
      <c r="CV55" s="496"/>
      <c r="CW55" s="496"/>
      <c r="CX55" s="496"/>
      <c r="CY55" s="496"/>
      <c r="CZ55" s="496"/>
      <c r="DA55" s="496"/>
      <c r="DB55" s="496"/>
      <c r="DC55" s="496"/>
      <c r="DD55" s="496"/>
      <c r="DE55" s="496"/>
      <c r="DF55" s="496"/>
      <c r="DG55" s="496"/>
      <c r="DH55" s="496"/>
      <c r="DI55" s="496"/>
      <c r="DJ55" s="496"/>
      <c r="DK55" s="496"/>
      <c r="DL55" s="496"/>
      <c r="DM55" s="496"/>
      <c r="DN55" s="496"/>
      <c r="DO55" s="496"/>
      <c r="DP55" s="496"/>
      <c r="DQ55" s="496"/>
      <c r="DR55" s="496"/>
      <c r="DS55" s="496"/>
      <c r="DT55" s="496"/>
      <c r="DU55" s="496"/>
      <c r="DV55" s="496"/>
      <c r="DW55" s="496"/>
      <c r="DX55" s="496"/>
      <c r="DY55" s="496"/>
      <c r="DZ55" s="496"/>
      <c r="EA55" s="496"/>
      <c r="EB55" s="496"/>
      <c r="EC55" s="496"/>
      <c r="ED55" s="496"/>
      <c r="EE55" s="496"/>
      <c r="EF55" s="496"/>
      <c r="EG55" s="496"/>
      <c r="EH55" s="496"/>
      <c r="EI55" s="496"/>
      <c r="EJ55" s="496"/>
      <c r="EK55" s="496"/>
      <c r="EL55" s="496"/>
      <c r="EM55" s="496"/>
      <c r="EN55" s="496"/>
      <c r="EO55" s="496"/>
      <c r="EP55" s="496"/>
      <c r="EQ55" s="496"/>
      <c r="ER55" s="496"/>
      <c r="ES55" s="496"/>
      <c r="ET55" s="496"/>
      <c r="EU55" s="496"/>
      <c r="EV55" s="496"/>
      <c r="EW55" s="496"/>
      <c r="EX55" s="496"/>
      <c r="EY55" s="496"/>
      <c r="EZ55" s="496"/>
      <c r="FA55" s="496"/>
      <c r="FB55" s="496"/>
      <c r="FC55" s="496"/>
      <c r="FD55" s="496"/>
      <c r="FE55" s="496"/>
      <c r="FF55" s="496"/>
      <c r="FG55" s="496"/>
      <c r="FH55" s="496"/>
      <c r="FI55" s="496"/>
      <c r="FJ55" s="496"/>
      <c r="FK55" s="496"/>
      <c r="FL55" s="496"/>
      <c r="FM55" s="496"/>
      <c r="FN55" s="496"/>
      <c r="FO55" s="496"/>
      <c r="FP55" s="496"/>
      <c r="FQ55" s="496"/>
      <c r="FR55" s="496"/>
      <c r="FS55" s="496"/>
      <c r="FT55" s="496"/>
      <c r="FU55" s="496"/>
      <c r="FV55" s="496"/>
      <c r="FW55" s="496"/>
      <c r="FX55" s="496"/>
      <c r="FY55" s="496"/>
      <c r="FZ55" s="496"/>
      <c r="GA55" s="496"/>
      <c r="GB55" s="496"/>
      <c r="GC55" s="496"/>
      <c r="GD55" s="496"/>
      <c r="GE55" s="496"/>
      <c r="GF55" s="496"/>
      <c r="GG55" s="496"/>
      <c r="GH55" s="496"/>
    </row>
    <row r="56" spans="1:190" ht="12" customHeight="1">
      <c r="A56" s="496"/>
      <c r="B56" s="496"/>
      <c r="C56" s="496"/>
      <c r="D56" s="496"/>
      <c r="E56" s="496"/>
      <c r="F56" s="496"/>
      <c r="G56" s="496"/>
      <c r="H56" s="496"/>
      <c r="I56" s="496"/>
      <c r="J56" s="496"/>
      <c r="K56" s="496"/>
      <c r="L56" s="496"/>
      <c r="M56" s="496"/>
      <c r="N56" s="496"/>
      <c r="O56" s="496"/>
      <c r="P56" s="496"/>
      <c r="Q56" s="496"/>
      <c r="R56" s="496"/>
      <c r="S56" s="496"/>
      <c r="T56" s="496"/>
      <c r="U56" s="496"/>
      <c r="V56" s="496" t="s">
        <v>1611</v>
      </c>
      <c r="W56" s="496"/>
      <c r="X56" s="496"/>
      <c r="Y56" s="1398"/>
      <c r="Z56" s="1398"/>
      <c r="AA56" s="1398"/>
      <c r="AB56" s="1398"/>
      <c r="AC56" s="1398"/>
      <c r="AD56" s="1398"/>
      <c r="AE56" s="1398"/>
      <c r="AF56" s="1398"/>
      <c r="AG56" s="1398"/>
      <c r="AH56" s="1398"/>
      <c r="AI56" s="1398"/>
      <c r="AJ56" s="1398"/>
      <c r="AK56" s="1398"/>
      <c r="AL56" s="496"/>
      <c r="AM56" s="496"/>
      <c r="AN56" s="496"/>
      <c r="AO56" s="496"/>
      <c r="AP56" s="496"/>
      <c r="AQ56" s="496"/>
      <c r="AR56" s="496"/>
      <c r="AS56" s="496"/>
      <c r="AT56" s="496"/>
      <c r="AU56" s="496"/>
      <c r="AV56" s="496"/>
      <c r="AW56" s="496" t="s">
        <v>1563</v>
      </c>
      <c r="AX56" s="496"/>
      <c r="AY56" s="496"/>
      <c r="AZ56" s="1398" t="s">
        <v>1612</v>
      </c>
      <c r="BA56" s="1398"/>
      <c r="BB56" s="1398"/>
      <c r="BC56" s="1398"/>
      <c r="BD56" s="1398"/>
      <c r="BE56" s="1398"/>
      <c r="BF56" s="1398"/>
      <c r="BG56" s="1398"/>
      <c r="BH56" s="1398"/>
      <c r="BI56" s="1398"/>
      <c r="BJ56" s="1398"/>
      <c r="BK56" s="1398"/>
      <c r="BL56" s="1398"/>
      <c r="BM56" s="496"/>
      <c r="BN56" s="496"/>
      <c r="BO56" s="496"/>
      <c r="BP56" s="496"/>
      <c r="BQ56" s="475"/>
      <c r="BR56" s="475"/>
      <c r="BS56" s="475"/>
      <c r="BT56" s="475"/>
      <c r="BU56" s="475"/>
      <c r="BV56" s="475"/>
      <c r="BW56" s="475"/>
      <c r="BX56" s="475"/>
      <c r="BY56" s="475"/>
      <c r="BZ56" s="475"/>
      <c r="CA56" s="475"/>
      <c r="CB56" s="475"/>
      <c r="CC56" s="475"/>
      <c r="CD56" s="475"/>
      <c r="CE56" s="475"/>
      <c r="CF56" s="475"/>
      <c r="CG56" s="475"/>
      <c r="CH56" s="475"/>
      <c r="CI56" s="475"/>
      <c r="CJ56" s="475"/>
      <c r="CK56" s="475"/>
      <c r="CL56" s="475"/>
      <c r="CM56" s="496"/>
      <c r="CN56" s="496"/>
      <c r="CO56" s="496"/>
      <c r="CP56" s="496"/>
      <c r="CQ56" s="496"/>
      <c r="CR56" s="496"/>
      <c r="CS56" s="496"/>
      <c r="CT56" s="496"/>
      <c r="CU56" s="496"/>
      <c r="CV56" s="496"/>
      <c r="CW56" s="496"/>
      <c r="CX56" s="496"/>
      <c r="CY56" s="496"/>
      <c r="CZ56" s="496"/>
      <c r="DA56" s="496"/>
      <c r="DB56" s="496"/>
      <c r="DC56" s="496"/>
      <c r="DD56" s="496"/>
      <c r="DE56" s="496"/>
      <c r="DF56" s="496"/>
      <c r="DG56" s="496"/>
      <c r="DH56" s="496"/>
      <c r="DI56" s="496"/>
      <c r="DJ56" s="496"/>
      <c r="DK56" s="496"/>
      <c r="DL56" s="496"/>
      <c r="DM56" s="496"/>
      <c r="DN56" s="496"/>
      <c r="DO56" s="496"/>
      <c r="DP56" s="496"/>
      <c r="DQ56" s="496"/>
      <c r="DR56" s="496"/>
      <c r="DS56" s="496"/>
      <c r="DT56" s="496"/>
      <c r="DU56" s="496"/>
      <c r="DV56" s="496"/>
      <c r="DW56" s="496"/>
      <c r="DX56" s="496"/>
      <c r="DY56" s="496"/>
      <c r="DZ56" s="496"/>
      <c r="EA56" s="496"/>
      <c r="EB56" s="496"/>
      <c r="EC56" s="496"/>
      <c r="ED56" s="496"/>
      <c r="EE56" s="496"/>
      <c r="EF56" s="496"/>
      <c r="EG56" s="496"/>
      <c r="EH56" s="496"/>
      <c r="EI56" s="496"/>
      <c r="EJ56" s="496"/>
      <c r="EK56" s="496"/>
      <c r="EL56" s="496"/>
      <c r="EM56" s="496"/>
      <c r="EN56" s="496"/>
      <c r="EO56" s="496"/>
      <c r="EP56" s="496"/>
      <c r="EQ56" s="496"/>
      <c r="ER56" s="496"/>
      <c r="ES56" s="496"/>
      <c r="ET56" s="496"/>
      <c r="EU56" s="496"/>
      <c r="EV56" s="496"/>
      <c r="EW56" s="496"/>
      <c r="EX56" s="496"/>
      <c r="EY56" s="496"/>
      <c r="EZ56" s="496"/>
      <c r="FA56" s="496"/>
      <c r="FB56" s="496"/>
      <c r="FC56" s="496"/>
      <c r="FD56" s="496"/>
      <c r="FE56" s="496"/>
      <c r="FF56" s="496"/>
      <c r="FG56" s="496"/>
      <c r="FH56" s="496"/>
      <c r="FI56" s="496"/>
      <c r="FJ56" s="496"/>
      <c r="FK56" s="496"/>
      <c r="FL56" s="496"/>
      <c r="FM56" s="496"/>
      <c r="FN56" s="496"/>
      <c r="FO56" s="496"/>
      <c r="FP56" s="496"/>
      <c r="FQ56" s="496"/>
      <c r="FR56" s="496"/>
      <c r="FS56" s="496"/>
      <c r="FT56" s="496"/>
      <c r="FU56" s="496"/>
      <c r="FV56" s="496"/>
      <c r="FW56" s="496"/>
      <c r="FX56" s="496"/>
      <c r="FY56" s="496"/>
      <c r="FZ56" s="496"/>
      <c r="GA56" s="496"/>
      <c r="GB56" s="496"/>
      <c r="GC56" s="496"/>
      <c r="GD56" s="496"/>
      <c r="GE56" s="496"/>
      <c r="GF56" s="496"/>
      <c r="GG56" s="496"/>
      <c r="GH56" s="496"/>
    </row>
    <row r="57" spans="1:190" ht="12" customHeight="1">
      <c r="A57" s="476"/>
      <c r="G57" s="476"/>
      <c r="H57" s="476"/>
      <c r="I57" s="476"/>
      <c r="J57" s="476"/>
      <c r="L57" s="476"/>
      <c r="M57" s="476"/>
      <c r="N57" s="476"/>
      <c r="O57" s="476"/>
      <c r="V57" s="489" t="s">
        <v>1613</v>
      </c>
      <c r="AL57" s="576"/>
      <c r="BQ57" s="475"/>
      <c r="BR57" s="475"/>
      <c r="BS57" s="475"/>
      <c r="BT57" s="475"/>
      <c r="BU57" s="475"/>
      <c r="BV57" s="475"/>
      <c r="BW57" s="475"/>
      <c r="BX57" s="475"/>
      <c r="BY57" s="475"/>
      <c r="BZ57" s="475"/>
      <c r="CA57" s="475"/>
      <c r="CB57" s="475"/>
      <c r="CC57" s="475"/>
      <c r="CD57" s="475"/>
      <c r="CE57" s="475"/>
      <c r="CF57" s="475"/>
      <c r="CG57" s="475"/>
      <c r="CH57" s="475"/>
      <c r="CI57" s="475"/>
      <c r="CJ57" s="475"/>
      <c r="CK57" s="475"/>
      <c r="CL57" s="475"/>
    </row>
    <row r="58" spans="1:190" ht="12" customHeight="1">
      <c r="AL58" s="502"/>
    </row>
    <row r="59" spans="1:190" ht="12" customHeight="1">
      <c r="AL59" s="502"/>
    </row>
    <row r="60" spans="1:190" ht="12" customHeight="1">
      <c r="AL60" s="577"/>
    </row>
    <row r="61" spans="1:190" ht="12" customHeight="1"/>
    <row r="62" spans="1:190" ht="12" customHeight="1"/>
    <row r="63" spans="1:190" ht="12" customHeight="1">
      <c r="Q63" s="578"/>
    </row>
  </sheetData>
  <mergeCells count="286">
    <mergeCell ref="A46:BO49"/>
    <mergeCell ref="A51:R51"/>
    <mergeCell ref="V55:AK55"/>
    <mergeCell ref="AZ55:BL55"/>
    <mergeCell ref="Y56:AK56"/>
    <mergeCell ref="AZ56:BL56"/>
    <mergeCell ref="AU42:AY42"/>
    <mergeCell ref="AZ42:BD42"/>
    <mergeCell ref="BE42:BI42"/>
    <mergeCell ref="BJ42:BL42"/>
    <mergeCell ref="BM42:BO42"/>
    <mergeCell ref="N43:P43"/>
    <mergeCell ref="Q43:U43"/>
    <mergeCell ref="V43:Z43"/>
    <mergeCell ref="AA43:AE43"/>
    <mergeCell ref="AF43:AJ43"/>
    <mergeCell ref="AK43:AO43"/>
    <mergeCell ref="AP43:AT43"/>
    <mergeCell ref="AU43:AY43"/>
    <mergeCell ref="AZ43:BD43"/>
    <mergeCell ref="BE43:BI43"/>
    <mergeCell ref="BJ43:BL43"/>
    <mergeCell ref="BM43:BO43"/>
    <mergeCell ref="A42:B42"/>
    <mergeCell ref="C42:M42"/>
    <mergeCell ref="N42:P42"/>
    <mergeCell ref="Q42:U42"/>
    <mergeCell ref="V42:Z42"/>
    <mergeCell ref="AA42:AE42"/>
    <mergeCell ref="AF42:AJ42"/>
    <mergeCell ref="AK42:AO42"/>
    <mergeCell ref="AP42:AT42"/>
    <mergeCell ref="AU36:AY36"/>
    <mergeCell ref="AZ36:BD36"/>
    <mergeCell ref="BE36:BI36"/>
    <mergeCell ref="BJ36:BL36"/>
    <mergeCell ref="BM36:BO36"/>
    <mergeCell ref="N38:P38"/>
    <mergeCell ref="Q38:U38"/>
    <mergeCell ref="V38:Z38"/>
    <mergeCell ref="AA38:AE38"/>
    <mergeCell ref="AF38:AJ38"/>
    <mergeCell ref="AK38:AO38"/>
    <mergeCell ref="AP38:AT38"/>
    <mergeCell ref="AU38:AY38"/>
    <mergeCell ref="AZ38:BD38"/>
    <mergeCell ref="BE38:BI38"/>
    <mergeCell ref="BJ38:BL38"/>
    <mergeCell ref="BM38:BO38"/>
    <mergeCell ref="A36:B36"/>
    <mergeCell ref="C36:M36"/>
    <mergeCell ref="N36:P36"/>
    <mergeCell ref="Q36:U36"/>
    <mergeCell ref="V36:Z36"/>
    <mergeCell ref="AA36:AE36"/>
    <mergeCell ref="AF36:AJ36"/>
    <mergeCell ref="AK36:AO36"/>
    <mergeCell ref="AP36:AT36"/>
    <mergeCell ref="AU34:AY34"/>
    <mergeCell ref="AZ34:BD34"/>
    <mergeCell ref="BE34:BI34"/>
    <mergeCell ref="BM34:BO34"/>
    <mergeCell ref="A35:B35"/>
    <mergeCell ref="C35:M35"/>
    <mergeCell ref="N35:P35"/>
    <mergeCell ref="Q35:U35"/>
    <mergeCell ref="V35:Z35"/>
    <mergeCell ref="AA35:AE35"/>
    <mergeCell ref="AF35:AJ35"/>
    <mergeCell ref="AK35:AO35"/>
    <mergeCell ref="AP35:AT35"/>
    <mergeCell ref="AU35:AY35"/>
    <mergeCell ref="AZ35:BD35"/>
    <mergeCell ref="BE35:BI35"/>
    <mergeCell ref="BJ35:BL35"/>
    <mergeCell ref="BM35:BO35"/>
    <mergeCell ref="A34:B34"/>
    <mergeCell ref="C34:M34"/>
    <mergeCell ref="N34:P34"/>
    <mergeCell ref="Q34:U34"/>
    <mergeCell ref="V34:Z34"/>
    <mergeCell ref="AA34:AE34"/>
    <mergeCell ref="AF34:AJ34"/>
    <mergeCell ref="AK34:AO34"/>
    <mergeCell ref="AP34:AT34"/>
    <mergeCell ref="AU32:AY32"/>
    <mergeCell ref="AZ32:BD32"/>
    <mergeCell ref="BE32:BI32"/>
    <mergeCell ref="BJ32:BL32"/>
    <mergeCell ref="BM32:BO32"/>
    <mergeCell ref="A33:B33"/>
    <mergeCell ref="C33:M33"/>
    <mergeCell ref="N33:P33"/>
    <mergeCell ref="Q33:U33"/>
    <mergeCell ref="V33:Z33"/>
    <mergeCell ref="AA33:AE33"/>
    <mergeCell ref="AF33:AJ33"/>
    <mergeCell ref="AK33:AO33"/>
    <mergeCell ref="AP33:AT33"/>
    <mergeCell ref="AU33:AY33"/>
    <mergeCell ref="AZ33:BD33"/>
    <mergeCell ref="BE33:BI33"/>
    <mergeCell ref="BM33:BO33"/>
    <mergeCell ref="A32:B32"/>
    <mergeCell ref="C32:M32"/>
    <mergeCell ref="N32:P32"/>
    <mergeCell ref="Q32:U32"/>
    <mergeCell ref="V32:Z32"/>
    <mergeCell ref="AA32:AE32"/>
    <mergeCell ref="AF32:AJ32"/>
    <mergeCell ref="AK32:AO32"/>
    <mergeCell ref="AP32:AT32"/>
    <mergeCell ref="AU30:AY30"/>
    <mergeCell ref="AZ30:BD30"/>
    <mergeCell ref="BE30:BI30"/>
    <mergeCell ref="BJ30:BL30"/>
    <mergeCell ref="BM30:BO30"/>
    <mergeCell ref="A31:B31"/>
    <mergeCell ref="C31:M31"/>
    <mergeCell ref="N31:P31"/>
    <mergeCell ref="Q31:U31"/>
    <mergeCell ref="V31:Z31"/>
    <mergeCell ref="AA31:AE31"/>
    <mergeCell ref="AF31:AJ31"/>
    <mergeCell ref="AK31:AO31"/>
    <mergeCell ref="AP31:AT31"/>
    <mergeCell ref="AU31:AY31"/>
    <mergeCell ref="AZ31:BD31"/>
    <mergeCell ref="BE31:BI31"/>
    <mergeCell ref="BJ31:BL31"/>
    <mergeCell ref="BM31:BO31"/>
    <mergeCell ref="A30:B30"/>
    <mergeCell ref="C30:M30"/>
    <mergeCell ref="N30:P30"/>
    <mergeCell ref="Q30:U30"/>
    <mergeCell ref="V30:Z30"/>
    <mergeCell ref="AA30:AE30"/>
    <mergeCell ref="AF30:AJ30"/>
    <mergeCell ref="AK30:AO30"/>
    <mergeCell ref="AP30:AT30"/>
    <mergeCell ref="AU28:AY28"/>
    <mergeCell ref="AZ28:BD28"/>
    <mergeCell ref="BE28:BI28"/>
    <mergeCell ref="BJ28:BL28"/>
    <mergeCell ref="BM28:BO28"/>
    <mergeCell ref="A29:B29"/>
    <mergeCell ref="C29:M29"/>
    <mergeCell ref="N29:P29"/>
    <mergeCell ref="Q29:U29"/>
    <mergeCell ref="V29:Z29"/>
    <mergeCell ref="AA29:AE29"/>
    <mergeCell ref="AF29:AJ29"/>
    <mergeCell ref="AK29:AO29"/>
    <mergeCell ref="AP29:AT29"/>
    <mergeCell ref="AU29:AY29"/>
    <mergeCell ref="AZ29:BD29"/>
    <mergeCell ref="BE29:BI29"/>
    <mergeCell ref="BJ29:BL29"/>
    <mergeCell ref="BM29:BO29"/>
    <mergeCell ref="A28:B28"/>
    <mergeCell ref="C28:M28"/>
    <mergeCell ref="N28:P28"/>
    <mergeCell ref="Q28:U28"/>
    <mergeCell ref="V28:Z28"/>
    <mergeCell ref="AA28:AE28"/>
    <mergeCell ref="AF28:AJ28"/>
    <mergeCell ref="AK28:AO28"/>
    <mergeCell ref="AP28:AT28"/>
    <mergeCell ref="AU26:AY26"/>
    <mergeCell ref="AZ26:BD26"/>
    <mergeCell ref="BE26:BI26"/>
    <mergeCell ref="BJ26:BL26"/>
    <mergeCell ref="BM26:BO26"/>
    <mergeCell ref="A27:B27"/>
    <mergeCell ref="C27:M27"/>
    <mergeCell ref="N27:P27"/>
    <mergeCell ref="Q27:U27"/>
    <mergeCell ref="V27:Z27"/>
    <mergeCell ref="AA27:AE27"/>
    <mergeCell ref="AF27:AJ27"/>
    <mergeCell ref="AK27:AO27"/>
    <mergeCell ref="AP27:AT27"/>
    <mergeCell ref="AU27:AY27"/>
    <mergeCell ref="AZ27:BD27"/>
    <mergeCell ref="BE27:BI27"/>
    <mergeCell ref="BJ27:BL27"/>
    <mergeCell ref="BM27:BO27"/>
    <mergeCell ref="A26:B26"/>
    <mergeCell ref="C26:M26"/>
    <mergeCell ref="N26:P26"/>
    <mergeCell ref="Q26:U26"/>
    <mergeCell ref="V26:Z26"/>
    <mergeCell ref="AA26:AE26"/>
    <mergeCell ref="AF26:AJ26"/>
    <mergeCell ref="AK26:AO26"/>
    <mergeCell ref="AP26:AT26"/>
    <mergeCell ref="AU24:AY24"/>
    <mergeCell ref="AZ24:BD24"/>
    <mergeCell ref="BE24:BI24"/>
    <mergeCell ref="BJ24:BL24"/>
    <mergeCell ref="BM24:BO24"/>
    <mergeCell ref="A25:B25"/>
    <mergeCell ref="C25:M25"/>
    <mergeCell ref="N25:P25"/>
    <mergeCell ref="Q25:U25"/>
    <mergeCell ref="V25:Z25"/>
    <mergeCell ref="AA25:AE25"/>
    <mergeCell ref="AF25:AJ25"/>
    <mergeCell ref="AK25:AO25"/>
    <mergeCell ref="AP25:AT25"/>
    <mergeCell ref="AU25:AY25"/>
    <mergeCell ref="AZ25:BD25"/>
    <mergeCell ref="BE25:BI25"/>
    <mergeCell ref="BJ25:BL25"/>
    <mergeCell ref="BM25:BO25"/>
    <mergeCell ref="A24:B24"/>
    <mergeCell ref="C24:M24"/>
    <mergeCell ref="N24:P24"/>
    <mergeCell ref="Q24:U24"/>
    <mergeCell ref="V24:Z24"/>
    <mergeCell ref="AA24:AE24"/>
    <mergeCell ref="AF24:AJ24"/>
    <mergeCell ref="AK24:AO24"/>
    <mergeCell ref="AP24:AT24"/>
    <mergeCell ref="V21:Z21"/>
    <mergeCell ref="AA21:AE21"/>
    <mergeCell ref="AF21:AT21"/>
    <mergeCell ref="AU21:BO21"/>
    <mergeCell ref="A23:B23"/>
    <mergeCell ref="N23:P23"/>
    <mergeCell ref="Q23:U23"/>
    <mergeCell ref="V23:Z23"/>
    <mergeCell ref="AA23:AE23"/>
    <mergeCell ref="AF23:AJ23"/>
    <mergeCell ref="AK23:AO23"/>
    <mergeCell ref="AP23:AT23"/>
    <mergeCell ref="AU23:AY23"/>
    <mergeCell ref="AZ23:BD23"/>
    <mergeCell ref="BE23:BI23"/>
    <mergeCell ref="BJ23:BL23"/>
    <mergeCell ref="BM23:BO23"/>
    <mergeCell ref="X15:AK15"/>
    <mergeCell ref="AM15:AR15"/>
    <mergeCell ref="AT15:BO19"/>
    <mergeCell ref="A17:G17"/>
    <mergeCell ref="H17:I17"/>
    <mergeCell ref="J17:K17"/>
    <mergeCell ref="L17:R17"/>
    <mergeCell ref="S17:T17"/>
    <mergeCell ref="U17:V17"/>
    <mergeCell ref="A19:G19"/>
    <mergeCell ref="H19:I19"/>
    <mergeCell ref="J19:K19"/>
    <mergeCell ref="L19:R19"/>
    <mergeCell ref="S19:T19"/>
    <mergeCell ref="U19:V19"/>
    <mergeCell ref="AG19:AK19"/>
    <mergeCell ref="AM19:AR19"/>
    <mergeCell ref="A13:G13"/>
    <mergeCell ref="H13:I13"/>
    <mergeCell ref="J13:K13"/>
    <mergeCell ref="L13:R13"/>
    <mergeCell ref="S13:T13"/>
    <mergeCell ref="U13:V13"/>
    <mergeCell ref="A15:G15"/>
    <mergeCell ref="H15:I15"/>
    <mergeCell ref="J15:K15"/>
    <mergeCell ref="L15:R15"/>
    <mergeCell ref="S15:T15"/>
    <mergeCell ref="U15:V15"/>
    <mergeCell ref="A5:C5"/>
    <mergeCell ref="D7:G7"/>
    <mergeCell ref="I7:N7"/>
    <mergeCell ref="P7:V7"/>
    <mergeCell ref="X7:AF7"/>
    <mergeCell ref="AG7:AK7"/>
    <mergeCell ref="AT7:BO7"/>
    <mergeCell ref="A11:G11"/>
    <mergeCell ref="H11:I11"/>
    <mergeCell ref="J11:K11"/>
    <mergeCell ref="L11:R11"/>
    <mergeCell ref="S11:T11"/>
    <mergeCell ref="U11:V11"/>
    <mergeCell ref="X11:AK11"/>
    <mergeCell ref="AM11:AR11"/>
    <mergeCell ref="AT11:BO11"/>
  </mergeCells>
  <conditionalFormatting sqref="Y19">
    <cfRule type="expression" dxfId="5" priority="3">
      <formula>$BJ$20&lt;&gt;""</formula>
    </cfRule>
  </conditionalFormatting>
  <conditionalFormatting sqref="AC19">
    <cfRule type="expression" dxfId="4" priority="4">
      <formula>$BN$20&lt;&gt;""</formula>
    </cfRule>
  </conditionalFormatting>
  <conditionalFormatting sqref="AK39:AO41 AZ39:BD41">
    <cfRule type="expression" dxfId="3" priority="2">
      <formula>ISERROR(AK39)</formula>
    </cfRule>
  </conditionalFormatting>
  <pageMargins left="0.51180555555555596" right="0.51180555555555596" top="0.78749999999999998" bottom="0.78749999999999998" header="0.511811023622047" footer="0.511811023622047"/>
  <pageSetup paperSize="9" scale="64" fitToHeight="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538"/>
  <sheetViews>
    <sheetView view="pageBreakPreview" topLeftCell="A37" zoomScale="90" zoomScaleNormal="80" zoomScalePageLayoutView="90" workbookViewId="0">
      <selection activeCell="A987" sqref="A987"/>
    </sheetView>
  </sheetViews>
  <sheetFormatPr defaultColWidth="9.109375" defaultRowHeight="13.2"/>
  <cols>
    <col min="1" max="1" width="15" style="328" customWidth="1"/>
    <col min="2" max="2" width="77.5546875" style="579" customWidth="1"/>
    <col min="3" max="3" width="10.44140625" style="328" customWidth="1"/>
    <col min="4" max="4" width="12.88671875" style="580" customWidth="1"/>
    <col min="5" max="5" width="10.5546875" style="581" customWidth="1"/>
    <col min="6" max="6" width="10.44140625" style="581" customWidth="1"/>
    <col min="7" max="16384" width="9.109375" style="581"/>
  </cols>
  <sheetData>
    <row r="1" spans="1:6">
      <c r="A1" s="582"/>
      <c r="B1" s="583"/>
      <c r="C1" s="584"/>
      <c r="F1" s="585"/>
    </row>
    <row r="2" spans="1:6">
      <c r="A2" s="586"/>
      <c r="B2" s="587" t="s">
        <v>1614</v>
      </c>
      <c r="C2" s="588"/>
      <c r="F2" s="585"/>
    </row>
    <row r="3" spans="1:6">
      <c r="A3" s="589"/>
      <c r="B3" s="590"/>
      <c r="C3" s="588"/>
      <c r="D3" s="591"/>
      <c r="F3" s="585"/>
    </row>
    <row r="4" spans="1:6" s="594" customFormat="1">
      <c r="A4" s="589" t="s">
        <v>10</v>
      </c>
      <c r="B4" s="592" t="s">
        <v>1422</v>
      </c>
      <c r="C4" s="593" t="s">
        <v>1615</v>
      </c>
      <c r="D4" s="320"/>
      <c r="F4" s="595"/>
    </row>
    <row r="5" spans="1:6" s="594" customFormat="1">
      <c r="A5" s="589"/>
      <c r="B5" s="592"/>
      <c r="C5" s="593"/>
      <c r="D5" s="320"/>
      <c r="F5" s="595"/>
    </row>
    <row r="6" spans="1:6">
      <c r="A6" s="589">
        <v>1</v>
      </c>
      <c r="B6" s="596" t="s">
        <v>21</v>
      </c>
      <c r="C6" s="588"/>
      <c r="F6" s="585"/>
    </row>
    <row r="7" spans="1:6">
      <c r="A7" s="589">
        <v>101</v>
      </c>
      <c r="B7" s="596" t="s">
        <v>24</v>
      </c>
      <c r="C7" s="588"/>
      <c r="F7" s="585"/>
    </row>
    <row r="8" spans="1:6">
      <c r="A8" s="597">
        <v>10101</v>
      </c>
      <c r="B8" s="598" t="s">
        <v>1616</v>
      </c>
      <c r="C8" s="588" t="s">
        <v>1617</v>
      </c>
      <c r="D8" s="599">
        <v>2.23</v>
      </c>
      <c r="F8" s="585"/>
    </row>
    <row r="9" spans="1:6">
      <c r="A9" s="600">
        <v>10110</v>
      </c>
      <c r="B9" s="601" t="s">
        <v>1618</v>
      </c>
      <c r="C9" s="602" t="s">
        <v>1619</v>
      </c>
      <c r="D9" s="599">
        <v>116.81</v>
      </c>
    </row>
    <row r="10" spans="1:6">
      <c r="A10" s="600">
        <v>10111</v>
      </c>
      <c r="B10" s="601" t="s">
        <v>1620</v>
      </c>
      <c r="C10" s="602" t="s">
        <v>1619</v>
      </c>
      <c r="D10" s="599">
        <v>254.67</v>
      </c>
    </row>
    <row r="11" spans="1:6">
      <c r="A11" s="600">
        <v>10112</v>
      </c>
      <c r="B11" s="601" t="s">
        <v>1621</v>
      </c>
      <c r="C11" s="602" t="s">
        <v>1619</v>
      </c>
      <c r="D11" s="599">
        <v>318.33999999999997</v>
      </c>
    </row>
    <row r="12" spans="1:6">
      <c r="A12" s="600">
        <v>10113</v>
      </c>
      <c r="B12" s="601" t="s">
        <v>1622</v>
      </c>
      <c r="C12" s="602" t="s">
        <v>1619</v>
      </c>
      <c r="D12" s="599">
        <v>382.01</v>
      </c>
    </row>
    <row r="13" spans="1:6">
      <c r="A13" s="600">
        <v>10199</v>
      </c>
      <c r="B13" s="601" t="s">
        <v>1623</v>
      </c>
      <c r="C13" s="602" t="s">
        <v>1624</v>
      </c>
      <c r="D13" s="599">
        <v>263.25</v>
      </c>
    </row>
    <row r="14" spans="1:6">
      <c r="A14" s="589">
        <v>102</v>
      </c>
      <c r="B14" s="596" t="s">
        <v>1625</v>
      </c>
      <c r="C14" s="588"/>
      <c r="D14" s="599"/>
      <c r="F14" s="585"/>
    </row>
    <row r="15" spans="1:6">
      <c r="A15" s="600">
        <v>10201</v>
      </c>
      <c r="B15" s="601" t="s">
        <v>1626</v>
      </c>
      <c r="C15" s="602" t="s">
        <v>1627</v>
      </c>
      <c r="D15" s="599">
        <v>22.32</v>
      </c>
    </row>
    <row r="16" spans="1:6">
      <c r="A16" s="600">
        <v>10202</v>
      </c>
      <c r="B16" s="601" t="s">
        <v>1628</v>
      </c>
      <c r="C16" s="602" t="s">
        <v>1629</v>
      </c>
      <c r="D16" s="599">
        <v>13.75</v>
      </c>
    </row>
    <row r="17" spans="1:6">
      <c r="A17" s="600">
        <v>10203</v>
      </c>
      <c r="B17" s="601" t="s">
        <v>1630</v>
      </c>
      <c r="C17" s="602" t="s">
        <v>1629</v>
      </c>
      <c r="D17" s="599">
        <v>13.75</v>
      </c>
    </row>
    <row r="18" spans="1:6">
      <c r="A18" s="600">
        <v>10204</v>
      </c>
      <c r="B18" s="601" t="s">
        <v>1631</v>
      </c>
      <c r="C18" s="602" t="s">
        <v>1632</v>
      </c>
      <c r="D18" s="599">
        <v>0.46</v>
      </c>
    </row>
    <row r="19" spans="1:6">
      <c r="A19" s="600">
        <v>10299</v>
      </c>
      <c r="B19" s="601" t="s">
        <v>1633</v>
      </c>
      <c r="C19" s="602" t="s">
        <v>1624</v>
      </c>
      <c r="D19" s="599">
        <v>263.25</v>
      </c>
    </row>
    <row r="20" spans="1:6">
      <c r="A20" s="589">
        <v>103</v>
      </c>
      <c r="B20" s="596" t="s">
        <v>30</v>
      </c>
      <c r="C20" s="588"/>
      <c r="D20" s="599"/>
      <c r="F20" s="585"/>
    </row>
    <row r="21" spans="1:6">
      <c r="A21" s="600">
        <v>10301</v>
      </c>
      <c r="B21" s="601" t="s">
        <v>1626</v>
      </c>
      <c r="C21" s="602" t="s">
        <v>1627</v>
      </c>
      <c r="D21" s="599">
        <v>5.64</v>
      </c>
    </row>
    <row r="22" spans="1:6">
      <c r="A22" s="600">
        <v>10302</v>
      </c>
      <c r="B22" s="601" t="s">
        <v>1628</v>
      </c>
      <c r="C22" s="602" t="s">
        <v>1629</v>
      </c>
      <c r="D22" s="599">
        <v>7.75</v>
      </c>
    </row>
    <row r="23" spans="1:6">
      <c r="A23" s="603">
        <v>10304</v>
      </c>
      <c r="B23" s="604" t="s">
        <v>1630</v>
      </c>
      <c r="C23" s="605" t="s">
        <v>1629</v>
      </c>
      <c r="D23" s="599">
        <v>8.99</v>
      </c>
      <c r="F23" s="585"/>
    </row>
    <row r="24" spans="1:6">
      <c r="A24" s="600">
        <v>10305</v>
      </c>
      <c r="B24" s="601" t="s">
        <v>1631</v>
      </c>
      <c r="C24" s="602" t="s">
        <v>1632</v>
      </c>
      <c r="D24" s="599">
        <v>0.72</v>
      </c>
    </row>
    <row r="25" spans="1:6">
      <c r="A25" s="603">
        <v>10399</v>
      </c>
      <c r="B25" s="604" t="s">
        <v>1634</v>
      </c>
      <c r="C25" s="605" t="s">
        <v>1624</v>
      </c>
      <c r="D25" s="599">
        <v>263.25</v>
      </c>
      <c r="F25" s="585"/>
    </row>
    <row r="26" spans="1:6">
      <c r="A26" s="589">
        <v>104</v>
      </c>
      <c r="B26" s="596" t="s">
        <v>1635</v>
      </c>
      <c r="C26" s="588"/>
      <c r="D26" s="599"/>
      <c r="F26" s="585"/>
    </row>
    <row r="27" spans="1:6">
      <c r="A27" s="600">
        <v>10406</v>
      </c>
      <c r="B27" s="601" t="s">
        <v>1636</v>
      </c>
      <c r="C27" s="602" t="s">
        <v>1617</v>
      </c>
      <c r="D27" s="599">
        <v>44.98</v>
      </c>
    </row>
    <row r="28" spans="1:6">
      <c r="A28" s="603">
        <v>10410</v>
      </c>
      <c r="B28" s="604" t="s">
        <v>1637</v>
      </c>
      <c r="C28" s="605" t="s">
        <v>1638</v>
      </c>
      <c r="D28" s="599">
        <v>41.34</v>
      </c>
      <c r="F28" s="585"/>
    </row>
    <row r="29" spans="1:6">
      <c r="A29" s="600">
        <v>10411</v>
      </c>
      <c r="B29" s="601" t="s">
        <v>1639</v>
      </c>
      <c r="C29" s="602" t="s">
        <v>1638</v>
      </c>
      <c r="D29" s="599">
        <v>54.89</v>
      </c>
    </row>
    <row r="30" spans="1:6">
      <c r="A30" s="603">
        <v>10415</v>
      </c>
      <c r="B30" s="604" t="s">
        <v>1640</v>
      </c>
      <c r="C30" s="605" t="s">
        <v>1638</v>
      </c>
      <c r="D30" s="599">
        <v>29.29</v>
      </c>
      <c r="F30" s="585"/>
    </row>
    <row r="31" spans="1:6">
      <c r="A31" s="600">
        <v>10416</v>
      </c>
      <c r="B31" s="601" t="s">
        <v>1641</v>
      </c>
      <c r="C31" s="602" t="s">
        <v>1638</v>
      </c>
      <c r="D31" s="599">
        <v>35.03</v>
      </c>
    </row>
    <row r="32" spans="1:6">
      <c r="A32" s="600">
        <v>10499</v>
      </c>
      <c r="B32" s="601" t="s">
        <v>1642</v>
      </c>
      <c r="C32" s="602" t="s">
        <v>1624</v>
      </c>
      <c r="D32" s="599">
        <v>263.25</v>
      </c>
    </row>
    <row r="33" spans="1:6">
      <c r="A33" s="589">
        <v>105</v>
      </c>
      <c r="B33" s="596" t="s">
        <v>1643</v>
      </c>
      <c r="C33" s="588"/>
      <c r="D33" s="599"/>
      <c r="F33" s="585"/>
    </row>
    <row r="34" spans="1:6">
      <c r="A34" s="600">
        <v>10501</v>
      </c>
      <c r="B34" s="601" t="s">
        <v>1644</v>
      </c>
      <c r="C34" s="602" t="s">
        <v>1627</v>
      </c>
      <c r="D34" s="599">
        <v>20.53</v>
      </c>
    </row>
    <row r="35" spans="1:6">
      <c r="A35" s="600">
        <v>10502</v>
      </c>
      <c r="B35" s="601" t="s">
        <v>1645</v>
      </c>
      <c r="C35" s="602" t="s">
        <v>1629</v>
      </c>
      <c r="D35" s="599">
        <v>26.78</v>
      </c>
    </row>
    <row r="36" spans="1:6">
      <c r="A36" s="600">
        <v>10599</v>
      </c>
      <c r="B36" s="601" t="s">
        <v>1646</v>
      </c>
      <c r="C36" s="602" t="s">
        <v>1624</v>
      </c>
      <c r="D36" s="599">
        <v>263.25</v>
      </c>
    </row>
    <row r="37" spans="1:6">
      <c r="A37" s="589">
        <v>106</v>
      </c>
      <c r="B37" s="596" t="s">
        <v>1647</v>
      </c>
      <c r="C37" s="588"/>
      <c r="D37" s="599"/>
    </row>
    <row r="38" spans="1:6">
      <c r="A38" s="600">
        <v>10601</v>
      </c>
      <c r="B38" s="601" t="s">
        <v>1648</v>
      </c>
      <c r="C38" s="602" t="s">
        <v>1638</v>
      </c>
      <c r="D38" s="599">
        <v>3.57</v>
      </c>
    </row>
    <row r="39" spans="1:6">
      <c r="A39" s="600">
        <v>10605</v>
      </c>
      <c r="B39" s="601" t="s">
        <v>1649</v>
      </c>
      <c r="C39" s="602" t="s">
        <v>1650</v>
      </c>
      <c r="D39" s="599">
        <v>31.25</v>
      </c>
    </row>
    <row r="40" spans="1:6">
      <c r="A40" s="600">
        <v>10699</v>
      </c>
      <c r="B40" s="601" t="s">
        <v>1651</v>
      </c>
      <c r="C40" s="602" t="s">
        <v>1652</v>
      </c>
      <c r="D40" s="599">
        <v>263.25</v>
      </c>
    </row>
    <row r="41" spans="1:6">
      <c r="A41" s="589">
        <v>107</v>
      </c>
      <c r="B41" s="596" t="s">
        <v>1653</v>
      </c>
      <c r="C41" s="588"/>
      <c r="D41" s="599"/>
      <c r="F41" s="585"/>
    </row>
    <row r="42" spans="1:6">
      <c r="A42" s="606">
        <v>10702</v>
      </c>
      <c r="B42" s="607" t="s">
        <v>1654</v>
      </c>
      <c r="C42" s="608" t="s">
        <v>1240</v>
      </c>
      <c r="D42" s="599">
        <v>4.33</v>
      </c>
    </row>
    <row r="43" spans="1:6">
      <c r="A43" s="606">
        <v>10710</v>
      </c>
      <c r="B43" s="607" t="s">
        <v>1655</v>
      </c>
      <c r="C43" s="608" t="s">
        <v>1240</v>
      </c>
      <c r="D43" s="599">
        <v>18.48</v>
      </c>
    </row>
    <row r="44" spans="1:6">
      <c r="A44" s="606">
        <v>10799</v>
      </c>
      <c r="B44" s="607" t="s">
        <v>1656</v>
      </c>
      <c r="C44" s="608" t="s">
        <v>1652</v>
      </c>
      <c r="D44" s="599">
        <v>263.25</v>
      </c>
    </row>
    <row r="45" spans="1:6">
      <c r="A45" s="589">
        <v>108</v>
      </c>
      <c r="B45" s="596" t="s">
        <v>1657</v>
      </c>
      <c r="C45" s="588"/>
      <c r="D45" s="599"/>
      <c r="F45" s="585"/>
    </row>
    <row r="46" spans="1:6">
      <c r="A46" s="606">
        <v>10816</v>
      </c>
      <c r="B46" s="607" t="s">
        <v>1658</v>
      </c>
      <c r="C46" s="608" t="s">
        <v>1659</v>
      </c>
      <c r="D46" s="599">
        <v>29.51</v>
      </c>
    </row>
    <row r="47" spans="1:6">
      <c r="A47" s="606">
        <v>10817</v>
      </c>
      <c r="B47" s="607" t="s">
        <v>1660</v>
      </c>
      <c r="C47" s="608" t="s">
        <v>1659</v>
      </c>
      <c r="D47" s="599">
        <v>48.04</v>
      </c>
    </row>
    <row r="48" spans="1:6">
      <c r="A48" s="606">
        <v>10820</v>
      </c>
      <c r="B48" s="607" t="s">
        <v>1661</v>
      </c>
      <c r="C48" s="608" t="s">
        <v>1659</v>
      </c>
      <c r="D48" s="599">
        <v>46.44</v>
      </c>
    </row>
    <row r="49" spans="1:4">
      <c r="A49" s="606">
        <v>10821</v>
      </c>
      <c r="B49" s="607" t="s">
        <v>1662</v>
      </c>
      <c r="C49" s="608" t="s">
        <v>1659</v>
      </c>
      <c r="D49" s="599">
        <v>55.2</v>
      </c>
    </row>
    <row r="50" spans="1:4">
      <c r="A50" s="606">
        <v>10822</v>
      </c>
      <c r="B50" s="607" t="s">
        <v>1663</v>
      </c>
      <c r="C50" s="608" t="s">
        <v>1659</v>
      </c>
      <c r="D50" s="599">
        <v>83.83</v>
      </c>
    </row>
    <row r="51" spans="1:4">
      <c r="A51" s="606">
        <v>10823</v>
      </c>
      <c r="B51" s="607" t="s">
        <v>1664</v>
      </c>
      <c r="C51" s="608" t="s">
        <v>1659</v>
      </c>
      <c r="D51" s="599">
        <v>106.63</v>
      </c>
    </row>
    <row r="52" spans="1:4">
      <c r="A52" s="606">
        <v>10824</v>
      </c>
      <c r="B52" s="607" t="s">
        <v>1665</v>
      </c>
      <c r="C52" s="608" t="s">
        <v>1659</v>
      </c>
      <c r="D52" s="599">
        <v>132.22999999999999</v>
      </c>
    </row>
    <row r="53" spans="1:4">
      <c r="A53" s="606">
        <v>10825</v>
      </c>
      <c r="B53" s="607" t="s">
        <v>1666</v>
      </c>
      <c r="C53" s="608" t="s">
        <v>1659</v>
      </c>
      <c r="D53" s="599">
        <v>251.42</v>
      </c>
    </row>
    <row r="54" spans="1:4">
      <c r="A54" s="606">
        <v>10826</v>
      </c>
      <c r="B54" s="607" t="s">
        <v>1667</v>
      </c>
      <c r="C54" s="608" t="s">
        <v>1659</v>
      </c>
      <c r="D54" s="599">
        <v>200.33</v>
      </c>
    </row>
    <row r="55" spans="1:4">
      <c r="A55" s="606">
        <v>10827</v>
      </c>
      <c r="B55" s="607" t="s">
        <v>1668</v>
      </c>
      <c r="C55" s="608" t="s">
        <v>1659</v>
      </c>
      <c r="D55" s="599">
        <v>317.85000000000002</v>
      </c>
    </row>
    <row r="56" spans="1:4">
      <c r="A56" s="606">
        <v>10828</v>
      </c>
      <c r="B56" s="607" t="s">
        <v>1669</v>
      </c>
      <c r="C56" s="608" t="s">
        <v>1659</v>
      </c>
      <c r="D56" s="599">
        <v>344.69</v>
      </c>
    </row>
    <row r="57" spans="1:4">
      <c r="A57" s="606">
        <v>10829</v>
      </c>
      <c r="B57" s="607" t="s">
        <v>1670</v>
      </c>
      <c r="C57" s="608" t="s">
        <v>1659</v>
      </c>
      <c r="D57" s="599">
        <v>440.61</v>
      </c>
    </row>
    <row r="58" spans="1:4">
      <c r="A58" s="606">
        <v>10832</v>
      </c>
      <c r="B58" s="607" t="s">
        <v>1671</v>
      </c>
      <c r="C58" s="608" t="s">
        <v>1659</v>
      </c>
      <c r="D58" s="599">
        <v>41.16</v>
      </c>
    </row>
    <row r="59" spans="1:4">
      <c r="A59" s="606">
        <v>10833</v>
      </c>
      <c r="B59" s="607" t="s">
        <v>1672</v>
      </c>
      <c r="C59" s="608" t="s">
        <v>1659</v>
      </c>
      <c r="D59" s="599">
        <v>62.2</v>
      </c>
    </row>
    <row r="60" spans="1:4">
      <c r="A60" s="606">
        <v>10834</v>
      </c>
      <c r="B60" s="607" t="s">
        <v>1673</v>
      </c>
      <c r="C60" s="608" t="s">
        <v>1240</v>
      </c>
      <c r="D60" s="599">
        <v>9.1199999999999992</v>
      </c>
    </row>
    <row r="61" spans="1:4">
      <c r="A61" s="606">
        <v>10835</v>
      </c>
      <c r="B61" s="607" t="s">
        <v>1674</v>
      </c>
      <c r="C61" s="608" t="s">
        <v>1240</v>
      </c>
      <c r="D61" s="599">
        <v>10.33</v>
      </c>
    </row>
    <row r="62" spans="1:4">
      <c r="A62" s="606">
        <v>10836</v>
      </c>
      <c r="B62" s="607" t="s">
        <v>1675</v>
      </c>
      <c r="C62" s="608" t="s">
        <v>1240</v>
      </c>
      <c r="D62" s="599">
        <v>16.21</v>
      </c>
    </row>
    <row r="63" spans="1:4">
      <c r="A63" s="606">
        <v>10840</v>
      </c>
      <c r="B63" s="607" t="s">
        <v>1676</v>
      </c>
      <c r="C63" s="608" t="s">
        <v>1650</v>
      </c>
      <c r="D63" s="599">
        <v>82.23</v>
      </c>
    </row>
    <row r="64" spans="1:4">
      <c r="A64" s="606">
        <v>10841</v>
      </c>
      <c r="B64" s="607" t="s">
        <v>1677</v>
      </c>
      <c r="C64" s="608" t="s">
        <v>1650</v>
      </c>
      <c r="D64" s="599">
        <v>93.42</v>
      </c>
    </row>
    <row r="65" spans="1:6">
      <c r="A65" s="606">
        <v>10844</v>
      </c>
      <c r="B65" s="607" t="s">
        <v>1678</v>
      </c>
      <c r="C65" s="608" t="s">
        <v>1659</v>
      </c>
      <c r="D65" s="599">
        <v>67.52</v>
      </c>
    </row>
    <row r="66" spans="1:6">
      <c r="A66" s="606">
        <v>10845</v>
      </c>
      <c r="B66" s="607" t="s">
        <v>1679</v>
      </c>
      <c r="C66" s="608" t="s">
        <v>1659</v>
      </c>
      <c r="D66" s="599">
        <v>79.819999999999993</v>
      </c>
    </row>
    <row r="67" spans="1:6">
      <c r="A67" s="606">
        <v>10850</v>
      </c>
      <c r="B67" s="607" t="s">
        <v>1680</v>
      </c>
      <c r="C67" s="608" t="s">
        <v>1240</v>
      </c>
      <c r="D67" s="599">
        <v>106.71</v>
      </c>
    </row>
    <row r="68" spans="1:6">
      <c r="A68" s="606">
        <v>10851</v>
      </c>
      <c r="B68" s="607" t="s">
        <v>1681</v>
      </c>
      <c r="C68" s="608" t="s">
        <v>1240</v>
      </c>
      <c r="D68" s="599">
        <v>164.62</v>
      </c>
    </row>
    <row r="69" spans="1:6">
      <c r="A69" s="606">
        <v>10852</v>
      </c>
      <c r="B69" s="607" t="s">
        <v>1682</v>
      </c>
      <c r="C69" s="608" t="s">
        <v>1240</v>
      </c>
      <c r="D69" s="599">
        <v>110.75</v>
      </c>
    </row>
    <row r="70" spans="1:6">
      <c r="A70" s="606">
        <v>10860</v>
      </c>
      <c r="B70" s="607" t="s">
        <v>1683</v>
      </c>
      <c r="C70" s="608" t="s">
        <v>1659</v>
      </c>
      <c r="D70" s="599">
        <v>35.61</v>
      </c>
    </row>
    <row r="71" spans="1:6">
      <c r="A71" s="606">
        <v>10861</v>
      </c>
      <c r="B71" s="607" t="s">
        <v>1684</v>
      </c>
      <c r="C71" s="608" t="s">
        <v>1659</v>
      </c>
      <c r="D71" s="599">
        <v>40.590000000000003</v>
      </c>
    </row>
    <row r="72" spans="1:6">
      <c r="A72" s="606">
        <v>10862</v>
      </c>
      <c r="B72" s="607" t="s">
        <v>1685</v>
      </c>
      <c r="C72" s="608" t="s">
        <v>1659</v>
      </c>
      <c r="D72" s="599">
        <v>46.01</v>
      </c>
    </row>
    <row r="73" spans="1:6">
      <c r="A73" s="606">
        <v>10863</v>
      </c>
      <c r="B73" s="607" t="s">
        <v>1686</v>
      </c>
      <c r="C73" s="608" t="s">
        <v>1659</v>
      </c>
      <c r="D73" s="599">
        <v>66.5</v>
      </c>
    </row>
    <row r="74" spans="1:6">
      <c r="A74" s="606">
        <v>10864</v>
      </c>
      <c r="B74" s="607" t="s">
        <v>1687</v>
      </c>
      <c r="C74" s="608" t="s">
        <v>1659</v>
      </c>
      <c r="D74" s="599">
        <v>31.57</v>
      </c>
    </row>
    <row r="75" spans="1:6">
      <c r="A75" s="606">
        <v>10865</v>
      </c>
      <c r="B75" s="607" t="s">
        <v>1688</v>
      </c>
      <c r="C75" s="608" t="s">
        <v>1659</v>
      </c>
      <c r="D75" s="599">
        <v>38.28</v>
      </c>
    </row>
    <row r="76" spans="1:6">
      <c r="A76" s="606">
        <v>10899</v>
      </c>
      <c r="B76" s="607" t="s">
        <v>1689</v>
      </c>
      <c r="C76" s="608" t="s">
        <v>1652</v>
      </c>
      <c r="D76" s="599">
        <v>263.25</v>
      </c>
    </row>
    <row r="77" spans="1:6">
      <c r="A77" s="589">
        <v>150</v>
      </c>
      <c r="B77" s="596" t="s">
        <v>1690</v>
      </c>
      <c r="C77" s="588"/>
      <c r="D77" s="599"/>
      <c r="F77" s="585"/>
    </row>
    <row r="78" spans="1:6">
      <c r="A78" s="606">
        <v>15099</v>
      </c>
      <c r="B78" s="607" t="s">
        <v>1690</v>
      </c>
      <c r="C78" s="608" t="s">
        <v>1652</v>
      </c>
      <c r="D78" s="599">
        <v>263.25</v>
      </c>
    </row>
    <row r="79" spans="1:6">
      <c r="A79" s="589">
        <v>160</v>
      </c>
      <c r="B79" s="596" t="s">
        <v>1691</v>
      </c>
      <c r="C79" s="588"/>
      <c r="D79" s="599"/>
      <c r="F79" s="585"/>
    </row>
    <row r="80" spans="1:6">
      <c r="A80" s="606">
        <v>16099</v>
      </c>
      <c r="B80" s="607" t="s">
        <v>1691</v>
      </c>
      <c r="C80" s="608" t="s">
        <v>1652</v>
      </c>
      <c r="D80" s="599">
        <v>263.25</v>
      </c>
    </row>
    <row r="81" spans="1:6">
      <c r="A81" s="589">
        <v>170</v>
      </c>
      <c r="B81" s="596" t="s">
        <v>1692</v>
      </c>
      <c r="C81" s="588"/>
      <c r="D81" s="599"/>
      <c r="F81" s="585"/>
    </row>
    <row r="82" spans="1:6">
      <c r="A82" s="606">
        <v>17099</v>
      </c>
      <c r="B82" s="607" t="s">
        <v>1692</v>
      </c>
      <c r="C82" s="608" t="s">
        <v>1652</v>
      </c>
      <c r="D82" s="599">
        <v>263.25</v>
      </c>
    </row>
    <row r="83" spans="1:6">
      <c r="A83" s="589">
        <v>180</v>
      </c>
      <c r="B83" s="596" t="s">
        <v>1693</v>
      </c>
      <c r="C83" s="588"/>
      <c r="D83" s="599"/>
      <c r="F83" s="585"/>
    </row>
    <row r="84" spans="1:6">
      <c r="A84" s="606">
        <v>18099</v>
      </c>
      <c r="B84" s="607" t="s">
        <v>1694</v>
      </c>
      <c r="C84" s="608" t="s">
        <v>1652</v>
      </c>
      <c r="D84" s="599">
        <v>263.25</v>
      </c>
    </row>
    <row r="85" spans="1:6">
      <c r="A85" s="589">
        <v>2</v>
      </c>
      <c r="B85" s="596" t="s">
        <v>38</v>
      </c>
      <c r="C85" s="588"/>
      <c r="D85" s="599"/>
      <c r="F85" s="585"/>
    </row>
    <row r="86" spans="1:6">
      <c r="A86" s="589">
        <v>201</v>
      </c>
      <c r="B86" s="596" t="s">
        <v>1695</v>
      </c>
      <c r="C86" s="588"/>
      <c r="D86" s="599"/>
      <c r="F86" s="585"/>
    </row>
    <row r="87" spans="1:6">
      <c r="A87" s="606">
        <v>20101</v>
      </c>
      <c r="B87" s="607" t="s">
        <v>1696</v>
      </c>
      <c r="C87" s="608" t="s">
        <v>1650</v>
      </c>
      <c r="D87" s="599">
        <v>20.53</v>
      </c>
    </row>
    <row r="88" spans="1:6">
      <c r="A88" s="606">
        <v>20102</v>
      </c>
      <c r="B88" s="607" t="s">
        <v>1697</v>
      </c>
      <c r="C88" s="608" t="s">
        <v>1650</v>
      </c>
      <c r="D88" s="599">
        <v>26.78</v>
      </c>
    </row>
    <row r="89" spans="1:6">
      <c r="A89" s="606">
        <v>20105</v>
      </c>
      <c r="B89" s="607" t="s">
        <v>1698</v>
      </c>
      <c r="C89" s="608" t="s">
        <v>1240</v>
      </c>
      <c r="D89" s="599">
        <v>73.39</v>
      </c>
    </row>
    <row r="90" spans="1:6">
      <c r="A90" s="606">
        <v>20106</v>
      </c>
      <c r="B90" s="607" t="s">
        <v>1699</v>
      </c>
      <c r="C90" s="608" t="s">
        <v>1240</v>
      </c>
      <c r="D90" s="599">
        <v>37.67</v>
      </c>
    </row>
    <row r="91" spans="1:6">
      <c r="A91" s="606">
        <v>20110</v>
      </c>
      <c r="B91" s="607" t="s">
        <v>1700</v>
      </c>
      <c r="C91" s="608" t="s">
        <v>1240</v>
      </c>
      <c r="D91" s="599">
        <v>3.57</v>
      </c>
    </row>
    <row r="92" spans="1:6">
      <c r="A92" s="606">
        <v>20112</v>
      </c>
      <c r="B92" s="607" t="s">
        <v>1654</v>
      </c>
      <c r="C92" s="608" t="s">
        <v>1240</v>
      </c>
      <c r="D92" s="599">
        <v>4.33</v>
      </c>
    </row>
    <row r="93" spans="1:6">
      <c r="A93" s="606">
        <v>20115</v>
      </c>
      <c r="B93" s="607" t="s">
        <v>1655</v>
      </c>
      <c r="C93" s="608" t="s">
        <v>1240</v>
      </c>
      <c r="D93" s="599">
        <v>18.48</v>
      </c>
    </row>
    <row r="94" spans="1:6">
      <c r="A94" s="606">
        <v>20125</v>
      </c>
      <c r="B94" s="607" t="s">
        <v>1701</v>
      </c>
      <c r="C94" s="608" t="s">
        <v>1650</v>
      </c>
      <c r="D94" s="599">
        <v>31.25</v>
      </c>
    </row>
    <row r="95" spans="1:6">
      <c r="A95" s="606">
        <v>20127</v>
      </c>
      <c r="B95" s="607" t="s">
        <v>1702</v>
      </c>
      <c r="C95" s="608" t="s">
        <v>1650</v>
      </c>
      <c r="D95" s="599">
        <v>87.07</v>
      </c>
    </row>
    <row r="96" spans="1:6">
      <c r="A96" s="606">
        <v>20199</v>
      </c>
      <c r="B96" s="607" t="s">
        <v>1703</v>
      </c>
      <c r="C96" s="608" t="s">
        <v>1652</v>
      </c>
      <c r="D96" s="599">
        <v>263.25</v>
      </c>
    </row>
    <row r="97" spans="1:6">
      <c r="A97" s="589">
        <v>202</v>
      </c>
      <c r="B97" s="596" t="s">
        <v>1704</v>
      </c>
      <c r="C97" s="588"/>
      <c r="D97" s="599"/>
      <c r="F97" s="585"/>
    </row>
    <row r="98" spans="1:6">
      <c r="A98" s="606">
        <v>20201</v>
      </c>
      <c r="B98" s="607" t="s">
        <v>1705</v>
      </c>
      <c r="C98" s="608" t="s">
        <v>1650</v>
      </c>
      <c r="D98" s="599">
        <v>197.14</v>
      </c>
    </row>
    <row r="99" spans="1:6">
      <c r="A99" s="606">
        <v>20202</v>
      </c>
      <c r="B99" s="607" t="s">
        <v>1706</v>
      </c>
      <c r="C99" s="608" t="s">
        <v>1659</v>
      </c>
      <c r="D99" s="599">
        <v>15.64</v>
      </c>
    </row>
    <row r="100" spans="1:6">
      <c r="A100" s="606">
        <v>20203</v>
      </c>
      <c r="B100" s="607" t="s">
        <v>1707</v>
      </c>
      <c r="C100" s="608" t="s">
        <v>1659</v>
      </c>
      <c r="D100" s="599">
        <v>17.809999999999999</v>
      </c>
    </row>
    <row r="101" spans="1:6">
      <c r="A101" s="606">
        <v>20217</v>
      </c>
      <c r="B101" s="607" t="s">
        <v>1708</v>
      </c>
      <c r="C101" s="608" t="s">
        <v>1650</v>
      </c>
      <c r="D101" s="599">
        <v>374.06</v>
      </c>
    </row>
    <row r="102" spans="1:6">
      <c r="A102" s="606">
        <v>20221</v>
      </c>
      <c r="B102" s="607" t="s">
        <v>1709</v>
      </c>
      <c r="C102" s="608" t="s">
        <v>1248</v>
      </c>
      <c r="D102" s="599">
        <v>6.86</v>
      </c>
    </row>
    <row r="103" spans="1:6">
      <c r="A103" s="606">
        <v>20225</v>
      </c>
      <c r="B103" s="607" t="s">
        <v>1710</v>
      </c>
      <c r="C103" s="608" t="s">
        <v>1659</v>
      </c>
      <c r="D103" s="599">
        <v>26.76</v>
      </c>
    </row>
    <row r="104" spans="1:6">
      <c r="A104" s="606">
        <v>20226</v>
      </c>
      <c r="B104" s="607" t="s">
        <v>1711</v>
      </c>
      <c r="C104" s="608" t="s">
        <v>1659</v>
      </c>
      <c r="D104" s="599">
        <v>40.090000000000003</v>
      </c>
    </row>
    <row r="105" spans="1:6">
      <c r="A105" s="606">
        <v>20227</v>
      </c>
      <c r="B105" s="607" t="s">
        <v>1712</v>
      </c>
      <c r="C105" s="608" t="s">
        <v>1659</v>
      </c>
      <c r="D105" s="599">
        <v>59.77</v>
      </c>
    </row>
    <row r="106" spans="1:6">
      <c r="A106" s="606">
        <v>20235</v>
      </c>
      <c r="B106" s="607" t="s">
        <v>1713</v>
      </c>
      <c r="C106" s="608" t="s">
        <v>1659</v>
      </c>
      <c r="D106" s="599">
        <v>39.47</v>
      </c>
    </row>
    <row r="107" spans="1:6">
      <c r="A107" s="606">
        <v>20236</v>
      </c>
      <c r="B107" s="607" t="s">
        <v>1714</v>
      </c>
      <c r="C107" s="608" t="s">
        <v>1659</v>
      </c>
      <c r="D107" s="599">
        <v>50.13</v>
      </c>
    </row>
    <row r="108" spans="1:6">
      <c r="A108" s="606">
        <v>20237</v>
      </c>
      <c r="B108" s="607" t="s">
        <v>1715</v>
      </c>
      <c r="C108" s="608" t="s">
        <v>1659</v>
      </c>
      <c r="D108" s="599">
        <v>65.53</v>
      </c>
    </row>
    <row r="109" spans="1:6">
      <c r="A109" s="606">
        <v>20238</v>
      </c>
      <c r="B109" s="607" t="s">
        <v>1716</v>
      </c>
      <c r="C109" s="608" t="s">
        <v>1659</v>
      </c>
      <c r="D109" s="599">
        <v>87.59</v>
      </c>
    </row>
    <row r="110" spans="1:6">
      <c r="A110" s="606">
        <v>20239</v>
      </c>
      <c r="B110" s="607" t="s">
        <v>1717</v>
      </c>
      <c r="C110" s="608" t="s">
        <v>1659</v>
      </c>
      <c r="D110" s="599">
        <v>128.4</v>
      </c>
    </row>
    <row r="111" spans="1:6">
      <c r="A111" s="606">
        <v>20245</v>
      </c>
      <c r="B111" s="607" t="s">
        <v>1718</v>
      </c>
      <c r="C111" s="608" t="s">
        <v>1659</v>
      </c>
      <c r="D111" s="599">
        <v>25.66</v>
      </c>
    </row>
    <row r="112" spans="1:6">
      <c r="A112" s="606">
        <v>20246</v>
      </c>
      <c r="B112" s="607" t="s">
        <v>1719</v>
      </c>
      <c r="C112" s="608" t="s">
        <v>1659</v>
      </c>
      <c r="D112" s="599">
        <v>37.9</v>
      </c>
    </row>
    <row r="113" spans="1:4">
      <c r="A113" s="606">
        <v>20247</v>
      </c>
      <c r="B113" s="607" t="s">
        <v>1720</v>
      </c>
      <c r="C113" s="608" t="s">
        <v>1659</v>
      </c>
      <c r="D113" s="599">
        <v>48.86</v>
      </c>
    </row>
    <row r="114" spans="1:4">
      <c r="A114" s="606">
        <v>20251</v>
      </c>
      <c r="B114" s="607" t="s">
        <v>1721</v>
      </c>
      <c r="C114" s="608" t="s">
        <v>1659</v>
      </c>
      <c r="D114" s="599">
        <v>63.63</v>
      </c>
    </row>
    <row r="115" spans="1:4">
      <c r="A115" s="606">
        <v>20252</v>
      </c>
      <c r="B115" s="607" t="s">
        <v>1722</v>
      </c>
      <c r="C115" s="608" t="s">
        <v>1659</v>
      </c>
      <c r="D115" s="599">
        <v>90.64</v>
      </c>
    </row>
    <row r="116" spans="1:4">
      <c r="A116" s="606">
        <v>20253</v>
      </c>
      <c r="B116" s="607" t="s">
        <v>1723</v>
      </c>
      <c r="C116" s="608" t="s">
        <v>1659</v>
      </c>
      <c r="D116" s="599">
        <v>92.48</v>
      </c>
    </row>
    <row r="117" spans="1:4">
      <c r="A117" s="606">
        <v>20254</v>
      </c>
      <c r="B117" s="607" t="s">
        <v>1724</v>
      </c>
      <c r="C117" s="608" t="s">
        <v>1659</v>
      </c>
      <c r="D117" s="599">
        <v>100.81</v>
      </c>
    </row>
    <row r="118" spans="1:4">
      <c r="A118" s="606">
        <v>20255</v>
      </c>
      <c r="B118" s="607" t="s">
        <v>1725</v>
      </c>
      <c r="C118" s="608" t="s">
        <v>1659</v>
      </c>
      <c r="D118" s="599">
        <v>113.28</v>
      </c>
    </row>
    <row r="119" spans="1:4">
      <c r="A119" s="606">
        <v>20256</v>
      </c>
      <c r="B119" s="607" t="s">
        <v>1726</v>
      </c>
      <c r="C119" s="608" t="s">
        <v>1659</v>
      </c>
      <c r="D119" s="599">
        <v>118.98</v>
      </c>
    </row>
    <row r="120" spans="1:4">
      <c r="A120" s="606">
        <v>20257</v>
      </c>
      <c r="B120" s="607" t="s">
        <v>1727</v>
      </c>
      <c r="C120" s="608" t="s">
        <v>1659</v>
      </c>
      <c r="D120" s="599">
        <v>179.87</v>
      </c>
    </row>
    <row r="121" spans="1:4">
      <c r="A121" s="606">
        <v>20260</v>
      </c>
      <c r="B121" s="607" t="s">
        <v>1728</v>
      </c>
      <c r="C121" s="608" t="s">
        <v>1659</v>
      </c>
      <c r="D121" s="599">
        <v>180.06</v>
      </c>
    </row>
    <row r="122" spans="1:4">
      <c r="A122" s="606">
        <v>20261</v>
      </c>
      <c r="B122" s="607" t="s">
        <v>1729</v>
      </c>
      <c r="C122" s="608" t="s">
        <v>1659</v>
      </c>
      <c r="D122" s="599">
        <v>195.8</v>
      </c>
    </row>
    <row r="123" spans="1:4">
      <c r="A123" s="606">
        <v>20262</v>
      </c>
      <c r="B123" s="607" t="s">
        <v>1730</v>
      </c>
      <c r="C123" s="608" t="s">
        <v>1659</v>
      </c>
      <c r="D123" s="599">
        <v>215.54</v>
      </c>
    </row>
    <row r="124" spans="1:4">
      <c r="A124" s="606">
        <v>20263</v>
      </c>
      <c r="B124" s="607" t="s">
        <v>1731</v>
      </c>
      <c r="C124" s="608" t="s">
        <v>1659</v>
      </c>
      <c r="D124" s="599">
        <v>259.67</v>
      </c>
    </row>
    <row r="125" spans="1:4">
      <c r="A125" s="606">
        <v>20264</v>
      </c>
      <c r="B125" s="607" t="s">
        <v>1732</v>
      </c>
      <c r="C125" s="608" t="s">
        <v>1659</v>
      </c>
      <c r="D125" s="599">
        <v>325.20999999999998</v>
      </c>
    </row>
    <row r="126" spans="1:4">
      <c r="A126" s="606">
        <v>20265</v>
      </c>
      <c r="B126" s="607" t="s">
        <v>1733</v>
      </c>
      <c r="C126" s="608" t="s">
        <v>1659</v>
      </c>
      <c r="D126" s="599">
        <v>479.12</v>
      </c>
    </row>
    <row r="127" spans="1:4">
      <c r="A127" s="606">
        <v>20270</v>
      </c>
      <c r="B127" s="607" t="s">
        <v>1734</v>
      </c>
      <c r="C127" s="608" t="s">
        <v>1659</v>
      </c>
      <c r="D127" s="599">
        <v>45.14</v>
      </c>
    </row>
    <row r="128" spans="1:4">
      <c r="A128" s="606">
        <v>20271</v>
      </c>
      <c r="B128" s="607" t="s">
        <v>1735</v>
      </c>
      <c r="C128" s="608" t="s">
        <v>1659</v>
      </c>
      <c r="D128" s="599">
        <v>58.8</v>
      </c>
    </row>
    <row r="129" spans="1:6">
      <c r="A129" s="606">
        <v>20272</v>
      </c>
      <c r="B129" s="607" t="s">
        <v>1736</v>
      </c>
      <c r="C129" s="608" t="s">
        <v>1659</v>
      </c>
      <c r="D129" s="599">
        <v>71.84</v>
      </c>
    </row>
    <row r="130" spans="1:6">
      <c r="A130" s="606">
        <v>20273</v>
      </c>
      <c r="B130" s="607" t="s">
        <v>1737</v>
      </c>
      <c r="C130" s="608" t="s">
        <v>1659</v>
      </c>
      <c r="D130" s="599">
        <v>86.82</v>
      </c>
    </row>
    <row r="131" spans="1:6">
      <c r="A131" s="606">
        <v>20274</v>
      </c>
      <c r="B131" s="607" t="s">
        <v>1738</v>
      </c>
      <c r="C131" s="608" t="s">
        <v>1659</v>
      </c>
      <c r="D131" s="599">
        <v>117.15</v>
      </c>
    </row>
    <row r="132" spans="1:6">
      <c r="A132" s="606">
        <v>20275</v>
      </c>
      <c r="B132" s="607" t="s">
        <v>1739</v>
      </c>
      <c r="C132" s="608" t="s">
        <v>1659</v>
      </c>
      <c r="D132" s="599">
        <v>152.62</v>
      </c>
    </row>
    <row r="133" spans="1:6">
      <c r="A133" s="606">
        <v>20276</v>
      </c>
      <c r="B133" s="607" t="s">
        <v>1740</v>
      </c>
      <c r="C133" s="608" t="s">
        <v>1659</v>
      </c>
      <c r="D133" s="599">
        <v>195.9</v>
      </c>
    </row>
    <row r="134" spans="1:6">
      <c r="A134" s="606">
        <v>20277</v>
      </c>
      <c r="B134" s="607" t="s">
        <v>1741</v>
      </c>
      <c r="C134" s="608" t="s">
        <v>1659</v>
      </c>
      <c r="D134" s="599">
        <v>240.26</v>
      </c>
    </row>
    <row r="135" spans="1:6">
      <c r="A135" s="606">
        <v>20278</v>
      </c>
      <c r="B135" s="607" t="s">
        <v>1742</v>
      </c>
      <c r="C135" s="608" t="s">
        <v>1659</v>
      </c>
      <c r="D135" s="599">
        <v>290.19</v>
      </c>
    </row>
    <row r="136" spans="1:6">
      <c r="A136" s="606">
        <v>20294</v>
      </c>
      <c r="B136" s="607" t="s">
        <v>1743</v>
      </c>
      <c r="C136" s="608" t="s">
        <v>1615</v>
      </c>
      <c r="D136" s="599">
        <v>16305.96</v>
      </c>
    </row>
    <row r="137" spans="1:6">
      <c r="A137" s="606">
        <v>20295</v>
      </c>
      <c r="B137" s="607" t="s">
        <v>1744</v>
      </c>
      <c r="C137" s="608" t="s">
        <v>1615</v>
      </c>
      <c r="D137" s="599">
        <v>157.34</v>
      </c>
    </row>
    <row r="138" spans="1:6">
      <c r="A138" s="606">
        <v>20297</v>
      </c>
      <c r="B138" s="607" t="s">
        <v>1745</v>
      </c>
      <c r="C138" s="608" t="s">
        <v>1615</v>
      </c>
      <c r="D138" s="599">
        <v>7634.3</v>
      </c>
    </row>
    <row r="139" spans="1:6">
      <c r="A139" s="606">
        <v>20298</v>
      </c>
      <c r="B139" s="607" t="s">
        <v>1746</v>
      </c>
      <c r="C139" s="608" t="s">
        <v>1615</v>
      </c>
      <c r="D139" s="599">
        <v>849.47</v>
      </c>
    </row>
    <row r="140" spans="1:6">
      <c r="A140" s="606">
        <v>20299</v>
      </c>
      <c r="B140" s="607" t="s">
        <v>1747</v>
      </c>
      <c r="C140" s="608" t="s">
        <v>1652</v>
      </c>
      <c r="D140" s="599">
        <v>263.25</v>
      </c>
    </row>
    <row r="141" spans="1:6">
      <c r="A141" s="589">
        <v>203</v>
      </c>
      <c r="B141" s="596" t="s">
        <v>69</v>
      </c>
      <c r="C141" s="588"/>
      <c r="D141" s="599"/>
      <c r="F141" s="585"/>
    </row>
    <row r="142" spans="1:6">
      <c r="A142" s="606">
        <v>20301</v>
      </c>
      <c r="B142" s="607" t="s">
        <v>1748</v>
      </c>
      <c r="C142" s="608" t="s">
        <v>1240</v>
      </c>
      <c r="D142" s="599">
        <v>38.33</v>
      </c>
    </row>
    <row r="143" spans="1:6">
      <c r="A143" s="606">
        <v>20399</v>
      </c>
      <c r="B143" s="607" t="s">
        <v>1749</v>
      </c>
      <c r="C143" s="608" t="s">
        <v>1652</v>
      </c>
      <c r="D143" s="599">
        <v>263.25</v>
      </c>
    </row>
    <row r="144" spans="1:6">
      <c r="A144" s="589">
        <v>204</v>
      </c>
      <c r="B144" s="596" t="s">
        <v>74</v>
      </c>
      <c r="C144" s="588"/>
      <c r="D144" s="599"/>
      <c r="F144" s="585"/>
    </row>
    <row r="145" spans="1:6">
      <c r="A145" s="606">
        <v>20402</v>
      </c>
      <c r="B145" s="607" t="s">
        <v>1750</v>
      </c>
      <c r="C145" s="608" t="s">
        <v>1248</v>
      </c>
      <c r="D145" s="599">
        <v>6.86</v>
      </c>
    </row>
    <row r="146" spans="1:6">
      <c r="A146" s="606">
        <v>20403</v>
      </c>
      <c r="B146" s="607" t="s">
        <v>1751</v>
      </c>
      <c r="C146" s="608" t="s">
        <v>1248</v>
      </c>
      <c r="D146" s="599">
        <v>7.6</v>
      </c>
    </row>
    <row r="147" spans="1:6">
      <c r="A147" s="606">
        <v>20405</v>
      </c>
      <c r="B147" s="607" t="s">
        <v>1752</v>
      </c>
      <c r="C147" s="608" t="s">
        <v>1248</v>
      </c>
      <c r="D147" s="599">
        <v>6.37</v>
      </c>
    </row>
    <row r="148" spans="1:6">
      <c r="A148" s="606">
        <v>20499</v>
      </c>
      <c r="B148" s="607" t="s">
        <v>1753</v>
      </c>
      <c r="C148" s="608" t="s">
        <v>1652</v>
      </c>
      <c r="D148" s="599">
        <v>263.25</v>
      </c>
    </row>
    <row r="149" spans="1:6">
      <c r="A149" s="589">
        <v>205</v>
      </c>
      <c r="B149" s="596" t="s">
        <v>81</v>
      </c>
      <c r="C149" s="588"/>
      <c r="D149" s="599"/>
      <c r="F149" s="585"/>
    </row>
    <row r="150" spans="1:6">
      <c r="A150" s="606">
        <v>20514</v>
      </c>
      <c r="B150" s="607" t="s">
        <v>1754</v>
      </c>
      <c r="C150" s="608" t="s">
        <v>1650</v>
      </c>
      <c r="D150" s="599">
        <v>379.2</v>
      </c>
    </row>
    <row r="151" spans="1:6">
      <c r="A151" s="606">
        <v>20518</v>
      </c>
      <c r="B151" s="607" t="s">
        <v>1755</v>
      </c>
      <c r="C151" s="608" t="s">
        <v>1650</v>
      </c>
      <c r="D151" s="599">
        <v>387.24</v>
      </c>
    </row>
    <row r="152" spans="1:6">
      <c r="A152" s="606">
        <v>20519</v>
      </c>
      <c r="B152" s="607" t="s">
        <v>1756</v>
      </c>
      <c r="C152" s="608" t="s">
        <v>1650</v>
      </c>
      <c r="D152" s="599">
        <v>399.26</v>
      </c>
    </row>
    <row r="153" spans="1:6">
      <c r="A153" s="606">
        <v>20524</v>
      </c>
      <c r="B153" s="607" t="s">
        <v>1757</v>
      </c>
      <c r="C153" s="608" t="s">
        <v>1650</v>
      </c>
      <c r="D153" s="599">
        <v>352.21</v>
      </c>
    </row>
    <row r="154" spans="1:6">
      <c r="A154" s="606">
        <v>20528</v>
      </c>
      <c r="B154" s="607" t="s">
        <v>1758</v>
      </c>
      <c r="C154" s="608" t="s">
        <v>1650</v>
      </c>
      <c r="D154" s="599">
        <v>369.07</v>
      </c>
    </row>
    <row r="155" spans="1:6">
      <c r="A155" s="606">
        <v>20529</v>
      </c>
      <c r="B155" s="607" t="s">
        <v>1759</v>
      </c>
      <c r="C155" s="608" t="s">
        <v>1650</v>
      </c>
      <c r="D155" s="599">
        <v>379.22</v>
      </c>
    </row>
    <row r="156" spans="1:6">
      <c r="A156" s="606">
        <v>20550</v>
      </c>
      <c r="B156" s="607" t="s">
        <v>1760</v>
      </c>
      <c r="C156" s="608" t="s">
        <v>1650</v>
      </c>
      <c r="D156" s="599">
        <v>390.26</v>
      </c>
    </row>
    <row r="157" spans="1:6">
      <c r="A157" s="606">
        <v>20598</v>
      </c>
      <c r="B157" s="607" t="s">
        <v>1761</v>
      </c>
      <c r="C157" s="608" t="s">
        <v>1650</v>
      </c>
      <c r="D157" s="599">
        <v>2728.55</v>
      </c>
    </row>
    <row r="158" spans="1:6">
      <c r="A158" s="606">
        <v>20599</v>
      </c>
      <c r="B158" s="607" t="s">
        <v>1762</v>
      </c>
      <c r="C158" s="609"/>
      <c r="D158" s="599"/>
    </row>
    <row r="159" spans="1:6">
      <c r="A159" s="589">
        <v>206</v>
      </c>
      <c r="B159" s="596" t="s">
        <v>88</v>
      </c>
      <c r="C159" s="588"/>
      <c r="D159" s="599"/>
      <c r="F159" s="585"/>
    </row>
    <row r="160" spans="1:6">
      <c r="A160" s="606">
        <v>20601</v>
      </c>
      <c r="B160" s="607" t="s">
        <v>1763</v>
      </c>
      <c r="C160" s="608" t="s">
        <v>1650</v>
      </c>
      <c r="D160" s="599">
        <v>330.92</v>
      </c>
    </row>
    <row r="161" spans="1:6">
      <c r="A161" s="606">
        <v>20614</v>
      </c>
      <c r="B161" s="607" t="s">
        <v>1764</v>
      </c>
      <c r="C161" s="608" t="s">
        <v>1650</v>
      </c>
      <c r="D161" s="599">
        <v>331.95</v>
      </c>
    </row>
    <row r="162" spans="1:6" ht="26.4">
      <c r="A162" s="606">
        <v>20615</v>
      </c>
      <c r="B162" s="607" t="s">
        <v>1765</v>
      </c>
      <c r="C162" s="608" t="s">
        <v>1650</v>
      </c>
      <c r="D162" s="599">
        <v>301.5</v>
      </c>
    </row>
    <row r="163" spans="1:6">
      <c r="A163" s="606">
        <v>20616</v>
      </c>
      <c r="B163" s="607" t="s">
        <v>1766</v>
      </c>
      <c r="C163" s="608" t="s">
        <v>1650</v>
      </c>
      <c r="D163" s="599">
        <v>285.08</v>
      </c>
    </row>
    <row r="164" spans="1:6" ht="26.4">
      <c r="A164" s="606">
        <v>20617</v>
      </c>
      <c r="B164" s="607" t="s">
        <v>1767</v>
      </c>
      <c r="C164" s="608" t="s">
        <v>1650</v>
      </c>
      <c r="D164" s="599">
        <v>277.08999999999997</v>
      </c>
    </row>
    <row r="165" spans="1:6" ht="26.4">
      <c r="A165" s="606">
        <v>20618</v>
      </c>
      <c r="B165" s="607" t="s">
        <v>1768</v>
      </c>
      <c r="C165" s="608" t="s">
        <v>1650</v>
      </c>
      <c r="D165" s="599">
        <v>373.53</v>
      </c>
    </row>
    <row r="166" spans="1:6">
      <c r="A166" s="606">
        <v>20619</v>
      </c>
      <c r="B166" s="607" t="s">
        <v>1769</v>
      </c>
      <c r="C166" s="608" t="s">
        <v>1650</v>
      </c>
      <c r="D166" s="599">
        <v>940</v>
      </c>
    </row>
    <row r="167" spans="1:6">
      <c r="A167" s="606">
        <v>20699</v>
      </c>
      <c r="B167" s="607" t="s">
        <v>1770</v>
      </c>
      <c r="C167" s="608" t="s">
        <v>1652</v>
      </c>
      <c r="D167" s="599">
        <v>263.25</v>
      </c>
    </row>
    <row r="168" spans="1:6">
      <c r="A168" s="589">
        <v>207</v>
      </c>
      <c r="B168" s="596" t="s">
        <v>1771</v>
      </c>
      <c r="C168" s="588"/>
      <c r="D168" s="599"/>
      <c r="F168" s="585"/>
    </row>
    <row r="169" spans="1:6">
      <c r="A169" s="606">
        <v>20701</v>
      </c>
      <c r="B169" s="607" t="s">
        <v>1772</v>
      </c>
      <c r="C169" s="608" t="s">
        <v>1240</v>
      </c>
      <c r="D169" s="599">
        <v>27.14</v>
      </c>
    </row>
    <row r="170" spans="1:6">
      <c r="A170" s="606">
        <v>20702</v>
      </c>
      <c r="B170" s="607" t="s">
        <v>1773</v>
      </c>
      <c r="C170" s="608" t="s">
        <v>1240</v>
      </c>
      <c r="D170" s="599">
        <v>33.950000000000003</v>
      </c>
    </row>
    <row r="171" spans="1:6">
      <c r="A171" s="606">
        <v>20703</v>
      </c>
      <c r="B171" s="607" t="s">
        <v>1774</v>
      </c>
      <c r="C171" s="608" t="s">
        <v>1240</v>
      </c>
      <c r="D171" s="599">
        <v>8.94</v>
      </c>
    </row>
    <row r="172" spans="1:6">
      <c r="A172" s="606">
        <v>20799</v>
      </c>
      <c r="B172" s="607" t="s">
        <v>93</v>
      </c>
      <c r="C172" s="608" t="s">
        <v>1652</v>
      </c>
      <c r="D172" s="599">
        <v>263.25</v>
      </c>
    </row>
    <row r="173" spans="1:6">
      <c r="A173" s="589">
        <v>250</v>
      </c>
      <c r="B173" s="596" t="s">
        <v>1690</v>
      </c>
      <c r="C173" s="588"/>
      <c r="D173" s="599"/>
      <c r="F173" s="585"/>
    </row>
    <row r="174" spans="1:6">
      <c r="A174" s="606">
        <v>25001</v>
      </c>
      <c r="B174" s="607" t="s">
        <v>1775</v>
      </c>
      <c r="C174" s="608" t="s">
        <v>1650</v>
      </c>
      <c r="D174" s="599">
        <v>98.21</v>
      </c>
    </row>
    <row r="175" spans="1:6">
      <c r="A175" s="606">
        <v>25002</v>
      </c>
      <c r="B175" s="607" t="s">
        <v>1776</v>
      </c>
      <c r="C175" s="608" t="s">
        <v>1650</v>
      </c>
      <c r="D175" s="599">
        <v>116.07</v>
      </c>
    </row>
    <row r="176" spans="1:6">
      <c r="A176" s="606">
        <v>25003</v>
      </c>
      <c r="B176" s="607" t="s">
        <v>1777</v>
      </c>
      <c r="C176" s="608" t="s">
        <v>1650</v>
      </c>
      <c r="D176" s="599">
        <v>53.57</v>
      </c>
    </row>
    <row r="177" spans="1:6">
      <c r="A177" s="606">
        <v>25099</v>
      </c>
      <c r="B177" s="607" t="s">
        <v>1690</v>
      </c>
      <c r="C177" s="608" t="s">
        <v>1652</v>
      </c>
      <c r="D177" s="599">
        <v>263.25</v>
      </c>
    </row>
    <row r="178" spans="1:6">
      <c r="A178" s="589">
        <v>260</v>
      </c>
      <c r="B178" s="596" t="s">
        <v>1691</v>
      </c>
      <c r="C178" s="588"/>
      <c r="D178" s="599"/>
      <c r="F178" s="585"/>
    </row>
    <row r="179" spans="1:6">
      <c r="A179" s="606">
        <v>26099</v>
      </c>
      <c r="B179" s="607" t="s">
        <v>1691</v>
      </c>
      <c r="C179" s="608" t="s">
        <v>1652</v>
      </c>
      <c r="D179" s="599">
        <v>263.25</v>
      </c>
    </row>
    <row r="180" spans="1:6">
      <c r="A180" s="589">
        <v>270</v>
      </c>
      <c r="B180" s="596" t="s">
        <v>1692</v>
      </c>
      <c r="C180" s="588"/>
      <c r="D180" s="599"/>
      <c r="F180" s="585"/>
    </row>
    <row r="181" spans="1:6">
      <c r="A181" s="606">
        <v>27099</v>
      </c>
      <c r="B181" s="607" t="s">
        <v>1692</v>
      </c>
      <c r="C181" s="608" t="s">
        <v>1652</v>
      </c>
      <c r="D181" s="599">
        <v>263.25</v>
      </c>
    </row>
    <row r="182" spans="1:6">
      <c r="A182" s="589">
        <v>280</v>
      </c>
      <c r="B182" s="596" t="s">
        <v>1778</v>
      </c>
      <c r="C182" s="588"/>
      <c r="D182" s="599"/>
      <c r="F182" s="585"/>
    </row>
    <row r="183" spans="1:6">
      <c r="A183" s="606">
        <v>28099</v>
      </c>
      <c r="B183" s="607" t="s">
        <v>1779</v>
      </c>
      <c r="C183" s="608" t="s">
        <v>1652</v>
      </c>
      <c r="D183" s="599">
        <v>263.25</v>
      </c>
    </row>
    <row r="184" spans="1:6">
      <c r="A184" s="589">
        <v>3</v>
      </c>
      <c r="B184" s="596" t="s">
        <v>97</v>
      </c>
      <c r="C184" s="588"/>
      <c r="D184" s="599"/>
      <c r="F184" s="585"/>
    </row>
    <row r="185" spans="1:6">
      <c r="A185" s="589">
        <v>301</v>
      </c>
      <c r="B185" s="596" t="s">
        <v>69</v>
      </c>
      <c r="C185" s="588"/>
      <c r="D185" s="599"/>
      <c r="F185" s="585"/>
    </row>
    <row r="186" spans="1:6">
      <c r="A186" s="606">
        <v>30101</v>
      </c>
      <c r="B186" s="607" t="s">
        <v>1780</v>
      </c>
      <c r="C186" s="608" t="s">
        <v>1240</v>
      </c>
      <c r="D186" s="599">
        <v>51.04</v>
      </c>
    </row>
    <row r="187" spans="1:6">
      <c r="A187" s="606">
        <v>30102</v>
      </c>
      <c r="B187" s="607" t="s">
        <v>1781</v>
      </c>
      <c r="C187" s="608" t="s">
        <v>1240</v>
      </c>
      <c r="D187" s="599">
        <v>63.61</v>
      </c>
    </row>
    <row r="188" spans="1:6">
      <c r="A188" s="606">
        <v>30103</v>
      </c>
      <c r="B188" s="607" t="s">
        <v>1782</v>
      </c>
      <c r="C188" s="608" t="s">
        <v>1240</v>
      </c>
      <c r="D188" s="599">
        <v>81.61</v>
      </c>
    </row>
    <row r="189" spans="1:6">
      <c r="A189" s="606">
        <v>30105</v>
      </c>
      <c r="B189" s="607" t="s">
        <v>1783</v>
      </c>
      <c r="C189" s="608" t="s">
        <v>1650</v>
      </c>
      <c r="D189" s="599">
        <v>17.59</v>
      </c>
    </row>
    <row r="190" spans="1:6">
      <c r="A190" s="606">
        <v>30111</v>
      </c>
      <c r="B190" s="607" t="s">
        <v>1784</v>
      </c>
      <c r="C190" s="608" t="s">
        <v>1659</v>
      </c>
      <c r="D190" s="599">
        <v>39.67</v>
      </c>
    </row>
    <row r="191" spans="1:6">
      <c r="A191" s="606">
        <v>30112</v>
      </c>
      <c r="B191" s="607" t="s">
        <v>1785</v>
      </c>
      <c r="C191" s="608" t="s">
        <v>1659</v>
      </c>
      <c r="D191" s="599">
        <v>50.04</v>
      </c>
    </row>
    <row r="192" spans="1:6">
      <c r="A192" s="606">
        <v>30113</v>
      </c>
      <c r="B192" s="607" t="s">
        <v>1786</v>
      </c>
      <c r="C192" s="608" t="s">
        <v>1659</v>
      </c>
      <c r="D192" s="599">
        <v>63.18</v>
      </c>
    </row>
    <row r="193" spans="1:6">
      <c r="A193" s="606">
        <v>30114</v>
      </c>
      <c r="B193" s="607" t="s">
        <v>1787</v>
      </c>
      <c r="C193" s="608" t="s">
        <v>1659</v>
      </c>
      <c r="D193" s="599">
        <v>83.89</v>
      </c>
    </row>
    <row r="194" spans="1:6">
      <c r="A194" s="606">
        <v>30115</v>
      </c>
      <c r="B194" s="607" t="s">
        <v>1788</v>
      </c>
      <c r="C194" s="608" t="s">
        <v>1659</v>
      </c>
      <c r="D194" s="599">
        <v>98.25</v>
      </c>
    </row>
    <row r="195" spans="1:6">
      <c r="A195" s="606">
        <v>30116</v>
      </c>
      <c r="B195" s="607" t="s">
        <v>1789</v>
      </c>
      <c r="C195" s="608" t="s">
        <v>1659</v>
      </c>
      <c r="D195" s="599">
        <v>121.28</v>
      </c>
    </row>
    <row r="196" spans="1:6">
      <c r="A196" s="606">
        <v>30117</v>
      </c>
      <c r="B196" s="607" t="s">
        <v>1790</v>
      </c>
      <c r="C196" s="608" t="s">
        <v>1659</v>
      </c>
      <c r="D196" s="599">
        <v>116.82</v>
      </c>
    </row>
    <row r="197" spans="1:6">
      <c r="A197" s="606">
        <v>30118</v>
      </c>
      <c r="B197" s="607" t="s">
        <v>1791</v>
      </c>
      <c r="C197" s="608" t="s">
        <v>1659</v>
      </c>
      <c r="D197" s="599">
        <v>161.59</v>
      </c>
    </row>
    <row r="198" spans="1:6">
      <c r="A198" s="606">
        <v>30119</v>
      </c>
      <c r="B198" s="607" t="s">
        <v>1792</v>
      </c>
      <c r="C198" s="608" t="s">
        <v>1659</v>
      </c>
      <c r="D198" s="599">
        <v>158.43</v>
      </c>
    </row>
    <row r="199" spans="1:6">
      <c r="A199" s="606">
        <v>30120</v>
      </c>
      <c r="B199" s="607" t="s">
        <v>1793</v>
      </c>
      <c r="C199" s="608" t="s">
        <v>1659</v>
      </c>
      <c r="D199" s="599">
        <v>181.36</v>
      </c>
    </row>
    <row r="200" spans="1:6">
      <c r="A200" s="606">
        <v>30130</v>
      </c>
      <c r="B200" s="607" t="s">
        <v>1794</v>
      </c>
      <c r="C200" s="608" t="s">
        <v>1240</v>
      </c>
      <c r="D200" s="599">
        <v>20.91</v>
      </c>
    </row>
    <row r="201" spans="1:6">
      <c r="A201" s="606">
        <v>30199</v>
      </c>
      <c r="B201" s="607" t="s">
        <v>1749</v>
      </c>
      <c r="C201" s="608" t="s">
        <v>1652</v>
      </c>
      <c r="D201" s="599">
        <v>263.25</v>
      </c>
    </row>
    <row r="202" spans="1:6">
      <c r="A202" s="589">
        <v>302</v>
      </c>
      <c r="B202" s="596" t="s">
        <v>74</v>
      </c>
      <c r="C202" s="588"/>
      <c r="D202" s="599"/>
      <c r="F202" s="585"/>
    </row>
    <row r="203" spans="1:6">
      <c r="A203" s="606">
        <v>30202</v>
      </c>
      <c r="B203" s="607" t="s">
        <v>1750</v>
      </c>
      <c r="C203" s="608" t="s">
        <v>1248</v>
      </c>
      <c r="D203" s="599">
        <v>6.86</v>
      </c>
    </row>
    <row r="204" spans="1:6">
      <c r="A204" s="606">
        <v>30203</v>
      </c>
      <c r="B204" s="607" t="s">
        <v>1751</v>
      </c>
      <c r="C204" s="608" t="s">
        <v>1248</v>
      </c>
      <c r="D204" s="599">
        <v>7.6</v>
      </c>
    </row>
    <row r="205" spans="1:6">
      <c r="A205" s="606">
        <v>30205</v>
      </c>
      <c r="B205" s="607" t="s">
        <v>1752</v>
      </c>
      <c r="C205" s="608" t="s">
        <v>1248</v>
      </c>
      <c r="D205" s="599">
        <v>6.37</v>
      </c>
    </row>
    <row r="206" spans="1:6">
      <c r="A206" s="606">
        <v>30299</v>
      </c>
      <c r="B206" s="607" t="s">
        <v>1753</v>
      </c>
      <c r="C206" s="608" t="s">
        <v>1652</v>
      </c>
      <c r="D206" s="599">
        <v>263.25</v>
      </c>
    </row>
    <row r="207" spans="1:6">
      <c r="A207" s="589">
        <v>303</v>
      </c>
      <c r="B207" s="596" t="s">
        <v>81</v>
      </c>
      <c r="C207" s="588"/>
      <c r="D207" s="599"/>
      <c r="F207" s="585"/>
    </row>
    <row r="208" spans="1:6">
      <c r="A208" s="606">
        <v>30303</v>
      </c>
      <c r="B208" s="607" t="s">
        <v>1795</v>
      </c>
      <c r="C208" s="608" t="s">
        <v>1240</v>
      </c>
      <c r="D208" s="599">
        <v>88.63</v>
      </c>
    </row>
    <row r="209" spans="1:4">
      <c r="A209" s="606">
        <v>30305</v>
      </c>
      <c r="B209" s="607" t="s">
        <v>1796</v>
      </c>
      <c r="C209" s="608" t="s">
        <v>1240</v>
      </c>
      <c r="D209" s="599">
        <v>87.29</v>
      </c>
    </row>
    <row r="210" spans="1:4">
      <c r="A210" s="606">
        <v>30306</v>
      </c>
      <c r="B210" s="607" t="s">
        <v>1797</v>
      </c>
      <c r="C210" s="608" t="s">
        <v>1240</v>
      </c>
      <c r="D210" s="599">
        <v>94.13</v>
      </c>
    </row>
    <row r="211" spans="1:4">
      <c r="A211" s="606">
        <v>30307</v>
      </c>
      <c r="B211" s="607" t="s">
        <v>1798</v>
      </c>
      <c r="C211" s="608" t="s">
        <v>1240</v>
      </c>
      <c r="D211" s="599">
        <v>99.09</v>
      </c>
    </row>
    <row r="212" spans="1:4">
      <c r="A212" s="606">
        <v>30308</v>
      </c>
      <c r="B212" s="607" t="s">
        <v>1799</v>
      </c>
      <c r="C212" s="608" t="s">
        <v>1240</v>
      </c>
      <c r="D212" s="599">
        <v>98.72</v>
      </c>
    </row>
    <row r="213" spans="1:4">
      <c r="A213" s="606">
        <v>30309</v>
      </c>
      <c r="B213" s="607" t="s">
        <v>1800</v>
      </c>
      <c r="C213" s="608" t="s">
        <v>1240</v>
      </c>
      <c r="D213" s="599">
        <v>106.29</v>
      </c>
    </row>
    <row r="214" spans="1:4">
      <c r="A214" s="606">
        <v>30310</v>
      </c>
      <c r="B214" s="607" t="s">
        <v>1801</v>
      </c>
      <c r="C214" s="608" t="s">
        <v>1240</v>
      </c>
      <c r="D214" s="599">
        <v>106.64</v>
      </c>
    </row>
    <row r="215" spans="1:4">
      <c r="A215" s="606">
        <v>30312</v>
      </c>
      <c r="B215" s="607" t="s">
        <v>1802</v>
      </c>
      <c r="C215" s="608" t="s">
        <v>1240</v>
      </c>
      <c r="D215" s="599">
        <v>105.77</v>
      </c>
    </row>
    <row r="216" spans="1:4">
      <c r="A216" s="606">
        <v>30314</v>
      </c>
      <c r="B216" s="607" t="s">
        <v>1754</v>
      </c>
      <c r="C216" s="608" t="s">
        <v>1650</v>
      </c>
      <c r="D216" s="599">
        <v>379.2</v>
      </c>
    </row>
    <row r="217" spans="1:4">
      <c r="A217" s="606">
        <v>30315</v>
      </c>
      <c r="B217" s="607" t="s">
        <v>1803</v>
      </c>
      <c r="C217" s="608" t="s">
        <v>1240</v>
      </c>
      <c r="D217" s="599">
        <v>109.78</v>
      </c>
    </row>
    <row r="218" spans="1:4">
      <c r="A218" s="606">
        <v>30316</v>
      </c>
      <c r="B218" s="607" t="s">
        <v>1804</v>
      </c>
      <c r="C218" s="608" t="s">
        <v>1650</v>
      </c>
      <c r="D218" s="599">
        <v>387.24</v>
      </c>
    </row>
    <row r="219" spans="1:4">
      <c r="A219" s="606">
        <v>30317</v>
      </c>
      <c r="B219" s="607" t="s">
        <v>1805</v>
      </c>
      <c r="C219" s="608" t="s">
        <v>1240</v>
      </c>
      <c r="D219" s="599">
        <v>112.3</v>
      </c>
    </row>
    <row r="220" spans="1:4">
      <c r="A220" s="606">
        <v>30318</v>
      </c>
      <c r="B220" s="607" t="s">
        <v>1806</v>
      </c>
      <c r="C220" s="608" t="s">
        <v>1240</v>
      </c>
      <c r="D220" s="599">
        <v>64.75</v>
      </c>
    </row>
    <row r="221" spans="1:4">
      <c r="A221" s="606">
        <v>30319</v>
      </c>
      <c r="B221" s="607" t="s">
        <v>1807</v>
      </c>
      <c r="C221" s="608" t="s">
        <v>1240</v>
      </c>
      <c r="D221" s="599">
        <v>78.98</v>
      </c>
    </row>
    <row r="222" spans="1:4">
      <c r="A222" s="606">
        <v>30320</v>
      </c>
      <c r="B222" s="607" t="s">
        <v>1756</v>
      </c>
      <c r="C222" s="608" t="s">
        <v>1650</v>
      </c>
      <c r="D222" s="599">
        <v>399.26</v>
      </c>
    </row>
    <row r="223" spans="1:4">
      <c r="A223" s="606">
        <v>30322</v>
      </c>
      <c r="B223" s="607" t="s">
        <v>1808</v>
      </c>
      <c r="C223" s="608" t="s">
        <v>1240</v>
      </c>
      <c r="D223" s="599">
        <v>78.44</v>
      </c>
    </row>
    <row r="224" spans="1:4">
      <c r="A224" s="606">
        <v>30324</v>
      </c>
      <c r="B224" s="607" t="s">
        <v>1757</v>
      </c>
      <c r="C224" s="608" t="s">
        <v>1650</v>
      </c>
      <c r="D224" s="599">
        <v>352.21</v>
      </c>
    </row>
    <row r="225" spans="1:4">
      <c r="A225" s="606">
        <v>30326</v>
      </c>
      <c r="B225" s="607" t="s">
        <v>1809</v>
      </c>
      <c r="C225" s="608" t="s">
        <v>1650</v>
      </c>
      <c r="D225" s="599">
        <v>369.07</v>
      </c>
    </row>
    <row r="226" spans="1:4">
      <c r="A226" s="606">
        <v>30327</v>
      </c>
      <c r="B226" s="607" t="s">
        <v>1810</v>
      </c>
      <c r="C226" s="608" t="s">
        <v>1240</v>
      </c>
      <c r="D226" s="599">
        <v>91.72</v>
      </c>
    </row>
    <row r="227" spans="1:4">
      <c r="A227" s="606">
        <v>30328</v>
      </c>
      <c r="B227" s="607" t="s">
        <v>1811</v>
      </c>
      <c r="C227" s="608" t="s">
        <v>1240</v>
      </c>
      <c r="D227" s="599">
        <v>91.72</v>
      </c>
    </row>
    <row r="228" spans="1:4">
      <c r="A228" s="606">
        <v>30329</v>
      </c>
      <c r="B228" s="607" t="s">
        <v>1812</v>
      </c>
      <c r="C228" s="608" t="s">
        <v>1240</v>
      </c>
      <c r="D228" s="599">
        <v>91.72</v>
      </c>
    </row>
    <row r="229" spans="1:4">
      <c r="A229" s="606">
        <v>30330</v>
      </c>
      <c r="B229" s="607" t="s">
        <v>1759</v>
      </c>
      <c r="C229" s="608" t="s">
        <v>1650</v>
      </c>
      <c r="D229" s="599">
        <v>379.22</v>
      </c>
    </row>
    <row r="230" spans="1:4">
      <c r="A230" s="606">
        <v>30331</v>
      </c>
      <c r="B230" s="607" t="s">
        <v>1813</v>
      </c>
      <c r="C230" s="608" t="s">
        <v>1240</v>
      </c>
      <c r="D230" s="599">
        <v>101.42</v>
      </c>
    </row>
    <row r="231" spans="1:4">
      <c r="A231" s="606">
        <v>30332</v>
      </c>
      <c r="B231" s="607" t="s">
        <v>1814</v>
      </c>
      <c r="C231" s="608" t="s">
        <v>1240</v>
      </c>
      <c r="D231" s="599">
        <v>101.42</v>
      </c>
    </row>
    <row r="232" spans="1:4">
      <c r="A232" s="606">
        <v>30333</v>
      </c>
      <c r="B232" s="607" t="s">
        <v>1815</v>
      </c>
      <c r="C232" s="608" t="s">
        <v>1240</v>
      </c>
      <c r="D232" s="599">
        <v>106.94</v>
      </c>
    </row>
    <row r="233" spans="1:4">
      <c r="A233" s="606">
        <v>30334</v>
      </c>
      <c r="B233" s="607" t="s">
        <v>1816</v>
      </c>
      <c r="C233" s="608" t="s">
        <v>1240</v>
      </c>
      <c r="D233" s="599">
        <v>143.38999999999999</v>
      </c>
    </row>
    <row r="234" spans="1:4">
      <c r="A234" s="606">
        <v>30336</v>
      </c>
      <c r="B234" s="607" t="s">
        <v>1817</v>
      </c>
      <c r="C234" s="608" t="s">
        <v>1240</v>
      </c>
      <c r="D234" s="599">
        <v>143.18</v>
      </c>
    </row>
    <row r="235" spans="1:4">
      <c r="A235" s="606">
        <v>30337</v>
      </c>
      <c r="B235" s="607" t="s">
        <v>1818</v>
      </c>
      <c r="C235" s="608" t="s">
        <v>1240</v>
      </c>
      <c r="D235" s="599">
        <v>146.56</v>
      </c>
    </row>
    <row r="236" spans="1:4">
      <c r="A236" s="606">
        <v>30338</v>
      </c>
      <c r="B236" s="607" t="s">
        <v>1819</v>
      </c>
      <c r="C236" s="608" t="s">
        <v>1240</v>
      </c>
      <c r="D236" s="599">
        <v>175.58</v>
      </c>
    </row>
    <row r="237" spans="1:4">
      <c r="A237" s="606">
        <v>30339</v>
      </c>
      <c r="B237" s="607" t="s">
        <v>1820</v>
      </c>
      <c r="C237" s="608" t="s">
        <v>1240</v>
      </c>
      <c r="D237" s="599">
        <v>185.65</v>
      </c>
    </row>
    <row r="238" spans="1:4">
      <c r="A238" s="606">
        <v>30340</v>
      </c>
      <c r="B238" s="607" t="s">
        <v>1821</v>
      </c>
      <c r="C238" s="608" t="s">
        <v>1240</v>
      </c>
      <c r="D238" s="599">
        <v>76.22</v>
      </c>
    </row>
    <row r="239" spans="1:4">
      <c r="A239" s="606">
        <v>30342</v>
      </c>
      <c r="B239" s="607" t="s">
        <v>1822</v>
      </c>
      <c r="C239" s="608" t="s">
        <v>1240</v>
      </c>
      <c r="D239" s="599">
        <v>87.37</v>
      </c>
    </row>
    <row r="240" spans="1:4">
      <c r="A240" s="606">
        <v>30343</v>
      </c>
      <c r="B240" s="607" t="s">
        <v>1823</v>
      </c>
      <c r="C240" s="608" t="s">
        <v>1240</v>
      </c>
      <c r="D240" s="599">
        <v>84.12</v>
      </c>
    </row>
    <row r="241" spans="1:4">
      <c r="A241" s="606">
        <v>30344</v>
      </c>
      <c r="B241" s="607" t="s">
        <v>1824</v>
      </c>
      <c r="C241" s="608" t="s">
        <v>1240</v>
      </c>
      <c r="D241" s="599">
        <v>102.32</v>
      </c>
    </row>
    <row r="242" spans="1:4">
      <c r="A242" s="606">
        <v>30345</v>
      </c>
      <c r="B242" s="607" t="s">
        <v>1825</v>
      </c>
      <c r="C242" s="608" t="s">
        <v>1240</v>
      </c>
      <c r="D242" s="599">
        <v>80.930000000000007</v>
      </c>
    </row>
    <row r="243" spans="1:4">
      <c r="A243" s="606">
        <v>30346</v>
      </c>
      <c r="B243" s="607" t="s">
        <v>1826</v>
      </c>
      <c r="C243" s="608" t="s">
        <v>1240</v>
      </c>
      <c r="D243" s="599">
        <v>80.930000000000007</v>
      </c>
    </row>
    <row r="244" spans="1:4">
      <c r="A244" s="606">
        <v>30347</v>
      </c>
      <c r="B244" s="607" t="s">
        <v>1827</v>
      </c>
      <c r="C244" s="608" t="s">
        <v>1240</v>
      </c>
      <c r="D244" s="599">
        <v>82.72</v>
      </c>
    </row>
    <row r="245" spans="1:4">
      <c r="A245" s="606">
        <v>30348</v>
      </c>
      <c r="B245" s="607" t="s">
        <v>1828</v>
      </c>
      <c r="C245" s="608" t="s">
        <v>1240</v>
      </c>
      <c r="D245" s="599">
        <v>94.74</v>
      </c>
    </row>
    <row r="246" spans="1:4">
      <c r="A246" s="606">
        <v>30349</v>
      </c>
      <c r="B246" s="607" t="s">
        <v>1829</v>
      </c>
      <c r="C246" s="608" t="s">
        <v>1240</v>
      </c>
      <c r="D246" s="599">
        <v>104.51</v>
      </c>
    </row>
    <row r="247" spans="1:4">
      <c r="A247" s="606">
        <v>30350</v>
      </c>
      <c r="B247" s="607" t="s">
        <v>1830</v>
      </c>
      <c r="C247" s="608" t="s">
        <v>1240</v>
      </c>
      <c r="D247" s="599">
        <v>104.52</v>
      </c>
    </row>
    <row r="248" spans="1:4">
      <c r="A248" s="606">
        <v>30351</v>
      </c>
      <c r="B248" s="607" t="s">
        <v>1831</v>
      </c>
      <c r="C248" s="608" t="s">
        <v>1240</v>
      </c>
      <c r="D248" s="599">
        <v>133.59</v>
      </c>
    </row>
    <row r="249" spans="1:4">
      <c r="A249" s="606">
        <v>30353</v>
      </c>
      <c r="B249" s="607" t="s">
        <v>1832</v>
      </c>
      <c r="C249" s="608" t="s">
        <v>1240</v>
      </c>
      <c r="D249" s="599">
        <v>123.04</v>
      </c>
    </row>
    <row r="250" spans="1:4">
      <c r="A250" s="606">
        <v>30354</v>
      </c>
      <c r="B250" s="607" t="s">
        <v>1833</v>
      </c>
      <c r="C250" s="608" t="s">
        <v>1240</v>
      </c>
      <c r="D250" s="599">
        <v>118.32</v>
      </c>
    </row>
    <row r="251" spans="1:4">
      <c r="A251" s="606">
        <v>30355</v>
      </c>
      <c r="B251" s="607" t="s">
        <v>1834</v>
      </c>
      <c r="C251" s="608" t="s">
        <v>1650</v>
      </c>
      <c r="D251" s="599">
        <v>167.33</v>
      </c>
    </row>
    <row r="252" spans="1:4">
      <c r="A252" s="606">
        <v>30356</v>
      </c>
      <c r="B252" s="607" t="s">
        <v>1835</v>
      </c>
      <c r="C252" s="608" t="s">
        <v>1650</v>
      </c>
      <c r="D252" s="599">
        <v>547.29999999999995</v>
      </c>
    </row>
    <row r="253" spans="1:4">
      <c r="A253" s="606">
        <v>30358</v>
      </c>
      <c r="B253" s="607" t="s">
        <v>1836</v>
      </c>
      <c r="C253" s="608" t="s">
        <v>1240</v>
      </c>
      <c r="D253" s="599">
        <v>118.32</v>
      </c>
    </row>
    <row r="254" spans="1:4">
      <c r="A254" s="606">
        <v>30359</v>
      </c>
      <c r="B254" s="607" t="s">
        <v>1837</v>
      </c>
      <c r="C254" s="608" t="s">
        <v>1240</v>
      </c>
      <c r="D254" s="599">
        <v>118.32</v>
      </c>
    </row>
    <row r="255" spans="1:4">
      <c r="A255" s="606">
        <v>30363</v>
      </c>
      <c r="B255" s="607" t="s">
        <v>1838</v>
      </c>
      <c r="C255" s="608" t="s">
        <v>1240</v>
      </c>
      <c r="D255" s="599">
        <v>128.16999999999999</v>
      </c>
    </row>
    <row r="256" spans="1:4">
      <c r="A256" s="606">
        <v>30364</v>
      </c>
      <c r="B256" s="607" t="s">
        <v>1839</v>
      </c>
      <c r="C256" s="608" t="s">
        <v>1240</v>
      </c>
      <c r="D256" s="599">
        <v>134.41</v>
      </c>
    </row>
    <row r="257" spans="1:6">
      <c r="A257" s="606">
        <v>30365</v>
      </c>
      <c r="B257" s="607" t="s">
        <v>1840</v>
      </c>
      <c r="C257" s="608" t="s">
        <v>1240</v>
      </c>
      <c r="D257" s="599">
        <v>124.4</v>
      </c>
    </row>
    <row r="258" spans="1:6">
      <c r="A258" s="606">
        <v>30367</v>
      </c>
      <c r="B258" s="607" t="s">
        <v>1841</v>
      </c>
      <c r="C258" s="608" t="s">
        <v>1240</v>
      </c>
      <c r="D258" s="599">
        <v>128.16999999999999</v>
      </c>
    </row>
    <row r="259" spans="1:6">
      <c r="A259" s="606">
        <v>30380</v>
      </c>
      <c r="B259" s="607" t="s">
        <v>1842</v>
      </c>
      <c r="C259" s="608" t="s">
        <v>1659</v>
      </c>
      <c r="D259" s="599">
        <v>30.12</v>
      </c>
    </row>
    <row r="260" spans="1:6">
      <c r="A260" s="606">
        <v>30382</v>
      </c>
      <c r="B260" s="607" t="s">
        <v>1843</v>
      </c>
      <c r="C260" s="608" t="s">
        <v>1240</v>
      </c>
      <c r="D260" s="599">
        <v>94.83</v>
      </c>
    </row>
    <row r="261" spans="1:6">
      <c r="A261" s="606">
        <v>30383</v>
      </c>
      <c r="B261" s="607" t="s">
        <v>1844</v>
      </c>
      <c r="C261" s="608" t="s">
        <v>1240</v>
      </c>
      <c r="D261" s="599">
        <v>104.57</v>
      </c>
    </row>
    <row r="262" spans="1:6">
      <c r="A262" s="606">
        <v>30384</v>
      </c>
      <c r="B262" s="607" t="s">
        <v>1845</v>
      </c>
      <c r="C262" s="608" t="s">
        <v>1240</v>
      </c>
      <c r="D262" s="599">
        <v>104.58</v>
      </c>
    </row>
    <row r="263" spans="1:6">
      <c r="A263" s="606">
        <v>30385</v>
      </c>
      <c r="B263" s="607" t="s">
        <v>1846</v>
      </c>
      <c r="C263" s="608" t="s">
        <v>1240</v>
      </c>
      <c r="D263" s="599">
        <v>118.4</v>
      </c>
    </row>
    <row r="264" spans="1:6">
      <c r="A264" s="606">
        <v>30386</v>
      </c>
      <c r="B264" s="607" t="s">
        <v>1847</v>
      </c>
      <c r="C264" s="608" t="s">
        <v>1240</v>
      </c>
      <c r="D264" s="599">
        <v>118.4</v>
      </c>
    </row>
    <row r="265" spans="1:6">
      <c r="A265" s="606">
        <v>30387</v>
      </c>
      <c r="B265" s="607" t="s">
        <v>1848</v>
      </c>
      <c r="C265" s="608" t="s">
        <v>1240</v>
      </c>
      <c r="D265" s="599">
        <v>118.4</v>
      </c>
    </row>
    <row r="266" spans="1:6">
      <c r="A266" s="606">
        <v>30388</v>
      </c>
      <c r="B266" s="607" t="s">
        <v>1849</v>
      </c>
      <c r="C266" s="608" t="s">
        <v>1240</v>
      </c>
      <c r="D266" s="599">
        <v>129.66</v>
      </c>
    </row>
    <row r="267" spans="1:6">
      <c r="A267" s="606">
        <v>30389</v>
      </c>
      <c r="B267" s="607" t="s">
        <v>1850</v>
      </c>
      <c r="C267" s="608" t="s">
        <v>1240</v>
      </c>
      <c r="D267" s="599">
        <v>129.66</v>
      </c>
    </row>
    <row r="268" spans="1:6">
      <c r="A268" s="606">
        <v>30398</v>
      </c>
      <c r="B268" s="607" t="s">
        <v>1761</v>
      </c>
      <c r="C268" s="608" t="s">
        <v>1650</v>
      </c>
      <c r="D268" s="599">
        <v>2728.55</v>
      </c>
    </row>
    <row r="269" spans="1:6">
      <c r="A269" s="606">
        <v>30399</v>
      </c>
      <c r="B269" s="607" t="s">
        <v>1762</v>
      </c>
      <c r="C269" s="608" t="s">
        <v>1652</v>
      </c>
      <c r="D269" s="599">
        <v>263.25</v>
      </c>
    </row>
    <row r="270" spans="1:6">
      <c r="A270" s="589">
        <v>304</v>
      </c>
      <c r="B270" s="596" t="s">
        <v>130</v>
      </c>
      <c r="C270" s="588"/>
      <c r="D270" s="599"/>
      <c r="F270" s="585"/>
    </row>
    <row r="271" spans="1:6">
      <c r="A271" s="606">
        <v>30401</v>
      </c>
      <c r="B271" s="607" t="s">
        <v>1851</v>
      </c>
      <c r="C271" s="608" t="s">
        <v>1248</v>
      </c>
      <c r="D271" s="599">
        <v>10.71</v>
      </c>
    </row>
    <row r="272" spans="1:6">
      <c r="A272" s="606">
        <v>30403</v>
      </c>
      <c r="B272" s="607" t="s">
        <v>1852</v>
      </c>
      <c r="C272" s="608" t="s">
        <v>1248</v>
      </c>
      <c r="D272" s="599">
        <v>11.2</v>
      </c>
    </row>
    <row r="273" spans="1:6">
      <c r="A273" s="606">
        <v>30405</v>
      </c>
      <c r="B273" s="607" t="s">
        <v>1853</v>
      </c>
      <c r="C273" s="608" t="s">
        <v>1248</v>
      </c>
      <c r="D273" s="599">
        <v>2.42</v>
      </c>
    </row>
    <row r="274" spans="1:6">
      <c r="A274" s="606">
        <v>30430</v>
      </c>
      <c r="B274" s="607" t="s">
        <v>1854</v>
      </c>
      <c r="C274" s="608" t="s">
        <v>1248</v>
      </c>
      <c r="D274" s="599">
        <v>1.91</v>
      </c>
    </row>
    <row r="275" spans="1:6">
      <c r="A275" s="606">
        <v>30499</v>
      </c>
      <c r="B275" s="607" t="s">
        <v>1855</v>
      </c>
      <c r="C275" s="608" t="s">
        <v>1652</v>
      </c>
      <c r="D275" s="599">
        <v>263.25</v>
      </c>
    </row>
    <row r="276" spans="1:6">
      <c r="A276" s="589">
        <v>305</v>
      </c>
      <c r="B276" s="596" t="s">
        <v>1856</v>
      </c>
      <c r="C276" s="588"/>
      <c r="D276" s="599"/>
      <c r="F276" s="585"/>
    </row>
    <row r="277" spans="1:6" s="610" customFormat="1">
      <c r="A277" s="606">
        <v>30510</v>
      </c>
      <c r="B277" s="607" t="s">
        <v>1857</v>
      </c>
      <c r="C277" s="608" t="s">
        <v>1615</v>
      </c>
      <c r="D277" s="599">
        <v>326.79000000000002</v>
      </c>
      <c r="E277" s="581"/>
      <c r="F277" s="581"/>
    </row>
    <row r="278" spans="1:6">
      <c r="A278" s="606">
        <v>30511</v>
      </c>
      <c r="B278" s="607" t="s">
        <v>1858</v>
      </c>
      <c r="C278" s="608" t="s">
        <v>1659</v>
      </c>
      <c r="D278" s="599">
        <v>25.79</v>
      </c>
    </row>
    <row r="279" spans="1:6">
      <c r="A279" s="606">
        <v>30512</v>
      </c>
      <c r="B279" s="607" t="s">
        <v>1859</v>
      </c>
      <c r="C279" s="608" t="s">
        <v>1659</v>
      </c>
      <c r="D279" s="599">
        <v>34.28</v>
      </c>
    </row>
    <row r="280" spans="1:6">
      <c r="A280" s="606">
        <v>30599</v>
      </c>
      <c r="B280" s="607" t="s">
        <v>1860</v>
      </c>
      <c r="C280" s="608" t="s">
        <v>1652</v>
      </c>
      <c r="D280" s="599">
        <v>263.25</v>
      </c>
    </row>
    <row r="281" spans="1:6">
      <c r="A281" s="589">
        <v>350</v>
      </c>
      <c r="B281" s="596" t="s">
        <v>1690</v>
      </c>
      <c r="C281" s="588"/>
      <c r="D281" s="599"/>
      <c r="F281" s="585"/>
    </row>
    <row r="282" spans="1:6">
      <c r="A282" s="606">
        <v>35001</v>
      </c>
      <c r="B282" s="607" t="s">
        <v>1861</v>
      </c>
      <c r="C282" s="608" t="s">
        <v>1650</v>
      </c>
      <c r="D282" s="599">
        <v>178.58</v>
      </c>
    </row>
    <row r="283" spans="1:6">
      <c r="A283" s="606">
        <v>35005</v>
      </c>
      <c r="B283" s="607" t="s">
        <v>1862</v>
      </c>
      <c r="C283" s="608" t="s">
        <v>1240</v>
      </c>
      <c r="D283" s="599">
        <v>13.39</v>
      </c>
    </row>
    <row r="284" spans="1:6">
      <c r="A284" s="606">
        <v>35099</v>
      </c>
      <c r="B284" s="607" t="s">
        <v>1690</v>
      </c>
      <c r="C284" s="608" t="s">
        <v>1652</v>
      </c>
      <c r="D284" s="599">
        <v>263.25</v>
      </c>
    </row>
    <row r="285" spans="1:6">
      <c r="A285" s="589">
        <v>360</v>
      </c>
      <c r="B285" s="596" t="s">
        <v>1691</v>
      </c>
      <c r="C285" s="588"/>
      <c r="D285" s="599"/>
      <c r="F285" s="585"/>
    </row>
    <row r="286" spans="1:6">
      <c r="A286" s="606">
        <v>36099</v>
      </c>
      <c r="B286" s="607" t="s">
        <v>1691</v>
      </c>
      <c r="C286" s="608" t="s">
        <v>1652</v>
      </c>
      <c r="D286" s="599">
        <v>263.25</v>
      </c>
    </row>
    <row r="287" spans="1:6">
      <c r="A287" s="589">
        <v>370</v>
      </c>
      <c r="B287" s="596" t="s">
        <v>1692</v>
      </c>
      <c r="C287" s="588"/>
      <c r="D287" s="599"/>
      <c r="F287" s="585"/>
    </row>
    <row r="288" spans="1:6">
      <c r="A288" s="606">
        <v>37099</v>
      </c>
      <c r="B288" s="607" t="s">
        <v>1692</v>
      </c>
      <c r="C288" s="608" t="s">
        <v>1652</v>
      </c>
      <c r="D288" s="599">
        <v>263.25</v>
      </c>
    </row>
    <row r="289" spans="1:6">
      <c r="A289" s="589">
        <v>380</v>
      </c>
      <c r="B289" s="596" t="s">
        <v>1863</v>
      </c>
      <c r="C289" s="588"/>
      <c r="D289" s="599"/>
      <c r="F289" s="585"/>
    </row>
    <row r="290" spans="1:6">
      <c r="A290" s="606">
        <v>38099</v>
      </c>
      <c r="B290" s="607" t="s">
        <v>1694</v>
      </c>
      <c r="C290" s="608" t="s">
        <v>1652</v>
      </c>
      <c r="D290" s="599">
        <v>263.25</v>
      </c>
    </row>
    <row r="291" spans="1:6">
      <c r="A291" s="589">
        <v>4</v>
      </c>
      <c r="B291" s="596" t="s">
        <v>1864</v>
      </c>
      <c r="C291" s="588"/>
      <c r="D291" s="599"/>
      <c r="F291" s="585"/>
    </row>
    <row r="292" spans="1:6">
      <c r="A292" s="589">
        <v>401</v>
      </c>
      <c r="B292" s="596" t="s">
        <v>137</v>
      </c>
      <c r="C292" s="588"/>
      <c r="D292" s="599"/>
      <c r="F292" s="585"/>
    </row>
    <row r="293" spans="1:6">
      <c r="A293" s="606">
        <v>40101</v>
      </c>
      <c r="B293" s="607" t="s">
        <v>1865</v>
      </c>
      <c r="C293" s="608" t="s">
        <v>1240</v>
      </c>
      <c r="D293" s="599">
        <v>30.88</v>
      </c>
    </row>
    <row r="294" spans="1:6">
      <c r="A294" s="606">
        <v>40102</v>
      </c>
      <c r="B294" s="607" t="s">
        <v>1866</v>
      </c>
      <c r="C294" s="608" t="s">
        <v>1240</v>
      </c>
      <c r="D294" s="599">
        <v>52.69</v>
      </c>
    </row>
    <row r="295" spans="1:6">
      <c r="A295" s="606">
        <v>40103</v>
      </c>
      <c r="B295" s="607" t="s">
        <v>1867</v>
      </c>
      <c r="C295" s="608" t="s">
        <v>1240</v>
      </c>
      <c r="D295" s="599">
        <v>96.67</v>
      </c>
    </row>
    <row r="296" spans="1:6">
      <c r="A296" s="606">
        <v>40112</v>
      </c>
      <c r="B296" s="607" t="s">
        <v>1868</v>
      </c>
      <c r="C296" s="608" t="s">
        <v>1240</v>
      </c>
      <c r="D296" s="599">
        <v>44.34</v>
      </c>
    </row>
    <row r="297" spans="1:6">
      <c r="A297" s="606">
        <v>40113</v>
      </c>
      <c r="B297" s="607" t="s">
        <v>1869</v>
      </c>
      <c r="C297" s="608" t="s">
        <v>1240</v>
      </c>
      <c r="D297" s="599">
        <v>67.819999999999993</v>
      </c>
    </row>
    <row r="298" spans="1:6">
      <c r="A298" s="606">
        <v>40114</v>
      </c>
      <c r="B298" s="607" t="s">
        <v>1870</v>
      </c>
      <c r="C298" s="608" t="s">
        <v>1240</v>
      </c>
      <c r="D298" s="599">
        <v>89.95</v>
      </c>
    </row>
    <row r="299" spans="1:6">
      <c r="A299" s="606">
        <v>40115</v>
      </c>
      <c r="B299" s="607" t="s">
        <v>1871</v>
      </c>
      <c r="C299" s="608" t="s">
        <v>1240</v>
      </c>
      <c r="D299" s="599">
        <v>150.05000000000001</v>
      </c>
    </row>
    <row r="300" spans="1:6">
      <c r="A300" s="606">
        <v>40117</v>
      </c>
      <c r="B300" s="607" t="s">
        <v>1872</v>
      </c>
      <c r="C300" s="608" t="s">
        <v>1240</v>
      </c>
      <c r="D300" s="599">
        <v>70.28</v>
      </c>
    </row>
    <row r="301" spans="1:6">
      <c r="A301" s="606">
        <v>40118</v>
      </c>
      <c r="B301" s="607" t="s">
        <v>1873</v>
      </c>
      <c r="C301" s="608" t="s">
        <v>1240</v>
      </c>
      <c r="D301" s="599">
        <v>55.52</v>
      </c>
    </row>
    <row r="302" spans="1:6">
      <c r="A302" s="606">
        <v>40119</v>
      </c>
      <c r="B302" s="607" t="s">
        <v>1874</v>
      </c>
      <c r="C302" s="608" t="s">
        <v>1240</v>
      </c>
      <c r="D302" s="599">
        <v>94</v>
      </c>
    </row>
    <row r="303" spans="1:6">
      <c r="A303" s="606">
        <v>40120</v>
      </c>
      <c r="B303" s="607" t="s">
        <v>1875</v>
      </c>
      <c r="C303" s="608" t="s">
        <v>1240</v>
      </c>
      <c r="D303" s="599">
        <v>168.67</v>
      </c>
    </row>
    <row r="304" spans="1:6">
      <c r="A304" s="606">
        <v>40130</v>
      </c>
      <c r="B304" s="607" t="s">
        <v>1876</v>
      </c>
      <c r="C304" s="608" t="s">
        <v>1240</v>
      </c>
      <c r="D304" s="599">
        <v>39</v>
      </c>
    </row>
    <row r="305" spans="1:6">
      <c r="A305" s="606">
        <v>40131</v>
      </c>
      <c r="B305" s="607" t="s">
        <v>1877</v>
      </c>
      <c r="C305" s="608" t="s">
        <v>1240</v>
      </c>
      <c r="D305" s="599">
        <v>46.47</v>
      </c>
    </row>
    <row r="306" spans="1:6">
      <c r="A306" s="606">
        <v>40132</v>
      </c>
      <c r="B306" s="607" t="s">
        <v>1878</v>
      </c>
      <c r="C306" s="608" t="s">
        <v>1240</v>
      </c>
      <c r="D306" s="599">
        <v>55.51</v>
      </c>
    </row>
    <row r="307" spans="1:6">
      <c r="A307" s="606">
        <v>40142</v>
      </c>
      <c r="B307" s="607" t="s">
        <v>1879</v>
      </c>
      <c r="C307" s="608" t="s">
        <v>1240</v>
      </c>
      <c r="D307" s="599">
        <v>39.909999999999997</v>
      </c>
    </row>
    <row r="308" spans="1:6">
      <c r="A308" s="606">
        <v>40143</v>
      </c>
      <c r="B308" s="607" t="s">
        <v>1880</v>
      </c>
      <c r="C308" s="608" t="s">
        <v>1240</v>
      </c>
      <c r="D308" s="599">
        <v>46.52</v>
      </c>
    </row>
    <row r="309" spans="1:6">
      <c r="A309" s="606">
        <v>40145</v>
      </c>
      <c r="B309" s="607" t="s">
        <v>1881</v>
      </c>
      <c r="C309" s="608" t="s">
        <v>1650</v>
      </c>
      <c r="D309" s="599">
        <v>390.26</v>
      </c>
      <c r="E309" s="610"/>
      <c r="F309" s="610"/>
    </row>
    <row r="310" spans="1:6">
      <c r="A310" s="606">
        <v>40146</v>
      </c>
      <c r="B310" s="607" t="s">
        <v>1882</v>
      </c>
      <c r="C310" s="608" t="s">
        <v>1248</v>
      </c>
      <c r="D310" s="599">
        <v>6.86</v>
      </c>
    </row>
    <row r="311" spans="1:6">
      <c r="A311" s="606">
        <v>40147</v>
      </c>
      <c r="B311" s="607" t="s">
        <v>1883</v>
      </c>
      <c r="C311" s="608" t="s">
        <v>1248</v>
      </c>
      <c r="D311" s="599">
        <v>7.6</v>
      </c>
    </row>
    <row r="312" spans="1:6">
      <c r="A312" s="606">
        <v>40149</v>
      </c>
      <c r="B312" s="607" t="s">
        <v>1884</v>
      </c>
      <c r="C312" s="608" t="s">
        <v>1240</v>
      </c>
      <c r="D312" s="599">
        <v>57.28</v>
      </c>
    </row>
    <row r="313" spans="1:6">
      <c r="A313" s="606">
        <v>40150</v>
      </c>
      <c r="B313" s="607" t="s">
        <v>1885</v>
      </c>
      <c r="C313" s="608" t="s">
        <v>1240</v>
      </c>
      <c r="D313" s="599">
        <v>44.52</v>
      </c>
    </row>
    <row r="314" spans="1:6">
      <c r="A314" s="606">
        <v>40151</v>
      </c>
      <c r="B314" s="607" t="s">
        <v>1886</v>
      </c>
      <c r="C314" s="608" t="s">
        <v>1240</v>
      </c>
      <c r="D314" s="599">
        <v>59.2</v>
      </c>
    </row>
    <row r="315" spans="1:6">
      <c r="A315" s="606">
        <v>40157</v>
      </c>
      <c r="B315" s="607" t="s">
        <v>1887</v>
      </c>
      <c r="C315" s="608" t="s">
        <v>1659</v>
      </c>
      <c r="D315" s="599">
        <v>14.25</v>
      </c>
    </row>
    <row r="316" spans="1:6">
      <c r="A316" s="606">
        <v>40158</v>
      </c>
      <c r="B316" s="607" t="s">
        <v>1888</v>
      </c>
      <c r="C316" s="608" t="s">
        <v>1659</v>
      </c>
      <c r="D316" s="599">
        <v>18.7</v>
      </c>
    </row>
    <row r="317" spans="1:6">
      <c r="A317" s="606">
        <v>40159</v>
      </c>
      <c r="B317" s="607" t="s">
        <v>1889</v>
      </c>
      <c r="C317" s="608" t="s">
        <v>1659</v>
      </c>
      <c r="D317" s="599">
        <v>21.56</v>
      </c>
    </row>
    <row r="318" spans="1:6">
      <c r="A318" s="606">
        <v>40160</v>
      </c>
      <c r="B318" s="607" t="s">
        <v>1890</v>
      </c>
      <c r="C318" s="608" t="s">
        <v>1240</v>
      </c>
      <c r="D318" s="599">
        <v>97.76</v>
      </c>
    </row>
    <row r="319" spans="1:6">
      <c r="A319" s="606">
        <v>40161</v>
      </c>
      <c r="B319" s="607" t="s">
        <v>1891</v>
      </c>
      <c r="C319" s="608" t="s">
        <v>1240</v>
      </c>
      <c r="D319" s="599">
        <v>164.25</v>
      </c>
    </row>
    <row r="320" spans="1:6">
      <c r="A320" s="606">
        <v>40163</v>
      </c>
      <c r="B320" s="607" t="s">
        <v>1892</v>
      </c>
      <c r="C320" s="608" t="s">
        <v>1240</v>
      </c>
      <c r="D320" s="599">
        <v>45.33</v>
      </c>
    </row>
    <row r="321" spans="1:6">
      <c r="A321" s="606">
        <v>40164</v>
      </c>
      <c r="B321" s="607" t="s">
        <v>1893</v>
      </c>
      <c r="C321" s="608" t="s">
        <v>1240</v>
      </c>
      <c r="D321" s="599">
        <v>57.14</v>
      </c>
    </row>
    <row r="322" spans="1:6">
      <c r="A322" s="606">
        <v>40165</v>
      </c>
      <c r="B322" s="607" t="s">
        <v>1894</v>
      </c>
      <c r="C322" s="608" t="s">
        <v>1240</v>
      </c>
      <c r="D322" s="599">
        <v>76.239999999999995</v>
      </c>
    </row>
    <row r="323" spans="1:6">
      <c r="A323" s="606">
        <v>40170</v>
      </c>
      <c r="B323" s="607" t="s">
        <v>1895</v>
      </c>
      <c r="C323" s="608" t="s">
        <v>1240</v>
      </c>
      <c r="D323" s="599">
        <v>34.74</v>
      </c>
    </row>
    <row r="324" spans="1:6">
      <c r="A324" s="606">
        <v>40171</v>
      </c>
      <c r="B324" s="607" t="s">
        <v>1896</v>
      </c>
      <c r="C324" s="608" t="s">
        <v>1240</v>
      </c>
      <c r="D324" s="599">
        <v>37.99</v>
      </c>
    </row>
    <row r="325" spans="1:6">
      <c r="A325" s="606">
        <v>40172</v>
      </c>
      <c r="B325" s="607" t="s">
        <v>1897</v>
      </c>
      <c r="C325" s="608" t="s">
        <v>1240</v>
      </c>
      <c r="D325" s="599">
        <v>52.29</v>
      </c>
    </row>
    <row r="326" spans="1:6">
      <c r="A326" s="606">
        <v>40173</v>
      </c>
      <c r="B326" s="607" t="s">
        <v>1898</v>
      </c>
      <c r="C326" s="608" t="s">
        <v>1240</v>
      </c>
      <c r="D326" s="599">
        <v>65.45</v>
      </c>
    </row>
    <row r="327" spans="1:6">
      <c r="A327" s="606">
        <v>40199</v>
      </c>
      <c r="B327" s="607" t="s">
        <v>1899</v>
      </c>
      <c r="C327" s="608" t="s">
        <v>1652</v>
      </c>
      <c r="D327" s="599">
        <v>263.25</v>
      </c>
    </row>
    <row r="328" spans="1:6">
      <c r="A328" s="589">
        <v>402</v>
      </c>
      <c r="B328" s="596" t="s">
        <v>1900</v>
      </c>
      <c r="C328" s="588"/>
      <c r="D328" s="599"/>
      <c r="F328" s="585"/>
    </row>
    <row r="329" spans="1:6" ht="26.4">
      <c r="A329" s="606">
        <v>40212</v>
      </c>
      <c r="B329" s="607" t="s">
        <v>1901</v>
      </c>
      <c r="C329" s="608" t="s">
        <v>1240</v>
      </c>
      <c r="D329" s="599">
        <v>79.7</v>
      </c>
    </row>
    <row r="330" spans="1:6">
      <c r="A330" s="606">
        <v>40213</v>
      </c>
      <c r="B330" s="607" t="s">
        <v>1902</v>
      </c>
      <c r="C330" s="608" t="s">
        <v>1240</v>
      </c>
      <c r="D330" s="599">
        <v>126.6</v>
      </c>
    </row>
    <row r="331" spans="1:6">
      <c r="A331" s="606">
        <v>40218</v>
      </c>
      <c r="B331" s="607" t="s">
        <v>1903</v>
      </c>
      <c r="C331" s="608" t="s">
        <v>1240</v>
      </c>
      <c r="D331" s="599">
        <v>41.61</v>
      </c>
    </row>
    <row r="332" spans="1:6">
      <c r="A332" s="606">
        <v>40220</v>
      </c>
      <c r="B332" s="607" t="s">
        <v>1904</v>
      </c>
      <c r="C332" s="608" t="s">
        <v>1240</v>
      </c>
      <c r="D332" s="599">
        <v>64.989999999999995</v>
      </c>
    </row>
    <row r="333" spans="1:6">
      <c r="A333" s="606">
        <v>40229</v>
      </c>
      <c r="B333" s="607" t="s">
        <v>1905</v>
      </c>
      <c r="C333" s="608" t="s">
        <v>1240</v>
      </c>
      <c r="D333" s="599">
        <v>82.88</v>
      </c>
    </row>
    <row r="334" spans="1:6">
      <c r="A334" s="606">
        <v>40230</v>
      </c>
      <c r="B334" s="607" t="s">
        <v>1906</v>
      </c>
      <c r="C334" s="608" t="s">
        <v>1240</v>
      </c>
      <c r="D334" s="599">
        <v>113.9</v>
      </c>
    </row>
    <row r="335" spans="1:6">
      <c r="A335" s="606">
        <v>40232</v>
      </c>
      <c r="B335" s="607" t="s">
        <v>1907</v>
      </c>
      <c r="C335" s="608" t="s">
        <v>1240</v>
      </c>
      <c r="D335" s="599">
        <v>167</v>
      </c>
    </row>
    <row r="336" spans="1:6">
      <c r="A336" s="606">
        <v>40233</v>
      </c>
      <c r="B336" s="607" t="s">
        <v>1908</v>
      </c>
      <c r="C336" s="608" t="s">
        <v>1240</v>
      </c>
      <c r="D336" s="599">
        <v>88.87</v>
      </c>
    </row>
    <row r="337" spans="1:6">
      <c r="A337" s="606">
        <v>40235</v>
      </c>
      <c r="B337" s="607" t="s">
        <v>1909</v>
      </c>
      <c r="C337" s="608" t="s">
        <v>1240</v>
      </c>
      <c r="D337" s="599">
        <v>72.56</v>
      </c>
    </row>
    <row r="338" spans="1:6">
      <c r="A338" s="606">
        <v>40236</v>
      </c>
      <c r="B338" s="607" t="s">
        <v>1910</v>
      </c>
      <c r="C338" s="608" t="s">
        <v>1240</v>
      </c>
      <c r="D338" s="599">
        <v>110.42</v>
      </c>
    </row>
    <row r="339" spans="1:6">
      <c r="A339" s="606">
        <v>40237</v>
      </c>
      <c r="B339" s="607" t="s">
        <v>1911</v>
      </c>
      <c r="C339" s="608" t="s">
        <v>1240</v>
      </c>
      <c r="D339" s="599">
        <v>83.83</v>
      </c>
    </row>
    <row r="340" spans="1:6">
      <c r="A340" s="606">
        <v>40239</v>
      </c>
      <c r="B340" s="607" t="s">
        <v>1912</v>
      </c>
      <c r="C340" s="608" t="s">
        <v>1240</v>
      </c>
      <c r="D340" s="599">
        <v>77.42</v>
      </c>
    </row>
    <row r="341" spans="1:6">
      <c r="A341" s="606">
        <v>40244</v>
      </c>
      <c r="B341" s="607" t="s">
        <v>1913</v>
      </c>
      <c r="C341" s="608" t="s">
        <v>1240</v>
      </c>
      <c r="D341" s="599">
        <v>82.57</v>
      </c>
    </row>
    <row r="342" spans="1:6" s="611" customFormat="1">
      <c r="A342" s="606">
        <v>40247</v>
      </c>
      <c r="B342" s="607" t="s">
        <v>1914</v>
      </c>
      <c r="C342" s="608" t="s">
        <v>1240</v>
      </c>
      <c r="D342" s="599">
        <v>103.87</v>
      </c>
      <c r="E342" s="581"/>
      <c r="F342" s="581"/>
    </row>
    <row r="343" spans="1:6">
      <c r="A343" s="606">
        <v>40252</v>
      </c>
      <c r="B343" s="607" t="s">
        <v>1915</v>
      </c>
      <c r="C343" s="608" t="s">
        <v>1240</v>
      </c>
      <c r="D343" s="599">
        <v>81.31</v>
      </c>
    </row>
    <row r="344" spans="1:6">
      <c r="A344" s="606">
        <v>40254</v>
      </c>
      <c r="B344" s="607" t="s">
        <v>1916</v>
      </c>
      <c r="C344" s="608" t="s">
        <v>1240</v>
      </c>
      <c r="D344" s="599">
        <v>82.16</v>
      </c>
    </row>
    <row r="345" spans="1:6">
      <c r="A345" s="606">
        <v>40256</v>
      </c>
      <c r="B345" s="607" t="s">
        <v>1917</v>
      </c>
      <c r="C345" s="608" t="s">
        <v>1240</v>
      </c>
      <c r="D345" s="599">
        <v>85.7</v>
      </c>
    </row>
    <row r="346" spans="1:6">
      <c r="A346" s="606">
        <v>40258</v>
      </c>
      <c r="B346" s="607" t="s">
        <v>1918</v>
      </c>
      <c r="C346" s="608" t="s">
        <v>1240</v>
      </c>
      <c r="D346" s="599">
        <v>69.739999999999995</v>
      </c>
    </row>
    <row r="347" spans="1:6" s="328" customFormat="1">
      <c r="A347" s="606">
        <v>40260</v>
      </c>
      <c r="B347" s="607" t="s">
        <v>1919</v>
      </c>
      <c r="C347" s="608" t="s">
        <v>1240</v>
      </c>
      <c r="D347" s="599">
        <v>112.49</v>
      </c>
      <c r="E347" s="581"/>
      <c r="F347" s="581"/>
    </row>
    <row r="348" spans="1:6">
      <c r="A348" s="606">
        <v>40261</v>
      </c>
      <c r="B348" s="607" t="s">
        <v>1920</v>
      </c>
      <c r="C348" s="608" t="s">
        <v>1240</v>
      </c>
      <c r="D348" s="599">
        <v>167.7</v>
      </c>
    </row>
    <row r="349" spans="1:6">
      <c r="A349" s="606">
        <v>40262</v>
      </c>
      <c r="B349" s="607" t="s">
        <v>1921</v>
      </c>
      <c r="C349" s="608" t="s">
        <v>1240</v>
      </c>
      <c r="D349" s="599">
        <v>165.29</v>
      </c>
    </row>
    <row r="350" spans="1:6">
      <c r="A350" s="606">
        <v>40299</v>
      </c>
      <c r="B350" s="607" t="s">
        <v>1900</v>
      </c>
      <c r="C350" s="608" t="s">
        <v>1652</v>
      </c>
      <c r="D350" s="599">
        <v>263.25</v>
      </c>
    </row>
    <row r="351" spans="1:6">
      <c r="A351" s="589">
        <v>403</v>
      </c>
      <c r="B351" s="596" t="s">
        <v>1149</v>
      </c>
      <c r="C351" s="588"/>
      <c r="D351" s="599"/>
      <c r="F351" s="585"/>
    </row>
    <row r="352" spans="1:6">
      <c r="A352" s="606">
        <v>40301</v>
      </c>
      <c r="B352" s="607" t="s">
        <v>1922</v>
      </c>
      <c r="C352" s="608" t="s">
        <v>1659</v>
      </c>
      <c r="D352" s="599">
        <v>250.95</v>
      </c>
    </row>
    <row r="353" spans="1:6">
      <c r="A353" s="606">
        <v>40302</v>
      </c>
      <c r="B353" s="607" t="s">
        <v>1923</v>
      </c>
      <c r="C353" s="608" t="s">
        <v>1659</v>
      </c>
      <c r="D353" s="599">
        <v>250.95</v>
      </c>
    </row>
    <row r="354" spans="1:6">
      <c r="A354" s="606">
        <v>40303</v>
      </c>
      <c r="B354" s="607" t="s">
        <v>1924</v>
      </c>
      <c r="C354" s="608" t="s">
        <v>1659</v>
      </c>
      <c r="D354" s="599">
        <v>980.16</v>
      </c>
    </row>
    <row r="355" spans="1:6">
      <c r="A355" s="606">
        <v>40304</v>
      </c>
      <c r="B355" s="607" t="s">
        <v>1925</v>
      </c>
      <c r="C355" s="608" t="s">
        <v>1659</v>
      </c>
      <c r="D355" s="599">
        <v>276.38</v>
      </c>
    </row>
    <row r="356" spans="1:6">
      <c r="A356" s="606">
        <v>40320</v>
      </c>
      <c r="B356" s="607" t="s">
        <v>1926</v>
      </c>
      <c r="C356" s="608" t="s">
        <v>1240</v>
      </c>
      <c r="D356" s="599">
        <v>154.9</v>
      </c>
    </row>
    <row r="357" spans="1:6">
      <c r="A357" s="606">
        <v>40322</v>
      </c>
      <c r="B357" s="607" t="s">
        <v>1927</v>
      </c>
      <c r="C357" s="608" t="s">
        <v>1240</v>
      </c>
      <c r="D357" s="599">
        <v>105.64</v>
      </c>
    </row>
    <row r="358" spans="1:6">
      <c r="A358" s="606">
        <v>40323</v>
      </c>
      <c r="B358" s="607" t="s">
        <v>1928</v>
      </c>
      <c r="C358" s="608" t="s">
        <v>1240</v>
      </c>
      <c r="D358" s="599">
        <v>55.52</v>
      </c>
    </row>
    <row r="359" spans="1:6">
      <c r="A359" s="606">
        <v>40325</v>
      </c>
      <c r="B359" s="607" t="s">
        <v>1929</v>
      </c>
      <c r="C359" s="608" t="s">
        <v>1240</v>
      </c>
      <c r="D359" s="599">
        <v>86.9</v>
      </c>
    </row>
    <row r="360" spans="1:6">
      <c r="A360" s="606">
        <v>40326</v>
      </c>
      <c r="B360" s="607" t="s">
        <v>1930</v>
      </c>
      <c r="C360" s="608" t="s">
        <v>1240</v>
      </c>
      <c r="D360" s="599">
        <v>84.94</v>
      </c>
    </row>
    <row r="361" spans="1:6">
      <c r="A361" s="606">
        <v>40330</v>
      </c>
      <c r="B361" s="607" t="s">
        <v>1931</v>
      </c>
      <c r="C361" s="608" t="s">
        <v>1240</v>
      </c>
      <c r="D361" s="599">
        <v>22.67</v>
      </c>
    </row>
    <row r="362" spans="1:6">
      <c r="A362" s="606">
        <v>40399</v>
      </c>
      <c r="B362" s="607" t="s">
        <v>1149</v>
      </c>
      <c r="C362" s="608" t="s">
        <v>1652</v>
      </c>
      <c r="D362" s="599">
        <v>263.25</v>
      </c>
    </row>
    <row r="363" spans="1:6">
      <c r="A363" s="589">
        <v>450</v>
      </c>
      <c r="B363" s="596" t="s">
        <v>1690</v>
      </c>
      <c r="C363" s="588"/>
      <c r="D363" s="599"/>
      <c r="F363" s="585"/>
    </row>
    <row r="364" spans="1:6">
      <c r="A364" s="606">
        <v>45001</v>
      </c>
      <c r="B364" s="607" t="s">
        <v>1932</v>
      </c>
      <c r="C364" s="608" t="s">
        <v>1650</v>
      </c>
      <c r="D364" s="599">
        <v>41.21</v>
      </c>
    </row>
    <row r="365" spans="1:6">
      <c r="A365" s="606">
        <v>45010</v>
      </c>
      <c r="B365" s="607" t="s">
        <v>1933</v>
      </c>
      <c r="C365" s="608" t="s">
        <v>1240</v>
      </c>
      <c r="D365" s="599">
        <v>2.67</v>
      </c>
    </row>
    <row r="366" spans="1:6">
      <c r="A366" s="606">
        <v>45011</v>
      </c>
      <c r="B366" s="607" t="s">
        <v>1934</v>
      </c>
      <c r="C366" s="608" t="s">
        <v>1240</v>
      </c>
      <c r="D366" s="599">
        <v>2.67</v>
      </c>
    </row>
    <row r="367" spans="1:6">
      <c r="A367" s="606">
        <v>45012</v>
      </c>
      <c r="B367" s="607" t="s">
        <v>1935</v>
      </c>
      <c r="C367" s="608" t="s">
        <v>1240</v>
      </c>
      <c r="D367" s="599">
        <v>3.17</v>
      </c>
    </row>
    <row r="368" spans="1:6">
      <c r="A368" s="606">
        <v>45099</v>
      </c>
      <c r="B368" s="607" t="s">
        <v>1690</v>
      </c>
      <c r="C368" s="608" t="s">
        <v>1652</v>
      </c>
      <c r="D368" s="599">
        <v>263.25</v>
      </c>
    </row>
    <row r="369" spans="1:6">
      <c r="A369" s="589">
        <v>460</v>
      </c>
      <c r="B369" s="596" t="s">
        <v>1691</v>
      </c>
      <c r="C369" s="588"/>
      <c r="D369" s="599"/>
      <c r="F369" s="585"/>
    </row>
    <row r="370" spans="1:6">
      <c r="A370" s="606">
        <v>46010</v>
      </c>
      <c r="B370" s="607" t="s">
        <v>1936</v>
      </c>
      <c r="C370" s="608" t="s">
        <v>1240</v>
      </c>
      <c r="D370" s="599">
        <v>6.34</v>
      </c>
    </row>
    <row r="371" spans="1:6">
      <c r="A371" s="606">
        <v>46011</v>
      </c>
      <c r="B371" s="607" t="s">
        <v>1937</v>
      </c>
      <c r="C371" s="608" t="s">
        <v>1240</v>
      </c>
      <c r="D371" s="599">
        <v>2.11</v>
      </c>
    </row>
    <row r="372" spans="1:6">
      <c r="A372" s="606">
        <v>46012</v>
      </c>
      <c r="B372" s="607" t="s">
        <v>1938</v>
      </c>
      <c r="C372" s="608" t="s">
        <v>1240</v>
      </c>
      <c r="D372" s="599">
        <v>2.95</v>
      </c>
    </row>
    <row r="373" spans="1:6">
      <c r="A373" s="606">
        <v>46099</v>
      </c>
      <c r="B373" s="607" t="s">
        <v>1691</v>
      </c>
      <c r="C373" s="608" t="s">
        <v>1652</v>
      </c>
      <c r="D373" s="599">
        <v>263.25</v>
      </c>
    </row>
    <row r="374" spans="1:6">
      <c r="A374" s="592">
        <v>470</v>
      </c>
      <c r="B374" s="592" t="s">
        <v>1939</v>
      </c>
      <c r="C374" s="612"/>
      <c r="D374" s="599"/>
      <c r="E374" s="611"/>
      <c r="F374" s="613"/>
    </row>
    <row r="375" spans="1:6">
      <c r="A375" s="606">
        <v>47010</v>
      </c>
      <c r="B375" s="607" t="s">
        <v>1940</v>
      </c>
      <c r="C375" s="608" t="s">
        <v>1240</v>
      </c>
      <c r="D375" s="599">
        <v>24.57</v>
      </c>
    </row>
    <row r="376" spans="1:6">
      <c r="A376" s="606">
        <v>47011</v>
      </c>
      <c r="B376" s="607" t="s">
        <v>1941</v>
      </c>
      <c r="C376" s="608" t="s">
        <v>1240</v>
      </c>
      <c r="D376" s="599">
        <v>7.8</v>
      </c>
    </row>
    <row r="377" spans="1:6">
      <c r="A377" s="606">
        <v>47012</v>
      </c>
      <c r="B377" s="607" t="s">
        <v>1942</v>
      </c>
      <c r="C377" s="608" t="s">
        <v>1240</v>
      </c>
      <c r="D377" s="599">
        <v>19.32</v>
      </c>
    </row>
    <row r="378" spans="1:6">
      <c r="A378" s="606">
        <v>47099</v>
      </c>
      <c r="B378" s="607" t="s">
        <v>1943</v>
      </c>
      <c r="C378" s="608" t="s">
        <v>1652</v>
      </c>
      <c r="D378" s="599">
        <v>263.25</v>
      </c>
    </row>
    <row r="379" spans="1:6">
      <c r="A379" s="589">
        <v>480</v>
      </c>
      <c r="B379" s="592" t="s">
        <v>1944</v>
      </c>
      <c r="C379" s="588"/>
      <c r="D379" s="599"/>
      <c r="E379" s="328"/>
      <c r="F379" s="614"/>
    </row>
    <row r="380" spans="1:6">
      <c r="A380" s="606">
        <v>48001</v>
      </c>
      <c r="B380" s="607" t="s">
        <v>1945</v>
      </c>
      <c r="C380" s="608" t="s">
        <v>1240</v>
      </c>
      <c r="D380" s="599">
        <v>163.11000000000001</v>
      </c>
    </row>
    <row r="381" spans="1:6">
      <c r="A381" s="606">
        <v>48010</v>
      </c>
      <c r="B381" s="607" t="s">
        <v>1946</v>
      </c>
      <c r="C381" s="608" t="s">
        <v>1240</v>
      </c>
      <c r="D381" s="599">
        <v>74.790000000000006</v>
      </c>
    </row>
    <row r="382" spans="1:6">
      <c r="A382" s="606">
        <v>48011</v>
      </c>
      <c r="B382" s="607" t="s">
        <v>1947</v>
      </c>
      <c r="C382" s="608" t="s">
        <v>1240</v>
      </c>
      <c r="D382" s="599">
        <v>83.85</v>
      </c>
    </row>
    <row r="383" spans="1:6">
      <c r="A383" s="606">
        <v>48015</v>
      </c>
      <c r="B383" s="607" t="s">
        <v>1948</v>
      </c>
      <c r="C383" s="608" t="s">
        <v>1240</v>
      </c>
      <c r="D383" s="599">
        <v>72.760000000000005</v>
      </c>
    </row>
    <row r="384" spans="1:6">
      <c r="A384" s="606">
        <v>48016</v>
      </c>
      <c r="B384" s="607" t="s">
        <v>1949</v>
      </c>
      <c r="C384" s="608" t="s">
        <v>1240</v>
      </c>
      <c r="D384" s="599">
        <v>20.52</v>
      </c>
    </row>
    <row r="385" spans="1:6">
      <c r="A385" s="606">
        <v>48017</v>
      </c>
      <c r="B385" s="607" t="s">
        <v>1950</v>
      </c>
      <c r="C385" s="608" t="s">
        <v>1240</v>
      </c>
      <c r="D385" s="599">
        <v>66.239999999999995</v>
      </c>
    </row>
    <row r="386" spans="1:6">
      <c r="A386" s="606">
        <v>48099</v>
      </c>
      <c r="B386" s="607" t="s">
        <v>1951</v>
      </c>
      <c r="C386" s="608" t="s">
        <v>1652</v>
      </c>
      <c r="D386" s="599">
        <v>263.25</v>
      </c>
    </row>
    <row r="387" spans="1:6">
      <c r="A387" s="589">
        <v>5</v>
      </c>
      <c r="B387" s="596" t="s">
        <v>164</v>
      </c>
      <c r="C387" s="588"/>
      <c r="D387" s="599"/>
      <c r="F387" s="585"/>
    </row>
    <row r="388" spans="1:6">
      <c r="A388" s="589">
        <v>501</v>
      </c>
      <c r="B388" s="596" t="s">
        <v>167</v>
      </c>
      <c r="C388" s="588"/>
      <c r="D388" s="599"/>
      <c r="F388" s="585"/>
    </row>
    <row r="389" spans="1:6">
      <c r="A389" s="606">
        <v>50101</v>
      </c>
      <c r="B389" s="607" t="s">
        <v>1952</v>
      </c>
      <c r="C389" s="608" t="s">
        <v>1615</v>
      </c>
      <c r="D389" s="599">
        <v>696.41</v>
      </c>
    </row>
    <row r="390" spans="1:6">
      <c r="A390" s="606">
        <v>50102</v>
      </c>
      <c r="B390" s="607" t="s">
        <v>1953</v>
      </c>
      <c r="C390" s="608" t="s">
        <v>1615</v>
      </c>
      <c r="D390" s="599">
        <v>725.08</v>
      </c>
    </row>
    <row r="391" spans="1:6">
      <c r="A391" s="606">
        <v>50104</v>
      </c>
      <c r="B391" s="607" t="s">
        <v>1954</v>
      </c>
      <c r="C391" s="608" t="s">
        <v>1615</v>
      </c>
      <c r="D391" s="599">
        <v>446.46</v>
      </c>
    </row>
    <row r="392" spans="1:6">
      <c r="A392" s="606">
        <v>50105</v>
      </c>
      <c r="B392" s="607" t="s">
        <v>1955</v>
      </c>
      <c r="C392" s="608" t="s">
        <v>1615</v>
      </c>
      <c r="D392" s="599">
        <v>455.06</v>
      </c>
    </row>
    <row r="393" spans="1:6">
      <c r="A393" s="606">
        <v>50106</v>
      </c>
      <c r="B393" s="607" t="s">
        <v>1956</v>
      </c>
      <c r="C393" s="608" t="s">
        <v>1615</v>
      </c>
      <c r="D393" s="599">
        <v>1009.74</v>
      </c>
    </row>
    <row r="394" spans="1:6">
      <c r="A394" s="606">
        <v>50107</v>
      </c>
      <c r="B394" s="607" t="s">
        <v>1957</v>
      </c>
      <c r="C394" s="608" t="s">
        <v>1615</v>
      </c>
      <c r="D394" s="599">
        <v>669.59</v>
      </c>
    </row>
    <row r="395" spans="1:6">
      <c r="A395" s="606">
        <v>50109</v>
      </c>
      <c r="B395" s="607" t="s">
        <v>1958</v>
      </c>
      <c r="C395" s="608" t="s">
        <v>1615</v>
      </c>
      <c r="D395" s="599">
        <v>522.42999999999995</v>
      </c>
    </row>
    <row r="396" spans="1:6">
      <c r="A396" s="606">
        <v>50110</v>
      </c>
      <c r="B396" s="607" t="s">
        <v>1959</v>
      </c>
      <c r="C396" s="608" t="s">
        <v>1615</v>
      </c>
      <c r="D396" s="599">
        <v>541.64</v>
      </c>
    </row>
    <row r="397" spans="1:6">
      <c r="A397" s="606">
        <v>50111</v>
      </c>
      <c r="B397" s="607" t="s">
        <v>1960</v>
      </c>
      <c r="C397" s="608" t="s">
        <v>1615</v>
      </c>
      <c r="D397" s="599">
        <v>566.67999999999995</v>
      </c>
    </row>
    <row r="398" spans="1:6">
      <c r="A398" s="606">
        <v>50112</v>
      </c>
      <c r="B398" s="607" t="s">
        <v>1961</v>
      </c>
      <c r="C398" s="608" t="s">
        <v>1615</v>
      </c>
      <c r="D398" s="599">
        <v>862.93</v>
      </c>
    </row>
    <row r="399" spans="1:6">
      <c r="A399" s="606">
        <v>50113</v>
      </c>
      <c r="B399" s="607" t="s">
        <v>1962</v>
      </c>
      <c r="C399" s="608" t="s">
        <v>1615</v>
      </c>
      <c r="D399" s="599">
        <v>527.77</v>
      </c>
    </row>
    <row r="400" spans="1:6">
      <c r="A400" s="606">
        <v>50114</v>
      </c>
      <c r="B400" s="607" t="s">
        <v>1963</v>
      </c>
      <c r="C400" s="608" t="s">
        <v>1615</v>
      </c>
      <c r="D400" s="599">
        <v>446.46</v>
      </c>
    </row>
    <row r="401" spans="1:4">
      <c r="A401" s="606">
        <v>50124</v>
      </c>
      <c r="B401" s="607" t="s">
        <v>1964</v>
      </c>
      <c r="C401" s="608" t="s">
        <v>1615</v>
      </c>
      <c r="D401" s="599">
        <v>712.59</v>
      </c>
    </row>
    <row r="402" spans="1:4">
      <c r="A402" s="606">
        <v>50125</v>
      </c>
      <c r="B402" s="607" t="s">
        <v>1965</v>
      </c>
      <c r="C402" s="608" t="s">
        <v>1615</v>
      </c>
      <c r="D402" s="599">
        <v>736.97</v>
      </c>
    </row>
    <row r="403" spans="1:4">
      <c r="A403" s="606">
        <v>50126</v>
      </c>
      <c r="B403" s="607" t="s">
        <v>1966</v>
      </c>
      <c r="C403" s="608" t="s">
        <v>1615</v>
      </c>
      <c r="D403" s="599">
        <v>772.52</v>
      </c>
    </row>
    <row r="404" spans="1:4">
      <c r="A404" s="606">
        <v>50127</v>
      </c>
      <c r="B404" s="607" t="s">
        <v>1967</v>
      </c>
      <c r="C404" s="608" t="s">
        <v>1615</v>
      </c>
      <c r="D404" s="599">
        <v>1077.83</v>
      </c>
    </row>
    <row r="405" spans="1:4">
      <c r="A405" s="606">
        <v>50128</v>
      </c>
      <c r="B405" s="607" t="s">
        <v>1968</v>
      </c>
      <c r="C405" s="608" t="s">
        <v>1615</v>
      </c>
      <c r="D405" s="599">
        <v>143.91</v>
      </c>
    </row>
    <row r="406" spans="1:4">
      <c r="A406" s="606">
        <v>50129</v>
      </c>
      <c r="B406" s="607" t="s">
        <v>1969</v>
      </c>
      <c r="C406" s="608" t="s">
        <v>1615</v>
      </c>
      <c r="D406" s="599">
        <v>378.94</v>
      </c>
    </row>
    <row r="407" spans="1:4">
      <c r="A407" s="606">
        <v>50136</v>
      </c>
      <c r="B407" s="607" t="s">
        <v>1970</v>
      </c>
      <c r="C407" s="608" t="s">
        <v>1615</v>
      </c>
      <c r="D407" s="599">
        <v>578.66</v>
      </c>
    </row>
    <row r="408" spans="1:4">
      <c r="A408" s="606">
        <v>50137</v>
      </c>
      <c r="B408" s="607" t="s">
        <v>1971</v>
      </c>
      <c r="C408" s="608" t="s">
        <v>1615</v>
      </c>
      <c r="D408" s="599">
        <v>599.76</v>
      </c>
    </row>
    <row r="409" spans="1:4">
      <c r="A409" s="606">
        <v>50144</v>
      </c>
      <c r="B409" s="607" t="s">
        <v>1972</v>
      </c>
      <c r="C409" s="608" t="s">
        <v>1615</v>
      </c>
      <c r="D409" s="599">
        <v>632.03</v>
      </c>
    </row>
    <row r="410" spans="1:4">
      <c r="A410" s="606">
        <v>50145</v>
      </c>
      <c r="B410" s="607" t="s">
        <v>1973</v>
      </c>
      <c r="C410" s="608" t="s">
        <v>1615</v>
      </c>
      <c r="D410" s="599">
        <v>949.97</v>
      </c>
    </row>
    <row r="411" spans="1:4">
      <c r="A411" s="606">
        <v>50146</v>
      </c>
      <c r="B411" s="607" t="s">
        <v>1974</v>
      </c>
      <c r="C411" s="608" t="s">
        <v>1615</v>
      </c>
      <c r="D411" s="599">
        <v>597.61</v>
      </c>
    </row>
    <row r="412" spans="1:4">
      <c r="A412" s="606">
        <v>50147</v>
      </c>
      <c r="B412" s="607" t="s">
        <v>1975</v>
      </c>
      <c r="C412" s="608" t="s">
        <v>1615</v>
      </c>
      <c r="D412" s="599">
        <v>601.24</v>
      </c>
    </row>
    <row r="413" spans="1:4">
      <c r="A413" s="606">
        <v>50148</v>
      </c>
      <c r="B413" s="607" t="s">
        <v>1976</v>
      </c>
      <c r="C413" s="608" t="s">
        <v>1615</v>
      </c>
      <c r="D413" s="599">
        <v>613.46</v>
      </c>
    </row>
    <row r="414" spans="1:4">
      <c r="A414" s="606">
        <v>50149</v>
      </c>
      <c r="B414" s="607" t="s">
        <v>1977</v>
      </c>
      <c r="C414" s="608" t="s">
        <v>1615</v>
      </c>
      <c r="D414" s="599">
        <v>816.4</v>
      </c>
    </row>
    <row r="415" spans="1:4">
      <c r="A415" s="606">
        <v>50150</v>
      </c>
      <c r="B415" s="607" t="s">
        <v>1978</v>
      </c>
      <c r="C415" s="608" t="s">
        <v>1615</v>
      </c>
      <c r="D415" s="599">
        <v>814.13</v>
      </c>
    </row>
    <row r="416" spans="1:4">
      <c r="A416" s="606">
        <v>50151</v>
      </c>
      <c r="B416" s="607" t="s">
        <v>1979</v>
      </c>
      <c r="C416" s="608" t="s">
        <v>1615</v>
      </c>
      <c r="D416" s="599">
        <v>827.58</v>
      </c>
    </row>
    <row r="417" spans="1:6">
      <c r="A417" s="606">
        <v>50162</v>
      </c>
      <c r="B417" s="607" t="s">
        <v>1980</v>
      </c>
      <c r="C417" s="608" t="s">
        <v>1615</v>
      </c>
      <c r="D417" s="599">
        <v>675.13</v>
      </c>
    </row>
    <row r="418" spans="1:6">
      <c r="A418" s="606">
        <v>50167</v>
      </c>
      <c r="B418" s="607" t="s">
        <v>1981</v>
      </c>
      <c r="C418" s="608" t="s">
        <v>1615</v>
      </c>
      <c r="D418" s="599">
        <v>944.49</v>
      </c>
    </row>
    <row r="419" spans="1:6">
      <c r="A419" s="606">
        <v>50168</v>
      </c>
      <c r="B419" s="607" t="s">
        <v>1982</v>
      </c>
      <c r="C419" s="608" t="s">
        <v>1615</v>
      </c>
      <c r="D419" s="599">
        <v>788.68</v>
      </c>
    </row>
    <row r="420" spans="1:6">
      <c r="A420" s="606">
        <v>50175</v>
      </c>
      <c r="B420" s="607" t="s">
        <v>1983</v>
      </c>
      <c r="C420" s="608" t="s">
        <v>1240</v>
      </c>
      <c r="D420" s="599">
        <v>59.15</v>
      </c>
    </row>
    <row r="421" spans="1:6">
      <c r="A421" s="606">
        <v>50190</v>
      </c>
      <c r="B421" s="607" t="s">
        <v>1984</v>
      </c>
      <c r="C421" s="608" t="s">
        <v>1615</v>
      </c>
      <c r="D421" s="599">
        <v>598.20000000000005</v>
      </c>
    </row>
    <row r="422" spans="1:6">
      <c r="A422" s="606">
        <v>50191</v>
      </c>
      <c r="B422" s="607" t="s">
        <v>1985</v>
      </c>
      <c r="C422" s="608" t="s">
        <v>1615</v>
      </c>
      <c r="D422" s="599">
        <v>603.98</v>
      </c>
    </row>
    <row r="423" spans="1:6">
      <c r="A423" s="606">
        <v>50192</v>
      </c>
      <c r="B423" s="607" t="s">
        <v>1986</v>
      </c>
      <c r="C423" s="608" t="s">
        <v>1615</v>
      </c>
      <c r="D423" s="599">
        <v>618.36</v>
      </c>
    </row>
    <row r="424" spans="1:6">
      <c r="A424" s="606">
        <v>50193</v>
      </c>
      <c r="B424" s="607" t="s">
        <v>1987</v>
      </c>
      <c r="C424" s="608" t="s">
        <v>1615</v>
      </c>
      <c r="D424" s="599">
        <v>827.77</v>
      </c>
    </row>
    <row r="425" spans="1:6">
      <c r="A425" s="606">
        <v>50194</v>
      </c>
      <c r="B425" s="607" t="s">
        <v>1988</v>
      </c>
      <c r="C425" s="608" t="s">
        <v>1615</v>
      </c>
      <c r="D425" s="599">
        <v>464.27</v>
      </c>
    </row>
    <row r="426" spans="1:6">
      <c r="A426" s="606">
        <v>50195</v>
      </c>
      <c r="B426" s="607" t="s">
        <v>1989</v>
      </c>
      <c r="C426" s="608" t="s">
        <v>1615</v>
      </c>
      <c r="D426" s="599">
        <v>466.77</v>
      </c>
    </row>
    <row r="427" spans="1:6">
      <c r="A427" s="606">
        <v>50196</v>
      </c>
      <c r="B427" s="607" t="s">
        <v>1990</v>
      </c>
      <c r="C427" s="608" t="s">
        <v>1615</v>
      </c>
      <c r="D427" s="599">
        <v>477.88</v>
      </c>
    </row>
    <row r="428" spans="1:6">
      <c r="A428" s="606">
        <v>50197</v>
      </c>
      <c r="B428" s="607" t="s">
        <v>1991</v>
      </c>
      <c r="C428" s="608" t="s">
        <v>1615</v>
      </c>
      <c r="D428" s="599">
        <v>699.92</v>
      </c>
    </row>
    <row r="429" spans="1:6">
      <c r="A429" s="606">
        <v>50198</v>
      </c>
      <c r="B429" s="607" t="s">
        <v>1992</v>
      </c>
      <c r="C429" s="608" t="s">
        <v>1615</v>
      </c>
      <c r="D429" s="599">
        <v>678.92</v>
      </c>
    </row>
    <row r="430" spans="1:6">
      <c r="A430" s="606">
        <v>50199</v>
      </c>
      <c r="B430" s="607" t="s">
        <v>1993</v>
      </c>
      <c r="C430" s="608" t="s">
        <v>1652</v>
      </c>
      <c r="D430" s="599">
        <v>263.25</v>
      </c>
    </row>
    <row r="431" spans="1:6">
      <c r="A431" s="589">
        <v>502</v>
      </c>
      <c r="B431" s="596" t="s">
        <v>1250</v>
      </c>
      <c r="C431" s="588"/>
      <c r="D431" s="599"/>
      <c r="F431" s="585"/>
    </row>
    <row r="432" spans="1:6">
      <c r="A432" s="606">
        <v>50201</v>
      </c>
      <c r="B432" s="607" t="s">
        <v>1994</v>
      </c>
      <c r="C432" s="608" t="s">
        <v>1615</v>
      </c>
      <c r="D432" s="599">
        <v>423.5</v>
      </c>
    </row>
    <row r="433" spans="1:6">
      <c r="A433" s="606">
        <v>50299</v>
      </c>
      <c r="B433" s="607" t="s">
        <v>1993</v>
      </c>
      <c r="C433" s="608" t="s">
        <v>1652</v>
      </c>
      <c r="D433" s="599">
        <v>263.25</v>
      </c>
    </row>
    <row r="434" spans="1:6">
      <c r="A434" s="589">
        <v>503</v>
      </c>
      <c r="B434" s="596" t="s">
        <v>1995</v>
      </c>
      <c r="C434" s="588"/>
      <c r="D434" s="599"/>
      <c r="F434" s="585"/>
    </row>
    <row r="435" spans="1:6">
      <c r="A435" s="606">
        <v>50399</v>
      </c>
      <c r="B435" s="607" t="s">
        <v>1996</v>
      </c>
      <c r="C435" s="608" t="s">
        <v>1652</v>
      </c>
      <c r="D435" s="599">
        <v>263.25</v>
      </c>
    </row>
    <row r="436" spans="1:6">
      <c r="A436" s="589">
        <v>504</v>
      </c>
      <c r="B436" s="596" t="s">
        <v>1997</v>
      </c>
      <c r="C436" s="588"/>
      <c r="D436" s="599"/>
      <c r="F436" s="585"/>
    </row>
    <row r="437" spans="1:6">
      <c r="A437" s="606">
        <v>50499</v>
      </c>
      <c r="B437" s="607" t="s">
        <v>1997</v>
      </c>
      <c r="C437" s="608" t="s">
        <v>1652</v>
      </c>
      <c r="D437" s="599">
        <v>263.25</v>
      </c>
    </row>
    <row r="438" spans="1:6">
      <c r="A438" s="589">
        <v>505</v>
      </c>
      <c r="B438" s="596" t="s">
        <v>184</v>
      </c>
      <c r="C438" s="588"/>
      <c r="D438" s="599"/>
      <c r="F438" s="585"/>
    </row>
    <row r="439" spans="1:6">
      <c r="A439" s="606">
        <v>50534</v>
      </c>
      <c r="B439" s="607" t="s">
        <v>1998</v>
      </c>
      <c r="C439" s="608" t="s">
        <v>1659</v>
      </c>
      <c r="D439" s="599">
        <v>299.33999999999997</v>
      </c>
    </row>
    <row r="440" spans="1:6">
      <c r="A440" s="606">
        <v>50546</v>
      </c>
      <c r="B440" s="607" t="s">
        <v>1999</v>
      </c>
      <c r="C440" s="608" t="s">
        <v>1615</v>
      </c>
      <c r="D440" s="599">
        <v>5863.85</v>
      </c>
    </row>
    <row r="441" spans="1:6">
      <c r="A441" s="606">
        <v>50548</v>
      </c>
      <c r="B441" s="607" t="s">
        <v>2000</v>
      </c>
      <c r="C441" s="608" t="s">
        <v>1615</v>
      </c>
      <c r="D441" s="599">
        <v>5176.99</v>
      </c>
    </row>
    <row r="442" spans="1:6">
      <c r="A442" s="606">
        <v>50564</v>
      </c>
      <c r="B442" s="607" t="s">
        <v>2001</v>
      </c>
      <c r="C442" s="608" t="s">
        <v>1659</v>
      </c>
      <c r="D442" s="599">
        <v>124.11</v>
      </c>
    </row>
    <row r="443" spans="1:6">
      <c r="A443" s="606">
        <v>50567</v>
      </c>
      <c r="B443" s="607" t="s">
        <v>2002</v>
      </c>
      <c r="C443" s="608" t="s">
        <v>1659</v>
      </c>
      <c r="D443" s="599">
        <v>355.8</v>
      </c>
    </row>
    <row r="444" spans="1:6">
      <c r="A444" s="606">
        <v>50572</v>
      </c>
      <c r="B444" s="607" t="s">
        <v>2003</v>
      </c>
      <c r="C444" s="608" t="s">
        <v>1659</v>
      </c>
      <c r="D444" s="599">
        <v>49.68</v>
      </c>
    </row>
    <row r="445" spans="1:6">
      <c r="A445" s="606">
        <v>50573</v>
      </c>
      <c r="B445" s="607" t="s">
        <v>2004</v>
      </c>
      <c r="C445" s="608" t="s">
        <v>1659</v>
      </c>
      <c r="D445" s="599">
        <v>58.73</v>
      </c>
    </row>
    <row r="446" spans="1:6">
      <c r="A446" s="606">
        <v>50575</v>
      </c>
      <c r="B446" s="607" t="s">
        <v>2005</v>
      </c>
      <c r="C446" s="608" t="s">
        <v>1659</v>
      </c>
      <c r="D446" s="599">
        <v>433.44</v>
      </c>
    </row>
    <row r="447" spans="1:6">
      <c r="A447" s="606">
        <v>50578</v>
      </c>
      <c r="B447" s="607" t="s">
        <v>2006</v>
      </c>
      <c r="C447" s="608" t="s">
        <v>1615</v>
      </c>
      <c r="D447" s="599">
        <v>1720.5</v>
      </c>
    </row>
    <row r="448" spans="1:6">
      <c r="A448" s="606">
        <v>50579</v>
      </c>
      <c r="B448" s="607" t="s">
        <v>2007</v>
      </c>
      <c r="C448" s="608" t="s">
        <v>1659</v>
      </c>
      <c r="D448" s="599">
        <v>534.76</v>
      </c>
    </row>
    <row r="449" spans="1:6">
      <c r="A449" s="606">
        <v>50580</v>
      </c>
      <c r="B449" s="607" t="s">
        <v>2008</v>
      </c>
      <c r="C449" s="608" t="s">
        <v>1659</v>
      </c>
      <c r="D449" s="599">
        <v>32.47</v>
      </c>
    </row>
    <row r="450" spans="1:6">
      <c r="A450" s="606">
        <v>50583</v>
      </c>
      <c r="B450" s="607" t="s">
        <v>2009</v>
      </c>
      <c r="C450" s="608" t="s">
        <v>1615</v>
      </c>
      <c r="D450" s="599">
        <v>1240.8599999999999</v>
      </c>
    </row>
    <row r="451" spans="1:6">
      <c r="A451" s="606">
        <v>50585</v>
      </c>
      <c r="B451" s="607" t="s">
        <v>2010</v>
      </c>
      <c r="C451" s="608" t="s">
        <v>1615</v>
      </c>
      <c r="D451" s="599">
        <v>5453.16</v>
      </c>
    </row>
    <row r="452" spans="1:6">
      <c r="A452" s="606">
        <v>50587</v>
      </c>
      <c r="B452" s="607" t="s">
        <v>2011</v>
      </c>
      <c r="C452" s="608" t="s">
        <v>1615</v>
      </c>
      <c r="D452" s="599">
        <v>1625.59</v>
      </c>
    </row>
    <row r="453" spans="1:6">
      <c r="A453" s="606">
        <v>50588</v>
      </c>
      <c r="B453" s="607" t="s">
        <v>2012</v>
      </c>
      <c r="C453" s="608" t="s">
        <v>1615</v>
      </c>
      <c r="D453" s="599">
        <v>1743.06</v>
      </c>
    </row>
    <row r="454" spans="1:6">
      <c r="A454" s="606">
        <v>50589</v>
      </c>
      <c r="B454" s="607" t="s">
        <v>2013</v>
      </c>
      <c r="C454" s="608" t="s">
        <v>1615</v>
      </c>
      <c r="D454" s="599">
        <v>6078.28</v>
      </c>
    </row>
    <row r="455" spans="1:6">
      <c r="A455" s="606">
        <v>50590</v>
      </c>
      <c r="B455" s="607" t="s">
        <v>2014</v>
      </c>
      <c r="C455" s="608" t="s">
        <v>1615</v>
      </c>
      <c r="D455" s="599">
        <v>640.17999999999995</v>
      </c>
    </row>
    <row r="456" spans="1:6">
      <c r="A456" s="606">
        <v>50591</v>
      </c>
      <c r="B456" s="607" t="s">
        <v>2015</v>
      </c>
      <c r="C456" s="608" t="s">
        <v>1615</v>
      </c>
      <c r="D456" s="599">
        <v>2779.99</v>
      </c>
    </row>
    <row r="457" spans="1:6">
      <c r="A457" s="606">
        <v>50593</v>
      </c>
      <c r="B457" s="607" t="s">
        <v>2016</v>
      </c>
      <c r="C457" s="608" t="s">
        <v>1615</v>
      </c>
      <c r="D457" s="599">
        <v>1719.83</v>
      </c>
    </row>
    <row r="458" spans="1:6">
      <c r="A458" s="606">
        <v>50594</v>
      </c>
      <c r="B458" s="607" t="s">
        <v>2017</v>
      </c>
      <c r="C458" s="608" t="s">
        <v>1615</v>
      </c>
      <c r="D458" s="599">
        <v>3619.21</v>
      </c>
    </row>
    <row r="459" spans="1:6">
      <c r="A459" s="606">
        <v>50595</v>
      </c>
      <c r="B459" s="607" t="s">
        <v>2018</v>
      </c>
      <c r="C459" s="608" t="s">
        <v>1615</v>
      </c>
      <c r="D459" s="599">
        <v>2462.33</v>
      </c>
    </row>
    <row r="460" spans="1:6">
      <c r="A460" s="606">
        <v>50599</v>
      </c>
      <c r="B460" s="607" t="s">
        <v>2019</v>
      </c>
      <c r="C460" s="608" t="s">
        <v>1652</v>
      </c>
      <c r="D460" s="599">
        <v>263.25</v>
      </c>
    </row>
    <row r="461" spans="1:6">
      <c r="A461" s="589">
        <v>506</v>
      </c>
      <c r="B461" s="596" t="s">
        <v>2020</v>
      </c>
      <c r="C461" s="588"/>
      <c r="D461" s="599"/>
      <c r="F461" s="585"/>
    </row>
    <row r="462" spans="1:6">
      <c r="A462" s="606">
        <v>50610</v>
      </c>
      <c r="B462" s="607" t="s">
        <v>2021</v>
      </c>
      <c r="C462" s="608" t="s">
        <v>1659</v>
      </c>
      <c r="D462" s="599">
        <v>33.47</v>
      </c>
    </row>
    <row r="463" spans="1:6">
      <c r="A463" s="606">
        <v>50622</v>
      </c>
      <c r="B463" s="607" t="s">
        <v>2022</v>
      </c>
      <c r="C463" s="608" t="s">
        <v>1240</v>
      </c>
      <c r="D463" s="599">
        <v>49.96</v>
      </c>
    </row>
    <row r="464" spans="1:6">
      <c r="A464" s="606">
        <v>50651</v>
      </c>
      <c r="B464" s="607" t="s">
        <v>2023</v>
      </c>
      <c r="C464" s="608" t="s">
        <v>1240</v>
      </c>
      <c r="D464" s="599">
        <v>729.92</v>
      </c>
    </row>
    <row r="465" spans="1:6">
      <c r="A465" s="606">
        <v>50652</v>
      </c>
      <c r="B465" s="607" t="s">
        <v>2024</v>
      </c>
      <c r="C465" s="608" t="s">
        <v>1240</v>
      </c>
      <c r="D465" s="599">
        <v>229.35</v>
      </c>
    </row>
    <row r="466" spans="1:6">
      <c r="A466" s="606">
        <v>50653</v>
      </c>
      <c r="B466" s="607" t="s">
        <v>2025</v>
      </c>
      <c r="C466" s="608" t="s">
        <v>1240</v>
      </c>
      <c r="D466" s="599">
        <v>105.31</v>
      </c>
    </row>
    <row r="467" spans="1:6">
      <c r="A467" s="606">
        <v>50661</v>
      </c>
      <c r="B467" s="607" t="s">
        <v>2026</v>
      </c>
      <c r="C467" s="608" t="s">
        <v>1615</v>
      </c>
      <c r="D467" s="599">
        <v>43.76</v>
      </c>
    </row>
    <row r="468" spans="1:6">
      <c r="A468" s="606">
        <v>50699</v>
      </c>
      <c r="B468" s="607" t="s">
        <v>2019</v>
      </c>
      <c r="C468" s="608" t="s">
        <v>1652</v>
      </c>
      <c r="D468" s="599">
        <v>263.25</v>
      </c>
    </row>
    <row r="469" spans="1:6">
      <c r="A469" s="615">
        <v>550</v>
      </c>
      <c r="B469" s="596" t="s">
        <v>1690</v>
      </c>
      <c r="C469" s="588"/>
      <c r="D469" s="599"/>
      <c r="F469" s="585"/>
    </row>
    <row r="470" spans="1:6">
      <c r="A470" s="606">
        <v>55015</v>
      </c>
      <c r="B470" s="607" t="s">
        <v>2027</v>
      </c>
      <c r="C470" s="608" t="s">
        <v>1240</v>
      </c>
      <c r="D470" s="599">
        <v>2.67</v>
      </c>
    </row>
    <row r="471" spans="1:6">
      <c r="A471" s="606">
        <v>55099</v>
      </c>
      <c r="B471" s="607" t="s">
        <v>1690</v>
      </c>
      <c r="C471" s="608" t="s">
        <v>1652</v>
      </c>
      <c r="D471" s="599">
        <v>263.25</v>
      </c>
    </row>
    <row r="472" spans="1:6">
      <c r="A472" s="589">
        <v>560</v>
      </c>
      <c r="B472" s="596" t="s">
        <v>1691</v>
      </c>
      <c r="C472" s="588"/>
      <c r="D472" s="599"/>
      <c r="F472" s="585"/>
    </row>
    <row r="473" spans="1:6">
      <c r="A473" s="606">
        <v>56001</v>
      </c>
      <c r="B473" s="607" t="s">
        <v>2028</v>
      </c>
      <c r="C473" s="608" t="s">
        <v>1615</v>
      </c>
      <c r="D473" s="599">
        <v>5.28</v>
      </c>
    </row>
    <row r="474" spans="1:6">
      <c r="A474" s="606">
        <v>56005</v>
      </c>
      <c r="B474" s="607" t="s">
        <v>2029</v>
      </c>
      <c r="C474" s="608" t="s">
        <v>1615</v>
      </c>
      <c r="D474" s="599">
        <v>23.39</v>
      </c>
    </row>
    <row r="475" spans="1:6">
      <c r="A475" s="606">
        <v>56010</v>
      </c>
      <c r="B475" s="607" t="s">
        <v>2030</v>
      </c>
      <c r="C475" s="608" t="s">
        <v>1659</v>
      </c>
      <c r="D475" s="599">
        <v>0.73</v>
      </c>
    </row>
    <row r="476" spans="1:6">
      <c r="A476" s="606">
        <v>56017</v>
      </c>
      <c r="B476" s="607" t="s">
        <v>2031</v>
      </c>
      <c r="C476" s="608" t="s">
        <v>1659</v>
      </c>
      <c r="D476" s="599">
        <v>4.22</v>
      </c>
    </row>
    <row r="477" spans="1:6">
      <c r="A477" s="606">
        <v>56050</v>
      </c>
      <c r="B477" s="607" t="s">
        <v>2032</v>
      </c>
      <c r="C477" s="608" t="s">
        <v>1615</v>
      </c>
      <c r="D477" s="599">
        <v>5.28</v>
      </c>
    </row>
    <row r="478" spans="1:6">
      <c r="A478" s="606">
        <v>56055</v>
      </c>
      <c r="B478" s="607" t="s">
        <v>2033</v>
      </c>
      <c r="C478" s="608" t="s">
        <v>1615</v>
      </c>
      <c r="D478" s="599">
        <v>2.11</v>
      </c>
    </row>
    <row r="479" spans="1:6">
      <c r="A479" s="606">
        <v>56060</v>
      </c>
      <c r="B479" s="607" t="s">
        <v>2034</v>
      </c>
      <c r="C479" s="608" t="s">
        <v>1615</v>
      </c>
      <c r="D479" s="599">
        <v>2.11</v>
      </c>
    </row>
    <row r="480" spans="1:6">
      <c r="A480" s="606">
        <v>56099</v>
      </c>
      <c r="B480" s="607" t="s">
        <v>1691</v>
      </c>
      <c r="C480" s="608" t="s">
        <v>1652</v>
      </c>
      <c r="D480" s="599">
        <v>263.25</v>
      </c>
    </row>
    <row r="481" spans="1:6">
      <c r="A481" s="589">
        <v>570</v>
      </c>
      <c r="B481" s="596" t="s">
        <v>2035</v>
      </c>
      <c r="C481" s="588"/>
      <c r="D481" s="599"/>
      <c r="F481" s="585"/>
    </row>
    <row r="482" spans="1:6">
      <c r="A482" s="606">
        <v>57001</v>
      </c>
      <c r="B482" s="607" t="s">
        <v>2036</v>
      </c>
      <c r="C482" s="608" t="s">
        <v>1615</v>
      </c>
      <c r="D482" s="599">
        <v>42.95</v>
      </c>
    </row>
    <row r="483" spans="1:6">
      <c r="A483" s="606">
        <v>57005</v>
      </c>
      <c r="B483" s="607" t="s">
        <v>2029</v>
      </c>
      <c r="C483" s="608" t="s">
        <v>1615</v>
      </c>
      <c r="D483" s="599">
        <v>26.49</v>
      </c>
    </row>
    <row r="484" spans="1:6">
      <c r="A484" s="606">
        <v>57010</v>
      </c>
      <c r="B484" s="607" t="s">
        <v>2030</v>
      </c>
      <c r="C484" s="608" t="s">
        <v>1659</v>
      </c>
      <c r="D484" s="599">
        <v>0.97</v>
      </c>
    </row>
    <row r="485" spans="1:6">
      <c r="A485" s="606">
        <v>57013</v>
      </c>
      <c r="B485" s="607" t="s">
        <v>2037</v>
      </c>
      <c r="C485" s="608" t="s">
        <v>1659</v>
      </c>
      <c r="D485" s="599">
        <v>10.42</v>
      </c>
    </row>
    <row r="486" spans="1:6">
      <c r="A486" s="606">
        <v>57015</v>
      </c>
      <c r="B486" s="607" t="s">
        <v>2032</v>
      </c>
      <c r="C486" s="608" t="s">
        <v>1615</v>
      </c>
      <c r="D486" s="599">
        <v>31.04</v>
      </c>
    </row>
    <row r="487" spans="1:6" ht="26.4">
      <c r="A487" s="606">
        <v>57016</v>
      </c>
      <c r="B487" s="607" t="s">
        <v>2038</v>
      </c>
      <c r="C487" s="608" t="s">
        <v>1615</v>
      </c>
      <c r="D487" s="599">
        <v>25.18</v>
      </c>
    </row>
    <row r="488" spans="1:6">
      <c r="A488" s="606">
        <v>57017</v>
      </c>
      <c r="B488" s="607" t="s">
        <v>2034</v>
      </c>
      <c r="C488" s="608" t="s">
        <v>1615</v>
      </c>
      <c r="D488" s="599">
        <v>3.31</v>
      </c>
    </row>
    <row r="489" spans="1:6">
      <c r="A489" s="606">
        <v>57099</v>
      </c>
      <c r="B489" s="607" t="s">
        <v>2039</v>
      </c>
      <c r="C489" s="608" t="s">
        <v>1652</v>
      </c>
      <c r="D489" s="599">
        <v>263.25</v>
      </c>
    </row>
    <row r="490" spans="1:6">
      <c r="A490" s="589">
        <v>580</v>
      </c>
      <c r="B490" s="596" t="s">
        <v>2040</v>
      </c>
      <c r="C490" s="588"/>
      <c r="D490" s="599"/>
      <c r="F490" s="585"/>
    </row>
    <row r="491" spans="1:6">
      <c r="A491" s="606">
        <v>58001</v>
      </c>
      <c r="B491" s="607" t="s">
        <v>2041</v>
      </c>
      <c r="C491" s="608" t="s">
        <v>1240</v>
      </c>
      <c r="D491" s="599">
        <v>77.09</v>
      </c>
    </row>
    <row r="492" spans="1:6">
      <c r="A492" s="606">
        <v>58002</v>
      </c>
      <c r="B492" s="607" t="s">
        <v>2042</v>
      </c>
      <c r="C492" s="608" t="s">
        <v>1240</v>
      </c>
      <c r="D492" s="599">
        <v>198.25</v>
      </c>
    </row>
    <row r="493" spans="1:6">
      <c r="A493" s="606">
        <v>58003</v>
      </c>
      <c r="B493" s="607" t="s">
        <v>2043</v>
      </c>
      <c r="C493" s="608" t="s">
        <v>1240</v>
      </c>
      <c r="D493" s="599">
        <v>233.74</v>
      </c>
    </row>
    <row r="494" spans="1:6">
      <c r="A494" s="606">
        <v>58004</v>
      </c>
      <c r="B494" s="607" t="s">
        <v>2044</v>
      </c>
      <c r="C494" s="608" t="s">
        <v>1240</v>
      </c>
      <c r="D494" s="599">
        <v>157.53</v>
      </c>
    </row>
    <row r="495" spans="1:6">
      <c r="A495" s="606">
        <v>58005</v>
      </c>
      <c r="B495" s="607" t="s">
        <v>2045</v>
      </c>
      <c r="C495" s="608" t="s">
        <v>1240</v>
      </c>
      <c r="D495" s="599">
        <v>234.1</v>
      </c>
    </row>
    <row r="496" spans="1:6">
      <c r="A496" s="606">
        <v>58006</v>
      </c>
      <c r="B496" s="607" t="s">
        <v>2046</v>
      </c>
      <c r="C496" s="608" t="s">
        <v>1240</v>
      </c>
      <c r="D496" s="599">
        <v>236.71</v>
      </c>
    </row>
    <row r="497" spans="1:4">
      <c r="A497" s="606">
        <v>58011</v>
      </c>
      <c r="B497" s="607" t="s">
        <v>2047</v>
      </c>
      <c r="C497" s="608" t="s">
        <v>1240</v>
      </c>
      <c r="D497" s="599">
        <v>249.38</v>
      </c>
    </row>
    <row r="498" spans="1:4">
      <c r="A498" s="606">
        <v>58015</v>
      </c>
      <c r="B498" s="607" t="s">
        <v>2048</v>
      </c>
      <c r="C498" s="608" t="s">
        <v>1240</v>
      </c>
      <c r="D498" s="599">
        <v>69.58</v>
      </c>
    </row>
    <row r="499" spans="1:4">
      <c r="A499" s="606">
        <v>58020</v>
      </c>
      <c r="B499" s="607" t="s">
        <v>2049</v>
      </c>
      <c r="C499" s="608" t="s">
        <v>2050</v>
      </c>
      <c r="D499" s="599">
        <v>91.77</v>
      </c>
    </row>
    <row r="500" spans="1:4">
      <c r="A500" s="606">
        <v>58021</v>
      </c>
      <c r="B500" s="607" t="s">
        <v>2051</v>
      </c>
      <c r="C500" s="608" t="s">
        <v>2050</v>
      </c>
      <c r="D500" s="599">
        <v>92.17</v>
      </c>
    </row>
    <row r="501" spans="1:4">
      <c r="A501" s="606">
        <v>58022</v>
      </c>
      <c r="B501" s="607" t="s">
        <v>2052</v>
      </c>
      <c r="C501" s="608" t="s">
        <v>2050</v>
      </c>
      <c r="D501" s="599">
        <v>127.87</v>
      </c>
    </row>
    <row r="502" spans="1:4">
      <c r="A502" s="606">
        <v>58023</v>
      </c>
      <c r="B502" s="607" t="s">
        <v>2053</v>
      </c>
      <c r="C502" s="608" t="s">
        <v>2050</v>
      </c>
      <c r="D502" s="599">
        <v>128.38999999999999</v>
      </c>
    </row>
    <row r="503" spans="1:4">
      <c r="A503" s="606">
        <v>58025</v>
      </c>
      <c r="B503" s="607" t="s">
        <v>2054</v>
      </c>
      <c r="C503" s="608" t="s">
        <v>2050</v>
      </c>
      <c r="D503" s="599">
        <v>111.91</v>
      </c>
    </row>
    <row r="504" spans="1:4">
      <c r="A504" s="606">
        <v>58026</v>
      </c>
      <c r="B504" s="607" t="s">
        <v>2055</v>
      </c>
      <c r="C504" s="608" t="s">
        <v>1659</v>
      </c>
      <c r="D504" s="599">
        <v>21.72</v>
      </c>
    </row>
    <row r="505" spans="1:4">
      <c r="A505" s="606">
        <v>58028</v>
      </c>
      <c r="B505" s="607" t="s">
        <v>2056</v>
      </c>
      <c r="C505" s="608" t="s">
        <v>1659</v>
      </c>
      <c r="D505" s="599">
        <v>24.61</v>
      </c>
    </row>
    <row r="506" spans="1:4">
      <c r="A506" s="606">
        <v>58030</v>
      </c>
      <c r="B506" s="607" t="s">
        <v>2057</v>
      </c>
      <c r="C506" s="608" t="s">
        <v>1659</v>
      </c>
      <c r="D506" s="599">
        <v>38.61</v>
      </c>
    </row>
    <row r="507" spans="1:4">
      <c r="A507" s="606">
        <v>58033</v>
      </c>
      <c r="B507" s="607" t="s">
        <v>2058</v>
      </c>
      <c r="C507" s="608" t="s">
        <v>1659</v>
      </c>
      <c r="D507" s="599">
        <v>38.61</v>
      </c>
    </row>
    <row r="508" spans="1:4">
      <c r="A508" s="606">
        <v>58034</v>
      </c>
      <c r="B508" s="607" t="s">
        <v>2059</v>
      </c>
      <c r="C508" s="608" t="s">
        <v>1659</v>
      </c>
      <c r="D508" s="599">
        <v>42.07</v>
      </c>
    </row>
    <row r="509" spans="1:4">
      <c r="A509" s="606">
        <v>58035</v>
      </c>
      <c r="B509" s="607" t="s">
        <v>2060</v>
      </c>
      <c r="C509" s="608" t="s">
        <v>2050</v>
      </c>
      <c r="D509" s="599">
        <v>12.05</v>
      </c>
    </row>
    <row r="510" spans="1:4">
      <c r="A510" s="606">
        <v>58036</v>
      </c>
      <c r="B510" s="607" t="s">
        <v>2061</v>
      </c>
      <c r="C510" s="608" t="s">
        <v>2050</v>
      </c>
      <c r="D510" s="599">
        <v>17.32</v>
      </c>
    </row>
    <row r="511" spans="1:4">
      <c r="A511" s="606">
        <v>58037</v>
      </c>
      <c r="B511" s="607" t="s">
        <v>2062</v>
      </c>
      <c r="C511" s="608" t="s">
        <v>1659</v>
      </c>
      <c r="D511" s="599">
        <v>4.6399999999999997</v>
      </c>
    </row>
    <row r="512" spans="1:4">
      <c r="A512" s="606">
        <v>58038</v>
      </c>
      <c r="B512" s="607" t="s">
        <v>2063</v>
      </c>
      <c r="C512" s="608" t="s">
        <v>1659</v>
      </c>
      <c r="D512" s="599">
        <v>5.95</v>
      </c>
    </row>
    <row r="513" spans="1:4">
      <c r="A513" s="606">
        <v>58039</v>
      </c>
      <c r="B513" s="607" t="s">
        <v>2064</v>
      </c>
      <c r="C513" s="608" t="s">
        <v>1659</v>
      </c>
      <c r="D513" s="599">
        <v>9.92</v>
      </c>
    </row>
    <row r="514" spans="1:4">
      <c r="A514" s="606">
        <v>58040</v>
      </c>
      <c r="B514" s="607" t="s">
        <v>2065</v>
      </c>
      <c r="C514" s="608" t="s">
        <v>1659</v>
      </c>
      <c r="D514" s="599">
        <v>16.440000000000001</v>
      </c>
    </row>
    <row r="515" spans="1:4">
      <c r="A515" s="606">
        <v>58041</v>
      </c>
      <c r="B515" s="607" t="s">
        <v>2066</v>
      </c>
      <c r="C515" s="608" t="s">
        <v>1659</v>
      </c>
      <c r="D515" s="599">
        <v>97.83</v>
      </c>
    </row>
    <row r="516" spans="1:4">
      <c r="A516" s="606">
        <v>58042</v>
      </c>
      <c r="B516" s="607" t="s">
        <v>2067</v>
      </c>
      <c r="C516" s="608" t="s">
        <v>1615</v>
      </c>
      <c r="D516" s="599">
        <v>944.88</v>
      </c>
    </row>
    <row r="517" spans="1:4">
      <c r="A517" s="606">
        <v>58043</v>
      </c>
      <c r="B517" s="607" t="s">
        <v>2068</v>
      </c>
      <c r="C517" s="608" t="s">
        <v>1240</v>
      </c>
      <c r="D517" s="599">
        <v>59.78</v>
      </c>
    </row>
    <row r="518" spans="1:4">
      <c r="A518" s="606">
        <v>58044</v>
      </c>
      <c r="B518" s="607" t="s">
        <v>2069</v>
      </c>
      <c r="C518" s="608" t="s">
        <v>1615</v>
      </c>
      <c r="D518" s="599">
        <v>499.98</v>
      </c>
    </row>
    <row r="519" spans="1:4">
      <c r="A519" s="606">
        <v>58045</v>
      </c>
      <c r="B519" s="607" t="s">
        <v>2070</v>
      </c>
      <c r="C519" s="608" t="s">
        <v>1615</v>
      </c>
      <c r="D519" s="599">
        <v>821.11</v>
      </c>
    </row>
    <row r="520" spans="1:4">
      <c r="A520" s="606">
        <v>58046</v>
      </c>
      <c r="B520" s="607" t="s">
        <v>2071</v>
      </c>
      <c r="C520" s="608" t="s">
        <v>1240</v>
      </c>
      <c r="D520" s="599">
        <v>180.13</v>
      </c>
    </row>
    <row r="521" spans="1:4">
      <c r="A521" s="606">
        <v>58047</v>
      </c>
      <c r="B521" s="607" t="s">
        <v>2072</v>
      </c>
      <c r="C521" s="608" t="s">
        <v>1240</v>
      </c>
      <c r="D521" s="599">
        <v>141.77000000000001</v>
      </c>
    </row>
    <row r="522" spans="1:4">
      <c r="A522" s="606">
        <v>58048</v>
      </c>
      <c r="B522" s="607" t="s">
        <v>2073</v>
      </c>
      <c r="C522" s="608" t="s">
        <v>1659</v>
      </c>
      <c r="D522" s="599">
        <v>49.68</v>
      </c>
    </row>
    <row r="523" spans="1:4">
      <c r="A523" s="606">
        <v>58049</v>
      </c>
      <c r="B523" s="607" t="s">
        <v>2074</v>
      </c>
      <c r="C523" s="608" t="s">
        <v>1659</v>
      </c>
      <c r="D523" s="599">
        <v>58.73</v>
      </c>
    </row>
    <row r="524" spans="1:4">
      <c r="A524" s="606">
        <v>58070</v>
      </c>
      <c r="B524" s="607" t="s">
        <v>2075</v>
      </c>
      <c r="C524" s="608" t="s">
        <v>2076</v>
      </c>
      <c r="D524" s="599">
        <v>144.85</v>
      </c>
    </row>
    <row r="525" spans="1:4">
      <c r="A525" s="606">
        <v>58071</v>
      </c>
      <c r="B525" s="607" t="s">
        <v>2077</v>
      </c>
      <c r="C525" s="608" t="s">
        <v>2076</v>
      </c>
      <c r="D525" s="599">
        <v>81.38</v>
      </c>
    </row>
    <row r="526" spans="1:4">
      <c r="A526" s="606">
        <v>58072</v>
      </c>
      <c r="B526" s="607" t="s">
        <v>2078</v>
      </c>
      <c r="C526" s="608" t="s">
        <v>2076</v>
      </c>
      <c r="D526" s="599">
        <v>62.39</v>
      </c>
    </row>
    <row r="527" spans="1:4">
      <c r="A527" s="606">
        <v>58073</v>
      </c>
      <c r="B527" s="607" t="s">
        <v>2079</v>
      </c>
      <c r="C527" s="608" t="s">
        <v>1615</v>
      </c>
      <c r="D527" s="599">
        <v>94.16</v>
      </c>
    </row>
    <row r="528" spans="1:4">
      <c r="A528" s="606">
        <v>58080</v>
      </c>
      <c r="B528" s="607" t="s">
        <v>2080</v>
      </c>
      <c r="C528" s="608" t="s">
        <v>1615</v>
      </c>
      <c r="D528" s="599">
        <v>12.66</v>
      </c>
    </row>
    <row r="529" spans="1:6">
      <c r="A529" s="606">
        <v>58081</v>
      </c>
      <c r="B529" s="607" t="s">
        <v>2081</v>
      </c>
      <c r="C529" s="608" t="s">
        <v>1615</v>
      </c>
      <c r="D529" s="599">
        <v>8.3800000000000008</v>
      </c>
    </row>
    <row r="530" spans="1:6">
      <c r="A530" s="606">
        <v>58082</v>
      </c>
      <c r="B530" s="607" t="s">
        <v>2082</v>
      </c>
      <c r="C530" s="608" t="s">
        <v>1615</v>
      </c>
      <c r="D530" s="599">
        <v>11.28</v>
      </c>
    </row>
    <row r="531" spans="1:6">
      <c r="A531" s="606">
        <v>58083</v>
      </c>
      <c r="B531" s="607" t="s">
        <v>2083</v>
      </c>
      <c r="C531" s="608" t="s">
        <v>1615</v>
      </c>
      <c r="D531" s="599">
        <v>11.28</v>
      </c>
    </row>
    <row r="532" spans="1:6">
      <c r="A532" s="606">
        <v>58086</v>
      </c>
      <c r="B532" s="607" t="s">
        <v>2084</v>
      </c>
      <c r="C532" s="608" t="s">
        <v>2076</v>
      </c>
      <c r="D532" s="599">
        <v>89.44</v>
      </c>
    </row>
    <row r="533" spans="1:6">
      <c r="A533" s="606">
        <v>58087</v>
      </c>
      <c r="B533" s="607" t="s">
        <v>2085</v>
      </c>
      <c r="C533" s="608" t="s">
        <v>1659</v>
      </c>
      <c r="D533" s="599">
        <v>17.559999999999999</v>
      </c>
    </row>
    <row r="534" spans="1:6">
      <c r="A534" s="606">
        <v>58090</v>
      </c>
      <c r="B534" s="607" t="s">
        <v>2086</v>
      </c>
      <c r="C534" s="608" t="s">
        <v>2087</v>
      </c>
      <c r="D534" s="599">
        <v>9.01</v>
      </c>
    </row>
    <row r="535" spans="1:6">
      <c r="A535" s="606">
        <v>58091</v>
      </c>
      <c r="B535" s="607" t="s">
        <v>2088</v>
      </c>
      <c r="C535" s="608" t="s">
        <v>1615</v>
      </c>
      <c r="D535" s="599">
        <v>12.75</v>
      </c>
    </row>
    <row r="536" spans="1:6">
      <c r="A536" s="606">
        <v>58092</v>
      </c>
      <c r="B536" s="607" t="s">
        <v>2089</v>
      </c>
      <c r="C536" s="608" t="s">
        <v>1615</v>
      </c>
      <c r="D536" s="599">
        <v>45.04</v>
      </c>
    </row>
    <row r="537" spans="1:6">
      <c r="A537" s="606">
        <v>58093</v>
      </c>
      <c r="B537" s="607" t="s">
        <v>2090</v>
      </c>
      <c r="C537" s="608" t="s">
        <v>1615</v>
      </c>
      <c r="D537" s="599">
        <v>92.01</v>
      </c>
    </row>
    <row r="538" spans="1:6">
      <c r="A538" s="606">
        <v>58094</v>
      </c>
      <c r="B538" s="607" t="s">
        <v>2091</v>
      </c>
      <c r="C538" s="608" t="s">
        <v>1615</v>
      </c>
      <c r="D538" s="599">
        <v>11.1</v>
      </c>
    </row>
    <row r="539" spans="1:6">
      <c r="A539" s="606">
        <v>58095</v>
      </c>
      <c r="B539" s="607" t="s">
        <v>2092</v>
      </c>
      <c r="C539" s="608" t="s">
        <v>1615</v>
      </c>
      <c r="D539" s="599">
        <v>144.85</v>
      </c>
    </row>
    <row r="540" spans="1:6">
      <c r="A540" s="606">
        <v>58099</v>
      </c>
      <c r="B540" s="607" t="s">
        <v>2093</v>
      </c>
      <c r="C540" s="608" t="s">
        <v>1652</v>
      </c>
      <c r="D540" s="599">
        <v>263.25</v>
      </c>
    </row>
    <row r="541" spans="1:6">
      <c r="A541" s="589">
        <v>581</v>
      </c>
      <c r="B541" s="596" t="s">
        <v>2094</v>
      </c>
      <c r="C541" s="588"/>
      <c r="D541" s="599"/>
      <c r="F541" s="585"/>
    </row>
    <row r="542" spans="1:6">
      <c r="A542" s="606">
        <v>58101</v>
      </c>
      <c r="B542" s="607" t="s">
        <v>2095</v>
      </c>
      <c r="C542" s="608" t="s">
        <v>1615</v>
      </c>
      <c r="D542" s="599">
        <v>133.04</v>
      </c>
    </row>
    <row r="543" spans="1:6">
      <c r="A543" s="606">
        <v>58102</v>
      </c>
      <c r="B543" s="607" t="s">
        <v>2096</v>
      </c>
      <c r="C543" s="608" t="s">
        <v>1615</v>
      </c>
      <c r="D543" s="599">
        <v>133.04</v>
      </c>
    </row>
    <row r="544" spans="1:6">
      <c r="A544" s="606">
        <v>58103</v>
      </c>
      <c r="B544" s="607" t="s">
        <v>2097</v>
      </c>
      <c r="C544" s="608" t="s">
        <v>1615</v>
      </c>
      <c r="D544" s="599">
        <v>132.46</v>
      </c>
    </row>
    <row r="545" spans="1:4">
      <c r="A545" s="606">
        <v>58105</v>
      </c>
      <c r="B545" s="607" t="s">
        <v>2098</v>
      </c>
      <c r="C545" s="608" t="s">
        <v>1615</v>
      </c>
      <c r="D545" s="599">
        <v>131.1</v>
      </c>
    </row>
    <row r="546" spans="1:4">
      <c r="A546" s="606">
        <v>58106</v>
      </c>
      <c r="B546" s="607" t="s">
        <v>2099</v>
      </c>
      <c r="C546" s="608" t="s">
        <v>1615</v>
      </c>
      <c r="D546" s="599">
        <v>131.1</v>
      </c>
    </row>
    <row r="547" spans="1:4">
      <c r="A547" s="606">
        <v>58107</v>
      </c>
      <c r="B547" s="607" t="s">
        <v>2100</v>
      </c>
      <c r="C547" s="608" t="s">
        <v>1615</v>
      </c>
      <c r="D547" s="599">
        <v>139.69999999999999</v>
      </c>
    </row>
    <row r="548" spans="1:4">
      <c r="A548" s="606">
        <v>58125</v>
      </c>
      <c r="B548" s="607" t="s">
        <v>2101</v>
      </c>
      <c r="C548" s="608" t="s">
        <v>1615</v>
      </c>
      <c r="D548" s="599">
        <v>251.28</v>
      </c>
    </row>
    <row r="549" spans="1:4">
      <c r="A549" s="606">
        <v>58126</v>
      </c>
      <c r="B549" s="607" t="s">
        <v>2102</v>
      </c>
      <c r="C549" s="608" t="s">
        <v>1615</v>
      </c>
      <c r="D549" s="599">
        <v>265.16000000000003</v>
      </c>
    </row>
    <row r="550" spans="1:4">
      <c r="A550" s="606">
        <v>58127</v>
      </c>
      <c r="B550" s="607" t="s">
        <v>2103</v>
      </c>
      <c r="C550" s="608" t="s">
        <v>1615</v>
      </c>
      <c r="D550" s="599">
        <v>290.2</v>
      </c>
    </row>
    <row r="551" spans="1:4">
      <c r="A551" s="606">
        <v>58132</v>
      </c>
      <c r="B551" s="607" t="s">
        <v>2104</v>
      </c>
      <c r="C551" s="608" t="s">
        <v>1240</v>
      </c>
      <c r="D551" s="599">
        <v>496.92</v>
      </c>
    </row>
    <row r="552" spans="1:4">
      <c r="A552" s="606">
        <v>58133</v>
      </c>
      <c r="B552" s="607" t="s">
        <v>2105</v>
      </c>
      <c r="C552" s="608" t="s">
        <v>1240</v>
      </c>
      <c r="D552" s="599">
        <v>467.06</v>
      </c>
    </row>
    <row r="553" spans="1:4">
      <c r="A553" s="606">
        <v>58134</v>
      </c>
      <c r="B553" s="607" t="s">
        <v>2106</v>
      </c>
      <c r="C553" s="608" t="s">
        <v>1240</v>
      </c>
      <c r="D553" s="599">
        <v>396.63</v>
      </c>
    </row>
    <row r="554" spans="1:4">
      <c r="A554" s="606">
        <v>58135</v>
      </c>
      <c r="B554" s="607" t="s">
        <v>2107</v>
      </c>
      <c r="C554" s="608" t="s">
        <v>1240</v>
      </c>
      <c r="D554" s="599">
        <v>366.76</v>
      </c>
    </row>
    <row r="555" spans="1:4">
      <c r="A555" s="606">
        <v>58147</v>
      </c>
      <c r="B555" s="607" t="s">
        <v>2108</v>
      </c>
      <c r="C555" s="608" t="s">
        <v>2050</v>
      </c>
      <c r="D555" s="599">
        <v>54.77</v>
      </c>
    </row>
    <row r="556" spans="1:4">
      <c r="A556" s="606">
        <v>58148</v>
      </c>
      <c r="B556" s="607" t="s">
        <v>2109</v>
      </c>
      <c r="C556" s="608" t="s">
        <v>2087</v>
      </c>
      <c r="D556" s="599">
        <v>36.46</v>
      </c>
    </row>
    <row r="557" spans="1:4">
      <c r="A557" s="606">
        <v>58153</v>
      </c>
      <c r="B557" s="607" t="s">
        <v>2110</v>
      </c>
      <c r="C557" s="608" t="s">
        <v>1615</v>
      </c>
      <c r="D557" s="599">
        <v>46.99</v>
      </c>
    </row>
    <row r="558" spans="1:4">
      <c r="A558" s="606">
        <v>58155</v>
      </c>
      <c r="B558" s="607" t="s">
        <v>1994</v>
      </c>
      <c r="C558" s="608" t="s">
        <v>1615</v>
      </c>
      <c r="D558" s="599">
        <v>423.5</v>
      </c>
    </row>
    <row r="559" spans="1:4">
      <c r="A559" s="606">
        <v>58156</v>
      </c>
      <c r="B559" s="607" t="s">
        <v>2111</v>
      </c>
      <c r="C559" s="608" t="s">
        <v>1240</v>
      </c>
      <c r="D559" s="599">
        <v>45.85</v>
      </c>
    </row>
    <row r="560" spans="1:4">
      <c r="A560" s="606">
        <v>58157</v>
      </c>
      <c r="B560" s="607" t="s">
        <v>2112</v>
      </c>
      <c r="C560" s="608" t="s">
        <v>1240</v>
      </c>
      <c r="D560" s="599">
        <v>333.07</v>
      </c>
    </row>
    <row r="561" spans="1:6">
      <c r="A561" s="606">
        <v>58160</v>
      </c>
      <c r="B561" s="607" t="s">
        <v>2113</v>
      </c>
      <c r="C561" s="608" t="s">
        <v>2050</v>
      </c>
      <c r="D561" s="599">
        <v>226.8</v>
      </c>
    </row>
    <row r="562" spans="1:6">
      <c r="A562" s="606">
        <v>58165</v>
      </c>
      <c r="B562" s="607" t="s">
        <v>2114</v>
      </c>
      <c r="C562" s="608" t="s">
        <v>2050</v>
      </c>
      <c r="D562" s="599">
        <v>58.87</v>
      </c>
    </row>
    <row r="563" spans="1:6">
      <c r="A563" s="606">
        <v>58170</v>
      </c>
      <c r="B563" s="607" t="s">
        <v>2115</v>
      </c>
      <c r="C563" s="608" t="s">
        <v>1615</v>
      </c>
      <c r="D563" s="599">
        <v>12.41</v>
      </c>
    </row>
    <row r="564" spans="1:6">
      <c r="A564" s="606">
        <v>58171</v>
      </c>
      <c r="B564" s="607" t="s">
        <v>2116</v>
      </c>
      <c r="C564" s="608" t="s">
        <v>1615</v>
      </c>
      <c r="D564" s="599">
        <v>18.36</v>
      </c>
    </row>
    <row r="565" spans="1:6">
      <c r="A565" s="606">
        <v>58172</v>
      </c>
      <c r="B565" s="607" t="s">
        <v>2117</v>
      </c>
      <c r="C565" s="608" t="s">
        <v>1615</v>
      </c>
      <c r="D565" s="599">
        <v>23.95</v>
      </c>
    </row>
    <row r="566" spans="1:6">
      <c r="A566" s="606">
        <v>58173</v>
      </c>
      <c r="B566" s="607" t="s">
        <v>2118</v>
      </c>
      <c r="C566" s="608" t="s">
        <v>1615</v>
      </c>
      <c r="D566" s="599">
        <v>30.44</v>
      </c>
    </row>
    <row r="567" spans="1:6">
      <c r="A567" s="606">
        <v>58176</v>
      </c>
      <c r="B567" s="607" t="s">
        <v>2119</v>
      </c>
      <c r="C567" s="608" t="s">
        <v>1615</v>
      </c>
      <c r="D567" s="599">
        <v>14.02</v>
      </c>
    </row>
    <row r="568" spans="1:6">
      <c r="A568" s="606">
        <v>58180</v>
      </c>
      <c r="B568" s="607" t="s">
        <v>2120</v>
      </c>
      <c r="C568" s="608" t="s">
        <v>1615</v>
      </c>
      <c r="D568" s="599">
        <v>4.4800000000000004</v>
      </c>
    </row>
    <row r="569" spans="1:6">
      <c r="A569" s="606">
        <v>58181</v>
      </c>
      <c r="B569" s="607" t="s">
        <v>2121</v>
      </c>
      <c r="C569" s="608" t="s">
        <v>1615</v>
      </c>
      <c r="D569" s="599">
        <v>6.95</v>
      </c>
    </row>
    <row r="570" spans="1:6">
      <c r="A570" s="606">
        <v>58182</v>
      </c>
      <c r="B570" s="607" t="s">
        <v>2122</v>
      </c>
      <c r="C570" s="608" t="s">
        <v>1615</v>
      </c>
      <c r="D570" s="599">
        <v>7.25</v>
      </c>
    </row>
    <row r="571" spans="1:6">
      <c r="A571" s="606">
        <v>58199</v>
      </c>
      <c r="B571" s="607" t="s">
        <v>2123</v>
      </c>
      <c r="C571" s="608" t="s">
        <v>1652</v>
      </c>
      <c r="D571" s="599">
        <v>263.25</v>
      </c>
    </row>
    <row r="572" spans="1:6">
      <c r="A572" s="589">
        <v>582</v>
      </c>
      <c r="B572" s="596" t="s">
        <v>2124</v>
      </c>
      <c r="C572" s="588"/>
      <c r="D572" s="599"/>
      <c r="F572" s="585"/>
    </row>
    <row r="573" spans="1:6">
      <c r="A573" s="606">
        <v>58201</v>
      </c>
      <c r="B573" s="607" t="s">
        <v>2125</v>
      </c>
      <c r="C573" s="608" t="s">
        <v>1659</v>
      </c>
      <c r="D573" s="599">
        <v>201.11</v>
      </c>
    </row>
    <row r="574" spans="1:6">
      <c r="A574" s="606">
        <v>58202</v>
      </c>
      <c r="B574" s="607" t="s">
        <v>2126</v>
      </c>
      <c r="C574" s="608" t="s">
        <v>1659</v>
      </c>
      <c r="D574" s="599">
        <v>227.43</v>
      </c>
    </row>
    <row r="575" spans="1:6">
      <c r="A575" s="606">
        <v>58208</v>
      </c>
      <c r="B575" s="607" t="s">
        <v>2127</v>
      </c>
      <c r="C575" s="608" t="s">
        <v>1659</v>
      </c>
      <c r="D575" s="599">
        <v>620.71</v>
      </c>
    </row>
    <row r="576" spans="1:6">
      <c r="A576" s="606">
        <v>58210</v>
      </c>
      <c r="B576" s="607" t="s">
        <v>2128</v>
      </c>
      <c r="C576" s="608" t="s">
        <v>1659</v>
      </c>
      <c r="D576" s="599">
        <v>198.25</v>
      </c>
    </row>
    <row r="577" spans="1:6">
      <c r="A577" s="606">
        <v>58299</v>
      </c>
      <c r="B577" s="607" t="s">
        <v>2093</v>
      </c>
      <c r="C577" s="608" t="s">
        <v>1652</v>
      </c>
      <c r="D577" s="599">
        <v>263.25</v>
      </c>
    </row>
    <row r="578" spans="1:6">
      <c r="A578" s="589">
        <v>6</v>
      </c>
      <c r="B578" s="596" t="s">
        <v>2129</v>
      </c>
      <c r="C578" s="588"/>
      <c r="D578" s="599"/>
      <c r="F578" s="585"/>
    </row>
    <row r="579" spans="1:6">
      <c r="A579" s="589">
        <v>601</v>
      </c>
      <c r="B579" s="596" t="s">
        <v>229</v>
      </c>
      <c r="C579" s="588"/>
      <c r="D579" s="599"/>
      <c r="F579" s="585"/>
    </row>
    <row r="580" spans="1:6">
      <c r="A580" s="606">
        <v>60101</v>
      </c>
      <c r="B580" s="607" t="s">
        <v>2130</v>
      </c>
      <c r="C580" s="608" t="s">
        <v>1615</v>
      </c>
      <c r="D580" s="599">
        <v>201.82</v>
      </c>
    </row>
    <row r="581" spans="1:6">
      <c r="A581" s="606">
        <v>60102</v>
      </c>
      <c r="B581" s="607" t="s">
        <v>2131</v>
      </c>
      <c r="C581" s="608" t="s">
        <v>1615</v>
      </c>
      <c r="D581" s="599">
        <v>371.6</v>
      </c>
    </row>
    <row r="582" spans="1:6">
      <c r="A582" s="606">
        <v>60103</v>
      </c>
      <c r="B582" s="607" t="s">
        <v>2132</v>
      </c>
      <c r="C582" s="608" t="s">
        <v>1615</v>
      </c>
      <c r="D582" s="599">
        <v>488.43</v>
      </c>
    </row>
    <row r="583" spans="1:6">
      <c r="A583" s="606">
        <v>60104</v>
      </c>
      <c r="B583" s="607" t="s">
        <v>2133</v>
      </c>
      <c r="C583" s="608" t="s">
        <v>1615</v>
      </c>
      <c r="D583" s="599">
        <v>398.36</v>
      </c>
    </row>
    <row r="584" spans="1:6">
      <c r="A584" s="606">
        <v>60105</v>
      </c>
      <c r="B584" s="607" t="s">
        <v>2134</v>
      </c>
      <c r="C584" s="608" t="s">
        <v>1615</v>
      </c>
      <c r="D584" s="599">
        <v>750.22</v>
      </c>
    </row>
    <row r="585" spans="1:6">
      <c r="A585" s="606">
        <v>60106</v>
      </c>
      <c r="B585" s="607" t="s">
        <v>2135</v>
      </c>
      <c r="C585" s="608" t="s">
        <v>1615</v>
      </c>
      <c r="D585" s="599">
        <v>895.73</v>
      </c>
    </row>
    <row r="586" spans="1:6">
      <c r="A586" s="606">
        <v>60113</v>
      </c>
      <c r="B586" s="607" t="s">
        <v>2136</v>
      </c>
      <c r="C586" s="608" t="s">
        <v>1615</v>
      </c>
      <c r="D586" s="599">
        <v>253.13</v>
      </c>
    </row>
    <row r="587" spans="1:6">
      <c r="A587" s="606">
        <v>60114</v>
      </c>
      <c r="B587" s="607" t="s">
        <v>2137</v>
      </c>
      <c r="C587" s="608" t="s">
        <v>1615</v>
      </c>
      <c r="D587" s="599">
        <v>575.16999999999996</v>
      </c>
    </row>
    <row r="588" spans="1:6">
      <c r="A588" s="606">
        <v>60115</v>
      </c>
      <c r="B588" s="607" t="s">
        <v>2138</v>
      </c>
      <c r="C588" s="608" t="s">
        <v>1240</v>
      </c>
      <c r="D588" s="599">
        <v>368.65</v>
      </c>
    </row>
    <row r="589" spans="1:6">
      <c r="A589" s="606">
        <v>60116</v>
      </c>
      <c r="B589" s="607" t="s">
        <v>2139</v>
      </c>
      <c r="C589" s="608" t="s">
        <v>1615</v>
      </c>
      <c r="D589" s="599">
        <v>1000.04</v>
      </c>
    </row>
    <row r="590" spans="1:6">
      <c r="A590" s="606">
        <v>60117</v>
      </c>
      <c r="B590" s="607" t="s">
        <v>2140</v>
      </c>
      <c r="C590" s="608" t="s">
        <v>1615</v>
      </c>
      <c r="D590" s="599">
        <v>1896.65</v>
      </c>
    </row>
    <row r="591" spans="1:6">
      <c r="A591" s="606">
        <v>60119</v>
      </c>
      <c r="B591" s="607" t="s">
        <v>2141</v>
      </c>
      <c r="C591" s="608" t="s">
        <v>1615</v>
      </c>
      <c r="D591" s="599">
        <v>175.29</v>
      </c>
    </row>
    <row r="592" spans="1:6">
      <c r="A592" s="606">
        <v>60120</v>
      </c>
      <c r="B592" s="607" t="s">
        <v>2142</v>
      </c>
      <c r="C592" s="608" t="s">
        <v>1615</v>
      </c>
      <c r="D592" s="599">
        <v>348.13</v>
      </c>
    </row>
    <row r="593" spans="1:4">
      <c r="A593" s="606">
        <v>60122</v>
      </c>
      <c r="B593" s="607" t="s">
        <v>2143</v>
      </c>
      <c r="C593" s="608" t="s">
        <v>1615</v>
      </c>
      <c r="D593" s="599">
        <v>1020.42</v>
      </c>
    </row>
    <row r="594" spans="1:4">
      <c r="A594" s="606">
        <v>60123</v>
      </c>
      <c r="B594" s="607" t="s">
        <v>2144</v>
      </c>
      <c r="C594" s="608" t="s">
        <v>1615</v>
      </c>
      <c r="D594" s="599">
        <v>1189.69</v>
      </c>
    </row>
    <row r="595" spans="1:4">
      <c r="A595" s="606">
        <v>60124</v>
      </c>
      <c r="B595" s="607" t="s">
        <v>2145</v>
      </c>
      <c r="C595" s="608" t="s">
        <v>1615</v>
      </c>
      <c r="D595" s="599">
        <v>945.51</v>
      </c>
    </row>
    <row r="596" spans="1:4">
      <c r="A596" s="606">
        <v>60125</v>
      </c>
      <c r="B596" s="607" t="s">
        <v>2146</v>
      </c>
      <c r="C596" s="608" t="s">
        <v>1240</v>
      </c>
      <c r="D596" s="599">
        <v>341.64</v>
      </c>
    </row>
    <row r="597" spans="1:4">
      <c r="A597" s="606">
        <v>60126</v>
      </c>
      <c r="B597" s="607" t="s">
        <v>2147</v>
      </c>
      <c r="C597" s="608" t="s">
        <v>1240</v>
      </c>
      <c r="D597" s="599">
        <v>263.77</v>
      </c>
    </row>
    <row r="598" spans="1:4">
      <c r="A598" s="606">
        <v>60127</v>
      </c>
      <c r="B598" s="607" t="s">
        <v>2148</v>
      </c>
      <c r="C598" s="608" t="s">
        <v>1240</v>
      </c>
      <c r="D598" s="599">
        <v>326.07</v>
      </c>
    </row>
    <row r="599" spans="1:4">
      <c r="A599" s="606">
        <v>60128</v>
      </c>
      <c r="B599" s="607" t="s">
        <v>2149</v>
      </c>
      <c r="C599" s="608" t="s">
        <v>1615</v>
      </c>
      <c r="D599" s="599">
        <v>1781.21</v>
      </c>
    </row>
    <row r="600" spans="1:4">
      <c r="A600" s="606">
        <v>60140</v>
      </c>
      <c r="B600" s="607" t="s">
        <v>2150</v>
      </c>
      <c r="C600" s="608" t="s">
        <v>1615</v>
      </c>
      <c r="D600" s="599">
        <v>166.09</v>
      </c>
    </row>
    <row r="601" spans="1:4">
      <c r="A601" s="606">
        <v>60141</v>
      </c>
      <c r="B601" s="607" t="s">
        <v>2151</v>
      </c>
      <c r="C601" s="608" t="s">
        <v>1240</v>
      </c>
      <c r="D601" s="599">
        <v>268.69</v>
      </c>
    </row>
    <row r="602" spans="1:4">
      <c r="A602" s="606">
        <v>60142</v>
      </c>
      <c r="B602" s="607" t="s">
        <v>2152</v>
      </c>
      <c r="C602" s="608" t="s">
        <v>1615</v>
      </c>
      <c r="D602" s="599">
        <v>336.32</v>
      </c>
    </row>
    <row r="603" spans="1:4">
      <c r="A603" s="606">
        <v>60143</v>
      </c>
      <c r="B603" s="607" t="s">
        <v>2153</v>
      </c>
      <c r="C603" s="608" t="s">
        <v>1615</v>
      </c>
      <c r="D603" s="599">
        <v>351.08</v>
      </c>
    </row>
    <row r="604" spans="1:4">
      <c r="A604" s="606">
        <v>60149</v>
      </c>
      <c r="B604" s="607" t="s">
        <v>2154</v>
      </c>
      <c r="C604" s="608" t="s">
        <v>1615</v>
      </c>
      <c r="D604" s="599">
        <v>613.29</v>
      </c>
    </row>
    <row r="605" spans="1:4">
      <c r="A605" s="606">
        <v>60162</v>
      </c>
      <c r="B605" s="607" t="s">
        <v>2155</v>
      </c>
      <c r="C605" s="608" t="s">
        <v>1615</v>
      </c>
      <c r="D605" s="599">
        <v>1353.21</v>
      </c>
    </row>
    <row r="606" spans="1:4">
      <c r="A606" s="606">
        <v>60163</v>
      </c>
      <c r="B606" s="607" t="s">
        <v>2156</v>
      </c>
      <c r="C606" s="608" t="s">
        <v>1615</v>
      </c>
      <c r="D606" s="599">
        <v>1057.23</v>
      </c>
    </row>
    <row r="607" spans="1:4">
      <c r="A607" s="606">
        <v>60164</v>
      </c>
      <c r="B607" s="607" t="s">
        <v>2157</v>
      </c>
      <c r="C607" s="608" t="s">
        <v>1615</v>
      </c>
      <c r="D607" s="599">
        <v>586.71</v>
      </c>
    </row>
    <row r="608" spans="1:4">
      <c r="A608" s="606">
        <v>60165</v>
      </c>
      <c r="B608" s="607" t="s">
        <v>2158</v>
      </c>
      <c r="C608" s="608" t="s">
        <v>1615</v>
      </c>
      <c r="D608" s="599">
        <v>371.49</v>
      </c>
    </row>
    <row r="609" spans="1:6">
      <c r="A609" s="606">
        <v>60166</v>
      </c>
      <c r="B609" s="607" t="s">
        <v>2159</v>
      </c>
      <c r="C609" s="608" t="s">
        <v>1615</v>
      </c>
      <c r="D609" s="599">
        <v>798.71</v>
      </c>
    </row>
    <row r="610" spans="1:6">
      <c r="A610" s="606">
        <v>60167</v>
      </c>
      <c r="B610" s="607" t="s">
        <v>2160</v>
      </c>
      <c r="C610" s="608" t="s">
        <v>1240</v>
      </c>
      <c r="D610" s="599">
        <v>542.09</v>
      </c>
    </row>
    <row r="611" spans="1:6">
      <c r="A611" s="606">
        <v>60172</v>
      </c>
      <c r="B611" s="607" t="s">
        <v>2161</v>
      </c>
      <c r="C611" s="608" t="s">
        <v>1240</v>
      </c>
      <c r="D611" s="599">
        <v>520.34</v>
      </c>
    </row>
    <row r="612" spans="1:6">
      <c r="A612" s="606">
        <v>60175</v>
      </c>
      <c r="B612" s="607" t="s">
        <v>2162</v>
      </c>
      <c r="C612" s="608" t="s">
        <v>1240</v>
      </c>
      <c r="D612" s="599">
        <v>553.16999999999996</v>
      </c>
    </row>
    <row r="613" spans="1:6">
      <c r="A613" s="606">
        <v>60180</v>
      </c>
      <c r="B613" s="607" t="s">
        <v>2163</v>
      </c>
      <c r="C613" s="608" t="s">
        <v>1240</v>
      </c>
      <c r="D613" s="599">
        <v>133</v>
      </c>
    </row>
    <row r="614" spans="1:6">
      <c r="A614" s="606">
        <v>60181</v>
      </c>
      <c r="B614" s="607" t="s">
        <v>2164</v>
      </c>
      <c r="C614" s="608" t="s">
        <v>1240</v>
      </c>
      <c r="D614" s="599">
        <v>142</v>
      </c>
    </row>
    <row r="615" spans="1:6">
      <c r="A615" s="606">
        <v>60182</v>
      </c>
      <c r="B615" s="607" t="s">
        <v>2165</v>
      </c>
      <c r="C615" s="608" t="s">
        <v>1240</v>
      </c>
      <c r="D615" s="599">
        <v>134.85</v>
      </c>
    </row>
    <row r="616" spans="1:6">
      <c r="A616" s="606">
        <v>60183</v>
      </c>
      <c r="B616" s="607" t="s">
        <v>2166</v>
      </c>
      <c r="C616" s="608" t="s">
        <v>1240</v>
      </c>
      <c r="D616" s="599">
        <v>157.51</v>
      </c>
    </row>
    <row r="617" spans="1:6">
      <c r="A617" s="606">
        <v>60184</v>
      </c>
      <c r="B617" s="607" t="s">
        <v>2167</v>
      </c>
      <c r="C617" s="608" t="s">
        <v>1240</v>
      </c>
      <c r="D617" s="599">
        <v>156.24</v>
      </c>
    </row>
    <row r="618" spans="1:6">
      <c r="A618" s="606">
        <v>60185</v>
      </c>
      <c r="B618" s="607" t="s">
        <v>2168</v>
      </c>
      <c r="C618" s="608" t="s">
        <v>1240</v>
      </c>
      <c r="D618" s="599">
        <v>158.75</v>
      </c>
    </row>
    <row r="619" spans="1:6">
      <c r="A619" s="606">
        <v>60186</v>
      </c>
      <c r="B619" s="607" t="s">
        <v>2169</v>
      </c>
      <c r="C619" s="608" t="s">
        <v>1240</v>
      </c>
      <c r="D619" s="599">
        <v>157.15</v>
      </c>
    </row>
    <row r="620" spans="1:6">
      <c r="A620" s="606">
        <v>60187</v>
      </c>
      <c r="B620" s="607" t="s">
        <v>2170</v>
      </c>
      <c r="C620" s="608" t="s">
        <v>1240</v>
      </c>
      <c r="D620" s="599">
        <v>185.16</v>
      </c>
    </row>
    <row r="621" spans="1:6">
      <c r="A621" s="606">
        <v>60199</v>
      </c>
      <c r="B621" s="607" t="s">
        <v>2171</v>
      </c>
      <c r="C621" s="608" t="s">
        <v>1652</v>
      </c>
      <c r="D621" s="599">
        <v>263.25</v>
      </c>
    </row>
    <row r="622" spans="1:6">
      <c r="A622" s="589">
        <v>602</v>
      </c>
      <c r="B622" s="596" t="s">
        <v>254</v>
      </c>
      <c r="C622" s="588"/>
      <c r="D622" s="599"/>
      <c r="F622" s="585"/>
    </row>
    <row r="623" spans="1:6">
      <c r="A623" s="606">
        <v>60210</v>
      </c>
      <c r="B623" s="607" t="s">
        <v>2172</v>
      </c>
      <c r="C623" s="608" t="s">
        <v>1615</v>
      </c>
      <c r="D623" s="599">
        <v>2793.55</v>
      </c>
    </row>
    <row r="624" spans="1:6">
      <c r="A624" s="606">
        <v>60213</v>
      </c>
      <c r="B624" s="607" t="s">
        <v>2173</v>
      </c>
      <c r="C624" s="608" t="s">
        <v>1615</v>
      </c>
      <c r="D624" s="599">
        <v>2504.44</v>
      </c>
    </row>
    <row r="625" spans="1:4">
      <c r="A625" s="606">
        <v>60215</v>
      </c>
      <c r="B625" s="607" t="s">
        <v>2174</v>
      </c>
      <c r="C625" s="608" t="s">
        <v>1615</v>
      </c>
      <c r="D625" s="599">
        <v>1047.27</v>
      </c>
    </row>
    <row r="626" spans="1:4">
      <c r="A626" s="606">
        <v>60216</v>
      </c>
      <c r="B626" s="607" t="s">
        <v>2175</v>
      </c>
      <c r="C626" s="608" t="s">
        <v>1615</v>
      </c>
      <c r="D626" s="599">
        <v>1120.97</v>
      </c>
    </row>
    <row r="627" spans="1:4">
      <c r="A627" s="606">
        <v>60217</v>
      </c>
      <c r="B627" s="607" t="s">
        <v>2176</v>
      </c>
      <c r="C627" s="608" t="s">
        <v>1615</v>
      </c>
      <c r="D627" s="599">
        <v>1197.75</v>
      </c>
    </row>
    <row r="628" spans="1:4">
      <c r="A628" s="606">
        <v>60219</v>
      </c>
      <c r="B628" s="607" t="s">
        <v>2177</v>
      </c>
      <c r="C628" s="608" t="s">
        <v>1615</v>
      </c>
      <c r="D628" s="599">
        <v>872.79</v>
      </c>
    </row>
    <row r="629" spans="1:4">
      <c r="A629" s="606">
        <v>60220</v>
      </c>
      <c r="B629" s="607" t="s">
        <v>2178</v>
      </c>
      <c r="C629" s="608" t="s">
        <v>1240</v>
      </c>
      <c r="D629" s="599">
        <v>596.97</v>
      </c>
    </row>
    <row r="630" spans="1:4">
      <c r="A630" s="606">
        <v>60224</v>
      </c>
      <c r="B630" s="607" t="s">
        <v>2179</v>
      </c>
      <c r="C630" s="608" t="s">
        <v>1240</v>
      </c>
      <c r="D630" s="599">
        <v>801.37</v>
      </c>
    </row>
    <row r="631" spans="1:4">
      <c r="A631" s="606">
        <v>60225</v>
      </c>
      <c r="B631" s="607" t="s">
        <v>2180</v>
      </c>
      <c r="C631" s="608" t="s">
        <v>1240</v>
      </c>
      <c r="D631" s="599">
        <v>368.44</v>
      </c>
    </row>
    <row r="632" spans="1:4">
      <c r="A632" s="606">
        <v>60226</v>
      </c>
      <c r="B632" s="607" t="s">
        <v>2181</v>
      </c>
      <c r="C632" s="608" t="s">
        <v>1615</v>
      </c>
      <c r="D632" s="599">
        <v>1745.13</v>
      </c>
    </row>
    <row r="633" spans="1:4">
      <c r="A633" s="606">
        <v>60228</v>
      </c>
      <c r="B633" s="607" t="s">
        <v>2182</v>
      </c>
      <c r="C633" s="608" t="s">
        <v>1615</v>
      </c>
      <c r="D633" s="599">
        <v>1338.89</v>
      </c>
    </row>
    <row r="634" spans="1:4">
      <c r="A634" s="606">
        <v>60229</v>
      </c>
      <c r="B634" s="607" t="s">
        <v>2183</v>
      </c>
      <c r="C634" s="608" t="s">
        <v>1615</v>
      </c>
      <c r="D634" s="599">
        <v>1136.47</v>
      </c>
    </row>
    <row r="635" spans="1:4">
      <c r="A635" s="606">
        <v>60243</v>
      </c>
      <c r="B635" s="607" t="s">
        <v>2184</v>
      </c>
      <c r="C635" s="608" t="s">
        <v>1615</v>
      </c>
      <c r="D635" s="599">
        <v>1378.28</v>
      </c>
    </row>
    <row r="636" spans="1:4">
      <c r="A636" s="606">
        <v>60244</v>
      </c>
      <c r="B636" s="607" t="s">
        <v>2185</v>
      </c>
      <c r="C636" s="608" t="s">
        <v>1615</v>
      </c>
      <c r="D636" s="599">
        <v>2236.4499999999998</v>
      </c>
    </row>
    <row r="637" spans="1:4">
      <c r="A637" s="606">
        <v>60245</v>
      </c>
      <c r="B637" s="607" t="s">
        <v>2186</v>
      </c>
      <c r="C637" s="608" t="s">
        <v>1615</v>
      </c>
      <c r="D637" s="599">
        <v>1691.82</v>
      </c>
    </row>
    <row r="638" spans="1:4">
      <c r="A638" s="606">
        <v>60246</v>
      </c>
      <c r="B638" s="607" t="s">
        <v>2187</v>
      </c>
      <c r="C638" s="608" t="s">
        <v>1615</v>
      </c>
      <c r="D638" s="599">
        <v>1398.99</v>
      </c>
    </row>
    <row r="639" spans="1:4">
      <c r="A639" s="606">
        <v>60247</v>
      </c>
      <c r="B639" s="607" t="s">
        <v>2188</v>
      </c>
      <c r="C639" s="608" t="s">
        <v>1615</v>
      </c>
      <c r="D639" s="599">
        <v>1654.08</v>
      </c>
    </row>
    <row r="640" spans="1:4">
      <c r="A640" s="606">
        <v>60248</v>
      </c>
      <c r="B640" s="607" t="s">
        <v>2189</v>
      </c>
      <c r="C640" s="608" t="s">
        <v>1615</v>
      </c>
      <c r="D640" s="599">
        <v>1756.78</v>
      </c>
    </row>
    <row r="641" spans="1:4">
      <c r="A641" s="606">
        <v>60249</v>
      </c>
      <c r="B641" s="607" t="s">
        <v>2190</v>
      </c>
      <c r="C641" s="608" t="s">
        <v>1615</v>
      </c>
      <c r="D641" s="599">
        <v>1992.01</v>
      </c>
    </row>
    <row r="642" spans="1:4">
      <c r="A642" s="606">
        <v>60250</v>
      </c>
      <c r="B642" s="607" t="s">
        <v>2191</v>
      </c>
      <c r="C642" s="608" t="s">
        <v>1615</v>
      </c>
      <c r="D642" s="599">
        <v>1153.22</v>
      </c>
    </row>
    <row r="643" spans="1:4">
      <c r="A643" s="606">
        <v>60252</v>
      </c>
      <c r="B643" s="607" t="s">
        <v>2192</v>
      </c>
      <c r="C643" s="608" t="s">
        <v>1240</v>
      </c>
      <c r="D643" s="599">
        <v>241.47</v>
      </c>
    </row>
    <row r="644" spans="1:4">
      <c r="A644" s="606">
        <v>60260</v>
      </c>
      <c r="B644" s="607" t="s">
        <v>2193</v>
      </c>
      <c r="C644" s="608" t="s">
        <v>1615</v>
      </c>
      <c r="D644" s="599">
        <v>6086.8</v>
      </c>
    </row>
    <row r="645" spans="1:4">
      <c r="A645" s="606">
        <v>60261</v>
      </c>
      <c r="B645" s="607" t="s">
        <v>2194</v>
      </c>
      <c r="C645" s="608" t="s">
        <v>1615</v>
      </c>
      <c r="D645" s="599">
        <v>3178.58</v>
      </c>
    </row>
    <row r="646" spans="1:4">
      <c r="A646" s="606">
        <v>60262</v>
      </c>
      <c r="B646" s="607" t="s">
        <v>2195</v>
      </c>
      <c r="C646" s="608" t="s">
        <v>1240</v>
      </c>
      <c r="D646" s="599">
        <v>343.54</v>
      </c>
    </row>
    <row r="647" spans="1:4">
      <c r="A647" s="606">
        <v>60263</v>
      </c>
      <c r="B647" s="607" t="s">
        <v>2196</v>
      </c>
      <c r="C647" s="608" t="s">
        <v>1240</v>
      </c>
      <c r="D647" s="599">
        <v>766.94</v>
      </c>
    </row>
    <row r="648" spans="1:4">
      <c r="A648" s="606">
        <v>60264</v>
      </c>
      <c r="B648" s="607" t="s">
        <v>2197</v>
      </c>
      <c r="C648" s="608" t="s">
        <v>1615</v>
      </c>
      <c r="D648" s="599">
        <v>6019.1</v>
      </c>
    </row>
    <row r="649" spans="1:4">
      <c r="A649" s="606">
        <v>60265</v>
      </c>
      <c r="B649" s="607" t="s">
        <v>2198</v>
      </c>
      <c r="C649" s="608" t="s">
        <v>1615</v>
      </c>
      <c r="D649" s="599">
        <v>11997.97</v>
      </c>
    </row>
    <row r="650" spans="1:4">
      <c r="A650" s="606">
        <v>60266</v>
      </c>
      <c r="B650" s="607" t="s">
        <v>2199</v>
      </c>
      <c r="C650" s="608" t="s">
        <v>1615</v>
      </c>
      <c r="D650" s="599">
        <v>6213.13</v>
      </c>
    </row>
    <row r="651" spans="1:4">
      <c r="A651" s="606">
        <v>60267</v>
      </c>
      <c r="B651" s="607" t="s">
        <v>2200</v>
      </c>
      <c r="C651" s="608" t="s">
        <v>1615</v>
      </c>
      <c r="D651" s="599">
        <v>12191.79</v>
      </c>
    </row>
    <row r="652" spans="1:4">
      <c r="A652" s="606">
        <v>60273</v>
      </c>
      <c r="B652" s="607" t="s">
        <v>2201</v>
      </c>
      <c r="C652" s="608" t="s">
        <v>1615</v>
      </c>
      <c r="D652" s="599">
        <v>12706.68</v>
      </c>
    </row>
    <row r="653" spans="1:4">
      <c r="A653" s="606">
        <v>60274</v>
      </c>
      <c r="B653" s="607" t="s">
        <v>2202</v>
      </c>
      <c r="C653" s="608" t="s">
        <v>1615</v>
      </c>
      <c r="D653" s="599">
        <v>9468.82</v>
      </c>
    </row>
    <row r="654" spans="1:4">
      <c r="A654" s="606">
        <v>60275</v>
      </c>
      <c r="B654" s="607" t="s">
        <v>2203</v>
      </c>
      <c r="C654" s="608" t="s">
        <v>1615</v>
      </c>
      <c r="D654" s="599">
        <v>6271.21</v>
      </c>
    </row>
    <row r="655" spans="1:4">
      <c r="A655" s="606">
        <v>60285</v>
      </c>
      <c r="B655" s="607" t="s">
        <v>2204</v>
      </c>
      <c r="C655" s="608" t="s">
        <v>1240</v>
      </c>
      <c r="D655" s="599">
        <v>857.89</v>
      </c>
    </row>
    <row r="656" spans="1:4">
      <c r="A656" s="606">
        <v>60286</v>
      </c>
      <c r="B656" s="607" t="s">
        <v>2205</v>
      </c>
      <c r="C656" s="608" t="s">
        <v>1240</v>
      </c>
      <c r="D656" s="599">
        <v>422.95</v>
      </c>
    </row>
    <row r="657" spans="1:6">
      <c r="A657" s="606">
        <v>60287</v>
      </c>
      <c r="B657" s="607" t="s">
        <v>2206</v>
      </c>
      <c r="C657" s="608" t="s">
        <v>1240</v>
      </c>
      <c r="D657" s="599">
        <v>257.08999999999997</v>
      </c>
    </row>
    <row r="658" spans="1:6">
      <c r="A658" s="606">
        <v>60288</v>
      </c>
      <c r="B658" s="607" t="s">
        <v>2207</v>
      </c>
      <c r="C658" s="608" t="s">
        <v>1240</v>
      </c>
      <c r="D658" s="599">
        <v>727.1</v>
      </c>
    </row>
    <row r="659" spans="1:6">
      <c r="A659" s="606">
        <v>60289</v>
      </c>
      <c r="B659" s="607" t="s">
        <v>2208</v>
      </c>
      <c r="C659" s="608" t="s">
        <v>1240</v>
      </c>
      <c r="D659" s="599">
        <v>783.99</v>
      </c>
    </row>
    <row r="660" spans="1:6">
      <c r="A660" s="606">
        <v>60292</v>
      </c>
      <c r="B660" s="607" t="s">
        <v>2209</v>
      </c>
      <c r="C660" s="608" t="s">
        <v>1659</v>
      </c>
      <c r="D660" s="599">
        <v>92.09</v>
      </c>
    </row>
    <row r="661" spans="1:6">
      <c r="A661" s="606">
        <v>60293</v>
      </c>
      <c r="B661" s="607" t="s">
        <v>2210</v>
      </c>
      <c r="C661" s="608" t="s">
        <v>1659</v>
      </c>
      <c r="D661" s="599">
        <v>92.09</v>
      </c>
    </row>
    <row r="662" spans="1:6">
      <c r="A662" s="606">
        <v>60299</v>
      </c>
      <c r="B662" s="607" t="s">
        <v>2171</v>
      </c>
      <c r="C662" s="608" t="s">
        <v>1652</v>
      </c>
      <c r="D662" s="599">
        <v>263.25</v>
      </c>
    </row>
    <row r="663" spans="1:6">
      <c r="A663" s="589">
        <v>603</v>
      </c>
      <c r="B663" s="596" t="s">
        <v>277</v>
      </c>
      <c r="C663" s="588"/>
      <c r="D663" s="599"/>
      <c r="F663" s="585"/>
    </row>
    <row r="664" spans="1:6">
      <c r="A664" s="606">
        <v>60301</v>
      </c>
      <c r="B664" s="607" t="s">
        <v>2211</v>
      </c>
      <c r="C664" s="608" t="s">
        <v>1615</v>
      </c>
      <c r="D664" s="599">
        <v>432.76</v>
      </c>
    </row>
    <row r="665" spans="1:6">
      <c r="A665" s="606">
        <v>60303</v>
      </c>
      <c r="B665" s="607" t="s">
        <v>2212</v>
      </c>
      <c r="C665" s="608" t="s">
        <v>1615</v>
      </c>
      <c r="D665" s="599">
        <v>317.64</v>
      </c>
    </row>
    <row r="666" spans="1:6">
      <c r="A666" s="606">
        <v>60309</v>
      </c>
      <c r="B666" s="607" t="s">
        <v>2213</v>
      </c>
      <c r="C666" s="608" t="s">
        <v>1659</v>
      </c>
      <c r="D666" s="599">
        <v>114.66</v>
      </c>
    </row>
    <row r="667" spans="1:6">
      <c r="A667" s="606">
        <v>60312</v>
      </c>
      <c r="B667" s="607" t="s">
        <v>2214</v>
      </c>
      <c r="C667" s="608" t="s">
        <v>1659</v>
      </c>
      <c r="D667" s="599">
        <v>174.85</v>
      </c>
    </row>
    <row r="668" spans="1:6">
      <c r="A668" s="606">
        <v>60319</v>
      </c>
      <c r="B668" s="607" t="s">
        <v>2215</v>
      </c>
      <c r="C668" s="608" t="s">
        <v>1659</v>
      </c>
      <c r="D668" s="599">
        <v>310.5</v>
      </c>
    </row>
    <row r="669" spans="1:6">
      <c r="A669" s="606">
        <v>60320</v>
      </c>
      <c r="B669" s="607" t="s">
        <v>2216</v>
      </c>
      <c r="C669" s="608" t="s">
        <v>1659</v>
      </c>
      <c r="D669" s="599">
        <v>502.11</v>
      </c>
    </row>
    <row r="670" spans="1:6">
      <c r="A670" s="606">
        <v>60321</v>
      </c>
      <c r="B670" s="607" t="s">
        <v>2217</v>
      </c>
      <c r="C670" s="608" t="s">
        <v>1659</v>
      </c>
      <c r="D670" s="599">
        <v>276.5</v>
      </c>
    </row>
    <row r="671" spans="1:6">
      <c r="A671" s="606">
        <v>60322</v>
      </c>
      <c r="B671" s="607" t="s">
        <v>2218</v>
      </c>
      <c r="C671" s="608" t="s">
        <v>1659</v>
      </c>
      <c r="D671" s="599">
        <v>474.68</v>
      </c>
    </row>
    <row r="672" spans="1:6">
      <c r="A672" s="606">
        <v>60323</v>
      </c>
      <c r="B672" s="607" t="s">
        <v>2219</v>
      </c>
      <c r="C672" s="608" t="s">
        <v>1659</v>
      </c>
      <c r="D672" s="599">
        <v>447.44</v>
      </c>
    </row>
    <row r="673" spans="1:4">
      <c r="A673" s="606">
        <v>60324</v>
      </c>
      <c r="B673" s="607" t="s">
        <v>2220</v>
      </c>
      <c r="C673" s="608" t="s">
        <v>1240</v>
      </c>
      <c r="D673" s="599">
        <v>263.98</v>
      </c>
    </row>
    <row r="674" spans="1:4">
      <c r="A674" s="606">
        <v>60325</v>
      </c>
      <c r="B674" s="607" t="s">
        <v>2221</v>
      </c>
      <c r="C674" s="608" t="s">
        <v>1659</v>
      </c>
      <c r="D674" s="599">
        <v>424.16</v>
      </c>
    </row>
    <row r="675" spans="1:4">
      <c r="A675" s="606">
        <v>60327</v>
      </c>
      <c r="B675" s="607" t="s">
        <v>2222</v>
      </c>
      <c r="C675" s="608" t="s">
        <v>1240</v>
      </c>
      <c r="D675" s="599">
        <v>239.54</v>
      </c>
    </row>
    <row r="676" spans="1:4">
      <c r="A676" s="606">
        <v>60330</v>
      </c>
      <c r="B676" s="607" t="s">
        <v>2223</v>
      </c>
      <c r="C676" s="608" t="s">
        <v>1240</v>
      </c>
      <c r="D676" s="599">
        <v>399.44</v>
      </c>
    </row>
    <row r="677" spans="1:4">
      <c r="A677" s="606">
        <v>60331</v>
      </c>
      <c r="B677" s="607" t="s">
        <v>2224</v>
      </c>
      <c r="C677" s="608" t="s">
        <v>1240</v>
      </c>
      <c r="D677" s="599">
        <v>276.56</v>
      </c>
    </row>
    <row r="678" spans="1:4">
      <c r="A678" s="606">
        <v>60333</v>
      </c>
      <c r="B678" s="607" t="s">
        <v>2225</v>
      </c>
      <c r="C678" s="608" t="s">
        <v>1240</v>
      </c>
      <c r="D678" s="599">
        <v>278.94</v>
      </c>
    </row>
    <row r="679" spans="1:4">
      <c r="A679" s="606">
        <v>60334</v>
      </c>
      <c r="B679" s="607" t="s">
        <v>2226</v>
      </c>
      <c r="C679" s="608" t="s">
        <v>1615</v>
      </c>
      <c r="D679" s="599">
        <v>246.01</v>
      </c>
    </row>
    <row r="680" spans="1:4" ht="26.4">
      <c r="A680" s="606">
        <v>60336</v>
      </c>
      <c r="B680" s="607" t="s">
        <v>2227</v>
      </c>
      <c r="C680" s="608" t="s">
        <v>1240</v>
      </c>
      <c r="D680" s="599">
        <v>213.54</v>
      </c>
    </row>
    <row r="681" spans="1:4">
      <c r="A681" s="606">
        <v>60337</v>
      </c>
      <c r="B681" s="607" t="s">
        <v>2228</v>
      </c>
      <c r="C681" s="608" t="s">
        <v>1659</v>
      </c>
      <c r="D681" s="599">
        <v>61.13</v>
      </c>
    </row>
    <row r="682" spans="1:4">
      <c r="A682" s="606">
        <v>60338</v>
      </c>
      <c r="B682" s="607" t="s">
        <v>2229</v>
      </c>
      <c r="C682" s="608" t="s">
        <v>1659</v>
      </c>
      <c r="D682" s="599">
        <v>31.31</v>
      </c>
    </row>
    <row r="683" spans="1:4">
      <c r="A683" s="606">
        <v>60340</v>
      </c>
      <c r="B683" s="607" t="s">
        <v>2230</v>
      </c>
      <c r="C683" s="608" t="s">
        <v>1240</v>
      </c>
      <c r="D683" s="599">
        <v>197.8</v>
      </c>
    </row>
    <row r="684" spans="1:4">
      <c r="A684" s="606">
        <v>60341</v>
      </c>
      <c r="B684" s="607" t="s">
        <v>2231</v>
      </c>
      <c r="C684" s="608" t="s">
        <v>1659</v>
      </c>
      <c r="D684" s="599">
        <v>250.79</v>
      </c>
    </row>
    <row r="685" spans="1:4">
      <c r="A685" s="606">
        <v>60342</v>
      </c>
      <c r="B685" s="607" t="s">
        <v>2232</v>
      </c>
      <c r="C685" s="608" t="s">
        <v>1659</v>
      </c>
      <c r="D685" s="599">
        <v>307.05</v>
      </c>
    </row>
    <row r="686" spans="1:4">
      <c r="A686" s="606">
        <v>60343</v>
      </c>
      <c r="B686" s="607" t="s">
        <v>2233</v>
      </c>
      <c r="C686" s="608" t="s">
        <v>1659</v>
      </c>
      <c r="D686" s="599">
        <v>232.12</v>
      </c>
    </row>
    <row r="687" spans="1:4">
      <c r="A687" s="606">
        <v>60344</v>
      </c>
      <c r="B687" s="607" t="s">
        <v>2234</v>
      </c>
      <c r="C687" s="608" t="s">
        <v>1659</v>
      </c>
      <c r="D687" s="599">
        <v>367.54</v>
      </c>
    </row>
    <row r="688" spans="1:4">
      <c r="A688" s="606">
        <v>60345</v>
      </c>
      <c r="B688" s="607" t="s">
        <v>2235</v>
      </c>
      <c r="C688" s="608" t="s">
        <v>1659</v>
      </c>
      <c r="D688" s="599">
        <v>357.21</v>
      </c>
    </row>
    <row r="689" spans="1:4">
      <c r="A689" s="606">
        <v>60346</v>
      </c>
      <c r="B689" s="607" t="s">
        <v>2236</v>
      </c>
      <c r="C689" s="608" t="s">
        <v>1659</v>
      </c>
      <c r="D689" s="599">
        <v>119.97</v>
      </c>
    </row>
    <row r="690" spans="1:4">
      <c r="A690" s="606">
        <v>60347</v>
      </c>
      <c r="B690" s="607" t="s">
        <v>2237</v>
      </c>
      <c r="C690" s="608" t="s">
        <v>1659</v>
      </c>
      <c r="D690" s="599">
        <v>174.24</v>
      </c>
    </row>
    <row r="691" spans="1:4">
      <c r="A691" s="606">
        <v>60348</v>
      </c>
      <c r="B691" s="607" t="s">
        <v>2238</v>
      </c>
      <c r="C691" s="608" t="s">
        <v>1659</v>
      </c>
      <c r="D691" s="599">
        <v>269.35000000000002</v>
      </c>
    </row>
    <row r="692" spans="1:4">
      <c r="A692" s="606">
        <v>60349</v>
      </c>
      <c r="B692" s="607" t="s">
        <v>2239</v>
      </c>
      <c r="C692" s="608" t="s">
        <v>1659</v>
      </c>
      <c r="D692" s="599">
        <v>141.59</v>
      </c>
    </row>
    <row r="693" spans="1:4">
      <c r="A693" s="606">
        <v>60356</v>
      </c>
      <c r="B693" s="607" t="s">
        <v>2240</v>
      </c>
      <c r="C693" s="608" t="s">
        <v>1659</v>
      </c>
      <c r="D693" s="599">
        <v>547.24</v>
      </c>
    </row>
    <row r="694" spans="1:4">
      <c r="A694" s="606">
        <v>60357</v>
      </c>
      <c r="B694" s="607" t="s">
        <v>2241</v>
      </c>
      <c r="C694" s="608" t="s">
        <v>1659</v>
      </c>
      <c r="D694" s="599">
        <v>618.03</v>
      </c>
    </row>
    <row r="695" spans="1:4">
      <c r="A695" s="606">
        <v>60358</v>
      </c>
      <c r="B695" s="607" t="s">
        <v>2242</v>
      </c>
      <c r="C695" s="608" t="s">
        <v>1659</v>
      </c>
      <c r="D695" s="599">
        <v>569.87</v>
      </c>
    </row>
    <row r="696" spans="1:4">
      <c r="A696" s="606">
        <v>60359</v>
      </c>
      <c r="B696" s="607" t="s">
        <v>2243</v>
      </c>
      <c r="C696" s="608" t="s">
        <v>1659</v>
      </c>
      <c r="D696" s="599">
        <v>635.59</v>
      </c>
    </row>
    <row r="697" spans="1:4">
      <c r="A697" s="606">
        <v>60360</v>
      </c>
      <c r="B697" s="607" t="s">
        <v>2244</v>
      </c>
      <c r="C697" s="608" t="s">
        <v>2050</v>
      </c>
      <c r="D697" s="599">
        <v>658.4</v>
      </c>
    </row>
    <row r="698" spans="1:4">
      <c r="A698" s="606">
        <v>60369</v>
      </c>
      <c r="B698" s="607" t="s">
        <v>2245</v>
      </c>
      <c r="C698" s="608" t="s">
        <v>1240</v>
      </c>
      <c r="D698" s="599">
        <v>7.61</v>
      </c>
    </row>
    <row r="699" spans="1:4">
      <c r="A699" s="606">
        <v>60370</v>
      </c>
      <c r="B699" s="607" t="s">
        <v>2246</v>
      </c>
      <c r="C699" s="608" t="s">
        <v>1615</v>
      </c>
      <c r="D699" s="599">
        <v>3349.57</v>
      </c>
    </row>
    <row r="700" spans="1:4">
      <c r="A700" s="606">
        <v>60371</v>
      </c>
      <c r="B700" s="607" t="s">
        <v>2247</v>
      </c>
      <c r="C700" s="608" t="s">
        <v>1615</v>
      </c>
      <c r="D700" s="599">
        <v>2797.49</v>
      </c>
    </row>
    <row r="701" spans="1:4">
      <c r="A701" s="606">
        <v>60372</v>
      </c>
      <c r="B701" s="607" t="s">
        <v>2248</v>
      </c>
      <c r="C701" s="608" t="s">
        <v>1615</v>
      </c>
      <c r="D701" s="599">
        <v>2923.98</v>
      </c>
    </row>
    <row r="702" spans="1:4">
      <c r="A702" s="606">
        <v>60373</v>
      </c>
      <c r="B702" s="607" t="s">
        <v>2249</v>
      </c>
      <c r="C702" s="608" t="s">
        <v>1615</v>
      </c>
      <c r="D702" s="599">
        <v>1903.19</v>
      </c>
    </row>
    <row r="703" spans="1:4">
      <c r="A703" s="606">
        <v>60374</v>
      </c>
      <c r="B703" s="607" t="s">
        <v>2250</v>
      </c>
      <c r="C703" s="608" t="s">
        <v>2087</v>
      </c>
      <c r="D703" s="599">
        <v>735.18</v>
      </c>
    </row>
    <row r="704" spans="1:4">
      <c r="A704" s="606">
        <v>60375</v>
      </c>
      <c r="B704" s="607" t="s">
        <v>2251</v>
      </c>
      <c r="C704" s="608" t="s">
        <v>2087</v>
      </c>
      <c r="D704" s="599">
        <v>751.45</v>
      </c>
    </row>
    <row r="705" spans="1:6">
      <c r="A705" s="606">
        <v>60376</v>
      </c>
      <c r="B705" s="607" t="s">
        <v>2252</v>
      </c>
      <c r="C705" s="608" t="s">
        <v>2087</v>
      </c>
      <c r="D705" s="599">
        <v>745.94</v>
      </c>
    </row>
    <row r="706" spans="1:6">
      <c r="A706" s="606">
        <v>60377</v>
      </c>
      <c r="B706" s="607" t="s">
        <v>2253</v>
      </c>
      <c r="C706" s="608" t="s">
        <v>1615</v>
      </c>
      <c r="D706" s="599">
        <v>750.66</v>
      </c>
    </row>
    <row r="707" spans="1:6">
      <c r="A707" s="606">
        <v>60378</v>
      </c>
      <c r="B707" s="607" t="s">
        <v>2254</v>
      </c>
      <c r="C707" s="608" t="s">
        <v>1615</v>
      </c>
      <c r="D707" s="599">
        <v>725.17</v>
      </c>
    </row>
    <row r="708" spans="1:6">
      <c r="A708" s="606">
        <v>60379</v>
      </c>
      <c r="B708" s="607" t="s">
        <v>2255</v>
      </c>
      <c r="C708" s="608" t="s">
        <v>1615</v>
      </c>
      <c r="D708" s="599">
        <v>719.66</v>
      </c>
    </row>
    <row r="709" spans="1:6">
      <c r="A709" s="606">
        <v>60390</v>
      </c>
      <c r="B709" s="607" t="s">
        <v>2256</v>
      </c>
      <c r="C709" s="608" t="s">
        <v>1248</v>
      </c>
      <c r="D709" s="599">
        <v>49.48</v>
      </c>
    </row>
    <row r="710" spans="1:6">
      <c r="A710" s="606">
        <v>60391</v>
      </c>
      <c r="B710" s="607" t="s">
        <v>2257</v>
      </c>
      <c r="C710" s="608" t="s">
        <v>1248</v>
      </c>
      <c r="D710" s="599">
        <v>15.68</v>
      </c>
    </row>
    <row r="711" spans="1:6">
      <c r="A711" s="606">
        <v>60399</v>
      </c>
      <c r="B711" s="607" t="s">
        <v>2171</v>
      </c>
      <c r="C711" s="608" t="s">
        <v>1652</v>
      </c>
      <c r="D711" s="599">
        <v>263.25</v>
      </c>
    </row>
    <row r="712" spans="1:6">
      <c r="A712" s="589">
        <v>650</v>
      </c>
      <c r="B712" s="596" t="s">
        <v>1690</v>
      </c>
      <c r="C712" s="588"/>
      <c r="D712" s="599"/>
      <c r="F712" s="585"/>
    </row>
    <row r="713" spans="1:6">
      <c r="A713" s="606">
        <v>65030</v>
      </c>
      <c r="B713" s="607" t="s">
        <v>2258</v>
      </c>
      <c r="C713" s="608" t="s">
        <v>1615</v>
      </c>
      <c r="D713" s="599">
        <v>1.78</v>
      </c>
    </row>
    <row r="714" spans="1:6">
      <c r="A714" s="606">
        <v>65099</v>
      </c>
      <c r="B714" s="607" t="s">
        <v>1690</v>
      </c>
      <c r="C714" s="608" t="s">
        <v>1652</v>
      </c>
      <c r="D714" s="599">
        <v>263.25</v>
      </c>
    </row>
    <row r="715" spans="1:6">
      <c r="A715" s="589">
        <v>660</v>
      </c>
      <c r="B715" s="596" t="s">
        <v>1691</v>
      </c>
      <c r="C715" s="588"/>
      <c r="D715" s="599"/>
      <c r="F715" s="585"/>
    </row>
    <row r="716" spans="1:6">
      <c r="A716" s="606">
        <v>66001</v>
      </c>
      <c r="B716" s="607" t="s">
        <v>2259</v>
      </c>
      <c r="C716" s="608" t="s">
        <v>1240</v>
      </c>
      <c r="D716" s="599">
        <v>13.64</v>
      </c>
    </row>
    <row r="717" spans="1:6">
      <c r="A717" s="606">
        <v>66002</v>
      </c>
      <c r="B717" s="607" t="s">
        <v>2260</v>
      </c>
      <c r="C717" s="608" t="s">
        <v>1240</v>
      </c>
      <c r="D717" s="599">
        <v>4.59</v>
      </c>
    </row>
    <row r="718" spans="1:6">
      <c r="A718" s="606">
        <v>66005</v>
      </c>
      <c r="B718" s="607" t="s">
        <v>2261</v>
      </c>
      <c r="C718" s="608" t="s">
        <v>1615</v>
      </c>
      <c r="D718" s="599">
        <v>23.39</v>
      </c>
    </row>
    <row r="719" spans="1:6">
      <c r="A719" s="606">
        <v>66050</v>
      </c>
      <c r="B719" s="607" t="s">
        <v>2262</v>
      </c>
      <c r="C719" s="608" t="s">
        <v>1615</v>
      </c>
      <c r="D719" s="599">
        <v>8.24</v>
      </c>
    </row>
    <row r="720" spans="1:6">
      <c r="A720" s="606">
        <v>66051</v>
      </c>
      <c r="B720" s="607" t="s">
        <v>2263</v>
      </c>
      <c r="C720" s="608" t="s">
        <v>1615</v>
      </c>
      <c r="D720" s="599">
        <v>6.59</v>
      </c>
    </row>
    <row r="721" spans="1:6">
      <c r="A721" s="606">
        <v>66052</v>
      </c>
      <c r="B721" s="607" t="s">
        <v>2264</v>
      </c>
      <c r="C721" s="608" t="s">
        <v>1615</v>
      </c>
      <c r="D721" s="599">
        <v>2.2999999999999998</v>
      </c>
    </row>
    <row r="722" spans="1:6">
      <c r="A722" s="606">
        <v>66060</v>
      </c>
      <c r="B722" s="607" t="s">
        <v>2265</v>
      </c>
      <c r="C722" s="608" t="s">
        <v>1659</v>
      </c>
      <c r="D722" s="599">
        <v>15.59</v>
      </c>
    </row>
    <row r="723" spans="1:6">
      <c r="A723" s="606">
        <v>66099</v>
      </c>
      <c r="B723" s="607" t="s">
        <v>1691</v>
      </c>
      <c r="C723" s="608" t="s">
        <v>1652</v>
      </c>
      <c r="D723" s="599">
        <v>263.25</v>
      </c>
    </row>
    <row r="724" spans="1:6">
      <c r="A724" s="589">
        <v>670</v>
      </c>
      <c r="B724" s="596" t="s">
        <v>2035</v>
      </c>
      <c r="C724" s="588"/>
      <c r="D724" s="599"/>
      <c r="F724" s="585"/>
    </row>
    <row r="725" spans="1:6">
      <c r="A725" s="606">
        <v>67001</v>
      </c>
      <c r="B725" s="607" t="s">
        <v>2259</v>
      </c>
      <c r="C725" s="608" t="s">
        <v>1240</v>
      </c>
      <c r="D725" s="599">
        <v>19.489999999999998</v>
      </c>
    </row>
    <row r="726" spans="1:6">
      <c r="A726" s="606">
        <v>67005</v>
      </c>
      <c r="B726" s="607" t="s">
        <v>2261</v>
      </c>
      <c r="C726" s="608" t="s">
        <v>1615</v>
      </c>
      <c r="D726" s="599">
        <v>25.34</v>
      </c>
    </row>
    <row r="727" spans="1:6">
      <c r="A727" s="606">
        <v>67020</v>
      </c>
      <c r="B727" s="607" t="s">
        <v>2266</v>
      </c>
      <c r="C727" s="608" t="s">
        <v>1240</v>
      </c>
      <c r="D727" s="599">
        <v>6.03</v>
      </c>
    </row>
    <row r="728" spans="1:6">
      <c r="A728" s="606">
        <v>67050</v>
      </c>
      <c r="B728" s="607" t="s">
        <v>2262</v>
      </c>
      <c r="C728" s="608" t="s">
        <v>1659</v>
      </c>
      <c r="D728" s="599">
        <v>19.79</v>
      </c>
    </row>
    <row r="729" spans="1:6">
      <c r="A729" s="606">
        <v>67051</v>
      </c>
      <c r="B729" s="607" t="s">
        <v>2263</v>
      </c>
      <c r="C729" s="608" t="s">
        <v>1615</v>
      </c>
      <c r="D729" s="599">
        <v>18.14</v>
      </c>
    </row>
    <row r="730" spans="1:6">
      <c r="A730" s="606">
        <v>67052</v>
      </c>
      <c r="B730" s="607" t="s">
        <v>2264</v>
      </c>
      <c r="C730" s="608" t="s">
        <v>1615</v>
      </c>
      <c r="D730" s="599">
        <v>3.29</v>
      </c>
    </row>
    <row r="731" spans="1:6">
      <c r="A731" s="606">
        <v>67060</v>
      </c>
      <c r="B731" s="607" t="s">
        <v>2267</v>
      </c>
      <c r="C731" s="608" t="s">
        <v>1659</v>
      </c>
      <c r="D731" s="599">
        <v>15.59</v>
      </c>
    </row>
    <row r="732" spans="1:6">
      <c r="A732" s="606">
        <v>67099</v>
      </c>
      <c r="B732" s="607" t="s">
        <v>2268</v>
      </c>
      <c r="C732" s="608" t="s">
        <v>1652</v>
      </c>
      <c r="D732" s="599">
        <v>263.25</v>
      </c>
    </row>
    <row r="733" spans="1:6">
      <c r="A733" s="589">
        <v>680</v>
      </c>
      <c r="B733" s="596" t="s">
        <v>2269</v>
      </c>
      <c r="C733" s="588"/>
      <c r="D733" s="599"/>
      <c r="F733" s="585"/>
    </row>
    <row r="734" spans="1:6">
      <c r="A734" s="606">
        <v>68001</v>
      </c>
      <c r="B734" s="607" t="s">
        <v>2270</v>
      </c>
      <c r="C734" s="608" t="s">
        <v>1240</v>
      </c>
      <c r="D734" s="599">
        <v>341.64</v>
      </c>
    </row>
    <row r="735" spans="1:6">
      <c r="A735" s="606">
        <v>68003</v>
      </c>
      <c r="B735" s="607" t="s">
        <v>2271</v>
      </c>
      <c r="C735" s="608" t="s">
        <v>1240</v>
      </c>
      <c r="D735" s="599">
        <v>263.77</v>
      </c>
    </row>
    <row r="736" spans="1:6">
      <c r="A736" s="606">
        <v>68005</v>
      </c>
      <c r="B736" s="607" t="s">
        <v>2272</v>
      </c>
      <c r="C736" s="608" t="s">
        <v>1240</v>
      </c>
      <c r="D736" s="599">
        <v>89.44</v>
      </c>
    </row>
    <row r="737" spans="1:6">
      <c r="A737" s="606">
        <v>68007</v>
      </c>
      <c r="B737" s="607" t="s">
        <v>2273</v>
      </c>
      <c r="C737" s="608" t="s">
        <v>1240</v>
      </c>
      <c r="D737" s="599">
        <v>245.69</v>
      </c>
    </row>
    <row r="738" spans="1:6">
      <c r="A738" s="606">
        <v>68009</v>
      </c>
      <c r="B738" s="607" t="s">
        <v>2274</v>
      </c>
      <c r="C738" s="608" t="s">
        <v>1240</v>
      </c>
      <c r="D738" s="599">
        <v>262.83</v>
      </c>
    </row>
    <row r="739" spans="1:6">
      <c r="A739" s="606">
        <v>68015</v>
      </c>
      <c r="B739" s="607" t="s">
        <v>2275</v>
      </c>
      <c r="C739" s="608" t="s">
        <v>1240</v>
      </c>
      <c r="D739" s="599">
        <v>573.04</v>
      </c>
    </row>
    <row r="740" spans="1:6">
      <c r="A740" s="606">
        <v>68019</v>
      </c>
      <c r="B740" s="607" t="s">
        <v>2276</v>
      </c>
      <c r="C740" s="608" t="s">
        <v>1240</v>
      </c>
      <c r="D740" s="599">
        <v>424.87</v>
      </c>
    </row>
    <row r="741" spans="1:6">
      <c r="A741" s="606">
        <v>68020</v>
      </c>
      <c r="B741" s="607" t="s">
        <v>2277</v>
      </c>
      <c r="C741" s="608" t="s">
        <v>1240</v>
      </c>
      <c r="D741" s="599">
        <v>219.53</v>
      </c>
    </row>
    <row r="742" spans="1:6">
      <c r="A742" s="606">
        <v>68021</v>
      </c>
      <c r="B742" s="607" t="s">
        <v>2192</v>
      </c>
      <c r="C742" s="608" t="s">
        <v>1240</v>
      </c>
      <c r="D742" s="599">
        <v>225.65</v>
      </c>
    </row>
    <row r="743" spans="1:6" s="610" customFormat="1">
      <c r="A743" s="606">
        <v>68023</v>
      </c>
      <c r="B743" s="607" t="s">
        <v>2278</v>
      </c>
      <c r="C743" s="608" t="s">
        <v>1240</v>
      </c>
      <c r="D743" s="599">
        <v>279.39</v>
      </c>
      <c r="E743" s="581"/>
      <c r="F743" s="581"/>
    </row>
    <row r="744" spans="1:6">
      <c r="A744" s="606">
        <v>68025</v>
      </c>
      <c r="B744" s="607" t="s">
        <v>2279</v>
      </c>
      <c r="C744" s="608" t="s">
        <v>1240</v>
      </c>
      <c r="D744" s="599">
        <v>277.83</v>
      </c>
    </row>
    <row r="745" spans="1:6">
      <c r="A745" s="606">
        <v>68029</v>
      </c>
      <c r="B745" s="607" t="s">
        <v>2280</v>
      </c>
      <c r="C745" s="608" t="s">
        <v>1240</v>
      </c>
      <c r="D745" s="599">
        <v>133.54</v>
      </c>
    </row>
    <row r="746" spans="1:6">
      <c r="A746" s="606">
        <v>68031</v>
      </c>
      <c r="B746" s="607" t="s">
        <v>2281</v>
      </c>
      <c r="C746" s="608" t="s">
        <v>1240</v>
      </c>
      <c r="D746" s="599">
        <v>75.95</v>
      </c>
    </row>
    <row r="747" spans="1:6">
      <c r="A747" s="606">
        <v>68033</v>
      </c>
      <c r="B747" s="607" t="s">
        <v>2282</v>
      </c>
      <c r="C747" s="608" t="s">
        <v>1240</v>
      </c>
      <c r="D747" s="599">
        <v>132</v>
      </c>
    </row>
    <row r="748" spans="1:6">
      <c r="A748" s="606">
        <v>68035</v>
      </c>
      <c r="B748" s="607" t="s">
        <v>2283</v>
      </c>
      <c r="C748" s="608" t="s">
        <v>1240</v>
      </c>
      <c r="D748" s="599">
        <v>189.03</v>
      </c>
    </row>
    <row r="749" spans="1:6">
      <c r="A749" s="606">
        <v>68042</v>
      </c>
      <c r="B749" s="607" t="s">
        <v>2284</v>
      </c>
      <c r="C749" s="608" t="s">
        <v>1615</v>
      </c>
      <c r="D749" s="599">
        <v>161.87</v>
      </c>
    </row>
    <row r="750" spans="1:6">
      <c r="A750" s="606">
        <v>68043</v>
      </c>
      <c r="B750" s="607" t="s">
        <v>2285</v>
      </c>
      <c r="C750" s="608" t="s">
        <v>1659</v>
      </c>
      <c r="D750" s="599">
        <v>22.23</v>
      </c>
    </row>
    <row r="751" spans="1:6">
      <c r="A751" s="606">
        <v>68044</v>
      </c>
      <c r="B751" s="607" t="s">
        <v>2286</v>
      </c>
      <c r="C751" s="608" t="s">
        <v>1615</v>
      </c>
      <c r="D751" s="599">
        <v>20.52</v>
      </c>
    </row>
    <row r="752" spans="1:6">
      <c r="A752" s="606">
        <v>68045</v>
      </c>
      <c r="B752" s="607" t="s">
        <v>2287</v>
      </c>
      <c r="C752" s="608" t="s">
        <v>1615</v>
      </c>
      <c r="D752" s="599">
        <v>53.63</v>
      </c>
    </row>
    <row r="753" spans="1:6">
      <c r="A753" s="606">
        <v>68046</v>
      </c>
      <c r="B753" s="607" t="s">
        <v>2288</v>
      </c>
      <c r="C753" s="608" t="s">
        <v>1615</v>
      </c>
      <c r="D753" s="599">
        <v>23.05</v>
      </c>
    </row>
    <row r="754" spans="1:6">
      <c r="A754" s="606">
        <v>68049</v>
      </c>
      <c r="B754" s="607" t="s">
        <v>2289</v>
      </c>
      <c r="C754" s="608" t="s">
        <v>1240</v>
      </c>
      <c r="D754" s="599">
        <v>4.6500000000000004</v>
      </c>
    </row>
    <row r="755" spans="1:6" s="610" customFormat="1">
      <c r="A755" s="606">
        <v>68050</v>
      </c>
      <c r="B755" s="607" t="s">
        <v>2290</v>
      </c>
      <c r="C755" s="608" t="s">
        <v>1248</v>
      </c>
      <c r="D755" s="599">
        <v>20.76</v>
      </c>
      <c r="E755" s="581"/>
      <c r="F755" s="581"/>
    </row>
    <row r="756" spans="1:6">
      <c r="A756" s="606">
        <v>68082</v>
      </c>
      <c r="B756" s="607" t="s">
        <v>2291</v>
      </c>
      <c r="C756" s="608" t="s">
        <v>1240</v>
      </c>
      <c r="D756" s="599">
        <v>147.06</v>
      </c>
    </row>
    <row r="757" spans="1:6">
      <c r="A757" s="606">
        <v>68084</v>
      </c>
      <c r="B757" s="607" t="s">
        <v>2292</v>
      </c>
      <c r="C757" s="608" t="s">
        <v>1240</v>
      </c>
      <c r="D757" s="599">
        <v>102.91</v>
      </c>
    </row>
    <row r="758" spans="1:6">
      <c r="A758" s="606">
        <v>68086</v>
      </c>
      <c r="B758" s="607" t="s">
        <v>2293</v>
      </c>
      <c r="C758" s="608" t="s">
        <v>1240</v>
      </c>
      <c r="D758" s="599">
        <v>300.63</v>
      </c>
    </row>
    <row r="759" spans="1:6">
      <c r="A759" s="606">
        <v>68088</v>
      </c>
      <c r="B759" s="607" t="s">
        <v>2294</v>
      </c>
      <c r="C759" s="608" t="s">
        <v>1240</v>
      </c>
      <c r="D759" s="599">
        <v>500.33</v>
      </c>
    </row>
    <row r="760" spans="1:6">
      <c r="A760" s="606">
        <v>68094</v>
      </c>
      <c r="B760" s="607" t="s">
        <v>2295</v>
      </c>
      <c r="C760" s="608" t="s">
        <v>1659</v>
      </c>
      <c r="D760" s="599">
        <v>23.46</v>
      </c>
    </row>
    <row r="761" spans="1:6">
      <c r="A761" s="606">
        <v>68096</v>
      </c>
      <c r="B761" s="607" t="s">
        <v>2296</v>
      </c>
      <c r="C761" s="608" t="s">
        <v>1615</v>
      </c>
      <c r="D761" s="599">
        <v>9.75</v>
      </c>
    </row>
    <row r="762" spans="1:6">
      <c r="A762" s="606">
        <v>68099</v>
      </c>
      <c r="B762" s="607" t="s">
        <v>2171</v>
      </c>
      <c r="C762" s="608" t="s">
        <v>1652</v>
      </c>
      <c r="D762" s="599">
        <v>263.25</v>
      </c>
    </row>
    <row r="763" spans="1:6" s="610" customFormat="1">
      <c r="A763" s="589">
        <v>7</v>
      </c>
      <c r="B763" s="596" t="s">
        <v>295</v>
      </c>
      <c r="C763" s="588"/>
      <c r="D763" s="599"/>
      <c r="E763" s="581"/>
      <c r="F763" s="585"/>
    </row>
    <row r="764" spans="1:6">
      <c r="A764" s="589">
        <v>701</v>
      </c>
      <c r="B764" s="596" t="s">
        <v>2297</v>
      </c>
      <c r="C764" s="588"/>
      <c r="D764" s="599"/>
      <c r="F764" s="585"/>
    </row>
    <row r="765" spans="1:6">
      <c r="A765" s="606">
        <v>70101</v>
      </c>
      <c r="B765" s="607" t="s">
        <v>2298</v>
      </c>
      <c r="C765" s="608" t="s">
        <v>1240</v>
      </c>
      <c r="D765" s="599">
        <v>96.42</v>
      </c>
    </row>
    <row r="766" spans="1:6">
      <c r="A766" s="606">
        <v>70102</v>
      </c>
      <c r="B766" s="607" t="s">
        <v>2299</v>
      </c>
      <c r="C766" s="608" t="s">
        <v>1240</v>
      </c>
      <c r="D766" s="599">
        <v>102.67</v>
      </c>
    </row>
    <row r="767" spans="1:6">
      <c r="A767" s="606">
        <v>70103</v>
      </c>
      <c r="B767" s="607" t="s">
        <v>2300</v>
      </c>
      <c r="C767" s="608" t="s">
        <v>1240</v>
      </c>
      <c r="D767" s="599">
        <v>108.92</v>
      </c>
    </row>
    <row r="768" spans="1:6">
      <c r="A768" s="606">
        <v>70104</v>
      </c>
      <c r="B768" s="607" t="s">
        <v>2301</v>
      </c>
      <c r="C768" s="608" t="s">
        <v>1240</v>
      </c>
      <c r="D768" s="599">
        <v>118.87</v>
      </c>
    </row>
    <row r="769" spans="1:6">
      <c r="A769" s="606">
        <v>70110</v>
      </c>
      <c r="B769" s="607" t="s">
        <v>2302</v>
      </c>
      <c r="C769" s="608" t="s">
        <v>1240</v>
      </c>
      <c r="D769" s="599">
        <v>67.48</v>
      </c>
    </row>
    <row r="770" spans="1:6">
      <c r="A770" s="606">
        <v>70111</v>
      </c>
      <c r="B770" s="607" t="s">
        <v>2303</v>
      </c>
      <c r="C770" s="608" t="s">
        <v>1240</v>
      </c>
      <c r="D770" s="599">
        <v>73.73</v>
      </c>
    </row>
    <row r="771" spans="1:6" s="610" customFormat="1">
      <c r="A771" s="606">
        <v>70112</v>
      </c>
      <c r="B771" s="607" t="s">
        <v>2304</v>
      </c>
      <c r="C771" s="608" t="s">
        <v>1240</v>
      </c>
      <c r="D771" s="599">
        <v>79.98</v>
      </c>
      <c r="E771" s="581"/>
      <c r="F771" s="581"/>
    </row>
    <row r="772" spans="1:6">
      <c r="A772" s="606">
        <v>70113</v>
      </c>
      <c r="B772" s="607" t="s">
        <v>2305</v>
      </c>
      <c r="C772" s="608" t="s">
        <v>1240</v>
      </c>
      <c r="D772" s="599">
        <v>87.38</v>
      </c>
    </row>
    <row r="773" spans="1:6">
      <c r="A773" s="606">
        <v>70125</v>
      </c>
      <c r="B773" s="607" t="s">
        <v>2306</v>
      </c>
      <c r="C773" s="608" t="s">
        <v>1240</v>
      </c>
      <c r="D773" s="599">
        <v>56.41</v>
      </c>
    </row>
    <row r="774" spans="1:6">
      <c r="A774" s="606">
        <v>70126</v>
      </c>
      <c r="B774" s="607" t="s">
        <v>2307</v>
      </c>
      <c r="C774" s="608" t="s">
        <v>1240</v>
      </c>
      <c r="D774" s="599">
        <v>18.07</v>
      </c>
    </row>
    <row r="775" spans="1:6">
      <c r="A775" s="606">
        <v>70127</v>
      </c>
      <c r="B775" s="607" t="s">
        <v>2308</v>
      </c>
      <c r="C775" s="608" t="s">
        <v>1240</v>
      </c>
      <c r="D775" s="599">
        <v>12.21</v>
      </c>
    </row>
    <row r="776" spans="1:6">
      <c r="A776" s="606">
        <v>70135</v>
      </c>
      <c r="B776" s="607" t="s">
        <v>2309</v>
      </c>
      <c r="C776" s="608" t="s">
        <v>1240</v>
      </c>
      <c r="D776" s="599">
        <v>69.84</v>
      </c>
    </row>
    <row r="777" spans="1:6">
      <c r="A777" s="606">
        <v>70198</v>
      </c>
      <c r="B777" s="607" t="s">
        <v>2310</v>
      </c>
      <c r="C777" s="608" t="s">
        <v>1650</v>
      </c>
      <c r="D777" s="599">
        <v>3447.59</v>
      </c>
    </row>
    <row r="778" spans="1:6">
      <c r="A778" s="606">
        <v>70199</v>
      </c>
      <c r="B778" s="607" t="s">
        <v>2311</v>
      </c>
      <c r="C778" s="608" t="s">
        <v>1652</v>
      </c>
      <c r="D778" s="599">
        <v>263.25</v>
      </c>
    </row>
    <row r="779" spans="1:6">
      <c r="A779" s="589">
        <v>702</v>
      </c>
      <c r="B779" s="596" t="s">
        <v>298</v>
      </c>
      <c r="C779" s="588"/>
      <c r="D779" s="599"/>
      <c r="F779" s="585"/>
    </row>
    <row r="780" spans="1:6">
      <c r="A780" s="606">
        <v>70201</v>
      </c>
      <c r="B780" s="607" t="s">
        <v>1851</v>
      </c>
      <c r="C780" s="608" t="s">
        <v>1248</v>
      </c>
      <c r="D780" s="599">
        <v>10.71</v>
      </c>
    </row>
    <row r="781" spans="1:6">
      <c r="A781" s="606">
        <v>70203</v>
      </c>
      <c r="B781" s="607" t="s">
        <v>1852</v>
      </c>
      <c r="C781" s="608" t="s">
        <v>1248</v>
      </c>
      <c r="D781" s="599">
        <v>11.2</v>
      </c>
    </row>
    <row r="782" spans="1:6">
      <c r="A782" s="606">
        <v>70206</v>
      </c>
      <c r="B782" s="607" t="s">
        <v>2312</v>
      </c>
      <c r="C782" s="608" t="s">
        <v>1248</v>
      </c>
      <c r="D782" s="599">
        <v>41.84</v>
      </c>
    </row>
    <row r="783" spans="1:6">
      <c r="A783" s="606">
        <v>70210</v>
      </c>
      <c r="B783" s="607" t="s">
        <v>1853</v>
      </c>
      <c r="C783" s="608" t="s">
        <v>1248</v>
      </c>
      <c r="D783" s="599">
        <v>2.42</v>
      </c>
    </row>
    <row r="784" spans="1:6">
      <c r="A784" s="606">
        <v>70215</v>
      </c>
      <c r="B784" s="607" t="s">
        <v>2313</v>
      </c>
      <c r="C784" s="608" t="s">
        <v>1248</v>
      </c>
      <c r="D784" s="599">
        <v>4.8499999999999996</v>
      </c>
      <c r="E784" s="610"/>
      <c r="F784" s="610"/>
    </row>
    <row r="785" spans="1:6">
      <c r="A785" s="606">
        <v>70220</v>
      </c>
      <c r="B785" s="607" t="s">
        <v>2314</v>
      </c>
      <c r="C785" s="608" t="s">
        <v>1248</v>
      </c>
      <c r="D785" s="599">
        <v>4.66</v>
      </c>
    </row>
    <row r="786" spans="1:6" s="610" customFormat="1">
      <c r="A786" s="606">
        <v>70299</v>
      </c>
      <c r="B786" s="607" t="s">
        <v>2311</v>
      </c>
      <c r="C786" s="608" t="s">
        <v>1652</v>
      </c>
      <c r="D786" s="599">
        <v>263.25</v>
      </c>
      <c r="E786" s="581"/>
      <c r="F786" s="581"/>
    </row>
    <row r="787" spans="1:6">
      <c r="A787" s="589">
        <v>703</v>
      </c>
      <c r="B787" s="596" t="s">
        <v>295</v>
      </c>
      <c r="C787" s="588"/>
      <c r="D787" s="599"/>
      <c r="F787" s="585"/>
    </row>
    <row r="788" spans="1:6" s="610" customFormat="1">
      <c r="A788" s="606">
        <v>70301</v>
      </c>
      <c r="B788" s="607" t="s">
        <v>2315</v>
      </c>
      <c r="C788" s="608" t="s">
        <v>1240</v>
      </c>
      <c r="D788" s="599">
        <v>32.31</v>
      </c>
      <c r="E788" s="581"/>
      <c r="F788" s="581"/>
    </row>
    <row r="789" spans="1:6">
      <c r="A789" s="606">
        <v>70302</v>
      </c>
      <c r="B789" s="607" t="s">
        <v>2316</v>
      </c>
      <c r="C789" s="608" t="s">
        <v>1240</v>
      </c>
      <c r="D789" s="599">
        <v>60.58</v>
      </c>
    </row>
    <row r="790" spans="1:6">
      <c r="A790" s="606">
        <v>70303</v>
      </c>
      <c r="B790" s="607" t="s">
        <v>2317</v>
      </c>
      <c r="C790" s="608" t="s">
        <v>1240</v>
      </c>
      <c r="D790" s="599">
        <v>47.06</v>
      </c>
    </row>
    <row r="791" spans="1:6">
      <c r="A791" s="606">
        <v>70304</v>
      </c>
      <c r="B791" s="607" t="s">
        <v>2318</v>
      </c>
      <c r="C791" s="608" t="s">
        <v>1240</v>
      </c>
      <c r="D791" s="599">
        <v>29.91</v>
      </c>
    </row>
    <row r="792" spans="1:6">
      <c r="A792" s="606">
        <v>70305</v>
      </c>
      <c r="B792" s="607" t="s">
        <v>2319</v>
      </c>
      <c r="C792" s="608" t="s">
        <v>1240</v>
      </c>
      <c r="D792" s="599">
        <v>30.31</v>
      </c>
    </row>
    <row r="793" spans="1:6">
      <c r="A793" s="606">
        <v>70306</v>
      </c>
      <c r="B793" s="607" t="s">
        <v>2320</v>
      </c>
      <c r="C793" s="608" t="s">
        <v>1240</v>
      </c>
      <c r="D793" s="599">
        <v>46.47</v>
      </c>
    </row>
    <row r="794" spans="1:6">
      <c r="A794" s="606">
        <v>70310</v>
      </c>
      <c r="B794" s="607" t="s">
        <v>2321</v>
      </c>
      <c r="C794" s="608" t="s">
        <v>1240</v>
      </c>
      <c r="D794" s="599">
        <v>528.67999999999995</v>
      </c>
    </row>
    <row r="795" spans="1:6">
      <c r="A795" s="606">
        <v>70311</v>
      </c>
      <c r="B795" s="607" t="s">
        <v>2322</v>
      </c>
      <c r="C795" s="608" t="s">
        <v>1240</v>
      </c>
      <c r="D795" s="599">
        <v>212.35</v>
      </c>
    </row>
    <row r="796" spans="1:6">
      <c r="A796" s="606">
        <v>70312</v>
      </c>
      <c r="B796" s="607" t="s">
        <v>2323</v>
      </c>
      <c r="C796" s="608" t="s">
        <v>1240</v>
      </c>
      <c r="D796" s="599">
        <v>360.76</v>
      </c>
      <c r="E796" s="610"/>
      <c r="F796" s="610"/>
    </row>
    <row r="797" spans="1:6">
      <c r="A797" s="606">
        <v>70313</v>
      </c>
      <c r="B797" s="607" t="s">
        <v>2324</v>
      </c>
      <c r="C797" s="608" t="s">
        <v>1240</v>
      </c>
      <c r="D797" s="599">
        <v>304.27999999999997</v>
      </c>
    </row>
    <row r="798" spans="1:6">
      <c r="A798" s="606">
        <v>70314</v>
      </c>
      <c r="B798" s="607" t="s">
        <v>2325</v>
      </c>
      <c r="C798" s="608" t="s">
        <v>1240</v>
      </c>
      <c r="D798" s="599">
        <v>18.59</v>
      </c>
    </row>
    <row r="799" spans="1:6">
      <c r="A799" s="606">
        <v>70315</v>
      </c>
      <c r="B799" s="607" t="s">
        <v>2326</v>
      </c>
      <c r="C799" s="608" t="s">
        <v>1240</v>
      </c>
      <c r="D799" s="599">
        <v>21.69</v>
      </c>
    </row>
    <row r="800" spans="1:6">
      <c r="A800" s="606">
        <v>70317</v>
      </c>
      <c r="B800" s="607" t="s">
        <v>2327</v>
      </c>
      <c r="C800" s="608" t="s">
        <v>1240</v>
      </c>
      <c r="D800" s="599">
        <v>40.520000000000003</v>
      </c>
    </row>
    <row r="801" spans="1:6">
      <c r="A801" s="606">
        <v>70318</v>
      </c>
      <c r="B801" s="607" t="s">
        <v>2328</v>
      </c>
      <c r="C801" s="608" t="s">
        <v>1240</v>
      </c>
      <c r="D801" s="599">
        <v>396.77</v>
      </c>
    </row>
    <row r="802" spans="1:6">
      <c r="A802" s="606">
        <v>70319</v>
      </c>
      <c r="B802" s="607" t="s">
        <v>2329</v>
      </c>
      <c r="C802" s="608" t="s">
        <v>1240</v>
      </c>
      <c r="D802" s="599">
        <v>605.42999999999995</v>
      </c>
    </row>
    <row r="803" spans="1:6">
      <c r="A803" s="606">
        <v>70320</v>
      </c>
      <c r="B803" s="607" t="s">
        <v>2330</v>
      </c>
      <c r="C803" s="608" t="s">
        <v>1240</v>
      </c>
      <c r="D803" s="599">
        <v>45.66</v>
      </c>
    </row>
    <row r="804" spans="1:6">
      <c r="A804" s="606">
        <v>70321</v>
      </c>
      <c r="B804" s="607" t="s">
        <v>2331</v>
      </c>
      <c r="C804" s="608" t="s">
        <v>1240</v>
      </c>
      <c r="D804" s="599">
        <v>53.04</v>
      </c>
      <c r="E804" s="610"/>
      <c r="F804" s="610"/>
    </row>
    <row r="805" spans="1:6">
      <c r="A805" s="606">
        <v>70322</v>
      </c>
      <c r="B805" s="607" t="s">
        <v>2332</v>
      </c>
      <c r="C805" s="608" t="s">
        <v>1240</v>
      </c>
      <c r="D805" s="599">
        <v>45.81</v>
      </c>
    </row>
    <row r="806" spans="1:6">
      <c r="A806" s="606">
        <v>70323</v>
      </c>
      <c r="B806" s="607" t="s">
        <v>2333</v>
      </c>
      <c r="C806" s="608" t="s">
        <v>1240</v>
      </c>
      <c r="D806" s="599">
        <v>65.040000000000006</v>
      </c>
    </row>
    <row r="807" spans="1:6">
      <c r="A807" s="606">
        <v>70324</v>
      </c>
      <c r="B807" s="607" t="s">
        <v>2334</v>
      </c>
      <c r="C807" s="608" t="s">
        <v>1240</v>
      </c>
      <c r="D807" s="599">
        <v>57.22</v>
      </c>
    </row>
    <row r="808" spans="1:6">
      <c r="A808" s="606">
        <v>70325</v>
      </c>
      <c r="B808" s="607" t="s">
        <v>2335</v>
      </c>
      <c r="C808" s="608" t="s">
        <v>1240</v>
      </c>
      <c r="D808" s="599">
        <v>58.31</v>
      </c>
    </row>
    <row r="809" spans="1:6">
      <c r="A809" s="606">
        <v>70327</v>
      </c>
      <c r="B809" s="607" t="s">
        <v>2336</v>
      </c>
      <c r="C809" s="608" t="s">
        <v>1240</v>
      </c>
      <c r="D809" s="599">
        <v>48.3</v>
      </c>
    </row>
    <row r="810" spans="1:6">
      <c r="A810" s="606">
        <v>70328</v>
      </c>
      <c r="B810" s="607" t="s">
        <v>2337</v>
      </c>
      <c r="C810" s="608" t="s">
        <v>1240</v>
      </c>
      <c r="D810" s="599">
        <v>47.15</v>
      </c>
    </row>
    <row r="811" spans="1:6">
      <c r="A811" s="606">
        <v>70329</v>
      </c>
      <c r="B811" s="607" t="s">
        <v>2338</v>
      </c>
      <c r="C811" s="608" t="s">
        <v>1240</v>
      </c>
      <c r="D811" s="599">
        <v>62.69</v>
      </c>
    </row>
    <row r="812" spans="1:6">
      <c r="A812" s="606">
        <v>70330</v>
      </c>
      <c r="B812" s="607" t="s">
        <v>2339</v>
      </c>
      <c r="C812" s="608" t="s">
        <v>1240</v>
      </c>
      <c r="D812" s="599">
        <v>44.68</v>
      </c>
      <c r="E812" s="610"/>
      <c r="F812" s="610"/>
    </row>
    <row r="813" spans="1:6">
      <c r="A813" s="606">
        <v>70331</v>
      </c>
      <c r="B813" s="607" t="s">
        <v>2340</v>
      </c>
      <c r="C813" s="608" t="s">
        <v>1240</v>
      </c>
      <c r="D813" s="599">
        <v>59.63</v>
      </c>
    </row>
    <row r="814" spans="1:6">
      <c r="A814" s="606">
        <v>70332</v>
      </c>
      <c r="B814" s="607" t="s">
        <v>2341</v>
      </c>
      <c r="C814" s="608" t="s">
        <v>1240</v>
      </c>
      <c r="D814" s="599">
        <v>49.2</v>
      </c>
    </row>
    <row r="815" spans="1:6">
      <c r="A815" s="606">
        <v>70333</v>
      </c>
      <c r="B815" s="607" t="s">
        <v>2342</v>
      </c>
      <c r="C815" s="608" t="s">
        <v>1240</v>
      </c>
      <c r="D815" s="599">
        <v>51.82</v>
      </c>
    </row>
    <row r="816" spans="1:6">
      <c r="A816" s="606">
        <v>70335</v>
      </c>
      <c r="B816" s="607" t="s">
        <v>2343</v>
      </c>
      <c r="C816" s="608" t="s">
        <v>1240</v>
      </c>
      <c r="D816" s="599">
        <v>47.84</v>
      </c>
    </row>
    <row r="817" spans="1:6">
      <c r="A817" s="606">
        <v>70337</v>
      </c>
      <c r="B817" s="607" t="s">
        <v>2344</v>
      </c>
      <c r="C817" s="608" t="s">
        <v>1240</v>
      </c>
      <c r="D817" s="599">
        <v>67.88</v>
      </c>
    </row>
    <row r="818" spans="1:6">
      <c r="A818" s="606">
        <v>70338</v>
      </c>
      <c r="B818" s="607" t="s">
        <v>2345</v>
      </c>
      <c r="C818" s="608" t="s">
        <v>1240</v>
      </c>
      <c r="D818" s="599">
        <v>30.16</v>
      </c>
    </row>
    <row r="819" spans="1:6">
      <c r="A819" s="606">
        <v>70339</v>
      </c>
      <c r="B819" s="607" t="s">
        <v>2346</v>
      </c>
      <c r="C819" s="608" t="s">
        <v>1240</v>
      </c>
      <c r="D819" s="599">
        <v>33.130000000000003</v>
      </c>
    </row>
    <row r="820" spans="1:6">
      <c r="A820" s="606">
        <v>70350</v>
      </c>
      <c r="B820" s="607" t="s">
        <v>2347</v>
      </c>
      <c r="C820" s="608" t="s">
        <v>1240</v>
      </c>
      <c r="D820" s="599">
        <v>51</v>
      </c>
    </row>
    <row r="821" spans="1:6">
      <c r="A821" s="606">
        <v>70351</v>
      </c>
      <c r="B821" s="607" t="s">
        <v>2348</v>
      </c>
      <c r="C821" s="608" t="s">
        <v>1240</v>
      </c>
      <c r="D821" s="599">
        <v>100.19</v>
      </c>
    </row>
    <row r="822" spans="1:6">
      <c r="A822" s="606">
        <v>70352</v>
      </c>
      <c r="B822" s="607" t="s">
        <v>2349</v>
      </c>
      <c r="C822" s="608" t="s">
        <v>1240</v>
      </c>
      <c r="D822" s="599">
        <v>59.79</v>
      </c>
    </row>
    <row r="823" spans="1:6">
      <c r="A823" s="606">
        <v>70353</v>
      </c>
      <c r="B823" s="607" t="s">
        <v>2350</v>
      </c>
      <c r="C823" s="608" t="s">
        <v>1240</v>
      </c>
      <c r="D823" s="599">
        <v>50.93</v>
      </c>
    </row>
    <row r="824" spans="1:6">
      <c r="A824" s="606">
        <v>70354</v>
      </c>
      <c r="B824" s="607" t="s">
        <v>2351</v>
      </c>
      <c r="C824" s="608" t="s">
        <v>1240</v>
      </c>
      <c r="D824" s="599">
        <v>59.69</v>
      </c>
    </row>
    <row r="825" spans="1:6">
      <c r="A825" s="606">
        <v>70355</v>
      </c>
      <c r="B825" s="607" t="s">
        <v>2352</v>
      </c>
      <c r="C825" s="608" t="s">
        <v>1240</v>
      </c>
      <c r="D825" s="599">
        <v>42.76</v>
      </c>
    </row>
    <row r="826" spans="1:6">
      <c r="A826" s="606">
        <v>70356</v>
      </c>
      <c r="B826" s="607" t="s">
        <v>2353</v>
      </c>
      <c r="C826" s="608" t="s">
        <v>1240</v>
      </c>
      <c r="D826" s="599">
        <v>66.7</v>
      </c>
    </row>
    <row r="827" spans="1:6">
      <c r="A827" s="606">
        <v>70357</v>
      </c>
      <c r="B827" s="607" t="s">
        <v>2354</v>
      </c>
      <c r="C827" s="608" t="s">
        <v>1240</v>
      </c>
      <c r="D827" s="599">
        <v>72.33</v>
      </c>
      <c r="E827" s="610"/>
      <c r="F827" s="610"/>
    </row>
    <row r="828" spans="1:6">
      <c r="A828" s="606">
        <v>70360</v>
      </c>
      <c r="B828" s="607" t="s">
        <v>2355</v>
      </c>
      <c r="C828" s="608" t="s">
        <v>1240</v>
      </c>
      <c r="D828" s="599">
        <v>46.3</v>
      </c>
    </row>
    <row r="829" spans="1:6">
      <c r="A829" s="606">
        <v>70361</v>
      </c>
      <c r="B829" s="607" t="s">
        <v>2356</v>
      </c>
      <c r="C829" s="608" t="s">
        <v>1240</v>
      </c>
      <c r="D829" s="599">
        <v>47.72</v>
      </c>
      <c r="E829" s="610"/>
      <c r="F829" s="610"/>
    </row>
    <row r="830" spans="1:6">
      <c r="A830" s="606">
        <v>70362</v>
      </c>
      <c r="B830" s="607" t="s">
        <v>2357</v>
      </c>
      <c r="C830" s="608" t="s">
        <v>1240</v>
      </c>
      <c r="D830" s="599">
        <v>106.93</v>
      </c>
    </row>
    <row r="831" spans="1:6">
      <c r="A831" s="606">
        <v>70363</v>
      </c>
      <c r="B831" s="607" t="s">
        <v>2358</v>
      </c>
      <c r="C831" s="608" t="s">
        <v>1240</v>
      </c>
      <c r="D831" s="599">
        <v>58.3</v>
      </c>
    </row>
    <row r="832" spans="1:6">
      <c r="A832" s="606">
        <v>70364</v>
      </c>
      <c r="B832" s="607" t="s">
        <v>2359</v>
      </c>
      <c r="C832" s="608" t="s">
        <v>1240</v>
      </c>
      <c r="D832" s="599">
        <v>44.39</v>
      </c>
    </row>
    <row r="833" spans="1:6">
      <c r="A833" s="606">
        <v>70365</v>
      </c>
      <c r="B833" s="607" t="s">
        <v>2360</v>
      </c>
      <c r="C833" s="608" t="s">
        <v>1240</v>
      </c>
      <c r="D833" s="599">
        <v>45.74</v>
      </c>
    </row>
    <row r="834" spans="1:6">
      <c r="A834" s="606">
        <v>70366</v>
      </c>
      <c r="B834" s="607" t="s">
        <v>2361</v>
      </c>
      <c r="C834" s="608" t="s">
        <v>1240</v>
      </c>
      <c r="D834" s="599">
        <v>71.63</v>
      </c>
    </row>
    <row r="835" spans="1:6">
      <c r="A835" s="606">
        <v>70367</v>
      </c>
      <c r="B835" s="607" t="s">
        <v>2362</v>
      </c>
      <c r="C835" s="608" t="s">
        <v>1240</v>
      </c>
      <c r="D835" s="599">
        <v>47.02</v>
      </c>
    </row>
    <row r="836" spans="1:6">
      <c r="A836" s="606">
        <v>70368</v>
      </c>
      <c r="B836" s="607" t="s">
        <v>2363</v>
      </c>
      <c r="C836" s="608" t="s">
        <v>1240</v>
      </c>
      <c r="D836" s="599">
        <v>72.09</v>
      </c>
    </row>
    <row r="837" spans="1:6">
      <c r="A837" s="606">
        <v>70369</v>
      </c>
      <c r="B837" s="607" t="s">
        <v>2364</v>
      </c>
      <c r="C837" s="608" t="s">
        <v>1240</v>
      </c>
      <c r="D837" s="599">
        <v>88.06</v>
      </c>
    </row>
    <row r="838" spans="1:6">
      <c r="A838" s="606">
        <v>70370</v>
      </c>
      <c r="B838" s="607" t="s">
        <v>2365</v>
      </c>
      <c r="C838" s="608" t="s">
        <v>1240</v>
      </c>
      <c r="D838" s="599">
        <v>46.43</v>
      </c>
    </row>
    <row r="839" spans="1:6">
      <c r="A839" s="606">
        <v>70371</v>
      </c>
      <c r="B839" s="607" t="s">
        <v>2366</v>
      </c>
      <c r="C839" s="608" t="s">
        <v>1240</v>
      </c>
      <c r="D839" s="599">
        <v>55.88</v>
      </c>
    </row>
    <row r="840" spans="1:6">
      <c r="A840" s="606">
        <v>70372</v>
      </c>
      <c r="B840" s="607" t="s">
        <v>2367</v>
      </c>
      <c r="C840" s="608" t="s">
        <v>1240</v>
      </c>
      <c r="D840" s="599">
        <v>68.400000000000006</v>
      </c>
    </row>
    <row r="841" spans="1:6" s="610" customFormat="1">
      <c r="A841" s="606">
        <v>70373</v>
      </c>
      <c r="B841" s="607" t="s">
        <v>2368</v>
      </c>
      <c r="C841" s="608" t="s">
        <v>1240</v>
      </c>
      <c r="D841" s="599">
        <v>46.48</v>
      </c>
      <c r="E841" s="581"/>
      <c r="F841" s="581"/>
    </row>
    <row r="842" spans="1:6">
      <c r="A842" s="606">
        <v>70374</v>
      </c>
      <c r="B842" s="607" t="s">
        <v>2369</v>
      </c>
      <c r="C842" s="608" t="s">
        <v>1240</v>
      </c>
      <c r="D842" s="599">
        <v>50.49</v>
      </c>
    </row>
    <row r="843" spans="1:6">
      <c r="A843" s="606">
        <v>70375</v>
      </c>
      <c r="B843" s="607" t="s">
        <v>2370</v>
      </c>
      <c r="C843" s="608" t="s">
        <v>1240</v>
      </c>
      <c r="D843" s="599">
        <v>55.94</v>
      </c>
    </row>
    <row r="844" spans="1:6">
      <c r="A844" s="606">
        <v>70376</v>
      </c>
      <c r="B844" s="607" t="s">
        <v>2371</v>
      </c>
      <c r="C844" s="608" t="s">
        <v>1240</v>
      </c>
      <c r="D844" s="599">
        <v>62.94</v>
      </c>
    </row>
    <row r="845" spans="1:6">
      <c r="A845" s="606">
        <v>70377</v>
      </c>
      <c r="B845" s="607" t="s">
        <v>2372</v>
      </c>
      <c r="C845" s="608" t="s">
        <v>1240</v>
      </c>
      <c r="D845" s="599">
        <v>68.42</v>
      </c>
    </row>
    <row r="846" spans="1:6">
      <c r="A846" s="606">
        <v>70378</v>
      </c>
      <c r="B846" s="607" t="s">
        <v>2373</v>
      </c>
      <c r="C846" s="608" t="s">
        <v>1240</v>
      </c>
      <c r="D846" s="599">
        <v>78.760000000000005</v>
      </c>
    </row>
    <row r="847" spans="1:6">
      <c r="A847" s="606">
        <v>70379</v>
      </c>
      <c r="B847" s="607" t="s">
        <v>2374</v>
      </c>
      <c r="C847" s="608" t="s">
        <v>1240</v>
      </c>
      <c r="D847" s="599">
        <v>69.489999999999995</v>
      </c>
    </row>
    <row r="848" spans="1:6">
      <c r="A848" s="606">
        <v>70380</v>
      </c>
      <c r="B848" s="607" t="s">
        <v>2375</v>
      </c>
      <c r="C848" s="608" t="s">
        <v>1240</v>
      </c>
      <c r="D848" s="599">
        <v>77.680000000000007</v>
      </c>
    </row>
    <row r="849" spans="1:6">
      <c r="A849" s="606">
        <v>70381</v>
      </c>
      <c r="B849" s="607" t="s">
        <v>2376</v>
      </c>
      <c r="C849" s="608" t="s">
        <v>1240</v>
      </c>
      <c r="D849" s="599">
        <v>82.72</v>
      </c>
    </row>
    <row r="850" spans="1:6">
      <c r="A850" s="606">
        <v>70382</v>
      </c>
      <c r="B850" s="607" t="s">
        <v>2377</v>
      </c>
      <c r="C850" s="608" t="s">
        <v>1240</v>
      </c>
      <c r="D850" s="599">
        <v>73.86</v>
      </c>
    </row>
    <row r="851" spans="1:6">
      <c r="A851" s="606">
        <v>70383</v>
      </c>
      <c r="B851" s="607" t="s">
        <v>2378</v>
      </c>
      <c r="C851" s="608" t="s">
        <v>1240</v>
      </c>
      <c r="D851" s="599">
        <v>60.95</v>
      </c>
    </row>
    <row r="852" spans="1:6">
      <c r="A852" s="606">
        <v>70384</v>
      </c>
      <c r="B852" s="607" t="s">
        <v>2379</v>
      </c>
      <c r="C852" s="608" t="s">
        <v>1240</v>
      </c>
      <c r="D852" s="599">
        <v>75.209999999999994</v>
      </c>
    </row>
    <row r="853" spans="1:6">
      <c r="A853" s="606">
        <v>70385</v>
      </c>
      <c r="B853" s="607" t="s">
        <v>2380</v>
      </c>
      <c r="C853" s="608" t="s">
        <v>1240</v>
      </c>
      <c r="D853" s="599">
        <v>74.44</v>
      </c>
    </row>
    <row r="854" spans="1:6">
      <c r="A854" s="606">
        <v>70386</v>
      </c>
      <c r="B854" s="607" t="s">
        <v>2381</v>
      </c>
      <c r="C854" s="608" t="s">
        <v>1240</v>
      </c>
      <c r="D854" s="599">
        <v>93.55</v>
      </c>
    </row>
    <row r="855" spans="1:6" ht="26.4">
      <c r="A855" s="606">
        <v>70388</v>
      </c>
      <c r="B855" s="607" t="s">
        <v>2382</v>
      </c>
      <c r="C855" s="608" t="s">
        <v>1240</v>
      </c>
      <c r="D855" s="599">
        <v>145.02000000000001</v>
      </c>
    </row>
    <row r="856" spans="1:6" ht="26.4">
      <c r="A856" s="606">
        <v>70389</v>
      </c>
      <c r="B856" s="607" t="s">
        <v>2383</v>
      </c>
      <c r="C856" s="608" t="s">
        <v>1240</v>
      </c>
      <c r="D856" s="599">
        <v>179.34</v>
      </c>
    </row>
    <row r="857" spans="1:6">
      <c r="A857" s="606">
        <v>70390</v>
      </c>
      <c r="B857" s="607" t="s">
        <v>2384</v>
      </c>
      <c r="C857" s="608" t="s">
        <v>1240</v>
      </c>
      <c r="D857" s="599">
        <v>20.059999999999999</v>
      </c>
    </row>
    <row r="858" spans="1:6">
      <c r="A858" s="606">
        <v>70391</v>
      </c>
      <c r="B858" s="607" t="s">
        <v>2385</v>
      </c>
      <c r="C858" s="608" t="s">
        <v>1240</v>
      </c>
      <c r="D858" s="599">
        <v>24.78</v>
      </c>
    </row>
    <row r="859" spans="1:6">
      <c r="A859" s="606">
        <v>70397</v>
      </c>
      <c r="B859" s="607" t="s">
        <v>2386</v>
      </c>
      <c r="C859" s="608" t="s">
        <v>1240</v>
      </c>
      <c r="D859" s="599">
        <v>120.03</v>
      </c>
    </row>
    <row r="860" spans="1:6">
      <c r="A860" s="606">
        <v>70398</v>
      </c>
      <c r="B860" s="607" t="s">
        <v>2387</v>
      </c>
      <c r="C860" s="608" t="s">
        <v>1240</v>
      </c>
      <c r="D860" s="599">
        <v>135.24</v>
      </c>
    </row>
    <row r="861" spans="1:6">
      <c r="A861" s="606">
        <v>70399</v>
      </c>
      <c r="B861" s="607" t="s">
        <v>2388</v>
      </c>
      <c r="C861" s="608" t="s">
        <v>1652</v>
      </c>
      <c r="D861" s="599">
        <v>263.25</v>
      </c>
    </row>
    <row r="862" spans="1:6">
      <c r="A862" s="589">
        <v>704</v>
      </c>
      <c r="B862" s="596" t="s">
        <v>311</v>
      </c>
      <c r="C862" s="588"/>
      <c r="D862" s="599"/>
      <c r="F862" s="585"/>
    </row>
    <row r="863" spans="1:6">
      <c r="A863" s="606">
        <v>70401</v>
      </c>
      <c r="B863" s="607" t="s">
        <v>2389</v>
      </c>
      <c r="C863" s="608" t="s">
        <v>1659</v>
      </c>
      <c r="D863" s="599">
        <v>14.44</v>
      </c>
    </row>
    <row r="864" spans="1:6">
      <c r="A864" s="606">
        <v>70402</v>
      </c>
      <c r="B864" s="607" t="s">
        <v>2390</v>
      </c>
      <c r="C864" s="608" t="s">
        <v>1659</v>
      </c>
      <c r="D864" s="599">
        <v>14.34</v>
      </c>
    </row>
    <row r="865" spans="1:4">
      <c r="A865" s="606">
        <v>70403</v>
      </c>
      <c r="B865" s="607" t="s">
        <v>2391</v>
      </c>
      <c r="C865" s="608" t="s">
        <v>1659</v>
      </c>
      <c r="D865" s="599">
        <v>23.12</v>
      </c>
    </row>
    <row r="866" spans="1:4">
      <c r="A866" s="606">
        <v>70404</v>
      </c>
      <c r="B866" s="607" t="s">
        <v>2392</v>
      </c>
      <c r="C866" s="608" t="s">
        <v>1659</v>
      </c>
      <c r="D866" s="599">
        <v>14.44</v>
      </c>
    </row>
    <row r="867" spans="1:4">
      <c r="A867" s="606">
        <v>70406</v>
      </c>
      <c r="B867" s="607" t="s">
        <v>2393</v>
      </c>
      <c r="C867" s="608" t="s">
        <v>1659</v>
      </c>
      <c r="D867" s="599">
        <v>430.3</v>
      </c>
    </row>
    <row r="868" spans="1:4">
      <c r="A868" s="606">
        <v>70407</v>
      </c>
      <c r="B868" s="607" t="s">
        <v>2394</v>
      </c>
      <c r="C868" s="608" t="s">
        <v>1659</v>
      </c>
      <c r="D868" s="599">
        <v>22.06</v>
      </c>
    </row>
    <row r="869" spans="1:4">
      <c r="A869" s="606">
        <v>70408</v>
      </c>
      <c r="B869" s="607" t="s">
        <v>2395</v>
      </c>
      <c r="C869" s="608" t="s">
        <v>1659</v>
      </c>
      <c r="D869" s="599">
        <v>30.9</v>
      </c>
    </row>
    <row r="870" spans="1:4">
      <c r="A870" s="606">
        <v>70409</v>
      </c>
      <c r="B870" s="607" t="s">
        <v>2396</v>
      </c>
      <c r="C870" s="608" t="s">
        <v>1659</v>
      </c>
      <c r="D870" s="599">
        <v>19.59</v>
      </c>
    </row>
    <row r="871" spans="1:4">
      <c r="A871" s="606">
        <v>70410</v>
      </c>
      <c r="B871" s="607" t="s">
        <v>2397</v>
      </c>
      <c r="C871" s="608" t="s">
        <v>1659</v>
      </c>
      <c r="D871" s="599">
        <v>23.99</v>
      </c>
    </row>
    <row r="872" spans="1:4">
      <c r="A872" s="606">
        <v>70411</v>
      </c>
      <c r="B872" s="607" t="s">
        <v>2398</v>
      </c>
      <c r="C872" s="608" t="s">
        <v>1659</v>
      </c>
      <c r="D872" s="599">
        <v>28.36</v>
      </c>
    </row>
    <row r="873" spans="1:4">
      <c r="A873" s="606">
        <v>70412</v>
      </c>
      <c r="B873" s="607" t="s">
        <v>2399</v>
      </c>
      <c r="C873" s="608" t="s">
        <v>1659</v>
      </c>
      <c r="D873" s="599">
        <v>15.89</v>
      </c>
    </row>
    <row r="874" spans="1:4">
      <c r="A874" s="606">
        <v>70413</v>
      </c>
      <c r="B874" s="607" t="s">
        <v>2400</v>
      </c>
      <c r="C874" s="608" t="s">
        <v>1659</v>
      </c>
      <c r="D874" s="599">
        <v>39.58</v>
      </c>
    </row>
    <row r="875" spans="1:4">
      <c r="A875" s="606">
        <v>70414</v>
      </c>
      <c r="B875" s="607" t="s">
        <v>2401</v>
      </c>
      <c r="C875" s="608" t="s">
        <v>1659</v>
      </c>
      <c r="D875" s="599">
        <v>34.229999999999997</v>
      </c>
    </row>
    <row r="876" spans="1:4">
      <c r="A876" s="606">
        <v>70415</v>
      </c>
      <c r="B876" s="607" t="s">
        <v>2402</v>
      </c>
      <c r="C876" s="608" t="s">
        <v>1659</v>
      </c>
      <c r="D876" s="599">
        <v>41.44</v>
      </c>
    </row>
    <row r="877" spans="1:4">
      <c r="A877" s="606">
        <v>70416</v>
      </c>
      <c r="B877" s="607" t="s">
        <v>2403</v>
      </c>
      <c r="C877" s="608" t="s">
        <v>1659</v>
      </c>
      <c r="D877" s="599">
        <v>49.63</v>
      </c>
    </row>
    <row r="878" spans="1:4">
      <c r="A878" s="606">
        <v>70417</v>
      </c>
      <c r="B878" s="607" t="s">
        <v>2404</v>
      </c>
      <c r="C878" s="608" t="s">
        <v>1659</v>
      </c>
      <c r="D878" s="599">
        <v>16.55</v>
      </c>
    </row>
    <row r="879" spans="1:4">
      <c r="A879" s="606">
        <v>70418</v>
      </c>
      <c r="B879" s="607" t="s">
        <v>2405</v>
      </c>
      <c r="C879" s="608" t="s">
        <v>1659</v>
      </c>
      <c r="D879" s="599">
        <v>45.87</v>
      </c>
    </row>
    <row r="880" spans="1:4">
      <c r="A880" s="606">
        <v>70419</v>
      </c>
      <c r="B880" s="607" t="s">
        <v>2406</v>
      </c>
      <c r="C880" s="608" t="s">
        <v>1659</v>
      </c>
      <c r="D880" s="599">
        <v>20.85</v>
      </c>
    </row>
    <row r="881" spans="1:6">
      <c r="A881" s="606">
        <v>70420</v>
      </c>
      <c r="B881" s="607" t="s">
        <v>2407</v>
      </c>
      <c r="C881" s="608" t="s">
        <v>1659</v>
      </c>
      <c r="D881" s="599">
        <v>26.91</v>
      </c>
    </row>
    <row r="882" spans="1:6">
      <c r="A882" s="606">
        <v>70421</v>
      </c>
      <c r="B882" s="607" t="s">
        <v>2408</v>
      </c>
      <c r="C882" s="608" t="s">
        <v>1659</v>
      </c>
      <c r="D882" s="599">
        <v>51.84</v>
      </c>
      <c r="E882" s="610"/>
      <c r="F882" s="610"/>
    </row>
    <row r="883" spans="1:6">
      <c r="A883" s="606">
        <v>70422</v>
      </c>
      <c r="B883" s="607" t="s">
        <v>2409</v>
      </c>
      <c r="C883" s="608" t="s">
        <v>1659</v>
      </c>
      <c r="D883" s="599">
        <v>41.02</v>
      </c>
    </row>
    <row r="884" spans="1:6">
      <c r="A884" s="606">
        <v>70424</v>
      </c>
      <c r="B884" s="607" t="s">
        <v>2410</v>
      </c>
      <c r="C884" s="608" t="s">
        <v>1659</v>
      </c>
      <c r="D884" s="599">
        <v>85.51</v>
      </c>
    </row>
    <row r="885" spans="1:6">
      <c r="A885" s="606">
        <v>70425</v>
      </c>
      <c r="B885" s="607" t="s">
        <v>2411</v>
      </c>
      <c r="C885" s="608" t="s">
        <v>1659</v>
      </c>
      <c r="D885" s="599">
        <v>35.9</v>
      </c>
    </row>
    <row r="886" spans="1:6">
      <c r="A886" s="606">
        <v>70426</v>
      </c>
      <c r="B886" s="607" t="s">
        <v>2412</v>
      </c>
      <c r="C886" s="608" t="s">
        <v>1615</v>
      </c>
      <c r="D886" s="599">
        <v>81.73</v>
      </c>
    </row>
    <row r="887" spans="1:6">
      <c r="A887" s="606">
        <v>70428</v>
      </c>
      <c r="B887" s="607" t="s">
        <v>2413</v>
      </c>
      <c r="C887" s="608" t="s">
        <v>1615</v>
      </c>
      <c r="D887" s="599">
        <v>87.13</v>
      </c>
    </row>
    <row r="888" spans="1:6">
      <c r="A888" s="606">
        <v>70429</v>
      </c>
      <c r="B888" s="607" t="s">
        <v>2414</v>
      </c>
      <c r="C888" s="608" t="s">
        <v>1659</v>
      </c>
      <c r="D888" s="599">
        <v>21.2</v>
      </c>
    </row>
    <row r="889" spans="1:6">
      <c r="A889" s="606">
        <v>70431</v>
      </c>
      <c r="B889" s="607" t="s">
        <v>2415</v>
      </c>
      <c r="C889" s="608" t="s">
        <v>1659</v>
      </c>
      <c r="D889" s="599">
        <v>42.4</v>
      </c>
    </row>
    <row r="890" spans="1:6">
      <c r="A890" s="606">
        <v>70432</v>
      </c>
      <c r="B890" s="607" t="s">
        <v>2416</v>
      </c>
      <c r="C890" s="608" t="s">
        <v>1659</v>
      </c>
      <c r="D890" s="599">
        <v>50.51</v>
      </c>
    </row>
    <row r="891" spans="1:6">
      <c r="A891" s="606">
        <v>70433</v>
      </c>
      <c r="B891" s="607" t="s">
        <v>2417</v>
      </c>
      <c r="C891" s="608" t="s">
        <v>1659</v>
      </c>
      <c r="D891" s="599">
        <v>48.34</v>
      </c>
    </row>
    <row r="892" spans="1:6">
      <c r="A892" s="606">
        <v>70434</v>
      </c>
      <c r="B892" s="607" t="s">
        <v>2418</v>
      </c>
      <c r="C892" s="608" t="s">
        <v>1659</v>
      </c>
      <c r="D892" s="599">
        <v>68.290000000000006</v>
      </c>
    </row>
    <row r="893" spans="1:6">
      <c r="A893" s="606">
        <v>70435</v>
      </c>
      <c r="B893" s="607" t="s">
        <v>2419</v>
      </c>
      <c r="C893" s="608" t="s">
        <v>1240</v>
      </c>
      <c r="D893" s="599">
        <v>45.48</v>
      </c>
    </row>
    <row r="894" spans="1:6">
      <c r="A894" s="606">
        <v>70436</v>
      </c>
      <c r="B894" s="607" t="s">
        <v>2420</v>
      </c>
      <c r="C894" s="608" t="s">
        <v>1615</v>
      </c>
      <c r="D894" s="599">
        <v>119.09</v>
      </c>
    </row>
    <row r="895" spans="1:6">
      <c r="A895" s="606">
        <v>70437</v>
      </c>
      <c r="B895" s="607" t="s">
        <v>2421</v>
      </c>
      <c r="C895" s="608" t="s">
        <v>1659</v>
      </c>
      <c r="D895" s="599">
        <v>87.18</v>
      </c>
    </row>
    <row r="896" spans="1:6">
      <c r="A896" s="606">
        <v>70438</v>
      </c>
      <c r="B896" s="607" t="s">
        <v>2422</v>
      </c>
      <c r="C896" s="608" t="s">
        <v>1659</v>
      </c>
      <c r="D896" s="599">
        <v>22.76</v>
      </c>
    </row>
    <row r="897" spans="1:6">
      <c r="A897" s="606">
        <v>70439</v>
      </c>
      <c r="B897" s="607" t="s">
        <v>2423</v>
      </c>
      <c r="C897" s="608" t="s">
        <v>1659</v>
      </c>
      <c r="D897" s="599">
        <v>18.059999999999999</v>
      </c>
    </row>
    <row r="898" spans="1:6">
      <c r="A898" s="606">
        <v>70440</v>
      </c>
      <c r="B898" s="607" t="s">
        <v>2424</v>
      </c>
      <c r="C898" s="608" t="s">
        <v>1659</v>
      </c>
      <c r="D898" s="599">
        <v>36.9</v>
      </c>
    </row>
    <row r="899" spans="1:6">
      <c r="A899" s="606">
        <v>70441</v>
      </c>
      <c r="B899" s="607" t="s">
        <v>2425</v>
      </c>
      <c r="C899" s="608" t="s">
        <v>1659</v>
      </c>
      <c r="D899" s="599">
        <v>63.09</v>
      </c>
    </row>
    <row r="900" spans="1:6">
      <c r="A900" s="606">
        <v>70442</v>
      </c>
      <c r="B900" s="607" t="s">
        <v>2426</v>
      </c>
      <c r="C900" s="608" t="s">
        <v>1659</v>
      </c>
      <c r="D900" s="599">
        <v>62.78</v>
      </c>
    </row>
    <row r="901" spans="1:6">
      <c r="A901" s="606">
        <v>70443</v>
      </c>
      <c r="B901" s="607" t="s">
        <v>2427</v>
      </c>
      <c r="C901" s="608" t="s">
        <v>1615</v>
      </c>
      <c r="D901" s="599">
        <v>79.739999999999995</v>
      </c>
    </row>
    <row r="902" spans="1:6">
      <c r="A902" s="606">
        <v>70444</v>
      </c>
      <c r="B902" s="607" t="s">
        <v>2428</v>
      </c>
      <c r="C902" s="608" t="s">
        <v>1659</v>
      </c>
      <c r="D902" s="599">
        <v>15.75</v>
      </c>
    </row>
    <row r="903" spans="1:6" s="610" customFormat="1">
      <c r="A903" s="606">
        <v>70445</v>
      </c>
      <c r="B903" s="607" t="s">
        <v>2429</v>
      </c>
      <c r="C903" s="608" t="s">
        <v>1659</v>
      </c>
      <c r="D903" s="599">
        <v>28.76</v>
      </c>
      <c r="E903" s="581"/>
      <c r="F903" s="581"/>
    </row>
    <row r="904" spans="1:6">
      <c r="A904" s="606">
        <v>70446</v>
      </c>
      <c r="B904" s="607" t="s">
        <v>2430</v>
      </c>
      <c r="C904" s="608" t="s">
        <v>1615</v>
      </c>
      <c r="D904" s="599">
        <v>75.36</v>
      </c>
    </row>
    <row r="905" spans="1:6">
      <c r="A905" s="606">
        <v>70447</v>
      </c>
      <c r="B905" s="607" t="s">
        <v>2431</v>
      </c>
      <c r="C905" s="608" t="s">
        <v>1659</v>
      </c>
      <c r="D905" s="599">
        <v>29.4</v>
      </c>
    </row>
    <row r="906" spans="1:6">
      <c r="A906" s="606">
        <v>70448</v>
      </c>
      <c r="B906" s="607" t="s">
        <v>2432</v>
      </c>
      <c r="C906" s="608" t="s">
        <v>1659</v>
      </c>
      <c r="D906" s="599">
        <v>38.93</v>
      </c>
    </row>
    <row r="907" spans="1:6">
      <c r="A907" s="606">
        <v>70449</v>
      </c>
      <c r="B907" s="607" t="s">
        <v>2433</v>
      </c>
      <c r="C907" s="608" t="s">
        <v>1659</v>
      </c>
      <c r="D907" s="599">
        <v>54.49</v>
      </c>
    </row>
    <row r="908" spans="1:6">
      <c r="A908" s="606">
        <v>70450</v>
      </c>
      <c r="B908" s="607" t="s">
        <v>2434</v>
      </c>
      <c r="C908" s="608" t="s">
        <v>1659</v>
      </c>
      <c r="D908" s="599">
        <v>19.57</v>
      </c>
    </row>
    <row r="909" spans="1:6">
      <c r="A909" s="606">
        <v>70451</v>
      </c>
      <c r="B909" s="607" t="s">
        <v>2435</v>
      </c>
      <c r="C909" s="608" t="s">
        <v>1659</v>
      </c>
      <c r="D909" s="599">
        <v>22.4</v>
      </c>
    </row>
    <row r="910" spans="1:6">
      <c r="A910" s="606">
        <v>70452</v>
      </c>
      <c r="B910" s="607" t="s">
        <v>2436</v>
      </c>
      <c r="C910" s="608" t="s">
        <v>1659</v>
      </c>
      <c r="D910" s="599">
        <v>27.5</v>
      </c>
    </row>
    <row r="911" spans="1:6">
      <c r="A911" s="606">
        <v>70453</v>
      </c>
      <c r="B911" s="607" t="s">
        <v>2437</v>
      </c>
      <c r="C911" s="608" t="s">
        <v>1659</v>
      </c>
      <c r="D911" s="599">
        <v>35.450000000000003</v>
      </c>
    </row>
    <row r="912" spans="1:6">
      <c r="A912" s="606">
        <v>70454</v>
      </c>
      <c r="B912" s="607" t="s">
        <v>2438</v>
      </c>
      <c r="C912" s="608" t="s">
        <v>1659</v>
      </c>
      <c r="D912" s="599">
        <v>58.76</v>
      </c>
    </row>
    <row r="913" spans="1:4">
      <c r="A913" s="606">
        <v>70455</v>
      </c>
      <c r="B913" s="607" t="s">
        <v>2439</v>
      </c>
      <c r="C913" s="608" t="s">
        <v>1659</v>
      </c>
      <c r="D913" s="599">
        <v>101.11</v>
      </c>
    </row>
    <row r="914" spans="1:4">
      <c r="A914" s="606">
        <v>70456</v>
      </c>
      <c r="B914" s="607" t="s">
        <v>2440</v>
      </c>
      <c r="C914" s="608" t="s">
        <v>1659</v>
      </c>
      <c r="D914" s="599">
        <v>27.43</v>
      </c>
    </row>
    <row r="915" spans="1:4">
      <c r="A915" s="606">
        <v>70457</v>
      </c>
      <c r="B915" s="607" t="s">
        <v>2441</v>
      </c>
      <c r="C915" s="608" t="s">
        <v>1659</v>
      </c>
      <c r="D915" s="599">
        <v>27.47</v>
      </c>
    </row>
    <row r="916" spans="1:4">
      <c r="A916" s="606">
        <v>70458</v>
      </c>
      <c r="B916" s="607" t="s">
        <v>2442</v>
      </c>
      <c r="C916" s="608" t="s">
        <v>1659</v>
      </c>
      <c r="D916" s="599">
        <v>33.32</v>
      </c>
    </row>
    <row r="917" spans="1:4">
      <c r="A917" s="606">
        <v>70459</v>
      </c>
      <c r="B917" s="607" t="s">
        <v>2443</v>
      </c>
      <c r="C917" s="608" t="s">
        <v>1659</v>
      </c>
      <c r="D917" s="599">
        <v>44.73</v>
      </c>
    </row>
    <row r="918" spans="1:4">
      <c r="A918" s="606">
        <v>70460</v>
      </c>
      <c r="B918" s="607" t="s">
        <v>2444</v>
      </c>
      <c r="C918" s="608" t="s">
        <v>1615</v>
      </c>
      <c r="D918" s="599">
        <v>116.69</v>
      </c>
    </row>
    <row r="919" spans="1:4">
      <c r="A919" s="606">
        <v>70461</v>
      </c>
      <c r="B919" s="607" t="s">
        <v>2445</v>
      </c>
      <c r="C919" s="608" t="s">
        <v>1240</v>
      </c>
      <c r="D919" s="599">
        <v>433.33</v>
      </c>
    </row>
    <row r="920" spans="1:4">
      <c r="A920" s="606">
        <v>70462</v>
      </c>
      <c r="B920" s="607" t="s">
        <v>2446</v>
      </c>
      <c r="C920" s="608" t="s">
        <v>1615</v>
      </c>
      <c r="D920" s="599">
        <v>10.15</v>
      </c>
    </row>
    <row r="921" spans="1:4">
      <c r="A921" s="606">
        <v>70463</v>
      </c>
      <c r="B921" s="607" t="s">
        <v>2447</v>
      </c>
      <c r="C921" s="608" t="s">
        <v>1615</v>
      </c>
      <c r="D921" s="599">
        <v>11.76</v>
      </c>
    </row>
    <row r="922" spans="1:4">
      <c r="A922" s="606">
        <v>70464</v>
      </c>
      <c r="B922" s="607" t="s">
        <v>2448</v>
      </c>
      <c r="C922" s="608" t="s">
        <v>1615</v>
      </c>
      <c r="D922" s="599">
        <v>17.61</v>
      </c>
    </row>
    <row r="923" spans="1:4">
      <c r="A923" s="606">
        <v>70465</v>
      </c>
      <c r="B923" s="607" t="s">
        <v>2449</v>
      </c>
      <c r="C923" s="608" t="s">
        <v>1659</v>
      </c>
      <c r="D923" s="599">
        <v>64.13</v>
      </c>
    </row>
    <row r="924" spans="1:4">
      <c r="A924" s="606">
        <v>70466</v>
      </c>
      <c r="B924" s="607" t="s">
        <v>2450</v>
      </c>
      <c r="C924" s="608" t="s">
        <v>1659</v>
      </c>
      <c r="D924" s="599">
        <v>23.51</v>
      </c>
    </row>
    <row r="925" spans="1:4">
      <c r="A925" s="606">
        <v>70467</v>
      </c>
      <c r="B925" s="607" t="s">
        <v>2451</v>
      </c>
      <c r="C925" s="608" t="s">
        <v>1615</v>
      </c>
      <c r="D925" s="599">
        <v>9.92</v>
      </c>
    </row>
    <row r="926" spans="1:4">
      <c r="A926" s="606">
        <v>70468</v>
      </c>
      <c r="B926" s="607" t="s">
        <v>2452</v>
      </c>
      <c r="C926" s="608" t="s">
        <v>1615</v>
      </c>
      <c r="D926" s="599">
        <v>3.19</v>
      </c>
    </row>
    <row r="927" spans="1:4">
      <c r="A927" s="606">
        <v>70469</v>
      </c>
      <c r="B927" s="607" t="s">
        <v>2453</v>
      </c>
      <c r="C927" s="608" t="s">
        <v>1615</v>
      </c>
      <c r="D927" s="599">
        <v>6.99</v>
      </c>
    </row>
    <row r="928" spans="1:4">
      <c r="A928" s="606">
        <v>70471</v>
      </c>
      <c r="B928" s="607" t="s">
        <v>2454</v>
      </c>
      <c r="C928" s="608" t="s">
        <v>1659</v>
      </c>
      <c r="D928" s="599">
        <v>14.34</v>
      </c>
    </row>
    <row r="929" spans="1:6">
      <c r="A929" s="606">
        <v>70473</v>
      </c>
      <c r="B929" s="607" t="s">
        <v>2455</v>
      </c>
      <c r="C929" s="608" t="s">
        <v>1659</v>
      </c>
      <c r="D929" s="599">
        <v>37.65</v>
      </c>
    </row>
    <row r="930" spans="1:6">
      <c r="A930" s="606">
        <v>70474</v>
      </c>
      <c r="B930" s="607" t="s">
        <v>2456</v>
      </c>
      <c r="C930" s="608" t="s">
        <v>1659</v>
      </c>
      <c r="D930" s="599">
        <v>13.25</v>
      </c>
    </row>
    <row r="931" spans="1:6">
      <c r="A931" s="606">
        <v>70475</v>
      </c>
      <c r="B931" s="607" t="s">
        <v>2457</v>
      </c>
      <c r="C931" s="608" t="s">
        <v>1659</v>
      </c>
      <c r="D931" s="599">
        <v>12.77</v>
      </c>
    </row>
    <row r="932" spans="1:6">
      <c r="A932" s="606">
        <v>70476</v>
      </c>
      <c r="B932" s="607" t="s">
        <v>2458</v>
      </c>
      <c r="C932" s="608" t="s">
        <v>1659</v>
      </c>
      <c r="D932" s="599">
        <v>14.42</v>
      </c>
    </row>
    <row r="933" spans="1:6">
      <c r="A933" s="606">
        <v>70477</v>
      </c>
      <c r="B933" s="607" t="s">
        <v>2459</v>
      </c>
      <c r="C933" s="608" t="s">
        <v>1659</v>
      </c>
      <c r="D933" s="599">
        <v>35.56</v>
      </c>
    </row>
    <row r="934" spans="1:6">
      <c r="A934" s="606">
        <v>70478</v>
      </c>
      <c r="B934" s="607" t="s">
        <v>2460</v>
      </c>
      <c r="C934" s="608" t="s">
        <v>1659</v>
      </c>
      <c r="D934" s="599">
        <v>44.26</v>
      </c>
    </row>
    <row r="935" spans="1:6">
      <c r="A935" s="606">
        <v>70479</v>
      </c>
      <c r="B935" s="607" t="s">
        <v>2461</v>
      </c>
      <c r="C935" s="608" t="s">
        <v>1659</v>
      </c>
      <c r="D935" s="599">
        <v>31.46</v>
      </c>
    </row>
    <row r="936" spans="1:6">
      <c r="A936" s="606">
        <v>70480</v>
      </c>
      <c r="B936" s="607" t="s">
        <v>2462</v>
      </c>
      <c r="C936" s="608" t="s">
        <v>1659</v>
      </c>
      <c r="D936" s="599">
        <v>38.840000000000003</v>
      </c>
    </row>
    <row r="937" spans="1:6">
      <c r="A937" s="606">
        <v>70481</v>
      </c>
      <c r="B937" s="607" t="s">
        <v>2463</v>
      </c>
      <c r="C937" s="608" t="s">
        <v>1659</v>
      </c>
      <c r="D937" s="599">
        <v>62.03</v>
      </c>
    </row>
    <row r="938" spans="1:6">
      <c r="A938" s="606">
        <v>70482</v>
      </c>
      <c r="B938" s="607" t="s">
        <v>2464</v>
      </c>
      <c r="C938" s="608" t="s">
        <v>1659</v>
      </c>
      <c r="D938" s="599">
        <v>90.67</v>
      </c>
    </row>
    <row r="939" spans="1:6">
      <c r="A939" s="606">
        <v>70483</v>
      </c>
      <c r="B939" s="607" t="s">
        <v>2465</v>
      </c>
      <c r="C939" s="608" t="s">
        <v>1659</v>
      </c>
      <c r="D939" s="599">
        <v>69.650000000000006</v>
      </c>
    </row>
    <row r="940" spans="1:6">
      <c r="A940" s="606">
        <v>70485</v>
      </c>
      <c r="B940" s="607" t="s">
        <v>2466</v>
      </c>
      <c r="C940" s="608" t="s">
        <v>1240</v>
      </c>
      <c r="D940" s="599">
        <v>16.27</v>
      </c>
    </row>
    <row r="941" spans="1:6">
      <c r="A941" s="606">
        <v>70486</v>
      </c>
      <c r="B941" s="607" t="s">
        <v>2467</v>
      </c>
      <c r="C941" s="608" t="s">
        <v>1659</v>
      </c>
      <c r="D941" s="599">
        <v>31.54</v>
      </c>
    </row>
    <row r="942" spans="1:6">
      <c r="A942" s="606">
        <v>70487</v>
      </c>
      <c r="B942" s="607" t="s">
        <v>2468</v>
      </c>
      <c r="C942" s="608" t="s">
        <v>1659</v>
      </c>
      <c r="D942" s="599">
        <v>39.72</v>
      </c>
    </row>
    <row r="943" spans="1:6">
      <c r="A943" s="606">
        <v>70488</v>
      </c>
      <c r="B943" s="607" t="s">
        <v>2469</v>
      </c>
      <c r="C943" s="608" t="s">
        <v>1659</v>
      </c>
      <c r="D943" s="599">
        <v>63.5</v>
      </c>
    </row>
    <row r="944" spans="1:6">
      <c r="A944" s="606">
        <v>70489</v>
      </c>
      <c r="B944" s="607" t="s">
        <v>2470</v>
      </c>
      <c r="C944" s="608" t="s">
        <v>1659</v>
      </c>
      <c r="D944" s="599">
        <v>91.9</v>
      </c>
      <c r="E944" s="610"/>
      <c r="F944" s="610"/>
    </row>
    <row r="945" spans="1:6">
      <c r="A945" s="606">
        <v>70490</v>
      </c>
      <c r="B945" s="607" t="s">
        <v>2471</v>
      </c>
      <c r="C945" s="608" t="s">
        <v>1659</v>
      </c>
      <c r="D945" s="599">
        <v>28.43</v>
      </c>
    </row>
    <row r="946" spans="1:6">
      <c r="A946" s="606">
        <v>70491</v>
      </c>
      <c r="B946" s="607" t="s">
        <v>2472</v>
      </c>
      <c r="C946" s="608" t="s">
        <v>1659</v>
      </c>
      <c r="D946" s="599">
        <v>35.520000000000003</v>
      </c>
    </row>
    <row r="947" spans="1:6">
      <c r="A947" s="606">
        <v>70492</v>
      </c>
      <c r="B947" s="607" t="s">
        <v>2473</v>
      </c>
      <c r="C947" s="608" t="s">
        <v>1659</v>
      </c>
      <c r="D947" s="599">
        <v>57.21</v>
      </c>
    </row>
    <row r="948" spans="1:6">
      <c r="A948" s="606">
        <v>70493</v>
      </c>
      <c r="B948" s="607" t="s">
        <v>2474</v>
      </c>
      <c r="C948" s="608" t="s">
        <v>1659</v>
      </c>
      <c r="D948" s="599">
        <v>81.2</v>
      </c>
    </row>
    <row r="949" spans="1:6">
      <c r="A949" s="606">
        <v>70494</v>
      </c>
      <c r="B949" s="607" t="s">
        <v>2475</v>
      </c>
      <c r="C949" s="608" t="s">
        <v>1659</v>
      </c>
      <c r="D949" s="599">
        <v>94.48</v>
      </c>
    </row>
    <row r="950" spans="1:6">
      <c r="A950" s="606">
        <v>70495</v>
      </c>
      <c r="B950" s="607" t="s">
        <v>2476</v>
      </c>
      <c r="C950" s="608" t="s">
        <v>1659</v>
      </c>
      <c r="D950" s="599">
        <v>53.53</v>
      </c>
    </row>
    <row r="951" spans="1:6">
      <c r="A951" s="606">
        <v>70496</v>
      </c>
      <c r="B951" s="607" t="s">
        <v>2477</v>
      </c>
      <c r="C951" s="608" t="s">
        <v>1659</v>
      </c>
      <c r="D951" s="599">
        <v>57.24</v>
      </c>
    </row>
    <row r="952" spans="1:6">
      <c r="A952" s="606">
        <v>70497</v>
      </c>
      <c r="B952" s="607" t="s">
        <v>2478</v>
      </c>
      <c r="C952" s="608" t="s">
        <v>1659</v>
      </c>
      <c r="D952" s="599">
        <v>62.34</v>
      </c>
    </row>
    <row r="953" spans="1:6">
      <c r="A953" s="606">
        <v>70498</v>
      </c>
      <c r="B953" s="607" t="s">
        <v>2479</v>
      </c>
      <c r="C953" s="608" t="s">
        <v>1659</v>
      </c>
      <c r="D953" s="599">
        <v>59.33</v>
      </c>
    </row>
    <row r="954" spans="1:6">
      <c r="A954" s="606">
        <v>70499</v>
      </c>
      <c r="B954" s="607" t="s">
        <v>311</v>
      </c>
      <c r="C954" s="608" t="s">
        <v>1652</v>
      </c>
      <c r="D954" s="599">
        <v>263.25</v>
      </c>
    </row>
    <row r="955" spans="1:6">
      <c r="A955" s="589">
        <v>705</v>
      </c>
      <c r="B955" s="596" t="s">
        <v>2480</v>
      </c>
      <c r="C955" s="588"/>
      <c r="D955" s="599"/>
      <c r="F955" s="585"/>
    </row>
    <row r="956" spans="1:6">
      <c r="A956" s="606">
        <v>70501</v>
      </c>
      <c r="B956" s="607" t="s">
        <v>2481</v>
      </c>
      <c r="C956" s="608" t="s">
        <v>1240</v>
      </c>
      <c r="D956" s="599">
        <v>21.9</v>
      </c>
    </row>
    <row r="957" spans="1:6">
      <c r="A957" s="606">
        <v>70502</v>
      </c>
      <c r="B957" s="607" t="s">
        <v>2482</v>
      </c>
      <c r="C957" s="608" t="s">
        <v>1240</v>
      </c>
      <c r="D957" s="599">
        <v>24.84</v>
      </c>
    </row>
    <row r="958" spans="1:6">
      <c r="A958" s="606">
        <v>70504</v>
      </c>
      <c r="B958" s="607" t="s">
        <v>2483</v>
      </c>
      <c r="C958" s="608" t="s">
        <v>1240</v>
      </c>
      <c r="D958" s="599">
        <v>106.3</v>
      </c>
    </row>
    <row r="959" spans="1:6">
      <c r="A959" s="606">
        <v>70506</v>
      </c>
      <c r="B959" s="607" t="s">
        <v>2484</v>
      </c>
      <c r="C959" s="608" t="s">
        <v>1240</v>
      </c>
      <c r="D959" s="599">
        <v>105.71</v>
      </c>
    </row>
    <row r="960" spans="1:6">
      <c r="A960" s="606">
        <v>70510</v>
      </c>
      <c r="B960" s="607" t="s">
        <v>2485</v>
      </c>
      <c r="C960" s="608" t="s">
        <v>1240</v>
      </c>
      <c r="D960" s="599">
        <v>97.14</v>
      </c>
    </row>
    <row r="961" spans="1:6">
      <c r="A961" s="606">
        <v>70520</v>
      </c>
      <c r="B961" s="607" t="s">
        <v>2486</v>
      </c>
      <c r="C961" s="608" t="s">
        <v>1659</v>
      </c>
      <c r="D961" s="599">
        <v>25.76</v>
      </c>
    </row>
    <row r="962" spans="1:6">
      <c r="A962" s="606">
        <v>70540</v>
      </c>
      <c r="B962" s="607" t="s">
        <v>2487</v>
      </c>
      <c r="C962" s="608" t="s">
        <v>1659</v>
      </c>
      <c r="D962" s="599">
        <v>68.510000000000005</v>
      </c>
    </row>
    <row r="963" spans="1:6">
      <c r="A963" s="606">
        <v>70541</v>
      </c>
      <c r="B963" s="607" t="s">
        <v>2488</v>
      </c>
      <c r="C963" s="608" t="s">
        <v>1659</v>
      </c>
      <c r="D963" s="599">
        <v>64.13</v>
      </c>
    </row>
    <row r="964" spans="1:6">
      <c r="A964" s="606">
        <v>70542</v>
      </c>
      <c r="B964" s="607" t="s">
        <v>2489</v>
      </c>
      <c r="C964" s="608" t="s">
        <v>1659</v>
      </c>
      <c r="D964" s="599">
        <v>71.739999999999995</v>
      </c>
    </row>
    <row r="965" spans="1:6">
      <c r="A965" s="606">
        <v>70545</v>
      </c>
      <c r="B965" s="607" t="s">
        <v>2490</v>
      </c>
      <c r="C965" s="608" t="s">
        <v>1659</v>
      </c>
      <c r="D965" s="599">
        <v>38.56</v>
      </c>
    </row>
    <row r="966" spans="1:6">
      <c r="A966" s="606">
        <v>70546</v>
      </c>
      <c r="B966" s="607" t="s">
        <v>2491</v>
      </c>
      <c r="C966" s="608" t="s">
        <v>1659</v>
      </c>
      <c r="D966" s="599">
        <v>48.67</v>
      </c>
    </row>
    <row r="967" spans="1:6">
      <c r="A967" s="606">
        <v>70568</v>
      </c>
      <c r="B967" s="607" t="s">
        <v>2492</v>
      </c>
      <c r="C967" s="608" t="s">
        <v>1659</v>
      </c>
      <c r="D967" s="599">
        <v>58.19</v>
      </c>
    </row>
    <row r="968" spans="1:6">
      <c r="A968" s="606">
        <v>70569</v>
      </c>
      <c r="B968" s="607" t="s">
        <v>2493</v>
      </c>
      <c r="C968" s="608" t="s">
        <v>1659</v>
      </c>
      <c r="D968" s="599">
        <v>71.67</v>
      </c>
    </row>
    <row r="969" spans="1:6">
      <c r="A969" s="606">
        <v>70577</v>
      </c>
      <c r="B969" s="607" t="s">
        <v>2494</v>
      </c>
      <c r="C969" s="608" t="s">
        <v>1659</v>
      </c>
      <c r="D969" s="599">
        <v>23.18</v>
      </c>
    </row>
    <row r="970" spans="1:6">
      <c r="A970" s="606">
        <v>70580</v>
      </c>
      <c r="B970" s="607" t="s">
        <v>2495</v>
      </c>
      <c r="C970" s="608" t="s">
        <v>1240</v>
      </c>
      <c r="D970" s="599">
        <v>9.52</v>
      </c>
    </row>
    <row r="971" spans="1:6">
      <c r="A971" s="606">
        <v>70599</v>
      </c>
      <c r="B971" s="607" t="s">
        <v>2496</v>
      </c>
      <c r="C971" s="608" t="s">
        <v>1652</v>
      </c>
      <c r="D971" s="599">
        <v>263.25</v>
      </c>
    </row>
    <row r="972" spans="1:6">
      <c r="A972" s="589">
        <v>750</v>
      </c>
      <c r="B972" s="596" t="s">
        <v>2497</v>
      </c>
      <c r="C972" s="588"/>
      <c r="D972" s="599"/>
      <c r="F972" s="585"/>
    </row>
    <row r="973" spans="1:6">
      <c r="A973" s="606">
        <v>75001</v>
      </c>
      <c r="B973" s="607" t="s">
        <v>2498</v>
      </c>
      <c r="C973" s="608" t="s">
        <v>1240</v>
      </c>
      <c r="D973" s="599">
        <v>2.68</v>
      </c>
    </row>
    <row r="974" spans="1:6">
      <c r="A974" s="589">
        <v>760</v>
      </c>
      <c r="B974" s="596" t="s">
        <v>1691</v>
      </c>
      <c r="C974" s="588"/>
      <c r="D974" s="599"/>
      <c r="F974" s="585"/>
    </row>
    <row r="975" spans="1:6">
      <c r="A975" s="606">
        <v>76001</v>
      </c>
      <c r="B975" s="607" t="s">
        <v>2499</v>
      </c>
      <c r="C975" s="608" t="s">
        <v>1240</v>
      </c>
      <c r="D975" s="599">
        <v>11.71</v>
      </c>
    </row>
    <row r="976" spans="1:6">
      <c r="A976" s="606">
        <v>76002</v>
      </c>
      <c r="B976" s="607" t="s">
        <v>2500</v>
      </c>
      <c r="C976" s="608" t="s">
        <v>1240</v>
      </c>
      <c r="D976" s="599">
        <v>16.59</v>
      </c>
    </row>
    <row r="977" spans="1:6" s="610" customFormat="1">
      <c r="A977" s="606">
        <v>76005</v>
      </c>
      <c r="B977" s="607" t="s">
        <v>2501</v>
      </c>
      <c r="C977" s="608" t="s">
        <v>1240</v>
      </c>
      <c r="D977" s="599">
        <v>7.8</v>
      </c>
      <c r="E977" s="581"/>
      <c r="F977" s="581"/>
    </row>
    <row r="978" spans="1:6">
      <c r="A978" s="606">
        <v>76006</v>
      </c>
      <c r="B978" s="607" t="s">
        <v>2502</v>
      </c>
      <c r="C978" s="608" t="s">
        <v>1240</v>
      </c>
      <c r="D978" s="599">
        <v>12.69</v>
      </c>
    </row>
    <row r="979" spans="1:6">
      <c r="A979" s="606">
        <v>76010</v>
      </c>
      <c r="B979" s="607" t="s">
        <v>2503</v>
      </c>
      <c r="C979" s="608" t="s">
        <v>1659</v>
      </c>
      <c r="D979" s="599">
        <v>1.95</v>
      </c>
    </row>
    <row r="980" spans="1:6">
      <c r="A980" s="606">
        <v>76015</v>
      </c>
      <c r="B980" s="607" t="s">
        <v>2504</v>
      </c>
      <c r="C980" s="608" t="s">
        <v>1659</v>
      </c>
      <c r="D980" s="599">
        <v>1.17</v>
      </c>
    </row>
    <row r="981" spans="1:6">
      <c r="A981" s="606">
        <v>76016</v>
      </c>
      <c r="B981" s="607" t="s">
        <v>2505</v>
      </c>
      <c r="C981" s="608" t="s">
        <v>1659</v>
      </c>
      <c r="D981" s="599">
        <v>0.19</v>
      </c>
    </row>
    <row r="982" spans="1:6">
      <c r="A982" s="606">
        <v>76020</v>
      </c>
      <c r="B982" s="607" t="s">
        <v>2506</v>
      </c>
      <c r="C982" s="608" t="s">
        <v>1615</v>
      </c>
      <c r="D982" s="599">
        <v>2.92</v>
      </c>
    </row>
    <row r="983" spans="1:6">
      <c r="A983" s="606">
        <v>76050</v>
      </c>
      <c r="B983" s="607" t="s">
        <v>2507</v>
      </c>
      <c r="C983" s="608" t="s">
        <v>1240</v>
      </c>
      <c r="D983" s="599">
        <v>2.89</v>
      </c>
    </row>
    <row r="984" spans="1:6">
      <c r="A984" s="606">
        <v>76051</v>
      </c>
      <c r="B984" s="607" t="s">
        <v>2508</v>
      </c>
      <c r="C984" s="608" t="s">
        <v>1240</v>
      </c>
      <c r="D984" s="599">
        <v>1.99</v>
      </c>
    </row>
    <row r="985" spans="1:6">
      <c r="A985" s="606">
        <v>76055</v>
      </c>
      <c r="B985" s="607" t="s">
        <v>2509</v>
      </c>
      <c r="C985" s="608" t="s">
        <v>1659</v>
      </c>
      <c r="D985" s="599">
        <v>2.67</v>
      </c>
    </row>
    <row r="986" spans="1:6">
      <c r="A986" s="606">
        <v>76056</v>
      </c>
      <c r="B986" s="607" t="s">
        <v>2510</v>
      </c>
      <c r="C986" s="608" t="s">
        <v>1659</v>
      </c>
      <c r="D986" s="599">
        <v>0.66</v>
      </c>
    </row>
    <row r="987" spans="1:6">
      <c r="A987" s="606">
        <v>76060</v>
      </c>
      <c r="B987" s="607" t="s">
        <v>2511</v>
      </c>
      <c r="C987" s="608" t="s">
        <v>1240</v>
      </c>
      <c r="D987" s="599">
        <v>3.6</v>
      </c>
    </row>
    <row r="988" spans="1:6">
      <c r="A988" s="606">
        <v>76061</v>
      </c>
      <c r="B988" s="607" t="s">
        <v>2512</v>
      </c>
      <c r="C988" s="608" t="s">
        <v>1240</v>
      </c>
      <c r="D988" s="599">
        <v>2.5</v>
      </c>
    </row>
    <row r="989" spans="1:6">
      <c r="A989" s="606">
        <v>76065</v>
      </c>
      <c r="B989" s="607" t="s">
        <v>2513</v>
      </c>
      <c r="C989" s="608" t="s">
        <v>1659</v>
      </c>
      <c r="D989" s="599">
        <v>4.47</v>
      </c>
    </row>
    <row r="990" spans="1:6">
      <c r="A990" s="606">
        <v>76066</v>
      </c>
      <c r="B990" s="607" t="s">
        <v>2514</v>
      </c>
      <c r="C990" s="608" t="s">
        <v>1659</v>
      </c>
      <c r="D990" s="599">
        <v>1.1100000000000001</v>
      </c>
    </row>
    <row r="991" spans="1:6">
      <c r="A991" s="606">
        <v>76099</v>
      </c>
      <c r="B991" s="607" t="s">
        <v>1691</v>
      </c>
      <c r="C991" s="608" t="s">
        <v>1652</v>
      </c>
      <c r="D991" s="599">
        <v>263.25</v>
      </c>
    </row>
    <row r="992" spans="1:6">
      <c r="A992" s="589">
        <v>770</v>
      </c>
      <c r="B992" s="596" t="s">
        <v>2515</v>
      </c>
      <c r="C992" s="588"/>
      <c r="D992" s="599"/>
      <c r="F992" s="585"/>
    </row>
    <row r="993" spans="1:6">
      <c r="A993" s="606">
        <v>77001</v>
      </c>
      <c r="B993" s="607" t="s">
        <v>2505</v>
      </c>
      <c r="C993" s="608" t="s">
        <v>1659</v>
      </c>
      <c r="D993" s="599">
        <v>0.39</v>
      </c>
    </row>
    <row r="994" spans="1:6">
      <c r="A994" s="606">
        <v>77002</v>
      </c>
      <c r="B994" s="607" t="s">
        <v>2504</v>
      </c>
      <c r="C994" s="608" t="s">
        <v>1659</v>
      </c>
      <c r="D994" s="599">
        <v>2.79</v>
      </c>
    </row>
    <row r="995" spans="1:6">
      <c r="A995" s="606">
        <v>77003</v>
      </c>
      <c r="B995" s="607" t="s">
        <v>2516</v>
      </c>
      <c r="C995" s="608" t="s">
        <v>1659</v>
      </c>
      <c r="D995" s="599">
        <v>7.36</v>
      </c>
    </row>
    <row r="996" spans="1:6">
      <c r="A996" s="606">
        <v>77010</v>
      </c>
      <c r="B996" s="607" t="s">
        <v>2517</v>
      </c>
      <c r="C996" s="608" t="s">
        <v>1615</v>
      </c>
      <c r="D996" s="599">
        <v>6.83</v>
      </c>
    </row>
    <row r="997" spans="1:6">
      <c r="A997" s="606">
        <v>77050</v>
      </c>
      <c r="B997" s="607" t="s">
        <v>2518</v>
      </c>
      <c r="C997" s="608" t="s">
        <v>1240</v>
      </c>
      <c r="D997" s="599">
        <v>12.42</v>
      </c>
    </row>
    <row r="998" spans="1:6" s="610" customFormat="1">
      <c r="A998" s="606">
        <v>77052</v>
      </c>
      <c r="B998" s="607" t="s">
        <v>2519</v>
      </c>
      <c r="C998" s="608" t="s">
        <v>1240</v>
      </c>
      <c r="D998" s="599">
        <v>10.98</v>
      </c>
      <c r="E998" s="581"/>
      <c r="F998" s="581"/>
    </row>
    <row r="999" spans="1:6">
      <c r="A999" s="606">
        <v>77055</v>
      </c>
      <c r="B999" s="607" t="s">
        <v>2520</v>
      </c>
      <c r="C999" s="608" t="s">
        <v>1240</v>
      </c>
      <c r="D999" s="599">
        <v>7.8</v>
      </c>
    </row>
    <row r="1000" spans="1:6">
      <c r="A1000" s="606">
        <v>77080</v>
      </c>
      <c r="B1000" s="607" t="s">
        <v>2521</v>
      </c>
      <c r="C1000" s="608" t="s">
        <v>1659</v>
      </c>
      <c r="D1000" s="599">
        <v>8.93</v>
      </c>
    </row>
    <row r="1001" spans="1:6">
      <c r="A1001" s="606">
        <v>77081</v>
      </c>
      <c r="B1001" s="607" t="s">
        <v>2522</v>
      </c>
      <c r="C1001" s="608" t="s">
        <v>1659</v>
      </c>
      <c r="D1001" s="599">
        <v>3.9</v>
      </c>
    </row>
    <row r="1002" spans="1:6">
      <c r="A1002" s="606">
        <v>77099</v>
      </c>
      <c r="B1002" s="607" t="s">
        <v>2523</v>
      </c>
      <c r="C1002" s="608" t="s">
        <v>1652</v>
      </c>
      <c r="D1002" s="599">
        <v>263.25</v>
      </c>
    </row>
    <row r="1003" spans="1:6">
      <c r="A1003" s="589">
        <v>780</v>
      </c>
      <c r="B1003" s="596" t="s">
        <v>2524</v>
      </c>
      <c r="C1003" s="588"/>
      <c r="D1003" s="599"/>
      <c r="F1003" s="585"/>
    </row>
    <row r="1004" spans="1:6">
      <c r="A1004" s="606">
        <v>78001</v>
      </c>
      <c r="B1004" s="607" t="s">
        <v>2525</v>
      </c>
      <c r="C1004" s="608" t="s">
        <v>1659</v>
      </c>
      <c r="D1004" s="599">
        <v>2.42</v>
      </c>
    </row>
    <row r="1005" spans="1:6">
      <c r="A1005" s="606">
        <v>78002</v>
      </c>
      <c r="B1005" s="607" t="s">
        <v>2526</v>
      </c>
      <c r="C1005" s="608" t="s">
        <v>1659</v>
      </c>
      <c r="D1005" s="599">
        <v>10.77</v>
      </c>
    </row>
    <row r="1006" spans="1:6">
      <c r="A1006" s="606">
        <v>78003</v>
      </c>
      <c r="B1006" s="607" t="s">
        <v>2527</v>
      </c>
      <c r="C1006" s="608" t="s">
        <v>1659</v>
      </c>
      <c r="D1006" s="599">
        <v>15.86</v>
      </c>
    </row>
    <row r="1007" spans="1:6">
      <c r="A1007" s="606">
        <v>78004</v>
      </c>
      <c r="B1007" s="607" t="s">
        <v>2528</v>
      </c>
      <c r="C1007" s="608" t="s">
        <v>1659</v>
      </c>
      <c r="D1007" s="599">
        <v>25.79</v>
      </c>
    </row>
    <row r="1008" spans="1:6">
      <c r="A1008" s="606">
        <v>78005</v>
      </c>
      <c r="B1008" s="607" t="s">
        <v>2529</v>
      </c>
      <c r="C1008" s="608" t="s">
        <v>1659</v>
      </c>
      <c r="D1008" s="599">
        <v>34.28</v>
      </c>
    </row>
    <row r="1009" spans="1:6">
      <c r="A1009" s="606">
        <v>78006</v>
      </c>
      <c r="B1009" s="607" t="s">
        <v>2530</v>
      </c>
      <c r="C1009" s="608" t="s">
        <v>1659</v>
      </c>
      <c r="D1009" s="599">
        <v>3.03</v>
      </c>
    </row>
    <row r="1010" spans="1:6">
      <c r="A1010" s="606">
        <v>78008</v>
      </c>
      <c r="B1010" s="607" t="s">
        <v>2531</v>
      </c>
      <c r="C1010" s="608" t="s">
        <v>2532</v>
      </c>
      <c r="D1010" s="599">
        <v>3.88</v>
      </c>
    </row>
    <row r="1011" spans="1:6">
      <c r="A1011" s="606">
        <v>78009</v>
      </c>
      <c r="B1011" s="607" t="s">
        <v>2533</v>
      </c>
      <c r="C1011" s="608" t="s">
        <v>1650</v>
      </c>
      <c r="D1011" s="599">
        <v>3447.59</v>
      </c>
    </row>
    <row r="1012" spans="1:6">
      <c r="A1012" s="606">
        <v>78014</v>
      </c>
      <c r="B1012" s="607" t="s">
        <v>2534</v>
      </c>
      <c r="C1012" s="608" t="s">
        <v>1615</v>
      </c>
      <c r="D1012" s="599">
        <v>3.99</v>
      </c>
    </row>
    <row r="1013" spans="1:6">
      <c r="A1013" s="606">
        <v>78015</v>
      </c>
      <c r="B1013" s="607" t="s">
        <v>2535</v>
      </c>
      <c r="C1013" s="608" t="s">
        <v>1615</v>
      </c>
      <c r="D1013" s="599">
        <v>2.65</v>
      </c>
    </row>
    <row r="1014" spans="1:6" s="610" customFormat="1">
      <c r="A1014" s="606">
        <v>78016</v>
      </c>
      <c r="B1014" s="607" t="s">
        <v>2536</v>
      </c>
      <c r="C1014" s="608" t="s">
        <v>1615</v>
      </c>
      <c r="D1014" s="599">
        <v>8.5500000000000007</v>
      </c>
      <c r="E1014" s="581"/>
      <c r="F1014" s="581"/>
    </row>
    <row r="1015" spans="1:6">
      <c r="A1015" s="606">
        <v>78017</v>
      </c>
      <c r="B1015" s="607" t="s">
        <v>2537</v>
      </c>
      <c r="C1015" s="608" t="s">
        <v>1615</v>
      </c>
      <c r="D1015" s="599">
        <v>10.76</v>
      </c>
    </row>
    <row r="1016" spans="1:6">
      <c r="A1016" s="606">
        <v>78018</v>
      </c>
      <c r="B1016" s="607" t="s">
        <v>2538</v>
      </c>
      <c r="C1016" s="608" t="s">
        <v>1615</v>
      </c>
      <c r="D1016" s="599">
        <v>10.46</v>
      </c>
    </row>
    <row r="1017" spans="1:6">
      <c r="A1017" s="606">
        <v>78019</v>
      </c>
      <c r="B1017" s="607" t="s">
        <v>2539</v>
      </c>
      <c r="C1017" s="608" t="s">
        <v>1615</v>
      </c>
      <c r="D1017" s="599">
        <v>2.46</v>
      </c>
    </row>
    <row r="1018" spans="1:6">
      <c r="A1018" s="606">
        <v>78020</v>
      </c>
      <c r="B1018" s="607" t="s">
        <v>2540</v>
      </c>
      <c r="C1018" s="608" t="s">
        <v>1615</v>
      </c>
      <c r="D1018" s="599">
        <v>2.97</v>
      </c>
      <c r="E1018" s="610"/>
      <c r="F1018" s="610"/>
    </row>
    <row r="1019" spans="1:6">
      <c r="A1019" s="606">
        <v>78021</v>
      </c>
      <c r="B1019" s="607" t="s">
        <v>2541</v>
      </c>
      <c r="C1019" s="608" t="s">
        <v>1659</v>
      </c>
      <c r="D1019" s="599">
        <v>9.01</v>
      </c>
    </row>
    <row r="1020" spans="1:6">
      <c r="A1020" s="606">
        <v>78030</v>
      </c>
      <c r="B1020" s="607" t="s">
        <v>2315</v>
      </c>
      <c r="C1020" s="608" t="s">
        <v>1240</v>
      </c>
      <c r="D1020" s="599">
        <v>32.31</v>
      </c>
    </row>
    <row r="1021" spans="1:6">
      <c r="A1021" s="606">
        <v>78031</v>
      </c>
      <c r="B1021" s="607" t="s">
        <v>2542</v>
      </c>
      <c r="C1021" s="608" t="s">
        <v>1240</v>
      </c>
      <c r="D1021" s="599">
        <v>360.76</v>
      </c>
    </row>
    <row r="1022" spans="1:6">
      <c r="A1022" s="606">
        <v>78032</v>
      </c>
      <c r="B1022" s="607" t="s">
        <v>2543</v>
      </c>
      <c r="C1022" s="608" t="s">
        <v>1659</v>
      </c>
      <c r="D1022" s="599">
        <v>14.44</v>
      </c>
    </row>
    <row r="1023" spans="1:6">
      <c r="A1023" s="606">
        <v>78033</v>
      </c>
      <c r="B1023" s="607" t="s">
        <v>2544</v>
      </c>
      <c r="C1023" s="608" t="s">
        <v>1240</v>
      </c>
      <c r="D1023" s="599">
        <v>47.01</v>
      </c>
    </row>
    <row r="1024" spans="1:6">
      <c r="A1024" s="606">
        <v>78063</v>
      </c>
      <c r="B1024" s="607" t="s">
        <v>2545</v>
      </c>
      <c r="C1024" s="608" t="s">
        <v>1240</v>
      </c>
      <c r="D1024" s="599">
        <v>10.09</v>
      </c>
    </row>
    <row r="1025" spans="1:6">
      <c r="A1025" s="606">
        <v>78087</v>
      </c>
      <c r="B1025" s="607" t="s">
        <v>2546</v>
      </c>
      <c r="C1025" s="608" t="s">
        <v>1615</v>
      </c>
      <c r="D1025" s="599">
        <v>3.29</v>
      </c>
    </row>
    <row r="1026" spans="1:6">
      <c r="A1026" s="606">
        <v>78088</v>
      </c>
      <c r="B1026" s="607" t="s">
        <v>2547</v>
      </c>
      <c r="C1026" s="608" t="s">
        <v>1615</v>
      </c>
      <c r="D1026" s="599">
        <v>4.09</v>
      </c>
    </row>
    <row r="1027" spans="1:6">
      <c r="A1027" s="606">
        <v>78089</v>
      </c>
      <c r="B1027" s="607" t="s">
        <v>2548</v>
      </c>
      <c r="C1027" s="608" t="s">
        <v>1615</v>
      </c>
      <c r="D1027" s="599">
        <v>3.42</v>
      </c>
    </row>
    <row r="1028" spans="1:6">
      <c r="A1028" s="606">
        <v>78090</v>
      </c>
      <c r="B1028" s="607" t="s">
        <v>2549</v>
      </c>
      <c r="C1028" s="608" t="s">
        <v>1240</v>
      </c>
      <c r="D1028" s="599">
        <v>7.11</v>
      </c>
    </row>
    <row r="1029" spans="1:6">
      <c r="A1029" s="606">
        <v>78091</v>
      </c>
      <c r="B1029" s="607" t="s">
        <v>2550</v>
      </c>
      <c r="C1029" s="608" t="s">
        <v>1659</v>
      </c>
      <c r="D1029" s="599">
        <v>6.46</v>
      </c>
    </row>
    <row r="1030" spans="1:6">
      <c r="A1030" s="606">
        <v>78099</v>
      </c>
      <c r="B1030" s="607" t="s">
        <v>2551</v>
      </c>
      <c r="C1030" s="608" t="s">
        <v>1652</v>
      </c>
      <c r="D1030" s="599">
        <v>263.25</v>
      </c>
    </row>
    <row r="1031" spans="1:6">
      <c r="A1031" s="589">
        <v>8</v>
      </c>
      <c r="B1031" s="596" t="s">
        <v>324</v>
      </c>
      <c r="C1031" s="588"/>
      <c r="D1031" s="599"/>
      <c r="F1031" s="585"/>
    </row>
    <row r="1032" spans="1:6">
      <c r="A1032" s="589">
        <v>801</v>
      </c>
      <c r="B1032" s="596" t="s">
        <v>327</v>
      </c>
      <c r="C1032" s="588"/>
      <c r="D1032" s="599"/>
      <c r="F1032" s="585"/>
    </row>
    <row r="1033" spans="1:6">
      <c r="A1033" s="606">
        <v>80101</v>
      </c>
      <c r="B1033" s="607" t="s">
        <v>2552</v>
      </c>
      <c r="C1033" s="608" t="s">
        <v>1615</v>
      </c>
      <c r="D1033" s="599">
        <v>560.98</v>
      </c>
    </row>
    <row r="1034" spans="1:6">
      <c r="A1034" s="606">
        <v>80102</v>
      </c>
      <c r="B1034" s="607" t="s">
        <v>2553</v>
      </c>
      <c r="C1034" s="608" t="s">
        <v>1615</v>
      </c>
      <c r="D1034" s="599">
        <v>585.03</v>
      </c>
    </row>
    <row r="1035" spans="1:6">
      <c r="A1035" s="606">
        <v>80103</v>
      </c>
      <c r="B1035" s="607" t="s">
        <v>2554</v>
      </c>
      <c r="C1035" s="608" t="s">
        <v>1615</v>
      </c>
      <c r="D1035" s="599">
        <v>1299.8399999999999</v>
      </c>
    </row>
    <row r="1036" spans="1:6">
      <c r="A1036" s="606">
        <v>80104</v>
      </c>
      <c r="B1036" s="607" t="s">
        <v>2555</v>
      </c>
      <c r="C1036" s="608" t="s">
        <v>1615</v>
      </c>
      <c r="D1036" s="599">
        <v>1328.48</v>
      </c>
    </row>
    <row r="1037" spans="1:6">
      <c r="A1037" s="606">
        <v>80105</v>
      </c>
      <c r="B1037" s="607" t="s">
        <v>2556</v>
      </c>
      <c r="C1037" s="608" t="s">
        <v>1615</v>
      </c>
      <c r="D1037" s="599">
        <v>3454.25</v>
      </c>
    </row>
    <row r="1038" spans="1:6">
      <c r="A1038" s="606">
        <v>80110</v>
      </c>
      <c r="B1038" s="607" t="s">
        <v>2557</v>
      </c>
      <c r="C1038" s="608" t="s">
        <v>1615</v>
      </c>
      <c r="D1038" s="599">
        <v>387.62</v>
      </c>
    </row>
    <row r="1039" spans="1:6">
      <c r="A1039" s="606">
        <v>80115</v>
      </c>
      <c r="B1039" s="607" t="s">
        <v>2558</v>
      </c>
      <c r="C1039" s="608" t="s">
        <v>1615</v>
      </c>
      <c r="D1039" s="599">
        <v>158.94</v>
      </c>
      <c r="E1039" s="610"/>
      <c r="F1039" s="610"/>
    </row>
    <row r="1040" spans="1:6">
      <c r="A1040" s="606">
        <v>80116</v>
      </c>
      <c r="B1040" s="607" t="s">
        <v>2559</v>
      </c>
      <c r="C1040" s="608" t="s">
        <v>1615</v>
      </c>
      <c r="D1040" s="599">
        <v>192.26</v>
      </c>
    </row>
    <row r="1041" spans="1:6">
      <c r="A1041" s="606">
        <v>80117</v>
      </c>
      <c r="B1041" s="607" t="s">
        <v>2560</v>
      </c>
      <c r="C1041" s="608" t="s">
        <v>1615</v>
      </c>
      <c r="D1041" s="599">
        <v>270.17</v>
      </c>
    </row>
    <row r="1042" spans="1:6">
      <c r="A1042" s="606">
        <v>80199</v>
      </c>
      <c r="B1042" s="607" t="s">
        <v>2561</v>
      </c>
      <c r="C1042" s="608" t="s">
        <v>1652</v>
      </c>
      <c r="D1042" s="599">
        <v>263.25</v>
      </c>
    </row>
    <row r="1043" spans="1:6">
      <c r="A1043" s="589">
        <v>802</v>
      </c>
      <c r="B1043" s="596" t="s">
        <v>332</v>
      </c>
      <c r="C1043" s="588"/>
      <c r="D1043" s="599"/>
      <c r="F1043" s="585"/>
    </row>
    <row r="1044" spans="1:6">
      <c r="A1044" s="606">
        <v>80201</v>
      </c>
      <c r="B1044" s="607" t="s">
        <v>2562</v>
      </c>
      <c r="C1044" s="608" t="s">
        <v>1615</v>
      </c>
      <c r="D1044" s="599">
        <v>3298.29</v>
      </c>
    </row>
    <row r="1045" spans="1:6">
      <c r="A1045" s="606">
        <v>80202</v>
      </c>
      <c r="B1045" s="607" t="s">
        <v>2563</v>
      </c>
      <c r="C1045" s="608" t="s">
        <v>1615</v>
      </c>
      <c r="D1045" s="599">
        <v>4797.22</v>
      </c>
    </row>
    <row r="1046" spans="1:6">
      <c r="A1046" s="606">
        <v>80203</v>
      </c>
      <c r="B1046" s="607" t="s">
        <v>2564</v>
      </c>
      <c r="C1046" s="608" t="s">
        <v>1615</v>
      </c>
      <c r="D1046" s="599">
        <v>6445.48</v>
      </c>
    </row>
    <row r="1047" spans="1:6">
      <c r="A1047" s="606">
        <v>80204</v>
      </c>
      <c r="B1047" s="607" t="s">
        <v>2565</v>
      </c>
      <c r="C1047" s="608" t="s">
        <v>1615</v>
      </c>
      <c r="D1047" s="599">
        <v>847.62</v>
      </c>
    </row>
    <row r="1048" spans="1:6">
      <c r="A1048" s="606">
        <v>80205</v>
      </c>
      <c r="B1048" s="607" t="s">
        <v>2566</v>
      </c>
      <c r="C1048" s="608" t="s">
        <v>1615</v>
      </c>
      <c r="D1048" s="599">
        <v>1040.32</v>
      </c>
    </row>
    <row r="1049" spans="1:6">
      <c r="A1049" s="606">
        <v>80216</v>
      </c>
      <c r="B1049" s="607" t="s">
        <v>2567</v>
      </c>
      <c r="C1049" s="608" t="s">
        <v>1659</v>
      </c>
      <c r="D1049" s="599">
        <v>7.65</v>
      </c>
    </row>
    <row r="1050" spans="1:6">
      <c r="A1050" s="606">
        <v>80217</v>
      </c>
      <c r="B1050" s="607" t="s">
        <v>2568</v>
      </c>
      <c r="C1050" s="608" t="s">
        <v>1659</v>
      </c>
      <c r="D1050" s="599">
        <v>5.21</v>
      </c>
    </row>
    <row r="1051" spans="1:6">
      <c r="A1051" s="606">
        <v>80220</v>
      </c>
      <c r="B1051" s="607" t="s">
        <v>2569</v>
      </c>
      <c r="C1051" s="608" t="s">
        <v>1615</v>
      </c>
      <c r="D1051" s="599">
        <v>88.73</v>
      </c>
    </row>
    <row r="1052" spans="1:6" s="610" customFormat="1">
      <c r="A1052" s="606">
        <v>80221</v>
      </c>
      <c r="B1052" s="607" t="s">
        <v>2570</v>
      </c>
      <c r="C1052" s="608" t="s">
        <v>1615</v>
      </c>
      <c r="D1052" s="599">
        <v>373.56</v>
      </c>
      <c r="E1052" s="581"/>
      <c r="F1052" s="581"/>
    </row>
    <row r="1053" spans="1:6">
      <c r="A1053" s="606">
        <v>80240</v>
      </c>
      <c r="B1053" s="607" t="s">
        <v>2571</v>
      </c>
      <c r="C1053" s="608" t="s">
        <v>1659</v>
      </c>
      <c r="D1053" s="599">
        <v>77.37</v>
      </c>
    </row>
    <row r="1054" spans="1:6">
      <c r="A1054" s="606">
        <v>80241</v>
      </c>
      <c r="B1054" s="607" t="s">
        <v>2572</v>
      </c>
      <c r="C1054" s="608" t="s">
        <v>1659</v>
      </c>
      <c r="D1054" s="599">
        <v>83.99</v>
      </c>
    </row>
    <row r="1055" spans="1:6">
      <c r="A1055" s="606">
        <v>80242</v>
      </c>
      <c r="B1055" s="607" t="s">
        <v>2573</v>
      </c>
      <c r="C1055" s="608" t="s">
        <v>1659</v>
      </c>
      <c r="D1055" s="599">
        <v>111.49</v>
      </c>
      <c r="E1055" s="610"/>
      <c r="F1055" s="610"/>
    </row>
    <row r="1056" spans="1:6">
      <c r="A1056" s="606">
        <v>80243</v>
      </c>
      <c r="B1056" s="607" t="s">
        <v>2574</v>
      </c>
      <c r="C1056" s="608" t="s">
        <v>1659</v>
      </c>
      <c r="D1056" s="599">
        <v>118.8</v>
      </c>
    </row>
    <row r="1057" spans="1:6">
      <c r="A1057" s="606">
        <v>80250</v>
      </c>
      <c r="B1057" s="607" t="s">
        <v>2575</v>
      </c>
      <c r="C1057" s="608" t="s">
        <v>1659</v>
      </c>
      <c r="D1057" s="599">
        <v>21.19</v>
      </c>
    </row>
    <row r="1058" spans="1:6">
      <c r="A1058" s="606">
        <v>80260</v>
      </c>
      <c r="B1058" s="607" t="s">
        <v>2576</v>
      </c>
      <c r="C1058" s="608" t="s">
        <v>1659</v>
      </c>
      <c r="D1058" s="599">
        <v>51.18</v>
      </c>
    </row>
    <row r="1059" spans="1:6">
      <c r="A1059" s="606">
        <v>80261</v>
      </c>
      <c r="B1059" s="607" t="s">
        <v>2577</v>
      </c>
      <c r="C1059" s="608" t="s">
        <v>1659</v>
      </c>
      <c r="D1059" s="599">
        <v>65.72</v>
      </c>
    </row>
    <row r="1060" spans="1:6" s="610" customFormat="1">
      <c r="A1060" s="606">
        <v>80262</v>
      </c>
      <c r="B1060" s="607" t="s">
        <v>2578</v>
      </c>
      <c r="C1060" s="608" t="s">
        <v>1659</v>
      </c>
      <c r="D1060" s="599">
        <v>78.849999999999994</v>
      </c>
      <c r="E1060" s="581"/>
      <c r="F1060" s="581"/>
    </row>
    <row r="1061" spans="1:6">
      <c r="A1061" s="606">
        <v>80263</v>
      </c>
      <c r="B1061" s="607" t="s">
        <v>2579</v>
      </c>
      <c r="C1061" s="608" t="s">
        <v>1659</v>
      </c>
      <c r="D1061" s="599">
        <v>103.11</v>
      </c>
    </row>
    <row r="1062" spans="1:6">
      <c r="A1062" s="606">
        <v>80264</v>
      </c>
      <c r="B1062" s="607" t="s">
        <v>2580</v>
      </c>
      <c r="C1062" s="608" t="s">
        <v>1659</v>
      </c>
      <c r="D1062" s="599">
        <v>120.34</v>
      </c>
    </row>
    <row r="1063" spans="1:6">
      <c r="A1063" s="606">
        <v>80299</v>
      </c>
      <c r="B1063" s="607" t="s">
        <v>2581</v>
      </c>
      <c r="C1063" s="608" t="s">
        <v>1652</v>
      </c>
      <c r="D1063" s="599">
        <v>263.25</v>
      </c>
    </row>
    <row r="1064" spans="1:6">
      <c r="A1064" s="589">
        <v>803</v>
      </c>
      <c r="B1064" s="596" t="s">
        <v>2582</v>
      </c>
      <c r="C1064" s="588"/>
      <c r="D1064" s="599"/>
      <c r="F1064" s="585"/>
    </row>
    <row r="1065" spans="1:6">
      <c r="A1065" s="606">
        <v>80301</v>
      </c>
      <c r="B1065" s="607" t="s">
        <v>2583</v>
      </c>
      <c r="C1065" s="608" t="s">
        <v>1659</v>
      </c>
      <c r="D1065" s="599">
        <v>29.39</v>
      </c>
    </row>
    <row r="1066" spans="1:6">
      <c r="A1066" s="606">
        <v>80302</v>
      </c>
      <c r="B1066" s="607" t="s">
        <v>2584</v>
      </c>
      <c r="C1066" s="608" t="s">
        <v>1659</v>
      </c>
      <c r="D1066" s="599">
        <v>37.200000000000003</v>
      </c>
    </row>
    <row r="1067" spans="1:6">
      <c r="A1067" s="606">
        <v>80303</v>
      </c>
      <c r="B1067" s="607" t="s">
        <v>2585</v>
      </c>
      <c r="C1067" s="608" t="s">
        <v>1659</v>
      </c>
      <c r="D1067" s="599">
        <v>51.98</v>
      </c>
    </row>
    <row r="1068" spans="1:6">
      <c r="A1068" s="606">
        <v>80304</v>
      </c>
      <c r="B1068" s="607" t="s">
        <v>2586</v>
      </c>
      <c r="C1068" s="608" t="s">
        <v>1659</v>
      </c>
      <c r="D1068" s="599">
        <v>62.14</v>
      </c>
    </row>
    <row r="1069" spans="1:6">
      <c r="A1069" s="606">
        <v>80305</v>
      </c>
      <c r="B1069" s="607" t="s">
        <v>2587</v>
      </c>
      <c r="C1069" s="608" t="s">
        <v>1659</v>
      </c>
      <c r="D1069" s="599">
        <v>69.489999999999995</v>
      </c>
    </row>
    <row r="1070" spans="1:6" s="610" customFormat="1">
      <c r="A1070" s="606">
        <v>80306</v>
      </c>
      <c r="B1070" s="607" t="s">
        <v>2588</v>
      </c>
      <c r="C1070" s="608" t="s">
        <v>1659</v>
      </c>
      <c r="D1070" s="599">
        <v>89.47</v>
      </c>
      <c r="E1070" s="581"/>
      <c r="F1070" s="581"/>
    </row>
    <row r="1071" spans="1:6">
      <c r="A1071" s="606">
        <v>80307</v>
      </c>
      <c r="B1071" s="607" t="s">
        <v>2589</v>
      </c>
      <c r="C1071" s="608" t="s">
        <v>1659</v>
      </c>
      <c r="D1071" s="599">
        <v>109.38</v>
      </c>
    </row>
    <row r="1072" spans="1:6">
      <c r="A1072" s="606">
        <v>80308</v>
      </c>
      <c r="B1072" s="607" t="s">
        <v>2590</v>
      </c>
      <c r="C1072" s="608" t="s">
        <v>1659</v>
      </c>
      <c r="D1072" s="599">
        <v>126.49</v>
      </c>
    </row>
    <row r="1073" spans="1:6">
      <c r="A1073" s="606">
        <v>80309</v>
      </c>
      <c r="B1073" s="607" t="s">
        <v>2591</v>
      </c>
      <c r="C1073" s="608" t="s">
        <v>1659</v>
      </c>
      <c r="D1073" s="599">
        <v>168.61</v>
      </c>
    </row>
    <row r="1074" spans="1:6">
      <c r="A1074" s="606">
        <v>80310</v>
      </c>
      <c r="B1074" s="607" t="s">
        <v>2592</v>
      </c>
      <c r="C1074" s="608" t="s">
        <v>1659</v>
      </c>
      <c r="D1074" s="599">
        <v>240.28</v>
      </c>
    </row>
    <row r="1075" spans="1:6">
      <c r="A1075" s="606">
        <v>80312</v>
      </c>
      <c r="B1075" s="607" t="s">
        <v>2567</v>
      </c>
      <c r="C1075" s="608" t="s">
        <v>1659</v>
      </c>
      <c r="D1075" s="599">
        <v>7.65</v>
      </c>
    </row>
    <row r="1076" spans="1:6">
      <c r="A1076" s="606">
        <v>80315</v>
      </c>
      <c r="B1076" s="607" t="s">
        <v>2593</v>
      </c>
      <c r="C1076" s="608" t="s">
        <v>1659</v>
      </c>
      <c r="D1076" s="599">
        <v>9.48</v>
      </c>
    </row>
    <row r="1077" spans="1:6">
      <c r="A1077" s="606">
        <v>80316</v>
      </c>
      <c r="B1077" s="607" t="s">
        <v>2594</v>
      </c>
      <c r="C1077" s="608" t="s">
        <v>1659</v>
      </c>
      <c r="D1077" s="599">
        <v>11.27</v>
      </c>
    </row>
    <row r="1078" spans="1:6">
      <c r="A1078" s="606">
        <v>80317</v>
      </c>
      <c r="B1078" s="607" t="s">
        <v>2595</v>
      </c>
      <c r="C1078" s="608" t="s">
        <v>1659</v>
      </c>
      <c r="D1078" s="599">
        <v>15.32</v>
      </c>
    </row>
    <row r="1079" spans="1:6">
      <c r="A1079" s="606">
        <v>80318</v>
      </c>
      <c r="B1079" s="607" t="s">
        <v>2596</v>
      </c>
      <c r="C1079" s="608" t="s">
        <v>1659</v>
      </c>
      <c r="D1079" s="599">
        <v>21.43</v>
      </c>
    </row>
    <row r="1080" spans="1:6" s="610" customFormat="1">
      <c r="A1080" s="606">
        <v>80319</v>
      </c>
      <c r="B1080" s="607" t="s">
        <v>2597</v>
      </c>
      <c r="C1080" s="608" t="s">
        <v>1659</v>
      </c>
      <c r="D1080" s="599">
        <v>22.87</v>
      </c>
      <c r="E1080" s="581"/>
      <c r="F1080" s="581"/>
    </row>
    <row r="1081" spans="1:6">
      <c r="A1081" s="606">
        <v>80320</v>
      </c>
      <c r="B1081" s="607" t="s">
        <v>2598</v>
      </c>
      <c r="C1081" s="608" t="s">
        <v>1659</v>
      </c>
      <c r="D1081" s="599">
        <v>29.64</v>
      </c>
    </row>
    <row r="1082" spans="1:6">
      <c r="A1082" s="606">
        <v>80321</v>
      </c>
      <c r="B1082" s="607" t="s">
        <v>2599</v>
      </c>
      <c r="C1082" s="608" t="s">
        <v>1659</v>
      </c>
      <c r="D1082" s="599">
        <v>42.16</v>
      </c>
    </row>
    <row r="1083" spans="1:6">
      <c r="A1083" s="606">
        <v>80322</v>
      </c>
      <c r="B1083" s="607" t="s">
        <v>2600</v>
      </c>
      <c r="C1083" s="608" t="s">
        <v>1659</v>
      </c>
      <c r="D1083" s="599">
        <v>49.83</v>
      </c>
    </row>
    <row r="1084" spans="1:6">
      <c r="A1084" s="606">
        <v>80323</v>
      </c>
      <c r="B1084" s="607" t="s">
        <v>2601</v>
      </c>
      <c r="C1084" s="608" t="s">
        <v>1659</v>
      </c>
      <c r="D1084" s="599">
        <v>82.74</v>
      </c>
    </row>
    <row r="1085" spans="1:6">
      <c r="A1085" s="606">
        <v>80399</v>
      </c>
      <c r="B1085" s="607" t="s">
        <v>2602</v>
      </c>
      <c r="C1085" s="608" t="s">
        <v>1652</v>
      </c>
      <c r="D1085" s="599">
        <v>263.25</v>
      </c>
    </row>
    <row r="1086" spans="1:6">
      <c r="A1086" s="589">
        <v>804</v>
      </c>
      <c r="B1086" s="596" t="s">
        <v>2603</v>
      </c>
      <c r="C1086" s="588"/>
      <c r="D1086" s="599"/>
      <c r="F1086" s="585"/>
    </row>
    <row r="1087" spans="1:6">
      <c r="A1087" s="606">
        <v>80401</v>
      </c>
      <c r="B1087" s="607" t="s">
        <v>2604</v>
      </c>
      <c r="C1087" s="608" t="s">
        <v>1615</v>
      </c>
      <c r="D1087" s="599">
        <v>30.72</v>
      </c>
    </row>
    <row r="1088" spans="1:6">
      <c r="A1088" s="606">
        <v>80402</v>
      </c>
      <c r="B1088" s="607" t="s">
        <v>2605</v>
      </c>
      <c r="C1088" s="608" t="s">
        <v>1615</v>
      </c>
      <c r="D1088" s="599">
        <v>33.130000000000003</v>
      </c>
    </row>
    <row r="1089" spans="1:6">
      <c r="A1089" s="606">
        <v>80403</v>
      </c>
      <c r="B1089" s="607" t="s">
        <v>2606</v>
      </c>
      <c r="C1089" s="608" t="s">
        <v>1615</v>
      </c>
      <c r="D1089" s="599">
        <v>42.22</v>
      </c>
    </row>
    <row r="1090" spans="1:6">
      <c r="A1090" s="606">
        <v>80404</v>
      </c>
      <c r="B1090" s="607" t="s">
        <v>2607</v>
      </c>
      <c r="C1090" s="608" t="s">
        <v>1615</v>
      </c>
      <c r="D1090" s="599">
        <v>61.08</v>
      </c>
    </row>
    <row r="1091" spans="1:6">
      <c r="A1091" s="606">
        <v>80405</v>
      </c>
      <c r="B1091" s="607" t="s">
        <v>2608</v>
      </c>
      <c r="C1091" s="608" t="s">
        <v>1615</v>
      </c>
      <c r="D1091" s="599">
        <v>73.430000000000007</v>
      </c>
    </row>
    <row r="1092" spans="1:6">
      <c r="A1092" s="606">
        <v>80406</v>
      </c>
      <c r="B1092" s="607" t="s">
        <v>2609</v>
      </c>
      <c r="C1092" s="608" t="s">
        <v>1615</v>
      </c>
      <c r="D1092" s="599">
        <v>95.12</v>
      </c>
    </row>
    <row r="1093" spans="1:6">
      <c r="A1093" s="606">
        <v>80407</v>
      </c>
      <c r="B1093" s="607" t="s">
        <v>2610</v>
      </c>
      <c r="C1093" s="608" t="s">
        <v>1615</v>
      </c>
      <c r="D1093" s="599">
        <v>231.86</v>
      </c>
      <c r="E1093" s="610"/>
      <c r="F1093" s="610"/>
    </row>
    <row r="1094" spans="1:6">
      <c r="A1094" s="606">
        <v>80408</v>
      </c>
      <c r="B1094" s="607" t="s">
        <v>2611</v>
      </c>
      <c r="C1094" s="608" t="s">
        <v>1615</v>
      </c>
      <c r="D1094" s="599">
        <v>342.83</v>
      </c>
    </row>
    <row r="1095" spans="1:6" s="610" customFormat="1">
      <c r="A1095" s="606">
        <v>80409</v>
      </c>
      <c r="B1095" s="607" t="s">
        <v>2612</v>
      </c>
      <c r="C1095" s="608" t="s">
        <v>1615</v>
      </c>
      <c r="D1095" s="599">
        <v>554.59</v>
      </c>
      <c r="E1095" s="581"/>
      <c r="F1095" s="581"/>
    </row>
    <row r="1096" spans="1:6">
      <c r="A1096" s="606">
        <v>80415</v>
      </c>
      <c r="B1096" s="607" t="s">
        <v>2613</v>
      </c>
      <c r="C1096" s="608" t="s">
        <v>1615</v>
      </c>
      <c r="D1096" s="599">
        <v>34.49</v>
      </c>
    </row>
    <row r="1097" spans="1:6">
      <c r="A1097" s="606">
        <v>80416</v>
      </c>
      <c r="B1097" s="607" t="s">
        <v>2614</v>
      </c>
      <c r="C1097" s="608" t="s">
        <v>1615</v>
      </c>
      <c r="D1097" s="599">
        <v>39.08</v>
      </c>
    </row>
    <row r="1098" spans="1:6">
      <c r="A1098" s="606">
        <v>80421</v>
      </c>
      <c r="B1098" s="607" t="s">
        <v>2615</v>
      </c>
      <c r="C1098" s="608" t="s">
        <v>1615</v>
      </c>
      <c r="D1098" s="599">
        <v>58.74</v>
      </c>
    </row>
    <row r="1099" spans="1:6" s="610" customFormat="1">
      <c r="A1099" s="606">
        <v>80422</v>
      </c>
      <c r="B1099" s="607" t="s">
        <v>2616</v>
      </c>
      <c r="C1099" s="608" t="s">
        <v>1615</v>
      </c>
      <c r="D1099" s="599">
        <v>70.459999999999994</v>
      </c>
      <c r="E1099" s="581"/>
      <c r="F1099" s="581"/>
    </row>
    <row r="1100" spans="1:6">
      <c r="A1100" s="606">
        <v>80423</v>
      </c>
      <c r="B1100" s="607" t="s">
        <v>2617</v>
      </c>
      <c r="C1100" s="608" t="s">
        <v>1615</v>
      </c>
      <c r="D1100" s="599">
        <v>83.41</v>
      </c>
    </row>
    <row r="1101" spans="1:6">
      <c r="A1101" s="606">
        <v>80424</v>
      </c>
      <c r="B1101" s="607" t="s">
        <v>2618</v>
      </c>
      <c r="C1101" s="608" t="s">
        <v>1615</v>
      </c>
      <c r="D1101" s="599">
        <v>114.31</v>
      </c>
      <c r="E1101" s="610"/>
      <c r="F1101" s="610"/>
    </row>
    <row r="1102" spans="1:6">
      <c r="A1102" s="606">
        <v>80425</v>
      </c>
      <c r="B1102" s="607" t="s">
        <v>2619</v>
      </c>
      <c r="C1102" s="608" t="s">
        <v>1615</v>
      </c>
      <c r="D1102" s="599">
        <v>127.54</v>
      </c>
    </row>
    <row r="1103" spans="1:6">
      <c r="A1103" s="606">
        <v>80431</v>
      </c>
      <c r="B1103" s="607" t="s">
        <v>2620</v>
      </c>
      <c r="C1103" s="608" t="s">
        <v>1615</v>
      </c>
      <c r="D1103" s="599">
        <v>59.7</v>
      </c>
    </row>
    <row r="1104" spans="1:6">
      <c r="A1104" s="606">
        <v>80432</v>
      </c>
      <c r="B1104" s="607" t="s">
        <v>2621</v>
      </c>
      <c r="C1104" s="608" t="s">
        <v>1615</v>
      </c>
      <c r="D1104" s="599">
        <v>68.88</v>
      </c>
    </row>
    <row r="1105" spans="1:6">
      <c r="A1105" s="606">
        <v>80441</v>
      </c>
      <c r="B1105" s="607" t="s">
        <v>2622</v>
      </c>
      <c r="C1105" s="608" t="s">
        <v>1615</v>
      </c>
      <c r="D1105" s="599">
        <v>111.19</v>
      </c>
    </row>
    <row r="1106" spans="1:6">
      <c r="A1106" s="606">
        <v>80442</v>
      </c>
      <c r="B1106" s="607" t="s">
        <v>2623</v>
      </c>
      <c r="C1106" s="608" t="s">
        <v>1615</v>
      </c>
      <c r="D1106" s="599">
        <v>111.19</v>
      </c>
    </row>
    <row r="1107" spans="1:6">
      <c r="A1107" s="606">
        <v>80443</v>
      </c>
      <c r="B1107" s="607" t="s">
        <v>2624</v>
      </c>
      <c r="C1107" s="608" t="s">
        <v>1615</v>
      </c>
      <c r="D1107" s="599">
        <v>270.81</v>
      </c>
    </row>
    <row r="1108" spans="1:6">
      <c r="A1108" s="606">
        <v>80444</v>
      </c>
      <c r="B1108" s="607" t="s">
        <v>2625</v>
      </c>
      <c r="C1108" s="608" t="s">
        <v>1615</v>
      </c>
      <c r="D1108" s="599">
        <v>270.81</v>
      </c>
    </row>
    <row r="1109" spans="1:6">
      <c r="A1109" s="606">
        <v>80448</v>
      </c>
      <c r="B1109" s="607" t="s">
        <v>2626</v>
      </c>
      <c r="C1109" s="608" t="s">
        <v>1615</v>
      </c>
      <c r="D1109" s="599">
        <v>200.03</v>
      </c>
    </row>
    <row r="1110" spans="1:6">
      <c r="A1110" s="606">
        <v>80451</v>
      </c>
      <c r="B1110" s="607" t="s">
        <v>2627</v>
      </c>
      <c r="C1110" s="608" t="s">
        <v>1615</v>
      </c>
      <c r="D1110" s="599">
        <v>188.35</v>
      </c>
    </row>
    <row r="1111" spans="1:6">
      <c r="A1111" s="606">
        <v>80452</v>
      </c>
      <c r="B1111" s="607" t="s">
        <v>2628</v>
      </c>
      <c r="C1111" s="608" t="s">
        <v>1615</v>
      </c>
      <c r="D1111" s="599">
        <v>192.62</v>
      </c>
      <c r="E1111" s="610"/>
      <c r="F1111" s="610"/>
    </row>
    <row r="1112" spans="1:6">
      <c r="A1112" s="606">
        <v>80460</v>
      </c>
      <c r="B1112" s="607" t="s">
        <v>2629</v>
      </c>
      <c r="C1112" s="608" t="s">
        <v>1659</v>
      </c>
      <c r="D1112" s="599">
        <v>15.92</v>
      </c>
    </row>
    <row r="1113" spans="1:6">
      <c r="A1113" s="606">
        <v>80499</v>
      </c>
      <c r="B1113" s="607" t="s">
        <v>2602</v>
      </c>
      <c r="C1113" s="608" t="s">
        <v>1652</v>
      </c>
      <c r="D1113" s="599">
        <v>263.25</v>
      </c>
    </row>
    <row r="1114" spans="1:6">
      <c r="A1114" s="589">
        <v>805</v>
      </c>
      <c r="B1114" s="596" t="s">
        <v>2630</v>
      </c>
      <c r="C1114" s="588"/>
      <c r="D1114" s="599"/>
      <c r="F1114" s="585"/>
    </row>
    <row r="1115" spans="1:6">
      <c r="A1115" s="589">
        <v>806</v>
      </c>
      <c r="B1115" s="596" t="s">
        <v>2631</v>
      </c>
      <c r="C1115" s="588"/>
      <c r="D1115" s="599"/>
      <c r="F1115" s="585"/>
    </row>
    <row r="1116" spans="1:6">
      <c r="A1116" s="589">
        <v>807</v>
      </c>
      <c r="B1116" s="596" t="s">
        <v>2632</v>
      </c>
      <c r="C1116" s="588"/>
      <c r="D1116" s="599"/>
      <c r="F1116" s="585"/>
    </row>
    <row r="1117" spans="1:6">
      <c r="A1117" s="606">
        <v>80702</v>
      </c>
      <c r="B1117" s="607" t="s">
        <v>2633</v>
      </c>
      <c r="C1117" s="608" t="s">
        <v>1659</v>
      </c>
      <c r="D1117" s="599">
        <v>109.38</v>
      </c>
    </row>
    <row r="1118" spans="1:6">
      <c r="A1118" s="606">
        <v>80703</v>
      </c>
      <c r="B1118" s="607" t="s">
        <v>2590</v>
      </c>
      <c r="C1118" s="608" t="s">
        <v>1659</v>
      </c>
      <c r="D1118" s="599">
        <v>126.49</v>
      </c>
    </row>
    <row r="1119" spans="1:6">
      <c r="A1119" s="606">
        <v>80704</v>
      </c>
      <c r="B1119" s="607" t="s">
        <v>2634</v>
      </c>
      <c r="C1119" s="608" t="s">
        <v>1659</v>
      </c>
      <c r="D1119" s="599">
        <v>168.61</v>
      </c>
    </row>
    <row r="1120" spans="1:6">
      <c r="A1120" s="606">
        <v>80705</v>
      </c>
      <c r="B1120" s="607" t="s">
        <v>2592</v>
      </c>
      <c r="C1120" s="608" t="s">
        <v>1659</v>
      </c>
      <c r="D1120" s="599">
        <v>240.28</v>
      </c>
    </row>
    <row r="1121" spans="1:6">
      <c r="A1121" s="606">
        <v>80710</v>
      </c>
      <c r="B1121" s="607" t="s">
        <v>2635</v>
      </c>
      <c r="C1121" s="608" t="s">
        <v>1659</v>
      </c>
      <c r="D1121" s="599">
        <v>7.65</v>
      </c>
      <c r="E1121" s="610"/>
      <c r="F1121" s="610"/>
    </row>
    <row r="1122" spans="1:6">
      <c r="A1122" s="606">
        <v>80799</v>
      </c>
      <c r="B1122" s="607" t="s">
        <v>2636</v>
      </c>
      <c r="C1122" s="608" t="s">
        <v>1652</v>
      </c>
      <c r="D1122" s="599">
        <v>263.25</v>
      </c>
    </row>
    <row r="1123" spans="1:6">
      <c r="A1123" s="589">
        <v>808</v>
      </c>
      <c r="B1123" s="596" t="s">
        <v>2637</v>
      </c>
      <c r="C1123" s="588"/>
      <c r="D1123" s="599"/>
      <c r="F1123" s="585"/>
    </row>
    <row r="1124" spans="1:6">
      <c r="A1124" s="606">
        <v>80802</v>
      </c>
      <c r="B1124" s="607" t="s">
        <v>2610</v>
      </c>
      <c r="C1124" s="608" t="s">
        <v>1615</v>
      </c>
      <c r="D1124" s="599">
        <v>231.86</v>
      </c>
    </row>
    <row r="1125" spans="1:6">
      <c r="A1125" s="606">
        <v>80803</v>
      </c>
      <c r="B1125" s="607" t="s">
        <v>2611</v>
      </c>
      <c r="C1125" s="608" t="s">
        <v>1615</v>
      </c>
      <c r="D1125" s="599">
        <v>342.83</v>
      </c>
    </row>
    <row r="1126" spans="1:6">
      <c r="A1126" s="606">
        <v>80804</v>
      </c>
      <c r="B1126" s="607" t="s">
        <v>2612</v>
      </c>
      <c r="C1126" s="608" t="s">
        <v>1615</v>
      </c>
      <c r="D1126" s="599">
        <v>554.59</v>
      </c>
    </row>
    <row r="1127" spans="1:6">
      <c r="A1127" s="606">
        <v>80810</v>
      </c>
      <c r="B1127" s="607" t="s">
        <v>2638</v>
      </c>
      <c r="C1127" s="608" t="s">
        <v>1615</v>
      </c>
      <c r="D1127" s="599">
        <v>162.22999999999999</v>
      </c>
    </row>
    <row r="1128" spans="1:6">
      <c r="A1128" s="606">
        <v>80812</v>
      </c>
      <c r="B1128" s="607" t="s">
        <v>2639</v>
      </c>
      <c r="C1128" s="608" t="s">
        <v>1615</v>
      </c>
      <c r="D1128" s="599">
        <v>422.57</v>
      </c>
    </row>
    <row r="1129" spans="1:6">
      <c r="A1129" s="606">
        <v>80815</v>
      </c>
      <c r="B1129" s="607" t="s">
        <v>2640</v>
      </c>
      <c r="C1129" s="608" t="s">
        <v>1615</v>
      </c>
      <c r="D1129" s="599">
        <v>159.22999999999999</v>
      </c>
    </row>
    <row r="1130" spans="1:6">
      <c r="A1130" s="606">
        <v>80816</v>
      </c>
      <c r="B1130" s="607" t="s">
        <v>2641</v>
      </c>
      <c r="C1130" s="608" t="s">
        <v>1615</v>
      </c>
      <c r="D1130" s="599">
        <v>225.11</v>
      </c>
    </row>
    <row r="1131" spans="1:6">
      <c r="A1131" s="606">
        <v>80817</v>
      </c>
      <c r="B1131" s="607" t="s">
        <v>2642</v>
      </c>
      <c r="C1131" s="608" t="s">
        <v>1615</v>
      </c>
      <c r="D1131" s="599">
        <v>326.69</v>
      </c>
    </row>
    <row r="1132" spans="1:6">
      <c r="A1132" s="606">
        <v>80821</v>
      </c>
      <c r="B1132" s="607" t="s">
        <v>2643</v>
      </c>
      <c r="C1132" s="608" t="s">
        <v>1615</v>
      </c>
      <c r="D1132" s="599">
        <v>117.38</v>
      </c>
    </row>
    <row r="1133" spans="1:6">
      <c r="A1133" s="606">
        <v>80822</v>
      </c>
      <c r="B1133" s="607" t="s">
        <v>2644</v>
      </c>
      <c r="C1133" s="608" t="s">
        <v>1615</v>
      </c>
      <c r="D1133" s="599">
        <v>198.69</v>
      </c>
    </row>
    <row r="1134" spans="1:6">
      <c r="A1134" s="606">
        <v>80825</v>
      </c>
      <c r="B1134" s="607" t="s">
        <v>2645</v>
      </c>
      <c r="C1134" s="608" t="s">
        <v>1615</v>
      </c>
      <c r="D1134" s="599">
        <v>934.88</v>
      </c>
    </row>
    <row r="1135" spans="1:6">
      <c r="A1135" s="606">
        <v>80826</v>
      </c>
      <c r="B1135" s="607" t="s">
        <v>2646</v>
      </c>
      <c r="C1135" s="608" t="s">
        <v>1615</v>
      </c>
      <c r="D1135" s="599">
        <v>1223.08</v>
      </c>
    </row>
    <row r="1136" spans="1:6">
      <c r="A1136" s="606">
        <v>80830</v>
      </c>
      <c r="B1136" s="607" t="s">
        <v>2647</v>
      </c>
      <c r="C1136" s="608" t="s">
        <v>1659</v>
      </c>
      <c r="D1136" s="599">
        <v>19.28</v>
      </c>
      <c r="E1136" s="610"/>
      <c r="F1136" s="616"/>
    </row>
    <row r="1137" spans="1:6">
      <c r="A1137" s="606">
        <v>80831</v>
      </c>
      <c r="B1137" s="607" t="s">
        <v>2648</v>
      </c>
      <c r="C1137" s="608" t="s">
        <v>1659</v>
      </c>
      <c r="D1137" s="599">
        <v>27.67</v>
      </c>
    </row>
    <row r="1138" spans="1:6">
      <c r="A1138" s="606">
        <v>80835</v>
      </c>
      <c r="B1138" s="607" t="s">
        <v>2649</v>
      </c>
      <c r="C1138" s="608" t="s">
        <v>1615</v>
      </c>
      <c r="D1138" s="599">
        <v>36.61</v>
      </c>
    </row>
    <row r="1139" spans="1:6">
      <c r="A1139" s="606">
        <v>80836</v>
      </c>
      <c r="B1139" s="607" t="s">
        <v>2650</v>
      </c>
      <c r="C1139" s="608" t="s">
        <v>1615</v>
      </c>
      <c r="D1139" s="599">
        <v>35.22</v>
      </c>
    </row>
    <row r="1140" spans="1:6">
      <c r="A1140" s="606">
        <v>80837</v>
      </c>
      <c r="B1140" s="607" t="s">
        <v>2651</v>
      </c>
      <c r="C1140" s="608" t="s">
        <v>1615</v>
      </c>
      <c r="D1140" s="599">
        <v>73.7</v>
      </c>
      <c r="E1140" s="610"/>
      <c r="F1140" s="616"/>
    </row>
    <row r="1141" spans="1:6">
      <c r="A1141" s="606">
        <v>80841</v>
      </c>
      <c r="B1141" s="607" t="s">
        <v>2652</v>
      </c>
      <c r="C1141" s="608" t="s">
        <v>1615</v>
      </c>
      <c r="D1141" s="599">
        <v>216.11</v>
      </c>
    </row>
    <row r="1142" spans="1:6">
      <c r="A1142" s="606">
        <v>80842</v>
      </c>
      <c r="B1142" s="607" t="s">
        <v>2653</v>
      </c>
      <c r="C1142" s="608" t="s">
        <v>1615</v>
      </c>
      <c r="D1142" s="599">
        <v>264.41000000000003</v>
      </c>
    </row>
    <row r="1143" spans="1:6">
      <c r="A1143" s="606">
        <v>80843</v>
      </c>
      <c r="B1143" s="607" t="s">
        <v>2654</v>
      </c>
      <c r="C1143" s="608" t="s">
        <v>1615</v>
      </c>
      <c r="D1143" s="599">
        <v>427.31</v>
      </c>
    </row>
    <row r="1144" spans="1:6">
      <c r="A1144" s="606">
        <v>80844</v>
      </c>
      <c r="B1144" s="607" t="s">
        <v>2655</v>
      </c>
      <c r="C1144" s="608" t="s">
        <v>1615</v>
      </c>
      <c r="D1144" s="599">
        <v>309.92</v>
      </c>
    </row>
    <row r="1145" spans="1:6">
      <c r="A1145" s="606">
        <v>80845</v>
      </c>
      <c r="B1145" s="607" t="s">
        <v>2656</v>
      </c>
      <c r="C1145" s="608" t="s">
        <v>1615</v>
      </c>
      <c r="D1145" s="599">
        <v>344.01</v>
      </c>
    </row>
    <row r="1146" spans="1:6">
      <c r="A1146" s="606">
        <v>80846</v>
      </c>
      <c r="B1146" s="607" t="s">
        <v>2657</v>
      </c>
      <c r="C1146" s="608" t="s">
        <v>1615</v>
      </c>
      <c r="D1146" s="599">
        <v>88.51</v>
      </c>
    </row>
    <row r="1147" spans="1:6">
      <c r="A1147" s="606">
        <v>80847</v>
      </c>
      <c r="B1147" s="607" t="s">
        <v>2658</v>
      </c>
      <c r="C1147" s="608" t="s">
        <v>1615</v>
      </c>
      <c r="D1147" s="599">
        <v>130.75</v>
      </c>
    </row>
    <row r="1148" spans="1:6">
      <c r="A1148" s="606">
        <v>80850</v>
      </c>
      <c r="B1148" s="607" t="s">
        <v>2659</v>
      </c>
      <c r="C1148" s="608" t="s">
        <v>1615</v>
      </c>
      <c r="D1148" s="599">
        <v>89.04</v>
      </c>
    </row>
    <row r="1149" spans="1:6">
      <c r="A1149" s="606">
        <v>80860</v>
      </c>
      <c r="B1149" s="607" t="s">
        <v>2660</v>
      </c>
      <c r="C1149" s="608" t="s">
        <v>1615</v>
      </c>
      <c r="D1149" s="599">
        <v>199.08</v>
      </c>
    </row>
    <row r="1150" spans="1:6">
      <c r="A1150" s="606">
        <v>80861</v>
      </c>
      <c r="B1150" s="607" t="s">
        <v>2661</v>
      </c>
      <c r="C1150" s="608" t="s">
        <v>1615</v>
      </c>
      <c r="D1150" s="599">
        <v>730.05</v>
      </c>
    </row>
    <row r="1151" spans="1:6">
      <c r="A1151" s="606">
        <v>80869</v>
      </c>
      <c r="B1151" s="607" t="s">
        <v>2662</v>
      </c>
      <c r="C1151" s="608" t="s">
        <v>1615</v>
      </c>
      <c r="D1151" s="599">
        <v>1072.79</v>
      </c>
    </row>
    <row r="1152" spans="1:6">
      <c r="A1152" s="606">
        <v>80870</v>
      </c>
      <c r="B1152" s="607" t="s">
        <v>2663</v>
      </c>
      <c r="C1152" s="608" t="s">
        <v>1615</v>
      </c>
      <c r="D1152" s="599">
        <v>529.33000000000004</v>
      </c>
    </row>
    <row r="1153" spans="1:6">
      <c r="A1153" s="606">
        <v>80871</v>
      </c>
      <c r="B1153" s="607" t="s">
        <v>2664</v>
      </c>
      <c r="C1153" s="608" t="s">
        <v>1615</v>
      </c>
      <c r="D1153" s="599">
        <v>616.83000000000004</v>
      </c>
    </row>
    <row r="1154" spans="1:6">
      <c r="A1154" s="606">
        <v>80872</v>
      </c>
      <c r="B1154" s="607" t="s">
        <v>2665</v>
      </c>
      <c r="C1154" s="608" t="s">
        <v>1615</v>
      </c>
      <c r="D1154" s="599">
        <v>682.84</v>
      </c>
    </row>
    <row r="1155" spans="1:6">
      <c r="A1155" s="606">
        <v>80873</v>
      </c>
      <c r="B1155" s="607" t="s">
        <v>2666</v>
      </c>
      <c r="C1155" s="608" t="s">
        <v>1615</v>
      </c>
      <c r="D1155" s="599">
        <v>905.28</v>
      </c>
    </row>
    <row r="1156" spans="1:6">
      <c r="A1156" s="606">
        <v>80874</v>
      </c>
      <c r="B1156" s="607" t="s">
        <v>2667</v>
      </c>
      <c r="C1156" s="608" t="s">
        <v>1615</v>
      </c>
      <c r="D1156" s="599">
        <v>990.5</v>
      </c>
    </row>
    <row r="1157" spans="1:6">
      <c r="A1157" s="606">
        <v>80875</v>
      </c>
      <c r="B1157" s="607" t="s">
        <v>2668</v>
      </c>
      <c r="C1157" s="608" t="s">
        <v>1615</v>
      </c>
      <c r="D1157" s="599">
        <v>1148.9000000000001</v>
      </c>
    </row>
    <row r="1158" spans="1:6">
      <c r="A1158" s="606">
        <v>80876</v>
      </c>
      <c r="B1158" s="607" t="s">
        <v>2669</v>
      </c>
      <c r="C1158" s="608" t="s">
        <v>1615</v>
      </c>
      <c r="D1158" s="599">
        <v>1411.17</v>
      </c>
    </row>
    <row r="1159" spans="1:6">
      <c r="A1159" s="606">
        <v>80877</v>
      </c>
      <c r="B1159" s="607" t="s">
        <v>2670</v>
      </c>
      <c r="C1159" s="608" t="s">
        <v>1615</v>
      </c>
      <c r="D1159" s="599">
        <v>1644</v>
      </c>
    </row>
    <row r="1160" spans="1:6">
      <c r="A1160" s="606">
        <v>80878</v>
      </c>
      <c r="B1160" s="607" t="s">
        <v>2671</v>
      </c>
      <c r="C1160" s="608" t="s">
        <v>1615</v>
      </c>
      <c r="D1160" s="599">
        <v>1943.33</v>
      </c>
    </row>
    <row r="1161" spans="1:6">
      <c r="A1161" s="606">
        <v>80879</v>
      </c>
      <c r="B1161" s="607" t="s">
        <v>2672</v>
      </c>
      <c r="C1161" s="608" t="s">
        <v>1615</v>
      </c>
      <c r="D1161" s="599">
        <v>2438.7399999999998</v>
      </c>
    </row>
    <row r="1162" spans="1:6">
      <c r="A1162" s="606">
        <v>80899</v>
      </c>
      <c r="B1162" s="607" t="s">
        <v>2636</v>
      </c>
      <c r="C1162" s="608" t="s">
        <v>1652</v>
      </c>
      <c r="D1162" s="599">
        <v>263.25</v>
      </c>
    </row>
    <row r="1163" spans="1:6">
      <c r="A1163" s="589">
        <v>809</v>
      </c>
      <c r="B1163" s="596" t="s">
        <v>2673</v>
      </c>
      <c r="C1163" s="588"/>
      <c r="D1163" s="599"/>
      <c r="F1163" s="585"/>
    </row>
    <row r="1164" spans="1:6">
      <c r="A1164" s="606">
        <v>80901</v>
      </c>
      <c r="B1164" s="607" t="s">
        <v>2674</v>
      </c>
      <c r="C1164" s="608" t="s">
        <v>1659</v>
      </c>
      <c r="D1164" s="599">
        <v>163.13999999999999</v>
      </c>
    </row>
    <row r="1165" spans="1:6">
      <c r="A1165" s="606">
        <v>80902</v>
      </c>
      <c r="B1165" s="607" t="s">
        <v>2675</v>
      </c>
      <c r="C1165" s="608" t="s">
        <v>1659</v>
      </c>
      <c r="D1165" s="599">
        <v>217.9</v>
      </c>
    </row>
    <row r="1166" spans="1:6">
      <c r="A1166" s="606">
        <v>80903</v>
      </c>
      <c r="B1166" s="607" t="s">
        <v>2676</v>
      </c>
      <c r="C1166" s="608" t="s">
        <v>1659</v>
      </c>
      <c r="D1166" s="599">
        <v>244.62</v>
      </c>
    </row>
    <row r="1167" spans="1:6">
      <c r="A1167" s="606">
        <v>80906</v>
      </c>
      <c r="B1167" s="607" t="s">
        <v>2677</v>
      </c>
      <c r="C1167" s="608" t="s">
        <v>1659</v>
      </c>
      <c r="D1167" s="599">
        <v>215.66</v>
      </c>
    </row>
    <row r="1168" spans="1:6">
      <c r="A1168" s="606">
        <v>80907</v>
      </c>
      <c r="B1168" s="607" t="s">
        <v>2678</v>
      </c>
      <c r="C1168" s="608" t="s">
        <v>1659</v>
      </c>
      <c r="D1168" s="599">
        <v>242.04</v>
      </c>
    </row>
    <row r="1169" spans="1:6">
      <c r="A1169" s="606">
        <v>80908</v>
      </c>
      <c r="B1169" s="607" t="s">
        <v>2679</v>
      </c>
      <c r="C1169" s="608" t="s">
        <v>1659</v>
      </c>
      <c r="D1169" s="599">
        <v>322.51</v>
      </c>
    </row>
    <row r="1170" spans="1:6">
      <c r="A1170" s="606">
        <v>80915</v>
      </c>
      <c r="B1170" s="607" t="s">
        <v>2680</v>
      </c>
      <c r="C1170" s="608" t="s">
        <v>1659</v>
      </c>
      <c r="D1170" s="599">
        <v>20.99</v>
      </c>
    </row>
    <row r="1171" spans="1:6">
      <c r="A1171" s="606">
        <v>80916</v>
      </c>
      <c r="B1171" s="607" t="s">
        <v>2681</v>
      </c>
      <c r="C1171" s="608" t="s">
        <v>1659</v>
      </c>
      <c r="D1171" s="599">
        <v>24</v>
      </c>
    </row>
    <row r="1172" spans="1:6">
      <c r="A1172" s="606">
        <v>80917</v>
      </c>
      <c r="B1172" s="607" t="s">
        <v>2682</v>
      </c>
      <c r="C1172" s="608" t="s">
        <v>1659</v>
      </c>
      <c r="D1172" s="599">
        <v>28.8</v>
      </c>
    </row>
    <row r="1173" spans="1:6">
      <c r="A1173" s="606">
        <v>80918</v>
      </c>
      <c r="B1173" s="607" t="s">
        <v>2683</v>
      </c>
      <c r="C1173" s="608" t="s">
        <v>1659</v>
      </c>
      <c r="D1173" s="599">
        <v>32.340000000000003</v>
      </c>
    </row>
    <row r="1174" spans="1:6">
      <c r="A1174" s="606">
        <v>80919</v>
      </c>
      <c r="B1174" s="607" t="s">
        <v>2684</v>
      </c>
      <c r="C1174" s="608" t="s">
        <v>1659</v>
      </c>
      <c r="D1174" s="599">
        <v>60.08</v>
      </c>
    </row>
    <row r="1175" spans="1:6">
      <c r="A1175" s="606">
        <v>80930</v>
      </c>
      <c r="B1175" s="607" t="s">
        <v>2685</v>
      </c>
      <c r="C1175" s="608" t="s">
        <v>1659</v>
      </c>
      <c r="D1175" s="599">
        <v>73</v>
      </c>
    </row>
    <row r="1176" spans="1:6">
      <c r="A1176" s="606">
        <v>80960</v>
      </c>
      <c r="B1176" s="607" t="s">
        <v>2686</v>
      </c>
      <c r="C1176" s="608" t="s">
        <v>1659</v>
      </c>
      <c r="D1176" s="599">
        <v>21.36</v>
      </c>
    </row>
    <row r="1177" spans="1:6">
      <c r="A1177" s="606">
        <v>80961</v>
      </c>
      <c r="B1177" s="607" t="s">
        <v>2687</v>
      </c>
      <c r="C1177" s="608" t="s">
        <v>1659</v>
      </c>
      <c r="D1177" s="599">
        <v>23.28</v>
      </c>
    </row>
    <row r="1178" spans="1:6">
      <c r="A1178" s="606">
        <v>80962</v>
      </c>
      <c r="B1178" s="607" t="s">
        <v>2688</v>
      </c>
      <c r="C1178" s="608" t="s">
        <v>1659</v>
      </c>
      <c r="D1178" s="599">
        <v>26.96</v>
      </c>
    </row>
    <row r="1179" spans="1:6">
      <c r="A1179" s="606">
        <v>80963</v>
      </c>
      <c r="B1179" s="607" t="s">
        <v>2689</v>
      </c>
      <c r="C1179" s="608" t="s">
        <v>1659</v>
      </c>
      <c r="D1179" s="599">
        <v>34.57</v>
      </c>
    </row>
    <row r="1180" spans="1:6">
      <c r="A1180" s="606">
        <v>80964</v>
      </c>
      <c r="B1180" s="607" t="s">
        <v>2690</v>
      </c>
      <c r="C1180" s="608" t="s">
        <v>1659</v>
      </c>
      <c r="D1180" s="599">
        <v>54.32</v>
      </c>
    </row>
    <row r="1181" spans="1:6">
      <c r="A1181" s="606">
        <v>80999</v>
      </c>
      <c r="B1181" s="607" t="s">
        <v>2691</v>
      </c>
      <c r="C1181" s="608" t="s">
        <v>1652</v>
      </c>
      <c r="D1181" s="599">
        <v>263.25</v>
      </c>
    </row>
    <row r="1182" spans="1:6">
      <c r="A1182" s="589">
        <v>810</v>
      </c>
      <c r="B1182" s="596" t="s">
        <v>2692</v>
      </c>
      <c r="C1182" s="588"/>
      <c r="D1182" s="599"/>
      <c r="F1182" s="585"/>
    </row>
    <row r="1183" spans="1:6">
      <c r="A1183" s="606">
        <v>81005</v>
      </c>
      <c r="B1183" s="607" t="s">
        <v>2693</v>
      </c>
      <c r="C1183" s="608" t="s">
        <v>1615</v>
      </c>
      <c r="D1183" s="599">
        <v>42.79</v>
      </c>
    </row>
    <row r="1184" spans="1:6" s="610" customFormat="1">
      <c r="A1184" s="606">
        <v>81006</v>
      </c>
      <c r="B1184" s="607" t="s">
        <v>2694</v>
      </c>
      <c r="C1184" s="608" t="s">
        <v>1615</v>
      </c>
      <c r="D1184" s="599">
        <v>56.13</v>
      </c>
      <c r="E1184" s="581"/>
      <c r="F1184" s="581"/>
    </row>
    <row r="1185" spans="1:4">
      <c r="A1185" s="606">
        <v>81010</v>
      </c>
      <c r="B1185" s="607" t="s">
        <v>2695</v>
      </c>
      <c r="C1185" s="608" t="s">
        <v>1615</v>
      </c>
      <c r="D1185" s="599">
        <v>40.19</v>
      </c>
    </row>
    <row r="1186" spans="1:4">
      <c r="A1186" s="606">
        <v>81036</v>
      </c>
      <c r="B1186" s="607" t="s">
        <v>2696</v>
      </c>
      <c r="C1186" s="608" t="s">
        <v>1615</v>
      </c>
      <c r="D1186" s="599">
        <v>729.05</v>
      </c>
    </row>
    <row r="1187" spans="1:4">
      <c r="A1187" s="606">
        <v>81038</v>
      </c>
      <c r="B1187" s="607" t="s">
        <v>2697</v>
      </c>
      <c r="C1187" s="608" t="s">
        <v>1615</v>
      </c>
      <c r="D1187" s="599">
        <v>290.49</v>
      </c>
    </row>
    <row r="1188" spans="1:4">
      <c r="A1188" s="606">
        <v>81039</v>
      </c>
      <c r="B1188" s="607" t="s">
        <v>2698</v>
      </c>
      <c r="C1188" s="608" t="s">
        <v>1615</v>
      </c>
      <c r="D1188" s="599">
        <v>728.1</v>
      </c>
    </row>
    <row r="1189" spans="1:4">
      <c r="A1189" s="606">
        <v>81040</v>
      </c>
      <c r="B1189" s="607" t="s">
        <v>2699</v>
      </c>
      <c r="C1189" s="608" t="s">
        <v>1650</v>
      </c>
      <c r="D1189" s="599">
        <v>44.64</v>
      </c>
    </row>
    <row r="1190" spans="1:4">
      <c r="A1190" s="606">
        <v>81041</v>
      </c>
      <c r="B1190" s="607" t="s">
        <v>2700</v>
      </c>
      <c r="C1190" s="608" t="s">
        <v>1650</v>
      </c>
      <c r="D1190" s="599">
        <v>402.56</v>
      </c>
    </row>
    <row r="1191" spans="1:4">
      <c r="A1191" s="606">
        <v>81042</v>
      </c>
      <c r="B1191" s="607" t="s">
        <v>2701</v>
      </c>
      <c r="C1191" s="608" t="s">
        <v>1240</v>
      </c>
      <c r="D1191" s="599">
        <v>109.93</v>
      </c>
    </row>
    <row r="1192" spans="1:4">
      <c r="A1192" s="606">
        <v>81043</v>
      </c>
      <c r="B1192" s="607" t="s">
        <v>2702</v>
      </c>
      <c r="C1192" s="608" t="s">
        <v>1240</v>
      </c>
      <c r="D1192" s="599">
        <v>158.55000000000001</v>
      </c>
    </row>
    <row r="1193" spans="1:4">
      <c r="A1193" s="606">
        <v>81044</v>
      </c>
      <c r="B1193" s="607" t="s">
        <v>2703</v>
      </c>
      <c r="C1193" s="608" t="s">
        <v>1240</v>
      </c>
      <c r="D1193" s="599">
        <v>98.85</v>
      </c>
    </row>
    <row r="1194" spans="1:4">
      <c r="A1194" s="606">
        <v>81045</v>
      </c>
      <c r="B1194" s="607" t="s">
        <v>2704</v>
      </c>
      <c r="C1194" s="608" t="s">
        <v>1615</v>
      </c>
      <c r="D1194" s="599">
        <v>36.89</v>
      </c>
    </row>
    <row r="1195" spans="1:4">
      <c r="A1195" s="606">
        <v>81048</v>
      </c>
      <c r="B1195" s="607" t="s">
        <v>2705</v>
      </c>
      <c r="C1195" s="608" t="s">
        <v>1615</v>
      </c>
      <c r="D1195" s="599">
        <v>237.22</v>
      </c>
    </row>
    <row r="1196" spans="1:4">
      <c r="A1196" s="606">
        <v>81049</v>
      </c>
      <c r="B1196" s="607" t="s">
        <v>2706</v>
      </c>
      <c r="C1196" s="608" t="s">
        <v>1615</v>
      </c>
      <c r="D1196" s="599">
        <v>34.5</v>
      </c>
    </row>
    <row r="1197" spans="1:4">
      <c r="A1197" s="606">
        <v>81050</v>
      </c>
      <c r="B1197" s="607" t="s">
        <v>2707</v>
      </c>
      <c r="C1197" s="608" t="s">
        <v>1615</v>
      </c>
      <c r="D1197" s="599">
        <v>50.38</v>
      </c>
    </row>
    <row r="1198" spans="1:4">
      <c r="A1198" s="606">
        <v>81056</v>
      </c>
      <c r="B1198" s="607" t="s">
        <v>2708</v>
      </c>
      <c r="C1198" s="608" t="s">
        <v>1615</v>
      </c>
      <c r="D1198" s="599">
        <v>5.44</v>
      </c>
    </row>
    <row r="1199" spans="1:4">
      <c r="A1199" s="606">
        <v>81057</v>
      </c>
      <c r="B1199" s="607" t="s">
        <v>2709</v>
      </c>
      <c r="C1199" s="608" t="s">
        <v>1615</v>
      </c>
      <c r="D1199" s="599">
        <v>6.62</v>
      </c>
    </row>
    <row r="1200" spans="1:4">
      <c r="A1200" s="606">
        <v>81058</v>
      </c>
      <c r="B1200" s="607" t="s">
        <v>2710</v>
      </c>
      <c r="C1200" s="608" t="s">
        <v>1615</v>
      </c>
      <c r="D1200" s="599">
        <v>8.2200000000000006</v>
      </c>
    </row>
    <row r="1201" spans="1:6">
      <c r="A1201" s="606">
        <v>81099</v>
      </c>
      <c r="B1201" s="607" t="s">
        <v>2691</v>
      </c>
      <c r="C1201" s="608" t="s">
        <v>1652</v>
      </c>
      <c r="D1201" s="599">
        <v>263.25</v>
      </c>
    </row>
    <row r="1202" spans="1:6">
      <c r="A1202" s="589">
        <v>811</v>
      </c>
      <c r="B1202" s="596" t="s">
        <v>2711</v>
      </c>
      <c r="C1202" s="588"/>
      <c r="D1202" s="599"/>
      <c r="F1202" s="585"/>
    </row>
    <row r="1203" spans="1:6">
      <c r="A1203" s="606">
        <v>81102</v>
      </c>
      <c r="B1203" s="607" t="s">
        <v>2712</v>
      </c>
      <c r="C1203" s="608" t="s">
        <v>1659</v>
      </c>
      <c r="D1203" s="599">
        <v>112.96</v>
      </c>
    </row>
    <row r="1204" spans="1:6">
      <c r="A1204" s="606">
        <v>81103</v>
      </c>
      <c r="B1204" s="607" t="s">
        <v>2713</v>
      </c>
      <c r="C1204" s="608" t="s">
        <v>1659</v>
      </c>
      <c r="D1204" s="599">
        <v>153.88</v>
      </c>
    </row>
    <row r="1205" spans="1:6">
      <c r="A1205" s="606">
        <v>81104</v>
      </c>
      <c r="B1205" s="607" t="s">
        <v>2714</v>
      </c>
      <c r="C1205" s="608" t="s">
        <v>1659</v>
      </c>
      <c r="D1205" s="599">
        <v>183.13</v>
      </c>
    </row>
    <row r="1206" spans="1:6">
      <c r="A1206" s="606">
        <v>81105</v>
      </c>
      <c r="B1206" s="607" t="s">
        <v>2715</v>
      </c>
      <c r="C1206" s="608" t="s">
        <v>1659</v>
      </c>
      <c r="D1206" s="599">
        <v>264.99</v>
      </c>
    </row>
    <row r="1207" spans="1:6">
      <c r="A1207" s="606">
        <v>81120</v>
      </c>
      <c r="B1207" s="607" t="s">
        <v>1661</v>
      </c>
      <c r="C1207" s="608" t="s">
        <v>1659</v>
      </c>
      <c r="D1207" s="599">
        <v>66.599999999999994</v>
      </c>
    </row>
    <row r="1208" spans="1:6">
      <c r="A1208" s="606">
        <v>81121</v>
      </c>
      <c r="B1208" s="607" t="s">
        <v>1662</v>
      </c>
      <c r="C1208" s="608" t="s">
        <v>1659</v>
      </c>
      <c r="D1208" s="599">
        <v>75.760000000000005</v>
      </c>
    </row>
    <row r="1209" spans="1:6">
      <c r="A1209" s="606">
        <v>81122</v>
      </c>
      <c r="B1209" s="607" t="s">
        <v>1663</v>
      </c>
      <c r="C1209" s="608" t="s">
        <v>1659</v>
      </c>
      <c r="D1209" s="599">
        <v>99.7</v>
      </c>
    </row>
    <row r="1210" spans="1:6">
      <c r="A1210" s="606">
        <v>81123</v>
      </c>
      <c r="B1210" s="607" t="s">
        <v>1664</v>
      </c>
      <c r="C1210" s="608" t="s">
        <v>1659</v>
      </c>
      <c r="D1210" s="599">
        <v>121.12</v>
      </c>
    </row>
    <row r="1211" spans="1:6" s="610" customFormat="1">
      <c r="A1211" s="606">
        <v>81130</v>
      </c>
      <c r="B1211" s="607" t="s">
        <v>2680</v>
      </c>
      <c r="C1211" s="608" t="s">
        <v>1659</v>
      </c>
      <c r="D1211" s="599">
        <v>19.920000000000002</v>
      </c>
      <c r="E1211" s="581"/>
      <c r="F1211" s="581"/>
    </row>
    <row r="1212" spans="1:6">
      <c r="A1212" s="606">
        <v>81131</v>
      </c>
      <c r="B1212" s="607" t="s">
        <v>2681</v>
      </c>
      <c r="C1212" s="608" t="s">
        <v>1659</v>
      </c>
      <c r="D1212" s="599">
        <v>22.16</v>
      </c>
    </row>
    <row r="1213" spans="1:6">
      <c r="A1213" s="606">
        <v>81132</v>
      </c>
      <c r="B1213" s="607" t="s">
        <v>2682</v>
      </c>
      <c r="C1213" s="608" t="s">
        <v>1659</v>
      </c>
      <c r="D1213" s="599">
        <v>26.31</v>
      </c>
    </row>
    <row r="1214" spans="1:6">
      <c r="A1214" s="606">
        <v>81133</v>
      </c>
      <c r="B1214" s="607" t="s">
        <v>2683</v>
      </c>
      <c r="C1214" s="608" t="s">
        <v>1659</v>
      </c>
      <c r="D1214" s="599">
        <v>29.51</v>
      </c>
    </row>
    <row r="1215" spans="1:6">
      <c r="A1215" s="606">
        <v>81134</v>
      </c>
      <c r="B1215" s="607" t="s">
        <v>2684</v>
      </c>
      <c r="C1215" s="608" t="s">
        <v>1659</v>
      </c>
      <c r="D1215" s="599">
        <v>48.04</v>
      </c>
    </row>
    <row r="1216" spans="1:6">
      <c r="A1216" s="606">
        <v>81135</v>
      </c>
      <c r="B1216" s="607" t="s">
        <v>2716</v>
      </c>
      <c r="C1216" s="608" t="s">
        <v>1659</v>
      </c>
      <c r="D1216" s="599">
        <v>71.28</v>
      </c>
    </row>
    <row r="1217" spans="1:6">
      <c r="A1217" s="606">
        <v>81136</v>
      </c>
      <c r="B1217" s="607" t="s">
        <v>2717</v>
      </c>
      <c r="C1217" s="608" t="s">
        <v>1659</v>
      </c>
      <c r="D1217" s="599">
        <v>92.15</v>
      </c>
    </row>
    <row r="1218" spans="1:6">
      <c r="A1218" s="606">
        <v>81137</v>
      </c>
      <c r="B1218" s="607" t="s">
        <v>2718</v>
      </c>
      <c r="C1218" s="608" t="s">
        <v>1659</v>
      </c>
      <c r="D1218" s="599">
        <v>117.58</v>
      </c>
    </row>
    <row r="1219" spans="1:6">
      <c r="A1219" s="606">
        <v>81140</v>
      </c>
      <c r="B1219" s="607" t="s">
        <v>2719</v>
      </c>
      <c r="C1219" s="608" t="s">
        <v>1615</v>
      </c>
      <c r="D1219" s="599">
        <v>113.16</v>
      </c>
    </row>
    <row r="1220" spans="1:6">
      <c r="A1220" s="606">
        <v>81141</v>
      </c>
      <c r="B1220" s="607" t="s">
        <v>2720</v>
      </c>
      <c r="C1220" s="608" t="s">
        <v>1659</v>
      </c>
      <c r="D1220" s="599">
        <v>167.83</v>
      </c>
    </row>
    <row r="1221" spans="1:6">
      <c r="A1221" s="606">
        <v>81150</v>
      </c>
      <c r="B1221" s="607" t="s">
        <v>2721</v>
      </c>
      <c r="C1221" s="608" t="s">
        <v>1659</v>
      </c>
      <c r="D1221" s="599">
        <v>21.36</v>
      </c>
    </row>
    <row r="1222" spans="1:6">
      <c r="A1222" s="606">
        <v>81151</v>
      </c>
      <c r="B1222" s="607" t="s">
        <v>2722</v>
      </c>
      <c r="C1222" s="608" t="s">
        <v>1659</v>
      </c>
      <c r="D1222" s="599">
        <v>23.28</v>
      </c>
    </row>
    <row r="1223" spans="1:6">
      <c r="A1223" s="606">
        <v>81152</v>
      </c>
      <c r="B1223" s="607" t="s">
        <v>2723</v>
      </c>
      <c r="C1223" s="608" t="s">
        <v>1659</v>
      </c>
      <c r="D1223" s="599">
        <v>26.96</v>
      </c>
    </row>
    <row r="1224" spans="1:6">
      <c r="A1224" s="606">
        <v>81153</v>
      </c>
      <c r="B1224" s="607" t="s">
        <v>2724</v>
      </c>
      <c r="C1224" s="608" t="s">
        <v>1659</v>
      </c>
      <c r="D1224" s="599">
        <v>34.57</v>
      </c>
    </row>
    <row r="1225" spans="1:6">
      <c r="A1225" s="606">
        <v>81154</v>
      </c>
      <c r="B1225" s="607" t="s">
        <v>2725</v>
      </c>
      <c r="C1225" s="608" t="s">
        <v>1659</v>
      </c>
      <c r="D1225" s="599">
        <v>54.32</v>
      </c>
      <c r="E1225" s="610"/>
      <c r="F1225" s="610"/>
    </row>
    <row r="1226" spans="1:6">
      <c r="A1226" s="606">
        <v>81199</v>
      </c>
      <c r="B1226" s="607" t="s">
        <v>2726</v>
      </c>
      <c r="C1226" s="608" t="s">
        <v>1652</v>
      </c>
      <c r="D1226" s="599">
        <v>263.25</v>
      </c>
    </row>
    <row r="1227" spans="1:6">
      <c r="A1227" s="589">
        <v>812</v>
      </c>
      <c r="B1227" s="596" t="s">
        <v>2727</v>
      </c>
      <c r="C1227" s="588"/>
      <c r="D1227" s="599"/>
      <c r="F1227" s="585"/>
    </row>
    <row r="1228" spans="1:6">
      <c r="A1228" s="606">
        <v>81201</v>
      </c>
      <c r="B1228" s="607" t="s">
        <v>2728</v>
      </c>
      <c r="C1228" s="608" t="s">
        <v>1659</v>
      </c>
      <c r="D1228" s="599">
        <v>32.44</v>
      </c>
    </row>
    <row r="1229" spans="1:6">
      <c r="A1229" s="606">
        <v>81202</v>
      </c>
      <c r="B1229" s="607" t="s">
        <v>2729</v>
      </c>
      <c r="C1229" s="608" t="s">
        <v>1659</v>
      </c>
      <c r="D1229" s="599">
        <v>30.98</v>
      </c>
    </row>
    <row r="1230" spans="1:6">
      <c r="A1230" s="606">
        <v>81203</v>
      </c>
      <c r="B1230" s="607" t="s">
        <v>2730</v>
      </c>
      <c r="C1230" s="608" t="s">
        <v>1659</v>
      </c>
      <c r="D1230" s="599">
        <v>42.3</v>
      </c>
    </row>
    <row r="1231" spans="1:6">
      <c r="A1231" s="606">
        <v>81204</v>
      </c>
      <c r="B1231" s="607" t="s">
        <v>2731</v>
      </c>
      <c r="C1231" s="608" t="s">
        <v>1659</v>
      </c>
      <c r="D1231" s="599">
        <v>39.86</v>
      </c>
    </row>
    <row r="1232" spans="1:6">
      <c r="A1232" s="606">
        <v>81207</v>
      </c>
      <c r="B1232" s="607" t="s">
        <v>2732</v>
      </c>
      <c r="C1232" s="608" t="s">
        <v>1615</v>
      </c>
      <c r="D1232" s="599">
        <v>28.08</v>
      </c>
    </row>
    <row r="1233" spans="1:6">
      <c r="A1233" s="606">
        <v>81208</v>
      </c>
      <c r="B1233" s="607" t="s">
        <v>2733</v>
      </c>
      <c r="C1233" s="608" t="s">
        <v>1615</v>
      </c>
      <c r="D1233" s="599">
        <v>28.98</v>
      </c>
    </row>
    <row r="1234" spans="1:6">
      <c r="A1234" s="606">
        <v>81210</v>
      </c>
      <c r="B1234" s="607" t="s">
        <v>2734</v>
      </c>
      <c r="C1234" s="608" t="s">
        <v>1659</v>
      </c>
      <c r="D1234" s="599">
        <v>44.38</v>
      </c>
    </row>
    <row r="1235" spans="1:6">
      <c r="A1235" s="606">
        <v>81211</v>
      </c>
      <c r="B1235" s="607" t="s">
        <v>2735</v>
      </c>
      <c r="C1235" s="608" t="s">
        <v>1659</v>
      </c>
      <c r="D1235" s="599">
        <v>60.17</v>
      </c>
    </row>
    <row r="1236" spans="1:6">
      <c r="A1236" s="606">
        <v>81212</v>
      </c>
      <c r="B1236" s="607" t="s">
        <v>2736</v>
      </c>
      <c r="C1236" s="608" t="s">
        <v>1659</v>
      </c>
      <c r="D1236" s="599">
        <v>102.71</v>
      </c>
    </row>
    <row r="1237" spans="1:6">
      <c r="A1237" s="606">
        <v>81215</v>
      </c>
      <c r="B1237" s="607" t="s">
        <v>2737</v>
      </c>
      <c r="C1237" s="608" t="s">
        <v>1659</v>
      </c>
      <c r="D1237" s="599">
        <v>38.28</v>
      </c>
    </row>
    <row r="1238" spans="1:6">
      <c r="A1238" s="606">
        <v>81216</v>
      </c>
      <c r="B1238" s="607" t="s">
        <v>2738</v>
      </c>
      <c r="C1238" s="608" t="s">
        <v>1659</v>
      </c>
      <c r="D1238" s="599">
        <v>52.87</v>
      </c>
    </row>
    <row r="1239" spans="1:6">
      <c r="A1239" s="606">
        <v>81217</v>
      </c>
      <c r="B1239" s="607" t="s">
        <v>2739</v>
      </c>
      <c r="C1239" s="608" t="s">
        <v>1659</v>
      </c>
      <c r="D1239" s="599">
        <v>83.15</v>
      </c>
    </row>
    <row r="1240" spans="1:6">
      <c r="A1240" s="606">
        <v>81221</v>
      </c>
      <c r="B1240" s="607" t="s">
        <v>2740</v>
      </c>
      <c r="C1240" s="608" t="s">
        <v>1659</v>
      </c>
      <c r="D1240" s="599">
        <v>35.869999999999997</v>
      </c>
    </row>
    <row r="1241" spans="1:6">
      <c r="A1241" s="606">
        <v>81222</v>
      </c>
      <c r="B1241" s="607" t="s">
        <v>2741</v>
      </c>
      <c r="C1241" s="608" t="s">
        <v>1659</v>
      </c>
      <c r="D1241" s="599">
        <v>49.17</v>
      </c>
    </row>
    <row r="1242" spans="1:6">
      <c r="A1242" s="606">
        <v>81223</v>
      </c>
      <c r="B1242" s="607" t="s">
        <v>2742</v>
      </c>
      <c r="C1242" s="608" t="s">
        <v>1659</v>
      </c>
      <c r="D1242" s="599">
        <v>75.75</v>
      </c>
    </row>
    <row r="1243" spans="1:6">
      <c r="A1243" s="606">
        <v>81226</v>
      </c>
      <c r="B1243" s="607" t="s">
        <v>2743</v>
      </c>
      <c r="C1243" s="608" t="s">
        <v>1659</v>
      </c>
      <c r="D1243" s="599">
        <v>163.86</v>
      </c>
    </row>
    <row r="1244" spans="1:6">
      <c r="A1244" s="606">
        <v>81227</v>
      </c>
      <c r="B1244" s="607" t="s">
        <v>2744</v>
      </c>
      <c r="C1244" s="608" t="s">
        <v>1659</v>
      </c>
      <c r="D1244" s="599">
        <v>242.66</v>
      </c>
    </row>
    <row r="1245" spans="1:6">
      <c r="A1245" s="606">
        <v>81228</v>
      </c>
      <c r="B1245" s="607" t="s">
        <v>2745</v>
      </c>
      <c r="C1245" s="608" t="s">
        <v>1659</v>
      </c>
      <c r="D1245" s="599">
        <v>460.68</v>
      </c>
    </row>
    <row r="1246" spans="1:6" s="610" customFormat="1">
      <c r="A1246" s="606">
        <v>81231</v>
      </c>
      <c r="B1246" s="607" t="s">
        <v>2746</v>
      </c>
      <c r="C1246" s="608" t="s">
        <v>1659</v>
      </c>
      <c r="D1246" s="599">
        <v>20.079999999999998</v>
      </c>
      <c r="E1246" s="581"/>
      <c r="F1246" s="581"/>
    </row>
    <row r="1247" spans="1:6">
      <c r="A1247" s="606">
        <v>81232</v>
      </c>
      <c r="B1247" s="607" t="s">
        <v>2747</v>
      </c>
      <c r="C1247" s="608" t="s">
        <v>1659</v>
      </c>
      <c r="D1247" s="599">
        <v>23.17</v>
      </c>
    </row>
    <row r="1248" spans="1:6">
      <c r="A1248" s="606">
        <v>81233</v>
      </c>
      <c r="B1248" s="607" t="s">
        <v>2748</v>
      </c>
      <c r="C1248" s="608" t="s">
        <v>1659</v>
      </c>
      <c r="D1248" s="599">
        <v>29.53</v>
      </c>
    </row>
    <row r="1249" spans="1:6">
      <c r="A1249" s="606">
        <v>81234</v>
      </c>
      <c r="B1249" s="607" t="s">
        <v>2749</v>
      </c>
      <c r="C1249" s="608" t="s">
        <v>1659</v>
      </c>
      <c r="D1249" s="599">
        <v>49.87</v>
      </c>
    </row>
    <row r="1250" spans="1:6">
      <c r="A1250" s="606">
        <v>81235</v>
      </c>
      <c r="B1250" s="607" t="s">
        <v>2750</v>
      </c>
      <c r="C1250" s="608" t="s">
        <v>1659</v>
      </c>
      <c r="D1250" s="599">
        <v>83.31</v>
      </c>
    </row>
    <row r="1251" spans="1:6">
      <c r="A1251" s="606">
        <v>81238</v>
      </c>
      <c r="B1251" s="607" t="s">
        <v>2751</v>
      </c>
      <c r="C1251" s="608" t="s">
        <v>1659</v>
      </c>
      <c r="D1251" s="599">
        <v>19.04</v>
      </c>
    </row>
    <row r="1252" spans="1:6">
      <c r="A1252" s="606">
        <v>81239</v>
      </c>
      <c r="B1252" s="607" t="s">
        <v>2752</v>
      </c>
      <c r="C1252" s="608" t="s">
        <v>1659</v>
      </c>
      <c r="D1252" s="599">
        <v>21.29</v>
      </c>
      <c r="E1252" s="610"/>
      <c r="F1252" s="610"/>
    </row>
    <row r="1253" spans="1:6">
      <c r="A1253" s="606">
        <v>81240</v>
      </c>
      <c r="B1253" s="607" t="s">
        <v>2753</v>
      </c>
      <c r="C1253" s="608" t="s">
        <v>1659</v>
      </c>
      <c r="D1253" s="599">
        <v>27.09</v>
      </c>
    </row>
    <row r="1254" spans="1:6">
      <c r="A1254" s="606">
        <v>81241</v>
      </c>
      <c r="B1254" s="607" t="s">
        <v>2754</v>
      </c>
      <c r="C1254" s="608" t="s">
        <v>1659</v>
      </c>
      <c r="D1254" s="599">
        <v>46.17</v>
      </c>
    </row>
    <row r="1255" spans="1:6">
      <c r="A1255" s="606">
        <v>81242</v>
      </c>
      <c r="B1255" s="607" t="s">
        <v>2755</v>
      </c>
      <c r="C1255" s="608" t="s">
        <v>1659</v>
      </c>
      <c r="D1255" s="599">
        <v>75.78</v>
      </c>
    </row>
    <row r="1256" spans="1:6">
      <c r="A1256" s="606">
        <v>81246</v>
      </c>
      <c r="B1256" s="607" t="s">
        <v>2756</v>
      </c>
      <c r="C1256" s="608" t="s">
        <v>1659</v>
      </c>
      <c r="D1256" s="599">
        <v>72.290000000000006</v>
      </c>
    </row>
    <row r="1257" spans="1:6">
      <c r="A1257" s="606">
        <v>81247</v>
      </c>
      <c r="B1257" s="607" t="s">
        <v>2757</v>
      </c>
      <c r="C1257" s="608" t="s">
        <v>1659</v>
      </c>
      <c r="D1257" s="599">
        <v>106.1</v>
      </c>
    </row>
    <row r="1258" spans="1:6">
      <c r="A1258" s="606">
        <v>81248</v>
      </c>
      <c r="B1258" s="607" t="s">
        <v>2758</v>
      </c>
      <c r="C1258" s="608" t="s">
        <v>1659</v>
      </c>
      <c r="D1258" s="599">
        <v>138.41999999999999</v>
      </c>
    </row>
    <row r="1259" spans="1:6">
      <c r="A1259" s="606">
        <v>81249</v>
      </c>
      <c r="B1259" s="607" t="s">
        <v>2759</v>
      </c>
      <c r="C1259" s="608" t="s">
        <v>1659</v>
      </c>
      <c r="D1259" s="599">
        <v>214.81</v>
      </c>
    </row>
    <row r="1260" spans="1:6">
      <c r="A1260" s="606">
        <v>81250</v>
      </c>
      <c r="B1260" s="607" t="s">
        <v>2760</v>
      </c>
      <c r="C1260" s="608" t="s">
        <v>1659</v>
      </c>
      <c r="D1260" s="599">
        <v>413.2</v>
      </c>
    </row>
    <row r="1261" spans="1:6">
      <c r="A1261" s="606">
        <v>81255</v>
      </c>
      <c r="B1261" s="607" t="s">
        <v>2761</v>
      </c>
      <c r="C1261" s="608" t="s">
        <v>1659</v>
      </c>
      <c r="D1261" s="599">
        <v>28.64</v>
      </c>
    </row>
    <row r="1262" spans="1:6">
      <c r="A1262" s="606">
        <v>81256</v>
      </c>
      <c r="B1262" s="607" t="s">
        <v>2762</v>
      </c>
      <c r="C1262" s="608" t="s">
        <v>1659</v>
      </c>
      <c r="D1262" s="599">
        <v>37.6</v>
      </c>
    </row>
    <row r="1263" spans="1:6">
      <c r="A1263" s="606">
        <v>81257</v>
      </c>
      <c r="B1263" s="607" t="s">
        <v>2763</v>
      </c>
      <c r="C1263" s="608" t="s">
        <v>1659</v>
      </c>
      <c r="D1263" s="599">
        <v>48.63</v>
      </c>
    </row>
    <row r="1264" spans="1:6">
      <c r="A1264" s="606">
        <v>81258</v>
      </c>
      <c r="B1264" s="607" t="s">
        <v>2764</v>
      </c>
      <c r="C1264" s="608" t="s">
        <v>1659</v>
      </c>
      <c r="D1264" s="599">
        <v>78.56</v>
      </c>
    </row>
    <row r="1265" spans="1:4">
      <c r="A1265" s="606">
        <v>81259</v>
      </c>
      <c r="B1265" s="607" t="s">
        <v>2765</v>
      </c>
      <c r="C1265" s="608" t="s">
        <v>1659</v>
      </c>
      <c r="D1265" s="599">
        <v>140.49</v>
      </c>
    </row>
    <row r="1266" spans="1:4">
      <c r="A1266" s="606">
        <v>81265</v>
      </c>
      <c r="B1266" s="607" t="s">
        <v>2766</v>
      </c>
      <c r="C1266" s="608" t="s">
        <v>1615</v>
      </c>
      <c r="D1266" s="599">
        <v>4.62</v>
      </c>
    </row>
    <row r="1267" spans="1:4">
      <c r="A1267" s="606">
        <v>81266</v>
      </c>
      <c r="B1267" s="607" t="s">
        <v>2767</v>
      </c>
      <c r="C1267" s="608" t="s">
        <v>1615</v>
      </c>
      <c r="D1267" s="599">
        <v>5.68</v>
      </c>
    </row>
    <row r="1268" spans="1:4">
      <c r="A1268" s="606">
        <v>81267</v>
      </c>
      <c r="B1268" s="607" t="s">
        <v>2768</v>
      </c>
      <c r="C1268" s="608" t="s">
        <v>1615</v>
      </c>
      <c r="D1268" s="599">
        <v>16.5</v>
      </c>
    </row>
    <row r="1269" spans="1:4">
      <c r="A1269" s="606">
        <v>81270</v>
      </c>
      <c r="B1269" s="607" t="s">
        <v>2699</v>
      </c>
      <c r="C1269" s="608" t="s">
        <v>1650</v>
      </c>
      <c r="D1269" s="599">
        <v>44.64</v>
      </c>
    </row>
    <row r="1270" spans="1:4">
      <c r="A1270" s="606">
        <v>81271</v>
      </c>
      <c r="B1270" s="607" t="s">
        <v>2700</v>
      </c>
      <c r="C1270" s="608" t="s">
        <v>1650</v>
      </c>
      <c r="D1270" s="599">
        <v>402.56</v>
      </c>
    </row>
    <row r="1271" spans="1:4">
      <c r="A1271" s="606">
        <v>81272</v>
      </c>
      <c r="B1271" s="607" t="s">
        <v>2701</v>
      </c>
      <c r="C1271" s="608" t="s">
        <v>1240</v>
      </c>
      <c r="D1271" s="599">
        <v>103.61</v>
      </c>
    </row>
    <row r="1272" spans="1:4">
      <c r="A1272" s="606">
        <v>81273</v>
      </c>
      <c r="B1272" s="607" t="s">
        <v>2702</v>
      </c>
      <c r="C1272" s="608" t="s">
        <v>1240</v>
      </c>
      <c r="D1272" s="599">
        <v>152.22</v>
      </c>
    </row>
    <row r="1273" spans="1:4">
      <c r="A1273" s="606">
        <v>81274</v>
      </c>
      <c r="B1273" s="607" t="s">
        <v>2703</v>
      </c>
      <c r="C1273" s="608" t="s">
        <v>1240</v>
      </c>
      <c r="D1273" s="599">
        <v>98.85</v>
      </c>
    </row>
    <row r="1274" spans="1:4">
      <c r="A1274" s="606">
        <v>81277</v>
      </c>
      <c r="B1274" s="607" t="s">
        <v>2769</v>
      </c>
      <c r="C1274" s="608" t="s">
        <v>1615</v>
      </c>
      <c r="D1274" s="599">
        <v>304.82</v>
      </c>
    </row>
    <row r="1275" spans="1:4">
      <c r="A1275" s="606">
        <v>81279</v>
      </c>
      <c r="B1275" s="607" t="s">
        <v>2770</v>
      </c>
      <c r="C1275" s="608" t="s">
        <v>1615</v>
      </c>
      <c r="D1275" s="599">
        <v>174.37</v>
      </c>
    </row>
    <row r="1276" spans="1:4">
      <c r="A1276" s="606">
        <v>81285</v>
      </c>
      <c r="B1276" s="607" t="s">
        <v>2771</v>
      </c>
      <c r="C1276" s="608" t="s">
        <v>1615</v>
      </c>
      <c r="D1276" s="599">
        <v>179.47</v>
      </c>
    </row>
    <row r="1277" spans="1:4">
      <c r="A1277" s="606">
        <v>81286</v>
      </c>
      <c r="B1277" s="607" t="s">
        <v>2772</v>
      </c>
      <c r="C1277" s="608" t="s">
        <v>1615</v>
      </c>
      <c r="D1277" s="599">
        <v>202.53</v>
      </c>
    </row>
    <row r="1278" spans="1:4">
      <c r="A1278" s="606">
        <v>81287</v>
      </c>
      <c r="B1278" s="607" t="s">
        <v>2773</v>
      </c>
      <c r="C1278" s="608" t="s">
        <v>1615</v>
      </c>
      <c r="D1278" s="599">
        <v>50.38</v>
      </c>
    </row>
    <row r="1279" spans="1:4">
      <c r="A1279" s="606">
        <v>81295</v>
      </c>
      <c r="B1279" s="607" t="s">
        <v>2774</v>
      </c>
      <c r="C1279" s="608" t="s">
        <v>1659</v>
      </c>
      <c r="D1279" s="599">
        <v>44.56</v>
      </c>
    </row>
    <row r="1280" spans="1:4">
      <c r="A1280" s="606">
        <v>81296</v>
      </c>
      <c r="B1280" s="607" t="s">
        <v>2775</v>
      </c>
      <c r="C1280" s="608" t="s">
        <v>1659</v>
      </c>
      <c r="D1280" s="599">
        <v>62.42</v>
      </c>
    </row>
    <row r="1281" spans="1:6">
      <c r="A1281" s="606">
        <v>81297</v>
      </c>
      <c r="B1281" s="607" t="s">
        <v>2776</v>
      </c>
      <c r="C1281" s="608" t="s">
        <v>1659</v>
      </c>
      <c r="D1281" s="599">
        <v>102.26</v>
      </c>
    </row>
    <row r="1282" spans="1:6">
      <c r="A1282" s="606">
        <v>81299</v>
      </c>
      <c r="B1282" s="607" t="s">
        <v>2726</v>
      </c>
      <c r="C1282" s="608" t="s">
        <v>1652</v>
      </c>
      <c r="D1282" s="599">
        <v>263.25</v>
      </c>
    </row>
    <row r="1283" spans="1:6" s="610" customFormat="1">
      <c r="A1283" s="589">
        <v>813</v>
      </c>
      <c r="B1283" s="596" t="s">
        <v>2777</v>
      </c>
      <c r="C1283" s="588"/>
      <c r="D1283" s="599"/>
      <c r="E1283" s="581"/>
      <c r="F1283" s="585"/>
    </row>
    <row r="1284" spans="1:6">
      <c r="A1284" s="606">
        <v>81301</v>
      </c>
      <c r="B1284" s="607" t="s">
        <v>2594</v>
      </c>
      <c r="C1284" s="608" t="s">
        <v>1659</v>
      </c>
      <c r="D1284" s="599">
        <v>11.27</v>
      </c>
    </row>
    <row r="1285" spans="1:6">
      <c r="A1285" s="606">
        <v>81302</v>
      </c>
      <c r="B1285" s="607" t="s">
        <v>2595</v>
      </c>
      <c r="C1285" s="608" t="s">
        <v>1659</v>
      </c>
      <c r="D1285" s="599">
        <v>15.32</v>
      </c>
    </row>
    <row r="1286" spans="1:6">
      <c r="A1286" s="606">
        <v>81303</v>
      </c>
      <c r="B1286" s="607" t="s">
        <v>2596</v>
      </c>
      <c r="C1286" s="608" t="s">
        <v>1659</v>
      </c>
      <c r="D1286" s="599">
        <v>21.43</v>
      </c>
    </row>
    <row r="1287" spans="1:6">
      <c r="A1287" s="606">
        <v>81304</v>
      </c>
      <c r="B1287" s="607" t="s">
        <v>2597</v>
      </c>
      <c r="C1287" s="608" t="s">
        <v>1659</v>
      </c>
      <c r="D1287" s="599">
        <v>22.87</v>
      </c>
      <c r="E1287" s="610"/>
      <c r="F1287" s="610"/>
    </row>
    <row r="1288" spans="1:6">
      <c r="A1288" s="606">
        <v>81305</v>
      </c>
      <c r="B1288" s="607" t="s">
        <v>2598</v>
      </c>
      <c r="C1288" s="608" t="s">
        <v>1659</v>
      </c>
      <c r="D1288" s="599">
        <v>29.64</v>
      </c>
    </row>
    <row r="1289" spans="1:6">
      <c r="A1289" s="606">
        <v>81306</v>
      </c>
      <c r="B1289" s="607" t="s">
        <v>2599</v>
      </c>
      <c r="C1289" s="608" t="s">
        <v>1659</v>
      </c>
      <c r="D1289" s="599">
        <v>42.16</v>
      </c>
    </row>
    <row r="1290" spans="1:6">
      <c r="A1290" s="606">
        <v>81307</v>
      </c>
      <c r="B1290" s="607" t="s">
        <v>2600</v>
      </c>
      <c r="C1290" s="608" t="s">
        <v>1659</v>
      </c>
      <c r="D1290" s="599">
        <v>49.83</v>
      </c>
    </row>
    <row r="1291" spans="1:6">
      <c r="A1291" s="606">
        <v>81308</v>
      </c>
      <c r="B1291" s="607" t="s">
        <v>2601</v>
      </c>
      <c r="C1291" s="608" t="s">
        <v>1659</v>
      </c>
      <c r="D1291" s="599">
        <v>82.74</v>
      </c>
    </row>
    <row r="1292" spans="1:6">
      <c r="A1292" s="606">
        <v>81311</v>
      </c>
      <c r="B1292" s="607" t="s">
        <v>2584</v>
      </c>
      <c r="C1292" s="608" t="s">
        <v>1659</v>
      </c>
      <c r="D1292" s="599">
        <v>37.200000000000003</v>
      </c>
    </row>
    <row r="1293" spans="1:6">
      <c r="A1293" s="606">
        <v>81312</v>
      </c>
      <c r="B1293" s="607" t="s">
        <v>2778</v>
      </c>
      <c r="C1293" s="608" t="s">
        <v>1659</v>
      </c>
      <c r="D1293" s="599">
        <v>51.98</v>
      </c>
    </row>
    <row r="1294" spans="1:6">
      <c r="A1294" s="606">
        <v>81313</v>
      </c>
      <c r="B1294" s="607" t="s">
        <v>2779</v>
      </c>
      <c r="C1294" s="608" t="s">
        <v>1659</v>
      </c>
      <c r="D1294" s="599">
        <v>62.14</v>
      </c>
    </row>
    <row r="1295" spans="1:6">
      <c r="A1295" s="606">
        <v>81314</v>
      </c>
      <c r="B1295" s="607" t="s">
        <v>2780</v>
      </c>
      <c r="C1295" s="608" t="s">
        <v>1659</v>
      </c>
      <c r="D1295" s="599">
        <v>69.489999999999995</v>
      </c>
    </row>
    <row r="1296" spans="1:6">
      <c r="A1296" s="606">
        <v>81315</v>
      </c>
      <c r="B1296" s="607" t="s">
        <v>2588</v>
      </c>
      <c r="C1296" s="608" t="s">
        <v>1659</v>
      </c>
      <c r="D1296" s="599">
        <v>89.47</v>
      </c>
    </row>
    <row r="1297" spans="1:6">
      <c r="A1297" s="606">
        <v>81316</v>
      </c>
      <c r="B1297" s="607" t="s">
        <v>2781</v>
      </c>
      <c r="C1297" s="608" t="s">
        <v>1659</v>
      </c>
      <c r="D1297" s="599">
        <v>109.38</v>
      </c>
    </row>
    <row r="1298" spans="1:6">
      <c r="A1298" s="606">
        <v>81317</v>
      </c>
      <c r="B1298" s="607" t="s">
        <v>2590</v>
      </c>
      <c r="C1298" s="608" t="s">
        <v>1659</v>
      </c>
      <c r="D1298" s="599">
        <v>126.49</v>
      </c>
    </row>
    <row r="1299" spans="1:6">
      <c r="A1299" s="606">
        <v>81318</v>
      </c>
      <c r="B1299" s="607" t="s">
        <v>2591</v>
      </c>
      <c r="C1299" s="608" t="s">
        <v>1659</v>
      </c>
      <c r="D1299" s="599">
        <v>168.61</v>
      </c>
    </row>
    <row r="1300" spans="1:6">
      <c r="A1300" s="606">
        <v>81399</v>
      </c>
      <c r="B1300" s="607" t="s">
        <v>2782</v>
      </c>
      <c r="C1300" s="608" t="s">
        <v>1652</v>
      </c>
      <c r="D1300" s="599">
        <v>263.25</v>
      </c>
    </row>
    <row r="1301" spans="1:6">
      <c r="A1301" s="589">
        <v>814</v>
      </c>
      <c r="B1301" s="596" t="s">
        <v>2783</v>
      </c>
      <c r="C1301" s="588"/>
      <c r="D1301" s="599"/>
      <c r="F1301" s="585"/>
    </row>
    <row r="1302" spans="1:6">
      <c r="A1302" s="606">
        <v>81402</v>
      </c>
      <c r="B1302" s="607" t="s">
        <v>2605</v>
      </c>
      <c r="C1302" s="608" t="s">
        <v>1615</v>
      </c>
      <c r="D1302" s="599">
        <v>33.130000000000003</v>
      </c>
    </row>
    <row r="1303" spans="1:6">
      <c r="A1303" s="606">
        <v>81403</v>
      </c>
      <c r="B1303" s="607" t="s">
        <v>2606</v>
      </c>
      <c r="C1303" s="608" t="s">
        <v>1615</v>
      </c>
      <c r="D1303" s="599">
        <v>42.22</v>
      </c>
    </row>
    <row r="1304" spans="1:6">
      <c r="A1304" s="606">
        <v>81404</v>
      </c>
      <c r="B1304" s="607" t="s">
        <v>2607</v>
      </c>
      <c r="C1304" s="608" t="s">
        <v>1615</v>
      </c>
      <c r="D1304" s="599">
        <v>61.08</v>
      </c>
    </row>
    <row r="1305" spans="1:6">
      <c r="A1305" s="606">
        <v>81405</v>
      </c>
      <c r="B1305" s="607" t="s">
        <v>2784</v>
      </c>
      <c r="C1305" s="608" t="s">
        <v>1615</v>
      </c>
      <c r="D1305" s="599">
        <v>73.430000000000007</v>
      </c>
    </row>
    <row r="1306" spans="1:6">
      <c r="A1306" s="606">
        <v>81406</v>
      </c>
      <c r="B1306" s="607" t="s">
        <v>2609</v>
      </c>
      <c r="C1306" s="608" t="s">
        <v>1615</v>
      </c>
      <c r="D1306" s="599">
        <v>95.12</v>
      </c>
    </row>
    <row r="1307" spans="1:6">
      <c r="A1307" s="606">
        <v>81407</v>
      </c>
      <c r="B1307" s="607" t="s">
        <v>2785</v>
      </c>
      <c r="C1307" s="608" t="s">
        <v>1615</v>
      </c>
      <c r="D1307" s="599">
        <v>231.86</v>
      </c>
    </row>
    <row r="1308" spans="1:6">
      <c r="A1308" s="606">
        <v>81408</v>
      </c>
      <c r="B1308" s="607" t="s">
        <v>2611</v>
      </c>
      <c r="C1308" s="608" t="s">
        <v>1615</v>
      </c>
      <c r="D1308" s="599">
        <v>342.83</v>
      </c>
    </row>
    <row r="1309" spans="1:6">
      <c r="A1309" s="606">
        <v>81409</v>
      </c>
      <c r="B1309" s="607" t="s">
        <v>2612</v>
      </c>
      <c r="C1309" s="608" t="s">
        <v>1615</v>
      </c>
      <c r="D1309" s="599">
        <v>554.59</v>
      </c>
    </row>
    <row r="1310" spans="1:6">
      <c r="A1310" s="606">
        <v>81416</v>
      </c>
      <c r="B1310" s="607" t="s">
        <v>2786</v>
      </c>
      <c r="C1310" s="608" t="s">
        <v>1615</v>
      </c>
      <c r="D1310" s="599">
        <v>70.87</v>
      </c>
    </row>
    <row r="1311" spans="1:6" s="610" customFormat="1">
      <c r="A1311" s="606">
        <v>81417</v>
      </c>
      <c r="B1311" s="607" t="s">
        <v>2787</v>
      </c>
      <c r="C1311" s="608" t="s">
        <v>1615</v>
      </c>
      <c r="D1311" s="599">
        <v>94.14</v>
      </c>
      <c r="E1311" s="581"/>
      <c r="F1311" s="581"/>
    </row>
    <row r="1312" spans="1:6">
      <c r="A1312" s="606">
        <v>81418</v>
      </c>
      <c r="B1312" s="607" t="s">
        <v>2788</v>
      </c>
      <c r="C1312" s="608" t="s">
        <v>1615</v>
      </c>
      <c r="D1312" s="599">
        <v>111.24</v>
      </c>
    </row>
    <row r="1313" spans="1:6">
      <c r="A1313" s="606">
        <v>81419</v>
      </c>
      <c r="B1313" s="607" t="s">
        <v>2789</v>
      </c>
      <c r="C1313" s="608" t="s">
        <v>1615</v>
      </c>
      <c r="D1313" s="599">
        <v>146.65</v>
      </c>
    </row>
    <row r="1314" spans="1:6">
      <c r="A1314" s="606">
        <v>81420</v>
      </c>
      <c r="B1314" s="607" t="s">
        <v>2790</v>
      </c>
      <c r="C1314" s="608" t="s">
        <v>1615</v>
      </c>
      <c r="D1314" s="599">
        <v>216.11</v>
      </c>
    </row>
    <row r="1315" spans="1:6">
      <c r="A1315" s="606">
        <v>81421</v>
      </c>
      <c r="B1315" s="607" t="s">
        <v>2791</v>
      </c>
      <c r="C1315" s="608" t="s">
        <v>1615</v>
      </c>
      <c r="D1315" s="599">
        <v>264.41000000000003</v>
      </c>
    </row>
    <row r="1316" spans="1:6">
      <c r="A1316" s="606">
        <v>81422</v>
      </c>
      <c r="B1316" s="607" t="s">
        <v>2792</v>
      </c>
      <c r="C1316" s="608" t="s">
        <v>1615</v>
      </c>
      <c r="D1316" s="599">
        <v>427.31</v>
      </c>
    </row>
    <row r="1317" spans="1:6" s="610" customFormat="1">
      <c r="A1317" s="606">
        <v>81426</v>
      </c>
      <c r="B1317" s="607" t="s">
        <v>2793</v>
      </c>
      <c r="C1317" s="608" t="s">
        <v>1615</v>
      </c>
      <c r="D1317" s="599">
        <v>50.22</v>
      </c>
      <c r="E1317" s="581"/>
      <c r="F1317" s="581"/>
    </row>
    <row r="1318" spans="1:6">
      <c r="A1318" s="606">
        <v>81427</v>
      </c>
      <c r="B1318" s="607" t="s">
        <v>2794</v>
      </c>
      <c r="C1318" s="608" t="s">
        <v>1615</v>
      </c>
      <c r="D1318" s="599">
        <v>61.01</v>
      </c>
    </row>
    <row r="1319" spans="1:6">
      <c r="A1319" s="606">
        <v>81428</v>
      </c>
      <c r="B1319" s="607" t="s">
        <v>2795</v>
      </c>
      <c r="C1319" s="608" t="s">
        <v>1615</v>
      </c>
      <c r="D1319" s="599">
        <v>79.72</v>
      </c>
    </row>
    <row r="1320" spans="1:6">
      <c r="A1320" s="606">
        <v>81429</v>
      </c>
      <c r="B1320" s="607" t="s">
        <v>2796</v>
      </c>
      <c r="C1320" s="608" t="s">
        <v>1615</v>
      </c>
      <c r="D1320" s="599">
        <v>107.45</v>
      </c>
    </row>
    <row r="1321" spans="1:6" s="610" customFormat="1">
      <c r="A1321" s="606">
        <v>81430</v>
      </c>
      <c r="B1321" s="607" t="s">
        <v>2797</v>
      </c>
      <c r="C1321" s="608" t="s">
        <v>1615</v>
      </c>
      <c r="D1321" s="599">
        <v>159.22999999999999</v>
      </c>
      <c r="E1321" s="581"/>
      <c r="F1321" s="581"/>
    </row>
    <row r="1322" spans="1:6">
      <c r="A1322" s="606">
        <v>81431</v>
      </c>
      <c r="B1322" s="607" t="s">
        <v>2798</v>
      </c>
      <c r="C1322" s="608" t="s">
        <v>1615</v>
      </c>
      <c r="D1322" s="599">
        <v>225.11</v>
      </c>
    </row>
    <row r="1323" spans="1:6" s="610" customFormat="1">
      <c r="A1323" s="606">
        <v>81432</v>
      </c>
      <c r="B1323" s="607" t="s">
        <v>2799</v>
      </c>
      <c r="C1323" s="608" t="s">
        <v>1615</v>
      </c>
      <c r="D1323" s="599">
        <v>326.69</v>
      </c>
      <c r="E1323" s="581"/>
      <c r="F1323" s="581"/>
    </row>
    <row r="1324" spans="1:6">
      <c r="A1324" s="606">
        <v>81435</v>
      </c>
      <c r="B1324" s="607" t="s">
        <v>2800</v>
      </c>
      <c r="C1324" s="608" t="s">
        <v>1615</v>
      </c>
      <c r="D1324" s="599">
        <v>41.22</v>
      </c>
      <c r="E1324" s="610"/>
      <c r="F1324" s="610"/>
    </row>
    <row r="1325" spans="1:6">
      <c r="A1325" s="606">
        <v>81436</v>
      </c>
      <c r="B1325" s="607" t="s">
        <v>2801</v>
      </c>
      <c r="C1325" s="608" t="s">
        <v>1615</v>
      </c>
      <c r="D1325" s="599">
        <v>56.74</v>
      </c>
    </row>
    <row r="1326" spans="1:6" s="610" customFormat="1">
      <c r="A1326" s="606">
        <v>81437</v>
      </c>
      <c r="B1326" s="607" t="s">
        <v>2802</v>
      </c>
      <c r="C1326" s="608" t="s">
        <v>1615</v>
      </c>
      <c r="D1326" s="599">
        <v>68.91</v>
      </c>
      <c r="E1326" s="581"/>
      <c r="F1326" s="581"/>
    </row>
    <row r="1327" spans="1:6">
      <c r="A1327" s="606">
        <v>81438</v>
      </c>
      <c r="B1327" s="607" t="s">
        <v>2803</v>
      </c>
      <c r="C1327" s="608" t="s">
        <v>1615</v>
      </c>
      <c r="D1327" s="599">
        <v>93.17</v>
      </c>
    </row>
    <row r="1328" spans="1:6" s="610" customFormat="1">
      <c r="A1328" s="606">
        <v>81439</v>
      </c>
      <c r="B1328" s="607" t="s">
        <v>2804</v>
      </c>
      <c r="C1328" s="608" t="s">
        <v>1615</v>
      </c>
      <c r="D1328" s="599">
        <v>143.97</v>
      </c>
      <c r="E1328" s="581"/>
      <c r="F1328" s="581"/>
    </row>
    <row r="1329" spans="1:6">
      <c r="A1329" s="606">
        <v>81440</v>
      </c>
      <c r="B1329" s="607" t="s">
        <v>2805</v>
      </c>
      <c r="C1329" s="608" t="s">
        <v>1615</v>
      </c>
      <c r="D1329" s="599">
        <v>191.08</v>
      </c>
    </row>
    <row r="1330" spans="1:6">
      <c r="A1330" s="606">
        <v>81445</v>
      </c>
      <c r="B1330" s="607" t="s">
        <v>2806</v>
      </c>
      <c r="C1330" s="608" t="s">
        <v>1615</v>
      </c>
      <c r="D1330" s="599">
        <v>42.35</v>
      </c>
    </row>
    <row r="1331" spans="1:6">
      <c r="A1331" s="606">
        <v>81446</v>
      </c>
      <c r="B1331" s="607" t="s">
        <v>2807</v>
      </c>
      <c r="C1331" s="608" t="s">
        <v>1615</v>
      </c>
      <c r="D1331" s="599">
        <v>55.4</v>
      </c>
    </row>
    <row r="1332" spans="1:6">
      <c r="A1332" s="606">
        <v>81447</v>
      </c>
      <c r="B1332" s="607" t="s">
        <v>2808</v>
      </c>
      <c r="C1332" s="608" t="s">
        <v>1615</v>
      </c>
      <c r="D1332" s="599">
        <v>78.92</v>
      </c>
    </row>
    <row r="1333" spans="1:6">
      <c r="A1333" s="606">
        <v>81448</v>
      </c>
      <c r="B1333" s="607" t="s">
        <v>2809</v>
      </c>
      <c r="C1333" s="608" t="s">
        <v>1615</v>
      </c>
      <c r="D1333" s="599">
        <v>98.12</v>
      </c>
    </row>
    <row r="1334" spans="1:6">
      <c r="A1334" s="606">
        <v>81449</v>
      </c>
      <c r="B1334" s="607" t="s">
        <v>2810</v>
      </c>
      <c r="C1334" s="608" t="s">
        <v>1615</v>
      </c>
      <c r="D1334" s="599">
        <v>115.89</v>
      </c>
    </row>
    <row r="1335" spans="1:6">
      <c r="A1335" s="606">
        <v>81450</v>
      </c>
      <c r="B1335" s="607" t="s">
        <v>2811</v>
      </c>
      <c r="C1335" s="608" t="s">
        <v>1615</v>
      </c>
      <c r="D1335" s="599">
        <v>60161.79</v>
      </c>
    </row>
    <row r="1336" spans="1:6">
      <c r="A1336" s="606">
        <v>81451</v>
      </c>
      <c r="B1336" s="607" t="s">
        <v>2812</v>
      </c>
      <c r="C1336" s="608" t="s">
        <v>1615</v>
      </c>
      <c r="D1336" s="599">
        <v>63400.35</v>
      </c>
    </row>
    <row r="1337" spans="1:6">
      <c r="A1337" s="606">
        <v>81452</v>
      </c>
      <c r="B1337" s="607" t="s">
        <v>2813</v>
      </c>
      <c r="C1337" s="608" t="s">
        <v>1615</v>
      </c>
      <c r="D1337" s="599">
        <v>66600.19</v>
      </c>
    </row>
    <row r="1338" spans="1:6">
      <c r="A1338" s="606">
        <v>81454</v>
      </c>
      <c r="B1338" s="607" t="s">
        <v>2814</v>
      </c>
      <c r="C1338" s="608" t="s">
        <v>1615</v>
      </c>
      <c r="D1338" s="599">
        <v>50889.65</v>
      </c>
    </row>
    <row r="1339" spans="1:6">
      <c r="A1339" s="606">
        <v>81456</v>
      </c>
      <c r="B1339" s="607" t="s">
        <v>2815</v>
      </c>
      <c r="C1339" s="608" t="s">
        <v>1615</v>
      </c>
      <c r="D1339" s="599">
        <v>54366.98</v>
      </c>
    </row>
    <row r="1340" spans="1:6" s="610" customFormat="1">
      <c r="A1340" s="606">
        <v>81458</v>
      </c>
      <c r="B1340" s="607" t="s">
        <v>2816</v>
      </c>
      <c r="C1340" s="608" t="s">
        <v>1615</v>
      </c>
      <c r="D1340" s="599">
        <v>57919.53</v>
      </c>
      <c r="E1340" s="581"/>
      <c r="F1340" s="581"/>
    </row>
    <row r="1341" spans="1:6">
      <c r="A1341" s="606">
        <v>81459</v>
      </c>
      <c r="B1341" s="607" t="s">
        <v>2817</v>
      </c>
      <c r="C1341" s="608" t="s">
        <v>1615</v>
      </c>
      <c r="D1341" s="599">
        <v>41195.519999999997</v>
      </c>
      <c r="F1341" s="617"/>
    </row>
    <row r="1342" spans="1:6">
      <c r="A1342" s="606">
        <v>81460</v>
      </c>
      <c r="B1342" s="607" t="s">
        <v>2818</v>
      </c>
      <c r="C1342" s="608" t="s">
        <v>1615</v>
      </c>
      <c r="D1342" s="599">
        <v>44940.23</v>
      </c>
    </row>
    <row r="1343" spans="1:6">
      <c r="A1343" s="606">
        <v>81461</v>
      </c>
      <c r="B1343" s="607" t="s">
        <v>2819</v>
      </c>
      <c r="C1343" s="608" t="s">
        <v>1615</v>
      </c>
      <c r="D1343" s="599">
        <v>47751.519999999997</v>
      </c>
    </row>
    <row r="1344" spans="1:6">
      <c r="A1344" s="606">
        <v>81462</v>
      </c>
      <c r="B1344" s="607" t="s">
        <v>2820</v>
      </c>
      <c r="C1344" s="608" t="s">
        <v>1659</v>
      </c>
      <c r="D1344" s="599">
        <v>3911.4</v>
      </c>
    </row>
    <row r="1345" spans="1:6">
      <c r="A1345" s="606">
        <v>81463</v>
      </c>
      <c r="B1345" s="607" t="s">
        <v>2821</v>
      </c>
      <c r="C1345" s="608" t="s">
        <v>1615</v>
      </c>
      <c r="D1345" s="599">
        <v>1328.4</v>
      </c>
    </row>
    <row r="1346" spans="1:6">
      <c r="A1346" s="606">
        <v>81464</v>
      </c>
      <c r="B1346" s="607" t="s">
        <v>2822</v>
      </c>
      <c r="C1346" s="608" t="s">
        <v>1615</v>
      </c>
      <c r="D1346" s="599">
        <v>1771.2</v>
      </c>
    </row>
    <row r="1347" spans="1:6">
      <c r="A1347" s="606">
        <v>81465</v>
      </c>
      <c r="B1347" s="607" t="s">
        <v>2823</v>
      </c>
      <c r="C1347" s="608" t="s">
        <v>1615</v>
      </c>
      <c r="D1347" s="599">
        <v>18453.54</v>
      </c>
      <c r="E1347" s="617">
        <f>D1347/9</f>
        <v>2050.3933333333334</v>
      </c>
      <c r="F1347" s="617">
        <f>E1347*6</f>
        <v>12302.36</v>
      </c>
    </row>
    <row r="1348" spans="1:6">
      <c r="A1348" s="606">
        <v>81466</v>
      </c>
      <c r="B1348" s="607" t="s">
        <v>2824</v>
      </c>
      <c r="C1348" s="608" t="s">
        <v>1615</v>
      </c>
      <c r="D1348" s="599">
        <v>22889.9</v>
      </c>
    </row>
    <row r="1349" spans="1:6">
      <c r="A1349" s="606">
        <v>81467</v>
      </c>
      <c r="B1349" s="607" t="s">
        <v>2825</v>
      </c>
      <c r="C1349" s="608" t="s">
        <v>1615</v>
      </c>
      <c r="D1349" s="599">
        <v>25400.52</v>
      </c>
    </row>
    <row r="1350" spans="1:6">
      <c r="A1350" s="606">
        <v>81468</v>
      </c>
      <c r="B1350" s="607" t="s">
        <v>2826</v>
      </c>
      <c r="C1350" s="608" t="s">
        <v>1615</v>
      </c>
      <c r="D1350" s="599">
        <v>28964.400000000001</v>
      </c>
    </row>
    <row r="1351" spans="1:6">
      <c r="A1351" s="606">
        <v>81469</v>
      </c>
      <c r="B1351" s="607" t="s">
        <v>2827</v>
      </c>
      <c r="C1351" s="608" t="s">
        <v>1615</v>
      </c>
      <c r="D1351" s="599">
        <v>32388.6</v>
      </c>
    </row>
    <row r="1352" spans="1:6">
      <c r="A1352" s="606">
        <v>81470</v>
      </c>
      <c r="B1352" s="607" t="s">
        <v>2828</v>
      </c>
      <c r="C1352" s="608" t="s">
        <v>1615</v>
      </c>
      <c r="D1352" s="599">
        <v>34683.29</v>
      </c>
      <c r="E1352" s="610"/>
      <c r="F1352" s="610"/>
    </row>
    <row r="1353" spans="1:6">
      <c r="A1353" s="606">
        <v>81471</v>
      </c>
      <c r="B1353" s="607" t="s">
        <v>2829</v>
      </c>
      <c r="C1353" s="608" t="s">
        <v>1615</v>
      </c>
      <c r="D1353" s="599">
        <v>529.33000000000004</v>
      </c>
    </row>
    <row r="1354" spans="1:6">
      <c r="A1354" s="606">
        <v>81472</v>
      </c>
      <c r="B1354" s="607" t="s">
        <v>2830</v>
      </c>
      <c r="C1354" s="608" t="s">
        <v>1615</v>
      </c>
      <c r="D1354" s="599">
        <v>616.83000000000004</v>
      </c>
    </row>
    <row r="1355" spans="1:6" s="610" customFormat="1">
      <c r="A1355" s="606">
        <v>81473</v>
      </c>
      <c r="B1355" s="607" t="s">
        <v>2831</v>
      </c>
      <c r="C1355" s="608" t="s">
        <v>1615</v>
      </c>
      <c r="D1355" s="599">
        <v>905.28</v>
      </c>
      <c r="E1355" s="581"/>
      <c r="F1355" s="581"/>
    </row>
    <row r="1356" spans="1:6">
      <c r="A1356" s="606">
        <v>81474</v>
      </c>
      <c r="B1356" s="607" t="s">
        <v>2832</v>
      </c>
      <c r="C1356" s="608" t="s">
        <v>1615</v>
      </c>
      <c r="D1356" s="599">
        <v>990.5</v>
      </c>
    </row>
    <row r="1357" spans="1:6">
      <c r="A1357" s="606">
        <v>81475</v>
      </c>
      <c r="B1357" s="607" t="s">
        <v>2833</v>
      </c>
      <c r="C1357" s="608" t="s">
        <v>1615</v>
      </c>
      <c r="D1357" s="599">
        <v>1148.9000000000001</v>
      </c>
    </row>
    <row r="1358" spans="1:6">
      <c r="A1358" s="606">
        <v>81478</v>
      </c>
      <c r="B1358" s="607" t="s">
        <v>2834</v>
      </c>
      <c r="C1358" s="608" t="s">
        <v>1615</v>
      </c>
      <c r="D1358" s="599">
        <v>682.84</v>
      </c>
      <c r="E1358" s="610"/>
      <c r="F1358" s="610"/>
    </row>
    <row r="1359" spans="1:6" s="610" customFormat="1">
      <c r="A1359" s="606">
        <v>81485</v>
      </c>
      <c r="B1359" s="607" t="s">
        <v>2835</v>
      </c>
      <c r="C1359" s="608" t="s">
        <v>1659</v>
      </c>
      <c r="D1359" s="599">
        <v>3050.4</v>
      </c>
      <c r="E1359" s="581"/>
      <c r="F1359" s="581"/>
    </row>
    <row r="1360" spans="1:6">
      <c r="A1360" s="606">
        <v>81486</v>
      </c>
      <c r="B1360" s="607" t="s">
        <v>2836</v>
      </c>
      <c r="C1360" s="608" t="s">
        <v>1615</v>
      </c>
      <c r="D1360" s="599">
        <v>1033.2</v>
      </c>
    </row>
    <row r="1361" spans="1:6">
      <c r="A1361" s="606">
        <v>81487</v>
      </c>
      <c r="B1361" s="607" t="s">
        <v>2837</v>
      </c>
      <c r="C1361" s="608" t="s">
        <v>1615</v>
      </c>
      <c r="D1361" s="599">
        <v>1562.1</v>
      </c>
    </row>
    <row r="1362" spans="1:6">
      <c r="A1362" s="606">
        <v>81488</v>
      </c>
      <c r="B1362" s="607" t="s">
        <v>2838</v>
      </c>
      <c r="C1362" s="608" t="s">
        <v>1659</v>
      </c>
      <c r="D1362" s="599">
        <v>2521.5</v>
      </c>
      <c r="E1362" s="610"/>
      <c r="F1362" s="610"/>
    </row>
    <row r="1363" spans="1:6">
      <c r="A1363" s="606">
        <v>81489</v>
      </c>
      <c r="B1363" s="607" t="s">
        <v>2839</v>
      </c>
      <c r="C1363" s="608" t="s">
        <v>1615</v>
      </c>
      <c r="D1363" s="599">
        <v>947.1</v>
      </c>
    </row>
    <row r="1364" spans="1:6">
      <c r="A1364" s="606">
        <v>81490</v>
      </c>
      <c r="B1364" s="607" t="s">
        <v>2840</v>
      </c>
      <c r="C1364" s="608" t="s">
        <v>1615</v>
      </c>
      <c r="D1364" s="599">
        <v>1279.2</v>
      </c>
      <c r="E1364" s="610"/>
      <c r="F1364" s="610"/>
    </row>
    <row r="1365" spans="1:6">
      <c r="A1365" s="606">
        <v>81491</v>
      </c>
      <c r="B1365" s="607" t="s">
        <v>2841</v>
      </c>
      <c r="C1365" s="608" t="s">
        <v>1659</v>
      </c>
      <c r="D1365" s="599">
        <v>2410.8000000000002</v>
      </c>
    </row>
    <row r="1366" spans="1:6">
      <c r="A1366" s="606">
        <v>81492</v>
      </c>
      <c r="B1366" s="607" t="s">
        <v>2842</v>
      </c>
      <c r="C1366" s="608" t="s">
        <v>1615</v>
      </c>
      <c r="D1366" s="599">
        <v>660.14</v>
      </c>
    </row>
    <row r="1367" spans="1:6" s="610" customFormat="1">
      <c r="A1367" s="606">
        <v>81493</v>
      </c>
      <c r="B1367" s="607" t="s">
        <v>2843</v>
      </c>
      <c r="C1367" s="608" t="s">
        <v>1615</v>
      </c>
      <c r="D1367" s="599">
        <v>907.98</v>
      </c>
    </row>
    <row r="1368" spans="1:6">
      <c r="A1368" s="606">
        <v>81496</v>
      </c>
      <c r="B1368" s="607" t="s">
        <v>2844</v>
      </c>
      <c r="C1368" s="608" t="s">
        <v>1615</v>
      </c>
      <c r="D1368" s="599">
        <v>320.73</v>
      </c>
    </row>
    <row r="1369" spans="1:6">
      <c r="A1369" s="606">
        <v>81497</v>
      </c>
      <c r="B1369" s="607" t="s">
        <v>2845</v>
      </c>
      <c r="C1369" s="608" t="s">
        <v>1615</v>
      </c>
      <c r="D1369" s="599">
        <v>412.27</v>
      </c>
      <c r="E1369" s="610"/>
      <c r="F1369" s="610"/>
    </row>
    <row r="1370" spans="1:6">
      <c r="A1370" s="606">
        <v>81499</v>
      </c>
      <c r="B1370" s="607" t="s">
        <v>2846</v>
      </c>
      <c r="C1370" s="608" t="s">
        <v>1652</v>
      </c>
      <c r="D1370" s="599">
        <v>263.25</v>
      </c>
    </row>
    <row r="1371" spans="1:6">
      <c r="A1371" s="589">
        <v>815</v>
      </c>
      <c r="B1371" s="596" t="s">
        <v>2847</v>
      </c>
      <c r="C1371" s="588"/>
      <c r="D1371" s="599"/>
      <c r="F1371" s="585"/>
    </row>
    <row r="1372" spans="1:6">
      <c r="A1372" s="606">
        <v>81512</v>
      </c>
      <c r="B1372" s="607" t="s">
        <v>2848</v>
      </c>
      <c r="C1372" s="608" t="s">
        <v>1659</v>
      </c>
      <c r="D1372" s="599">
        <v>1272.42</v>
      </c>
    </row>
    <row r="1373" spans="1:6">
      <c r="A1373" s="606">
        <v>81513</v>
      </c>
      <c r="B1373" s="607" t="s">
        <v>2849</v>
      </c>
      <c r="C1373" s="608" t="s">
        <v>1659</v>
      </c>
      <c r="D1373" s="599">
        <v>1048.3900000000001</v>
      </c>
    </row>
    <row r="1374" spans="1:6">
      <c r="A1374" s="606">
        <v>81514</v>
      </c>
      <c r="B1374" s="607" t="s">
        <v>2850</v>
      </c>
      <c r="C1374" s="608" t="s">
        <v>1659</v>
      </c>
      <c r="D1374" s="599">
        <v>486.25</v>
      </c>
    </row>
    <row r="1375" spans="1:6">
      <c r="A1375" s="606">
        <v>81515</v>
      </c>
      <c r="B1375" s="607" t="s">
        <v>2851</v>
      </c>
      <c r="C1375" s="608" t="s">
        <v>1659</v>
      </c>
      <c r="D1375" s="599">
        <v>1254.69</v>
      </c>
    </row>
    <row r="1376" spans="1:6">
      <c r="A1376" s="606">
        <v>81516</v>
      </c>
      <c r="B1376" s="607" t="s">
        <v>2852</v>
      </c>
      <c r="C1376" s="608" t="s">
        <v>1659</v>
      </c>
      <c r="D1376" s="599">
        <v>435.54</v>
      </c>
    </row>
    <row r="1377" spans="1:6">
      <c r="A1377" s="606">
        <v>81523</v>
      </c>
      <c r="B1377" s="607" t="s">
        <v>2853</v>
      </c>
      <c r="C1377" s="608" t="s">
        <v>1659</v>
      </c>
      <c r="D1377" s="599">
        <v>1347.92</v>
      </c>
    </row>
    <row r="1378" spans="1:6">
      <c r="A1378" s="606">
        <v>81599</v>
      </c>
      <c r="B1378" s="607" t="s">
        <v>2854</v>
      </c>
      <c r="C1378" s="608" t="s">
        <v>1652</v>
      </c>
      <c r="D1378" s="599">
        <v>263.25</v>
      </c>
    </row>
    <row r="1379" spans="1:6">
      <c r="A1379" s="589">
        <v>816</v>
      </c>
      <c r="B1379" s="596" t="s">
        <v>2855</v>
      </c>
      <c r="C1379" s="588"/>
      <c r="D1379" s="599"/>
      <c r="F1379" s="585"/>
    </row>
    <row r="1380" spans="1:6">
      <c r="A1380" s="606">
        <v>81601</v>
      </c>
      <c r="B1380" s="607" t="s">
        <v>2856</v>
      </c>
      <c r="C1380" s="608" t="s">
        <v>1615</v>
      </c>
      <c r="D1380" s="599">
        <v>186.04</v>
      </c>
    </row>
    <row r="1381" spans="1:6">
      <c r="A1381" s="606">
        <v>81604</v>
      </c>
      <c r="B1381" s="607" t="s">
        <v>2857</v>
      </c>
      <c r="C1381" s="608" t="s">
        <v>1615</v>
      </c>
      <c r="D1381" s="599">
        <v>286.52999999999997</v>
      </c>
      <c r="E1381" s="610"/>
      <c r="F1381" s="610"/>
    </row>
    <row r="1382" spans="1:6" ht="26.4">
      <c r="A1382" s="606">
        <v>81610</v>
      </c>
      <c r="B1382" s="607" t="s">
        <v>2858</v>
      </c>
      <c r="C1382" s="608" t="s">
        <v>1615</v>
      </c>
      <c r="D1382" s="599">
        <v>402.13</v>
      </c>
    </row>
    <row r="1383" spans="1:6">
      <c r="A1383" s="606">
        <v>81625</v>
      </c>
      <c r="B1383" s="607" t="s">
        <v>2859</v>
      </c>
      <c r="C1383" s="608" t="s">
        <v>1615</v>
      </c>
      <c r="D1383" s="599">
        <v>257.29000000000002</v>
      </c>
    </row>
    <row r="1384" spans="1:6">
      <c r="A1384" s="606">
        <v>81645</v>
      </c>
      <c r="B1384" s="607" t="s">
        <v>2860</v>
      </c>
      <c r="C1384" s="608" t="s">
        <v>1615</v>
      </c>
      <c r="D1384" s="599">
        <v>380.66</v>
      </c>
    </row>
    <row r="1385" spans="1:6">
      <c r="A1385" s="606">
        <v>81646</v>
      </c>
      <c r="B1385" s="607" t="s">
        <v>2861</v>
      </c>
      <c r="C1385" s="608" t="s">
        <v>1615</v>
      </c>
      <c r="D1385" s="599">
        <v>471.49</v>
      </c>
    </row>
    <row r="1386" spans="1:6">
      <c r="A1386" s="606">
        <v>81650</v>
      </c>
      <c r="B1386" s="607" t="s">
        <v>2862</v>
      </c>
      <c r="C1386" s="608" t="s">
        <v>1615</v>
      </c>
      <c r="D1386" s="599">
        <v>36.07</v>
      </c>
    </row>
    <row r="1387" spans="1:6">
      <c r="A1387" s="606">
        <v>81651</v>
      </c>
      <c r="B1387" s="607" t="s">
        <v>2863</v>
      </c>
      <c r="C1387" s="608" t="s">
        <v>1615</v>
      </c>
      <c r="D1387" s="599">
        <v>35.99</v>
      </c>
    </row>
    <row r="1388" spans="1:6">
      <c r="A1388" s="606">
        <v>81665</v>
      </c>
      <c r="B1388" s="607" t="s">
        <v>2864</v>
      </c>
      <c r="C1388" s="608" t="s">
        <v>1615</v>
      </c>
      <c r="D1388" s="599">
        <v>37.590000000000003</v>
      </c>
    </row>
    <row r="1389" spans="1:6">
      <c r="A1389" s="606">
        <v>81670</v>
      </c>
      <c r="B1389" s="607" t="s">
        <v>2865</v>
      </c>
      <c r="C1389" s="608" t="s">
        <v>1615</v>
      </c>
      <c r="D1389" s="599">
        <v>27.73</v>
      </c>
    </row>
    <row r="1390" spans="1:6">
      <c r="A1390" s="606">
        <v>81683</v>
      </c>
      <c r="B1390" s="607" t="s">
        <v>2866</v>
      </c>
      <c r="C1390" s="608" t="s">
        <v>1615</v>
      </c>
      <c r="D1390" s="599">
        <v>212.55</v>
      </c>
    </row>
    <row r="1391" spans="1:6">
      <c r="A1391" s="606">
        <v>81689</v>
      </c>
      <c r="B1391" s="607" t="s">
        <v>2867</v>
      </c>
      <c r="C1391" s="608" t="s">
        <v>2050</v>
      </c>
      <c r="D1391" s="599">
        <v>1227.69</v>
      </c>
    </row>
    <row r="1392" spans="1:6">
      <c r="A1392" s="606">
        <v>81690</v>
      </c>
      <c r="B1392" s="607" t="s">
        <v>2868</v>
      </c>
      <c r="C1392" s="608" t="s">
        <v>2050</v>
      </c>
      <c r="D1392" s="599">
        <v>1403.5</v>
      </c>
    </row>
    <row r="1393" spans="1:6" s="610" customFormat="1">
      <c r="A1393" s="606">
        <v>81691</v>
      </c>
      <c r="B1393" s="607" t="s">
        <v>2869</v>
      </c>
      <c r="C1393" s="608" t="s">
        <v>2050</v>
      </c>
      <c r="D1393" s="599">
        <v>1613.86</v>
      </c>
      <c r="E1393" s="581"/>
      <c r="F1393" s="581"/>
    </row>
    <row r="1394" spans="1:6">
      <c r="A1394" s="606">
        <v>81692</v>
      </c>
      <c r="B1394" s="607" t="s">
        <v>2870</v>
      </c>
      <c r="C1394" s="608" t="s">
        <v>1615</v>
      </c>
      <c r="D1394" s="599">
        <v>500.04</v>
      </c>
    </row>
    <row r="1395" spans="1:6">
      <c r="A1395" s="606">
        <v>81693</v>
      </c>
      <c r="B1395" s="607" t="s">
        <v>2871</v>
      </c>
      <c r="C1395" s="608" t="s">
        <v>1615</v>
      </c>
      <c r="D1395" s="599">
        <v>1375.52</v>
      </c>
    </row>
    <row r="1396" spans="1:6">
      <c r="A1396" s="606">
        <v>81699</v>
      </c>
      <c r="B1396" s="607" t="s">
        <v>2872</v>
      </c>
      <c r="C1396" s="608" t="s">
        <v>1652</v>
      </c>
      <c r="D1396" s="599">
        <v>263.25</v>
      </c>
      <c r="E1396" s="610"/>
      <c r="F1396" s="610"/>
    </row>
    <row r="1397" spans="1:6">
      <c r="A1397" s="589">
        <v>817</v>
      </c>
      <c r="B1397" s="596" t="s">
        <v>565</v>
      </c>
      <c r="C1397" s="588"/>
      <c r="D1397" s="599"/>
      <c r="F1397" s="585"/>
    </row>
    <row r="1398" spans="1:6">
      <c r="A1398" s="606">
        <v>81713</v>
      </c>
      <c r="B1398" s="607" t="s">
        <v>2873</v>
      </c>
      <c r="C1398" s="608" t="s">
        <v>1659</v>
      </c>
      <c r="D1398" s="599">
        <v>928.82</v>
      </c>
    </row>
    <row r="1399" spans="1:6" s="610" customFormat="1">
      <c r="A1399" s="606">
        <v>81730</v>
      </c>
      <c r="B1399" s="607" t="s">
        <v>2874</v>
      </c>
      <c r="C1399" s="608" t="s">
        <v>1240</v>
      </c>
      <c r="D1399" s="599">
        <v>516.12</v>
      </c>
      <c r="E1399" s="581"/>
      <c r="F1399" s="581"/>
    </row>
    <row r="1400" spans="1:6">
      <c r="A1400" s="606">
        <v>81737</v>
      </c>
      <c r="B1400" s="607" t="s">
        <v>2875</v>
      </c>
      <c r="C1400" s="608" t="s">
        <v>1615</v>
      </c>
      <c r="D1400" s="599">
        <v>496.23</v>
      </c>
      <c r="E1400" s="610"/>
      <c r="F1400" s="610"/>
    </row>
    <row r="1401" spans="1:6">
      <c r="A1401" s="606">
        <v>81738</v>
      </c>
      <c r="B1401" s="607" t="s">
        <v>2876</v>
      </c>
      <c r="C1401" s="608" t="s">
        <v>1615</v>
      </c>
      <c r="D1401" s="599">
        <v>130.75</v>
      </c>
    </row>
    <row r="1402" spans="1:6">
      <c r="A1402" s="606">
        <v>81740</v>
      </c>
      <c r="B1402" s="607" t="s">
        <v>2877</v>
      </c>
      <c r="C1402" s="608" t="s">
        <v>1615</v>
      </c>
      <c r="D1402" s="599">
        <v>172.07</v>
      </c>
    </row>
    <row r="1403" spans="1:6">
      <c r="A1403" s="606">
        <v>81741</v>
      </c>
      <c r="B1403" s="607" t="s">
        <v>2878</v>
      </c>
      <c r="C1403" s="608" t="s">
        <v>1615</v>
      </c>
      <c r="D1403" s="599">
        <v>309.26</v>
      </c>
    </row>
    <row r="1404" spans="1:6">
      <c r="A1404" s="606">
        <v>81743</v>
      </c>
      <c r="B1404" s="607" t="s">
        <v>2879</v>
      </c>
      <c r="C1404" s="608" t="s">
        <v>1615</v>
      </c>
      <c r="D1404" s="599">
        <v>492.58</v>
      </c>
    </row>
    <row r="1405" spans="1:6">
      <c r="A1405" s="606">
        <v>81746</v>
      </c>
      <c r="B1405" s="607" t="s">
        <v>2880</v>
      </c>
      <c r="C1405" s="608" t="s">
        <v>1615</v>
      </c>
      <c r="D1405" s="599">
        <v>133.54</v>
      </c>
    </row>
    <row r="1406" spans="1:6">
      <c r="A1406" s="606">
        <v>81750</v>
      </c>
      <c r="B1406" s="607" t="s">
        <v>2881</v>
      </c>
      <c r="C1406" s="608" t="s">
        <v>1615</v>
      </c>
      <c r="D1406" s="599">
        <v>764.71</v>
      </c>
    </row>
    <row r="1407" spans="1:6">
      <c r="A1407" s="606">
        <v>81751</v>
      </c>
      <c r="B1407" s="607" t="s">
        <v>2882</v>
      </c>
      <c r="C1407" s="608" t="s">
        <v>1615</v>
      </c>
      <c r="D1407" s="599">
        <v>981.19</v>
      </c>
    </row>
    <row r="1408" spans="1:6">
      <c r="A1408" s="606">
        <v>81752</v>
      </c>
      <c r="B1408" s="607" t="s">
        <v>2883</v>
      </c>
      <c r="C1408" s="608" t="s">
        <v>1615</v>
      </c>
      <c r="D1408" s="599">
        <v>750.65</v>
      </c>
      <c r="E1408" s="610"/>
      <c r="F1408" s="610"/>
    </row>
    <row r="1409" spans="1:6">
      <c r="A1409" s="606">
        <v>81755</v>
      </c>
      <c r="B1409" s="607" t="s">
        <v>2884</v>
      </c>
      <c r="C1409" s="608" t="s">
        <v>1615</v>
      </c>
      <c r="D1409" s="599">
        <v>263.99</v>
      </c>
    </row>
    <row r="1410" spans="1:6">
      <c r="A1410" s="606">
        <v>81756</v>
      </c>
      <c r="B1410" s="607" t="s">
        <v>2885</v>
      </c>
      <c r="C1410" s="608" t="s">
        <v>1615</v>
      </c>
      <c r="D1410" s="599">
        <v>359.3</v>
      </c>
    </row>
    <row r="1411" spans="1:6">
      <c r="A1411" s="606">
        <v>81758</v>
      </c>
      <c r="B1411" s="607" t="s">
        <v>2886</v>
      </c>
      <c r="C1411" s="608" t="s">
        <v>1615</v>
      </c>
      <c r="D1411" s="599">
        <v>297.70999999999998</v>
      </c>
    </row>
    <row r="1412" spans="1:6">
      <c r="A1412" s="606">
        <v>81765</v>
      </c>
      <c r="B1412" s="607" t="s">
        <v>2887</v>
      </c>
      <c r="C1412" s="608" t="s">
        <v>1615</v>
      </c>
      <c r="D1412" s="599">
        <v>72.78</v>
      </c>
    </row>
    <row r="1413" spans="1:6">
      <c r="A1413" s="606">
        <v>81766</v>
      </c>
      <c r="B1413" s="607" t="s">
        <v>2888</v>
      </c>
      <c r="C1413" s="608" t="s">
        <v>1615</v>
      </c>
      <c r="D1413" s="599">
        <v>72.78</v>
      </c>
    </row>
    <row r="1414" spans="1:6">
      <c r="A1414" s="606">
        <v>81775</v>
      </c>
      <c r="B1414" s="607" t="s">
        <v>2889</v>
      </c>
      <c r="C1414" s="608" t="s">
        <v>1615</v>
      </c>
      <c r="D1414" s="599">
        <v>140.58000000000001</v>
      </c>
    </row>
    <row r="1415" spans="1:6" s="610" customFormat="1">
      <c r="A1415" s="606">
        <v>81776</v>
      </c>
      <c r="B1415" s="607" t="s">
        <v>2890</v>
      </c>
      <c r="C1415" s="608" t="s">
        <v>1615</v>
      </c>
      <c r="D1415" s="599">
        <v>89.93</v>
      </c>
      <c r="E1415" s="581"/>
      <c r="F1415" s="581"/>
    </row>
    <row r="1416" spans="1:6">
      <c r="A1416" s="606">
        <v>81777</v>
      </c>
      <c r="B1416" s="607" t="s">
        <v>2891</v>
      </c>
      <c r="C1416" s="608" t="s">
        <v>1615</v>
      </c>
      <c r="D1416" s="599">
        <v>32.880000000000003</v>
      </c>
    </row>
    <row r="1417" spans="1:6">
      <c r="A1417" s="606">
        <v>81778</v>
      </c>
      <c r="B1417" s="607" t="s">
        <v>2892</v>
      </c>
      <c r="C1417" s="608" t="s">
        <v>1615</v>
      </c>
      <c r="D1417" s="599">
        <v>50.67</v>
      </c>
    </row>
    <row r="1418" spans="1:6">
      <c r="A1418" s="606">
        <v>81780</v>
      </c>
      <c r="B1418" s="607" t="s">
        <v>2893</v>
      </c>
      <c r="C1418" s="608" t="s">
        <v>1615</v>
      </c>
      <c r="D1418" s="599">
        <v>49.69</v>
      </c>
    </row>
    <row r="1419" spans="1:6">
      <c r="A1419" s="606">
        <v>81781</v>
      </c>
      <c r="B1419" s="607" t="s">
        <v>2894</v>
      </c>
      <c r="C1419" s="608" t="s">
        <v>1615</v>
      </c>
      <c r="D1419" s="599">
        <v>179.84</v>
      </c>
    </row>
    <row r="1420" spans="1:6">
      <c r="A1420" s="606">
        <v>81784</v>
      </c>
      <c r="B1420" s="607" t="s">
        <v>2895</v>
      </c>
      <c r="C1420" s="608" t="s">
        <v>1615</v>
      </c>
      <c r="D1420" s="599">
        <v>328.42</v>
      </c>
    </row>
    <row r="1421" spans="1:6">
      <c r="A1421" s="606">
        <v>81785</v>
      </c>
      <c r="B1421" s="607" t="s">
        <v>2896</v>
      </c>
      <c r="C1421" s="608" t="s">
        <v>1615</v>
      </c>
      <c r="D1421" s="599">
        <v>245</v>
      </c>
    </row>
    <row r="1422" spans="1:6" s="610" customFormat="1">
      <c r="A1422" s="606">
        <v>81786</v>
      </c>
      <c r="B1422" s="607" t="s">
        <v>2897</v>
      </c>
      <c r="C1422" s="608" t="s">
        <v>1615</v>
      </c>
      <c r="D1422" s="599">
        <v>236.78</v>
      </c>
      <c r="E1422" s="581"/>
      <c r="F1422" s="581"/>
    </row>
    <row r="1423" spans="1:6">
      <c r="A1423" s="606">
        <v>81787</v>
      </c>
      <c r="B1423" s="607" t="s">
        <v>2898</v>
      </c>
      <c r="C1423" s="608" t="s">
        <v>1615</v>
      </c>
      <c r="D1423" s="599">
        <v>411.65</v>
      </c>
    </row>
    <row r="1424" spans="1:6">
      <c r="A1424" s="606">
        <v>81788</v>
      </c>
      <c r="B1424" s="607" t="s">
        <v>2899</v>
      </c>
      <c r="C1424" s="608" t="s">
        <v>1615</v>
      </c>
      <c r="D1424" s="599">
        <v>91.56</v>
      </c>
    </row>
    <row r="1425" spans="1:6">
      <c r="A1425" s="606">
        <v>81789</v>
      </c>
      <c r="B1425" s="607" t="s">
        <v>2900</v>
      </c>
      <c r="C1425" s="608" t="s">
        <v>1615</v>
      </c>
      <c r="D1425" s="599">
        <v>86.83</v>
      </c>
    </row>
    <row r="1426" spans="1:6">
      <c r="A1426" s="606">
        <v>81799</v>
      </c>
      <c r="B1426" s="607" t="s">
        <v>2901</v>
      </c>
      <c r="C1426" s="608" t="s">
        <v>1652</v>
      </c>
      <c r="D1426" s="599">
        <v>263.25</v>
      </c>
    </row>
    <row r="1427" spans="1:6">
      <c r="A1427" s="589">
        <v>850</v>
      </c>
      <c r="B1427" s="596" t="s">
        <v>1690</v>
      </c>
      <c r="C1427" s="588"/>
      <c r="D1427" s="599"/>
      <c r="F1427" s="585"/>
    </row>
    <row r="1428" spans="1:6">
      <c r="A1428" s="606">
        <v>85001</v>
      </c>
      <c r="B1428" s="607" t="s">
        <v>2902</v>
      </c>
      <c r="C1428" s="608" t="s">
        <v>1659</v>
      </c>
      <c r="D1428" s="599">
        <v>3.57</v>
      </c>
    </row>
    <row r="1429" spans="1:6">
      <c r="A1429" s="606">
        <v>85020</v>
      </c>
      <c r="B1429" s="607" t="s">
        <v>2903</v>
      </c>
      <c r="C1429" s="608" t="s">
        <v>1659</v>
      </c>
      <c r="D1429" s="599">
        <v>2.0499999999999998</v>
      </c>
    </row>
    <row r="1430" spans="1:6">
      <c r="A1430" s="606">
        <v>85021</v>
      </c>
      <c r="B1430" s="607" t="s">
        <v>2904</v>
      </c>
      <c r="C1430" s="608" t="s">
        <v>1659</v>
      </c>
      <c r="D1430" s="599">
        <v>1.33</v>
      </c>
    </row>
    <row r="1431" spans="1:6">
      <c r="A1431" s="606">
        <v>85099</v>
      </c>
      <c r="B1431" s="607" t="s">
        <v>1690</v>
      </c>
      <c r="C1431" s="608" t="s">
        <v>1652</v>
      </c>
      <c r="D1431" s="599">
        <v>263.25</v>
      </c>
    </row>
    <row r="1432" spans="1:6">
      <c r="A1432" s="589">
        <v>860</v>
      </c>
      <c r="B1432" s="596" t="s">
        <v>1691</v>
      </c>
      <c r="C1432" s="588"/>
      <c r="D1432" s="599"/>
      <c r="F1432" s="585"/>
    </row>
    <row r="1433" spans="1:6">
      <c r="A1433" s="606">
        <v>86005</v>
      </c>
      <c r="B1433" s="607" t="s">
        <v>2905</v>
      </c>
      <c r="C1433" s="608" t="s">
        <v>1615</v>
      </c>
      <c r="D1433" s="599">
        <v>30.8</v>
      </c>
    </row>
    <row r="1434" spans="1:6">
      <c r="A1434" s="606">
        <v>86006</v>
      </c>
      <c r="B1434" s="607" t="s">
        <v>2906</v>
      </c>
      <c r="C1434" s="608" t="s">
        <v>1615</v>
      </c>
      <c r="D1434" s="599">
        <v>12.76</v>
      </c>
      <c r="E1434" s="610"/>
      <c r="F1434" s="610"/>
    </row>
    <row r="1435" spans="1:6">
      <c r="A1435" s="606">
        <v>86007</v>
      </c>
      <c r="B1435" s="607" t="s">
        <v>2907</v>
      </c>
      <c r="C1435" s="608" t="s">
        <v>1615</v>
      </c>
      <c r="D1435" s="599">
        <v>3.01</v>
      </c>
    </row>
    <row r="1436" spans="1:6">
      <c r="A1436" s="606">
        <v>86010</v>
      </c>
      <c r="B1436" s="607" t="s">
        <v>2908</v>
      </c>
      <c r="C1436" s="608" t="s">
        <v>1615</v>
      </c>
      <c r="D1436" s="599">
        <v>4.6399999999999997</v>
      </c>
    </row>
    <row r="1437" spans="1:6">
      <c r="A1437" s="606">
        <v>86011</v>
      </c>
      <c r="B1437" s="607" t="s">
        <v>2909</v>
      </c>
      <c r="C1437" s="608" t="s">
        <v>1615</v>
      </c>
      <c r="D1437" s="599">
        <v>23.21</v>
      </c>
    </row>
    <row r="1438" spans="1:6" s="610" customFormat="1">
      <c r="A1438" s="606">
        <v>86012</v>
      </c>
      <c r="B1438" s="607" t="s">
        <v>2910</v>
      </c>
      <c r="C1438" s="608" t="s">
        <v>1615</v>
      </c>
      <c r="D1438" s="599">
        <v>8.81</v>
      </c>
      <c r="E1438" s="581"/>
      <c r="F1438" s="581"/>
    </row>
    <row r="1439" spans="1:6">
      <c r="A1439" s="606">
        <v>86013</v>
      </c>
      <c r="B1439" s="607" t="s">
        <v>2911</v>
      </c>
      <c r="C1439" s="608" t="s">
        <v>1615</v>
      </c>
      <c r="D1439" s="599">
        <v>61.6</v>
      </c>
    </row>
    <row r="1440" spans="1:6">
      <c r="A1440" s="606">
        <v>86014</v>
      </c>
      <c r="B1440" s="607" t="s">
        <v>2912</v>
      </c>
      <c r="C1440" s="608" t="s">
        <v>1615</v>
      </c>
      <c r="D1440" s="599">
        <v>92.84</v>
      </c>
      <c r="E1440" s="610"/>
      <c r="F1440" s="610"/>
    </row>
    <row r="1441" spans="1:6" s="610" customFormat="1">
      <c r="A1441" s="606">
        <v>86015</v>
      </c>
      <c r="B1441" s="607" t="s">
        <v>2913</v>
      </c>
      <c r="C1441" s="608" t="s">
        <v>1615</v>
      </c>
      <c r="D1441" s="599">
        <v>34.81</v>
      </c>
      <c r="E1441" s="581"/>
      <c r="F1441" s="581"/>
    </row>
    <row r="1442" spans="1:6">
      <c r="A1442" s="606">
        <v>86099</v>
      </c>
      <c r="B1442" s="607" t="s">
        <v>1691</v>
      </c>
      <c r="C1442" s="608" t="s">
        <v>1652</v>
      </c>
      <c r="D1442" s="599">
        <v>263.25</v>
      </c>
    </row>
    <row r="1443" spans="1:6">
      <c r="A1443" s="589">
        <v>870</v>
      </c>
      <c r="B1443" s="596" t="s">
        <v>2914</v>
      </c>
      <c r="C1443" s="588"/>
      <c r="D1443" s="599"/>
      <c r="F1443" s="585"/>
    </row>
    <row r="1444" spans="1:6">
      <c r="A1444" s="606">
        <v>87005</v>
      </c>
      <c r="B1444" s="607" t="s">
        <v>2915</v>
      </c>
      <c r="C1444" s="608" t="s">
        <v>1615</v>
      </c>
      <c r="D1444" s="599">
        <v>62.23</v>
      </c>
    </row>
    <row r="1445" spans="1:6">
      <c r="A1445" s="606">
        <v>87006</v>
      </c>
      <c r="B1445" s="607" t="s">
        <v>2916</v>
      </c>
      <c r="C1445" s="608" t="s">
        <v>1615</v>
      </c>
      <c r="D1445" s="599">
        <v>21.39</v>
      </c>
    </row>
    <row r="1446" spans="1:6">
      <c r="A1446" s="606">
        <v>87007</v>
      </c>
      <c r="B1446" s="607" t="s">
        <v>2907</v>
      </c>
      <c r="C1446" s="608" t="s">
        <v>1615</v>
      </c>
      <c r="D1446" s="599">
        <v>10.26</v>
      </c>
    </row>
    <row r="1447" spans="1:6">
      <c r="A1447" s="606">
        <v>87010</v>
      </c>
      <c r="B1447" s="607" t="s">
        <v>2908</v>
      </c>
      <c r="C1447" s="608" t="s">
        <v>1615</v>
      </c>
      <c r="D1447" s="599">
        <v>10.26</v>
      </c>
    </row>
    <row r="1448" spans="1:6">
      <c r="A1448" s="606">
        <v>87011</v>
      </c>
      <c r="B1448" s="607" t="s">
        <v>2909</v>
      </c>
      <c r="C1448" s="608" t="s">
        <v>1615</v>
      </c>
      <c r="D1448" s="599">
        <v>82.13</v>
      </c>
    </row>
    <row r="1449" spans="1:6">
      <c r="A1449" s="606">
        <v>87012</v>
      </c>
      <c r="B1449" s="607" t="s">
        <v>2917</v>
      </c>
      <c r="C1449" s="608" t="s">
        <v>1615</v>
      </c>
      <c r="D1449" s="599">
        <v>51.33</v>
      </c>
    </row>
    <row r="1450" spans="1:6">
      <c r="A1450" s="606">
        <v>87013</v>
      </c>
      <c r="B1450" s="607" t="s">
        <v>2918</v>
      </c>
      <c r="C1450" s="608" t="s">
        <v>1615</v>
      </c>
      <c r="D1450" s="599">
        <v>82.13</v>
      </c>
    </row>
    <row r="1451" spans="1:6">
      <c r="A1451" s="606">
        <v>87014</v>
      </c>
      <c r="B1451" s="607" t="s">
        <v>2919</v>
      </c>
      <c r="C1451" s="608" t="s">
        <v>1615</v>
      </c>
      <c r="D1451" s="599">
        <v>82.13</v>
      </c>
    </row>
    <row r="1452" spans="1:6">
      <c r="A1452" s="606">
        <v>87015</v>
      </c>
      <c r="B1452" s="607" t="s">
        <v>2913</v>
      </c>
      <c r="C1452" s="608" t="s">
        <v>1615</v>
      </c>
      <c r="D1452" s="599">
        <v>106.77</v>
      </c>
    </row>
    <row r="1453" spans="1:6">
      <c r="A1453" s="606">
        <v>87099</v>
      </c>
      <c r="B1453" s="607" t="s">
        <v>2920</v>
      </c>
      <c r="C1453" s="608" t="s">
        <v>1652</v>
      </c>
      <c r="D1453" s="599">
        <v>263.25</v>
      </c>
    </row>
    <row r="1454" spans="1:6">
      <c r="A1454" s="589">
        <v>880</v>
      </c>
      <c r="B1454" s="596" t="s">
        <v>2921</v>
      </c>
      <c r="C1454" s="588"/>
      <c r="D1454" s="599"/>
      <c r="F1454" s="585"/>
    </row>
    <row r="1455" spans="1:6">
      <c r="A1455" s="606">
        <v>88010</v>
      </c>
      <c r="B1455" s="607" t="s">
        <v>2922</v>
      </c>
      <c r="C1455" s="608" t="s">
        <v>1615</v>
      </c>
      <c r="D1455" s="599">
        <v>17.71</v>
      </c>
    </row>
    <row r="1456" spans="1:6">
      <c r="A1456" s="606">
        <v>88011</v>
      </c>
      <c r="B1456" s="607" t="s">
        <v>2923</v>
      </c>
      <c r="C1456" s="608" t="s">
        <v>1615</v>
      </c>
      <c r="D1456" s="599">
        <v>63.04</v>
      </c>
      <c r="E1456" s="610"/>
      <c r="F1456" s="616"/>
    </row>
    <row r="1457" spans="1:6">
      <c r="A1457" s="606">
        <v>88012</v>
      </c>
      <c r="B1457" s="607" t="s">
        <v>2924</v>
      </c>
      <c r="C1457" s="608" t="s">
        <v>1615</v>
      </c>
      <c r="D1457" s="599">
        <v>13.59</v>
      </c>
    </row>
    <row r="1458" spans="1:6">
      <c r="A1458" s="606">
        <v>88015</v>
      </c>
      <c r="B1458" s="607" t="s">
        <v>2925</v>
      </c>
      <c r="C1458" s="608" t="s">
        <v>1615</v>
      </c>
      <c r="D1458" s="599">
        <v>31.39</v>
      </c>
    </row>
    <row r="1459" spans="1:6">
      <c r="A1459" s="606">
        <v>88018</v>
      </c>
      <c r="B1459" s="607" t="s">
        <v>2926</v>
      </c>
      <c r="C1459" s="608" t="s">
        <v>1615</v>
      </c>
      <c r="D1459" s="599">
        <v>160.80000000000001</v>
      </c>
    </row>
    <row r="1460" spans="1:6">
      <c r="A1460" s="606">
        <v>88019</v>
      </c>
      <c r="B1460" s="607" t="s">
        <v>2927</v>
      </c>
      <c r="C1460" s="608" t="s">
        <v>2050</v>
      </c>
      <c r="D1460" s="599">
        <v>89</v>
      </c>
    </row>
    <row r="1461" spans="1:6">
      <c r="A1461" s="606">
        <v>88020</v>
      </c>
      <c r="B1461" s="607" t="s">
        <v>2928</v>
      </c>
      <c r="C1461" s="608" t="s">
        <v>1615</v>
      </c>
      <c r="D1461" s="599">
        <v>46.64</v>
      </c>
    </row>
    <row r="1462" spans="1:6">
      <c r="A1462" s="606">
        <v>88021</v>
      </c>
      <c r="B1462" s="607" t="s">
        <v>2929</v>
      </c>
      <c r="C1462" s="608" t="s">
        <v>1615</v>
      </c>
      <c r="D1462" s="599">
        <v>16.760000000000002</v>
      </c>
    </row>
    <row r="1463" spans="1:6" s="610" customFormat="1">
      <c r="A1463" s="606">
        <v>88031</v>
      </c>
      <c r="B1463" s="607" t="s">
        <v>2930</v>
      </c>
      <c r="C1463" s="608" t="s">
        <v>1615</v>
      </c>
      <c r="D1463" s="599">
        <v>68.64</v>
      </c>
      <c r="F1463" s="616"/>
    </row>
    <row r="1464" spans="1:6">
      <c r="A1464" s="606">
        <v>88032</v>
      </c>
      <c r="B1464" s="607" t="s">
        <v>2931</v>
      </c>
      <c r="C1464" s="608" t="s">
        <v>1615</v>
      </c>
      <c r="D1464" s="599">
        <v>60.85</v>
      </c>
    </row>
    <row r="1465" spans="1:6">
      <c r="A1465" s="606">
        <v>88091</v>
      </c>
      <c r="B1465" s="607" t="s">
        <v>2932</v>
      </c>
      <c r="C1465" s="608" t="s">
        <v>1615</v>
      </c>
      <c r="D1465" s="599">
        <v>39.04</v>
      </c>
    </row>
    <row r="1466" spans="1:6">
      <c r="A1466" s="606">
        <v>88092</v>
      </c>
      <c r="B1466" s="607" t="s">
        <v>2933</v>
      </c>
      <c r="C1466" s="608" t="s">
        <v>1615</v>
      </c>
      <c r="D1466" s="599">
        <v>10.41</v>
      </c>
    </row>
    <row r="1467" spans="1:6" s="610" customFormat="1">
      <c r="A1467" s="606">
        <v>88093</v>
      </c>
      <c r="B1467" s="607" t="s">
        <v>2934</v>
      </c>
      <c r="C1467" s="608" t="s">
        <v>1615</v>
      </c>
      <c r="D1467" s="599">
        <v>27.9</v>
      </c>
      <c r="E1467" s="581"/>
      <c r="F1467" s="581"/>
    </row>
    <row r="1468" spans="1:6">
      <c r="A1468" s="606">
        <v>88095</v>
      </c>
      <c r="B1468" s="607" t="s">
        <v>2935</v>
      </c>
      <c r="C1468" s="608" t="s">
        <v>1615</v>
      </c>
      <c r="D1468" s="599">
        <v>15.63</v>
      </c>
    </row>
    <row r="1469" spans="1:6">
      <c r="A1469" s="606">
        <v>88099</v>
      </c>
      <c r="B1469" s="607" t="s">
        <v>2936</v>
      </c>
      <c r="C1469" s="608" t="s">
        <v>1652</v>
      </c>
      <c r="D1469" s="599">
        <v>263.25</v>
      </c>
    </row>
    <row r="1470" spans="1:6">
      <c r="A1470" s="589">
        <v>882</v>
      </c>
      <c r="B1470" s="596" t="s">
        <v>2937</v>
      </c>
      <c r="C1470" s="588"/>
      <c r="D1470" s="599"/>
      <c r="F1470" s="585"/>
    </row>
    <row r="1471" spans="1:6">
      <c r="A1471" s="606">
        <v>88212</v>
      </c>
      <c r="B1471" s="607" t="s">
        <v>2938</v>
      </c>
      <c r="C1471" s="608" t="s">
        <v>1615</v>
      </c>
      <c r="D1471" s="599">
        <v>241.31</v>
      </c>
    </row>
    <row r="1472" spans="1:6">
      <c r="A1472" s="606">
        <v>88223</v>
      </c>
      <c r="B1472" s="607" t="s">
        <v>2939</v>
      </c>
      <c r="C1472" s="608" t="s">
        <v>1615</v>
      </c>
      <c r="D1472" s="599">
        <v>33.700000000000003</v>
      </c>
    </row>
    <row r="1473" spans="1:6">
      <c r="A1473" s="606">
        <v>88224</v>
      </c>
      <c r="B1473" s="607" t="s">
        <v>2940</v>
      </c>
      <c r="C1473" s="608" t="s">
        <v>1615</v>
      </c>
      <c r="D1473" s="599">
        <v>17.7</v>
      </c>
    </row>
    <row r="1474" spans="1:6">
      <c r="A1474" s="606">
        <v>88230</v>
      </c>
      <c r="B1474" s="607" t="s">
        <v>2941</v>
      </c>
      <c r="C1474" s="608" t="s">
        <v>1615</v>
      </c>
      <c r="D1474" s="599">
        <v>17.62</v>
      </c>
    </row>
    <row r="1475" spans="1:6">
      <c r="A1475" s="606">
        <v>88231</v>
      </c>
      <c r="B1475" s="607" t="s">
        <v>2942</v>
      </c>
      <c r="C1475" s="608" t="s">
        <v>1615</v>
      </c>
      <c r="D1475" s="599">
        <v>11.69</v>
      </c>
    </row>
    <row r="1476" spans="1:6">
      <c r="A1476" s="606">
        <v>88240</v>
      </c>
      <c r="B1476" s="607" t="s">
        <v>2943</v>
      </c>
      <c r="C1476" s="608" t="s">
        <v>1615</v>
      </c>
      <c r="D1476" s="599">
        <v>103.91</v>
      </c>
    </row>
    <row r="1477" spans="1:6">
      <c r="A1477" s="606">
        <v>88241</v>
      </c>
      <c r="B1477" s="607" t="s">
        <v>2944</v>
      </c>
      <c r="C1477" s="608" t="s">
        <v>1615</v>
      </c>
      <c r="D1477" s="599">
        <v>69.98</v>
      </c>
    </row>
    <row r="1478" spans="1:6">
      <c r="A1478" s="606">
        <v>88245</v>
      </c>
      <c r="B1478" s="607" t="s">
        <v>2945</v>
      </c>
      <c r="C1478" s="608" t="s">
        <v>1615</v>
      </c>
      <c r="D1478" s="599">
        <v>13.71</v>
      </c>
    </row>
    <row r="1479" spans="1:6">
      <c r="A1479" s="606">
        <v>88246</v>
      </c>
      <c r="B1479" s="607" t="s">
        <v>2946</v>
      </c>
      <c r="C1479" s="608" t="s">
        <v>1615</v>
      </c>
      <c r="D1479" s="599">
        <v>16.54</v>
      </c>
      <c r="E1479" s="610"/>
      <c r="F1479" s="610"/>
    </row>
    <row r="1480" spans="1:6">
      <c r="A1480" s="606">
        <v>88250</v>
      </c>
      <c r="B1480" s="607" t="s">
        <v>2947</v>
      </c>
      <c r="C1480" s="608" t="s">
        <v>1659</v>
      </c>
      <c r="D1480" s="599">
        <v>4.8499999999999996</v>
      </c>
    </row>
    <row r="1481" spans="1:6">
      <c r="A1481" s="606">
        <v>88255</v>
      </c>
      <c r="B1481" s="607" t="s">
        <v>2948</v>
      </c>
      <c r="C1481" s="608" t="s">
        <v>1659</v>
      </c>
      <c r="D1481" s="599">
        <v>1.6</v>
      </c>
    </row>
    <row r="1482" spans="1:6">
      <c r="A1482" s="606">
        <v>88256</v>
      </c>
      <c r="B1482" s="607" t="s">
        <v>2949</v>
      </c>
      <c r="C1482" s="608" t="s">
        <v>1240</v>
      </c>
      <c r="D1482" s="599">
        <v>4.01</v>
      </c>
      <c r="E1482" s="610"/>
      <c r="F1482" s="610"/>
    </row>
    <row r="1483" spans="1:6">
      <c r="A1483" s="606">
        <v>88261</v>
      </c>
      <c r="B1483" s="607" t="s">
        <v>2950</v>
      </c>
      <c r="C1483" s="608" t="s">
        <v>1659</v>
      </c>
      <c r="D1483" s="599">
        <v>34.76</v>
      </c>
    </row>
    <row r="1484" spans="1:6">
      <c r="A1484" s="606">
        <v>88262</v>
      </c>
      <c r="B1484" s="607" t="s">
        <v>2951</v>
      </c>
      <c r="C1484" s="608" t="s">
        <v>1659</v>
      </c>
      <c r="D1484" s="599">
        <v>31.55</v>
      </c>
    </row>
    <row r="1485" spans="1:6">
      <c r="A1485" s="606">
        <v>88299</v>
      </c>
      <c r="B1485" s="607" t="s">
        <v>2952</v>
      </c>
      <c r="C1485" s="608" t="s">
        <v>1652</v>
      </c>
      <c r="D1485" s="599">
        <v>263.25</v>
      </c>
    </row>
    <row r="1486" spans="1:6">
      <c r="A1486" s="589">
        <v>884</v>
      </c>
      <c r="B1486" s="596" t="s">
        <v>2953</v>
      </c>
      <c r="C1486" s="588"/>
      <c r="D1486" s="599"/>
      <c r="F1486" s="585"/>
    </row>
    <row r="1487" spans="1:6">
      <c r="A1487" s="606">
        <v>88405</v>
      </c>
      <c r="B1487" s="607" t="s">
        <v>2954</v>
      </c>
      <c r="C1487" s="608" t="s">
        <v>1615</v>
      </c>
      <c r="D1487" s="599">
        <v>20.18</v>
      </c>
    </row>
    <row r="1488" spans="1:6">
      <c r="A1488" s="606">
        <v>88412</v>
      </c>
      <c r="B1488" s="607" t="s">
        <v>2955</v>
      </c>
      <c r="C1488" s="608" t="s">
        <v>1615</v>
      </c>
      <c r="D1488" s="599">
        <v>5.32</v>
      </c>
    </row>
    <row r="1489" spans="1:6">
      <c r="A1489" s="606">
        <v>88415</v>
      </c>
      <c r="B1489" s="607" t="s">
        <v>2956</v>
      </c>
      <c r="C1489" s="608" t="s">
        <v>1615</v>
      </c>
      <c r="D1489" s="599">
        <v>78.849999999999994</v>
      </c>
    </row>
    <row r="1490" spans="1:6">
      <c r="A1490" s="606">
        <v>88416</v>
      </c>
      <c r="B1490" s="607" t="s">
        <v>2957</v>
      </c>
      <c r="C1490" s="608" t="s">
        <v>1615</v>
      </c>
      <c r="D1490" s="599">
        <v>108.81</v>
      </c>
    </row>
    <row r="1491" spans="1:6">
      <c r="A1491" s="606">
        <v>88418</v>
      </c>
      <c r="B1491" s="607" t="s">
        <v>2958</v>
      </c>
      <c r="C1491" s="608" t="s">
        <v>1615</v>
      </c>
      <c r="D1491" s="599">
        <v>18.809999999999999</v>
      </c>
    </row>
    <row r="1492" spans="1:6">
      <c r="A1492" s="606">
        <v>88420</v>
      </c>
      <c r="B1492" s="607" t="s">
        <v>2959</v>
      </c>
      <c r="C1492" s="608" t="s">
        <v>1615</v>
      </c>
      <c r="D1492" s="599">
        <v>21.81</v>
      </c>
    </row>
    <row r="1493" spans="1:6">
      <c r="A1493" s="606">
        <v>88427</v>
      </c>
      <c r="B1493" s="607" t="s">
        <v>2960</v>
      </c>
      <c r="C1493" s="608" t="s">
        <v>1615</v>
      </c>
      <c r="D1493" s="599">
        <v>65.67</v>
      </c>
    </row>
    <row r="1494" spans="1:6">
      <c r="A1494" s="606">
        <v>88428</v>
      </c>
      <c r="B1494" s="607" t="s">
        <v>2961</v>
      </c>
      <c r="C1494" s="608" t="s">
        <v>1615</v>
      </c>
      <c r="D1494" s="599">
        <v>65.67</v>
      </c>
    </row>
    <row r="1495" spans="1:6">
      <c r="A1495" s="606">
        <v>88429</v>
      </c>
      <c r="B1495" s="607" t="s">
        <v>2962</v>
      </c>
      <c r="C1495" s="608" t="s">
        <v>1615</v>
      </c>
      <c r="D1495" s="599">
        <v>57.44</v>
      </c>
    </row>
    <row r="1496" spans="1:6">
      <c r="A1496" s="606">
        <v>88437</v>
      </c>
      <c r="B1496" s="607" t="s">
        <v>2963</v>
      </c>
      <c r="C1496" s="608" t="s">
        <v>1615</v>
      </c>
      <c r="D1496" s="599">
        <v>247.6</v>
      </c>
    </row>
    <row r="1497" spans="1:6">
      <c r="A1497" s="606">
        <v>88442</v>
      </c>
      <c r="B1497" s="607" t="s">
        <v>2964</v>
      </c>
      <c r="C1497" s="608" t="s">
        <v>1615</v>
      </c>
      <c r="D1497" s="599">
        <v>39.479999999999997</v>
      </c>
    </row>
    <row r="1498" spans="1:6">
      <c r="A1498" s="606">
        <v>88443</v>
      </c>
      <c r="B1498" s="607" t="s">
        <v>2965</v>
      </c>
      <c r="C1498" s="608" t="s">
        <v>1615</v>
      </c>
      <c r="D1498" s="599">
        <v>53.61</v>
      </c>
    </row>
    <row r="1499" spans="1:6">
      <c r="A1499" s="606">
        <v>88447</v>
      </c>
      <c r="B1499" s="607" t="s">
        <v>2966</v>
      </c>
      <c r="C1499" s="608" t="s">
        <v>1240</v>
      </c>
      <c r="D1499" s="599">
        <v>516.12</v>
      </c>
    </row>
    <row r="1500" spans="1:6">
      <c r="A1500" s="606">
        <v>88448</v>
      </c>
      <c r="B1500" s="607" t="s">
        <v>2967</v>
      </c>
      <c r="C1500" s="608" t="s">
        <v>1240</v>
      </c>
      <c r="D1500" s="599">
        <v>233.52</v>
      </c>
    </row>
    <row r="1501" spans="1:6">
      <c r="A1501" s="606">
        <v>88449</v>
      </c>
      <c r="B1501" s="607" t="s">
        <v>2968</v>
      </c>
      <c r="C1501" s="608" t="s">
        <v>1240</v>
      </c>
      <c r="D1501" s="599">
        <v>1526.28</v>
      </c>
    </row>
    <row r="1502" spans="1:6">
      <c r="A1502" s="606">
        <v>88450</v>
      </c>
      <c r="B1502" s="607" t="s">
        <v>2969</v>
      </c>
      <c r="C1502" s="608" t="s">
        <v>1240</v>
      </c>
      <c r="D1502" s="599">
        <v>1733.53</v>
      </c>
    </row>
    <row r="1503" spans="1:6">
      <c r="A1503" s="606">
        <v>88454</v>
      </c>
      <c r="B1503" s="607" t="s">
        <v>2970</v>
      </c>
      <c r="C1503" s="608" t="s">
        <v>1615</v>
      </c>
      <c r="D1503" s="599">
        <v>112.84</v>
      </c>
    </row>
    <row r="1504" spans="1:6">
      <c r="A1504" s="606">
        <v>88455</v>
      </c>
      <c r="B1504" s="607" t="s">
        <v>2971</v>
      </c>
      <c r="C1504" s="608" t="s">
        <v>1615</v>
      </c>
      <c r="D1504" s="599">
        <v>165.69</v>
      </c>
      <c r="E1504" s="610"/>
      <c r="F1504" s="610"/>
    </row>
    <row r="1505" spans="1:6">
      <c r="A1505" s="606">
        <v>88458</v>
      </c>
      <c r="B1505" s="607" t="s">
        <v>2972</v>
      </c>
      <c r="C1505" s="608" t="s">
        <v>1615</v>
      </c>
      <c r="D1505" s="599">
        <v>296.77</v>
      </c>
    </row>
    <row r="1506" spans="1:6">
      <c r="A1506" s="606">
        <v>88460</v>
      </c>
      <c r="B1506" s="607" t="s">
        <v>2973</v>
      </c>
      <c r="C1506" s="608" t="s">
        <v>1240</v>
      </c>
      <c r="D1506" s="599">
        <v>771.09</v>
      </c>
    </row>
    <row r="1507" spans="1:6">
      <c r="A1507" s="606">
        <v>88473</v>
      </c>
      <c r="B1507" s="607" t="s">
        <v>2974</v>
      </c>
      <c r="C1507" s="608" t="s">
        <v>1615</v>
      </c>
      <c r="D1507" s="599">
        <v>23.63</v>
      </c>
    </row>
    <row r="1508" spans="1:6">
      <c r="A1508" s="606">
        <v>88475</v>
      </c>
      <c r="B1508" s="607" t="s">
        <v>2975</v>
      </c>
      <c r="C1508" s="608" t="s">
        <v>1615</v>
      </c>
      <c r="D1508" s="599">
        <v>15.19</v>
      </c>
      <c r="E1508" s="610"/>
      <c r="F1508" s="610"/>
    </row>
    <row r="1509" spans="1:6">
      <c r="A1509" s="606">
        <v>88476</v>
      </c>
      <c r="B1509" s="607" t="s">
        <v>2976</v>
      </c>
      <c r="C1509" s="608" t="s">
        <v>1615</v>
      </c>
      <c r="D1509" s="599">
        <v>35.85</v>
      </c>
    </row>
    <row r="1510" spans="1:6">
      <c r="A1510" s="606">
        <v>88483</v>
      </c>
      <c r="B1510" s="607" t="s">
        <v>2977</v>
      </c>
      <c r="C1510" s="608" t="s">
        <v>1659</v>
      </c>
      <c r="D1510" s="599">
        <v>34.56</v>
      </c>
    </row>
    <row r="1511" spans="1:6">
      <c r="A1511" s="606">
        <v>88490</v>
      </c>
      <c r="B1511" s="607" t="s">
        <v>2978</v>
      </c>
      <c r="C1511" s="608" t="s">
        <v>1615</v>
      </c>
      <c r="D1511" s="599">
        <v>282.52</v>
      </c>
    </row>
    <row r="1512" spans="1:6">
      <c r="A1512" s="606">
        <v>88491</v>
      </c>
      <c r="B1512" s="607" t="s">
        <v>2979</v>
      </c>
      <c r="C1512" s="608" t="s">
        <v>1615</v>
      </c>
      <c r="D1512" s="599">
        <v>460.77</v>
      </c>
    </row>
    <row r="1513" spans="1:6">
      <c r="A1513" s="606">
        <v>88495</v>
      </c>
      <c r="B1513" s="607" t="s">
        <v>2980</v>
      </c>
      <c r="C1513" s="608" t="s">
        <v>1659</v>
      </c>
      <c r="D1513" s="599">
        <v>341.29</v>
      </c>
    </row>
    <row r="1514" spans="1:6">
      <c r="A1514" s="606">
        <v>88496</v>
      </c>
      <c r="B1514" s="607" t="s">
        <v>2981</v>
      </c>
      <c r="C1514" s="608" t="s">
        <v>1659</v>
      </c>
      <c r="D1514" s="599">
        <v>292.31</v>
      </c>
    </row>
    <row r="1515" spans="1:6">
      <c r="A1515" s="606">
        <v>88499</v>
      </c>
      <c r="B1515" s="607" t="s">
        <v>2982</v>
      </c>
      <c r="C1515" s="608" t="s">
        <v>1652</v>
      </c>
      <c r="D1515" s="599">
        <v>263.25</v>
      </c>
    </row>
    <row r="1516" spans="1:6">
      <c r="A1516" s="589">
        <v>886</v>
      </c>
      <c r="B1516" s="596" t="s">
        <v>2983</v>
      </c>
      <c r="C1516" s="588"/>
      <c r="D1516" s="599"/>
      <c r="F1516" s="585"/>
    </row>
    <row r="1517" spans="1:6">
      <c r="A1517" s="606">
        <v>88601</v>
      </c>
      <c r="B1517" s="607" t="s">
        <v>2984</v>
      </c>
      <c r="C1517" s="608" t="s">
        <v>1615</v>
      </c>
      <c r="D1517" s="599">
        <v>724.47</v>
      </c>
    </row>
    <row r="1518" spans="1:6">
      <c r="A1518" s="606">
        <v>88610</v>
      </c>
      <c r="B1518" s="607" t="s">
        <v>2985</v>
      </c>
      <c r="C1518" s="608" t="s">
        <v>1615</v>
      </c>
      <c r="D1518" s="599">
        <v>146.06</v>
      </c>
    </row>
    <row r="1519" spans="1:6">
      <c r="A1519" s="606">
        <v>88699</v>
      </c>
      <c r="B1519" s="607" t="s">
        <v>2986</v>
      </c>
      <c r="C1519" s="608" t="s">
        <v>1652</v>
      </c>
      <c r="D1519" s="599">
        <v>263.25</v>
      </c>
    </row>
    <row r="1520" spans="1:6">
      <c r="A1520" s="589">
        <v>9</v>
      </c>
      <c r="B1520" s="596" t="s">
        <v>2987</v>
      </c>
      <c r="C1520" s="588"/>
      <c r="D1520" s="599"/>
      <c r="F1520" s="585"/>
    </row>
    <row r="1521" spans="1:6" ht="26.4">
      <c r="A1521" s="589">
        <v>901</v>
      </c>
      <c r="B1521" s="596" t="s">
        <v>2988</v>
      </c>
      <c r="C1521" s="588"/>
      <c r="D1521" s="599"/>
      <c r="F1521" s="585"/>
    </row>
    <row r="1522" spans="1:6" ht="26.4">
      <c r="A1522" s="606">
        <v>90130</v>
      </c>
      <c r="B1522" s="607" t="s">
        <v>2989</v>
      </c>
      <c r="C1522" s="608" t="s">
        <v>1615</v>
      </c>
      <c r="D1522" s="599">
        <v>34022.53</v>
      </c>
    </row>
    <row r="1523" spans="1:6">
      <c r="A1523" s="606">
        <v>90131</v>
      </c>
      <c r="B1523" s="607" t="s">
        <v>2990</v>
      </c>
      <c r="C1523" s="608" t="s">
        <v>1615</v>
      </c>
      <c r="D1523" s="599">
        <v>37455.85</v>
      </c>
    </row>
    <row r="1524" spans="1:6">
      <c r="A1524" s="606">
        <v>90132</v>
      </c>
      <c r="B1524" s="607" t="s">
        <v>2991</v>
      </c>
      <c r="C1524" s="608" t="s">
        <v>1615</v>
      </c>
      <c r="D1524" s="599">
        <v>43742.3</v>
      </c>
    </row>
    <row r="1525" spans="1:6">
      <c r="A1525" s="606">
        <v>90133</v>
      </c>
      <c r="B1525" s="607" t="s">
        <v>2992</v>
      </c>
      <c r="C1525" s="608" t="s">
        <v>1615</v>
      </c>
      <c r="D1525" s="599">
        <v>48210.58</v>
      </c>
    </row>
    <row r="1526" spans="1:6">
      <c r="A1526" s="606">
        <v>90136</v>
      </c>
      <c r="B1526" s="607" t="s">
        <v>2993</v>
      </c>
      <c r="C1526" s="608" t="s">
        <v>1615</v>
      </c>
      <c r="D1526" s="599">
        <v>26808.14</v>
      </c>
    </row>
    <row r="1527" spans="1:6">
      <c r="A1527" s="606">
        <v>90137</v>
      </c>
      <c r="B1527" s="607" t="s">
        <v>2994</v>
      </c>
      <c r="C1527" s="608" t="s">
        <v>1615</v>
      </c>
      <c r="D1527" s="599">
        <v>34471.370000000003</v>
      </c>
    </row>
    <row r="1528" spans="1:6">
      <c r="A1528" s="606">
        <v>90138</v>
      </c>
      <c r="B1528" s="607" t="s">
        <v>2995</v>
      </c>
      <c r="C1528" s="608" t="s">
        <v>1615</v>
      </c>
      <c r="D1528" s="599">
        <v>38325.72</v>
      </c>
    </row>
    <row r="1529" spans="1:6">
      <c r="A1529" s="606">
        <v>90139</v>
      </c>
      <c r="B1529" s="607" t="s">
        <v>2996</v>
      </c>
      <c r="C1529" s="608" t="s">
        <v>1615</v>
      </c>
      <c r="D1529" s="599">
        <v>44285.88</v>
      </c>
    </row>
    <row r="1530" spans="1:6">
      <c r="A1530" s="606">
        <v>90140</v>
      </c>
      <c r="B1530" s="607" t="s">
        <v>2997</v>
      </c>
      <c r="C1530" s="608" t="s">
        <v>1615</v>
      </c>
      <c r="D1530" s="599">
        <v>49600.92</v>
      </c>
    </row>
    <row r="1531" spans="1:6" ht="26.4">
      <c r="A1531" s="606">
        <v>90146</v>
      </c>
      <c r="B1531" s="607" t="s">
        <v>2998</v>
      </c>
      <c r="C1531" s="608" t="s">
        <v>1615</v>
      </c>
      <c r="D1531" s="599">
        <v>32698.16</v>
      </c>
    </row>
    <row r="1532" spans="1:6">
      <c r="A1532" s="606">
        <v>90147</v>
      </c>
      <c r="B1532" s="607" t="s">
        <v>2999</v>
      </c>
      <c r="C1532" s="608" t="s">
        <v>1615</v>
      </c>
      <c r="D1532" s="599">
        <v>36479.449999999997</v>
      </c>
    </row>
    <row r="1533" spans="1:6">
      <c r="A1533" s="606">
        <v>90148</v>
      </c>
      <c r="B1533" s="607" t="s">
        <v>3000</v>
      </c>
      <c r="C1533" s="608" t="s">
        <v>1615</v>
      </c>
      <c r="D1533" s="599">
        <v>42768.86</v>
      </c>
    </row>
    <row r="1534" spans="1:6">
      <c r="A1534" s="606">
        <v>90199</v>
      </c>
      <c r="B1534" s="607" t="s">
        <v>3001</v>
      </c>
      <c r="C1534" s="608" t="s">
        <v>1652</v>
      </c>
      <c r="D1534" s="599">
        <v>263.25</v>
      </c>
    </row>
    <row r="1535" spans="1:6">
      <c r="A1535" s="589">
        <v>902</v>
      </c>
      <c r="B1535" s="596" t="s">
        <v>3002</v>
      </c>
      <c r="C1535" s="588"/>
      <c r="D1535" s="599"/>
      <c r="F1535" s="585"/>
    </row>
    <row r="1536" spans="1:6">
      <c r="A1536" s="606">
        <v>90211</v>
      </c>
      <c r="B1536" s="607" t="s">
        <v>3003</v>
      </c>
      <c r="C1536" s="608" t="s">
        <v>1615</v>
      </c>
      <c r="D1536" s="599">
        <v>762.65</v>
      </c>
    </row>
    <row r="1537" spans="1:4">
      <c r="A1537" s="606">
        <v>90242</v>
      </c>
      <c r="B1537" s="607" t="s">
        <v>3004</v>
      </c>
      <c r="C1537" s="608" t="s">
        <v>1615</v>
      </c>
      <c r="D1537" s="599">
        <v>68.77</v>
      </c>
    </row>
    <row r="1538" spans="1:4">
      <c r="A1538" s="606">
        <v>90243</v>
      </c>
      <c r="B1538" s="607" t="s">
        <v>3005</v>
      </c>
      <c r="C1538" s="608" t="s">
        <v>1615</v>
      </c>
      <c r="D1538" s="599">
        <v>106.63</v>
      </c>
    </row>
    <row r="1539" spans="1:4">
      <c r="A1539" s="618">
        <v>90248</v>
      </c>
      <c r="B1539" s="619" t="s">
        <v>3006</v>
      </c>
      <c r="C1539" s="620" t="s">
        <v>1615</v>
      </c>
      <c r="D1539" s="621">
        <v>3591.51</v>
      </c>
    </row>
    <row r="1540" spans="1:4">
      <c r="A1540" s="618">
        <v>90249</v>
      </c>
      <c r="B1540" s="619" t="s">
        <v>3007</v>
      </c>
      <c r="C1540" s="620" t="s">
        <v>1615</v>
      </c>
      <c r="D1540" s="621">
        <v>4489.51</v>
      </c>
    </row>
    <row r="1541" spans="1:4">
      <c r="A1541" s="606">
        <v>90256</v>
      </c>
      <c r="B1541" s="607" t="s">
        <v>3008</v>
      </c>
      <c r="C1541" s="608" t="s">
        <v>1615</v>
      </c>
      <c r="D1541" s="599">
        <v>2030.49</v>
      </c>
    </row>
    <row r="1542" spans="1:4">
      <c r="A1542" s="606">
        <v>90259</v>
      </c>
      <c r="B1542" s="607" t="s">
        <v>3009</v>
      </c>
      <c r="C1542" s="608" t="s">
        <v>1615</v>
      </c>
      <c r="D1542" s="599">
        <v>1027.28</v>
      </c>
    </row>
    <row r="1543" spans="1:4">
      <c r="A1543" s="606">
        <v>90260</v>
      </c>
      <c r="B1543" s="607" t="s">
        <v>3010</v>
      </c>
      <c r="C1543" s="608" t="s">
        <v>1615</v>
      </c>
      <c r="D1543" s="599">
        <v>1361.31</v>
      </c>
    </row>
    <row r="1544" spans="1:4">
      <c r="A1544" s="606">
        <v>90261</v>
      </c>
      <c r="B1544" s="607" t="s">
        <v>3011</v>
      </c>
      <c r="C1544" s="608" t="s">
        <v>1615</v>
      </c>
      <c r="D1544" s="599">
        <v>2745.44</v>
      </c>
    </row>
    <row r="1545" spans="1:4">
      <c r="A1545" s="606">
        <v>90262</v>
      </c>
      <c r="B1545" s="607" t="s">
        <v>3012</v>
      </c>
      <c r="C1545" s="608" t="s">
        <v>1615</v>
      </c>
      <c r="D1545" s="599">
        <v>426.28</v>
      </c>
    </row>
    <row r="1546" spans="1:4">
      <c r="A1546" s="606">
        <v>90263</v>
      </c>
      <c r="B1546" s="607" t="s">
        <v>3013</v>
      </c>
      <c r="C1546" s="608" t="s">
        <v>1615</v>
      </c>
      <c r="D1546" s="599">
        <v>538.01</v>
      </c>
    </row>
    <row r="1547" spans="1:4">
      <c r="A1547" s="606">
        <v>90264</v>
      </c>
      <c r="B1547" s="607" t="s">
        <v>3014</v>
      </c>
      <c r="C1547" s="608" t="s">
        <v>1615</v>
      </c>
      <c r="D1547" s="599">
        <v>660.2</v>
      </c>
    </row>
    <row r="1548" spans="1:4">
      <c r="A1548" s="606">
        <v>90265</v>
      </c>
      <c r="B1548" s="607" t="s">
        <v>3015</v>
      </c>
      <c r="C1548" s="608" t="s">
        <v>1615</v>
      </c>
      <c r="D1548" s="599">
        <v>777.46</v>
      </c>
    </row>
    <row r="1549" spans="1:4">
      <c r="A1549" s="606">
        <v>90266</v>
      </c>
      <c r="B1549" s="607" t="s">
        <v>3016</v>
      </c>
      <c r="C1549" s="608" t="s">
        <v>1615</v>
      </c>
      <c r="D1549" s="599">
        <v>1013</v>
      </c>
    </row>
    <row r="1550" spans="1:4">
      <c r="A1550" s="606">
        <v>90267</v>
      </c>
      <c r="B1550" s="607" t="s">
        <v>3017</v>
      </c>
      <c r="C1550" s="608" t="s">
        <v>1615</v>
      </c>
      <c r="D1550" s="599">
        <v>1332.72</v>
      </c>
    </row>
    <row r="1551" spans="1:4">
      <c r="A1551" s="606">
        <v>90268</v>
      </c>
      <c r="B1551" s="607" t="s">
        <v>3018</v>
      </c>
      <c r="C1551" s="608" t="s">
        <v>1615</v>
      </c>
      <c r="D1551" s="599">
        <v>1658.4</v>
      </c>
    </row>
    <row r="1552" spans="1:4">
      <c r="A1552" s="606">
        <v>90269</v>
      </c>
      <c r="B1552" s="607" t="s">
        <v>3019</v>
      </c>
      <c r="C1552" s="608" t="s">
        <v>1615</v>
      </c>
      <c r="D1552" s="599">
        <v>2099.5300000000002</v>
      </c>
    </row>
    <row r="1553" spans="1:4">
      <c r="A1553" s="606">
        <v>90270</v>
      </c>
      <c r="B1553" s="607" t="s">
        <v>3020</v>
      </c>
      <c r="C1553" s="608" t="s">
        <v>1615</v>
      </c>
      <c r="D1553" s="599">
        <v>2441.2399999999998</v>
      </c>
    </row>
    <row r="1554" spans="1:4">
      <c r="A1554" s="606">
        <v>90271</v>
      </c>
      <c r="B1554" s="607" t="s">
        <v>3021</v>
      </c>
      <c r="C1554" s="608" t="s">
        <v>1615</v>
      </c>
      <c r="D1554" s="599">
        <v>2938.8</v>
      </c>
    </row>
    <row r="1555" spans="1:4">
      <c r="A1555" s="606">
        <v>90272</v>
      </c>
      <c r="B1555" s="607" t="s">
        <v>3022</v>
      </c>
      <c r="C1555" s="608" t="s">
        <v>1615</v>
      </c>
      <c r="D1555" s="599">
        <v>505.53</v>
      </c>
    </row>
    <row r="1556" spans="1:4">
      <c r="A1556" s="606">
        <v>90273</v>
      </c>
      <c r="B1556" s="607" t="s">
        <v>3023</v>
      </c>
      <c r="C1556" s="608" t="s">
        <v>1615</v>
      </c>
      <c r="D1556" s="599">
        <v>593.33000000000004</v>
      </c>
    </row>
    <row r="1557" spans="1:4">
      <c r="A1557" s="606">
        <v>90274</v>
      </c>
      <c r="B1557" s="607" t="s">
        <v>3024</v>
      </c>
      <c r="C1557" s="608" t="s">
        <v>1615</v>
      </c>
      <c r="D1557" s="599">
        <v>750.86</v>
      </c>
    </row>
    <row r="1558" spans="1:4">
      <c r="A1558" s="606">
        <v>90275</v>
      </c>
      <c r="B1558" s="607" t="s">
        <v>3025</v>
      </c>
      <c r="C1558" s="608" t="s">
        <v>1615</v>
      </c>
      <c r="D1558" s="599">
        <v>903.66</v>
      </c>
    </row>
    <row r="1559" spans="1:4">
      <c r="A1559" s="606">
        <v>90276</v>
      </c>
      <c r="B1559" s="607" t="s">
        <v>3026</v>
      </c>
      <c r="C1559" s="608" t="s">
        <v>1615</v>
      </c>
      <c r="D1559" s="599">
        <v>1203.29</v>
      </c>
    </row>
    <row r="1560" spans="1:4">
      <c r="A1560" s="606">
        <v>90277</v>
      </c>
      <c r="B1560" s="607" t="s">
        <v>3027</v>
      </c>
      <c r="C1560" s="608" t="s">
        <v>1615</v>
      </c>
      <c r="D1560" s="599">
        <v>1597.73</v>
      </c>
    </row>
    <row r="1561" spans="1:4">
      <c r="A1561" s="606">
        <v>90278</v>
      </c>
      <c r="B1561" s="607" t="s">
        <v>3028</v>
      </c>
      <c r="C1561" s="608" t="s">
        <v>1615</v>
      </c>
      <c r="D1561" s="599">
        <v>2024.48</v>
      </c>
    </row>
    <row r="1562" spans="1:4">
      <c r="A1562" s="606">
        <v>90279</v>
      </c>
      <c r="B1562" s="607" t="s">
        <v>3029</v>
      </c>
      <c r="C1562" s="608" t="s">
        <v>1615</v>
      </c>
      <c r="D1562" s="599">
        <v>2550.08</v>
      </c>
    </row>
    <row r="1563" spans="1:4">
      <c r="A1563" s="606">
        <v>90280</v>
      </c>
      <c r="B1563" s="607" t="s">
        <v>3030</v>
      </c>
      <c r="C1563" s="608" t="s">
        <v>1615</v>
      </c>
      <c r="D1563" s="599">
        <v>2996.96</v>
      </c>
    </row>
    <row r="1564" spans="1:4">
      <c r="A1564" s="606">
        <v>90281</v>
      </c>
      <c r="B1564" s="607" t="s">
        <v>3031</v>
      </c>
      <c r="C1564" s="608" t="s">
        <v>1615</v>
      </c>
      <c r="D1564" s="599">
        <v>3636.32</v>
      </c>
    </row>
    <row r="1565" spans="1:4">
      <c r="A1565" s="606">
        <v>90282</v>
      </c>
      <c r="B1565" s="607" t="s">
        <v>3032</v>
      </c>
      <c r="C1565" s="608" t="s">
        <v>1615</v>
      </c>
      <c r="D1565" s="599">
        <v>201.28</v>
      </c>
    </row>
    <row r="1566" spans="1:4">
      <c r="A1566" s="606">
        <v>90283</v>
      </c>
      <c r="B1566" s="607" t="s">
        <v>3033</v>
      </c>
      <c r="C1566" s="608" t="s">
        <v>1615</v>
      </c>
      <c r="D1566" s="599">
        <v>132.79</v>
      </c>
    </row>
    <row r="1567" spans="1:4">
      <c r="A1567" s="606">
        <v>90284</v>
      </c>
      <c r="B1567" s="607" t="s">
        <v>3034</v>
      </c>
      <c r="C1567" s="608" t="s">
        <v>1615</v>
      </c>
      <c r="D1567" s="599">
        <v>367.61</v>
      </c>
    </row>
    <row r="1568" spans="1:4">
      <c r="A1568" s="606">
        <v>90285</v>
      </c>
      <c r="B1568" s="607" t="s">
        <v>3035</v>
      </c>
      <c r="C1568" s="608" t="s">
        <v>1615</v>
      </c>
      <c r="D1568" s="599">
        <v>484.44</v>
      </c>
    </row>
    <row r="1569" spans="1:6">
      <c r="A1569" s="606">
        <v>90286</v>
      </c>
      <c r="B1569" s="607" t="s">
        <v>3036</v>
      </c>
      <c r="C1569" s="608" t="s">
        <v>1615</v>
      </c>
      <c r="D1569" s="599">
        <v>51.65</v>
      </c>
    </row>
    <row r="1570" spans="1:6">
      <c r="A1570" s="606">
        <v>90287</v>
      </c>
      <c r="B1570" s="607" t="s">
        <v>3037</v>
      </c>
      <c r="C1570" s="608" t="s">
        <v>1615</v>
      </c>
      <c r="D1570" s="599">
        <v>60.73</v>
      </c>
    </row>
    <row r="1571" spans="1:6">
      <c r="A1571" s="606">
        <v>90288</v>
      </c>
      <c r="B1571" s="607" t="s">
        <v>3038</v>
      </c>
      <c r="C1571" s="608" t="s">
        <v>1615</v>
      </c>
      <c r="D1571" s="599">
        <v>58.17</v>
      </c>
    </row>
    <row r="1572" spans="1:6">
      <c r="A1572" s="606">
        <v>90289</v>
      </c>
      <c r="B1572" s="607" t="s">
        <v>3039</v>
      </c>
      <c r="C1572" s="608" t="s">
        <v>1615</v>
      </c>
      <c r="D1572" s="599">
        <v>67.66</v>
      </c>
    </row>
    <row r="1573" spans="1:6">
      <c r="A1573" s="606">
        <v>90290</v>
      </c>
      <c r="B1573" s="607" t="s">
        <v>3040</v>
      </c>
      <c r="C1573" s="608" t="s">
        <v>1615</v>
      </c>
      <c r="D1573" s="599">
        <v>187.33</v>
      </c>
    </row>
    <row r="1574" spans="1:6">
      <c r="A1574" s="606">
        <v>90291</v>
      </c>
      <c r="B1574" s="607" t="s">
        <v>3041</v>
      </c>
      <c r="C1574" s="608" t="s">
        <v>1615</v>
      </c>
      <c r="D1574" s="599">
        <v>187.33</v>
      </c>
    </row>
    <row r="1575" spans="1:6">
      <c r="A1575" s="606">
        <v>90292</v>
      </c>
      <c r="B1575" s="607" t="s">
        <v>3042</v>
      </c>
      <c r="C1575" s="608" t="s">
        <v>1615</v>
      </c>
      <c r="D1575" s="599">
        <v>89.87</v>
      </c>
    </row>
    <row r="1576" spans="1:6">
      <c r="A1576" s="606">
        <v>90293</v>
      </c>
      <c r="B1576" s="607" t="s">
        <v>3043</v>
      </c>
      <c r="C1576" s="608" t="s">
        <v>1615</v>
      </c>
      <c r="D1576" s="599">
        <v>195.09</v>
      </c>
    </row>
    <row r="1577" spans="1:6">
      <c r="A1577" s="606">
        <v>90294</v>
      </c>
      <c r="B1577" s="607" t="s">
        <v>3044</v>
      </c>
      <c r="C1577" s="608" t="s">
        <v>1615</v>
      </c>
      <c r="D1577" s="599">
        <v>96.47</v>
      </c>
    </row>
    <row r="1578" spans="1:6">
      <c r="A1578" s="606">
        <v>90295</v>
      </c>
      <c r="B1578" s="607" t="s">
        <v>3045</v>
      </c>
      <c r="C1578" s="608" t="s">
        <v>1615</v>
      </c>
      <c r="D1578" s="599">
        <v>268.24</v>
      </c>
    </row>
    <row r="1579" spans="1:6">
      <c r="A1579" s="606">
        <v>90296</v>
      </c>
      <c r="B1579" s="607" t="s">
        <v>3046</v>
      </c>
      <c r="C1579" s="608" t="s">
        <v>1615</v>
      </c>
      <c r="D1579" s="599">
        <v>102.57</v>
      </c>
    </row>
    <row r="1580" spans="1:6">
      <c r="A1580" s="606">
        <v>90297</v>
      </c>
      <c r="B1580" s="607" t="s">
        <v>3047</v>
      </c>
      <c r="C1580" s="608" t="s">
        <v>1615</v>
      </c>
      <c r="D1580" s="599">
        <v>829.17</v>
      </c>
    </row>
    <row r="1581" spans="1:6">
      <c r="A1581" s="606">
        <v>90298</v>
      </c>
      <c r="B1581" s="607" t="s">
        <v>3048</v>
      </c>
      <c r="C1581" s="608" t="s">
        <v>1615</v>
      </c>
      <c r="D1581" s="599">
        <v>1202.52</v>
      </c>
    </row>
    <row r="1582" spans="1:6">
      <c r="A1582" s="606">
        <v>90299</v>
      </c>
      <c r="B1582" s="607" t="s">
        <v>3049</v>
      </c>
      <c r="C1582" s="608" t="s">
        <v>1652</v>
      </c>
      <c r="D1582" s="599">
        <v>263.25</v>
      </c>
    </row>
    <row r="1583" spans="1:6">
      <c r="A1583" s="589">
        <v>903</v>
      </c>
      <c r="B1583" s="596" t="s">
        <v>3050</v>
      </c>
      <c r="C1583" s="588"/>
      <c r="D1583" s="599"/>
      <c r="F1583" s="585"/>
    </row>
    <row r="1584" spans="1:6">
      <c r="A1584" s="606">
        <v>90301</v>
      </c>
      <c r="B1584" s="607" t="s">
        <v>3051</v>
      </c>
      <c r="C1584" s="608" t="s">
        <v>1659</v>
      </c>
      <c r="D1584" s="599">
        <v>2.76</v>
      </c>
    </row>
    <row r="1585" spans="1:6">
      <c r="A1585" s="606">
        <v>90302</v>
      </c>
      <c r="B1585" s="607" t="s">
        <v>3052</v>
      </c>
      <c r="C1585" s="608" t="s">
        <v>1659</v>
      </c>
      <c r="D1585" s="599">
        <v>3.64</v>
      </c>
    </row>
    <row r="1586" spans="1:6" s="610" customFormat="1">
      <c r="A1586" s="606">
        <v>90303</v>
      </c>
      <c r="B1586" s="607" t="s">
        <v>3053</v>
      </c>
      <c r="C1586" s="608" t="s">
        <v>1659</v>
      </c>
      <c r="D1586" s="599">
        <v>5.98</v>
      </c>
      <c r="E1586" s="581"/>
      <c r="F1586" s="581"/>
    </row>
    <row r="1587" spans="1:6">
      <c r="A1587" s="606">
        <v>90304</v>
      </c>
      <c r="B1587" s="607" t="s">
        <v>3054</v>
      </c>
      <c r="C1587" s="608" t="s">
        <v>1659</v>
      </c>
      <c r="D1587" s="599">
        <v>8.68</v>
      </c>
    </row>
    <row r="1588" spans="1:6">
      <c r="A1588" s="606">
        <v>90305</v>
      </c>
      <c r="B1588" s="607" t="s">
        <v>3055</v>
      </c>
      <c r="C1588" s="608" t="s">
        <v>1659</v>
      </c>
      <c r="D1588" s="599">
        <v>15.27</v>
      </c>
    </row>
    <row r="1589" spans="1:6">
      <c r="A1589" s="606">
        <v>90306</v>
      </c>
      <c r="B1589" s="607" t="s">
        <v>3056</v>
      </c>
      <c r="C1589" s="608" t="s">
        <v>1659</v>
      </c>
      <c r="D1589" s="599">
        <v>22.34</v>
      </c>
    </row>
    <row r="1590" spans="1:6">
      <c r="A1590" s="606">
        <v>90307</v>
      </c>
      <c r="B1590" s="607" t="s">
        <v>3057</v>
      </c>
      <c r="C1590" s="608" t="s">
        <v>1659</v>
      </c>
      <c r="D1590" s="599">
        <v>33.619999999999997</v>
      </c>
    </row>
    <row r="1591" spans="1:6">
      <c r="A1591" s="606">
        <v>90308</v>
      </c>
      <c r="B1591" s="607" t="s">
        <v>3058</v>
      </c>
      <c r="C1591" s="608" t="s">
        <v>1659</v>
      </c>
      <c r="D1591" s="599">
        <v>44.01</v>
      </c>
    </row>
    <row r="1592" spans="1:6">
      <c r="A1592" s="606">
        <v>90309</v>
      </c>
      <c r="B1592" s="607" t="s">
        <v>3059</v>
      </c>
      <c r="C1592" s="608" t="s">
        <v>1659</v>
      </c>
      <c r="D1592" s="599">
        <v>63.56</v>
      </c>
    </row>
    <row r="1593" spans="1:6">
      <c r="A1593" s="606">
        <v>90310</v>
      </c>
      <c r="B1593" s="607" t="s">
        <v>3060</v>
      </c>
      <c r="C1593" s="608" t="s">
        <v>1659</v>
      </c>
      <c r="D1593" s="599">
        <v>77.11</v>
      </c>
    </row>
    <row r="1594" spans="1:6">
      <c r="A1594" s="606">
        <v>90311</v>
      </c>
      <c r="B1594" s="607" t="s">
        <v>3061</v>
      </c>
      <c r="C1594" s="608" t="s">
        <v>1659</v>
      </c>
      <c r="D1594" s="599">
        <v>92.95</v>
      </c>
    </row>
    <row r="1595" spans="1:6">
      <c r="A1595" s="606">
        <v>90312</v>
      </c>
      <c r="B1595" s="607" t="s">
        <v>3062</v>
      </c>
      <c r="C1595" s="608" t="s">
        <v>1659</v>
      </c>
      <c r="D1595" s="599">
        <v>117.03</v>
      </c>
    </row>
    <row r="1596" spans="1:6">
      <c r="A1596" s="606">
        <v>90313</v>
      </c>
      <c r="B1596" s="607" t="s">
        <v>3063</v>
      </c>
      <c r="C1596" s="608" t="s">
        <v>1659</v>
      </c>
      <c r="D1596" s="599">
        <v>143.47</v>
      </c>
    </row>
    <row r="1597" spans="1:6">
      <c r="A1597" s="606">
        <v>90314</v>
      </c>
      <c r="B1597" s="607" t="s">
        <v>3064</v>
      </c>
      <c r="C1597" s="608" t="s">
        <v>1659</v>
      </c>
      <c r="D1597" s="599">
        <v>167.83</v>
      </c>
    </row>
    <row r="1598" spans="1:6">
      <c r="A1598" s="606">
        <v>90317</v>
      </c>
      <c r="B1598" s="607" t="s">
        <v>3065</v>
      </c>
      <c r="C1598" s="608" t="s">
        <v>1659</v>
      </c>
      <c r="D1598" s="599">
        <v>4.6900000000000004</v>
      </c>
    </row>
    <row r="1599" spans="1:6">
      <c r="A1599" s="606">
        <v>90318</v>
      </c>
      <c r="B1599" s="607" t="s">
        <v>3066</v>
      </c>
      <c r="C1599" s="608" t="s">
        <v>1659</v>
      </c>
      <c r="D1599" s="599">
        <v>6.92</v>
      </c>
    </row>
    <row r="1600" spans="1:6">
      <c r="A1600" s="606">
        <v>90319</v>
      </c>
      <c r="B1600" s="607" t="s">
        <v>3067</v>
      </c>
      <c r="C1600" s="608" t="s">
        <v>1659</v>
      </c>
      <c r="D1600" s="599">
        <v>9.39</v>
      </c>
    </row>
    <row r="1601" spans="1:4">
      <c r="A1601" s="606">
        <v>90320</v>
      </c>
      <c r="B1601" s="607" t="s">
        <v>3068</v>
      </c>
      <c r="C1601" s="608" t="s">
        <v>1659</v>
      </c>
      <c r="D1601" s="599">
        <v>15.64</v>
      </c>
    </row>
    <row r="1602" spans="1:4">
      <c r="A1602" s="606">
        <v>90321</v>
      </c>
      <c r="B1602" s="607" t="s">
        <v>3069</v>
      </c>
      <c r="C1602" s="608" t="s">
        <v>1659</v>
      </c>
      <c r="D1602" s="599">
        <v>24.13</v>
      </c>
    </row>
    <row r="1603" spans="1:4">
      <c r="A1603" s="606">
        <v>90322</v>
      </c>
      <c r="B1603" s="607" t="s">
        <v>3070</v>
      </c>
      <c r="C1603" s="608" t="s">
        <v>1659</v>
      </c>
      <c r="D1603" s="599">
        <v>33.04</v>
      </c>
    </row>
    <row r="1604" spans="1:4">
      <c r="A1604" s="606">
        <v>90323</v>
      </c>
      <c r="B1604" s="607" t="s">
        <v>3071</v>
      </c>
      <c r="C1604" s="608" t="s">
        <v>1659</v>
      </c>
      <c r="D1604" s="599">
        <v>44.45</v>
      </c>
    </row>
    <row r="1605" spans="1:4">
      <c r="A1605" s="606">
        <v>90324</v>
      </c>
      <c r="B1605" s="607" t="s">
        <v>3072</v>
      </c>
      <c r="C1605" s="608" t="s">
        <v>1659</v>
      </c>
      <c r="D1605" s="599">
        <v>60.33</v>
      </c>
    </row>
    <row r="1606" spans="1:4">
      <c r="A1606" s="606">
        <v>90325</v>
      </c>
      <c r="B1606" s="607" t="s">
        <v>3073</v>
      </c>
      <c r="C1606" s="608" t="s">
        <v>1659</v>
      </c>
      <c r="D1606" s="599">
        <v>79.13</v>
      </c>
    </row>
    <row r="1607" spans="1:4">
      <c r="A1607" s="606">
        <v>90326</v>
      </c>
      <c r="B1607" s="607" t="s">
        <v>3074</v>
      </c>
      <c r="C1607" s="608" t="s">
        <v>1659</v>
      </c>
      <c r="D1607" s="599">
        <v>101.77</v>
      </c>
    </row>
    <row r="1608" spans="1:4">
      <c r="A1608" s="606">
        <v>90327</v>
      </c>
      <c r="B1608" s="607" t="s">
        <v>3075</v>
      </c>
      <c r="C1608" s="608" t="s">
        <v>1659</v>
      </c>
      <c r="D1608" s="599">
        <v>122.31</v>
      </c>
    </row>
    <row r="1609" spans="1:4">
      <c r="A1609" s="606">
        <v>90328</v>
      </c>
      <c r="B1609" s="607" t="s">
        <v>3076</v>
      </c>
      <c r="C1609" s="608" t="s">
        <v>1659</v>
      </c>
      <c r="D1609" s="599">
        <v>146.94999999999999</v>
      </c>
    </row>
    <row r="1610" spans="1:4">
      <c r="A1610" s="606">
        <v>90329</v>
      </c>
      <c r="B1610" s="607" t="s">
        <v>3077</v>
      </c>
      <c r="C1610" s="608" t="s">
        <v>1659</v>
      </c>
      <c r="D1610" s="599">
        <v>189.46</v>
      </c>
    </row>
    <row r="1611" spans="1:4">
      <c r="A1611" s="606">
        <v>90330</v>
      </c>
      <c r="B1611" s="607" t="s">
        <v>3078</v>
      </c>
      <c r="C1611" s="608" t="s">
        <v>1659</v>
      </c>
      <c r="D1611" s="599">
        <v>231.05</v>
      </c>
    </row>
    <row r="1612" spans="1:4">
      <c r="A1612" s="606">
        <v>90346</v>
      </c>
      <c r="B1612" s="607" t="s">
        <v>3079</v>
      </c>
      <c r="C1612" s="608" t="s">
        <v>1659</v>
      </c>
      <c r="D1612" s="599">
        <v>14.35</v>
      </c>
    </row>
    <row r="1613" spans="1:4">
      <c r="A1613" s="606">
        <v>90347</v>
      </c>
      <c r="B1613" s="607" t="s">
        <v>3080</v>
      </c>
      <c r="C1613" s="608" t="s">
        <v>1659</v>
      </c>
      <c r="D1613" s="599">
        <v>17.97</v>
      </c>
    </row>
    <row r="1614" spans="1:4">
      <c r="A1614" s="606">
        <v>90348</v>
      </c>
      <c r="B1614" s="607" t="s">
        <v>3081</v>
      </c>
      <c r="C1614" s="608" t="s">
        <v>1659</v>
      </c>
      <c r="D1614" s="599">
        <v>21.37</v>
      </c>
    </row>
    <row r="1615" spans="1:4">
      <c r="A1615" s="606">
        <v>90349</v>
      </c>
      <c r="B1615" s="607" t="s">
        <v>3082</v>
      </c>
      <c r="C1615" s="608" t="s">
        <v>1659</v>
      </c>
      <c r="D1615" s="599">
        <v>23.42</v>
      </c>
    </row>
    <row r="1616" spans="1:4">
      <c r="A1616" s="606">
        <v>90350</v>
      </c>
      <c r="B1616" s="607" t="s">
        <v>3083</v>
      </c>
      <c r="C1616" s="608" t="s">
        <v>1659</v>
      </c>
      <c r="D1616" s="599">
        <v>27.04</v>
      </c>
    </row>
    <row r="1617" spans="1:6">
      <c r="A1617" s="606">
        <v>90351</v>
      </c>
      <c r="B1617" s="607" t="s">
        <v>3084</v>
      </c>
      <c r="C1617" s="608" t="s">
        <v>1659</v>
      </c>
      <c r="D1617" s="599">
        <v>38.08</v>
      </c>
    </row>
    <row r="1618" spans="1:6">
      <c r="A1618" s="606">
        <v>90352</v>
      </c>
      <c r="B1618" s="607" t="s">
        <v>3085</v>
      </c>
      <c r="C1618" s="608" t="s">
        <v>1659</v>
      </c>
      <c r="D1618" s="599">
        <v>43.94</v>
      </c>
    </row>
    <row r="1619" spans="1:6">
      <c r="A1619" s="606">
        <v>90353</v>
      </c>
      <c r="B1619" s="607" t="s">
        <v>3086</v>
      </c>
      <c r="C1619" s="608" t="s">
        <v>1659</v>
      </c>
      <c r="D1619" s="599">
        <v>58.66</v>
      </c>
    </row>
    <row r="1620" spans="1:6">
      <c r="A1620" s="606">
        <v>90358</v>
      </c>
      <c r="B1620" s="607" t="s">
        <v>3087</v>
      </c>
      <c r="C1620" s="608" t="s">
        <v>1659</v>
      </c>
      <c r="D1620" s="599">
        <v>11.01</v>
      </c>
    </row>
    <row r="1621" spans="1:6">
      <c r="A1621" s="606">
        <v>90359</v>
      </c>
      <c r="B1621" s="607" t="s">
        <v>3088</v>
      </c>
      <c r="C1621" s="608" t="s">
        <v>1659</v>
      </c>
      <c r="D1621" s="599">
        <v>13.47</v>
      </c>
    </row>
    <row r="1622" spans="1:6">
      <c r="A1622" s="606">
        <v>90390</v>
      </c>
      <c r="B1622" s="607" t="s">
        <v>2629</v>
      </c>
      <c r="C1622" s="608" t="s">
        <v>1659</v>
      </c>
      <c r="D1622" s="599">
        <v>8.5399999999999991</v>
      </c>
    </row>
    <row r="1623" spans="1:6">
      <c r="A1623" s="606">
        <v>90399</v>
      </c>
      <c r="B1623" s="607" t="s">
        <v>3089</v>
      </c>
      <c r="C1623" s="608" t="s">
        <v>1652</v>
      </c>
      <c r="D1623" s="599">
        <v>263.25</v>
      </c>
    </row>
    <row r="1624" spans="1:6">
      <c r="A1624" s="589">
        <v>904</v>
      </c>
      <c r="B1624" s="596" t="s">
        <v>614</v>
      </c>
      <c r="C1624" s="588"/>
      <c r="D1624" s="599"/>
      <c r="F1624" s="585"/>
    </row>
    <row r="1625" spans="1:6">
      <c r="A1625" s="606">
        <v>90406</v>
      </c>
      <c r="B1625" s="607" t="s">
        <v>3090</v>
      </c>
      <c r="C1625" s="608" t="s">
        <v>1240</v>
      </c>
      <c r="D1625" s="599">
        <v>809.6</v>
      </c>
    </row>
    <row r="1626" spans="1:6">
      <c r="A1626" s="606">
        <v>90407</v>
      </c>
      <c r="B1626" s="607" t="s">
        <v>3091</v>
      </c>
      <c r="C1626" s="608" t="s">
        <v>1615</v>
      </c>
      <c r="D1626" s="599">
        <v>125.52</v>
      </c>
    </row>
    <row r="1627" spans="1:6">
      <c r="A1627" s="606">
        <v>90408</v>
      </c>
      <c r="B1627" s="607" t="s">
        <v>3092</v>
      </c>
      <c r="C1627" s="608" t="s">
        <v>1615</v>
      </c>
      <c r="D1627" s="599">
        <v>364.5</v>
      </c>
      <c r="E1627" s="610"/>
      <c r="F1627" s="610"/>
    </row>
    <row r="1628" spans="1:6">
      <c r="A1628" s="606">
        <v>90409</v>
      </c>
      <c r="B1628" s="607" t="s">
        <v>3093</v>
      </c>
      <c r="C1628" s="608" t="s">
        <v>1615</v>
      </c>
      <c r="D1628" s="599">
        <v>485.49</v>
      </c>
    </row>
    <row r="1629" spans="1:6">
      <c r="A1629" s="606">
        <v>90410</v>
      </c>
      <c r="B1629" s="607" t="s">
        <v>3094</v>
      </c>
      <c r="C1629" s="608" t="s">
        <v>1615</v>
      </c>
      <c r="D1629" s="599">
        <v>20.74</v>
      </c>
    </row>
    <row r="1630" spans="1:6" s="610" customFormat="1">
      <c r="A1630" s="606">
        <v>90411</v>
      </c>
      <c r="B1630" s="607" t="s">
        <v>3095</v>
      </c>
      <c r="C1630" s="608" t="s">
        <v>1615</v>
      </c>
      <c r="D1630" s="599">
        <v>29.27</v>
      </c>
      <c r="E1630" s="581"/>
      <c r="F1630" s="581"/>
    </row>
    <row r="1631" spans="1:6">
      <c r="A1631" s="606">
        <v>90412</v>
      </c>
      <c r="B1631" s="607" t="s">
        <v>3096</v>
      </c>
      <c r="C1631" s="608" t="s">
        <v>1615</v>
      </c>
      <c r="D1631" s="599">
        <v>60.48</v>
      </c>
    </row>
    <row r="1632" spans="1:6">
      <c r="A1632" s="606">
        <v>90414</v>
      </c>
      <c r="B1632" s="607" t="s">
        <v>3097</v>
      </c>
      <c r="C1632" s="608" t="s">
        <v>1615</v>
      </c>
      <c r="D1632" s="599">
        <v>93.36</v>
      </c>
    </row>
    <row r="1633" spans="1:4">
      <c r="A1633" s="606">
        <v>90415</v>
      </c>
      <c r="B1633" s="607" t="s">
        <v>3098</v>
      </c>
      <c r="C1633" s="608" t="s">
        <v>1615</v>
      </c>
      <c r="D1633" s="599">
        <v>269.29000000000002</v>
      </c>
    </row>
    <row r="1634" spans="1:4">
      <c r="A1634" s="606">
        <v>90416</v>
      </c>
      <c r="B1634" s="607" t="s">
        <v>3099</v>
      </c>
      <c r="C1634" s="608" t="s">
        <v>1615</v>
      </c>
      <c r="D1634" s="599">
        <v>766.65</v>
      </c>
    </row>
    <row r="1635" spans="1:4">
      <c r="A1635" s="606">
        <v>90419</v>
      </c>
      <c r="B1635" s="607" t="s">
        <v>3100</v>
      </c>
      <c r="C1635" s="608" t="s">
        <v>1615</v>
      </c>
      <c r="D1635" s="599">
        <v>58.17</v>
      </c>
    </row>
    <row r="1636" spans="1:4">
      <c r="A1636" s="606">
        <v>90420</v>
      </c>
      <c r="B1636" s="607" t="s">
        <v>3101</v>
      </c>
      <c r="C1636" s="608" t="s">
        <v>1615</v>
      </c>
      <c r="D1636" s="599">
        <v>67.66</v>
      </c>
    </row>
    <row r="1637" spans="1:4">
      <c r="A1637" s="606">
        <v>90421</v>
      </c>
      <c r="B1637" s="607" t="s">
        <v>3102</v>
      </c>
      <c r="C1637" s="608" t="s">
        <v>1615</v>
      </c>
      <c r="D1637" s="599">
        <v>183.92</v>
      </c>
    </row>
    <row r="1638" spans="1:4">
      <c r="A1638" s="606">
        <v>90422</v>
      </c>
      <c r="B1638" s="607" t="s">
        <v>3103</v>
      </c>
      <c r="C1638" s="608" t="s">
        <v>1615</v>
      </c>
      <c r="D1638" s="599">
        <v>1621.74</v>
      </c>
    </row>
    <row r="1639" spans="1:4">
      <c r="A1639" s="606">
        <v>90423</v>
      </c>
      <c r="B1639" s="607" t="s">
        <v>3104</v>
      </c>
      <c r="C1639" s="608" t="s">
        <v>1615</v>
      </c>
      <c r="D1639" s="599">
        <v>2679.43</v>
      </c>
    </row>
    <row r="1640" spans="1:4">
      <c r="A1640" s="606">
        <v>90424</v>
      </c>
      <c r="B1640" s="607" t="s">
        <v>3105</v>
      </c>
      <c r="C1640" s="608" t="s">
        <v>1615</v>
      </c>
      <c r="D1640" s="599">
        <v>4893.68</v>
      </c>
    </row>
    <row r="1641" spans="1:4">
      <c r="A1641" s="606">
        <v>90425</v>
      </c>
      <c r="B1641" s="607" t="s">
        <v>3106</v>
      </c>
      <c r="C1641" s="608" t="s">
        <v>1615</v>
      </c>
      <c r="D1641" s="599">
        <v>187.33</v>
      </c>
    </row>
    <row r="1642" spans="1:4">
      <c r="A1642" s="606">
        <v>90436</v>
      </c>
      <c r="B1642" s="607" t="s">
        <v>3107</v>
      </c>
      <c r="C1642" s="608" t="s">
        <v>1615</v>
      </c>
      <c r="D1642" s="599">
        <v>241.54</v>
      </c>
    </row>
    <row r="1643" spans="1:4">
      <c r="A1643" s="606">
        <v>90437</v>
      </c>
      <c r="B1643" s="607" t="s">
        <v>3108</v>
      </c>
      <c r="C1643" s="608" t="s">
        <v>1615</v>
      </c>
      <c r="D1643" s="599">
        <v>263.64999999999998</v>
      </c>
    </row>
    <row r="1644" spans="1:4">
      <c r="A1644" s="606">
        <v>90438</v>
      </c>
      <c r="B1644" s="607" t="s">
        <v>3109</v>
      </c>
      <c r="C1644" s="608" t="s">
        <v>1615</v>
      </c>
      <c r="D1644" s="599">
        <v>275.31</v>
      </c>
    </row>
    <row r="1645" spans="1:4">
      <c r="A1645" s="606">
        <v>90439</v>
      </c>
      <c r="B1645" s="607" t="s">
        <v>3110</v>
      </c>
      <c r="C1645" s="608" t="s">
        <v>1615</v>
      </c>
      <c r="D1645" s="599">
        <v>291.08</v>
      </c>
    </row>
    <row r="1646" spans="1:4">
      <c r="A1646" s="606">
        <v>90440</v>
      </c>
      <c r="B1646" s="607" t="s">
        <v>3111</v>
      </c>
      <c r="C1646" s="608" t="s">
        <v>1659</v>
      </c>
      <c r="D1646" s="599">
        <v>9.31</v>
      </c>
    </row>
    <row r="1647" spans="1:4">
      <c r="A1647" s="606">
        <v>90441</v>
      </c>
      <c r="B1647" s="607" t="s">
        <v>3112</v>
      </c>
      <c r="C1647" s="608" t="s">
        <v>1659</v>
      </c>
      <c r="D1647" s="599">
        <v>9.49</v>
      </c>
    </row>
    <row r="1648" spans="1:4">
      <c r="A1648" s="606">
        <v>90442</v>
      </c>
      <c r="B1648" s="607" t="s">
        <v>3113</v>
      </c>
      <c r="C1648" s="608" t="s">
        <v>1659</v>
      </c>
      <c r="D1648" s="599">
        <v>17.11</v>
      </c>
    </row>
    <row r="1649" spans="1:6">
      <c r="A1649" s="606">
        <v>90443</v>
      </c>
      <c r="B1649" s="607" t="s">
        <v>3114</v>
      </c>
      <c r="C1649" s="608" t="s">
        <v>1659</v>
      </c>
      <c r="D1649" s="599">
        <v>21.74</v>
      </c>
    </row>
    <row r="1650" spans="1:6">
      <c r="A1650" s="606">
        <v>90444</v>
      </c>
      <c r="B1650" s="607" t="s">
        <v>3115</v>
      </c>
      <c r="C1650" s="608" t="s">
        <v>1659</v>
      </c>
      <c r="D1650" s="599">
        <v>30.82</v>
      </c>
    </row>
    <row r="1651" spans="1:6" s="610" customFormat="1">
      <c r="A1651" s="606">
        <v>90445</v>
      </c>
      <c r="B1651" s="607" t="s">
        <v>3116</v>
      </c>
      <c r="C1651" s="608" t="s">
        <v>1659</v>
      </c>
      <c r="D1651" s="599">
        <v>103.63</v>
      </c>
      <c r="E1651" s="581"/>
      <c r="F1651" s="581"/>
    </row>
    <row r="1652" spans="1:6">
      <c r="A1652" s="606">
        <v>90446</v>
      </c>
      <c r="B1652" s="607" t="s">
        <v>3117</v>
      </c>
      <c r="C1652" s="608" t="s">
        <v>1659</v>
      </c>
      <c r="D1652" s="599">
        <v>194.27</v>
      </c>
    </row>
    <row r="1653" spans="1:6">
      <c r="A1653" s="606">
        <v>90447</v>
      </c>
      <c r="B1653" s="607" t="s">
        <v>3118</v>
      </c>
      <c r="C1653" s="608" t="s">
        <v>1659</v>
      </c>
      <c r="D1653" s="599">
        <v>256.41000000000003</v>
      </c>
    </row>
    <row r="1654" spans="1:6">
      <c r="A1654" s="606">
        <v>90449</v>
      </c>
      <c r="B1654" s="607" t="s">
        <v>3119</v>
      </c>
      <c r="C1654" s="608" t="s">
        <v>1659</v>
      </c>
      <c r="D1654" s="599">
        <v>151.01</v>
      </c>
    </row>
    <row r="1655" spans="1:6">
      <c r="A1655" s="606">
        <v>90450</v>
      </c>
      <c r="B1655" s="607" t="s">
        <v>3120</v>
      </c>
      <c r="C1655" s="608" t="s">
        <v>1240</v>
      </c>
      <c r="D1655" s="599">
        <v>174.12</v>
      </c>
    </row>
    <row r="1656" spans="1:6">
      <c r="A1656" s="606">
        <v>90472</v>
      </c>
      <c r="B1656" s="607" t="s">
        <v>3121</v>
      </c>
      <c r="C1656" s="608" t="s">
        <v>1659</v>
      </c>
      <c r="D1656" s="599">
        <v>17.97</v>
      </c>
    </row>
    <row r="1657" spans="1:6">
      <c r="A1657" s="606">
        <v>90475</v>
      </c>
      <c r="B1657" s="607" t="s">
        <v>3122</v>
      </c>
      <c r="C1657" s="608" t="s">
        <v>1659</v>
      </c>
      <c r="D1657" s="599">
        <v>3.45</v>
      </c>
    </row>
    <row r="1658" spans="1:6">
      <c r="A1658" s="606">
        <v>90476</v>
      </c>
      <c r="B1658" s="607" t="s">
        <v>3123</v>
      </c>
      <c r="C1658" s="608" t="s">
        <v>1659</v>
      </c>
      <c r="D1658" s="599">
        <v>6.86</v>
      </c>
    </row>
    <row r="1659" spans="1:6">
      <c r="A1659" s="606">
        <v>90477</v>
      </c>
      <c r="B1659" s="607" t="s">
        <v>3124</v>
      </c>
      <c r="C1659" s="608" t="s">
        <v>1659</v>
      </c>
      <c r="D1659" s="599">
        <v>10.08</v>
      </c>
    </row>
    <row r="1660" spans="1:6">
      <c r="A1660" s="606">
        <v>90478</v>
      </c>
      <c r="B1660" s="607" t="s">
        <v>3125</v>
      </c>
      <c r="C1660" s="608" t="s">
        <v>1659</v>
      </c>
      <c r="D1660" s="599">
        <v>15.39</v>
      </c>
    </row>
    <row r="1661" spans="1:6">
      <c r="A1661" s="606">
        <v>90479</v>
      </c>
      <c r="B1661" s="607" t="s">
        <v>3126</v>
      </c>
      <c r="C1661" s="608" t="s">
        <v>1659</v>
      </c>
      <c r="D1661" s="599">
        <v>23.25</v>
      </c>
    </row>
    <row r="1662" spans="1:6">
      <c r="A1662" s="606">
        <v>90480</v>
      </c>
      <c r="B1662" s="607" t="s">
        <v>3127</v>
      </c>
      <c r="C1662" s="608" t="s">
        <v>1659</v>
      </c>
      <c r="D1662" s="599">
        <v>33.83</v>
      </c>
    </row>
    <row r="1663" spans="1:6">
      <c r="A1663" s="606">
        <v>90481</v>
      </c>
      <c r="B1663" s="607" t="s">
        <v>3128</v>
      </c>
      <c r="C1663" s="608" t="s">
        <v>1659</v>
      </c>
      <c r="D1663" s="599">
        <v>43.42</v>
      </c>
    </row>
    <row r="1664" spans="1:6">
      <c r="A1664" s="606">
        <v>90482</v>
      </c>
      <c r="B1664" s="607" t="s">
        <v>3129</v>
      </c>
      <c r="C1664" s="608" t="s">
        <v>1659</v>
      </c>
      <c r="D1664" s="599">
        <v>59.23</v>
      </c>
    </row>
    <row r="1665" spans="1:6">
      <c r="A1665" s="606">
        <v>90483</v>
      </c>
      <c r="B1665" s="607" t="s">
        <v>3130</v>
      </c>
      <c r="C1665" s="608" t="s">
        <v>1659</v>
      </c>
      <c r="D1665" s="599">
        <v>78.040000000000006</v>
      </c>
    </row>
    <row r="1666" spans="1:6">
      <c r="A1666" s="606">
        <v>90486</v>
      </c>
      <c r="B1666" s="607" t="s">
        <v>3131</v>
      </c>
      <c r="C1666" s="608" t="s">
        <v>1615</v>
      </c>
      <c r="D1666" s="599">
        <v>122.32</v>
      </c>
    </row>
    <row r="1667" spans="1:6">
      <c r="A1667" s="606">
        <v>90487</v>
      </c>
      <c r="B1667" s="607" t="s">
        <v>3040</v>
      </c>
      <c r="C1667" s="608" t="s">
        <v>1615</v>
      </c>
      <c r="D1667" s="599">
        <v>173.81</v>
      </c>
    </row>
    <row r="1668" spans="1:6">
      <c r="A1668" s="606">
        <v>90489</v>
      </c>
      <c r="B1668" s="607" t="s">
        <v>3132</v>
      </c>
      <c r="C1668" s="608" t="s">
        <v>1615</v>
      </c>
      <c r="D1668" s="599">
        <v>13.76</v>
      </c>
    </row>
    <row r="1669" spans="1:6">
      <c r="A1669" s="606">
        <v>90490</v>
      </c>
      <c r="B1669" s="607" t="s">
        <v>3133</v>
      </c>
      <c r="C1669" s="608" t="s">
        <v>1615</v>
      </c>
      <c r="D1669" s="599">
        <v>10.19</v>
      </c>
    </row>
    <row r="1670" spans="1:6">
      <c r="A1670" s="606">
        <v>90491</v>
      </c>
      <c r="B1670" s="607" t="s">
        <v>3036</v>
      </c>
      <c r="C1670" s="608" t="s">
        <v>1615</v>
      </c>
      <c r="D1670" s="599">
        <v>38.119999999999997</v>
      </c>
    </row>
    <row r="1671" spans="1:6">
      <c r="A1671" s="606">
        <v>90492</v>
      </c>
      <c r="B1671" s="607" t="s">
        <v>3037</v>
      </c>
      <c r="C1671" s="608" t="s">
        <v>1615</v>
      </c>
      <c r="D1671" s="599">
        <v>47.2</v>
      </c>
      <c r="E1671" s="610"/>
      <c r="F1671" s="610"/>
    </row>
    <row r="1672" spans="1:6">
      <c r="A1672" s="606">
        <v>90494</v>
      </c>
      <c r="B1672" s="607" t="s">
        <v>3134</v>
      </c>
      <c r="C1672" s="608" t="s">
        <v>1615</v>
      </c>
      <c r="D1672" s="599">
        <v>60.55</v>
      </c>
    </row>
    <row r="1673" spans="1:6">
      <c r="A1673" s="606">
        <v>90495</v>
      </c>
      <c r="B1673" s="607" t="s">
        <v>3135</v>
      </c>
      <c r="C1673" s="608" t="s">
        <v>1615</v>
      </c>
      <c r="D1673" s="599">
        <v>19.260000000000002</v>
      </c>
    </row>
    <row r="1674" spans="1:6">
      <c r="A1674" s="606">
        <v>90496</v>
      </c>
      <c r="B1674" s="607" t="s">
        <v>3136</v>
      </c>
      <c r="C1674" s="608" t="s">
        <v>1615</v>
      </c>
      <c r="D1674" s="599">
        <v>20.69</v>
      </c>
    </row>
    <row r="1675" spans="1:6">
      <c r="A1675" s="606">
        <v>90499</v>
      </c>
      <c r="B1675" s="607" t="s">
        <v>3137</v>
      </c>
      <c r="C1675" s="608" t="s">
        <v>1652</v>
      </c>
      <c r="D1675" s="599">
        <v>263.25</v>
      </c>
    </row>
    <row r="1676" spans="1:6">
      <c r="A1676" s="589">
        <v>905</v>
      </c>
      <c r="B1676" s="596" t="s">
        <v>3138</v>
      </c>
      <c r="C1676" s="588"/>
      <c r="D1676" s="599"/>
      <c r="F1676" s="585"/>
    </row>
    <row r="1677" spans="1:6">
      <c r="A1677" s="606">
        <v>90502</v>
      </c>
      <c r="B1677" s="607" t="s">
        <v>3139</v>
      </c>
      <c r="C1677" s="608" t="s">
        <v>1659</v>
      </c>
      <c r="D1677" s="599">
        <v>23.28</v>
      </c>
    </row>
    <row r="1678" spans="1:6">
      <c r="A1678" s="606">
        <v>90503</v>
      </c>
      <c r="B1678" s="607" t="s">
        <v>3140</v>
      </c>
      <c r="C1678" s="608" t="s">
        <v>1659</v>
      </c>
      <c r="D1678" s="599">
        <v>27.48</v>
      </c>
    </row>
    <row r="1679" spans="1:6">
      <c r="A1679" s="606">
        <v>90504</v>
      </c>
      <c r="B1679" s="607" t="s">
        <v>3141</v>
      </c>
      <c r="C1679" s="608" t="s">
        <v>1659</v>
      </c>
      <c r="D1679" s="599">
        <v>35.79</v>
      </c>
    </row>
    <row r="1680" spans="1:6">
      <c r="A1680" s="606">
        <v>90505</v>
      </c>
      <c r="B1680" s="607" t="s">
        <v>3142</v>
      </c>
      <c r="C1680" s="608" t="s">
        <v>1659</v>
      </c>
      <c r="D1680" s="599">
        <v>41.79</v>
      </c>
    </row>
    <row r="1681" spans="1:6">
      <c r="A1681" s="606">
        <v>90506</v>
      </c>
      <c r="B1681" s="607" t="s">
        <v>3143</v>
      </c>
      <c r="C1681" s="608" t="s">
        <v>1659</v>
      </c>
      <c r="D1681" s="599">
        <v>50.33</v>
      </c>
    </row>
    <row r="1682" spans="1:6">
      <c r="A1682" s="606">
        <v>90507</v>
      </c>
      <c r="B1682" s="607" t="s">
        <v>3144</v>
      </c>
      <c r="C1682" s="608" t="s">
        <v>1659</v>
      </c>
      <c r="D1682" s="599">
        <v>67.739999999999995</v>
      </c>
    </row>
    <row r="1683" spans="1:6">
      <c r="A1683" s="606">
        <v>90508</v>
      </c>
      <c r="B1683" s="607" t="s">
        <v>3145</v>
      </c>
      <c r="C1683" s="608" t="s">
        <v>1659</v>
      </c>
      <c r="D1683" s="599">
        <v>76.92</v>
      </c>
    </row>
    <row r="1684" spans="1:6">
      <c r="A1684" s="606">
        <v>90513</v>
      </c>
      <c r="B1684" s="607" t="s">
        <v>3079</v>
      </c>
      <c r="C1684" s="608" t="s">
        <v>1659</v>
      </c>
      <c r="D1684" s="599">
        <v>14.35</v>
      </c>
    </row>
    <row r="1685" spans="1:6">
      <c r="A1685" s="606">
        <v>90514</v>
      </c>
      <c r="B1685" s="607" t="s">
        <v>3080</v>
      </c>
      <c r="C1685" s="608" t="s">
        <v>1659</v>
      </c>
      <c r="D1685" s="599">
        <v>17.97</v>
      </c>
    </row>
    <row r="1686" spans="1:6">
      <c r="A1686" s="606">
        <v>90515</v>
      </c>
      <c r="B1686" s="607" t="s">
        <v>3081</v>
      </c>
      <c r="C1686" s="608" t="s">
        <v>1659</v>
      </c>
      <c r="D1686" s="599">
        <v>21.37</v>
      </c>
    </row>
    <row r="1687" spans="1:6">
      <c r="A1687" s="606">
        <v>90516</v>
      </c>
      <c r="B1687" s="607" t="s">
        <v>3082</v>
      </c>
      <c r="C1687" s="608" t="s">
        <v>1659</v>
      </c>
      <c r="D1687" s="599">
        <v>23.42</v>
      </c>
    </row>
    <row r="1688" spans="1:6">
      <c r="A1688" s="606">
        <v>90517</v>
      </c>
      <c r="B1688" s="607" t="s">
        <v>3083</v>
      </c>
      <c r="C1688" s="608" t="s">
        <v>1659</v>
      </c>
      <c r="D1688" s="599">
        <v>27.04</v>
      </c>
    </row>
    <row r="1689" spans="1:6">
      <c r="A1689" s="606">
        <v>90518</v>
      </c>
      <c r="B1689" s="607" t="s">
        <v>3084</v>
      </c>
      <c r="C1689" s="608" t="s">
        <v>1659</v>
      </c>
      <c r="D1689" s="599">
        <v>38.08</v>
      </c>
    </row>
    <row r="1690" spans="1:6">
      <c r="A1690" s="606">
        <v>90519</v>
      </c>
      <c r="B1690" s="607" t="s">
        <v>3085</v>
      </c>
      <c r="C1690" s="608" t="s">
        <v>1659</v>
      </c>
      <c r="D1690" s="599">
        <v>43.94</v>
      </c>
    </row>
    <row r="1691" spans="1:6">
      <c r="A1691" s="606">
        <v>90520</v>
      </c>
      <c r="B1691" s="607" t="s">
        <v>3086</v>
      </c>
      <c r="C1691" s="608" t="s">
        <v>1659</v>
      </c>
      <c r="D1691" s="599">
        <v>58.66</v>
      </c>
    </row>
    <row r="1692" spans="1:6">
      <c r="A1692" s="606">
        <v>90536</v>
      </c>
      <c r="B1692" s="607" t="s">
        <v>3087</v>
      </c>
      <c r="C1692" s="608" t="s">
        <v>1659</v>
      </c>
      <c r="D1692" s="599">
        <v>11.01</v>
      </c>
      <c r="E1692" s="610"/>
      <c r="F1692" s="610"/>
    </row>
    <row r="1693" spans="1:6">
      <c r="A1693" s="606">
        <v>90537</v>
      </c>
      <c r="B1693" s="607" t="s">
        <v>3088</v>
      </c>
      <c r="C1693" s="608" t="s">
        <v>1659</v>
      </c>
      <c r="D1693" s="599">
        <v>13.47</v>
      </c>
    </row>
    <row r="1694" spans="1:6">
      <c r="A1694" s="606">
        <v>90540</v>
      </c>
      <c r="B1694" s="607" t="s">
        <v>2629</v>
      </c>
      <c r="C1694" s="608" t="s">
        <v>1659</v>
      </c>
      <c r="D1694" s="599">
        <v>8.5399999999999991</v>
      </c>
    </row>
    <row r="1695" spans="1:6" s="610" customFormat="1">
      <c r="A1695" s="606">
        <v>90542</v>
      </c>
      <c r="B1695" s="607" t="s">
        <v>3146</v>
      </c>
      <c r="C1695" s="608" t="s">
        <v>1615</v>
      </c>
      <c r="D1695" s="599">
        <v>153.06</v>
      </c>
      <c r="E1695" s="581"/>
      <c r="F1695" s="581"/>
    </row>
    <row r="1696" spans="1:6">
      <c r="A1696" s="606">
        <v>90545</v>
      </c>
      <c r="B1696" s="607" t="s">
        <v>3147</v>
      </c>
      <c r="C1696" s="608" t="s">
        <v>1615</v>
      </c>
      <c r="D1696" s="599">
        <v>205.05</v>
      </c>
    </row>
    <row r="1697" spans="1:6">
      <c r="A1697" s="606">
        <v>90547</v>
      </c>
      <c r="B1697" s="607" t="s">
        <v>3148</v>
      </c>
      <c r="C1697" s="608" t="s">
        <v>1615</v>
      </c>
      <c r="D1697" s="599">
        <v>269.33</v>
      </c>
    </row>
    <row r="1698" spans="1:6" s="610" customFormat="1">
      <c r="A1698" s="606">
        <v>90551</v>
      </c>
      <c r="B1698" s="607" t="s">
        <v>3149</v>
      </c>
      <c r="C1698" s="608" t="s">
        <v>1615</v>
      </c>
      <c r="D1698" s="599">
        <v>354.49</v>
      </c>
      <c r="E1698" s="581"/>
      <c r="F1698" s="581"/>
    </row>
    <row r="1699" spans="1:6">
      <c r="A1699" s="606">
        <v>90554</v>
      </c>
      <c r="B1699" s="607" t="s">
        <v>3150</v>
      </c>
      <c r="C1699" s="608" t="s">
        <v>1615</v>
      </c>
      <c r="D1699" s="599">
        <v>567.85</v>
      </c>
    </row>
    <row r="1700" spans="1:6">
      <c r="A1700" s="606">
        <v>90561</v>
      </c>
      <c r="B1700" s="607" t="s">
        <v>3151</v>
      </c>
      <c r="C1700" s="608" t="s">
        <v>1615</v>
      </c>
      <c r="D1700" s="599">
        <v>567.85</v>
      </c>
    </row>
    <row r="1701" spans="1:6">
      <c r="A1701" s="606">
        <v>90569</v>
      </c>
      <c r="B1701" s="607" t="s">
        <v>3152</v>
      </c>
      <c r="C1701" s="608" t="s">
        <v>1615</v>
      </c>
      <c r="D1701" s="599">
        <v>61.2</v>
      </c>
    </row>
    <row r="1702" spans="1:6">
      <c r="A1702" s="606">
        <v>90570</v>
      </c>
      <c r="B1702" s="607" t="s">
        <v>3036</v>
      </c>
      <c r="C1702" s="608" t="s">
        <v>1615</v>
      </c>
      <c r="D1702" s="599">
        <v>45.41</v>
      </c>
    </row>
    <row r="1703" spans="1:6" s="610" customFormat="1">
      <c r="A1703" s="606">
        <v>90571</v>
      </c>
      <c r="B1703" s="607" t="s">
        <v>3037</v>
      </c>
      <c r="C1703" s="608" t="s">
        <v>1615</v>
      </c>
      <c r="D1703" s="599">
        <v>54.48</v>
      </c>
      <c r="E1703" s="581"/>
      <c r="F1703" s="581"/>
    </row>
    <row r="1704" spans="1:6">
      <c r="A1704" s="606">
        <v>90573</v>
      </c>
      <c r="B1704" s="607" t="s">
        <v>3153</v>
      </c>
      <c r="C1704" s="608" t="s">
        <v>1615</v>
      </c>
      <c r="D1704" s="599">
        <v>11.23</v>
      </c>
    </row>
    <row r="1705" spans="1:6">
      <c r="A1705" s="606">
        <v>90574</v>
      </c>
      <c r="B1705" s="607" t="s">
        <v>3038</v>
      </c>
      <c r="C1705" s="608" t="s">
        <v>1615</v>
      </c>
      <c r="D1705" s="599">
        <v>58.17</v>
      </c>
    </row>
    <row r="1706" spans="1:6">
      <c r="A1706" s="606">
        <v>90575</v>
      </c>
      <c r="B1706" s="607" t="s">
        <v>3039</v>
      </c>
      <c r="C1706" s="608" t="s">
        <v>1615</v>
      </c>
      <c r="D1706" s="599">
        <v>67.66</v>
      </c>
    </row>
    <row r="1707" spans="1:6">
      <c r="A1707" s="606">
        <v>90576</v>
      </c>
      <c r="B1707" s="607" t="s">
        <v>3154</v>
      </c>
      <c r="C1707" s="608" t="s">
        <v>1615</v>
      </c>
      <c r="D1707" s="599">
        <v>574.29999999999995</v>
      </c>
    </row>
    <row r="1708" spans="1:6">
      <c r="A1708" s="606">
        <v>90577</v>
      </c>
      <c r="B1708" s="607" t="s">
        <v>3155</v>
      </c>
      <c r="C1708" s="608" t="s">
        <v>1615</v>
      </c>
      <c r="D1708" s="599">
        <v>574.29999999999995</v>
      </c>
    </row>
    <row r="1709" spans="1:6">
      <c r="A1709" s="606">
        <v>90578</v>
      </c>
      <c r="B1709" s="607" t="s">
        <v>3156</v>
      </c>
      <c r="C1709" s="608" t="s">
        <v>1615</v>
      </c>
      <c r="D1709" s="599">
        <v>591.13</v>
      </c>
    </row>
    <row r="1710" spans="1:6">
      <c r="A1710" s="606">
        <v>90579</v>
      </c>
      <c r="B1710" s="607" t="s">
        <v>3157</v>
      </c>
      <c r="C1710" s="608" t="s">
        <v>1615</v>
      </c>
      <c r="D1710" s="599">
        <v>546.5</v>
      </c>
    </row>
    <row r="1711" spans="1:6">
      <c r="A1711" s="606">
        <v>90580</v>
      </c>
      <c r="B1711" s="607" t="s">
        <v>3158</v>
      </c>
      <c r="C1711" s="608" t="s">
        <v>1615</v>
      </c>
      <c r="D1711" s="599">
        <v>609.11</v>
      </c>
    </row>
    <row r="1712" spans="1:6">
      <c r="A1712" s="606">
        <v>90581</v>
      </c>
      <c r="B1712" s="607" t="s">
        <v>3159</v>
      </c>
      <c r="C1712" s="608" t="s">
        <v>1615</v>
      </c>
      <c r="D1712" s="599">
        <v>620.33000000000004</v>
      </c>
    </row>
    <row r="1713" spans="1:6">
      <c r="A1713" s="606">
        <v>90582</v>
      </c>
      <c r="B1713" s="607" t="s">
        <v>3160</v>
      </c>
      <c r="C1713" s="608" t="s">
        <v>1615</v>
      </c>
      <c r="D1713" s="599">
        <v>558.87</v>
      </c>
    </row>
    <row r="1714" spans="1:6" s="610" customFormat="1">
      <c r="A1714" s="606">
        <v>90583</v>
      </c>
      <c r="B1714" s="607" t="s">
        <v>3161</v>
      </c>
      <c r="C1714" s="608" t="s">
        <v>1615</v>
      </c>
      <c r="D1714" s="599">
        <v>574.83000000000004</v>
      </c>
      <c r="E1714" s="581"/>
      <c r="F1714" s="581"/>
    </row>
    <row r="1715" spans="1:6">
      <c r="A1715" s="606">
        <v>90584</v>
      </c>
      <c r="B1715" s="607" t="s">
        <v>3162</v>
      </c>
      <c r="C1715" s="608" t="s">
        <v>1615</v>
      </c>
      <c r="D1715" s="599">
        <v>577.95000000000005</v>
      </c>
    </row>
    <row r="1716" spans="1:6">
      <c r="A1716" s="606">
        <v>90585</v>
      </c>
      <c r="B1716" s="607" t="s">
        <v>3163</v>
      </c>
      <c r="C1716" s="608" t="s">
        <v>1615</v>
      </c>
      <c r="D1716" s="599">
        <v>286.74</v>
      </c>
    </row>
    <row r="1717" spans="1:6">
      <c r="A1717" s="606">
        <v>90586</v>
      </c>
      <c r="B1717" s="607" t="s">
        <v>3164</v>
      </c>
      <c r="C1717" s="608" t="s">
        <v>1615</v>
      </c>
      <c r="D1717" s="599">
        <v>303.57</v>
      </c>
    </row>
    <row r="1718" spans="1:6">
      <c r="A1718" s="606">
        <v>90587</v>
      </c>
      <c r="B1718" s="607" t="s">
        <v>3165</v>
      </c>
      <c r="C1718" s="608" t="s">
        <v>1615</v>
      </c>
      <c r="D1718" s="599">
        <v>319.3</v>
      </c>
    </row>
    <row r="1719" spans="1:6">
      <c r="A1719" s="606">
        <v>90588</v>
      </c>
      <c r="B1719" s="607" t="s">
        <v>3166</v>
      </c>
      <c r="C1719" s="608" t="s">
        <v>1615</v>
      </c>
      <c r="D1719" s="599">
        <v>330.52</v>
      </c>
    </row>
    <row r="1720" spans="1:6">
      <c r="A1720" s="606">
        <v>90589</v>
      </c>
      <c r="B1720" s="607" t="s">
        <v>3167</v>
      </c>
      <c r="C1720" s="608" t="s">
        <v>1615</v>
      </c>
      <c r="D1720" s="599">
        <v>430.06</v>
      </c>
    </row>
    <row r="1721" spans="1:6">
      <c r="A1721" s="606">
        <v>90590</v>
      </c>
      <c r="B1721" s="607" t="s">
        <v>3168</v>
      </c>
      <c r="C1721" s="608" t="s">
        <v>1615</v>
      </c>
      <c r="D1721" s="599">
        <v>281.73</v>
      </c>
    </row>
    <row r="1722" spans="1:6">
      <c r="A1722" s="606">
        <v>90591</v>
      </c>
      <c r="B1722" s="607" t="s">
        <v>3169</v>
      </c>
      <c r="C1722" s="608" t="s">
        <v>1615</v>
      </c>
      <c r="D1722" s="599">
        <v>298.56</v>
      </c>
    </row>
    <row r="1723" spans="1:6">
      <c r="A1723" s="606">
        <v>90592</v>
      </c>
      <c r="B1723" s="607" t="s">
        <v>3170</v>
      </c>
      <c r="C1723" s="608" t="s">
        <v>1615</v>
      </c>
      <c r="D1723" s="599">
        <v>241.54</v>
      </c>
    </row>
    <row r="1724" spans="1:6">
      <c r="A1724" s="606">
        <v>90593</v>
      </c>
      <c r="B1724" s="607" t="s">
        <v>3171</v>
      </c>
      <c r="C1724" s="608" t="s">
        <v>1615</v>
      </c>
      <c r="D1724" s="599">
        <v>263.64999999999998</v>
      </c>
    </row>
    <row r="1725" spans="1:6">
      <c r="A1725" s="606">
        <v>90594</v>
      </c>
      <c r="B1725" s="607" t="s">
        <v>3172</v>
      </c>
      <c r="C1725" s="608" t="s">
        <v>1615</v>
      </c>
      <c r="D1725" s="599">
        <v>275.31</v>
      </c>
    </row>
    <row r="1726" spans="1:6">
      <c r="A1726" s="606">
        <v>90595</v>
      </c>
      <c r="B1726" s="607" t="s">
        <v>3173</v>
      </c>
      <c r="C1726" s="608" t="s">
        <v>1615</v>
      </c>
      <c r="D1726" s="599">
        <v>291.08</v>
      </c>
    </row>
    <row r="1727" spans="1:6" s="610" customFormat="1">
      <c r="A1727" s="606">
        <v>90599</v>
      </c>
      <c r="B1727" s="607" t="s">
        <v>3174</v>
      </c>
      <c r="C1727" s="608" t="s">
        <v>1652</v>
      </c>
      <c r="D1727" s="599">
        <v>263.25</v>
      </c>
      <c r="E1727" s="581"/>
      <c r="F1727" s="581"/>
    </row>
    <row r="1728" spans="1:6">
      <c r="A1728" s="589">
        <v>906</v>
      </c>
      <c r="B1728" s="596" t="s">
        <v>3175</v>
      </c>
      <c r="C1728" s="588"/>
      <c r="D1728" s="599"/>
      <c r="F1728" s="585"/>
    </row>
    <row r="1729" spans="1:6">
      <c r="A1729" s="606">
        <v>90601</v>
      </c>
      <c r="B1729" s="607" t="s">
        <v>3176</v>
      </c>
      <c r="C1729" s="608" t="s">
        <v>1615</v>
      </c>
      <c r="D1729" s="599">
        <v>9.91</v>
      </c>
    </row>
    <row r="1730" spans="1:6">
      <c r="A1730" s="606">
        <v>90602</v>
      </c>
      <c r="B1730" s="607" t="s">
        <v>3177</v>
      </c>
      <c r="C1730" s="608" t="s">
        <v>1615</v>
      </c>
      <c r="D1730" s="599">
        <v>16.63</v>
      </c>
    </row>
    <row r="1731" spans="1:6" s="610" customFormat="1">
      <c r="A1731" s="606">
        <v>90605</v>
      </c>
      <c r="B1731" s="607" t="s">
        <v>3178</v>
      </c>
      <c r="C1731" s="608" t="s">
        <v>1615</v>
      </c>
      <c r="D1731" s="599">
        <v>12.36</v>
      </c>
      <c r="E1731" s="581"/>
      <c r="F1731" s="581"/>
    </row>
    <row r="1732" spans="1:6">
      <c r="A1732" s="606">
        <v>90607</v>
      </c>
      <c r="B1732" s="607" t="s">
        <v>3179</v>
      </c>
      <c r="C1732" s="608" t="s">
        <v>1615</v>
      </c>
      <c r="D1732" s="599">
        <v>19.36</v>
      </c>
    </row>
    <row r="1733" spans="1:6">
      <c r="A1733" s="606">
        <v>90609</v>
      </c>
      <c r="B1733" s="607" t="s">
        <v>3180</v>
      </c>
      <c r="C1733" s="608" t="s">
        <v>1615</v>
      </c>
      <c r="D1733" s="599">
        <v>29.9</v>
      </c>
    </row>
    <row r="1734" spans="1:6">
      <c r="A1734" s="606">
        <v>90612</v>
      </c>
      <c r="B1734" s="607" t="s">
        <v>3181</v>
      </c>
      <c r="C1734" s="608" t="s">
        <v>1615</v>
      </c>
      <c r="D1734" s="599">
        <v>46.39</v>
      </c>
    </row>
    <row r="1735" spans="1:6">
      <c r="A1735" s="606">
        <v>90615</v>
      </c>
      <c r="B1735" s="607" t="s">
        <v>3182</v>
      </c>
      <c r="C1735" s="608" t="s">
        <v>1615</v>
      </c>
      <c r="D1735" s="599">
        <v>66.47</v>
      </c>
    </row>
    <row r="1736" spans="1:6">
      <c r="A1736" s="606">
        <v>90619</v>
      </c>
      <c r="B1736" s="607" t="s">
        <v>3183</v>
      </c>
      <c r="C1736" s="608" t="s">
        <v>1615</v>
      </c>
      <c r="D1736" s="599">
        <v>89.72</v>
      </c>
      <c r="E1736" s="610"/>
      <c r="F1736" s="610"/>
    </row>
    <row r="1737" spans="1:6">
      <c r="A1737" s="606">
        <v>90625</v>
      </c>
      <c r="B1737" s="607" t="s">
        <v>3184</v>
      </c>
      <c r="C1737" s="608" t="s">
        <v>1615</v>
      </c>
      <c r="D1737" s="599">
        <v>100.91</v>
      </c>
    </row>
    <row r="1738" spans="1:6">
      <c r="A1738" s="606">
        <v>90626</v>
      </c>
      <c r="B1738" s="607" t="s">
        <v>3185</v>
      </c>
      <c r="C1738" s="608" t="s">
        <v>1615</v>
      </c>
      <c r="D1738" s="599">
        <v>209.3</v>
      </c>
    </row>
    <row r="1739" spans="1:6">
      <c r="A1739" s="606">
        <v>90627</v>
      </c>
      <c r="B1739" s="607" t="s">
        <v>3186</v>
      </c>
      <c r="C1739" s="608" t="s">
        <v>1615</v>
      </c>
      <c r="D1739" s="599">
        <v>342.23</v>
      </c>
      <c r="E1739" s="610"/>
      <c r="F1739" s="610"/>
    </row>
    <row r="1740" spans="1:6">
      <c r="A1740" s="606">
        <v>90628</v>
      </c>
      <c r="B1740" s="607" t="s">
        <v>3187</v>
      </c>
      <c r="C1740" s="608" t="s">
        <v>1615</v>
      </c>
      <c r="D1740" s="599">
        <v>513.25</v>
      </c>
    </row>
    <row r="1741" spans="1:6">
      <c r="A1741" s="606">
        <v>90629</v>
      </c>
      <c r="B1741" s="607" t="s">
        <v>3188</v>
      </c>
      <c r="C1741" s="608" t="s">
        <v>1615</v>
      </c>
      <c r="D1741" s="599">
        <v>322.36</v>
      </c>
    </row>
    <row r="1742" spans="1:6">
      <c r="A1742" s="606">
        <v>90635</v>
      </c>
      <c r="B1742" s="607" t="s">
        <v>3189</v>
      </c>
      <c r="C1742" s="608" t="s">
        <v>1615</v>
      </c>
      <c r="D1742" s="599">
        <v>44.72</v>
      </c>
    </row>
    <row r="1743" spans="1:6">
      <c r="A1743" s="606">
        <v>90636</v>
      </c>
      <c r="B1743" s="607" t="s">
        <v>3190</v>
      </c>
      <c r="C1743" s="608" t="s">
        <v>1615</v>
      </c>
      <c r="D1743" s="599">
        <v>63.32</v>
      </c>
    </row>
    <row r="1744" spans="1:6">
      <c r="A1744" s="606">
        <v>90637</v>
      </c>
      <c r="B1744" s="607" t="s">
        <v>3191</v>
      </c>
      <c r="C1744" s="608" t="s">
        <v>1615</v>
      </c>
      <c r="D1744" s="599">
        <v>82.21</v>
      </c>
      <c r="E1744" s="610"/>
      <c r="F1744" s="610"/>
    </row>
    <row r="1745" spans="1:6">
      <c r="A1745" s="606">
        <v>90638</v>
      </c>
      <c r="B1745" s="607" t="s">
        <v>3192</v>
      </c>
      <c r="C1745" s="608" t="s">
        <v>1615</v>
      </c>
      <c r="D1745" s="599">
        <v>179.19</v>
      </c>
    </row>
    <row r="1746" spans="1:6" s="610" customFormat="1">
      <c r="A1746" s="606">
        <v>90639</v>
      </c>
      <c r="B1746" s="607" t="s">
        <v>3193</v>
      </c>
      <c r="C1746" s="608" t="s">
        <v>1615</v>
      </c>
      <c r="D1746" s="599">
        <v>272</v>
      </c>
      <c r="E1746" s="581"/>
      <c r="F1746" s="581"/>
    </row>
    <row r="1747" spans="1:6">
      <c r="A1747" s="606">
        <v>90645</v>
      </c>
      <c r="B1747" s="607" t="s">
        <v>3194</v>
      </c>
      <c r="C1747" s="608" t="s">
        <v>1615</v>
      </c>
      <c r="D1747" s="599">
        <v>59.08</v>
      </c>
    </row>
    <row r="1748" spans="1:6">
      <c r="A1748" s="606">
        <v>90647</v>
      </c>
      <c r="B1748" s="607" t="s">
        <v>3195</v>
      </c>
      <c r="C1748" s="608" t="s">
        <v>1615</v>
      </c>
      <c r="D1748" s="599">
        <v>89.83</v>
      </c>
    </row>
    <row r="1749" spans="1:6">
      <c r="A1749" s="606">
        <v>90649</v>
      </c>
      <c r="B1749" s="607" t="s">
        <v>3196</v>
      </c>
      <c r="C1749" s="608" t="s">
        <v>1615</v>
      </c>
      <c r="D1749" s="599">
        <v>158.34</v>
      </c>
    </row>
    <row r="1750" spans="1:6" s="610" customFormat="1">
      <c r="A1750" s="606">
        <v>90699</v>
      </c>
      <c r="B1750" s="607" t="s">
        <v>3197</v>
      </c>
      <c r="C1750" s="608" t="s">
        <v>1652</v>
      </c>
      <c r="D1750" s="599">
        <v>263.25</v>
      </c>
      <c r="E1750" s="581"/>
      <c r="F1750" s="581"/>
    </row>
    <row r="1751" spans="1:6">
      <c r="A1751" s="589">
        <v>907</v>
      </c>
      <c r="B1751" s="596" t="s">
        <v>3198</v>
      </c>
      <c r="C1751" s="588"/>
      <c r="D1751" s="599"/>
      <c r="F1751" s="585"/>
    </row>
    <row r="1752" spans="1:6">
      <c r="A1752" s="606">
        <v>90704</v>
      </c>
      <c r="B1752" s="607" t="s">
        <v>3199</v>
      </c>
      <c r="C1752" s="608" t="s">
        <v>1659</v>
      </c>
      <c r="D1752" s="599">
        <v>2.04</v>
      </c>
    </row>
    <row r="1753" spans="1:6" s="610" customFormat="1">
      <c r="A1753" s="606">
        <v>90705</v>
      </c>
      <c r="B1753" s="607" t="s">
        <v>3051</v>
      </c>
      <c r="C1753" s="608" t="s">
        <v>1659</v>
      </c>
      <c r="D1753" s="599">
        <v>2.76</v>
      </c>
      <c r="E1753" s="581"/>
      <c r="F1753" s="581"/>
    </row>
    <row r="1754" spans="1:6">
      <c r="A1754" s="606">
        <v>90706</v>
      </c>
      <c r="B1754" s="607" t="s">
        <v>3052</v>
      </c>
      <c r="C1754" s="608" t="s">
        <v>1659</v>
      </c>
      <c r="D1754" s="599">
        <v>3.64</v>
      </c>
    </row>
    <row r="1755" spans="1:6">
      <c r="A1755" s="606">
        <v>90707</v>
      </c>
      <c r="B1755" s="607" t="s">
        <v>3053</v>
      </c>
      <c r="C1755" s="608" t="s">
        <v>1659</v>
      </c>
      <c r="D1755" s="599">
        <v>5.98</v>
      </c>
      <c r="E1755" s="610"/>
      <c r="F1755" s="610"/>
    </row>
    <row r="1756" spans="1:6">
      <c r="A1756" s="606">
        <v>90709</v>
      </c>
      <c r="B1756" s="607" t="s">
        <v>3200</v>
      </c>
      <c r="C1756" s="608" t="s">
        <v>1659</v>
      </c>
      <c r="D1756" s="599">
        <v>0.66</v>
      </c>
    </row>
    <row r="1757" spans="1:6">
      <c r="A1757" s="606">
        <v>90711</v>
      </c>
      <c r="B1757" s="607" t="s">
        <v>3201</v>
      </c>
      <c r="C1757" s="608" t="s">
        <v>1659</v>
      </c>
      <c r="D1757" s="599">
        <v>6.63</v>
      </c>
    </row>
    <row r="1758" spans="1:6">
      <c r="A1758" s="606">
        <v>90712</v>
      </c>
      <c r="B1758" s="607" t="s">
        <v>3054</v>
      </c>
      <c r="C1758" s="608" t="s">
        <v>1659</v>
      </c>
      <c r="D1758" s="599">
        <v>12.01</v>
      </c>
    </row>
    <row r="1759" spans="1:6">
      <c r="A1759" s="606">
        <v>90713</v>
      </c>
      <c r="B1759" s="607" t="s">
        <v>3055</v>
      </c>
      <c r="C1759" s="608" t="s">
        <v>1659</v>
      </c>
      <c r="D1759" s="599">
        <v>15.27</v>
      </c>
    </row>
    <row r="1760" spans="1:6">
      <c r="A1760" s="606">
        <v>90714</v>
      </c>
      <c r="B1760" s="607" t="s">
        <v>3056</v>
      </c>
      <c r="C1760" s="608" t="s">
        <v>1659</v>
      </c>
      <c r="D1760" s="599">
        <v>22.34</v>
      </c>
    </row>
    <row r="1761" spans="1:6">
      <c r="A1761" s="606">
        <v>90715</v>
      </c>
      <c r="B1761" s="607" t="s">
        <v>3057</v>
      </c>
      <c r="C1761" s="608" t="s">
        <v>1659</v>
      </c>
      <c r="D1761" s="599">
        <v>33.619999999999997</v>
      </c>
    </row>
    <row r="1762" spans="1:6">
      <c r="A1762" s="606">
        <v>90716</v>
      </c>
      <c r="B1762" s="607" t="s">
        <v>3058</v>
      </c>
      <c r="C1762" s="608" t="s">
        <v>1659</v>
      </c>
      <c r="D1762" s="599">
        <v>44.01</v>
      </c>
    </row>
    <row r="1763" spans="1:6">
      <c r="A1763" s="606">
        <v>90717</v>
      </c>
      <c r="B1763" s="607" t="s">
        <v>3059</v>
      </c>
      <c r="C1763" s="608" t="s">
        <v>1659</v>
      </c>
      <c r="D1763" s="599">
        <v>63.56</v>
      </c>
    </row>
    <row r="1764" spans="1:6" s="610" customFormat="1">
      <c r="A1764" s="606">
        <v>90718</v>
      </c>
      <c r="B1764" s="607" t="s">
        <v>3060</v>
      </c>
      <c r="C1764" s="608" t="s">
        <v>1659</v>
      </c>
      <c r="D1764" s="599">
        <v>77.11</v>
      </c>
      <c r="E1764" s="581"/>
      <c r="F1764" s="581"/>
    </row>
    <row r="1765" spans="1:6">
      <c r="A1765" s="606">
        <v>90719</v>
      </c>
      <c r="B1765" s="607" t="s">
        <v>3061</v>
      </c>
      <c r="C1765" s="608" t="s">
        <v>1659</v>
      </c>
      <c r="D1765" s="599">
        <v>92.95</v>
      </c>
    </row>
    <row r="1766" spans="1:6">
      <c r="A1766" s="606">
        <v>90720</v>
      </c>
      <c r="B1766" s="607" t="s">
        <v>3062</v>
      </c>
      <c r="C1766" s="608" t="s">
        <v>1659</v>
      </c>
      <c r="D1766" s="599">
        <v>117.03</v>
      </c>
    </row>
    <row r="1767" spans="1:6" s="610" customFormat="1">
      <c r="A1767" s="606">
        <v>90721</v>
      </c>
      <c r="B1767" s="607" t="s">
        <v>3063</v>
      </c>
      <c r="C1767" s="608" t="s">
        <v>1659</v>
      </c>
      <c r="D1767" s="599">
        <v>143.47</v>
      </c>
      <c r="E1767" s="581"/>
      <c r="F1767" s="581"/>
    </row>
    <row r="1768" spans="1:6">
      <c r="A1768" s="606">
        <v>90722</v>
      </c>
      <c r="B1768" s="607" t="s">
        <v>3064</v>
      </c>
      <c r="C1768" s="608" t="s">
        <v>1659</v>
      </c>
      <c r="D1768" s="599">
        <v>167.83</v>
      </c>
      <c r="E1768" s="610"/>
      <c r="F1768" s="610"/>
    </row>
    <row r="1769" spans="1:6">
      <c r="A1769" s="606">
        <v>90731</v>
      </c>
      <c r="B1769" s="607" t="s">
        <v>3202</v>
      </c>
      <c r="C1769" s="608" t="s">
        <v>1659</v>
      </c>
      <c r="D1769" s="599">
        <v>3.42</v>
      </c>
    </row>
    <row r="1770" spans="1:6">
      <c r="A1770" s="606">
        <v>90732</v>
      </c>
      <c r="B1770" s="607" t="s">
        <v>3065</v>
      </c>
      <c r="C1770" s="608" t="s">
        <v>1659</v>
      </c>
      <c r="D1770" s="599">
        <v>4.6900000000000004</v>
      </c>
    </row>
    <row r="1771" spans="1:6">
      <c r="A1771" s="606">
        <v>90733</v>
      </c>
      <c r="B1771" s="607" t="s">
        <v>3066</v>
      </c>
      <c r="C1771" s="608" t="s">
        <v>1659</v>
      </c>
      <c r="D1771" s="599">
        <v>6.92</v>
      </c>
    </row>
    <row r="1772" spans="1:6" s="610" customFormat="1">
      <c r="A1772" s="606">
        <v>90734</v>
      </c>
      <c r="B1772" s="607" t="s">
        <v>3067</v>
      </c>
      <c r="C1772" s="608" t="s">
        <v>1659</v>
      </c>
      <c r="D1772" s="599">
        <v>9.39</v>
      </c>
    </row>
    <row r="1773" spans="1:6">
      <c r="A1773" s="606">
        <v>90735</v>
      </c>
      <c r="B1773" s="607" t="s">
        <v>3068</v>
      </c>
      <c r="C1773" s="608" t="s">
        <v>1659</v>
      </c>
      <c r="D1773" s="599">
        <v>15.64</v>
      </c>
    </row>
    <row r="1774" spans="1:6">
      <c r="A1774" s="606">
        <v>90736</v>
      </c>
      <c r="B1774" s="607" t="s">
        <v>3069</v>
      </c>
      <c r="C1774" s="608" t="s">
        <v>1659</v>
      </c>
      <c r="D1774" s="599">
        <v>24.13</v>
      </c>
    </row>
    <row r="1775" spans="1:6">
      <c r="A1775" s="606">
        <v>90737</v>
      </c>
      <c r="B1775" s="607" t="s">
        <v>3070</v>
      </c>
      <c r="C1775" s="608" t="s">
        <v>1659</v>
      </c>
      <c r="D1775" s="599">
        <v>33.04</v>
      </c>
    </row>
    <row r="1776" spans="1:6">
      <c r="A1776" s="606">
        <v>90738</v>
      </c>
      <c r="B1776" s="607" t="s">
        <v>3071</v>
      </c>
      <c r="C1776" s="608" t="s">
        <v>1659</v>
      </c>
      <c r="D1776" s="599">
        <v>44.45</v>
      </c>
    </row>
    <row r="1777" spans="1:6">
      <c r="A1777" s="606">
        <v>90739</v>
      </c>
      <c r="B1777" s="607" t="s">
        <v>3072</v>
      </c>
      <c r="C1777" s="608" t="s">
        <v>1659</v>
      </c>
      <c r="D1777" s="599">
        <v>60.33</v>
      </c>
    </row>
    <row r="1778" spans="1:6" s="610" customFormat="1">
      <c r="A1778" s="606">
        <v>90740</v>
      </c>
      <c r="B1778" s="607" t="s">
        <v>3073</v>
      </c>
      <c r="C1778" s="608" t="s">
        <v>1659</v>
      </c>
      <c r="D1778" s="599">
        <v>79.13</v>
      </c>
      <c r="E1778" s="581"/>
      <c r="F1778" s="581"/>
    </row>
    <row r="1779" spans="1:6">
      <c r="A1779" s="606">
        <v>90741</v>
      </c>
      <c r="B1779" s="607" t="s">
        <v>3074</v>
      </c>
      <c r="C1779" s="608" t="s">
        <v>1659</v>
      </c>
      <c r="D1779" s="599">
        <v>101.77</v>
      </c>
    </row>
    <row r="1780" spans="1:6">
      <c r="A1780" s="606">
        <v>90742</v>
      </c>
      <c r="B1780" s="607" t="s">
        <v>3075</v>
      </c>
      <c r="C1780" s="608" t="s">
        <v>1659</v>
      </c>
      <c r="D1780" s="599">
        <v>122.31</v>
      </c>
    </row>
    <row r="1781" spans="1:6" s="610" customFormat="1">
      <c r="A1781" s="606">
        <v>90743</v>
      </c>
      <c r="B1781" s="607" t="s">
        <v>3076</v>
      </c>
      <c r="C1781" s="608" t="s">
        <v>1659</v>
      </c>
      <c r="D1781" s="599">
        <v>146.94999999999999</v>
      </c>
      <c r="E1781" s="581"/>
      <c r="F1781" s="581"/>
    </row>
    <row r="1782" spans="1:6">
      <c r="A1782" s="606">
        <v>90744</v>
      </c>
      <c r="B1782" s="607" t="s">
        <v>3077</v>
      </c>
      <c r="C1782" s="608" t="s">
        <v>1659</v>
      </c>
      <c r="D1782" s="599">
        <v>189.46</v>
      </c>
    </row>
    <row r="1783" spans="1:6">
      <c r="A1783" s="606">
        <v>90745</v>
      </c>
      <c r="B1783" s="607" t="s">
        <v>3203</v>
      </c>
      <c r="C1783" s="608" t="s">
        <v>1659</v>
      </c>
      <c r="D1783" s="599">
        <v>231.05</v>
      </c>
    </row>
    <row r="1784" spans="1:6">
      <c r="A1784" s="606">
        <v>90761</v>
      </c>
      <c r="B1784" s="607" t="s">
        <v>3204</v>
      </c>
      <c r="C1784" s="608" t="s">
        <v>1659</v>
      </c>
      <c r="D1784" s="599">
        <v>2.62</v>
      </c>
    </row>
    <row r="1785" spans="1:6">
      <c r="A1785" s="606">
        <v>90762</v>
      </c>
      <c r="B1785" s="607" t="s">
        <v>3205</v>
      </c>
      <c r="C1785" s="608" t="s">
        <v>1659</v>
      </c>
      <c r="D1785" s="599">
        <v>3.13</v>
      </c>
    </row>
    <row r="1786" spans="1:6">
      <c r="A1786" s="606">
        <v>90763</v>
      </c>
      <c r="B1786" s="607" t="s">
        <v>3206</v>
      </c>
      <c r="C1786" s="608" t="s">
        <v>1659</v>
      </c>
      <c r="D1786" s="599">
        <v>4.32</v>
      </c>
    </row>
    <row r="1787" spans="1:6">
      <c r="A1787" s="606">
        <v>90764</v>
      </c>
      <c r="B1787" s="607" t="s">
        <v>3207</v>
      </c>
      <c r="C1787" s="608" t="s">
        <v>1659</v>
      </c>
      <c r="D1787" s="599">
        <v>6.56</v>
      </c>
      <c r="E1787" s="610"/>
      <c r="F1787" s="610"/>
    </row>
    <row r="1788" spans="1:6">
      <c r="A1788" s="606">
        <v>90765</v>
      </c>
      <c r="B1788" s="607" t="s">
        <v>3208</v>
      </c>
      <c r="C1788" s="608" t="s">
        <v>1659</v>
      </c>
      <c r="D1788" s="599">
        <v>5.03</v>
      </c>
    </row>
    <row r="1789" spans="1:6">
      <c r="A1789" s="606">
        <v>90766</v>
      </c>
      <c r="B1789" s="607" t="s">
        <v>3209</v>
      </c>
      <c r="C1789" s="608" t="s">
        <v>1659</v>
      </c>
      <c r="D1789" s="599">
        <v>7.07</v>
      </c>
    </row>
    <row r="1790" spans="1:6" s="610" customFormat="1">
      <c r="A1790" s="606">
        <v>90767</v>
      </c>
      <c r="B1790" s="607" t="s">
        <v>3210</v>
      </c>
      <c r="C1790" s="608" t="s">
        <v>1659</v>
      </c>
      <c r="D1790" s="599">
        <v>9.2899999999999991</v>
      </c>
      <c r="E1790" s="581"/>
      <c r="F1790" s="581"/>
    </row>
    <row r="1791" spans="1:6">
      <c r="A1791" s="606">
        <v>90799</v>
      </c>
      <c r="B1791" s="607" t="s">
        <v>3211</v>
      </c>
      <c r="C1791" s="608" t="s">
        <v>1652</v>
      </c>
      <c r="D1791" s="599">
        <v>263.25</v>
      </c>
      <c r="E1791" s="610"/>
      <c r="F1791" s="610"/>
    </row>
    <row r="1792" spans="1:6" s="610" customFormat="1">
      <c r="A1792" s="589">
        <v>908</v>
      </c>
      <c r="B1792" s="596" t="s">
        <v>710</v>
      </c>
      <c r="C1792" s="588"/>
      <c r="D1792" s="599"/>
      <c r="E1792" s="581"/>
      <c r="F1792" s="585"/>
    </row>
    <row r="1793" spans="1:6">
      <c r="A1793" s="606">
        <v>90802</v>
      </c>
      <c r="B1793" s="607" t="s">
        <v>3212</v>
      </c>
      <c r="C1793" s="608" t="s">
        <v>1615</v>
      </c>
      <c r="D1793" s="599">
        <v>97.05</v>
      </c>
    </row>
    <row r="1794" spans="1:6">
      <c r="A1794" s="606">
        <v>90803</v>
      </c>
      <c r="B1794" s="607" t="s">
        <v>3213</v>
      </c>
      <c r="C1794" s="608" t="s">
        <v>1615</v>
      </c>
      <c r="D1794" s="599">
        <v>129.41</v>
      </c>
      <c r="E1794" s="610"/>
      <c r="F1794" s="610"/>
    </row>
    <row r="1795" spans="1:6">
      <c r="A1795" s="606">
        <v>90804</v>
      </c>
      <c r="B1795" s="607" t="s">
        <v>3214</v>
      </c>
      <c r="C1795" s="608" t="s">
        <v>1615</v>
      </c>
      <c r="D1795" s="599">
        <v>138.22</v>
      </c>
    </row>
    <row r="1796" spans="1:6" s="610" customFormat="1" ht="26.4">
      <c r="A1796" s="606">
        <v>90805</v>
      </c>
      <c r="B1796" s="607" t="s">
        <v>3215</v>
      </c>
      <c r="C1796" s="608" t="s">
        <v>1615</v>
      </c>
      <c r="D1796" s="599">
        <v>97.05</v>
      </c>
      <c r="E1796" s="581"/>
      <c r="F1796" s="581"/>
    </row>
    <row r="1797" spans="1:6">
      <c r="A1797" s="606">
        <v>90806</v>
      </c>
      <c r="B1797" s="607" t="s">
        <v>3216</v>
      </c>
      <c r="C1797" s="608" t="s">
        <v>1615</v>
      </c>
      <c r="D1797" s="599">
        <v>149.57</v>
      </c>
    </row>
    <row r="1798" spans="1:6">
      <c r="A1798" s="606">
        <v>90807</v>
      </c>
      <c r="B1798" s="607" t="s">
        <v>3217</v>
      </c>
      <c r="C1798" s="608" t="s">
        <v>1615</v>
      </c>
      <c r="D1798" s="599">
        <v>124.43</v>
      </c>
    </row>
    <row r="1799" spans="1:6">
      <c r="A1799" s="606">
        <v>90808</v>
      </c>
      <c r="B1799" s="607" t="s">
        <v>3218</v>
      </c>
      <c r="C1799" s="608" t="s">
        <v>1615</v>
      </c>
      <c r="D1799" s="599">
        <v>133.1</v>
      </c>
    </row>
    <row r="1800" spans="1:6" ht="26.4">
      <c r="A1800" s="606">
        <v>90809</v>
      </c>
      <c r="B1800" s="607" t="s">
        <v>3219</v>
      </c>
      <c r="C1800" s="608" t="s">
        <v>1615</v>
      </c>
      <c r="D1800" s="599">
        <v>101.53</v>
      </c>
    </row>
    <row r="1801" spans="1:6">
      <c r="A1801" s="606">
        <v>90813</v>
      </c>
      <c r="B1801" s="607" t="s">
        <v>3220</v>
      </c>
      <c r="C1801" s="608" t="s">
        <v>1615</v>
      </c>
      <c r="D1801" s="599">
        <v>107.48</v>
      </c>
    </row>
    <row r="1802" spans="1:6">
      <c r="A1802" s="606">
        <v>90814</v>
      </c>
      <c r="B1802" s="607" t="s">
        <v>3221</v>
      </c>
      <c r="C1802" s="608" t="s">
        <v>1615</v>
      </c>
      <c r="D1802" s="599">
        <v>108.83</v>
      </c>
    </row>
    <row r="1803" spans="1:6">
      <c r="A1803" s="606">
        <v>90816</v>
      </c>
      <c r="B1803" s="607" t="s">
        <v>3222</v>
      </c>
      <c r="C1803" s="608" t="s">
        <v>1615</v>
      </c>
      <c r="D1803" s="599">
        <v>128.79</v>
      </c>
    </row>
    <row r="1804" spans="1:6">
      <c r="A1804" s="606">
        <v>90829</v>
      </c>
      <c r="B1804" s="607" t="s">
        <v>3223</v>
      </c>
      <c r="C1804" s="608" t="s">
        <v>1615</v>
      </c>
      <c r="D1804" s="599">
        <v>55.32</v>
      </c>
    </row>
    <row r="1805" spans="1:6">
      <c r="A1805" s="606">
        <v>90830</v>
      </c>
      <c r="B1805" s="607" t="s">
        <v>3224</v>
      </c>
      <c r="C1805" s="608" t="s">
        <v>1615</v>
      </c>
      <c r="D1805" s="599">
        <v>87.47</v>
      </c>
      <c r="E1805" s="610"/>
      <c r="F1805" s="610"/>
    </row>
    <row r="1806" spans="1:6">
      <c r="A1806" s="606">
        <v>90832</v>
      </c>
      <c r="B1806" s="607" t="s">
        <v>3225</v>
      </c>
      <c r="C1806" s="608" t="s">
        <v>1615</v>
      </c>
      <c r="D1806" s="599">
        <v>96.53</v>
      </c>
    </row>
    <row r="1807" spans="1:6">
      <c r="A1807" s="606">
        <v>90833</v>
      </c>
      <c r="B1807" s="607" t="s">
        <v>3226</v>
      </c>
      <c r="C1807" s="608" t="s">
        <v>1615</v>
      </c>
      <c r="D1807" s="599">
        <v>92.75</v>
      </c>
    </row>
    <row r="1808" spans="1:6">
      <c r="A1808" s="606">
        <v>90834</v>
      </c>
      <c r="B1808" s="607" t="s">
        <v>3227</v>
      </c>
      <c r="C1808" s="608" t="s">
        <v>1615</v>
      </c>
      <c r="D1808" s="599">
        <v>114.44</v>
      </c>
      <c r="E1808" s="610"/>
      <c r="F1808" s="610"/>
    </row>
    <row r="1809" spans="1:6">
      <c r="A1809" s="606">
        <v>90836</v>
      </c>
      <c r="B1809" s="607" t="s">
        <v>3228</v>
      </c>
      <c r="C1809" s="608" t="s">
        <v>1615</v>
      </c>
      <c r="D1809" s="599">
        <v>64.02</v>
      </c>
    </row>
    <row r="1810" spans="1:6">
      <c r="A1810" s="606">
        <v>90838</v>
      </c>
      <c r="B1810" s="607" t="s">
        <v>3229</v>
      </c>
      <c r="C1810" s="608" t="s">
        <v>1615</v>
      </c>
      <c r="D1810" s="599">
        <v>98.69</v>
      </c>
    </row>
    <row r="1811" spans="1:6">
      <c r="A1811" s="606">
        <v>90839</v>
      </c>
      <c r="B1811" s="607" t="s">
        <v>3230</v>
      </c>
      <c r="C1811" s="608" t="s">
        <v>1615</v>
      </c>
      <c r="D1811" s="599">
        <v>120.62</v>
      </c>
    </row>
    <row r="1812" spans="1:6">
      <c r="A1812" s="606">
        <v>90841</v>
      </c>
      <c r="B1812" s="607" t="s">
        <v>3231</v>
      </c>
      <c r="C1812" s="608" t="s">
        <v>1615</v>
      </c>
      <c r="D1812" s="599">
        <v>82.55</v>
      </c>
    </row>
    <row r="1813" spans="1:6">
      <c r="A1813" s="606">
        <v>90843</v>
      </c>
      <c r="B1813" s="607" t="s">
        <v>3232</v>
      </c>
      <c r="C1813" s="608" t="s">
        <v>1615</v>
      </c>
      <c r="D1813" s="599">
        <v>91.9</v>
      </c>
      <c r="E1813" s="610"/>
      <c r="F1813" s="610"/>
    </row>
    <row r="1814" spans="1:6">
      <c r="A1814" s="606">
        <v>90845</v>
      </c>
      <c r="B1814" s="607" t="s">
        <v>3233</v>
      </c>
      <c r="C1814" s="608" t="s">
        <v>1615</v>
      </c>
      <c r="D1814" s="599">
        <v>58.82</v>
      </c>
    </row>
    <row r="1815" spans="1:6">
      <c r="A1815" s="606">
        <v>90847</v>
      </c>
      <c r="B1815" s="607" t="s">
        <v>3234</v>
      </c>
      <c r="C1815" s="608" t="s">
        <v>1615</v>
      </c>
      <c r="D1815" s="599">
        <v>56.09</v>
      </c>
    </row>
    <row r="1816" spans="1:6">
      <c r="A1816" s="606">
        <v>90848</v>
      </c>
      <c r="B1816" s="607" t="s">
        <v>3235</v>
      </c>
      <c r="C1816" s="608" t="s">
        <v>1615</v>
      </c>
      <c r="D1816" s="599">
        <v>152.43</v>
      </c>
    </row>
    <row r="1817" spans="1:6">
      <c r="A1817" s="606">
        <v>90850</v>
      </c>
      <c r="B1817" s="607" t="s">
        <v>3236</v>
      </c>
      <c r="C1817" s="608" t="s">
        <v>1615</v>
      </c>
      <c r="D1817" s="599">
        <v>90.28</v>
      </c>
    </row>
    <row r="1818" spans="1:6">
      <c r="A1818" s="606">
        <v>90852</v>
      </c>
      <c r="B1818" s="607" t="s">
        <v>3237</v>
      </c>
      <c r="C1818" s="608" t="s">
        <v>1615</v>
      </c>
      <c r="D1818" s="599">
        <v>86.67</v>
      </c>
    </row>
    <row r="1819" spans="1:6">
      <c r="A1819" s="606">
        <v>90854</v>
      </c>
      <c r="B1819" s="607" t="s">
        <v>3238</v>
      </c>
      <c r="C1819" s="608" t="s">
        <v>1615</v>
      </c>
      <c r="D1819" s="599">
        <v>156.76</v>
      </c>
      <c r="E1819" s="610"/>
      <c r="F1819" s="610"/>
    </row>
    <row r="1820" spans="1:6">
      <c r="A1820" s="606">
        <v>90855</v>
      </c>
      <c r="B1820" s="607" t="s">
        <v>3239</v>
      </c>
      <c r="C1820" s="608" t="s">
        <v>1615</v>
      </c>
      <c r="D1820" s="599">
        <v>207.93</v>
      </c>
    </row>
    <row r="1821" spans="1:6">
      <c r="A1821" s="606">
        <v>90856</v>
      </c>
      <c r="B1821" s="607" t="s">
        <v>3240</v>
      </c>
      <c r="C1821" s="608" t="s">
        <v>1615</v>
      </c>
      <c r="D1821" s="599">
        <v>123.81</v>
      </c>
    </row>
    <row r="1822" spans="1:6">
      <c r="A1822" s="606">
        <v>90857</v>
      </c>
      <c r="B1822" s="607" t="s">
        <v>3241</v>
      </c>
      <c r="C1822" s="608" t="s">
        <v>1615</v>
      </c>
      <c r="D1822" s="599">
        <v>65.86</v>
      </c>
      <c r="E1822" s="610"/>
      <c r="F1822" s="610"/>
    </row>
    <row r="1823" spans="1:6">
      <c r="A1823" s="606">
        <v>90858</v>
      </c>
      <c r="B1823" s="607" t="s">
        <v>3242</v>
      </c>
      <c r="C1823" s="608" t="s">
        <v>1615</v>
      </c>
      <c r="D1823" s="599">
        <v>64.44</v>
      </c>
    </row>
    <row r="1824" spans="1:6">
      <c r="A1824" s="606">
        <v>90860</v>
      </c>
      <c r="B1824" s="607" t="s">
        <v>3243</v>
      </c>
      <c r="C1824" s="608" t="s">
        <v>1615</v>
      </c>
      <c r="D1824" s="599">
        <v>96.59</v>
      </c>
    </row>
    <row r="1825" spans="1:6">
      <c r="A1825" s="606">
        <v>90862</v>
      </c>
      <c r="B1825" s="607" t="s">
        <v>3244</v>
      </c>
      <c r="C1825" s="608" t="s">
        <v>1615</v>
      </c>
      <c r="D1825" s="599">
        <v>105.64</v>
      </c>
    </row>
    <row r="1826" spans="1:6">
      <c r="A1826" s="606">
        <v>90863</v>
      </c>
      <c r="B1826" s="607" t="s">
        <v>3245</v>
      </c>
      <c r="C1826" s="608" t="s">
        <v>1615</v>
      </c>
      <c r="D1826" s="599">
        <v>101.86</v>
      </c>
    </row>
    <row r="1827" spans="1:6" s="610" customFormat="1">
      <c r="A1827" s="606">
        <v>90865</v>
      </c>
      <c r="B1827" s="607" t="s">
        <v>3246</v>
      </c>
      <c r="C1827" s="608" t="s">
        <v>1615</v>
      </c>
      <c r="D1827" s="599">
        <v>129.72999999999999</v>
      </c>
      <c r="E1827" s="581"/>
      <c r="F1827" s="581"/>
    </row>
    <row r="1828" spans="1:6">
      <c r="A1828" s="606">
        <v>90867</v>
      </c>
      <c r="B1828" s="607" t="s">
        <v>3247</v>
      </c>
      <c r="C1828" s="608" t="s">
        <v>1615</v>
      </c>
      <c r="D1828" s="599">
        <v>73.13</v>
      </c>
    </row>
    <row r="1829" spans="1:6">
      <c r="A1829" s="606">
        <v>90869</v>
      </c>
      <c r="B1829" s="607" t="s">
        <v>3248</v>
      </c>
      <c r="C1829" s="608" t="s">
        <v>1615</v>
      </c>
      <c r="D1829" s="599">
        <v>118.74</v>
      </c>
    </row>
    <row r="1830" spans="1:6">
      <c r="A1830" s="606">
        <v>90870</v>
      </c>
      <c r="B1830" s="607" t="s">
        <v>3249</v>
      </c>
      <c r="C1830" s="608" t="s">
        <v>1615</v>
      </c>
      <c r="D1830" s="599">
        <v>129.72999999999999</v>
      </c>
    </row>
    <row r="1831" spans="1:6">
      <c r="A1831" s="606">
        <v>90871</v>
      </c>
      <c r="B1831" s="607" t="s">
        <v>3250</v>
      </c>
      <c r="C1831" s="608" t="s">
        <v>1615</v>
      </c>
      <c r="D1831" s="599">
        <v>91.67</v>
      </c>
      <c r="E1831" s="610"/>
      <c r="F1831" s="610"/>
    </row>
    <row r="1832" spans="1:6">
      <c r="A1832" s="606">
        <v>90873</v>
      </c>
      <c r="B1832" s="607" t="s">
        <v>3251</v>
      </c>
      <c r="C1832" s="608" t="s">
        <v>1615</v>
      </c>
      <c r="D1832" s="599">
        <v>101.02</v>
      </c>
    </row>
    <row r="1833" spans="1:6">
      <c r="A1833" s="606">
        <v>90875</v>
      </c>
      <c r="B1833" s="607" t="s">
        <v>3252</v>
      </c>
      <c r="C1833" s="608" t="s">
        <v>1615</v>
      </c>
      <c r="D1833" s="599">
        <v>67.930000000000007</v>
      </c>
      <c r="E1833" s="610"/>
      <c r="F1833" s="610"/>
    </row>
    <row r="1834" spans="1:6">
      <c r="A1834" s="606">
        <v>90877</v>
      </c>
      <c r="B1834" s="607" t="s">
        <v>3253</v>
      </c>
      <c r="C1834" s="608" t="s">
        <v>1615</v>
      </c>
      <c r="D1834" s="599">
        <v>65.2</v>
      </c>
    </row>
    <row r="1835" spans="1:6">
      <c r="A1835" s="606">
        <v>90878</v>
      </c>
      <c r="B1835" s="607" t="s">
        <v>3254</v>
      </c>
      <c r="C1835" s="608" t="s">
        <v>1615</v>
      </c>
      <c r="D1835" s="599">
        <v>73.03</v>
      </c>
    </row>
    <row r="1836" spans="1:6">
      <c r="A1836" s="606">
        <v>90879</v>
      </c>
      <c r="B1836" s="607" t="s">
        <v>3255</v>
      </c>
      <c r="C1836" s="608" t="s">
        <v>1615</v>
      </c>
      <c r="D1836" s="599">
        <v>75.63</v>
      </c>
    </row>
    <row r="1837" spans="1:6">
      <c r="A1837" s="606">
        <v>90880</v>
      </c>
      <c r="B1837" s="607" t="s">
        <v>3256</v>
      </c>
      <c r="C1837" s="608" t="s">
        <v>1615</v>
      </c>
      <c r="D1837" s="599">
        <v>96.45</v>
      </c>
      <c r="E1837" s="610"/>
      <c r="F1837" s="610"/>
    </row>
    <row r="1838" spans="1:6">
      <c r="A1838" s="606">
        <v>90881</v>
      </c>
      <c r="B1838" s="607" t="s">
        <v>3257</v>
      </c>
      <c r="C1838" s="608" t="s">
        <v>1615</v>
      </c>
      <c r="D1838" s="599">
        <v>59.51</v>
      </c>
    </row>
    <row r="1839" spans="1:6">
      <c r="A1839" s="606">
        <v>90882</v>
      </c>
      <c r="B1839" s="607" t="s">
        <v>3258</v>
      </c>
      <c r="C1839" s="608" t="s">
        <v>1615</v>
      </c>
      <c r="D1839" s="599">
        <v>91.23</v>
      </c>
    </row>
    <row r="1840" spans="1:6">
      <c r="A1840" s="606">
        <v>90883</v>
      </c>
      <c r="B1840" s="607" t="s">
        <v>3259</v>
      </c>
      <c r="C1840" s="608" t="s">
        <v>1615</v>
      </c>
      <c r="D1840" s="599">
        <v>21.41</v>
      </c>
    </row>
    <row r="1841" spans="1:6">
      <c r="A1841" s="606">
        <v>90884</v>
      </c>
      <c r="B1841" s="607" t="s">
        <v>3260</v>
      </c>
      <c r="C1841" s="608" t="s">
        <v>1615</v>
      </c>
      <c r="D1841" s="599">
        <v>78.64</v>
      </c>
    </row>
    <row r="1842" spans="1:6">
      <c r="A1842" s="606">
        <v>90885</v>
      </c>
      <c r="B1842" s="607" t="s">
        <v>3261</v>
      </c>
      <c r="C1842" s="608" t="s">
        <v>1615</v>
      </c>
      <c r="D1842" s="599">
        <v>59.51</v>
      </c>
    </row>
    <row r="1843" spans="1:6">
      <c r="A1843" s="606">
        <v>90886</v>
      </c>
      <c r="B1843" s="607" t="s">
        <v>3262</v>
      </c>
      <c r="C1843" s="608" t="s">
        <v>1615</v>
      </c>
      <c r="D1843" s="599">
        <v>120.93</v>
      </c>
    </row>
    <row r="1844" spans="1:6">
      <c r="A1844" s="606">
        <v>90887</v>
      </c>
      <c r="B1844" s="607" t="s">
        <v>3263</v>
      </c>
      <c r="C1844" s="608" t="s">
        <v>1615</v>
      </c>
      <c r="D1844" s="599">
        <v>41.36</v>
      </c>
    </row>
    <row r="1845" spans="1:6">
      <c r="A1845" s="606">
        <v>90888</v>
      </c>
      <c r="B1845" s="607" t="s">
        <v>3264</v>
      </c>
      <c r="C1845" s="608" t="s">
        <v>1615</v>
      </c>
      <c r="D1845" s="599">
        <v>76.98</v>
      </c>
    </row>
    <row r="1846" spans="1:6">
      <c r="A1846" s="606">
        <v>90889</v>
      </c>
      <c r="B1846" s="607" t="s">
        <v>3265</v>
      </c>
      <c r="C1846" s="608" t="s">
        <v>1615</v>
      </c>
      <c r="D1846" s="599">
        <v>81.790000000000006</v>
      </c>
    </row>
    <row r="1847" spans="1:6">
      <c r="A1847" s="606">
        <v>90899</v>
      </c>
      <c r="B1847" s="607" t="s">
        <v>3266</v>
      </c>
      <c r="C1847" s="608" t="s">
        <v>1652</v>
      </c>
      <c r="D1847" s="599">
        <v>263.25</v>
      </c>
    </row>
    <row r="1848" spans="1:6">
      <c r="A1848" s="589">
        <v>909</v>
      </c>
      <c r="B1848" s="596" t="s">
        <v>3267</v>
      </c>
      <c r="C1848" s="588"/>
      <c r="D1848" s="599"/>
      <c r="F1848" s="585"/>
    </row>
    <row r="1849" spans="1:6">
      <c r="A1849" s="606">
        <v>90901</v>
      </c>
      <c r="B1849" s="607" t="s">
        <v>3268</v>
      </c>
      <c r="C1849" s="608" t="s">
        <v>1615</v>
      </c>
      <c r="D1849" s="599">
        <v>60.9</v>
      </c>
    </row>
    <row r="1850" spans="1:6">
      <c r="A1850" s="606">
        <v>90902</v>
      </c>
      <c r="B1850" s="607" t="s">
        <v>3269</v>
      </c>
      <c r="C1850" s="608" t="s">
        <v>1615</v>
      </c>
      <c r="D1850" s="599">
        <v>90.73</v>
      </c>
    </row>
    <row r="1851" spans="1:6">
      <c r="A1851" s="606">
        <v>90903</v>
      </c>
      <c r="B1851" s="607" t="s">
        <v>3270</v>
      </c>
      <c r="C1851" s="608" t="s">
        <v>1615</v>
      </c>
      <c r="D1851" s="599">
        <v>149.52000000000001</v>
      </c>
    </row>
    <row r="1852" spans="1:6">
      <c r="A1852" s="606">
        <v>90904</v>
      </c>
      <c r="B1852" s="607" t="s">
        <v>3271</v>
      </c>
      <c r="C1852" s="608" t="s">
        <v>1615</v>
      </c>
      <c r="D1852" s="599">
        <v>75.430000000000007</v>
      </c>
    </row>
    <row r="1853" spans="1:6">
      <c r="A1853" s="606">
        <v>90905</v>
      </c>
      <c r="B1853" s="607" t="s">
        <v>3272</v>
      </c>
      <c r="C1853" s="608" t="s">
        <v>1615</v>
      </c>
      <c r="D1853" s="599">
        <v>129.22</v>
      </c>
    </row>
    <row r="1854" spans="1:6">
      <c r="A1854" s="606">
        <v>90906</v>
      </c>
      <c r="B1854" s="607" t="s">
        <v>3273</v>
      </c>
      <c r="C1854" s="608" t="s">
        <v>1615</v>
      </c>
      <c r="D1854" s="599">
        <v>85.33</v>
      </c>
    </row>
    <row r="1855" spans="1:6">
      <c r="A1855" s="606">
        <v>90907</v>
      </c>
      <c r="B1855" s="607" t="s">
        <v>3274</v>
      </c>
      <c r="C1855" s="608" t="s">
        <v>1615</v>
      </c>
      <c r="D1855" s="599">
        <v>115.16</v>
      </c>
    </row>
    <row r="1856" spans="1:6">
      <c r="A1856" s="606">
        <v>90908</v>
      </c>
      <c r="B1856" s="607" t="s">
        <v>3275</v>
      </c>
      <c r="C1856" s="608" t="s">
        <v>1615</v>
      </c>
      <c r="D1856" s="599">
        <v>173.95</v>
      </c>
    </row>
    <row r="1857" spans="1:6">
      <c r="A1857" s="606">
        <v>90909</v>
      </c>
      <c r="B1857" s="607" t="s">
        <v>3276</v>
      </c>
      <c r="C1857" s="608" t="s">
        <v>1615</v>
      </c>
      <c r="D1857" s="599">
        <v>128.9</v>
      </c>
    </row>
    <row r="1858" spans="1:6">
      <c r="A1858" s="606">
        <v>90912</v>
      </c>
      <c r="B1858" s="607" t="s">
        <v>3277</v>
      </c>
      <c r="C1858" s="608" t="s">
        <v>1615</v>
      </c>
      <c r="D1858" s="599">
        <v>106.73</v>
      </c>
    </row>
    <row r="1859" spans="1:6">
      <c r="A1859" s="606">
        <v>90913</v>
      </c>
      <c r="B1859" s="607" t="s">
        <v>3278</v>
      </c>
      <c r="C1859" s="608" t="s">
        <v>1615</v>
      </c>
      <c r="D1859" s="599">
        <v>141.97999999999999</v>
      </c>
    </row>
    <row r="1860" spans="1:6">
      <c r="A1860" s="606">
        <v>90919</v>
      </c>
      <c r="B1860" s="607" t="s">
        <v>3279</v>
      </c>
      <c r="C1860" s="608" t="s">
        <v>2050</v>
      </c>
      <c r="D1860" s="599">
        <v>137.71</v>
      </c>
    </row>
    <row r="1861" spans="1:6">
      <c r="A1861" s="606">
        <v>90921</v>
      </c>
      <c r="B1861" s="607" t="s">
        <v>3280</v>
      </c>
      <c r="C1861" s="608" t="s">
        <v>2050</v>
      </c>
      <c r="D1861" s="599">
        <v>212.35</v>
      </c>
    </row>
    <row r="1862" spans="1:6">
      <c r="A1862" s="606">
        <v>90923</v>
      </c>
      <c r="B1862" s="607" t="s">
        <v>3281</v>
      </c>
      <c r="C1862" s="608" t="s">
        <v>1615</v>
      </c>
      <c r="D1862" s="599">
        <v>219.42</v>
      </c>
    </row>
    <row r="1863" spans="1:6">
      <c r="A1863" s="606">
        <v>90925</v>
      </c>
      <c r="B1863" s="607" t="s">
        <v>3282</v>
      </c>
      <c r="C1863" s="608" t="s">
        <v>1615</v>
      </c>
      <c r="D1863" s="599">
        <v>98.19</v>
      </c>
    </row>
    <row r="1864" spans="1:6">
      <c r="A1864" s="606">
        <v>90926</v>
      </c>
      <c r="B1864" s="607" t="s">
        <v>3283</v>
      </c>
      <c r="C1864" s="608" t="s">
        <v>1615</v>
      </c>
      <c r="D1864" s="599">
        <v>116.04</v>
      </c>
    </row>
    <row r="1865" spans="1:6">
      <c r="A1865" s="606">
        <v>90928</v>
      </c>
      <c r="B1865" s="607" t="s">
        <v>3284</v>
      </c>
      <c r="C1865" s="608" t="s">
        <v>1615</v>
      </c>
      <c r="D1865" s="599">
        <v>30.58</v>
      </c>
    </row>
    <row r="1866" spans="1:6">
      <c r="A1866" s="606">
        <v>90931</v>
      </c>
      <c r="B1866" s="607" t="s">
        <v>3285</v>
      </c>
      <c r="C1866" s="608" t="s">
        <v>1615</v>
      </c>
      <c r="D1866" s="599">
        <v>36.270000000000003</v>
      </c>
    </row>
    <row r="1867" spans="1:6">
      <c r="A1867" s="606">
        <v>90934</v>
      </c>
      <c r="B1867" s="607" t="s">
        <v>3286</v>
      </c>
      <c r="C1867" s="608" t="s">
        <v>1615</v>
      </c>
      <c r="D1867" s="599">
        <v>168.75</v>
      </c>
    </row>
    <row r="1868" spans="1:6">
      <c r="A1868" s="606">
        <v>90935</v>
      </c>
      <c r="B1868" s="607" t="s">
        <v>3287</v>
      </c>
      <c r="C1868" s="608" t="s">
        <v>1615</v>
      </c>
      <c r="D1868" s="599">
        <v>89.48</v>
      </c>
      <c r="E1868" s="610"/>
      <c r="F1868" s="610"/>
    </row>
    <row r="1869" spans="1:6">
      <c r="A1869" s="606">
        <v>90936</v>
      </c>
      <c r="B1869" s="607" t="s">
        <v>3288</v>
      </c>
      <c r="C1869" s="608" t="s">
        <v>1615</v>
      </c>
      <c r="D1869" s="599">
        <v>373.31</v>
      </c>
    </row>
    <row r="1870" spans="1:6">
      <c r="A1870" s="606">
        <v>90937</v>
      </c>
      <c r="B1870" s="607" t="s">
        <v>3289</v>
      </c>
      <c r="C1870" s="608" t="s">
        <v>1615</v>
      </c>
      <c r="D1870" s="599">
        <v>404.14</v>
      </c>
    </row>
    <row r="1871" spans="1:6">
      <c r="A1871" s="606">
        <v>90944</v>
      </c>
      <c r="B1871" s="607" t="s">
        <v>3290</v>
      </c>
      <c r="C1871" s="608" t="s">
        <v>1615</v>
      </c>
      <c r="D1871" s="599">
        <v>116.25</v>
      </c>
    </row>
    <row r="1872" spans="1:6">
      <c r="A1872" s="606">
        <v>90950</v>
      </c>
      <c r="B1872" s="607" t="s">
        <v>3291</v>
      </c>
      <c r="C1872" s="608" t="s">
        <v>1615</v>
      </c>
      <c r="D1872" s="599">
        <v>127.57</v>
      </c>
    </row>
    <row r="1873" spans="1:6">
      <c r="A1873" s="606">
        <v>90951</v>
      </c>
      <c r="B1873" s="607" t="s">
        <v>3292</v>
      </c>
      <c r="C1873" s="608" t="s">
        <v>1615</v>
      </c>
      <c r="D1873" s="599">
        <v>112.53</v>
      </c>
    </row>
    <row r="1874" spans="1:6">
      <c r="A1874" s="606">
        <v>90952</v>
      </c>
      <c r="B1874" s="607" t="s">
        <v>3293</v>
      </c>
      <c r="C1874" s="608" t="s">
        <v>1615</v>
      </c>
      <c r="D1874" s="599">
        <v>134.41999999999999</v>
      </c>
    </row>
    <row r="1875" spans="1:6">
      <c r="A1875" s="606">
        <v>90953</v>
      </c>
      <c r="B1875" s="607" t="s">
        <v>3294</v>
      </c>
      <c r="C1875" s="608" t="s">
        <v>1615</v>
      </c>
      <c r="D1875" s="599">
        <v>219.17</v>
      </c>
    </row>
    <row r="1876" spans="1:6">
      <c r="A1876" s="606">
        <v>90954</v>
      </c>
      <c r="B1876" s="607" t="s">
        <v>3295</v>
      </c>
      <c r="C1876" s="608" t="s">
        <v>1615</v>
      </c>
      <c r="D1876" s="599">
        <v>161.08000000000001</v>
      </c>
    </row>
    <row r="1877" spans="1:6">
      <c r="A1877" s="606">
        <v>90955</v>
      </c>
      <c r="B1877" s="607" t="s">
        <v>3296</v>
      </c>
      <c r="C1877" s="608" t="s">
        <v>1615</v>
      </c>
      <c r="D1877" s="599">
        <v>183.34</v>
      </c>
    </row>
    <row r="1878" spans="1:6">
      <c r="A1878" s="606">
        <v>90956</v>
      </c>
      <c r="B1878" s="607" t="s">
        <v>3297</v>
      </c>
      <c r="C1878" s="608" t="s">
        <v>1615</v>
      </c>
      <c r="D1878" s="599">
        <v>268.14999999999998</v>
      </c>
    </row>
    <row r="1879" spans="1:6">
      <c r="A1879" s="606">
        <v>90999</v>
      </c>
      <c r="B1879" s="607" t="s">
        <v>3298</v>
      </c>
      <c r="C1879" s="608" t="s">
        <v>1652</v>
      </c>
      <c r="D1879" s="599">
        <v>263.25</v>
      </c>
    </row>
    <row r="1880" spans="1:6">
      <c r="A1880" s="589">
        <v>910</v>
      </c>
      <c r="B1880" s="596" t="s">
        <v>764</v>
      </c>
      <c r="C1880" s="588"/>
      <c r="D1880" s="599"/>
      <c r="F1880" s="585"/>
    </row>
    <row r="1881" spans="1:6">
      <c r="A1881" s="606">
        <v>91002</v>
      </c>
      <c r="B1881" s="607" t="s">
        <v>3299</v>
      </c>
      <c r="C1881" s="608" t="s">
        <v>1615</v>
      </c>
      <c r="D1881" s="599">
        <v>93.74</v>
      </c>
    </row>
    <row r="1882" spans="1:6">
      <c r="A1882" s="606">
        <v>91003</v>
      </c>
      <c r="B1882" s="607" t="s">
        <v>3300</v>
      </c>
      <c r="C1882" s="608" t="s">
        <v>1615</v>
      </c>
      <c r="D1882" s="599">
        <v>114.87</v>
      </c>
    </row>
    <row r="1883" spans="1:6">
      <c r="A1883" s="606">
        <v>91011</v>
      </c>
      <c r="B1883" s="607" t="s">
        <v>3301</v>
      </c>
      <c r="C1883" s="608" t="s">
        <v>1615</v>
      </c>
      <c r="D1883" s="599">
        <v>116.97</v>
      </c>
    </row>
    <row r="1884" spans="1:6">
      <c r="A1884" s="606">
        <v>91013</v>
      </c>
      <c r="B1884" s="607" t="s">
        <v>3302</v>
      </c>
      <c r="C1884" s="608" t="s">
        <v>1615</v>
      </c>
      <c r="D1884" s="599">
        <v>98.74</v>
      </c>
    </row>
    <row r="1885" spans="1:6">
      <c r="A1885" s="606">
        <v>91021</v>
      </c>
      <c r="B1885" s="607" t="s">
        <v>3303</v>
      </c>
      <c r="C1885" s="608" t="s">
        <v>1615</v>
      </c>
      <c r="D1885" s="599">
        <v>196.47</v>
      </c>
    </row>
    <row r="1886" spans="1:6">
      <c r="A1886" s="606">
        <v>91023</v>
      </c>
      <c r="B1886" s="607" t="s">
        <v>3304</v>
      </c>
      <c r="C1886" s="608" t="s">
        <v>1615</v>
      </c>
      <c r="D1886" s="599">
        <v>182.81</v>
      </c>
    </row>
    <row r="1887" spans="1:6">
      <c r="A1887" s="606">
        <v>91024</v>
      </c>
      <c r="B1887" s="607" t="s">
        <v>3305</v>
      </c>
      <c r="C1887" s="608" t="s">
        <v>1615</v>
      </c>
      <c r="D1887" s="599">
        <v>184.33</v>
      </c>
    </row>
    <row r="1888" spans="1:6">
      <c r="A1888" s="606">
        <v>91099</v>
      </c>
      <c r="B1888" s="607" t="s">
        <v>3306</v>
      </c>
      <c r="C1888" s="608" t="s">
        <v>1652</v>
      </c>
      <c r="D1888" s="599">
        <v>263.25</v>
      </c>
    </row>
    <row r="1889" spans="1:6">
      <c r="A1889" s="589">
        <v>911</v>
      </c>
      <c r="B1889" s="596" t="s">
        <v>3307</v>
      </c>
      <c r="C1889" s="588"/>
      <c r="D1889" s="599"/>
      <c r="F1889" s="585"/>
    </row>
    <row r="1890" spans="1:6">
      <c r="A1890" s="606">
        <v>91101</v>
      </c>
      <c r="B1890" s="607" t="s">
        <v>3308</v>
      </c>
      <c r="C1890" s="608" t="s">
        <v>1615</v>
      </c>
      <c r="D1890" s="599">
        <v>118.03</v>
      </c>
    </row>
    <row r="1891" spans="1:6">
      <c r="A1891" s="606">
        <v>91102</v>
      </c>
      <c r="B1891" s="607" t="s">
        <v>3309</v>
      </c>
      <c r="C1891" s="608" t="s">
        <v>1615</v>
      </c>
      <c r="D1891" s="599">
        <v>118.28</v>
      </c>
    </row>
    <row r="1892" spans="1:6">
      <c r="A1892" s="606">
        <v>91105</v>
      </c>
      <c r="B1892" s="607" t="s">
        <v>3310</v>
      </c>
      <c r="C1892" s="608" t="s">
        <v>1615</v>
      </c>
      <c r="D1892" s="599">
        <v>29.09</v>
      </c>
    </row>
    <row r="1893" spans="1:6">
      <c r="A1893" s="606">
        <v>91106</v>
      </c>
      <c r="B1893" s="607" t="s">
        <v>3311</v>
      </c>
      <c r="C1893" s="608" t="s">
        <v>1615</v>
      </c>
      <c r="D1893" s="599">
        <v>34.25</v>
      </c>
    </row>
    <row r="1894" spans="1:6">
      <c r="A1894" s="606">
        <v>91110</v>
      </c>
      <c r="B1894" s="607" t="s">
        <v>3312</v>
      </c>
      <c r="C1894" s="608" t="s">
        <v>1615</v>
      </c>
      <c r="D1894" s="599">
        <v>301.8</v>
      </c>
    </row>
    <row r="1895" spans="1:6">
      <c r="A1895" s="606">
        <v>91111</v>
      </c>
      <c r="B1895" s="607" t="s">
        <v>3313</v>
      </c>
      <c r="C1895" s="608" t="s">
        <v>1615</v>
      </c>
      <c r="D1895" s="599">
        <v>290.8</v>
      </c>
    </row>
    <row r="1896" spans="1:6">
      <c r="A1896" s="606">
        <v>91112</v>
      </c>
      <c r="B1896" s="607" t="s">
        <v>3314</v>
      </c>
      <c r="C1896" s="608" t="s">
        <v>1615</v>
      </c>
      <c r="D1896" s="599">
        <v>305.67</v>
      </c>
    </row>
    <row r="1897" spans="1:6">
      <c r="A1897" s="606">
        <v>91121</v>
      </c>
      <c r="B1897" s="607" t="s">
        <v>3315</v>
      </c>
      <c r="C1897" s="608" t="s">
        <v>1615</v>
      </c>
      <c r="D1897" s="599">
        <v>171.11</v>
      </c>
    </row>
    <row r="1898" spans="1:6">
      <c r="A1898" s="606">
        <v>91126</v>
      </c>
      <c r="B1898" s="607" t="s">
        <v>3316</v>
      </c>
      <c r="C1898" s="608" t="s">
        <v>1615</v>
      </c>
      <c r="D1898" s="599">
        <v>1756.16</v>
      </c>
    </row>
    <row r="1899" spans="1:6">
      <c r="A1899" s="606">
        <v>91128</v>
      </c>
      <c r="B1899" s="607" t="s">
        <v>3317</v>
      </c>
      <c r="C1899" s="608" t="s">
        <v>1615</v>
      </c>
      <c r="D1899" s="599">
        <v>794.63</v>
      </c>
    </row>
    <row r="1900" spans="1:6">
      <c r="A1900" s="606">
        <v>91135</v>
      </c>
      <c r="B1900" s="607" t="s">
        <v>3318</v>
      </c>
      <c r="C1900" s="608" t="s">
        <v>1615</v>
      </c>
      <c r="D1900" s="599">
        <v>162.87</v>
      </c>
    </row>
    <row r="1901" spans="1:6">
      <c r="A1901" s="606">
        <v>91138</v>
      </c>
      <c r="B1901" s="607" t="s">
        <v>3319</v>
      </c>
      <c r="C1901" s="608" t="s">
        <v>1615</v>
      </c>
      <c r="D1901" s="599">
        <v>1718.21</v>
      </c>
    </row>
    <row r="1902" spans="1:6">
      <c r="A1902" s="606">
        <v>91160</v>
      </c>
      <c r="B1902" s="607" t="s">
        <v>3320</v>
      </c>
      <c r="C1902" s="608" t="s">
        <v>1615</v>
      </c>
      <c r="D1902" s="599">
        <v>960.56</v>
      </c>
    </row>
    <row r="1903" spans="1:6">
      <c r="A1903" s="606">
        <v>91168</v>
      </c>
      <c r="B1903" s="607" t="s">
        <v>3321</v>
      </c>
      <c r="C1903" s="608" t="s">
        <v>1615</v>
      </c>
      <c r="D1903" s="599">
        <v>1401.27</v>
      </c>
    </row>
    <row r="1904" spans="1:6">
      <c r="A1904" s="606">
        <v>91170</v>
      </c>
      <c r="B1904" s="607" t="s">
        <v>3322</v>
      </c>
      <c r="C1904" s="608" t="s">
        <v>1615</v>
      </c>
      <c r="D1904" s="599">
        <v>1665.43</v>
      </c>
    </row>
    <row r="1905" spans="1:6">
      <c r="A1905" s="606">
        <v>91172</v>
      </c>
      <c r="B1905" s="607" t="s">
        <v>3323</v>
      </c>
      <c r="C1905" s="608" t="s">
        <v>1615</v>
      </c>
      <c r="D1905" s="599">
        <v>250.6</v>
      </c>
    </row>
    <row r="1906" spans="1:6">
      <c r="A1906" s="606">
        <v>91173</v>
      </c>
      <c r="B1906" s="607" t="s">
        <v>3324</v>
      </c>
      <c r="C1906" s="608" t="s">
        <v>1615</v>
      </c>
      <c r="D1906" s="599">
        <v>315.55</v>
      </c>
    </row>
    <row r="1907" spans="1:6">
      <c r="A1907" s="606">
        <v>91199</v>
      </c>
      <c r="B1907" s="607" t="s">
        <v>3298</v>
      </c>
      <c r="C1907" s="608" t="s">
        <v>1652</v>
      </c>
      <c r="D1907" s="599">
        <v>263.25</v>
      </c>
    </row>
    <row r="1908" spans="1:6">
      <c r="A1908" s="589">
        <v>912</v>
      </c>
      <c r="B1908" s="596" t="s">
        <v>3325</v>
      </c>
      <c r="C1908" s="588"/>
      <c r="D1908" s="599"/>
      <c r="F1908" s="585"/>
    </row>
    <row r="1909" spans="1:6">
      <c r="A1909" s="606">
        <v>91299</v>
      </c>
      <c r="B1909" s="607" t="s">
        <v>3326</v>
      </c>
      <c r="C1909" s="608" t="s">
        <v>1652</v>
      </c>
      <c r="D1909" s="599">
        <v>263.25</v>
      </c>
    </row>
    <row r="1910" spans="1:6">
      <c r="A1910" s="589">
        <v>913</v>
      </c>
      <c r="B1910" s="596" t="s">
        <v>3327</v>
      </c>
      <c r="C1910" s="588"/>
      <c r="D1910" s="599"/>
      <c r="F1910" s="585"/>
    </row>
    <row r="1911" spans="1:6">
      <c r="A1911" s="606">
        <v>91312</v>
      </c>
      <c r="B1911" s="607" t="s">
        <v>3328</v>
      </c>
      <c r="C1911" s="608" t="s">
        <v>1615</v>
      </c>
      <c r="D1911" s="599">
        <v>459.43</v>
      </c>
    </row>
    <row r="1912" spans="1:6">
      <c r="A1912" s="606">
        <v>91313</v>
      </c>
      <c r="B1912" s="607" t="s">
        <v>3329</v>
      </c>
      <c r="C1912" s="608" t="s">
        <v>1615</v>
      </c>
      <c r="D1912" s="599">
        <v>580.39</v>
      </c>
    </row>
    <row r="1913" spans="1:6">
      <c r="A1913" s="606">
        <v>91315</v>
      </c>
      <c r="B1913" s="607" t="s">
        <v>3330</v>
      </c>
      <c r="C1913" s="608" t="s">
        <v>1659</v>
      </c>
      <c r="D1913" s="599">
        <v>25.13</v>
      </c>
      <c r="F1913" s="581">
        <f>7/8</f>
        <v>0.875</v>
      </c>
    </row>
    <row r="1914" spans="1:6">
      <c r="A1914" s="606">
        <v>91316</v>
      </c>
      <c r="B1914" s="607" t="s">
        <v>3331</v>
      </c>
      <c r="C1914" s="608" t="s">
        <v>1659</v>
      </c>
      <c r="D1914" s="599">
        <v>25.29</v>
      </c>
      <c r="F1914" s="581">
        <f>3/4</f>
        <v>0.75</v>
      </c>
    </row>
    <row r="1915" spans="1:6">
      <c r="A1915" s="606">
        <v>91318</v>
      </c>
      <c r="B1915" s="607" t="s">
        <v>3332</v>
      </c>
      <c r="C1915" s="608" t="s">
        <v>1659</v>
      </c>
      <c r="D1915" s="599">
        <v>19.93</v>
      </c>
    </row>
    <row r="1916" spans="1:6">
      <c r="A1916" s="606">
        <v>91319</v>
      </c>
      <c r="B1916" s="607" t="s">
        <v>3333</v>
      </c>
      <c r="C1916" s="608" t="s">
        <v>1659</v>
      </c>
      <c r="D1916" s="599">
        <v>15.32</v>
      </c>
    </row>
    <row r="1917" spans="1:6">
      <c r="A1917" s="606">
        <v>91320</v>
      </c>
      <c r="B1917" s="607" t="s">
        <v>3334</v>
      </c>
      <c r="C1917" s="608" t="s">
        <v>1659</v>
      </c>
      <c r="D1917" s="599">
        <v>48.55</v>
      </c>
    </row>
    <row r="1918" spans="1:6">
      <c r="A1918" s="606">
        <v>91321</v>
      </c>
      <c r="B1918" s="607" t="s">
        <v>3335</v>
      </c>
      <c r="C1918" s="608" t="s">
        <v>1659</v>
      </c>
      <c r="D1918" s="599">
        <v>73.53</v>
      </c>
    </row>
    <row r="1919" spans="1:6">
      <c r="A1919" s="606">
        <v>91322</v>
      </c>
      <c r="B1919" s="607" t="s">
        <v>3336</v>
      </c>
      <c r="C1919" s="608" t="s">
        <v>1659</v>
      </c>
      <c r="D1919" s="599">
        <v>60.53</v>
      </c>
    </row>
    <row r="1920" spans="1:6">
      <c r="A1920" s="606">
        <v>91323</v>
      </c>
      <c r="B1920" s="607" t="s">
        <v>3337</v>
      </c>
      <c r="C1920" s="608" t="s">
        <v>1659</v>
      </c>
      <c r="D1920" s="599">
        <v>33.18</v>
      </c>
    </row>
    <row r="1921" spans="1:6">
      <c r="A1921" s="606">
        <v>91326</v>
      </c>
      <c r="B1921" s="607" t="s">
        <v>3338</v>
      </c>
      <c r="C1921" s="608" t="s">
        <v>1615</v>
      </c>
      <c r="D1921" s="599">
        <v>351.91</v>
      </c>
    </row>
    <row r="1922" spans="1:6">
      <c r="A1922" s="606">
        <v>91327</v>
      </c>
      <c r="B1922" s="607" t="s">
        <v>3339</v>
      </c>
      <c r="C1922" s="608" t="s">
        <v>1615</v>
      </c>
      <c r="D1922" s="599">
        <v>115.45</v>
      </c>
    </row>
    <row r="1923" spans="1:6">
      <c r="A1923" s="606">
        <v>91331</v>
      </c>
      <c r="B1923" s="607" t="s">
        <v>3340</v>
      </c>
      <c r="C1923" s="608" t="s">
        <v>1615</v>
      </c>
      <c r="D1923" s="599">
        <v>43.5</v>
      </c>
    </row>
    <row r="1924" spans="1:6">
      <c r="A1924" s="606">
        <v>91332</v>
      </c>
      <c r="B1924" s="607" t="s">
        <v>3341</v>
      </c>
      <c r="C1924" s="608" t="s">
        <v>1615</v>
      </c>
      <c r="D1924" s="599">
        <v>20.58</v>
      </c>
    </row>
    <row r="1925" spans="1:6">
      <c r="A1925" s="606">
        <v>91333</v>
      </c>
      <c r="B1925" s="607" t="s">
        <v>3342</v>
      </c>
      <c r="C1925" s="608" t="s">
        <v>1615</v>
      </c>
      <c r="D1925" s="599">
        <v>20.73</v>
      </c>
    </row>
    <row r="1926" spans="1:6">
      <c r="A1926" s="606">
        <v>91334</v>
      </c>
      <c r="B1926" s="607" t="s">
        <v>3343</v>
      </c>
      <c r="C1926" s="608" t="s">
        <v>1615</v>
      </c>
      <c r="D1926" s="599">
        <v>22.25</v>
      </c>
    </row>
    <row r="1927" spans="1:6">
      <c r="A1927" s="606">
        <v>91399</v>
      </c>
      <c r="B1927" s="607" t="s">
        <v>3344</v>
      </c>
      <c r="C1927" s="608" t="s">
        <v>1652</v>
      </c>
      <c r="D1927" s="599">
        <v>263.25</v>
      </c>
    </row>
    <row r="1928" spans="1:6">
      <c r="A1928" s="589">
        <v>950</v>
      </c>
      <c r="B1928" s="596" t="s">
        <v>3345</v>
      </c>
      <c r="C1928" s="588"/>
      <c r="D1928" s="599"/>
      <c r="F1928" s="585"/>
    </row>
    <row r="1929" spans="1:6">
      <c r="A1929" s="606">
        <v>95001</v>
      </c>
      <c r="B1929" s="607" t="s">
        <v>3346</v>
      </c>
      <c r="C1929" s="608" t="s">
        <v>3347</v>
      </c>
      <c r="D1929" s="599">
        <v>0.35</v>
      </c>
    </row>
    <row r="1930" spans="1:6">
      <c r="A1930" s="606">
        <v>95003</v>
      </c>
      <c r="B1930" s="607" t="s">
        <v>3348</v>
      </c>
      <c r="C1930" s="608" t="s">
        <v>1615</v>
      </c>
      <c r="D1930" s="599">
        <v>3.12</v>
      </c>
    </row>
    <row r="1931" spans="1:6">
      <c r="A1931" s="606">
        <v>95004</v>
      </c>
      <c r="B1931" s="607" t="s">
        <v>3349</v>
      </c>
      <c r="C1931" s="608" t="s">
        <v>1615</v>
      </c>
      <c r="D1931" s="599">
        <v>8.32</v>
      </c>
    </row>
    <row r="1932" spans="1:6">
      <c r="A1932" s="606">
        <v>95005</v>
      </c>
      <c r="B1932" s="607" t="s">
        <v>3350</v>
      </c>
      <c r="C1932" s="608" t="s">
        <v>1615</v>
      </c>
      <c r="D1932" s="599">
        <v>6.24</v>
      </c>
    </row>
    <row r="1933" spans="1:6">
      <c r="A1933" s="606">
        <v>95007</v>
      </c>
      <c r="B1933" s="607" t="s">
        <v>3351</v>
      </c>
      <c r="C1933" s="608" t="s">
        <v>1659</v>
      </c>
      <c r="D1933" s="599">
        <v>5.2</v>
      </c>
    </row>
    <row r="1934" spans="1:6">
      <c r="A1934" s="606">
        <v>95008</v>
      </c>
      <c r="B1934" s="607" t="s">
        <v>3352</v>
      </c>
      <c r="C1934" s="608" t="s">
        <v>1615</v>
      </c>
      <c r="D1934" s="599">
        <v>0.88</v>
      </c>
    </row>
    <row r="1935" spans="1:6">
      <c r="A1935" s="606">
        <v>95009</v>
      </c>
      <c r="B1935" s="607" t="s">
        <v>3353</v>
      </c>
      <c r="C1935" s="608" t="s">
        <v>1615</v>
      </c>
      <c r="D1935" s="599">
        <v>5.2</v>
      </c>
    </row>
    <row r="1936" spans="1:6">
      <c r="A1936" s="606">
        <v>95011</v>
      </c>
      <c r="B1936" s="607" t="s">
        <v>3354</v>
      </c>
      <c r="C1936" s="608" t="s">
        <v>1659</v>
      </c>
      <c r="D1936" s="599">
        <v>4.16</v>
      </c>
    </row>
    <row r="1937" spans="1:4">
      <c r="A1937" s="606">
        <v>95013</v>
      </c>
      <c r="B1937" s="607" t="s">
        <v>3355</v>
      </c>
      <c r="C1937" s="608" t="s">
        <v>1615</v>
      </c>
      <c r="D1937" s="599">
        <v>44.48</v>
      </c>
    </row>
    <row r="1938" spans="1:4">
      <c r="A1938" s="606">
        <v>95014</v>
      </c>
      <c r="B1938" s="607" t="s">
        <v>3356</v>
      </c>
      <c r="C1938" s="608" t="s">
        <v>1615</v>
      </c>
      <c r="D1938" s="599">
        <v>29.65</v>
      </c>
    </row>
    <row r="1939" spans="1:4">
      <c r="A1939" s="606">
        <v>95016</v>
      </c>
      <c r="B1939" s="607" t="s">
        <v>3357</v>
      </c>
      <c r="C1939" s="608" t="s">
        <v>1659</v>
      </c>
      <c r="D1939" s="599">
        <v>14.82</v>
      </c>
    </row>
    <row r="1940" spans="1:4">
      <c r="A1940" s="606">
        <v>95018</v>
      </c>
      <c r="B1940" s="607" t="s">
        <v>3358</v>
      </c>
      <c r="C1940" s="608" t="s">
        <v>1615</v>
      </c>
      <c r="D1940" s="599">
        <v>59.3</v>
      </c>
    </row>
    <row r="1941" spans="1:4">
      <c r="A1941" s="606">
        <v>95020</v>
      </c>
      <c r="B1941" s="607" t="s">
        <v>3359</v>
      </c>
      <c r="C1941" s="608" t="s">
        <v>1615</v>
      </c>
      <c r="D1941" s="599">
        <v>13.52</v>
      </c>
    </row>
    <row r="1942" spans="1:4">
      <c r="A1942" s="606">
        <v>95022</v>
      </c>
      <c r="B1942" s="607" t="s">
        <v>3360</v>
      </c>
      <c r="C1942" s="608" t="s">
        <v>1615</v>
      </c>
      <c r="D1942" s="599">
        <v>76.400000000000006</v>
      </c>
    </row>
    <row r="1943" spans="1:4" ht="26.4">
      <c r="A1943" s="606">
        <v>95023</v>
      </c>
      <c r="B1943" s="607" t="s">
        <v>3361</v>
      </c>
      <c r="C1943" s="608" t="s">
        <v>1615</v>
      </c>
      <c r="D1943" s="599">
        <v>10.4</v>
      </c>
    </row>
    <row r="1944" spans="1:4">
      <c r="A1944" s="606">
        <v>95024</v>
      </c>
      <c r="B1944" s="607" t="s">
        <v>3362</v>
      </c>
      <c r="C1944" s="608" t="s">
        <v>1615</v>
      </c>
      <c r="D1944" s="599">
        <v>14.82</v>
      </c>
    </row>
    <row r="1945" spans="1:4">
      <c r="A1945" s="606">
        <v>95025</v>
      </c>
      <c r="B1945" s="607" t="s">
        <v>3363</v>
      </c>
      <c r="C1945" s="608" t="s">
        <v>1615</v>
      </c>
      <c r="D1945" s="599">
        <v>9.56</v>
      </c>
    </row>
    <row r="1946" spans="1:4">
      <c r="A1946" s="606">
        <v>95026</v>
      </c>
      <c r="B1946" s="607" t="s">
        <v>3364</v>
      </c>
      <c r="C1946" s="608" t="s">
        <v>1615</v>
      </c>
      <c r="D1946" s="599">
        <v>135.71</v>
      </c>
    </row>
    <row r="1947" spans="1:4">
      <c r="A1947" s="606">
        <v>95027</v>
      </c>
      <c r="B1947" s="607" t="s">
        <v>3365</v>
      </c>
      <c r="C1947" s="608" t="s">
        <v>1615</v>
      </c>
      <c r="D1947" s="599">
        <v>150.53</v>
      </c>
    </row>
    <row r="1948" spans="1:4">
      <c r="A1948" s="606">
        <v>95028</v>
      </c>
      <c r="B1948" s="607" t="s">
        <v>3366</v>
      </c>
      <c r="C1948" s="608" t="s">
        <v>1615</v>
      </c>
      <c r="D1948" s="599">
        <v>236.74</v>
      </c>
    </row>
    <row r="1949" spans="1:4">
      <c r="A1949" s="606">
        <v>95030</v>
      </c>
      <c r="B1949" s="607" t="s">
        <v>3367</v>
      </c>
      <c r="C1949" s="608" t="s">
        <v>1615</v>
      </c>
      <c r="D1949" s="599">
        <v>41.61</v>
      </c>
    </row>
    <row r="1950" spans="1:4">
      <c r="A1950" s="606">
        <v>95031</v>
      </c>
      <c r="B1950" s="607" t="s">
        <v>3368</v>
      </c>
      <c r="C1950" s="608" t="s">
        <v>1615</v>
      </c>
      <c r="D1950" s="599">
        <v>31.21</v>
      </c>
    </row>
    <row r="1951" spans="1:4">
      <c r="A1951" s="606">
        <v>95032</v>
      </c>
      <c r="B1951" s="607" t="s">
        <v>3369</v>
      </c>
      <c r="C1951" s="608" t="s">
        <v>1615</v>
      </c>
      <c r="D1951" s="599">
        <v>44.48</v>
      </c>
    </row>
    <row r="1952" spans="1:4">
      <c r="A1952" s="606">
        <v>95033</v>
      </c>
      <c r="B1952" s="607" t="s">
        <v>3370</v>
      </c>
      <c r="C1952" s="608" t="s">
        <v>1615</v>
      </c>
      <c r="D1952" s="599">
        <v>8.84</v>
      </c>
    </row>
    <row r="1953" spans="1:6">
      <c r="A1953" s="606">
        <v>95034</v>
      </c>
      <c r="B1953" s="607" t="s">
        <v>3371</v>
      </c>
      <c r="C1953" s="608" t="s">
        <v>1615</v>
      </c>
      <c r="D1953" s="599">
        <v>31.21</v>
      </c>
    </row>
    <row r="1954" spans="1:6">
      <c r="A1954" s="606">
        <v>95036</v>
      </c>
      <c r="B1954" s="607" t="s">
        <v>3372</v>
      </c>
      <c r="C1954" s="608" t="s">
        <v>1615</v>
      </c>
      <c r="D1954" s="599">
        <v>14.15</v>
      </c>
    </row>
    <row r="1955" spans="1:6">
      <c r="A1955" s="606">
        <v>95037</v>
      </c>
      <c r="B1955" s="607" t="s">
        <v>3373</v>
      </c>
      <c r="C1955" s="608" t="s">
        <v>1615</v>
      </c>
      <c r="D1955" s="599">
        <v>4.42</v>
      </c>
    </row>
    <row r="1956" spans="1:6">
      <c r="A1956" s="606">
        <v>95039</v>
      </c>
      <c r="B1956" s="607" t="s">
        <v>3374</v>
      </c>
      <c r="C1956" s="608" t="s">
        <v>1615</v>
      </c>
      <c r="D1956" s="599">
        <v>23.67</v>
      </c>
    </row>
    <row r="1957" spans="1:6">
      <c r="A1957" s="606">
        <v>95099</v>
      </c>
      <c r="B1957" s="607" t="s">
        <v>3375</v>
      </c>
      <c r="C1957" s="608" t="s">
        <v>1652</v>
      </c>
      <c r="D1957" s="599">
        <v>263.25</v>
      </c>
    </row>
    <row r="1958" spans="1:6">
      <c r="A1958" s="589">
        <v>952</v>
      </c>
      <c r="B1958" s="596" t="s">
        <v>3376</v>
      </c>
      <c r="C1958" s="588"/>
      <c r="D1958" s="599"/>
      <c r="F1958" s="585"/>
    </row>
    <row r="1959" spans="1:6">
      <c r="A1959" s="606">
        <v>95201</v>
      </c>
      <c r="B1959" s="607" t="s">
        <v>3377</v>
      </c>
      <c r="C1959" s="608" t="s">
        <v>1615</v>
      </c>
      <c r="D1959" s="599">
        <v>83.22</v>
      </c>
    </row>
    <row r="1960" spans="1:6">
      <c r="A1960" s="606">
        <v>95202</v>
      </c>
      <c r="B1960" s="607" t="s">
        <v>3378</v>
      </c>
      <c r="C1960" s="608" t="s">
        <v>1615</v>
      </c>
      <c r="D1960" s="599">
        <v>104.03</v>
      </c>
    </row>
    <row r="1961" spans="1:6">
      <c r="A1961" s="606">
        <v>95203</v>
      </c>
      <c r="B1961" s="607" t="s">
        <v>3379</v>
      </c>
      <c r="C1961" s="608" t="s">
        <v>1615</v>
      </c>
      <c r="D1961" s="599">
        <v>10.4</v>
      </c>
    </row>
    <row r="1962" spans="1:6">
      <c r="A1962" s="606">
        <v>95204</v>
      </c>
      <c r="B1962" s="607" t="s">
        <v>3380</v>
      </c>
      <c r="C1962" s="608" t="s">
        <v>1615</v>
      </c>
      <c r="D1962" s="599">
        <v>5.2</v>
      </c>
    </row>
    <row r="1963" spans="1:6">
      <c r="A1963" s="606">
        <v>95205</v>
      </c>
      <c r="B1963" s="607" t="s">
        <v>3381</v>
      </c>
      <c r="C1963" s="608" t="s">
        <v>1615</v>
      </c>
      <c r="D1963" s="599">
        <v>41.61</v>
      </c>
    </row>
    <row r="1964" spans="1:6">
      <c r="A1964" s="606">
        <v>95207</v>
      </c>
      <c r="B1964" s="607" t="s">
        <v>3382</v>
      </c>
      <c r="C1964" s="608" t="s">
        <v>1659</v>
      </c>
      <c r="D1964" s="599">
        <v>5.2</v>
      </c>
    </row>
    <row r="1965" spans="1:6">
      <c r="A1965" s="606">
        <v>95208</v>
      </c>
      <c r="B1965" s="607" t="s">
        <v>3383</v>
      </c>
      <c r="C1965" s="608" t="s">
        <v>1659</v>
      </c>
      <c r="D1965" s="599">
        <v>10.4</v>
      </c>
    </row>
    <row r="1966" spans="1:6">
      <c r="A1966" s="606">
        <v>95209</v>
      </c>
      <c r="B1966" s="607" t="s">
        <v>3384</v>
      </c>
      <c r="C1966" s="608" t="s">
        <v>1659</v>
      </c>
      <c r="D1966" s="599">
        <v>2.6</v>
      </c>
    </row>
    <row r="1967" spans="1:6">
      <c r="A1967" s="606">
        <v>95210</v>
      </c>
      <c r="B1967" s="607" t="s">
        <v>3385</v>
      </c>
      <c r="C1967" s="608" t="s">
        <v>1659</v>
      </c>
      <c r="D1967" s="599">
        <v>5.2</v>
      </c>
    </row>
    <row r="1968" spans="1:6">
      <c r="A1968" s="606">
        <v>95215</v>
      </c>
      <c r="B1968" s="607" t="s">
        <v>3386</v>
      </c>
      <c r="C1968" s="608" t="s">
        <v>1615</v>
      </c>
      <c r="D1968" s="599">
        <v>10.4</v>
      </c>
    </row>
    <row r="1969" spans="1:4">
      <c r="A1969" s="606">
        <v>95216</v>
      </c>
      <c r="B1969" s="607" t="s">
        <v>3387</v>
      </c>
      <c r="C1969" s="608" t="s">
        <v>1615</v>
      </c>
      <c r="D1969" s="599">
        <v>20.8</v>
      </c>
    </row>
    <row r="1970" spans="1:4">
      <c r="A1970" s="606">
        <v>95217</v>
      </c>
      <c r="B1970" s="607" t="s">
        <v>3388</v>
      </c>
      <c r="C1970" s="608" t="s">
        <v>1659</v>
      </c>
      <c r="D1970" s="599">
        <v>0.52</v>
      </c>
    </row>
    <row r="1971" spans="1:4">
      <c r="A1971" s="606">
        <v>95218</v>
      </c>
      <c r="B1971" s="607" t="s">
        <v>3389</v>
      </c>
      <c r="C1971" s="608" t="s">
        <v>1659</v>
      </c>
      <c r="D1971" s="599">
        <v>1.04</v>
      </c>
    </row>
    <row r="1972" spans="1:4">
      <c r="A1972" s="606">
        <v>95219</v>
      </c>
      <c r="B1972" s="607" t="s">
        <v>3390</v>
      </c>
      <c r="C1972" s="608" t="s">
        <v>1659</v>
      </c>
      <c r="D1972" s="599">
        <v>0.62</v>
      </c>
    </row>
    <row r="1973" spans="1:4">
      <c r="A1973" s="606">
        <v>95220</v>
      </c>
      <c r="B1973" s="607" t="s">
        <v>3391</v>
      </c>
      <c r="C1973" s="608" t="s">
        <v>1659</v>
      </c>
      <c r="D1973" s="599">
        <v>1.24</v>
      </c>
    </row>
    <row r="1974" spans="1:4">
      <c r="A1974" s="606">
        <v>95221</v>
      </c>
      <c r="B1974" s="607" t="s">
        <v>3392</v>
      </c>
      <c r="C1974" s="608" t="s">
        <v>1615</v>
      </c>
      <c r="D1974" s="599">
        <v>4.16</v>
      </c>
    </row>
    <row r="1975" spans="1:4">
      <c r="A1975" s="606">
        <v>95222</v>
      </c>
      <c r="B1975" s="607" t="s">
        <v>3393</v>
      </c>
      <c r="C1975" s="608" t="s">
        <v>1615</v>
      </c>
      <c r="D1975" s="599">
        <v>10.4</v>
      </c>
    </row>
    <row r="1976" spans="1:4" ht="26.4">
      <c r="A1976" s="606">
        <v>95226</v>
      </c>
      <c r="B1976" s="607" t="s">
        <v>3394</v>
      </c>
      <c r="C1976" s="608" t="s">
        <v>1240</v>
      </c>
      <c r="D1976" s="599">
        <v>20.8</v>
      </c>
    </row>
    <row r="1977" spans="1:4">
      <c r="A1977" s="606">
        <v>95228</v>
      </c>
      <c r="B1977" s="607" t="s">
        <v>3395</v>
      </c>
      <c r="C1977" s="608" t="s">
        <v>1615</v>
      </c>
      <c r="D1977" s="599">
        <v>4.16</v>
      </c>
    </row>
    <row r="1978" spans="1:4">
      <c r="A1978" s="606">
        <v>95229</v>
      </c>
      <c r="B1978" s="607" t="s">
        <v>3396</v>
      </c>
      <c r="C1978" s="608" t="s">
        <v>1615</v>
      </c>
      <c r="D1978" s="599">
        <v>10.4</v>
      </c>
    </row>
    <row r="1979" spans="1:4">
      <c r="A1979" s="606">
        <v>95230</v>
      </c>
      <c r="B1979" s="607" t="s">
        <v>3397</v>
      </c>
      <c r="C1979" s="608" t="s">
        <v>1615</v>
      </c>
      <c r="D1979" s="599">
        <v>2.6</v>
      </c>
    </row>
    <row r="1980" spans="1:4">
      <c r="A1980" s="606">
        <v>95234</v>
      </c>
      <c r="B1980" s="607" t="s">
        <v>3398</v>
      </c>
      <c r="C1980" s="608" t="s">
        <v>1615</v>
      </c>
      <c r="D1980" s="599">
        <v>10.4</v>
      </c>
    </row>
    <row r="1981" spans="1:4">
      <c r="A1981" s="606">
        <v>95235</v>
      </c>
      <c r="B1981" s="607" t="s">
        <v>3399</v>
      </c>
      <c r="C1981" s="608" t="s">
        <v>1615</v>
      </c>
      <c r="D1981" s="599">
        <v>15.6</v>
      </c>
    </row>
    <row r="1982" spans="1:4" ht="26.4">
      <c r="A1982" s="606">
        <v>95237</v>
      </c>
      <c r="B1982" s="607" t="s">
        <v>3400</v>
      </c>
      <c r="C1982" s="608" t="s">
        <v>1615</v>
      </c>
      <c r="D1982" s="599">
        <v>20.8</v>
      </c>
    </row>
    <row r="1983" spans="1:4">
      <c r="A1983" s="606">
        <v>95239</v>
      </c>
      <c r="B1983" s="607" t="s">
        <v>3401</v>
      </c>
      <c r="C1983" s="608" t="s">
        <v>1659</v>
      </c>
      <c r="D1983" s="599">
        <v>10.4</v>
      </c>
    </row>
    <row r="1984" spans="1:4">
      <c r="A1984" s="606">
        <v>95299</v>
      </c>
      <c r="B1984" s="607" t="s">
        <v>3402</v>
      </c>
      <c r="C1984" s="608" t="s">
        <v>1652</v>
      </c>
      <c r="D1984" s="599">
        <v>263.25</v>
      </c>
    </row>
    <row r="1985" spans="1:6">
      <c r="A1985" s="589">
        <v>954</v>
      </c>
      <c r="B1985" s="596" t="s">
        <v>3403</v>
      </c>
      <c r="C1985" s="588"/>
      <c r="D1985" s="599"/>
      <c r="F1985" s="585"/>
    </row>
    <row r="1986" spans="1:6">
      <c r="A1986" s="606">
        <v>95401</v>
      </c>
      <c r="B1986" s="607" t="s">
        <v>3404</v>
      </c>
      <c r="C1986" s="608" t="s">
        <v>1615</v>
      </c>
      <c r="D1986" s="599">
        <v>8.32</v>
      </c>
    </row>
    <row r="1987" spans="1:6">
      <c r="A1987" s="606">
        <v>95402</v>
      </c>
      <c r="B1987" s="607" t="s">
        <v>3405</v>
      </c>
      <c r="C1987" s="608" t="s">
        <v>1615</v>
      </c>
      <c r="D1987" s="599">
        <v>12.48</v>
      </c>
    </row>
    <row r="1988" spans="1:6" ht="26.4">
      <c r="A1988" s="606">
        <v>95403</v>
      </c>
      <c r="B1988" s="607" t="s">
        <v>3406</v>
      </c>
      <c r="C1988" s="608" t="s">
        <v>1615</v>
      </c>
      <c r="D1988" s="599">
        <v>20.8</v>
      </c>
    </row>
    <row r="1989" spans="1:6">
      <c r="A1989" s="606">
        <v>95404</v>
      </c>
      <c r="B1989" s="607" t="s">
        <v>3407</v>
      </c>
      <c r="C1989" s="608" t="s">
        <v>1615</v>
      </c>
      <c r="D1989" s="599">
        <v>31.21</v>
      </c>
    </row>
    <row r="1990" spans="1:6">
      <c r="A1990" s="606">
        <v>95405</v>
      </c>
      <c r="B1990" s="607" t="s">
        <v>3408</v>
      </c>
      <c r="C1990" s="608" t="s">
        <v>1615</v>
      </c>
      <c r="D1990" s="599">
        <v>3.12</v>
      </c>
    </row>
    <row r="1991" spans="1:6" ht="26.4">
      <c r="A1991" s="606">
        <v>95406</v>
      </c>
      <c r="B1991" s="607" t="s">
        <v>3409</v>
      </c>
      <c r="C1991" s="608" t="s">
        <v>1615</v>
      </c>
      <c r="D1991" s="599">
        <v>3.12</v>
      </c>
    </row>
    <row r="1992" spans="1:6" ht="26.4">
      <c r="A1992" s="606">
        <v>95407</v>
      </c>
      <c r="B1992" s="607" t="s">
        <v>3410</v>
      </c>
      <c r="C1992" s="608" t="s">
        <v>1615</v>
      </c>
      <c r="D1992" s="599">
        <v>4.16</v>
      </c>
    </row>
    <row r="1993" spans="1:6" ht="26.4">
      <c r="A1993" s="606">
        <v>95411</v>
      </c>
      <c r="B1993" s="607" t="s">
        <v>3411</v>
      </c>
      <c r="C1993" s="608" t="s">
        <v>1615</v>
      </c>
      <c r="D1993" s="599">
        <v>10.4</v>
      </c>
    </row>
    <row r="1994" spans="1:6">
      <c r="A1994" s="606">
        <v>95413</v>
      </c>
      <c r="B1994" s="607" t="s">
        <v>3412</v>
      </c>
      <c r="C1994" s="608" t="s">
        <v>1615</v>
      </c>
      <c r="D1994" s="599">
        <v>20.8</v>
      </c>
    </row>
    <row r="1995" spans="1:6">
      <c r="A1995" s="606">
        <v>95414</v>
      </c>
      <c r="B1995" s="607" t="s">
        <v>3413</v>
      </c>
      <c r="C1995" s="608" t="s">
        <v>1615</v>
      </c>
      <c r="D1995" s="599">
        <v>31.21</v>
      </c>
    </row>
    <row r="1996" spans="1:6">
      <c r="A1996" s="606">
        <v>95416</v>
      </c>
      <c r="B1996" s="607" t="s">
        <v>3414</v>
      </c>
      <c r="C1996" s="608" t="s">
        <v>1615</v>
      </c>
      <c r="D1996" s="599">
        <v>20.8</v>
      </c>
    </row>
    <row r="1997" spans="1:6">
      <c r="A1997" s="606">
        <v>95417</v>
      </c>
      <c r="B1997" s="607" t="s">
        <v>3415</v>
      </c>
      <c r="C1997" s="608" t="s">
        <v>1615</v>
      </c>
      <c r="D1997" s="599">
        <v>31.21</v>
      </c>
    </row>
    <row r="1998" spans="1:6">
      <c r="A1998" s="606">
        <v>95418</v>
      </c>
      <c r="B1998" s="607" t="s">
        <v>3416</v>
      </c>
      <c r="C1998" s="608" t="s">
        <v>1615</v>
      </c>
      <c r="D1998" s="599">
        <v>10.4</v>
      </c>
    </row>
    <row r="1999" spans="1:6">
      <c r="A1999" s="606">
        <v>95419</v>
      </c>
      <c r="B1999" s="607" t="s">
        <v>3417</v>
      </c>
      <c r="C1999" s="608" t="s">
        <v>1615</v>
      </c>
      <c r="D1999" s="599">
        <v>31.21</v>
      </c>
    </row>
    <row r="2000" spans="1:6">
      <c r="A2000" s="606">
        <v>95420</v>
      </c>
      <c r="B2000" s="607" t="s">
        <v>3418</v>
      </c>
      <c r="C2000" s="608" t="s">
        <v>1615</v>
      </c>
      <c r="D2000" s="599">
        <v>104.03</v>
      </c>
    </row>
    <row r="2001" spans="1:6">
      <c r="A2001" s="606">
        <v>95421</v>
      </c>
      <c r="B2001" s="607" t="s">
        <v>3419</v>
      </c>
      <c r="C2001" s="608" t="s">
        <v>1615</v>
      </c>
      <c r="D2001" s="599">
        <v>166.45</v>
      </c>
    </row>
    <row r="2002" spans="1:6">
      <c r="A2002" s="606">
        <v>95499</v>
      </c>
      <c r="B2002" s="607" t="s">
        <v>3420</v>
      </c>
      <c r="C2002" s="608" t="s">
        <v>1652</v>
      </c>
      <c r="D2002" s="599">
        <v>263.25</v>
      </c>
    </row>
    <row r="2003" spans="1:6">
      <c r="A2003" s="589">
        <v>956</v>
      </c>
      <c r="B2003" s="596" t="s">
        <v>3421</v>
      </c>
      <c r="C2003" s="588"/>
      <c r="D2003" s="599"/>
      <c r="F2003" s="585"/>
    </row>
    <row r="2004" spans="1:6">
      <c r="A2004" s="606">
        <v>95601</v>
      </c>
      <c r="B2004" s="607" t="s">
        <v>3422</v>
      </c>
      <c r="C2004" s="608" t="s">
        <v>1615</v>
      </c>
      <c r="D2004" s="599">
        <v>10.4</v>
      </c>
    </row>
    <row r="2005" spans="1:6">
      <c r="A2005" s="606">
        <v>95603</v>
      </c>
      <c r="B2005" s="607" t="s">
        <v>3423</v>
      </c>
      <c r="C2005" s="608" t="s">
        <v>1615</v>
      </c>
      <c r="D2005" s="599">
        <v>20.8</v>
      </c>
    </row>
    <row r="2006" spans="1:6">
      <c r="A2006" s="606">
        <v>95604</v>
      </c>
      <c r="B2006" s="607" t="s">
        <v>3424</v>
      </c>
      <c r="C2006" s="608" t="s">
        <v>1659</v>
      </c>
      <c r="D2006" s="599">
        <v>10.4</v>
      </c>
    </row>
    <row r="2007" spans="1:6">
      <c r="A2007" s="606">
        <v>95605</v>
      </c>
      <c r="B2007" s="607" t="s">
        <v>3425</v>
      </c>
      <c r="C2007" s="608" t="s">
        <v>1659</v>
      </c>
      <c r="D2007" s="599">
        <v>4.16</v>
      </c>
    </row>
    <row r="2008" spans="1:6">
      <c r="A2008" s="606">
        <v>95606</v>
      </c>
      <c r="B2008" s="607" t="s">
        <v>3426</v>
      </c>
      <c r="C2008" s="608" t="s">
        <v>1659</v>
      </c>
      <c r="D2008" s="599">
        <v>5.2</v>
      </c>
    </row>
    <row r="2009" spans="1:6">
      <c r="A2009" s="606">
        <v>95607</v>
      </c>
      <c r="B2009" s="607" t="s">
        <v>3427</v>
      </c>
      <c r="C2009" s="608" t="s">
        <v>1615</v>
      </c>
      <c r="D2009" s="599">
        <v>4.16</v>
      </c>
    </row>
    <row r="2010" spans="1:6">
      <c r="A2010" s="606">
        <v>95609</v>
      </c>
      <c r="B2010" s="607" t="s">
        <v>3428</v>
      </c>
      <c r="C2010" s="608" t="s">
        <v>1615</v>
      </c>
      <c r="D2010" s="599">
        <v>8.32</v>
      </c>
    </row>
    <row r="2011" spans="1:6">
      <c r="A2011" s="606">
        <v>95612</v>
      </c>
      <c r="B2011" s="607" t="s">
        <v>3429</v>
      </c>
      <c r="C2011" s="608" t="s">
        <v>1615</v>
      </c>
      <c r="D2011" s="599">
        <v>20.8</v>
      </c>
    </row>
    <row r="2012" spans="1:6">
      <c r="A2012" s="606">
        <v>95699</v>
      </c>
      <c r="B2012" s="607" t="s">
        <v>3430</v>
      </c>
      <c r="C2012" s="608" t="s">
        <v>1652</v>
      </c>
      <c r="D2012" s="599">
        <v>263.25</v>
      </c>
    </row>
    <row r="2013" spans="1:6">
      <c r="A2013" s="589">
        <v>960</v>
      </c>
      <c r="B2013" s="596" t="s">
        <v>3431</v>
      </c>
      <c r="C2013" s="588"/>
      <c r="D2013" s="599"/>
      <c r="F2013" s="585"/>
    </row>
    <row r="2014" spans="1:6">
      <c r="A2014" s="606">
        <v>96003</v>
      </c>
      <c r="B2014" s="607" t="s">
        <v>3432</v>
      </c>
      <c r="C2014" s="608" t="s">
        <v>1615</v>
      </c>
      <c r="D2014" s="599">
        <v>3.12</v>
      </c>
    </row>
    <row r="2015" spans="1:6">
      <c r="A2015" s="606">
        <v>96004</v>
      </c>
      <c r="B2015" s="607" t="s">
        <v>3433</v>
      </c>
      <c r="C2015" s="608" t="s">
        <v>1615</v>
      </c>
      <c r="D2015" s="599">
        <v>8.32</v>
      </c>
    </row>
    <row r="2016" spans="1:6">
      <c r="A2016" s="606">
        <v>96007</v>
      </c>
      <c r="B2016" s="607" t="s">
        <v>3434</v>
      </c>
      <c r="C2016" s="608" t="s">
        <v>1659</v>
      </c>
      <c r="D2016" s="599">
        <v>5.2</v>
      </c>
    </row>
    <row r="2017" spans="1:6">
      <c r="A2017" s="606">
        <v>96008</v>
      </c>
      <c r="B2017" s="607" t="s">
        <v>3435</v>
      </c>
      <c r="C2017" s="608" t="s">
        <v>1615</v>
      </c>
      <c r="D2017" s="599">
        <v>0.88</v>
      </c>
    </row>
    <row r="2018" spans="1:6">
      <c r="A2018" s="606">
        <v>96009</v>
      </c>
      <c r="B2018" s="607" t="s">
        <v>3436</v>
      </c>
      <c r="C2018" s="608" t="s">
        <v>1615</v>
      </c>
      <c r="D2018" s="599">
        <v>5.2</v>
      </c>
    </row>
    <row r="2019" spans="1:6">
      <c r="A2019" s="606">
        <v>96011</v>
      </c>
      <c r="B2019" s="607" t="s">
        <v>3437</v>
      </c>
      <c r="C2019" s="608" t="s">
        <v>1659</v>
      </c>
      <c r="D2019" s="599">
        <v>4.16</v>
      </c>
    </row>
    <row r="2020" spans="1:6">
      <c r="A2020" s="606">
        <v>96012</v>
      </c>
      <c r="B2020" s="607" t="s">
        <v>3438</v>
      </c>
      <c r="C2020" s="608" t="s">
        <v>1615</v>
      </c>
      <c r="D2020" s="599">
        <v>1.76</v>
      </c>
    </row>
    <row r="2021" spans="1:6">
      <c r="A2021" s="606">
        <v>96018</v>
      </c>
      <c r="B2021" s="607" t="s">
        <v>3439</v>
      </c>
      <c r="C2021" s="608" t="s">
        <v>1615</v>
      </c>
      <c r="D2021" s="599">
        <v>59.3</v>
      </c>
    </row>
    <row r="2022" spans="1:6">
      <c r="A2022" s="606">
        <v>96020</v>
      </c>
      <c r="B2022" s="607" t="s">
        <v>3440</v>
      </c>
      <c r="C2022" s="608" t="s">
        <v>1615</v>
      </c>
      <c r="D2022" s="599">
        <v>13.52</v>
      </c>
    </row>
    <row r="2023" spans="1:6">
      <c r="A2023" s="606">
        <v>96022</v>
      </c>
      <c r="B2023" s="607" t="s">
        <v>3441</v>
      </c>
      <c r="C2023" s="608" t="s">
        <v>1615</v>
      </c>
      <c r="D2023" s="599">
        <v>76.400000000000006</v>
      </c>
    </row>
    <row r="2024" spans="1:6">
      <c r="A2024" s="606">
        <v>96023</v>
      </c>
      <c r="B2024" s="607" t="s">
        <v>3442</v>
      </c>
      <c r="C2024" s="608" t="s">
        <v>1615</v>
      </c>
      <c r="D2024" s="599">
        <v>10.4</v>
      </c>
    </row>
    <row r="2025" spans="1:6">
      <c r="A2025" s="606">
        <v>96026</v>
      </c>
      <c r="B2025" s="607" t="s">
        <v>3443</v>
      </c>
      <c r="C2025" s="608" t="s">
        <v>1615</v>
      </c>
      <c r="D2025" s="599">
        <v>135.71</v>
      </c>
    </row>
    <row r="2026" spans="1:6">
      <c r="A2026" s="606">
        <v>96027</v>
      </c>
      <c r="B2026" s="607" t="s">
        <v>3444</v>
      </c>
      <c r="C2026" s="608" t="s">
        <v>1615</v>
      </c>
      <c r="D2026" s="599">
        <v>150.53</v>
      </c>
    </row>
    <row r="2027" spans="1:6">
      <c r="A2027" s="606">
        <v>96028</v>
      </c>
      <c r="B2027" s="607" t="s">
        <v>3445</v>
      </c>
      <c r="C2027" s="608" t="s">
        <v>1615</v>
      </c>
      <c r="D2027" s="599">
        <v>236.74</v>
      </c>
    </row>
    <row r="2028" spans="1:6">
      <c r="A2028" s="606">
        <v>96034</v>
      </c>
      <c r="B2028" s="607" t="s">
        <v>3446</v>
      </c>
      <c r="C2028" s="608" t="s">
        <v>1615</v>
      </c>
      <c r="D2028" s="599">
        <v>31.21</v>
      </c>
    </row>
    <row r="2029" spans="1:6">
      <c r="A2029" s="606">
        <v>96099</v>
      </c>
      <c r="B2029" s="607" t="s">
        <v>3447</v>
      </c>
      <c r="C2029" s="608" t="s">
        <v>1652</v>
      </c>
      <c r="D2029" s="599">
        <v>263.25</v>
      </c>
    </row>
    <row r="2030" spans="1:6">
      <c r="A2030" s="589">
        <v>962</v>
      </c>
      <c r="B2030" s="596" t="s">
        <v>3448</v>
      </c>
      <c r="C2030" s="588"/>
      <c r="D2030" s="599"/>
      <c r="F2030" s="585"/>
    </row>
    <row r="2031" spans="1:6">
      <c r="A2031" s="606">
        <v>96201</v>
      </c>
      <c r="B2031" s="607" t="s">
        <v>3449</v>
      </c>
      <c r="C2031" s="608" t="s">
        <v>1615</v>
      </c>
      <c r="D2031" s="599">
        <v>83.22</v>
      </c>
    </row>
    <row r="2032" spans="1:6">
      <c r="A2032" s="606">
        <v>96202</v>
      </c>
      <c r="B2032" s="607" t="s">
        <v>3450</v>
      </c>
      <c r="C2032" s="608" t="s">
        <v>1615</v>
      </c>
      <c r="D2032" s="599">
        <v>104.03</v>
      </c>
    </row>
    <row r="2033" spans="1:6">
      <c r="A2033" s="606">
        <v>96203</v>
      </c>
      <c r="B2033" s="607" t="s">
        <v>3451</v>
      </c>
      <c r="C2033" s="608" t="s">
        <v>1615</v>
      </c>
      <c r="D2033" s="599">
        <v>10.4</v>
      </c>
    </row>
    <row r="2034" spans="1:6">
      <c r="A2034" s="606">
        <v>96204</v>
      </c>
      <c r="B2034" s="607" t="s">
        <v>3452</v>
      </c>
      <c r="C2034" s="608" t="s">
        <v>1615</v>
      </c>
      <c r="D2034" s="599">
        <v>5.2</v>
      </c>
    </row>
    <row r="2035" spans="1:6">
      <c r="A2035" s="606">
        <v>96209</v>
      </c>
      <c r="B2035" s="607" t="s">
        <v>3453</v>
      </c>
      <c r="C2035" s="608" t="s">
        <v>1659</v>
      </c>
      <c r="D2035" s="599">
        <v>5.2</v>
      </c>
    </row>
    <row r="2036" spans="1:6">
      <c r="A2036" s="606">
        <v>96210</v>
      </c>
      <c r="B2036" s="607" t="s">
        <v>3454</v>
      </c>
      <c r="C2036" s="608" t="s">
        <v>1659</v>
      </c>
      <c r="D2036" s="599">
        <v>10.4</v>
      </c>
    </row>
    <row r="2037" spans="1:6">
      <c r="A2037" s="606">
        <v>96212</v>
      </c>
      <c r="B2037" s="607" t="s">
        <v>3455</v>
      </c>
      <c r="C2037" s="608" t="s">
        <v>1659</v>
      </c>
      <c r="D2037" s="599">
        <v>8.32</v>
      </c>
    </row>
    <row r="2038" spans="1:6">
      <c r="A2038" s="606">
        <v>96214</v>
      </c>
      <c r="B2038" s="607" t="s">
        <v>3456</v>
      </c>
      <c r="C2038" s="608" t="s">
        <v>1615</v>
      </c>
      <c r="D2038" s="599">
        <v>4.16</v>
      </c>
    </row>
    <row r="2039" spans="1:6">
      <c r="A2039" s="606">
        <v>96217</v>
      </c>
      <c r="B2039" s="607" t="s">
        <v>3457</v>
      </c>
      <c r="C2039" s="608" t="s">
        <v>1659</v>
      </c>
      <c r="D2039" s="599">
        <v>1.04</v>
      </c>
    </row>
    <row r="2040" spans="1:6">
      <c r="A2040" s="606">
        <v>96218</v>
      </c>
      <c r="B2040" s="607" t="s">
        <v>3458</v>
      </c>
      <c r="C2040" s="608" t="s">
        <v>1659</v>
      </c>
      <c r="D2040" s="599">
        <v>2.08</v>
      </c>
    </row>
    <row r="2041" spans="1:6">
      <c r="A2041" s="606">
        <v>96219</v>
      </c>
      <c r="B2041" s="607" t="s">
        <v>3459</v>
      </c>
      <c r="C2041" s="608" t="s">
        <v>1659</v>
      </c>
      <c r="D2041" s="599">
        <v>1.24</v>
      </c>
    </row>
    <row r="2042" spans="1:6">
      <c r="A2042" s="606">
        <v>96220</v>
      </c>
      <c r="B2042" s="607" t="s">
        <v>3460</v>
      </c>
      <c r="C2042" s="608" t="s">
        <v>1659</v>
      </c>
      <c r="D2042" s="599">
        <v>2.4900000000000002</v>
      </c>
    </row>
    <row r="2043" spans="1:6">
      <c r="A2043" s="606">
        <v>96221</v>
      </c>
      <c r="B2043" s="607" t="s">
        <v>3461</v>
      </c>
      <c r="C2043" s="608" t="s">
        <v>1615</v>
      </c>
      <c r="D2043" s="599">
        <v>4.16</v>
      </c>
    </row>
    <row r="2044" spans="1:6">
      <c r="A2044" s="606">
        <v>96224</v>
      </c>
      <c r="B2044" s="607" t="s">
        <v>3462</v>
      </c>
      <c r="C2044" s="608" t="s">
        <v>1240</v>
      </c>
      <c r="D2044" s="599">
        <v>41.61</v>
      </c>
    </row>
    <row r="2045" spans="1:6">
      <c r="A2045" s="606">
        <v>96299</v>
      </c>
      <c r="B2045" s="607" t="s">
        <v>3463</v>
      </c>
      <c r="C2045" s="608" t="s">
        <v>1652</v>
      </c>
      <c r="D2045" s="599">
        <v>263.25</v>
      </c>
    </row>
    <row r="2046" spans="1:6">
      <c r="A2046" s="589">
        <v>964</v>
      </c>
      <c r="B2046" s="596" t="s">
        <v>3464</v>
      </c>
      <c r="C2046" s="588"/>
      <c r="D2046" s="599"/>
      <c r="F2046" s="585"/>
    </row>
    <row r="2047" spans="1:6">
      <c r="A2047" s="606">
        <v>96404</v>
      </c>
      <c r="B2047" s="607" t="s">
        <v>3465</v>
      </c>
      <c r="C2047" s="608" t="s">
        <v>1615</v>
      </c>
      <c r="D2047" s="599">
        <v>31.21</v>
      </c>
    </row>
    <row r="2048" spans="1:6">
      <c r="A2048" s="606">
        <v>96405</v>
      </c>
      <c r="B2048" s="607" t="s">
        <v>3466</v>
      </c>
      <c r="C2048" s="608" t="s">
        <v>1615</v>
      </c>
      <c r="D2048" s="599">
        <v>2.08</v>
      </c>
    </row>
    <row r="2049" spans="1:6">
      <c r="A2049" s="606">
        <v>96406</v>
      </c>
      <c r="B2049" s="607" t="s">
        <v>3467</v>
      </c>
      <c r="C2049" s="608" t="s">
        <v>1615</v>
      </c>
      <c r="D2049" s="599">
        <v>1.32</v>
      </c>
    </row>
    <row r="2050" spans="1:6">
      <c r="A2050" s="606">
        <v>96414</v>
      </c>
      <c r="B2050" s="607" t="s">
        <v>3468</v>
      </c>
      <c r="C2050" s="608" t="s">
        <v>1615</v>
      </c>
      <c r="D2050" s="599">
        <v>31.21</v>
      </c>
    </row>
    <row r="2051" spans="1:6">
      <c r="A2051" s="606">
        <v>96416</v>
      </c>
      <c r="B2051" s="607" t="s">
        <v>3469</v>
      </c>
      <c r="C2051" s="608" t="s">
        <v>1615</v>
      </c>
      <c r="D2051" s="599">
        <v>20.8</v>
      </c>
    </row>
    <row r="2052" spans="1:6">
      <c r="A2052" s="606">
        <v>96418</v>
      </c>
      <c r="B2052" s="607" t="s">
        <v>3470</v>
      </c>
      <c r="C2052" s="608" t="s">
        <v>1615</v>
      </c>
      <c r="D2052" s="599">
        <v>10.4</v>
      </c>
    </row>
    <row r="2053" spans="1:6">
      <c r="A2053" s="606">
        <v>96420</v>
      </c>
      <c r="B2053" s="607" t="s">
        <v>3471</v>
      </c>
      <c r="C2053" s="608" t="s">
        <v>1615</v>
      </c>
      <c r="D2053" s="599">
        <v>104.03</v>
      </c>
    </row>
    <row r="2054" spans="1:6">
      <c r="A2054" s="606">
        <v>96421</v>
      </c>
      <c r="B2054" s="607" t="s">
        <v>3472</v>
      </c>
      <c r="C2054" s="608" t="s">
        <v>1615</v>
      </c>
      <c r="D2054" s="599">
        <v>166.45</v>
      </c>
    </row>
    <row r="2055" spans="1:6">
      <c r="A2055" s="606">
        <v>96422</v>
      </c>
      <c r="B2055" s="607" t="s">
        <v>3473</v>
      </c>
      <c r="C2055" s="608" t="s">
        <v>1615</v>
      </c>
      <c r="D2055" s="599">
        <v>236.74</v>
      </c>
    </row>
    <row r="2056" spans="1:6">
      <c r="A2056" s="606">
        <v>96499</v>
      </c>
      <c r="B2056" s="607" t="s">
        <v>3474</v>
      </c>
      <c r="C2056" s="608" t="s">
        <v>1652</v>
      </c>
      <c r="D2056" s="599">
        <v>263.25</v>
      </c>
    </row>
    <row r="2057" spans="1:6">
      <c r="A2057" s="589">
        <v>966</v>
      </c>
      <c r="B2057" s="596" t="s">
        <v>3475</v>
      </c>
      <c r="C2057" s="588"/>
      <c r="D2057" s="599"/>
      <c r="F2057" s="585"/>
    </row>
    <row r="2058" spans="1:6">
      <c r="A2058" s="606">
        <v>96601</v>
      </c>
      <c r="B2058" s="607" t="s">
        <v>3476</v>
      </c>
      <c r="C2058" s="608" t="s">
        <v>1615</v>
      </c>
      <c r="D2058" s="599">
        <v>10.4</v>
      </c>
    </row>
    <row r="2059" spans="1:6">
      <c r="A2059" s="606">
        <v>96603</v>
      </c>
      <c r="B2059" s="607" t="s">
        <v>3477</v>
      </c>
      <c r="C2059" s="608" t="s">
        <v>1615</v>
      </c>
      <c r="D2059" s="599">
        <v>20.8</v>
      </c>
    </row>
    <row r="2060" spans="1:6">
      <c r="A2060" s="606">
        <v>96604</v>
      </c>
      <c r="B2060" s="607" t="s">
        <v>3478</v>
      </c>
      <c r="C2060" s="608" t="s">
        <v>1659</v>
      </c>
      <c r="D2060" s="599">
        <v>10.4</v>
      </c>
    </row>
    <row r="2061" spans="1:6">
      <c r="A2061" s="606">
        <v>96605</v>
      </c>
      <c r="B2061" s="607" t="s">
        <v>3479</v>
      </c>
      <c r="C2061" s="608" t="s">
        <v>1659</v>
      </c>
      <c r="D2061" s="599">
        <v>4.16</v>
      </c>
    </row>
    <row r="2062" spans="1:6">
      <c r="A2062" s="606">
        <v>96606</v>
      </c>
      <c r="B2062" s="607" t="s">
        <v>3480</v>
      </c>
      <c r="C2062" s="608" t="s">
        <v>1659</v>
      </c>
      <c r="D2062" s="599">
        <v>5.2</v>
      </c>
    </row>
    <row r="2063" spans="1:6">
      <c r="A2063" s="606">
        <v>96607</v>
      </c>
      <c r="B2063" s="607" t="s">
        <v>3481</v>
      </c>
      <c r="C2063" s="608" t="s">
        <v>1615</v>
      </c>
      <c r="D2063" s="599">
        <v>4.16</v>
      </c>
    </row>
    <row r="2064" spans="1:6">
      <c r="A2064" s="606">
        <v>96609</v>
      </c>
      <c r="B2064" s="607" t="s">
        <v>3482</v>
      </c>
      <c r="C2064" s="608" t="s">
        <v>1615</v>
      </c>
      <c r="D2064" s="599">
        <v>8.32</v>
      </c>
    </row>
    <row r="2065" spans="1:6">
      <c r="A2065" s="606">
        <v>96699</v>
      </c>
      <c r="B2065" s="607" t="s">
        <v>3483</v>
      </c>
      <c r="C2065" s="608" t="s">
        <v>1652</v>
      </c>
      <c r="D2065" s="599">
        <v>263.25</v>
      </c>
    </row>
    <row r="2066" spans="1:6">
      <c r="A2066" s="589">
        <v>970</v>
      </c>
      <c r="B2066" s="596" t="s">
        <v>3484</v>
      </c>
      <c r="C2066" s="588"/>
      <c r="D2066" s="599"/>
      <c r="F2066" s="585"/>
    </row>
    <row r="2067" spans="1:6">
      <c r="A2067" s="606">
        <v>97003</v>
      </c>
      <c r="B2067" s="607" t="s">
        <v>3485</v>
      </c>
      <c r="C2067" s="608" t="s">
        <v>1615</v>
      </c>
      <c r="D2067" s="599">
        <v>4.16</v>
      </c>
    </row>
    <row r="2068" spans="1:6">
      <c r="A2068" s="606">
        <v>97004</v>
      </c>
      <c r="B2068" s="607" t="s">
        <v>3486</v>
      </c>
      <c r="C2068" s="608" t="s">
        <v>1615</v>
      </c>
      <c r="D2068" s="599">
        <v>10.4</v>
      </c>
    </row>
    <row r="2069" spans="1:6">
      <c r="A2069" s="606">
        <v>97007</v>
      </c>
      <c r="B2069" s="607" t="s">
        <v>3434</v>
      </c>
      <c r="C2069" s="608" t="s">
        <v>1659</v>
      </c>
      <c r="D2069" s="599">
        <v>10.4</v>
      </c>
    </row>
    <row r="2070" spans="1:6">
      <c r="A2070" s="606">
        <v>97008</v>
      </c>
      <c r="B2070" s="607" t="s">
        <v>3487</v>
      </c>
      <c r="C2070" s="608" t="s">
        <v>1615</v>
      </c>
      <c r="D2070" s="599">
        <v>1.76</v>
      </c>
    </row>
    <row r="2071" spans="1:6">
      <c r="A2071" s="606">
        <v>97009</v>
      </c>
      <c r="B2071" s="607" t="s">
        <v>3436</v>
      </c>
      <c r="C2071" s="608" t="s">
        <v>1615</v>
      </c>
      <c r="D2071" s="599">
        <v>12.48</v>
      </c>
    </row>
    <row r="2072" spans="1:6">
      <c r="A2072" s="606">
        <v>97011</v>
      </c>
      <c r="B2072" s="607" t="s">
        <v>3437</v>
      </c>
      <c r="C2072" s="608" t="s">
        <v>1659</v>
      </c>
      <c r="D2072" s="599">
        <v>8.32</v>
      </c>
    </row>
    <row r="2073" spans="1:6">
      <c r="A2073" s="606">
        <v>97018</v>
      </c>
      <c r="B2073" s="607" t="s">
        <v>3488</v>
      </c>
      <c r="C2073" s="608" t="s">
        <v>1615</v>
      </c>
      <c r="D2073" s="599">
        <v>97.5</v>
      </c>
    </row>
    <row r="2074" spans="1:6">
      <c r="A2074" s="606">
        <v>97020</v>
      </c>
      <c r="B2074" s="607" t="s">
        <v>3489</v>
      </c>
      <c r="C2074" s="608" t="s">
        <v>1615</v>
      </c>
      <c r="D2074" s="599">
        <v>34.78</v>
      </c>
    </row>
    <row r="2075" spans="1:6">
      <c r="A2075" s="606">
        <v>97022</v>
      </c>
      <c r="B2075" s="607" t="s">
        <v>3441</v>
      </c>
      <c r="C2075" s="608" t="s">
        <v>1615</v>
      </c>
      <c r="D2075" s="599">
        <v>183.55</v>
      </c>
    </row>
    <row r="2076" spans="1:6">
      <c r="A2076" s="606">
        <v>97023</v>
      </c>
      <c r="B2076" s="607" t="s">
        <v>3442</v>
      </c>
      <c r="C2076" s="608" t="s">
        <v>1615</v>
      </c>
      <c r="D2076" s="599">
        <v>29.35</v>
      </c>
    </row>
    <row r="2077" spans="1:6">
      <c r="A2077" s="606">
        <v>97026</v>
      </c>
      <c r="B2077" s="607" t="s">
        <v>3490</v>
      </c>
      <c r="C2077" s="608" t="s">
        <v>1615</v>
      </c>
      <c r="D2077" s="599">
        <v>305.60000000000002</v>
      </c>
    </row>
    <row r="2078" spans="1:6">
      <c r="A2078" s="606">
        <v>97028</v>
      </c>
      <c r="B2078" s="607" t="s">
        <v>3445</v>
      </c>
      <c r="C2078" s="608" t="s">
        <v>1615</v>
      </c>
      <c r="D2078" s="599">
        <v>212.11</v>
      </c>
    </row>
    <row r="2079" spans="1:6">
      <c r="A2079" s="606">
        <v>97099</v>
      </c>
      <c r="B2079" s="607" t="s">
        <v>3491</v>
      </c>
      <c r="C2079" s="608" t="s">
        <v>1652</v>
      </c>
      <c r="D2079" s="599">
        <v>263.25</v>
      </c>
    </row>
    <row r="2080" spans="1:6">
      <c r="A2080" s="589">
        <v>972</v>
      </c>
      <c r="B2080" s="596" t="s">
        <v>3492</v>
      </c>
      <c r="C2080" s="588"/>
      <c r="D2080" s="599"/>
      <c r="F2080" s="585"/>
    </row>
    <row r="2081" spans="1:4">
      <c r="A2081" s="606">
        <v>97201</v>
      </c>
      <c r="B2081" s="607" t="s">
        <v>3493</v>
      </c>
      <c r="C2081" s="608" t="s">
        <v>1615</v>
      </c>
      <c r="D2081" s="599">
        <v>152.80000000000001</v>
      </c>
    </row>
    <row r="2082" spans="1:4">
      <c r="A2082" s="606">
        <v>97202</v>
      </c>
      <c r="B2082" s="607" t="s">
        <v>3450</v>
      </c>
      <c r="C2082" s="608" t="s">
        <v>1615</v>
      </c>
      <c r="D2082" s="599">
        <v>212.11</v>
      </c>
    </row>
    <row r="2083" spans="1:4">
      <c r="A2083" s="606">
        <v>97203</v>
      </c>
      <c r="B2083" s="607" t="s">
        <v>3494</v>
      </c>
      <c r="C2083" s="608" t="s">
        <v>1615</v>
      </c>
      <c r="D2083" s="599">
        <v>8.32</v>
      </c>
    </row>
    <row r="2084" spans="1:4">
      <c r="A2084" s="606">
        <v>97209</v>
      </c>
      <c r="B2084" s="607" t="s">
        <v>3453</v>
      </c>
      <c r="C2084" s="608" t="s">
        <v>1659</v>
      </c>
      <c r="D2084" s="599">
        <v>6.24</v>
      </c>
    </row>
    <row r="2085" spans="1:4">
      <c r="A2085" s="606">
        <v>97210</v>
      </c>
      <c r="B2085" s="607" t="s">
        <v>3495</v>
      </c>
      <c r="C2085" s="608" t="s">
        <v>1659</v>
      </c>
      <c r="D2085" s="599">
        <v>12.48</v>
      </c>
    </row>
    <row r="2086" spans="1:4">
      <c r="A2086" s="606">
        <v>97211</v>
      </c>
      <c r="B2086" s="607" t="s">
        <v>3496</v>
      </c>
      <c r="C2086" s="608" t="s">
        <v>1615</v>
      </c>
      <c r="D2086" s="599">
        <v>10.4</v>
      </c>
    </row>
    <row r="2087" spans="1:4">
      <c r="A2087" s="606">
        <v>97212</v>
      </c>
      <c r="B2087" s="607" t="s">
        <v>3455</v>
      </c>
      <c r="C2087" s="608" t="s">
        <v>1659</v>
      </c>
      <c r="D2087" s="599">
        <v>10.4</v>
      </c>
    </row>
    <row r="2088" spans="1:4">
      <c r="A2088" s="606">
        <v>97214</v>
      </c>
      <c r="B2088" s="607" t="s">
        <v>3497</v>
      </c>
      <c r="C2088" s="608" t="s">
        <v>1615</v>
      </c>
      <c r="D2088" s="599">
        <v>5.2</v>
      </c>
    </row>
    <row r="2089" spans="1:4">
      <c r="A2089" s="606">
        <v>97217</v>
      </c>
      <c r="B2089" s="607" t="s">
        <v>3457</v>
      </c>
      <c r="C2089" s="608" t="s">
        <v>1659</v>
      </c>
      <c r="D2089" s="599">
        <v>1.04</v>
      </c>
    </row>
    <row r="2090" spans="1:4">
      <c r="A2090" s="606">
        <v>97218</v>
      </c>
      <c r="B2090" s="607" t="s">
        <v>3458</v>
      </c>
      <c r="C2090" s="608" t="s">
        <v>1659</v>
      </c>
      <c r="D2090" s="599">
        <v>2.08</v>
      </c>
    </row>
    <row r="2091" spans="1:4">
      <c r="A2091" s="606">
        <v>97219</v>
      </c>
      <c r="B2091" s="607" t="s">
        <v>3459</v>
      </c>
      <c r="C2091" s="608" t="s">
        <v>1659</v>
      </c>
      <c r="D2091" s="599">
        <v>0.62</v>
      </c>
    </row>
    <row r="2092" spans="1:4">
      <c r="A2092" s="606">
        <v>97220</v>
      </c>
      <c r="B2092" s="607" t="s">
        <v>3460</v>
      </c>
      <c r="C2092" s="608" t="s">
        <v>1659</v>
      </c>
      <c r="D2092" s="599">
        <v>6.24</v>
      </c>
    </row>
    <row r="2093" spans="1:4">
      <c r="A2093" s="606">
        <v>97223</v>
      </c>
      <c r="B2093" s="607" t="s">
        <v>3498</v>
      </c>
      <c r="C2093" s="608" t="s">
        <v>1615</v>
      </c>
      <c r="D2093" s="599">
        <v>6.24</v>
      </c>
    </row>
    <row r="2094" spans="1:4">
      <c r="A2094" s="606">
        <v>97224</v>
      </c>
      <c r="B2094" s="607" t="s">
        <v>3499</v>
      </c>
      <c r="C2094" s="608" t="s">
        <v>1240</v>
      </c>
      <c r="D2094" s="599">
        <v>125.49</v>
      </c>
    </row>
    <row r="2095" spans="1:4">
      <c r="A2095" s="606">
        <v>97231</v>
      </c>
      <c r="B2095" s="607" t="s">
        <v>3500</v>
      </c>
      <c r="C2095" s="608" t="s">
        <v>1615</v>
      </c>
      <c r="D2095" s="599">
        <v>5.2</v>
      </c>
    </row>
    <row r="2096" spans="1:4">
      <c r="A2096" s="606">
        <v>97299</v>
      </c>
      <c r="B2096" s="607" t="s">
        <v>3501</v>
      </c>
      <c r="C2096" s="608" t="s">
        <v>1652</v>
      </c>
      <c r="D2096" s="599">
        <v>263.25</v>
      </c>
    </row>
    <row r="2097" spans="1:6">
      <c r="A2097" s="589">
        <v>974</v>
      </c>
      <c r="B2097" s="596" t="s">
        <v>3502</v>
      </c>
      <c r="C2097" s="588"/>
      <c r="D2097" s="599"/>
      <c r="F2097" s="585"/>
    </row>
    <row r="2098" spans="1:6">
      <c r="A2098" s="606">
        <v>97404</v>
      </c>
      <c r="B2098" s="607" t="s">
        <v>3465</v>
      </c>
      <c r="C2098" s="608" t="s">
        <v>1615</v>
      </c>
      <c r="D2098" s="599">
        <v>62.42</v>
      </c>
    </row>
    <row r="2099" spans="1:6">
      <c r="A2099" s="606">
        <v>97405</v>
      </c>
      <c r="B2099" s="607" t="s">
        <v>3503</v>
      </c>
      <c r="C2099" s="608" t="s">
        <v>1615</v>
      </c>
      <c r="D2099" s="599">
        <v>16.64</v>
      </c>
    </row>
    <row r="2100" spans="1:6" ht="26.4">
      <c r="A2100" s="606">
        <v>97406</v>
      </c>
      <c r="B2100" s="607" t="s">
        <v>3504</v>
      </c>
      <c r="C2100" s="608" t="s">
        <v>1615</v>
      </c>
      <c r="D2100" s="599">
        <v>2.39</v>
      </c>
    </row>
    <row r="2101" spans="1:6">
      <c r="A2101" s="606">
        <v>97414</v>
      </c>
      <c r="B2101" s="607" t="s">
        <v>3505</v>
      </c>
      <c r="C2101" s="608" t="s">
        <v>1615</v>
      </c>
      <c r="D2101" s="599">
        <v>83.22</v>
      </c>
    </row>
    <row r="2102" spans="1:6">
      <c r="A2102" s="606">
        <v>97415</v>
      </c>
      <c r="B2102" s="607" t="s">
        <v>3506</v>
      </c>
      <c r="C2102" s="608" t="s">
        <v>1615</v>
      </c>
      <c r="D2102" s="599">
        <v>20.8</v>
      </c>
    </row>
    <row r="2103" spans="1:6">
      <c r="A2103" s="606">
        <v>97417</v>
      </c>
      <c r="B2103" s="607" t="s">
        <v>3507</v>
      </c>
      <c r="C2103" s="608" t="s">
        <v>1615</v>
      </c>
      <c r="D2103" s="599">
        <v>41.61</v>
      </c>
    </row>
    <row r="2104" spans="1:6">
      <c r="A2104" s="606">
        <v>97420</v>
      </c>
      <c r="B2104" s="607" t="s">
        <v>3508</v>
      </c>
      <c r="C2104" s="608" t="s">
        <v>1615</v>
      </c>
      <c r="D2104" s="599">
        <v>152.80000000000001</v>
      </c>
    </row>
    <row r="2105" spans="1:6">
      <c r="A2105" s="606">
        <v>97421</v>
      </c>
      <c r="B2105" s="607" t="s">
        <v>3472</v>
      </c>
      <c r="C2105" s="608" t="s">
        <v>1615</v>
      </c>
      <c r="D2105" s="599">
        <v>212.11</v>
      </c>
    </row>
    <row r="2106" spans="1:6">
      <c r="A2106" s="606">
        <v>97422</v>
      </c>
      <c r="B2106" s="607" t="s">
        <v>3473</v>
      </c>
      <c r="C2106" s="608" t="s">
        <v>1615</v>
      </c>
      <c r="D2106" s="599">
        <v>254.43</v>
      </c>
    </row>
    <row r="2107" spans="1:6">
      <c r="A2107" s="606">
        <v>97499</v>
      </c>
      <c r="B2107" s="607" t="s">
        <v>3509</v>
      </c>
      <c r="C2107" s="608" t="s">
        <v>1652</v>
      </c>
      <c r="D2107" s="599">
        <v>263.25</v>
      </c>
    </row>
    <row r="2108" spans="1:6">
      <c r="A2108" s="589">
        <v>976</v>
      </c>
      <c r="B2108" s="596" t="s">
        <v>3510</v>
      </c>
      <c r="C2108" s="588"/>
      <c r="D2108" s="599"/>
      <c r="F2108" s="585"/>
    </row>
    <row r="2109" spans="1:6">
      <c r="A2109" s="606">
        <v>97601</v>
      </c>
      <c r="B2109" s="607" t="s">
        <v>3511</v>
      </c>
      <c r="C2109" s="608" t="s">
        <v>1615</v>
      </c>
      <c r="D2109" s="599">
        <v>20.8</v>
      </c>
    </row>
    <row r="2110" spans="1:6">
      <c r="A2110" s="606">
        <v>97603</v>
      </c>
      <c r="B2110" s="607" t="s">
        <v>3512</v>
      </c>
      <c r="C2110" s="608" t="s">
        <v>1615</v>
      </c>
      <c r="D2110" s="599">
        <v>83.22</v>
      </c>
    </row>
    <row r="2111" spans="1:6">
      <c r="A2111" s="606">
        <v>97604</v>
      </c>
      <c r="B2111" s="607" t="s">
        <v>3513</v>
      </c>
      <c r="C2111" s="608" t="s">
        <v>1659</v>
      </c>
      <c r="D2111" s="599">
        <v>4.16</v>
      </c>
    </row>
    <row r="2112" spans="1:6">
      <c r="A2112" s="606">
        <v>97605</v>
      </c>
      <c r="B2112" s="607" t="s">
        <v>3479</v>
      </c>
      <c r="C2112" s="608" t="s">
        <v>1659</v>
      </c>
      <c r="D2112" s="599">
        <v>10.4</v>
      </c>
    </row>
    <row r="2113" spans="1:6">
      <c r="A2113" s="606">
        <v>97607</v>
      </c>
      <c r="B2113" s="607" t="s">
        <v>3514</v>
      </c>
      <c r="C2113" s="608" t="s">
        <v>1615</v>
      </c>
      <c r="D2113" s="599">
        <v>4.16</v>
      </c>
    </row>
    <row r="2114" spans="1:6">
      <c r="A2114" s="606">
        <v>97609</v>
      </c>
      <c r="B2114" s="607" t="s">
        <v>3515</v>
      </c>
      <c r="C2114" s="608" t="s">
        <v>1615</v>
      </c>
      <c r="D2114" s="599">
        <v>20.8</v>
      </c>
    </row>
    <row r="2115" spans="1:6">
      <c r="A2115" s="606">
        <v>97699</v>
      </c>
      <c r="B2115" s="607" t="s">
        <v>3516</v>
      </c>
      <c r="C2115" s="608" t="s">
        <v>1652</v>
      </c>
      <c r="D2115" s="599">
        <v>263.25</v>
      </c>
    </row>
    <row r="2116" spans="1:6">
      <c r="A2116" s="589">
        <v>980</v>
      </c>
      <c r="B2116" s="596" t="s">
        <v>3517</v>
      </c>
      <c r="C2116" s="588"/>
      <c r="D2116" s="599"/>
      <c r="F2116" s="585"/>
    </row>
    <row r="2117" spans="1:6">
      <c r="A2117" s="606">
        <v>98001</v>
      </c>
      <c r="B2117" s="607" t="s">
        <v>3518</v>
      </c>
      <c r="C2117" s="608" t="s">
        <v>3347</v>
      </c>
      <c r="D2117" s="599">
        <v>8.57</v>
      </c>
    </row>
    <row r="2118" spans="1:6">
      <c r="A2118" s="606">
        <v>98002</v>
      </c>
      <c r="B2118" s="607" t="s">
        <v>3519</v>
      </c>
      <c r="C2118" s="608" t="s">
        <v>3347</v>
      </c>
      <c r="D2118" s="599">
        <v>8.74</v>
      </c>
    </row>
    <row r="2119" spans="1:6">
      <c r="A2119" s="606">
        <v>98003</v>
      </c>
      <c r="B2119" s="607" t="s">
        <v>3520</v>
      </c>
      <c r="C2119" s="608" t="s">
        <v>1615</v>
      </c>
      <c r="D2119" s="599">
        <v>68.94</v>
      </c>
    </row>
    <row r="2120" spans="1:6">
      <c r="A2120" s="606">
        <v>98004</v>
      </c>
      <c r="B2120" s="607" t="s">
        <v>3521</v>
      </c>
      <c r="C2120" s="608" t="s">
        <v>1615</v>
      </c>
      <c r="D2120" s="599">
        <v>225.5</v>
      </c>
    </row>
    <row r="2121" spans="1:6">
      <c r="A2121" s="606">
        <v>98005</v>
      </c>
      <c r="B2121" s="607" t="s">
        <v>3522</v>
      </c>
      <c r="C2121" s="608" t="s">
        <v>1615</v>
      </c>
      <c r="D2121" s="599">
        <v>225.5</v>
      </c>
    </row>
    <row r="2122" spans="1:6">
      <c r="A2122" s="606">
        <v>98006</v>
      </c>
      <c r="B2122" s="607" t="s">
        <v>3523</v>
      </c>
      <c r="C2122" s="608" t="s">
        <v>1615</v>
      </c>
      <c r="D2122" s="599">
        <v>193.45</v>
      </c>
    </row>
    <row r="2123" spans="1:6">
      <c r="A2123" s="606">
        <v>98007</v>
      </c>
      <c r="B2123" s="607" t="s">
        <v>3524</v>
      </c>
      <c r="C2123" s="608" t="s">
        <v>1659</v>
      </c>
      <c r="D2123" s="599">
        <v>16.22</v>
      </c>
    </row>
    <row r="2124" spans="1:6">
      <c r="A2124" s="606">
        <v>98008</v>
      </c>
      <c r="B2124" s="607" t="s">
        <v>3525</v>
      </c>
      <c r="C2124" s="608" t="s">
        <v>1615</v>
      </c>
      <c r="D2124" s="599">
        <v>43.96</v>
      </c>
    </row>
    <row r="2125" spans="1:6">
      <c r="A2125" s="606">
        <v>98009</v>
      </c>
      <c r="B2125" s="607" t="s">
        <v>3526</v>
      </c>
      <c r="C2125" s="608" t="s">
        <v>1615</v>
      </c>
      <c r="D2125" s="599">
        <v>8.5299999999999994</v>
      </c>
    </row>
    <row r="2126" spans="1:6">
      <c r="A2126" s="606">
        <v>98010</v>
      </c>
      <c r="B2126" s="607" t="s">
        <v>3527</v>
      </c>
      <c r="C2126" s="608" t="s">
        <v>1615</v>
      </c>
      <c r="D2126" s="599">
        <v>26.08</v>
      </c>
    </row>
    <row r="2127" spans="1:6">
      <c r="A2127" s="606">
        <v>98011</v>
      </c>
      <c r="B2127" s="607" t="s">
        <v>3528</v>
      </c>
      <c r="C2127" s="608" t="s">
        <v>1615</v>
      </c>
      <c r="D2127" s="599">
        <v>29.2</v>
      </c>
    </row>
    <row r="2128" spans="1:6">
      <c r="A2128" s="606">
        <v>98012</v>
      </c>
      <c r="B2128" s="607" t="s">
        <v>3529</v>
      </c>
      <c r="C2128" s="608" t="s">
        <v>1659</v>
      </c>
      <c r="D2128" s="599">
        <v>36.840000000000003</v>
      </c>
    </row>
    <row r="2129" spans="1:4">
      <c r="A2129" s="606">
        <v>98013</v>
      </c>
      <c r="B2129" s="607" t="s">
        <v>3530</v>
      </c>
      <c r="C2129" s="608" t="s">
        <v>1659</v>
      </c>
      <c r="D2129" s="599">
        <v>59.33</v>
      </c>
    </row>
    <row r="2130" spans="1:4">
      <c r="A2130" s="606">
        <v>98014</v>
      </c>
      <c r="B2130" s="607" t="s">
        <v>3531</v>
      </c>
      <c r="C2130" s="608" t="s">
        <v>1615</v>
      </c>
      <c r="D2130" s="599">
        <v>12.98</v>
      </c>
    </row>
    <row r="2131" spans="1:4">
      <c r="A2131" s="606">
        <v>98015</v>
      </c>
      <c r="B2131" s="607" t="s">
        <v>3532</v>
      </c>
      <c r="C2131" s="608" t="s">
        <v>1615</v>
      </c>
      <c r="D2131" s="599">
        <v>16.32</v>
      </c>
    </row>
    <row r="2132" spans="1:4">
      <c r="A2132" s="606">
        <v>98016</v>
      </c>
      <c r="B2132" s="607" t="s">
        <v>3533</v>
      </c>
      <c r="C2132" s="608" t="s">
        <v>1615</v>
      </c>
      <c r="D2132" s="599">
        <v>855.64</v>
      </c>
    </row>
    <row r="2133" spans="1:4">
      <c r="A2133" s="606">
        <v>98017</v>
      </c>
      <c r="B2133" s="607" t="s">
        <v>3534</v>
      </c>
      <c r="C2133" s="608" t="s">
        <v>1615</v>
      </c>
      <c r="D2133" s="599">
        <v>257.5</v>
      </c>
    </row>
    <row r="2134" spans="1:4">
      <c r="A2134" s="606">
        <v>98018</v>
      </c>
      <c r="B2134" s="607" t="s">
        <v>3535</v>
      </c>
      <c r="C2134" s="608" t="s">
        <v>1615</v>
      </c>
      <c r="D2134" s="599">
        <v>654.47</v>
      </c>
    </row>
    <row r="2135" spans="1:4">
      <c r="A2135" s="606">
        <v>98019</v>
      </c>
      <c r="B2135" s="607" t="s">
        <v>3536</v>
      </c>
      <c r="C2135" s="608" t="s">
        <v>1615</v>
      </c>
      <c r="D2135" s="599">
        <v>186.51</v>
      </c>
    </row>
    <row r="2136" spans="1:4">
      <c r="A2136" s="606">
        <v>98021</v>
      </c>
      <c r="B2136" s="607" t="s">
        <v>3537</v>
      </c>
      <c r="C2136" s="608" t="s">
        <v>1659</v>
      </c>
      <c r="D2136" s="599">
        <v>55.85</v>
      </c>
    </row>
    <row r="2137" spans="1:4">
      <c r="A2137" s="606">
        <v>98022</v>
      </c>
      <c r="B2137" s="607" t="s">
        <v>3538</v>
      </c>
      <c r="C2137" s="608" t="s">
        <v>1659</v>
      </c>
      <c r="D2137" s="599">
        <v>65.8</v>
      </c>
    </row>
    <row r="2138" spans="1:4">
      <c r="A2138" s="606">
        <v>98023</v>
      </c>
      <c r="B2138" s="607" t="s">
        <v>3539</v>
      </c>
      <c r="C2138" s="608" t="s">
        <v>1659</v>
      </c>
      <c r="D2138" s="599">
        <v>36.35</v>
      </c>
    </row>
    <row r="2139" spans="1:4">
      <c r="A2139" s="606">
        <v>98024</v>
      </c>
      <c r="B2139" s="607" t="s">
        <v>3540</v>
      </c>
      <c r="C2139" s="608" t="s">
        <v>1659</v>
      </c>
      <c r="D2139" s="599">
        <v>38.08</v>
      </c>
    </row>
    <row r="2140" spans="1:4">
      <c r="A2140" s="606">
        <v>98025</v>
      </c>
      <c r="B2140" s="607" t="s">
        <v>3541</v>
      </c>
      <c r="C2140" s="608" t="s">
        <v>1659</v>
      </c>
      <c r="D2140" s="599">
        <v>48.11</v>
      </c>
    </row>
    <row r="2141" spans="1:4">
      <c r="A2141" s="606">
        <v>98026</v>
      </c>
      <c r="B2141" s="607" t="s">
        <v>3542</v>
      </c>
      <c r="C2141" s="608" t="s">
        <v>1615</v>
      </c>
      <c r="D2141" s="599">
        <v>714.73</v>
      </c>
    </row>
    <row r="2142" spans="1:4">
      <c r="A2142" s="606">
        <v>98029</v>
      </c>
      <c r="B2142" s="607" t="s">
        <v>3543</v>
      </c>
      <c r="C2142" s="608" t="s">
        <v>1615</v>
      </c>
      <c r="D2142" s="599">
        <v>187.09</v>
      </c>
    </row>
    <row r="2143" spans="1:4">
      <c r="A2143" s="606">
        <v>98030</v>
      </c>
      <c r="B2143" s="607" t="s">
        <v>3544</v>
      </c>
      <c r="C2143" s="608" t="s">
        <v>1615</v>
      </c>
      <c r="D2143" s="599">
        <v>181.16</v>
      </c>
    </row>
    <row r="2144" spans="1:4">
      <c r="A2144" s="606">
        <v>98031</v>
      </c>
      <c r="B2144" s="607" t="s">
        <v>3545</v>
      </c>
      <c r="C2144" s="608" t="s">
        <v>1615</v>
      </c>
      <c r="D2144" s="599">
        <v>226.52</v>
      </c>
    </row>
    <row r="2145" spans="1:4">
      <c r="A2145" s="606">
        <v>98032</v>
      </c>
      <c r="B2145" s="607" t="s">
        <v>3546</v>
      </c>
      <c r="C2145" s="608" t="s">
        <v>1615</v>
      </c>
      <c r="D2145" s="599">
        <v>220.59</v>
      </c>
    </row>
    <row r="2146" spans="1:4">
      <c r="A2146" s="606">
        <v>98033</v>
      </c>
      <c r="B2146" s="607" t="s">
        <v>3547</v>
      </c>
      <c r="C2146" s="608" t="s">
        <v>1615</v>
      </c>
      <c r="D2146" s="599">
        <v>724.3</v>
      </c>
    </row>
    <row r="2147" spans="1:4">
      <c r="A2147" s="606">
        <v>98034</v>
      </c>
      <c r="B2147" s="607" t="s">
        <v>3548</v>
      </c>
      <c r="C2147" s="608" t="s">
        <v>1615</v>
      </c>
      <c r="D2147" s="599">
        <v>1627.7</v>
      </c>
    </row>
    <row r="2148" spans="1:4">
      <c r="A2148" s="606">
        <v>98036</v>
      </c>
      <c r="B2148" s="607" t="s">
        <v>3549</v>
      </c>
      <c r="C2148" s="608" t="s">
        <v>1615</v>
      </c>
      <c r="D2148" s="599">
        <v>14587.36</v>
      </c>
    </row>
    <row r="2149" spans="1:4">
      <c r="A2149" s="606">
        <v>98038</v>
      </c>
      <c r="B2149" s="607" t="s">
        <v>3550</v>
      </c>
      <c r="C2149" s="608" t="s">
        <v>1615</v>
      </c>
      <c r="D2149" s="599">
        <v>752.89</v>
      </c>
    </row>
    <row r="2150" spans="1:4">
      <c r="A2150" s="606">
        <v>98039</v>
      </c>
      <c r="B2150" s="607" t="s">
        <v>3551</v>
      </c>
      <c r="C2150" s="608" t="s">
        <v>1615</v>
      </c>
      <c r="D2150" s="599">
        <v>374.27</v>
      </c>
    </row>
    <row r="2151" spans="1:4">
      <c r="A2151" s="606">
        <v>98040</v>
      </c>
      <c r="B2151" s="607" t="s">
        <v>3552</v>
      </c>
      <c r="C2151" s="608" t="s">
        <v>1615</v>
      </c>
      <c r="D2151" s="599">
        <v>576.74</v>
      </c>
    </row>
    <row r="2152" spans="1:4">
      <c r="A2152" s="606">
        <v>98041</v>
      </c>
      <c r="B2152" s="607" t="s">
        <v>3553</v>
      </c>
      <c r="C2152" s="608" t="s">
        <v>1615</v>
      </c>
      <c r="D2152" s="599">
        <v>179.46</v>
      </c>
    </row>
    <row r="2153" spans="1:4">
      <c r="A2153" s="606">
        <v>98042</v>
      </c>
      <c r="B2153" s="607" t="s">
        <v>3554</v>
      </c>
      <c r="C2153" s="608" t="s">
        <v>1615</v>
      </c>
      <c r="D2153" s="599">
        <v>69.53</v>
      </c>
    </row>
    <row r="2154" spans="1:4">
      <c r="A2154" s="606">
        <v>98043</v>
      </c>
      <c r="B2154" s="607" t="s">
        <v>3555</v>
      </c>
      <c r="C2154" s="608" t="s">
        <v>2087</v>
      </c>
      <c r="D2154" s="599">
        <v>452.45</v>
      </c>
    </row>
    <row r="2155" spans="1:4">
      <c r="A2155" s="606">
        <v>98044</v>
      </c>
      <c r="B2155" s="607" t="s">
        <v>3556</v>
      </c>
      <c r="C2155" s="608" t="s">
        <v>1615</v>
      </c>
      <c r="D2155" s="599">
        <v>120.05</v>
      </c>
    </row>
    <row r="2156" spans="1:4">
      <c r="A2156" s="606">
        <v>98045</v>
      </c>
      <c r="B2156" s="607" t="s">
        <v>3557</v>
      </c>
      <c r="C2156" s="608" t="s">
        <v>1615</v>
      </c>
      <c r="D2156" s="599">
        <v>124.3</v>
      </c>
    </row>
    <row r="2157" spans="1:4">
      <c r="A2157" s="606">
        <v>98047</v>
      </c>
      <c r="B2157" s="607" t="s">
        <v>3558</v>
      </c>
      <c r="C2157" s="608" t="s">
        <v>1615</v>
      </c>
      <c r="D2157" s="599">
        <v>49.47</v>
      </c>
    </row>
    <row r="2158" spans="1:4">
      <c r="A2158" s="606">
        <v>98048</v>
      </c>
      <c r="B2158" s="607" t="s">
        <v>3559</v>
      </c>
      <c r="C2158" s="608" t="s">
        <v>1615</v>
      </c>
      <c r="D2158" s="599">
        <v>34.94</v>
      </c>
    </row>
    <row r="2159" spans="1:4">
      <c r="A2159" s="606">
        <v>98049</v>
      </c>
      <c r="B2159" s="607" t="s">
        <v>3560</v>
      </c>
      <c r="C2159" s="608" t="s">
        <v>1615</v>
      </c>
      <c r="D2159" s="599">
        <v>117</v>
      </c>
    </row>
    <row r="2160" spans="1:4">
      <c r="A2160" s="606">
        <v>98050</v>
      </c>
      <c r="B2160" s="607" t="s">
        <v>3561</v>
      </c>
      <c r="C2160" s="608" t="s">
        <v>1615</v>
      </c>
      <c r="D2160" s="599">
        <v>134.01</v>
      </c>
    </row>
    <row r="2161" spans="1:4">
      <c r="A2161" s="606">
        <v>98051</v>
      </c>
      <c r="B2161" s="607" t="s">
        <v>3562</v>
      </c>
      <c r="C2161" s="608" t="s">
        <v>1615</v>
      </c>
      <c r="D2161" s="599">
        <v>27.43</v>
      </c>
    </row>
    <row r="2162" spans="1:4">
      <c r="A2162" s="606">
        <v>98052</v>
      </c>
      <c r="B2162" s="607" t="s">
        <v>3563</v>
      </c>
      <c r="C2162" s="608" t="s">
        <v>1615</v>
      </c>
      <c r="D2162" s="599">
        <v>136.37</v>
      </c>
    </row>
    <row r="2163" spans="1:4">
      <c r="A2163" s="606">
        <v>98053</v>
      </c>
      <c r="B2163" s="607" t="s">
        <v>3564</v>
      </c>
      <c r="C2163" s="608" t="s">
        <v>1615</v>
      </c>
      <c r="D2163" s="599">
        <v>253.94</v>
      </c>
    </row>
    <row r="2164" spans="1:4">
      <c r="A2164" s="606">
        <v>98054</v>
      </c>
      <c r="B2164" s="607" t="s">
        <v>3565</v>
      </c>
      <c r="C2164" s="608" t="s">
        <v>1615</v>
      </c>
      <c r="D2164" s="599">
        <v>1203.98</v>
      </c>
    </row>
    <row r="2165" spans="1:4">
      <c r="A2165" s="606">
        <v>98055</v>
      </c>
      <c r="B2165" s="607" t="s">
        <v>3566</v>
      </c>
      <c r="C2165" s="608" t="s">
        <v>1615</v>
      </c>
      <c r="D2165" s="599">
        <v>6239.33</v>
      </c>
    </row>
    <row r="2166" spans="1:4">
      <c r="A2166" s="606">
        <v>98057</v>
      </c>
      <c r="B2166" s="607" t="s">
        <v>3567</v>
      </c>
      <c r="C2166" s="608" t="s">
        <v>1615</v>
      </c>
      <c r="D2166" s="599">
        <v>8010.05</v>
      </c>
    </row>
    <row r="2167" spans="1:4">
      <c r="A2167" s="606">
        <v>98058</v>
      </c>
      <c r="B2167" s="607" t="s">
        <v>3568</v>
      </c>
      <c r="C2167" s="608" t="s">
        <v>1615</v>
      </c>
      <c r="D2167" s="599">
        <v>9933.2999999999993</v>
      </c>
    </row>
    <row r="2168" spans="1:4">
      <c r="A2168" s="606">
        <v>98059</v>
      </c>
      <c r="B2168" s="607" t="s">
        <v>3569</v>
      </c>
      <c r="C2168" s="608" t="s">
        <v>1615</v>
      </c>
      <c r="D2168" s="599">
        <v>9856.9</v>
      </c>
    </row>
    <row r="2169" spans="1:4">
      <c r="A2169" s="618">
        <v>98060</v>
      </c>
      <c r="B2169" s="619" t="s">
        <v>3570</v>
      </c>
      <c r="C2169" s="620" t="s">
        <v>1615</v>
      </c>
      <c r="D2169" s="621">
        <v>12128.81</v>
      </c>
    </row>
    <row r="2170" spans="1:4">
      <c r="A2170" s="606">
        <v>98061</v>
      </c>
      <c r="B2170" s="607" t="s">
        <v>3571</v>
      </c>
      <c r="C2170" s="608" t="s">
        <v>1615</v>
      </c>
      <c r="D2170" s="599">
        <v>16096.38</v>
      </c>
    </row>
    <row r="2171" spans="1:4">
      <c r="A2171" s="606">
        <v>98062</v>
      </c>
      <c r="B2171" s="607" t="s">
        <v>3572</v>
      </c>
      <c r="C2171" s="608" t="s">
        <v>1615</v>
      </c>
      <c r="D2171" s="599">
        <v>19869.57</v>
      </c>
    </row>
    <row r="2172" spans="1:4">
      <c r="A2172" s="606">
        <v>98063</v>
      </c>
      <c r="B2172" s="607" t="s">
        <v>3573</v>
      </c>
      <c r="C2172" s="608" t="s">
        <v>1615</v>
      </c>
      <c r="D2172" s="599">
        <v>39535.71</v>
      </c>
    </row>
    <row r="2173" spans="1:4">
      <c r="A2173" s="606">
        <v>98064</v>
      </c>
      <c r="B2173" s="607" t="s">
        <v>3574</v>
      </c>
      <c r="C2173" s="608" t="s">
        <v>1615</v>
      </c>
      <c r="D2173" s="599">
        <v>118.61</v>
      </c>
    </row>
    <row r="2174" spans="1:4">
      <c r="A2174" s="606">
        <v>98065</v>
      </c>
      <c r="B2174" s="607" t="s">
        <v>3575</v>
      </c>
      <c r="C2174" s="608" t="s">
        <v>1615</v>
      </c>
      <c r="D2174" s="599">
        <v>427.45</v>
      </c>
    </row>
    <row r="2175" spans="1:4">
      <c r="A2175" s="606">
        <v>98067</v>
      </c>
      <c r="B2175" s="607" t="s">
        <v>3576</v>
      </c>
      <c r="C2175" s="608" t="s">
        <v>1615</v>
      </c>
      <c r="D2175" s="599">
        <v>223.95</v>
      </c>
    </row>
    <row r="2176" spans="1:4">
      <c r="A2176" s="606">
        <v>98068</v>
      </c>
      <c r="B2176" s="607" t="s">
        <v>3577</v>
      </c>
      <c r="C2176" s="608" t="s">
        <v>1615</v>
      </c>
      <c r="D2176" s="599">
        <v>359.61</v>
      </c>
    </row>
    <row r="2177" spans="1:4">
      <c r="A2177" s="606">
        <v>98069</v>
      </c>
      <c r="B2177" s="607" t="s">
        <v>3578</v>
      </c>
      <c r="C2177" s="608" t="s">
        <v>1615</v>
      </c>
      <c r="D2177" s="599">
        <v>240.32</v>
      </c>
    </row>
    <row r="2178" spans="1:4">
      <c r="A2178" s="606">
        <v>98070</v>
      </c>
      <c r="B2178" s="607" t="s">
        <v>3579</v>
      </c>
      <c r="C2178" s="608" t="s">
        <v>1615</v>
      </c>
      <c r="D2178" s="599">
        <v>260.01</v>
      </c>
    </row>
    <row r="2179" spans="1:4">
      <c r="A2179" s="606">
        <v>98071</v>
      </c>
      <c r="B2179" s="607" t="s">
        <v>3580</v>
      </c>
      <c r="C2179" s="608" t="s">
        <v>1615</v>
      </c>
      <c r="D2179" s="599">
        <v>395.72</v>
      </c>
    </row>
    <row r="2180" spans="1:4">
      <c r="A2180" s="606">
        <v>98072</v>
      </c>
      <c r="B2180" s="607" t="s">
        <v>3581</v>
      </c>
      <c r="C2180" s="608" t="s">
        <v>1615</v>
      </c>
      <c r="D2180" s="599">
        <v>284.58</v>
      </c>
    </row>
    <row r="2181" spans="1:4">
      <c r="A2181" s="606">
        <v>98074</v>
      </c>
      <c r="B2181" s="607" t="s">
        <v>3582</v>
      </c>
      <c r="C2181" s="608" t="s">
        <v>1615</v>
      </c>
      <c r="D2181" s="599">
        <v>458.43</v>
      </c>
    </row>
    <row r="2182" spans="1:4">
      <c r="A2182" s="606">
        <v>98075</v>
      </c>
      <c r="B2182" s="607" t="s">
        <v>3583</v>
      </c>
      <c r="C2182" s="608" t="s">
        <v>1615</v>
      </c>
      <c r="D2182" s="599">
        <v>303.94</v>
      </c>
    </row>
    <row r="2183" spans="1:4">
      <c r="A2183" s="606">
        <v>98076</v>
      </c>
      <c r="B2183" s="607" t="s">
        <v>3584</v>
      </c>
      <c r="C2183" s="608" t="s">
        <v>1615</v>
      </c>
      <c r="D2183" s="599">
        <v>669.36</v>
      </c>
    </row>
    <row r="2184" spans="1:4">
      <c r="A2184" s="606">
        <v>98077</v>
      </c>
      <c r="B2184" s="607" t="s">
        <v>3585</v>
      </c>
      <c r="C2184" s="608" t="s">
        <v>1615</v>
      </c>
      <c r="D2184" s="599">
        <v>423.35</v>
      </c>
    </row>
    <row r="2185" spans="1:4">
      <c r="A2185" s="606">
        <v>98078</v>
      </c>
      <c r="B2185" s="607" t="s">
        <v>3586</v>
      </c>
      <c r="C2185" s="608" t="s">
        <v>1615</v>
      </c>
      <c r="D2185" s="599">
        <v>818.3</v>
      </c>
    </row>
    <row r="2186" spans="1:4">
      <c r="A2186" s="606">
        <v>98079</v>
      </c>
      <c r="B2186" s="607" t="s">
        <v>3587</v>
      </c>
      <c r="C2186" s="608" t="s">
        <v>1615</v>
      </c>
      <c r="D2186" s="599">
        <v>954.1</v>
      </c>
    </row>
    <row r="2187" spans="1:4">
      <c r="A2187" s="606">
        <v>98080</v>
      </c>
      <c r="B2187" s="607" t="s">
        <v>3588</v>
      </c>
      <c r="C2187" s="608" t="s">
        <v>1615</v>
      </c>
      <c r="D2187" s="599">
        <v>1089.76</v>
      </c>
    </row>
    <row r="2188" spans="1:4">
      <c r="A2188" s="606">
        <v>98081</v>
      </c>
      <c r="B2188" s="607" t="s">
        <v>3589</v>
      </c>
      <c r="C2188" s="608" t="s">
        <v>1615</v>
      </c>
      <c r="D2188" s="599">
        <v>1143.68</v>
      </c>
    </row>
    <row r="2189" spans="1:4">
      <c r="A2189" s="606">
        <v>98082</v>
      </c>
      <c r="B2189" s="607" t="s">
        <v>3590</v>
      </c>
      <c r="C2189" s="608" t="s">
        <v>1615</v>
      </c>
      <c r="D2189" s="599">
        <v>649.63</v>
      </c>
    </row>
    <row r="2190" spans="1:4">
      <c r="A2190" s="606">
        <v>98083</v>
      </c>
      <c r="B2190" s="607" t="s">
        <v>3591</v>
      </c>
      <c r="C2190" s="608" t="s">
        <v>1615</v>
      </c>
      <c r="D2190" s="599">
        <v>1330.17</v>
      </c>
    </row>
    <row r="2191" spans="1:4">
      <c r="A2191" s="606">
        <v>98084</v>
      </c>
      <c r="B2191" s="607" t="s">
        <v>3592</v>
      </c>
      <c r="C2191" s="608" t="s">
        <v>1615</v>
      </c>
      <c r="D2191" s="599">
        <v>1539.15</v>
      </c>
    </row>
    <row r="2192" spans="1:4">
      <c r="A2192" s="606">
        <v>98085</v>
      </c>
      <c r="B2192" s="607" t="s">
        <v>3593</v>
      </c>
      <c r="C2192" s="608" t="s">
        <v>1615</v>
      </c>
      <c r="D2192" s="599">
        <v>1710.39</v>
      </c>
    </row>
    <row r="2193" spans="1:6">
      <c r="A2193" s="606">
        <v>98086</v>
      </c>
      <c r="B2193" s="607" t="s">
        <v>3594</v>
      </c>
      <c r="C2193" s="608" t="s">
        <v>1615</v>
      </c>
      <c r="D2193" s="599">
        <v>1969.22</v>
      </c>
    </row>
    <row r="2194" spans="1:6">
      <c r="A2194" s="606">
        <v>98088</v>
      </c>
      <c r="B2194" s="607" t="s">
        <v>3595</v>
      </c>
      <c r="C2194" s="608" t="s">
        <v>1615</v>
      </c>
      <c r="D2194" s="599">
        <v>331.02</v>
      </c>
    </row>
    <row r="2195" spans="1:6">
      <c r="A2195" s="606">
        <v>98090</v>
      </c>
      <c r="B2195" s="607" t="s">
        <v>3596</v>
      </c>
      <c r="C2195" s="608" t="s">
        <v>1615</v>
      </c>
      <c r="D2195" s="599">
        <v>80.099999999999994</v>
      </c>
    </row>
    <row r="2196" spans="1:6">
      <c r="A2196" s="606">
        <v>98099</v>
      </c>
      <c r="B2196" s="607" t="s">
        <v>3597</v>
      </c>
      <c r="C2196" s="608" t="s">
        <v>1652</v>
      </c>
      <c r="D2196" s="599">
        <v>263.25</v>
      </c>
    </row>
    <row r="2197" spans="1:6">
      <c r="A2197" s="589">
        <v>982</v>
      </c>
      <c r="B2197" s="596" t="s">
        <v>3598</v>
      </c>
      <c r="C2197" s="588"/>
      <c r="D2197" s="599"/>
      <c r="F2197" s="585"/>
    </row>
    <row r="2198" spans="1:6">
      <c r="A2198" s="606">
        <v>98201</v>
      </c>
      <c r="B2198" s="607" t="s">
        <v>3599</v>
      </c>
      <c r="C2198" s="608" t="s">
        <v>1615</v>
      </c>
      <c r="D2198" s="599">
        <v>702.07</v>
      </c>
    </row>
    <row r="2199" spans="1:6">
      <c r="A2199" s="606">
        <v>98202</v>
      </c>
      <c r="B2199" s="607" t="s">
        <v>3600</v>
      </c>
      <c r="C2199" s="608" t="s">
        <v>1615</v>
      </c>
      <c r="D2199" s="599">
        <v>531.91</v>
      </c>
    </row>
    <row r="2200" spans="1:6">
      <c r="A2200" s="606">
        <v>98204</v>
      </c>
      <c r="B2200" s="607" t="s">
        <v>3601</v>
      </c>
      <c r="C2200" s="608" t="s">
        <v>1615</v>
      </c>
      <c r="D2200" s="599">
        <v>11.96</v>
      </c>
    </row>
    <row r="2201" spans="1:6">
      <c r="A2201" s="606">
        <v>98205</v>
      </c>
      <c r="B2201" s="607" t="s">
        <v>3602</v>
      </c>
      <c r="C2201" s="608" t="s">
        <v>1615</v>
      </c>
      <c r="D2201" s="599">
        <v>9.7100000000000009</v>
      </c>
    </row>
    <row r="2202" spans="1:6">
      <c r="A2202" s="606">
        <v>98206</v>
      </c>
      <c r="B2202" s="607" t="s">
        <v>3603</v>
      </c>
      <c r="C2202" s="608" t="s">
        <v>1615</v>
      </c>
      <c r="D2202" s="599">
        <v>13.36</v>
      </c>
    </row>
    <row r="2203" spans="1:6">
      <c r="A2203" s="606">
        <v>98207</v>
      </c>
      <c r="B2203" s="607" t="s">
        <v>3604</v>
      </c>
      <c r="C2203" s="608" t="s">
        <v>1615</v>
      </c>
      <c r="D2203" s="599">
        <v>17.21</v>
      </c>
    </row>
    <row r="2204" spans="1:6">
      <c r="A2204" s="606">
        <v>98209</v>
      </c>
      <c r="B2204" s="607" t="s">
        <v>3605</v>
      </c>
      <c r="C2204" s="608" t="s">
        <v>1615</v>
      </c>
      <c r="D2204" s="599">
        <v>6.52</v>
      </c>
    </row>
    <row r="2205" spans="1:6">
      <c r="A2205" s="606">
        <v>98210</v>
      </c>
      <c r="B2205" s="607" t="s">
        <v>3606</v>
      </c>
      <c r="C2205" s="608" t="s">
        <v>1615</v>
      </c>
      <c r="D2205" s="599">
        <v>8.18</v>
      </c>
    </row>
    <row r="2206" spans="1:6">
      <c r="A2206" s="606">
        <v>98211</v>
      </c>
      <c r="B2206" s="607" t="s">
        <v>3607</v>
      </c>
      <c r="C2206" s="608" t="s">
        <v>1615</v>
      </c>
      <c r="D2206" s="599">
        <v>4.08</v>
      </c>
    </row>
    <row r="2207" spans="1:6">
      <c r="A2207" s="606">
        <v>98215</v>
      </c>
      <c r="B2207" s="607" t="s">
        <v>3608</v>
      </c>
      <c r="C2207" s="608" t="s">
        <v>1615</v>
      </c>
      <c r="D2207" s="599">
        <v>7.07</v>
      </c>
    </row>
    <row r="2208" spans="1:6">
      <c r="A2208" s="606">
        <v>98220</v>
      </c>
      <c r="B2208" s="607" t="s">
        <v>3609</v>
      </c>
      <c r="C2208" s="608" t="s">
        <v>1659</v>
      </c>
      <c r="D2208" s="599">
        <v>5.64</v>
      </c>
    </row>
    <row r="2209" spans="1:4">
      <c r="A2209" s="606">
        <v>98221</v>
      </c>
      <c r="B2209" s="607" t="s">
        <v>3610</v>
      </c>
      <c r="C2209" s="608" t="s">
        <v>1659</v>
      </c>
      <c r="D2209" s="599">
        <v>6.47</v>
      </c>
    </row>
    <row r="2210" spans="1:4">
      <c r="A2210" s="606">
        <v>98225</v>
      </c>
      <c r="B2210" s="607" t="s">
        <v>3611</v>
      </c>
      <c r="C2210" s="608" t="s">
        <v>1615</v>
      </c>
      <c r="D2210" s="599">
        <v>8.2100000000000009</v>
      </c>
    </row>
    <row r="2211" spans="1:4">
      <c r="A2211" s="606">
        <v>98226</v>
      </c>
      <c r="B2211" s="607" t="s">
        <v>3612</v>
      </c>
      <c r="C2211" s="608" t="s">
        <v>1615</v>
      </c>
      <c r="D2211" s="599">
        <v>8.68</v>
      </c>
    </row>
    <row r="2212" spans="1:4">
      <c r="A2212" s="606">
        <v>98227</v>
      </c>
      <c r="B2212" s="607" t="s">
        <v>3613</v>
      </c>
      <c r="C2212" s="608" t="s">
        <v>1615</v>
      </c>
      <c r="D2212" s="599">
        <v>8.76</v>
      </c>
    </row>
    <row r="2213" spans="1:4">
      <c r="A2213" s="606">
        <v>98228</v>
      </c>
      <c r="B2213" s="607" t="s">
        <v>3614</v>
      </c>
      <c r="C2213" s="608" t="s">
        <v>1615</v>
      </c>
      <c r="D2213" s="599">
        <v>11.23</v>
      </c>
    </row>
    <row r="2214" spans="1:4">
      <c r="A2214" s="606">
        <v>98229</v>
      </c>
      <c r="B2214" s="607" t="s">
        <v>3615</v>
      </c>
      <c r="C2214" s="608" t="s">
        <v>1615</v>
      </c>
      <c r="D2214" s="599">
        <v>12.06</v>
      </c>
    </row>
    <row r="2215" spans="1:4">
      <c r="A2215" s="606">
        <v>98230</v>
      </c>
      <c r="B2215" s="607" t="s">
        <v>3616</v>
      </c>
      <c r="C2215" s="608" t="s">
        <v>1615</v>
      </c>
      <c r="D2215" s="599">
        <v>12.33</v>
      </c>
    </row>
    <row r="2216" spans="1:4">
      <c r="A2216" s="606">
        <v>98231</v>
      </c>
      <c r="B2216" s="607" t="s">
        <v>3617</v>
      </c>
      <c r="C2216" s="608" t="s">
        <v>1615</v>
      </c>
      <c r="D2216" s="599">
        <v>14.14</v>
      </c>
    </row>
    <row r="2217" spans="1:4">
      <c r="A2217" s="606">
        <v>98232</v>
      </c>
      <c r="B2217" s="607" t="s">
        <v>3618</v>
      </c>
      <c r="C2217" s="608" t="s">
        <v>1615</v>
      </c>
      <c r="D2217" s="599">
        <v>18.79</v>
      </c>
    </row>
    <row r="2218" spans="1:4">
      <c r="A2218" s="606">
        <v>98233</v>
      </c>
      <c r="B2218" s="607" t="s">
        <v>3619</v>
      </c>
      <c r="C2218" s="608" t="s">
        <v>1615</v>
      </c>
      <c r="D2218" s="599">
        <v>19.14</v>
      </c>
    </row>
    <row r="2219" spans="1:4">
      <c r="A2219" s="606">
        <v>98234</v>
      </c>
      <c r="B2219" s="607" t="s">
        <v>3620</v>
      </c>
      <c r="C2219" s="608" t="s">
        <v>1615</v>
      </c>
      <c r="D2219" s="599">
        <v>21.69</v>
      </c>
    </row>
    <row r="2220" spans="1:4">
      <c r="A2220" s="606">
        <v>98235</v>
      </c>
      <c r="B2220" s="607" t="s">
        <v>3621</v>
      </c>
      <c r="C2220" s="608" t="s">
        <v>1615</v>
      </c>
      <c r="D2220" s="599">
        <v>24.81</v>
      </c>
    </row>
    <row r="2221" spans="1:4">
      <c r="A2221" s="606">
        <v>98237</v>
      </c>
      <c r="B2221" s="607" t="s">
        <v>3622</v>
      </c>
      <c r="C2221" s="608" t="s">
        <v>1240</v>
      </c>
      <c r="D2221" s="599">
        <v>470.42</v>
      </c>
    </row>
    <row r="2222" spans="1:4">
      <c r="A2222" s="606">
        <v>98241</v>
      </c>
      <c r="B2222" s="607" t="s">
        <v>3623</v>
      </c>
      <c r="C2222" s="608" t="s">
        <v>1240</v>
      </c>
      <c r="D2222" s="599">
        <v>53.26</v>
      </c>
    </row>
    <row r="2223" spans="1:4">
      <c r="A2223" s="606">
        <v>98242</v>
      </c>
      <c r="B2223" s="607" t="s">
        <v>3624</v>
      </c>
      <c r="C2223" s="608" t="s">
        <v>1240</v>
      </c>
      <c r="D2223" s="599">
        <v>115.2</v>
      </c>
    </row>
    <row r="2224" spans="1:4">
      <c r="A2224" s="606">
        <v>98246</v>
      </c>
      <c r="B2224" s="607" t="s">
        <v>3625</v>
      </c>
      <c r="C2224" s="608" t="s">
        <v>1615</v>
      </c>
      <c r="D2224" s="599">
        <v>29.52</v>
      </c>
    </row>
    <row r="2225" spans="1:4">
      <c r="A2225" s="606">
        <v>98247</v>
      </c>
      <c r="B2225" s="607" t="s">
        <v>3626</v>
      </c>
      <c r="C2225" s="608" t="s">
        <v>1615</v>
      </c>
      <c r="D2225" s="599">
        <v>36.06</v>
      </c>
    </row>
    <row r="2226" spans="1:4">
      <c r="A2226" s="606">
        <v>98248</v>
      </c>
      <c r="B2226" s="607" t="s">
        <v>3627</v>
      </c>
      <c r="C2226" s="608" t="s">
        <v>1615</v>
      </c>
      <c r="D2226" s="599">
        <v>51.47</v>
      </c>
    </row>
    <row r="2227" spans="1:4">
      <c r="A2227" s="606">
        <v>98249</v>
      </c>
      <c r="B2227" s="607" t="s">
        <v>3628</v>
      </c>
      <c r="C2227" s="608" t="s">
        <v>1615</v>
      </c>
      <c r="D2227" s="599">
        <v>135.03</v>
      </c>
    </row>
    <row r="2228" spans="1:4">
      <c r="A2228" s="606">
        <v>98250</v>
      </c>
      <c r="B2228" s="607" t="s">
        <v>3629</v>
      </c>
      <c r="C2228" s="608" t="s">
        <v>1615</v>
      </c>
      <c r="D2228" s="599">
        <v>297.97000000000003</v>
      </c>
    </row>
    <row r="2229" spans="1:4">
      <c r="A2229" s="606">
        <v>98255</v>
      </c>
      <c r="B2229" s="607" t="s">
        <v>3630</v>
      </c>
      <c r="C2229" s="608" t="s">
        <v>1615</v>
      </c>
      <c r="D2229" s="599">
        <v>23.18</v>
      </c>
    </row>
    <row r="2230" spans="1:4">
      <c r="A2230" s="606">
        <v>98256</v>
      </c>
      <c r="B2230" s="607" t="s">
        <v>3631</v>
      </c>
      <c r="C2230" s="608" t="s">
        <v>1615</v>
      </c>
      <c r="D2230" s="599">
        <v>22.18</v>
      </c>
    </row>
    <row r="2231" spans="1:4">
      <c r="A2231" s="606">
        <v>98257</v>
      </c>
      <c r="B2231" s="607" t="s">
        <v>3632</v>
      </c>
      <c r="C2231" s="608" t="s">
        <v>1615</v>
      </c>
      <c r="D2231" s="599">
        <v>41.17</v>
      </c>
    </row>
    <row r="2232" spans="1:4">
      <c r="A2232" s="606">
        <v>98260</v>
      </c>
      <c r="B2232" s="607" t="s">
        <v>3633</v>
      </c>
      <c r="C2232" s="608" t="s">
        <v>1615</v>
      </c>
      <c r="D2232" s="599">
        <v>22.82</v>
      </c>
    </row>
    <row r="2233" spans="1:4">
      <c r="A2233" s="606">
        <v>98261</v>
      </c>
      <c r="B2233" s="607" t="s">
        <v>3634</v>
      </c>
      <c r="C2233" s="608" t="s">
        <v>1615</v>
      </c>
      <c r="D2233" s="599">
        <v>27.19</v>
      </c>
    </row>
    <row r="2234" spans="1:4">
      <c r="A2234" s="606">
        <v>98262</v>
      </c>
      <c r="B2234" s="607" t="s">
        <v>3635</v>
      </c>
      <c r="C2234" s="608" t="s">
        <v>1615</v>
      </c>
      <c r="D2234" s="599">
        <v>54.24</v>
      </c>
    </row>
    <row r="2235" spans="1:4">
      <c r="A2235" s="606">
        <v>98263</v>
      </c>
      <c r="B2235" s="607" t="s">
        <v>3636</v>
      </c>
      <c r="C2235" s="608" t="s">
        <v>1615</v>
      </c>
      <c r="D2235" s="599">
        <v>93.36</v>
      </c>
    </row>
    <row r="2236" spans="1:4">
      <c r="A2236" s="606">
        <v>98264</v>
      </c>
      <c r="B2236" s="607" t="s">
        <v>3637</v>
      </c>
      <c r="C2236" s="608" t="s">
        <v>1615</v>
      </c>
      <c r="D2236" s="599">
        <v>265.13</v>
      </c>
    </row>
    <row r="2237" spans="1:4">
      <c r="A2237" s="606">
        <v>98265</v>
      </c>
      <c r="B2237" s="607" t="s">
        <v>3638</v>
      </c>
      <c r="C2237" s="608" t="s">
        <v>1615</v>
      </c>
      <c r="D2237" s="599">
        <v>479.84</v>
      </c>
    </row>
    <row r="2238" spans="1:4">
      <c r="A2238" s="606">
        <v>98269</v>
      </c>
      <c r="B2238" s="607" t="s">
        <v>3639</v>
      </c>
      <c r="C2238" s="608" t="s">
        <v>1615</v>
      </c>
      <c r="D2238" s="599">
        <v>35.64</v>
      </c>
    </row>
    <row r="2239" spans="1:4">
      <c r="A2239" s="606">
        <v>98270</v>
      </c>
      <c r="B2239" s="607" t="s">
        <v>3640</v>
      </c>
      <c r="C2239" s="608" t="s">
        <v>1615</v>
      </c>
      <c r="D2239" s="599">
        <v>49.18</v>
      </c>
    </row>
    <row r="2240" spans="1:4">
      <c r="A2240" s="606">
        <v>98275</v>
      </c>
      <c r="B2240" s="607" t="s">
        <v>3641</v>
      </c>
      <c r="C2240" s="608" t="s">
        <v>1615</v>
      </c>
      <c r="D2240" s="599">
        <v>17.2</v>
      </c>
    </row>
    <row r="2241" spans="1:6">
      <c r="A2241" s="606">
        <v>98284</v>
      </c>
      <c r="B2241" s="607" t="s">
        <v>3642</v>
      </c>
      <c r="C2241" s="608" t="s">
        <v>1615</v>
      </c>
      <c r="D2241" s="599">
        <v>163.19</v>
      </c>
    </row>
    <row r="2242" spans="1:6">
      <c r="A2242" s="606">
        <v>98285</v>
      </c>
      <c r="B2242" s="607" t="s">
        <v>3643</v>
      </c>
      <c r="C2242" s="608" t="s">
        <v>1615</v>
      </c>
      <c r="D2242" s="599">
        <v>233.28</v>
      </c>
    </row>
    <row r="2243" spans="1:6">
      <c r="A2243" s="606">
        <v>98286</v>
      </c>
      <c r="B2243" s="607" t="s">
        <v>3644</v>
      </c>
      <c r="C2243" s="608" t="s">
        <v>1615</v>
      </c>
      <c r="D2243" s="599">
        <v>479.67</v>
      </c>
    </row>
    <row r="2244" spans="1:6">
      <c r="A2244" s="606">
        <v>98287</v>
      </c>
      <c r="B2244" s="607" t="s">
        <v>3645</v>
      </c>
      <c r="C2244" s="608" t="s">
        <v>1615</v>
      </c>
      <c r="D2244" s="599">
        <v>1394.1</v>
      </c>
    </row>
    <row r="2245" spans="1:6">
      <c r="A2245" s="606">
        <v>98290</v>
      </c>
      <c r="B2245" s="607" t="s">
        <v>3646</v>
      </c>
      <c r="C2245" s="608" t="s">
        <v>1615</v>
      </c>
      <c r="D2245" s="599">
        <v>146.44999999999999</v>
      </c>
    </row>
    <row r="2246" spans="1:6">
      <c r="A2246" s="606">
        <v>98291</v>
      </c>
      <c r="B2246" s="607" t="s">
        <v>3647</v>
      </c>
      <c r="C2246" s="608" t="s">
        <v>1615</v>
      </c>
      <c r="D2246" s="599">
        <v>374.56</v>
      </c>
    </row>
    <row r="2247" spans="1:6">
      <c r="A2247" s="606">
        <v>98292</v>
      </c>
      <c r="B2247" s="607" t="s">
        <v>3648</v>
      </c>
      <c r="C2247" s="608" t="s">
        <v>1615</v>
      </c>
      <c r="D2247" s="599">
        <v>548.73</v>
      </c>
    </row>
    <row r="2248" spans="1:6">
      <c r="A2248" s="606">
        <v>98293</v>
      </c>
      <c r="B2248" s="607" t="s">
        <v>3649</v>
      </c>
      <c r="C2248" s="608" t="s">
        <v>1615</v>
      </c>
      <c r="D2248" s="599">
        <v>925.7</v>
      </c>
    </row>
    <row r="2249" spans="1:6">
      <c r="A2249" s="606">
        <v>98295</v>
      </c>
      <c r="B2249" s="607" t="s">
        <v>3650</v>
      </c>
      <c r="C2249" s="608" t="s">
        <v>1659</v>
      </c>
      <c r="D2249" s="599">
        <v>25.35</v>
      </c>
    </row>
    <row r="2250" spans="1:6">
      <c r="A2250" s="606">
        <v>98296</v>
      </c>
      <c r="B2250" s="607" t="s">
        <v>3651</v>
      </c>
      <c r="C2250" s="608" t="s">
        <v>1615</v>
      </c>
      <c r="D2250" s="599">
        <v>27.6</v>
      </c>
    </row>
    <row r="2251" spans="1:6">
      <c r="A2251" s="606">
        <v>98297</v>
      </c>
      <c r="B2251" s="607" t="s">
        <v>3652</v>
      </c>
      <c r="C2251" s="608" t="s">
        <v>1615</v>
      </c>
      <c r="D2251" s="599">
        <v>30.26</v>
      </c>
    </row>
    <row r="2252" spans="1:6">
      <c r="A2252" s="606">
        <v>98299</v>
      </c>
      <c r="B2252" s="607" t="s">
        <v>3653</v>
      </c>
      <c r="C2252" s="608" t="s">
        <v>1652</v>
      </c>
      <c r="D2252" s="599">
        <v>263.25</v>
      </c>
    </row>
    <row r="2253" spans="1:6">
      <c r="A2253" s="589">
        <v>983</v>
      </c>
      <c r="B2253" s="596" t="s">
        <v>3654</v>
      </c>
      <c r="C2253" s="588"/>
      <c r="D2253" s="599"/>
      <c r="F2253" s="585"/>
    </row>
    <row r="2254" spans="1:6">
      <c r="A2254" s="606">
        <v>98301</v>
      </c>
      <c r="B2254" s="607" t="s">
        <v>3655</v>
      </c>
      <c r="C2254" s="608" t="s">
        <v>1615</v>
      </c>
      <c r="D2254" s="599">
        <v>167.43</v>
      </c>
    </row>
    <row r="2255" spans="1:6">
      <c r="A2255" s="606">
        <v>98302</v>
      </c>
      <c r="B2255" s="607" t="s">
        <v>3656</v>
      </c>
      <c r="C2255" s="608" t="s">
        <v>1615</v>
      </c>
      <c r="D2255" s="599">
        <v>632.74</v>
      </c>
    </row>
    <row r="2256" spans="1:6">
      <c r="A2256" s="606">
        <v>98303</v>
      </c>
      <c r="B2256" s="607" t="s">
        <v>3657</v>
      </c>
      <c r="C2256" s="608" t="s">
        <v>1615</v>
      </c>
      <c r="D2256" s="599">
        <v>439.51</v>
      </c>
    </row>
    <row r="2257" spans="1:4">
      <c r="A2257" s="606">
        <v>98304</v>
      </c>
      <c r="B2257" s="607" t="s">
        <v>3658</v>
      </c>
      <c r="C2257" s="608" t="s">
        <v>1615</v>
      </c>
      <c r="D2257" s="599">
        <v>689.42</v>
      </c>
    </row>
    <row r="2258" spans="1:4">
      <c r="A2258" s="606">
        <v>98308</v>
      </c>
      <c r="B2258" s="607" t="s">
        <v>3659</v>
      </c>
      <c r="C2258" s="608" t="s">
        <v>1615</v>
      </c>
      <c r="D2258" s="599">
        <v>5.88</v>
      </c>
    </row>
    <row r="2259" spans="1:4">
      <c r="A2259" s="606">
        <v>98309</v>
      </c>
      <c r="B2259" s="607" t="s">
        <v>3660</v>
      </c>
      <c r="C2259" s="608" t="s">
        <v>1615</v>
      </c>
      <c r="D2259" s="599">
        <v>6.11</v>
      </c>
    </row>
    <row r="2260" spans="1:4">
      <c r="A2260" s="606">
        <v>98313</v>
      </c>
      <c r="B2260" s="607" t="s">
        <v>3661</v>
      </c>
      <c r="C2260" s="608" t="s">
        <v>1615</v>
      </c>
      <c r="D2260" s="599">
        <v>16.329999999999998</v>
      </c>
    </row>
    <row r="2261" spans="1:4">
      <c r="A2261" s="606">
        <v>98314</v>
      </c>
      <c r="B2261" s="607" t="s">
        <v>3662</v>
      </c>
      <c r="C2261" s="608" t="s">
        <v>1615</v>
      </c>
      <c r="D2261" s="599">
        <v>38.9</v>
      </c>
    </row>
    <row r="2262" spans="1:4">
      <c r="A2262" s="606">
        <v>98315</v>
      </c>
      <c r="B2262" s="607" t="s">
        <v>3663</v>
      </c>
      <c r="C2262" s="608" t="s">
        <v>1615</v>
      </c>
      <c r="D2262" s="599">
        <v>49.32</v>
      </c>
    </row>
    <row r="2263" spans="1:4">
      <c r="A2263" s="606">
        <v>98316</v>
      </c>
      <c r="B2263" s="607" t="s">
        <v>3664</v>
      </c>
      <c r="C2263" s="608" t="s">
        <v>1615</v>
      </c>
      <c r="D2263" s="599">
        <v>11.81</v>
      </c>
    </row>
    <row r="2264" spans="1:4">
      <c r="A2264" s="606">
        <v>98317</v>
      </c>
      <c r="B2264" s="607" t="s">
        <v>3665</v>
      </c>
      <c r="C2264" s="608" t="s">
        <v>1615</v>
      </c>
      <c r="D2264" s="599">
        <v>30.98</v>
      </c>
    </row>
    <row r="2265" spans="1:4">
      <c r="A2265" s="606">
        <v>98319</v>
      </c>
      <c r="B2265" s="607" t="s">
        <v>3666</v>
      </c>
      <c r="C2265" s="608" t="s">
        <v>1615</v>
      </c>
      <c r="D2265" s="599">
        <v>4.83</v>
      </c>
    </row>
    <row r="2266" spans="1:4">
      <c r="A2266" s="606">
        <v>98320</v>
      </c>
      <c r="B2266" s="607" t="s">
        <v>3667</v>
      </c>
      <c r="C2266" s="608" t="s">
        <v>1615</v>
      </c>
      <c r="D2266" s="599">
        <v>5.71</v>
      </c>
    </row>
    <row r="2267" spans="1:4">
      <c r="A2267" s="606">
        <v>98325</v>
      </c>
      <c r="B2267" s="607" t="s">
        <v>3668</v>
      </c>
      <c r="C2267" s="608" t="s">
        <v>1615</v>
      </c>
      <c r="D2267" s="599">
        <v>10.59</v>
      </c>
    </row>
    <row r="2268" spans="1:4">
      <c r="A2268" s="606">
        <v>98326</v>
      </c>
      <c r="B2268" s="607" t="s">
        <v>3669</v>
      </c>
      <c r="C2268" s="608" t="s">
        <v>1615</v>
      </c>
      <c r="D2268" s="599">
        <v>21.01</v>
      </c>
    </row>
    <row r="2269" spans="1:4">
      <c r="A2269" s="606">
        <v>98330</v>
      </c>
      <c r="B2269" s="607" t="s">
        <v>3670</v>
      </c>
      <c r="C2269" s="608" t="s">
        <v>1615</v>
      </c>
      <c r="D2269" s="599">
        <v>10.48</v>
      </c>
    </row>
    <row r="2270" spans="1:4">
      <c r="A2270" s="606">
        <v>98331</v>
      </c>
      <c r="B2270" s="607" t="s">
        <v>3671</v>
      </c>
      <c r="C2270" s="608" t="s">
        <v>1615</v>
      </c>
      <c r="D2270" s="599">
        <v>10.66</v>
      </c>
    </row>
    <row r="2271" spans="1:4">
      <c r="A2271" s="606">
        <v>98332</v>
      </c>
      <c r="B2271" s="607" t="s">
        <v>3672</v>
      </c>
      <c r="C2271" s="608" t="s">
        <v>1615</v>
      </c>
      <c r="D2271" s="599">
        <v>18.28</v>
      </c>
    </row>
    <row r="2272" spans="1:4">
      <c r="A2272" s="606">
        <v>98333</v>
      </c>
      <c r="B2272" s="607" t="s">
        <v>3673</v>
      </c>
      <c r="C2272" s="608" t="s">
        <v>1615</v>
      </c>
      <c r="D2272" s="599">
        <v>31.39</v>
      </c>
    </row>
    <row r="2273" spans="1:6">
      <c r="A2273" s="606">
        <v>98334</v>
      </c>
      <c r="B2273" s="607" t="s">
        <v>3674</v>
      </c>
      <c r="C2273" s="608" t="s">
        <v>1615</v>
      </c>
      <c r="D2273" s="599">
        <v>104.2</v>
      </c>
    </row>
    <row r="2274" spans="1:6">
      <c r="A2274" s="606">
        <v>98335</v>
      </c>
      <c r="B2274" s="607" t="s">
        <v>3675</v>
      </c>
      <c r="C2274" s="608" t="s">
        <v>1615</v>
      </c>
      <c r="D2274" s="599">
        <v>33.5</v>
      </c>
    </row>
    <row r="2275" spans="1:6">
      <c r="A2275" s="606">
        <v>98340</v>
      </c>
      <c r="B2275" s="607" t="s">
        <v>3676</v>
      </c>
      <c r="C2275" s="608" t="s">
        <v>1615</v>
      </c>
      <c r="D2275" s="599">
        <v>174.29</v>
      </c>
    </row>
    <row r="2276" spans="1:6">
      <c r="A2276" s="606">
        <v>98341</v>
      </c>
      <c r="B2276" s="607" t="s">
        <v>3677</v>
      </c>
      <c r="C2276" s="608" t="s">
        <v>1615</v>
      </c>
      <c r="D2276" s="599">
        <v>185.14</v>
      </c>
    </row>
    <row r="2277" spans="1:6">
      <c r="A2277" s="606">
        <v>98342</v>
      </c>
      <c r="B2277" s="607" t="s">
        <v>3678</v>
      </c>
      <c r="C2277" s="608" t="s">
        <v>1615</v>
      </c>
      <c r="D2277" s="599">
        <v>258.45</v>
      </c>
    </row>
    <row r="2278" spans="1:6">
      <c r="A2278" s="606">
        <v>98345</v>
      </c>
      <c r="B2278" s="607" t="s">
        <v>3679</v>
      </c>
      <c r="C2278" s="608" t="s">
        <v>1615</v>
      </c>
      <c r="D2278" s="599">
        <v>139.13999999999999</v>
      </c>
    </row>
    <row r="2279" spans="1:6">
      <c r="A2279" s="606">
        <v>98399</v>
      </c>
      <c r="B2279" s="607" t="s">
        <v>3653</v>
      </c>
      <c r="C2279" s="608" t="s">
        <v>1652</v>
      </c>
      <c r="D2279" s="599">
        <v>263.25</v>
      </c>
    </row>
    <row r="2280" spans="1:6">
      <c r="A2280" s="589">
        <v>984</v>
      </c>
      <c r="B2280" s="596" t="s">
        <v>3680</v>
      </c>
      <c r="C2280" s="588"/>
      <c r="D2280" s="599"/>
      <c r="F2280" s="585"/>
    </row>
    <row r="2281" spans="1:6">
      <c r="A2281" s="606">
        <v>98401</v>
      </c>
      <c r="B2281" s="607" t="s">
        <v>3681</v>
      </c>
      <c r="C2281" s="608" t="s">
        <v>1615</v>
      </c>
      <c r="D2281" s="599">
        <v>7.4</v>
      </c>
    </row>
    <row r="2282" spans="1:6">
      <c r="A2282" s="606">
        <v>98402</v>
      </c>
      <c r="B2282" s="607" t="s">
        <v>3682</v>
      </c>
      <c r="C2282" s="608" t="s">
        <v>1615</v>
      </c>
      <c r="D2282" s="599">
        <v>15.81</v>
      </c>
    </row>
    <row r="2283" spans="1:6">
      <c r="A2283" s="606">
        <v>98403</v>
      </c>
      <c r="B2283" s="607" t="s">
        <v>3683</v>
      </c>
      <c r="C2283" s="608" t="s">
        <v>1615</v>
      </c>
      <c r="D2283" s="599">
        <v>15.65</v>
      </c>
    </row>
    <row r="2284" spans="1:6">
      <c r="A2284" s="606">
        <v>98404</v>
      </c>
      <c r="B2284" s="607" t="s">
        <v>3684</v>
      </c>
      <c r="C2284" s="608" t="s">
        <v>1615</v>
      </c>
      <c r="D2284" s="599">
        <v>8.86</v>
      </c>
    </row>
    <row r="2285" spans="1:6">
      <c r="A2285" s="606">
        <v>98408</v>
      </c>
      <c r="B2285" s="607" t="s">
        <v>3685</v>
      </c>
      <c r="C2285" s="608" t="s">
        <v>1615</v>
      </c>
      <c r="D2285" s="599">
        <v>7.78</v>
      </c>
    </row>
    <row r="2286" spans="1:6">
      <c r="A2286" s="606">
        <v>98409</v>
      </c>
      <c r="B2286" s="607" t="s">
        <v>3686</v>
      </c>
      <c r="C2286" s="608" t="s">
        <v>1615</v>
      </c>
      <c r="D2286" s="599">
        <v>11.42</v>
      </c>
    </row>
    <row r="2287" spans="1:6">
      <c r="A2287" s="606">
        <v>98411</v>
      </c>
      <c r="B2287" s="607" t="s">
        <v>3687</v>
      </c>
      <c r="C2287" s="608" t="s">
        <v>1615</v>
      </c>
      <c r="D2287" s="599">
        <v>8.9</v>
      </c>
    </row>
    <row r="2288" spans="1:6">
      <c r="A2288" s="606">
        <v>98412</v>
      </c>
      <c r="B2288" s="607" t="s">
        <v>3688</v>
      </c>
      <c r="C2288" s="608" t="s">
        <v>1615</v>
      </c>
      <c r="D2288" s="599">
        <v>10.94</v>
      </c>
    </row>
    <row r="2289" spans="1:4">
      <c r="A2289" s="606">
        <v>98417</v>
      </c>
      <c r="B2289" s="607" t="s">
        <v>3689</v>
      </c>
      <c r="C2289" s="608" t="s">
        <v>1615</v>
      </c>
      <c r="D2289" s="599">
        <v>8.3800000000000008</v>
      </c>
    </row>
    <row r="2290" spans="1:4">
      <c r="A2290" s="606">
        <v>98420</v>
      </c>
      <c r="B2290" s="607" t="s">
        <v>3690</v>
      </c>
      <c r="C2290" s="608" t="s">
        <v>1615</v>
      </c>
      <c r="D2290" s="599">
        <v>2.4500000000000002</v>
      </c>
    </row>
    <row r="2291" spans="1:4">
      <c r="A2291" s="606">
        <v>98421</v>
      </c>
      <c r="B2291" s="607" t="s">
        <v>3691</v>
      </c>
      <c r="C2291" s="608" t="s">
        <v>1615</v>
      </c>
      <c r="D2291" s="599">
        <v>5.43</v>
      </c>
    </row>
    <row r="2292" spans="1:4">
      <c r="A2292" s="606">
        <v>98424</v>
      </c>
      <c r="B2292" s="607" t="s">
        <v>3692</v>
      </c>
      <c r="C2292" s="608" t="s">
        <v>1615</v>
      </c>
      <c r="D2292" s="599">
        <v>1.67</v>
      </c>
    </row>
    <row r="2293" spans="1:4">
      <c r="A2293" s="606">
        <v>98425</v>
      </c>
      <c r="B2293" s="607" t="s">
        <v>3693</v>
      </c>
      <c r="C2293" s="608" t="s">
        <v>1615</v>
      </c>
      <c r="D2293" s="599">
        <v>1.83</v>
      </c>
    </row>
    <row r="2294" spans="1:4">
      <c r="A2294" s="606">
        <v>98430</v>
      </c>
      <c r="B2294" s="607" t="s">
        <v>3694</v>
      </c>
      <c r="C2294" s="608" t="s">
        <v>1615</v>
      </c>
      <c r="D2294" s="599">
        <v>72.099999999999994</v>
      </c>
    </row>
    <row r="2295" spans="1:4">
      <c r="A2295" s="606">
        <v>98431</v>
      </c>
      <c r="B2295" s="607" t="s">
        <v>3695</v>
      </c>
      <c r="C2295" s="608" t="s">
        <v>1615</v>
      </c>
      <c r="D2295" s="599">
        <v>345.95</v>
      </c>
    </row>
    <row r="2296" spans="1:4">
      <c r="A2296" s="606">
        <v>98435</v>
      </c>
      <c r="B2296" s="607" t="s">
        <v>3696</v>
      </c>
      <c r="C2296" s="608" t="s">
        <v>1615</v>
      </c>
      <c r="D2296" s="599">
        <v>9.6999999999999993</v>
      </c>
    </row>
    <row r="2297" spans="1:4">
      <c r="A2297" s="606">
        <v>98436</v>
      </c>
      <c r="B2297" s="607" t="s">
        <v>3697</v>
      </c>
      <c r="C2297" s="608" t="s">
        <v>1615</v>
      </c>
      <c r="D2297" s="599">
        <v>11.87</v>
      </c>
    </row>
    <row r="2298" spans="1:4">
      <c r="A2298" s="606">
        <v>98443</v>
      </c>
      <c r="B2298" s="607" t="s">
        <v>3698</v>
      </c>
      <c r="C2298" s="608" t="s">
        <v>1615</v>
      </c>
      <c r="D2298" s="599">
        <v>11.52</v>
      </c>
    </row>
    <row r="2299" spans="1:4">
      <c r="A2299" s="606">
        <v>98444</v>
      </c>
      <c r="B2299" s="607" t="s">
        <v>3699</v>
      </c>
      <c r="C2299" s="608" t="s">
        <v>1615</v>
      </c>
      <c r="D2299" s="599">
        <v>20.47</v>
      </c>
    </row>
    <row r="2300" spans="1:4">
      <c r="A2300" s="606">
        <v>98447</v>
      </c>
      <c r="B2300" s="607" t="s">
        <v>3700</v>
      </c>
      <c r="C2300" s="608" t="s">
        <v>1615</v>
      </c>
      <c r="D2300" s="599">
        <v>80.48</v>
      </c>
    </row>
    <row r="2301" spans="1:4">
      <c r="A2301" s="606">
        <v>98448</v>
      </c>
      <c r="B2301" s="607" t="s">
        <v>3701</v>
      </c>
      <c r="C2301" s="608" t="s">
        <v>1615</v>
      </c>
      <c r="D2301" s="599">
        <v>125.13</v>
      </c>
    </row>
    <row r="2302" spans="1:4">
      <c r="A2302" s="606">
        <v>98450</v>
      </c>
      <c r="B2302" s="607" t="s">
        <v>3702</v>
      </c>
      <c r="C2302" s="608" t="s">
        <v>1615</v>
      </c>
      <c r="D2302" s="599">
        <v>7.64</v>
      </c>
    </row>
    <row r="2303" spans="1:4">
      <c r="A2303" s="606">
        <v>98451</v>
      </c>
      <c r="B2303" s="607" t="s">
        <v>3703</v>
      </c>
      <c r="C2303" s="608" t="s">
        <v>1615</v>
      </c>
      <c r="D2303" s="599">
        <v>19.32</v>
      </c>
    </row>
    <row r="2304" spans="1:4">
      <c r="A2304" s="606">
        <v>98452</v>
      </c>
      <c r="B2304" s="607" t="s">
        <v>3704</v>
      </c>
      <c r="C2304" s="608" t="s">
        <v>1615</v>
      </c>
      <c r="D2304" s="599">
        <v>2.57</v>
      </c>
    </row>
    <row r="2305" spans="1:4">
      <c r="A2305" s="606">
        <v>98453</v>
      </c>
      <c r="B2305" s="607" t="s">
        <v>3705</v>
      </c>
      <c r="C2305" s="608" t="s">
        <v>1615</v>
      </c>
      <c r="D2305" s="599">
        <v>6.19</v>
      </c>
    </row>
    <row r="2306" spans="1:4">
      <c r="A2306" s="606">
        <v>98454</v>
      </c>
      <c r="B2306" s="607" t="s">
        <v>3706</v>
      </c>
      <c r="C2306" s="608" t="s">
        <v>1615</v>
      </c>
      <c r="D2306" s="599">
        <v>12.67</v>
      </c>
    </row>
    <row r="2307" spans="1:4">
      <c r="A2307" s="606">
        <v>98455</v>
      </c>
      <c r="B2307" s="607" t="s">
        <v>3707</v>
      </c>
      <c r="C2307" s="608" t="s">
        <v>1615</v>
      </c>
      <c r="D2307" s="599">
        <v>17.579999999999998</v>
      </c>
    </row>
    <row r="2308" spans="1:4">
      <c r="A2308" s="606">
        <v>98460</v>
      </c>
      <c r="B2308" s="607" t="s">
        <v>3708</v>
      </c>
      <c r="C2308" s="608" t="s">
        <v>1659</v>
      </c>
      <c r="D2308" s="599">
        <v>11.35</v>
      </c>
    </row>
    <row r="2309" spans="1:4">
      <c r="A2309" s="606">
        <v>98463</v>
      </c>
      <c r="B2309" s="607" t="s">
        <v>3709</v>
      </c>
      <c r="C2309" s="608" t="s">
        <v>1615</v>
      </c>
      <c r="D2309" s="599">
        <v>33.049999999999997</v>
      </c>
    </row>
    <row r="2310" spans="1:4">
      <c r="A2310" s="606">
        <v>98464</v>
      </c>
      <c r="B2310" s="607" t="s">
        <v>3710</v>
      </c>
      <c r="C2310" s="608" t="s">
        <v>1615</v>
      </c>
      <c r="D2310" s="599">
        <v>40.200000000000003</v>
      </c>
    </row>
    <row r="2311" spans="1:4">
      <c r="A2311" s="606">
        <v>98465</v>
      </c>
      <c r="B2311" s="607" t="s">
        <v>3711</v>
      </c>
      <c r="C2311" s="608" t="s">
        <v>1615</v>
      </c>
      <c r="D2311" s="599">
        <v>33.340000000000003</v>
      </c>
    </row>
    <row r="2312" spans="1:4">
      <c r="A2312" s="606">
        <v>98466</v>
      </c>
      <c r="B2312" s="607" t="s">
        <v>3712</v>
      </c>
      <c r="C2312" s="608" t="s">
        <v>1615</v>
      </c>
      <c r="D2312" s="599">
        <v>48.11</v>
      </c>
    </row>
    <row r="2313" spans="1:4">
      <c r="A2313" s="606">
        <v>98467</v>
      </c>
      <c r="B2313" s="607" t="s">
        <v>3713</v>
      </c>
      <c r="C2313" s="608" t="s">
        <v>1615</v>
      </c>
      <c r="D2313" s="599">
        <v>35.119999999999997</v>
      </c>
    </row>
    <row r="2314" spans="1:4">
      <c r="A2314" s="606">
        <v>98468</v>
      </c>
      <c r="B2314" s="607" t="s">
        <v>3714</v>
      </c>
      <c r="C2314" s="608" t="s">
        <v>1615</v>
      </c>
      <c r="D2314" s="599">
        <v>53.86</v>
      </c>
    </row>
    <row r="2315" spans="1:4">
      <c r="A2315" s="606">
        <v>98470</v>
      </c>
      <c r="B2315" s="607" t="s">
        <v>3715</v>
      </c>
      <c r="C2315" s="608" t="s">
        <v>1615</v>
      </c>
      <c r="D2315" s="599">
        <v>17.079999999999998</v>
      </c>
    </row>
    <row r="2316" spans="1:4">
      <c r="A2316" s="606">
        <v>98473</v>
      </c>
      <c r="B2316" s="607" t="s">
        <v>3716</v>
      </c>
      <c r="C2316" s="608" t="s">
        <v>1615</v>
      </c>
      <c r="D2316" s="599">
        <v>4.8899999999999997</v>
      </c>
    </row>
    <row r="2317" spans="1:4">
      <c r="A2317" s="606">
        <v>98483</v>
      </c>
      <c r="B2317" s="607" t="s">
        <v>3717</v>
      </c>
      <c r="C2317" s="608" t="s">
        <v>1615</v>
      </c>
      <c r="D2317" s="599">
        <v>42.4</v>
      </c>
    </row>
    <row r="2318" spans="1:4">
      <c r="A2318" s="606">
        <v>98484</v>
      </c>
      <c r="B2318" s="607" t="s">
        <v>3718</v>
      </c>
      <c r="C2318" s="608" t="s">
        <v>1615</v>
      </c>
      <c r="D2318" s="599">
        <v>42.4</v>
      </c>
    </row>
    <row r="2319" spans="1:4">
      <c r="A2319" s="606">
        <v>98485</v>
      </c>
      <c r="B2319" s="607" t="s">
        <v>3719</v>
      </c>
      <c r="C2319" s="608" t="s">
        <v>1615</v>
      </c>
      <c r="D2319" s="599">
        <v>58.01</v>
      </c>
    </row>
    <row r="2320" spans="1:4">
      <c r="A2320" s="606">
        <v>98486</v>
      </c>
      <c r="B2320" s="607" t="s">
        <v>3720</v>
      </c>
      <c r="C2320" s="608" t="s">
        <v>1615</v>
      </c>
      <c r="D2320" s="599">
        <v>57.87</v>
      </c>
    </row>
    <row r="2321" spans="1:6">
      <c r="A2321" s="606">
        <v>98487</v>
      </c>
      <c r="B2321" s="607" t="s">
        <v>3721</v>
      </c>
      <c r="C2321" s="608" t="s">
        <v>1615</v>
      </c>
      <c r="D2321" s="599">
        <v>40.54</v>
      </c>
    </row>
    <row r="2322" spans="1:6">
      <c r="A2322" s="606">
        <v>98488</v>
      </c>
      <c r="B2322" s="607" t="s">
        <v>3722</v>
      </c>
      <c r="C2322" s="608" t="s">
        <v>1615</v>
      </c>
      <c r="D2322" s="599">
        <v>44.15</v>
      </c>
    </row>
    <row r="2323" spans="1:6">
      <c r="A2323" s="606">
        <v>98489</v>
      </c>
      <c r="B2323" s="607" t="s">
        <v>3723</v>
      </c>
      <c r="C2323" s="608" t="s">
        <v>1615</v>
      </c>
      <c r="D2323" s="599">
        <v>39.020000000000003</v>
      </c>
    </row>
    <row r="2324" spans="1:6">
      <c r="A2324" s="606">
        <v>98490</v>
      </c>
      <c r="B2324" s="607" t="s">
        <v>3724</v>
      </c>
      <c r="C2324" s="608" t="s">
        <v>1615</v>
      </c>
      <c r="D2324" s="599">
        <v>61.6</v>
      </c>
    </row>
    <row r="2325" spans="1:6">
      <c r="A2325" s="606">
        <v>98492</v>
      </c>
      <c r="B2325" s="607" t="s">
        <v>3725</v>
      </c>
      <c r="C2325" s="608" t="s">
        <v>1615</v>
      </c>
      <c r="D2325" s="599">
        <v>76.87</v>
      </c>
    </row>
    <row r="2326" spans="1:6">
      <c r="A2326" s="606">
        <v>98493</v>
      </c>
      <c r="B2326" s="607" t="s">
        <v>3726</v>
      </c>
      <c r="C2326" s="608" t="s">
        <v>1615</v>
      </c>
      <c r="D2326" s="599">
        <v>86.34</v>
      </c>
    </row>
    <row r="2327" spans="1:6">
      <c r="A2327" s="606">
        <v>98494</v>
      </c>
      <c r="B2327" s="607" t="s">
        <v>3727</v>
      </c>
      <c r="C2327" s="608" t="s">
        <v>1615</v>
      </c>
      <c r="D2327" s="599">
        <v>81.040000000000006</v>
      </c>
    </row>
    <row r="2328" spans="1:6">
      <c r="A2328" s="606">
        <v>98495</v>
      </c>
      <c r="B2328" s="607" t="s">
        <v>3728</v>
      </c>
      <c r="C2328" s="608" t="s">
        <v>1615</v>
      </c>
      <c r="D2328" s="599">
        <v>92.26</v>
      </c>
    </row>
    <row r="2329" spans="1:6">
      <c r="A2329" s="606">
        <v>98496</v>
      </c>
      <c r="B2329" s="607" t="s">
        <v>3729</v>
      </c>
      <c r="C2329" s="608" t="s">
        <v>1615</v>
      </c>
      <c r="D2329" s="599">
        <v>31.17</v>
      </c>
    </row>
    <row r="2330" spans="1:6">
      <c r="A2330" s="606">
        <v>98497</v>
      </c>
      <c r="B2330" s="607" t="s">
        <v>3730</v>
      </c>
      <c r="C2330" s="608" t="s">
        <v>1615</v>
      </c>
      <c r="D2330" s="599">
        <v>31.17</v>
      </c>
    </row>
    <row r="2331" spans="1:6">
      <c r="A2331" s="606">
        <v>98499</v>
      </c>
      <c r="B2331" s="607" t="s">
        <v>3731</v>
      </c>
      <c r="C2331" s="608" t="s">
        <v>1652</v>
      </c>
      <c r="D2331" s="599">
        <v>263.25</v>
      </c>
    </row>
    <row r="2332" spans="1:6">
      <c r="A2332" s="589">
        <v>985</v>
      </c>
      <c r="B2332" s="596" t="s">
        <v>3680</v>
      </c>
      <c r="C2332" s="588"/>
      <c r="D2332" s="599"/>
      <c r="F2332" s="585"/>
    </row>
    <row r="2333" spans="1:6">
      <c r="A2333" s="606">
        <v>98501</v>
      </c>
      <c r="B2333" s="607" t="s">
        <v>3732</v>
      </c>
      <c r="C2333" s="608" t="s">
        <v>1615</v>
      </c>
      <c r="D2333" s="599">
        <v>2.72</v>
      </c>
    </row>
    <row r="2334" spans="1:6">
      <c r="A2334" s="606">
        <v>98502</v>
      </c>
      <c r="B2334" s="607" t="s">
        <v>3733</v>
      </c>
      <c r="C2334" s="608" t="s">
        <v>1615</v>
      </c>
      <c r="D2334" s="599">
        <v>2.97</v>
      </c>
    </row>
    <row r="2335" spans="1:6">
      <c r="A2335" s="606">
        <v>98503</v>
      </c>
      <c r="B2335" s="607" t="s">
        <v>3734</v>
      </c>
      <c r="C2335" s="608" t="s">
        <v>1615</v>
      </c>
      <c r="D2335" s="599">
        <v>3.7</v>
      </c>
    </row>
    <row r="2336" spans="1:6">
      <c r="A2336" s="606">
        <v>98504</v>
      </c>
      <c r="B2336" s="607" t="s">
        <v>3735</v>
      </c>
      <c r="C2336" s="608" t="s">
        <v>1615</v>
      </c>
      <c r="D2336" s="599">
        <v>4.0199999999999996</v>
      </c>
    </row>
    <row r="2337" spans="1:4">
      <c r="A2337" s="606">
        <v>98507</v>
      </c>
      <c r="B2337" s="607" t="s">
        <v>3736</v>
      </c>
      <c r="C2337" s="608" t="s">
        <v>1615</v>
      </c>
      <c r="D2337" s="599">
        <v>8.68</v>
      </c>
    </row>
    <row r="2338" spans="1:4">
      <c r="A2338" s="606">
        <v>98508</v>
      </c>
      <c r="B2338" s="607" t="s">
        <v>3737</v>
      </c>
      <c r="C2338" s="608" t="s">
        <v>1615</v>
      </c>
      <c r="D2338" s="599">
        <v>5.18</v>
      </c>
    </row>
    <row r="2339" spans="1:4">
      <c r="A2339" s="606">
        <v>98509</v>
      </c>
      <c r="B2339" s="607" t="s">
        <v>3738</v>
      </c>
      <c r="C2339" s="608" t="s">
        <v>1615</v>
      </c>
      <c r="D2339" s="599">
        <v>4.41</v>
      </c>
    </row>
    <row r="2340" spans="1:4">
      <c r="A2340" s="606">
        <v>98513</v>
      </c>
      <c r="B2340" s="607" t="s">
        <v>3739</v>
      </c>
      <c r="C2340" s="608" t="s">
        <v>1615</v>
      </c>
      <c r="D2340" s="599">
        <v>17.7</v>
      </c>
    </row>
    <row r="2341" spans="1:4">
      <c r="A2341" s="606">
        <v>98514</v>
      </c>
      <c r="B2341" s="607" t="s">
        <v>3740</v>
      </c>
      <c r="C2341" s="608" t="s">
        <v>1615</v>
      </c>
      <c r="D2341" s="599">
        <v>22.18</v>
      </c>
    </row>
    <row r="2342" spans="1:4">
      <c r="A2342" s="606">
        <v>98515</v>
      </c>
      <c r="B2342" s="607" t="s">
        <v>3741</v>
      </c>
      <c r="C2342" s="608" t="s">
        <v>1615</v>
      </c>
      <c r="D2342" s="599">
        <v>42.13</v>
      </c>
    </row>
    <row r="2343" spans="1:4">
      <c r="A2343" s="606">
        <v>98520</v>
      </c>
      <c r="B2343" s="607" t="s">
        <v>3742</v>
      </c>
      <c r="C2343" s="608" t="s">
        <v>1615</v>
      </c>
      <c r="D2343" s="599">
        <v>26.03</v>
      </c>
    </row>
    <row r="2344" spans="1:4">
      <c r="A2344" s="606">
        <v>98521</v>
      </c>
      <c r="B2344" s="607" t="s">
        <v>3743</v>
      </c>
      <c r="C2344" s="608" t="s">
        <v>1615</v>
      </c>
      <c r="D2344" s="599">
        <v>37.53</v>
      </c>
    </row>
    <row r="2345" spans="1:4">
      <c r="A2345" s="606">
        <v>98522</v>
      </c>
      <c r="B2345" s="607" t="s">
        <v>3744</v>
      </c>
      <c r="C2345" s="608" t="s">
        <v>1615</v>
      </c>
      <c r="D2345" s="599">
        <v>12.69</v>
      </c>
    </row>
    <row r="2346" spans="1:4">
      <c r="A2346" s="606">
        <v>98523</v>
      </c>
      <c r="B2346" s="607" t="s">
        <v>3745</v>
      </c>
      <c r="C2346" s="608" t="s">
        <v>1615</v>
      </c>
      <c r="D2346" s="599">
        <v>142.56</v>
      </c>
    </row>
    <row r="2347" spans="1:4">
      <c r="A2347" s="606">
        <v>98524</v>
      </c>
      <c r="B2347" s="607" t="s">
        <v>3746</v>
      </c>
      <c r="C2347" s="608" t="s">
        <v>1615</v>
      </c>
      <c r="D2347" s="599">
        <v>121.74</v>
      </c>
    </row>
    <row r="2348" spans="1:4">
      <c r="A2348" s="606">
        <v>98525</v>
      </c>
      <c r="B2348" s="607" t="s">
        <v>3747</v>
      </c>
      <c r="C2348" s="608" t="s">
        <v>1615</v>
      </c>
      <c r="D2348" s="599">
        <v>115.04</v>
      </c>
    </row>
    <row r="2349" spans="1:4">
      <c r="A2349" s="606">
        <v>98526</v>
      </c>
      <c r="B2349" s="607" t="s">
        <v>3748</v>
      </c>
      <c r="C2349" s="608" t="s">
        <v>1615</v>
      </c>
      <c r="D2349" s="599">
        <v>60.9</v>
      </c>
    </row>
    <row r="2350" spans="1:4">
      <c r="A2350" s="606">
        <v>98527</v>
      </c>
      <c r="B2350" s="607" t="s">
        <v>3749</v>
      </c>
      <c r="C2350" s="608" t="s">
        <v>1615</v>
      </c>
      <c r="D2350" s="599">
        <v>90.73</v>
      </c>
    </row>
    <row r="2351" spans="1:4">
      <c r="A2351" s="606">
        <v>98528</v>
      </c>
      <c r="B2351" s="607" t="s">
        <v>3750</v>
      </c>
      <c r="C2351" s="608" t="s">
        <v>1615</v>
      </c>
      <c r="D2351" s="599">
        <v>149.52000000000001</v>
      </c>
    </row>
    <row r="2352" spans="1:4">
      <c r="A2352" s="606">
        <v>98529</v>
      </c>
      <c r="B2352" s="607" t="s">
        <v>3751</v>
      </c>
      <c r="C2352" s="608" t="s">
        <v>1615</v>
      </c>
      <c r="D2352" s="599">
        <v>75.430000000000007</v>
      </c>
    </row>
    <row r="2353" spans="1:4">
      <c r="A2353" s="606">
        <v>98530</v>
      </c>
      <c r="B2353" s="607" t="s">
        <v>3752</v>
      </c>
      <c r="C2353" s="608" t="s">
        <v>1615</v>
      </c>
      <c r="D2353" s="599">
        <v>129.22</v>
      </c>
    </row>
    <row r="2354" spans="1:4">
      <c r="A2354" s="606">
        <v>98531</v>
      </c>
      <c r="B2354" s="607" t="s">
        <v>3753</v>
      </c>
      <c r="C2354" s="608" t="s">
        <v>1615</v>
      </c>
      <c r="D2354" s="599">
        <v>85.33</v>
      </c>
    </row>
    <row r="2355" spans="1:4">
      <c r="A2355" s="606">
        <v>98532</v>
      </c>
      <c r="B2355" s="607" t="s">
        <v>3754</v>
      </c>
      <c r="C2355" s="608" t="s">
        <v>1615</v>
      </c>
      <c r="D2355" s="599">
        <v>115.16</v>
      </c>
    </row>
    <row r="2356" spans="1:4">
      <c r="A2356" s="606">
        <v>98533</v>
      </c>
      <c r="B2356" s="607" t="s">
        <v>3755</v>
      </c>
      <c r="C2356" s="608" t="s">
        <v>1615</v>
      </c>
      <c r="D2356" s="599">
        <v>173.95</v>
      </c>
    </row>
    <row r="2357" spans="1:4">
      <c r="A2357" s="606">
        <v>98534</v>
      </c>
      <c r="B2357" s="607" t="s">
        <v>3756</v>
      </c>
      <c r="C2357" s="608" t="s">
        <v>1615</v>
      </c>
      <c r="D2357" s="599">
        <v>128.9</v>
      </c>
    </row>
    <row r="2358" spans="1:4">
      <c r="A2358" s="606">
        <v>98535</v>
      </c>
      <c r="B2358" s="607" t="s">
        <v>3757</v>
      </c>
      <c r="C2358" s="608" t="s">
        <v>1615</v>
      </c>
      <c r="D2358" s="599">
        <v>513.20000000000005</v>
      </c>
    </row>
    <row r="2359" spans="1:4">
      <c r="A2359" s="606">
        <v>98536</v>
      </c>
      <c r="B2359" s="607" t="s">
        <v>3758</v>
      </c>
      <c r="C2359" s="608" t="s">
        <v>1615</v>
      </c>
      <c r="D2359" s="599">
        <v>106.73</v>
      </c>
    </row>
    <row r="2360" spans="1:4">
      <c r="A2360" s="606">
        <v>98537</v>
      </c>
      <c r="B2360" s="607" t="s">
        <v>3759</v>
      </c>
      <c r="C2360" s="608" t="s">
        <v>1615</v>
      </c>
      <c r="D2360" s="599">
        <v>155.16</v>
      </c>
    </row>
    <row r="2361" spans="1:4">
      <c r="A2361" s="606">
        <v>98539</v>
      </c>
      <c r="B2361" s="607" t="s">
        <v>3760</v>
      </c>
      <c r="C2361" s="608" t="s">
        <v>1615</v>
      </c>
      <c r="D2361" s="599">
        <v>69.650000000000006</v>
      </c>
    </row>
    <row r="2362" spans="1:4">
      <c r="A2362" s="606">
        <v>98540</v>
      </c>
      <c r="B2362" s="607" t="s">
        <v>3761</v>
      </c>
      <c r="C2362" s="608" t="s">
        <v>1615</v>
      </c>
      <c r="D2362" s="599">
        <v>141.97999999999999</v>
      </c>
    </row>
    <row r="2363" spans="1:4">
      <c r="A2363" s="606">
        <v>98541</v>
      </c>
      <c r="B2363" s="607" t="s">
        <v>3762</v>
      </c>
      <c r="C2363" s="608" t="s">
        <v>1615</v>
      </c>
      <c r="D2363" s="599">
        <v>216.79</v>
      </c>
    </row>
    <row r="2364" spans="1:4">
      <c r="A2364" s="606">
        <v>98542</v>
      </c>
      <c r="B2364" s="607" t="s">
        <v>3763</v>
      </c>
      <c r="C2364" s="608" t="s">
        <v>1615</v>
      </c>
      <c r="D2364" s="599">
        <v>219.42</v>
      </c>
    </row>
    <row r="2365" spans="1:4">
      <c r="A2365" s="606">
        <v>98543</v>
      </c>
      <c r="B2365" s="607" t="s">
        <v>3764</v>
      </c>
      <c r="C2365" s="608" t="s">
        <v>1615</v>
      </c>
      <c r="D2365" s="599">
        <v>93.86</v>
      </c>
    </row>
    <row r="2366" spans="1:4">
      <c r="A2366" s="606">
        <v>98544</v>
      </c>
      <c r="B2366" s="607" t="s">
        <v>3765</v>
      </c>
      <c r="C2366" s="608" t="s">
        <v>1615</v>
      </c>
      <c r="D2366" s="599">
        <v>252.02</v>
      </c>
    </row>
    <row r="2367" spans="1:4">
      <c r="A2367" s="606">
        <v>98545</v>
      </c>
      <c r="B2367" s="607" t="s">
        <v>3766</v>
      </c>
      <c r="C2367" s="608" t="s">
        <v>1615</v>
      </c>
      <c r="D2367" s="599">
        <v>216.11</v>
      </c>
    </row>
    <row r="2368" spans="1:4">
      <c r="A2368" s="606">
        <v>98547</v>
      </c>
      <c r="B2368" s="607" t="s">
        <v>3767</v>
      </c>
      <c r="C2368" s="608" t="s">
        <v>1615</v>
      </c>
      <c r="D2368" s="599">
        <v>741.17</v>
      </c>
    </row>
    <row r="2369" spans="1:4">
      <c r="A2369" s="606">
        <v>98548</v>
      </c>
      <c r="B2369" s="607" t="s">
        <v>3768</v>
      </c>
      <c r="C2369" s="608" t="s">
        <v>1615</v>
      </c>
      <c r="D2369" s="599">
        <v>784.43</v>
      </c>
    </row>
    <row r="2370" spans="1:4">
      <c r="A2370" s="606">
        <v>98549</v>
      </c>
      <c r="B2370" s="607" t="s">
        <v>3769</v>
      </c>
      <c r="C2370" s="608" t="s">
        <v>1615</v>
      </c>
      <c r="D2370" s="599">
        <v>1410.13</v>
      </c>
    </row>
    <row r="2371" spans="1:4">
      <c r="A2371" s="606">
        <v>98552</v>
      </c>
      <c r="B2371" s="607" t="s">
        <v>3770</v>
      </c>
      <c r="C2371" s="608" t="s">
        <v>1615</v>
      </c>
      <c r="D2371" s="599">
        <v>564.23</v>
      </c>
    </row>
    <row r="2372" spans="1:4">
      <c r="A2372" s="606">
        <v>98560</v>
      </c>
      <c r="B2372" s="607" t="s">
        <v>3771</v>
      </c>
      <c r="C2372" s="608" t="s">
        <v>1615</v>
      </c>
      <c r="D2372" s="599">
        <v>22.32</v>
      </c>
    </row>
    <row r="2373" spans="1:4">
      <c r="A2373" s="606">
        <v>98561</v>
      </c>
      <c r="B2373" s="607" t="s">
        <v>3772</v>
      </c>
      <c r="C2373" s="608" t="s">
        <v>1615</v>
      </c>
      <c r="D2373" s="599">
        <v>28.3</v>
      </c>
    </row>
    <row r="2374" spans="1:4">
      <c r="A2374" s="606">
        <v>98562</v>
      </c>
      <c r="B2374" s="607" t="s">
        <v>3773</v>
      </c>
      <c r="C2374" s="608" t="s">
        <v>1615</v>
      </c>
      <c r="D2374" s="599">
        <v>34.78</v>
      </c>
    </row>
    <row r="2375" spans="1:4">
      <c r="A2375" s="606">
        <v>98563</v>
      </c>
      <c r="B2375" s="607" t="s">
        <v>3774</v>
      </c>
      <c r="C2375" s="608" t="s">
        <v>1615</v>
      </c>
      <c r="D2375" s="599">
        <v>47.75</v>
      </c>
    </row>
    <row r="2376" spans="1:4">
      <c r="A2376" s="606">
        <v>98564</v>
      </c>
      <c r="B2376" s="607" t="s">
        <v>3775</v>
      </c>
      <c r="C2376" s="608" t="s">
        <v>1615</v>
      </c>
      <c r="D2376" s="599">
        <v>19.61</v>
      </c>
    </row>
    <row r="2377" spans="1:4">
      <c r="A2377" s="606">
        <v>98565</v>
      </c>
      <c r="B2377" s="607" t="s">
        <v>3776</v>
      </c>
      <c r="C2377" s="608" t="s">
        <v>1615</v>
      </c>
      <c r="D2377" s="599">
        <v>18.170000000000002</v>
      </c>
    </row>
    <row r="2378" spans="1:4">
      <c r="A2378" s="606">
        <v>98580</v>
      </c>
      <c r="B2378" s="607" t="s">
        <v>3777</v>
      </c>
      <c r="C2378" s="608" t="s">
        <v>1615</v>
      </c>
      <c r="D2378" s="599">
        <v>413.24</v>
      </c>
    </row>
    <row r="2379" spans="1:4">
      <c r="A2379" s="606">
        <v>98581</v>
      </c>
      <c r="B2379" s="607" t="s">
        <v>3778</v>
      </c>
      <c r="C2379" s="608" t="s">
        <v>1615</v>
      </c>
      <c r="D2379" s="599">
        <v>471.51</v>
      </c>
    </row>
    <row r="2380" spans="1:4">
      <c r="A2380" s="606">
        <v>98582</v>
      </c>
      <c r="B2380" s="607" t="s">
        <v>3779</v>
      </c>
      <c r="C2380" s="608" t="s">
        <v>1615</v>
      </c>
      <c r="D2380" s="599">
        <v>525.54</v>
      </c>
    </row>
    <row r="2381" spans="1:4">
      <c r="A2381" s="606">
        <v>98583</v>
      </c>
      <c r="B2381" s="607" t="s">
        <v>3780</v>
      </c>
      <c r="C2381" s="608" t="s">
        <v>1615</v>
      </c>
      <c r="D2381" s="599">
        <v>520.65</v>
      </c>
    </row>
    <row r="2382" spans="1:4">
      <c r="A2382" s="606">
        <v>98584</v>
      </c>
      <c r="B2382" s="607" t="s">
        <v>3781</v>
      </c>
      <c r="C2382" s="608" t="s">
        <v>1615</v>
      </c>
      <c r="D2382" s="599">
        <v>616.22</v>
      </c>
    </row>
    <row r="2383" spans="1:4">
      <c r="A2383" s="606">
        <v>98585</v>
      </c>
      <c r="B2383" s="607" t="s">
        <v>3782</v>
      </c>
      <c r="C2383" s="608" t="s">
        <v>1615</v>
      </c>
      <c r="D2383" s="599">
        <v>777.4</v>
      </c>
    </row>
    <row r="2384" spans="1:4">
      <c r="A2384" s="606">
        <v>98599</v>
      </c>
      <c r="B2384" s="607" t="s">
        <v>3731</v>
      </c>
      <c r="C2384" s="608" t="s">
        <v>1652</v>
      </c>
      <c r="D2384" s="599">
        <v>263.25</v>
      </c>
    </row>
    <row r="2385" spans="1:6">
      <c r="A2385" s="589">
        <v>986</v>
      </c>
      <c r="B2385" s="596" t="s">
        <v>3783</v>
      </c>
      <c r="C2385" s="588"/>
      <c r="D2385" s="599"/>
      <c r="F2385" s="585"/>
    </row>
    <row r="2386" spans="1:6">
      <c r="A2386" s="606">
        <v>98601</v>
      </c>
      <c r="B2386" s="607" t="s">
        <v>3784</v>
      </c>
      <c r="C2386" s="608" t="s">
        <v>1615</v>
      </c>
      <c r="D2386" s="599">
        <v>150.06</v>
      </c>
    </row>
    <row r="2387" spans="1:6">
      <c r="A2387" s="606">
        <v>98605</v>
      </c>
      <c r="B2387" s="607" t="s">
        <v>3785</v>
      </c>
      <c r="C2387" s="608" t="s">
        <v>1659</v>
      </c>
      <c r="D2387" s="599">
        <v>14.35</v>
      </c>
    </row>
    <row r="2388" spans="1:6">
      <c r="A2388" s="606">
        <v>98606</v>
      </c>
      <c r="B2388" s="607" t="s">
        <v>3786</v>
      </c>
      <c r="C2388" s="608" t="s">
        <v>1659</v>
      </c>
      <c r="D2388" s="599">
        <v>19.09</v>
      </c>
    </row>
    <row r="2389" spans="1:6">
      <c r="A2389" s="606">
        <v>98610</v>
      </c>
      <c r="B2389" s="607" t="s">
        <v>3787</v>
      </c>
      <c r="C2389" s="608" t="s">
        <v>1659</v>
      </c>
      <c r="D2389" s="599">
        <v>20.6</v>
      </c>
    </row>
    <row r="2390" spans="1:6">
      <c r="A2390" s="606">
        <v>98611</v>
      </c>
      <c r="B2390" s="607" t="s">
        <v>3788</v>
      </c>
      <c r="C2390" s="608" t="s">
        <v>1659</v>
      </c>
      <c r="D2390" s="599">
        <v>25.33</v>
      </c>
    </row>
    <row r="2391" spans="1:6">
      <c r="A2391" s="606">
        <v>98612</v>
      </c>
      <c r="B2391" s="607" t="s">
        <v>3789</v>
      </c>
      <c r="C2391" s="608" t="s">
        <v>1659</v>
      </c>
      <c r="D2391" s="599">
        <v>37.31</v>
      </c>
    </row>
    <row r="2392" spans="1:6">
      <c r="A2392" s="606">
        <v>98620</v>
      </c>
      <c r="B2392" s="607" t="s">
        <v>3790</v>
      </c>
      <c r="C2392" s="608" t="s">
        <v>1615</v>
      </c>
      <c r="D2392" s="599">
        <v>24.57</v>
      </c>
    </row>
    <row r="2393" spans="1:6">
      <c r="A2393" s="606">
        <v>98621</v>
      </c>
      <c r="B2393" s="607" t="s">
        <v>3791</v>
      </c>
      <c r="C2393" s="608" t="s">
        <v>1615</v>
      </c>
      <c r="D2393" s="599">
        <v>24.57</v>
      </c>
    </row>
    <row r="2394" spans="1:6">
      <c r="A2394" s="606">
        <v>98625</v>
      </c>
      <c r="B2394" s="607" t="s">
        <v>3792</v>
      </c>
      <c r="C2394" s="608" t="s">
        <v>1615</v>
      </c>
      <c r="D2394" s="599">
        <v>7.54</v>
      </c>
    </row>
    <row r="2395" spans="1:6">
      <c r="A2395" s="606">
        <v>98626</v>
      </c>
      <c r="B2395" s="607" t="s">
        <v>3793</v>
      </c>
      <c r="C2395" s="608" t="s">
        <v>1615</v>
      </c>
      <c r="D2395" s="599">
        <v>7.88</v>
      </c>
    </row>
    <row r="2396" spans="1:6">
      <c r="A2396" s="606">
        <v>98627</v>
      </c>
      <c r="B2396" s="607" t="s">
        <v>3794</v>
      </c>
      <c r="C2396" s="608" t="s">
        <v>1615</v>
      </c>
      <c r="D2396" s="599">
        <v>17.07</v>
      </c>
    </row>
    <row r="2397" spans="1:6">
      <c r="A2397" s="606">
        <v>98635</v>
      </c>
      <c r="B2397" s="607" t="s">
        <v>3795</v>
      </c>
      <c r="C2397" s="608" t="s">
        <v>1615</v>
      </c>
      <c r="D2397" s="599">
        <v>43.5</v>
      </c>
    </row>
    <row r="2398" spans="1:6">
      <c r="A2398" s="606">
        <v>98699</v>
      </c>
      <c r="B2398" s="607" t="s">
        <v>3796</v>
      </c>
      <c r="C2398" s="608" t="s">
        <v>1652</v>
      </c>
      <c r="D2398" s="599">
        <v>263.25</v>
      </c>
    </row>
    <row r="2399" spans="1:6">
      <c r="A2399" s="589">
        <v>10</v>
      </c>
      <c r="B2399" s="596" t="s">
        <v>802</v>
      </c>
      <c r="C2399" s="588"/>
      <c r="D2399" s="599"/>
      <c r="F2399" s="585"/>
    </row>
    <row r="2400" spans="1:6">
      <c r="A2400" s="589">
        <v>1001</v>
      </c>
      <c r="B2400" s="596" t="s">
        <v>802</v>
      </c>
      <c r="C2400" s="588"/>
      <c r="D2400" s="599"/>
      <c r="F2400" s="585"/>
    </row>
    <row r="2401" spans="1:4">
      <c r="A2401" s="606">
        <v>100103</v>
      </c>
      <c r="B2401" s="607" t="s">
        <v>3797</v>
      </c>
      <c r="C2401" s="608" t="s">
        <v>1240</v>
      </c>
      <c r="D2401" s="599">
        <v>69.989999999999995</v>
      </c>
    </row>
    <row r="2402" spans="1:4">
      <c r="A2402" s="606">
        <v>100104</v>
      </c>
      <c r="B2402" s="607" t="s">
        <v>3798</v>
      </c>
      <c r="C2402" s="608" t="s">
        <v>1240</v>
      </c>
      <c r="D2402" s="599">
        <v>48.17</v>
      </c>
    </row>
    <row r="2403" spans="1:4">
      <c r="A2403" s="606">
        <v>100106</v>
      </c>
      <c r="B2403" s="607" t="s">
        <v>3799</v>
      </c>
      <c r="C2403" s="608" t="s">
        <v>1240</v>
      </c>
      <c r="D2403" s="599">
        <v>42.15</v>
      </c>
    </row>
    <row r="2404" spans="1:4">
      <c r="A2404" s="606">
        <v>100107</v>
      </c>
      <c r="B2404" s="607" t="s">
        <v>3800</v>
      </c>
      <c r="C2404" s="608" t="s">
        <v>1240</v>
      </c>
      <c r="D2404" s="599">
        <v>73.680000000000007</v>
      </c>
    </row>
    <row r="2405" spans="1:4">
      <c r="A2405" s="606">
        <v>100108</v>
      </c>
      <c r="B2405" s="607" t="s">
        <v>3801</v>
      </c>
      <c r="C2405" s="608" t="s">
        <v>1240</v>
      </c>
      <c r="D2405" s="599">
        <v>52.35</v>
      </c>
    </row>
    <row r="2406" spans="1:4" ht="26.4">
      <c r="A2406" s="606">
        <v>100110</v>
      </c>
      <c r="B2406" s="607" t="s">
        <v>3802</v>
      </c>
      <c r="C2406" s="608" t="s">
        <v>1240</v>
      </c>
      <c r="D2406" s="599">
        <v>42.32</v>
      </c>
    </row>
    <row r="2407" spans="1:4">
      <c r="A2407" s="606">
        <v>100111</v>
      </c>
      <c r="B2407" s="607" t="s">
        <v>3803</v>
      </c>
      <c r="C2407" s="608" t="s">
        <v>1240</v>
      </c>
      <c r="D2407" s="599">
        <v>74.94</v>
      </c>
    </row>
    <row r="2408" spans="1:4">
      <c r="A2408" s="606">
        <v>100120</v>
      </c>
      <c r="B2408" s="607" t="s">
        <v>3804</v>
      </c>
      <c r="C2408" s="608" t="s">
        <v>1240</v>
      </c>
      <c r="D2408" s="599">
        <v>71.11</v>
      </c>
    </row>
    <row r="2409" spans="1:4">
      <c r="A2409" s="606">
        <v>100121</v>
      </c>
      <c r="B2409" s="607" t="s">
        <v>3805</v>
      </c>
      <c r="C2409" s="608" t="s">
        <v>1240</v>
      </c>
      <c r="D2409" s="599">
        <v>92.93</v>
      </c>
    </row>
    <row r="2410" spans="1:4">
      <c r="A2410" s="606">
        <v>100127</v>
      </c>
      <c r="B2410" s="607" t="s">
        <v>3806</v>
      </c>
      <c r="C2410" s="608" t="s">
        <v>1240</v>
      </c>
      <c r="D2410" s="599">
        <v>61.08</v>
      </c>
    </row>
    <row r="2411" spans="1:4">
      <c r="A2411" s="606">
        <v>100128</v>
      </c>
      <c r="B2411" s="607" t="s">
        <v>3807</v>
      </c>
      <c r="C2411" s="608" t="s">
        <v>1240</v>
      </c>
      <c r="D2411" s="599">
        <v>78.45</v>
      </c>
    </row>
    <row r="2412" spans="1:4">
      <c r="A2412" s="606">
        <v>100137</v>
      </c>
      <c r="B2412" s="607" t="s">
        <v>3808</v>
      </c>
      <c r="C2412" s="608" t="s">
        <v>1240</v>
      </c>
      <c r="D2412" s="599">
        <v>98.02</v>
      </c>
    </row>
    <row r="2413" spans="1:4">
      <c r="A2413" s="606">
        <v>100138</v>
      </c>
      <c r="B2413" s="607" t="s">
        <v>3809</v>
      </c>
      <c r="C2413" s="608" t="s">
        <v>1240</v>
      </c>
      <c r="D2413" s="599">
        <v>112.18</v>
      </c>
    </row>
    <row r="2414" spans="1:4">
      <c r="A2414" s="606">
        <v>100145</v>
      </c>
      <c r="B2414" s="607" t="s">
        <v>3810</v>
      </c>
      <c r="C2414" s="608" t="s">
        <v>1240</v>
      </c>
      <c r="D2414" s="599">
        <v>54.91</v>
      </c>
    </row>
    <row r="2415" spans="1:4">
      <c r="A2415" s="606">
        <v>100146</v>
      </c>
      <c r="B2415" s="607" t="s">
        <v>3811</v>
      </c>
      <c r="C2415" s="608" t="s">
        <v>1240</v>
      </c>
      <c r="D2415" s="599">
        <v>58.81</v>
      </c>
    </row>
    <row r="2416" spans="1:4">
      <c r="A2416" s="606">
        <v>100147</v>
      </c>
      <c r="B2416" s="607" t="s">
        <v>3812</v>
      </c>
      <c r="C2416" s="608" t="s">
        <v>1240</v>
      </c>
      <c r="D2416" s="599">
        <v>69.66</v>
      </c>
    </row>
    <row r="2417" spans="1:6">
      <c r="A2417" s="606">
        <v>100149</v>
      </c>
      <c r="B2417" s="607" t="s">
        <v>3813</v>
      </c>
      <c r="C2417" s="608" t="s">
        <v>1240</v>
      </c>
      <c r="D2417" s="599">
        <v>42.06</v>
      </c>
    </row>
    <row r="2418" spans="1:6">
      <c r="A2418" s="606">
        <v>100150</v>
      </c>
      <c r="B2418" s="607" t="s">
        <v>3814</v>
      </c>
      <c r="C2418" s="608" t="s">
        <v>1240</v>
      </c>
      <c r="D2418" s="599">
        <v>29.42</v>
      </c>
    </row>
    <row r="2419" spans="1:6">
      <c r="A2419" s="606">
        <v>100151</v>
      </c>
      <c r="B2419" s="607" t="s">
        <v>3815</v>
      </c>
      <c r="C2419" s="608" t="s">
        <v>1240</v>
      </c>
      <c r="D2419" s="599">
        <v>29.42</v>
      </c>
    </row>
    <row r="2420" spans="1:6">
      <c r="A2420" s="606">
        <v>100152</v>
      </c>
      <c r="B2420" s="607" t="s">
        <v>3816</v>
      </c>
      <c r="C2420" s="608" t="s">
        <v>1240</v>
      </c>
      <c r="D2420" s="599">
        <v>29.42</v>
      </c>
    </row>
    <row r="2421" spans="1:6">
      <c r="A2421" s="606">
        <v>100153</v>
      </c>
      <c r="B2421" s="607" t="s">
        <v>3817</v>
      </c>
      <c r="C2421" s="608" t="s">
        <v>1240</v>
      </c>
      <c r="D2421" s="599">
        <v>44.48</v>
      </c>
    </row>
    <row r="2422" spans="1:6">
      <c r="A2422" s="606">
        <v>100154</v>
      </c>
      <c r="B2422" s="607" t="s">
        <v>3818</v>
      </c>
      <c r="C2422" s="608" t="s">
        <v>1240</v>
      </c>
      <c r="D2422" s="599">
        <v>44.48</v>
      </c>
    </row>
    <row r="2423" spans="1:6">
      <c r="A2423" s="606">
        <v>100155</v>
      </c>
      <c r="B2423" s="607" t="s">
        <v>3819</v>
      </c>
      <c r="C2423" s="608" t="s">
        <v>1240</v>
      </c>
      <c r="D2423" s="599">
        <v>44.48</v>
      </c>
    </row>
    <row r="2424" spans="1:6">
      <c r="A2424" s="606">
        <v>100156</v>
      </c>
      <c r="B2424" s="607" t="s">
        <v>3820</v>
      </c>
      <c r="C2424" s="608" t="s">
        <v>1240</v>
      </c>
      <c r="D2424" s="599">
        <v>13.3</v>
      </c>
    </row>
    <row r="2425" spans="1:6">
      <c r="A2425" s="606">
        <v>100157</v>
      </c>
      <c r="B2425" s="607" t="s">
        <v>3821</v>
      </c>
      <c r="C2425" s="608" t="s">
        <v>1240</v>
      </c>
      <c r="D2425" s="599">
        <v>45.76</v>
      </c>
    </row>
    <row r="2426" spans="1:6">
      <c r="A2426" s="606">
        <v>100158</v>
      </c>
      <c r="B2426" s="607" t="s">
        <v>3822</v>
      </c>
      <c r="C2426" s="608" t="s">
        <v>1240</v>
      </c>
      <c r="D2426" s="599">
        <v>12.17</v>
      </c>
    </row>
    <row r="2427" spans="1:6">
      <c r="A2427" s="606">
        <v>100159</v>
      </c>
      <c r="B2427" s="607" t="s">
        <v>3823</v>
      </c>
      <c r="C2427" s="608" t="s">
        <v>1240</v>
      </c>
      <c r="D2427" s="599">
        <v>16.11</v>
      </c>
    </row>
    <row r="2428" spans="1:6">
      <c r="A2428" s="606">
        <v>100160</v>
      </c>
      <c r="B2428" s="607" t="s">
        <v>3824</v>
      </c>
      <c r="C2428" s="608" t="s">
        <v>1240</v>
      </c>
      <c r="D2428" s="599">
        <v>7.57</v>
      </c>
    </row>
    <row r="2429" spans="1:6">
      <c r="A2429" s="606">
        <v>100161</v>
      </c>
      <c r="B2429" s="607" t="s">
        <v>3825</v>
      </c>
      <c r="C2429" s="608" t="s">
        <v>1240</v>
      </c>
      <c r="D2429" s="599">
        <v>18.63</v>
      </c>
    </row>
    <row r="2430" spans="1:6">
      <c r="A2430" s="606">
        <v>100199</v>
      </c>
      <c r="B2430" s="607" t="s">
        <v>3826</v>
      </c>
      <c r="C2430" s="608" t="s">
        <v>1652</v>
      </c>
      <c r="D2430" s="599">
        <v>263.25</v>
      </c>
    </row>
    <row r="2431" spans="1:6">
      <c r="A2431" s="589">
        <v>1050</v>
      </c>
      <c r="B2431" s="596" t="s">
        <v>1690</v>
      </c>
      <c r="C2431" s="588"/>
      <c r="D2431" s="599"/>
      <c r="F2431" s="585"/>
    </row>
    <row r="2432" spans="1:6">
      <c r="A2432" s="606">
        <v>105001</v>
      </c>
      <c r="B2432" s="607" t="s">
        <v>3827</v>
      </c>
      <c r="C2432" s="608" t="s">
        <v>1240</v>
      </c>
      <c r="D2432" s="599">
        <v>1.42</v>
      </c>
    </row>
    <row r="2433" spans="1:6">
      <c r="A2433" s="606">
        <v>105002</v>
      </c>
      <c r="B2433" s="607" t="s">
        <v>3828</v>
      </c>
      <c r="C2433" s="608" t="s">
        <v>1240</v>
      </c>
      <c r="D2433" s="599">
        <v>2.67</v>
      </c>
    </row>
    <row r="2434" spans="1:6">
      <c r="A2434" s="606">
        <v>105003</v>
      </c>
      <c r="B2434" s="607" t="s">
        <v>3829</v>
      </c>
      <c r="C2434" s="608" t="s">
        <v>1240</v>
      </c>
      <c r="D2434" s="599">
        <v>1.96</v>
      </c>
    </row>
    <row r="2435" spans="1:6">
      <c r="A2435" s="606">
        <v>105004</v>
      </c>
      <c r="B2435" s="607" t="s">
        <v>3830</v>
      </c>
      <c r="C2435" s="608" t="s">
        <v>1240</v>
      </c>
      <c r="D2435" s="599">
        <v>0.71</v>
      </c>
    </row>
    <row r="2436" spans="1:6">
      <c r="A2436" s="606">
        <v>105099</v>
      </c>
      <c r="B2436" s="607" t="s">
        <v>1690</v>
      </c>
      <c r="C2436" s="608" t="s">
        <v>1652</v>
      </c>
      <c r="D2436" s="599">
        <v>263.25</v>
      </c>
    </row>
    <row r="2437" spans="1:6">
      <c r="A2437" s="589">
        <v>1060</v>
      </c>
      <c r="B2437" s="596" t="s">
        <v>1691</v>
      </c>
      <c r="C2437" s="588"/>
      <c r="D2437" s="599"/>
      <c r="F2437" s="585"/>
    </row>
    <row r="2438" spans="1:6">
      <c r="A2438" s="606">
        <v>106001</v>
      </c>
      <c r="B2438" s="607" t="s">
        <v>3831</v>
      </c>
      <c r="C2438" s="608" t="s">
        <v>1240</v>
      </c>
      <c r="D2438" s="599">
        <v>5.46</v>
      </c>
    </row>
    <row r="2439" spans="1:6">
      <c r="A2439" s="606">
        <v>106002</v>
      </c>
      <c r="B2439" s="607" t="s">
        <v>3832</v>
      </c>
      <c r="C2439" s="608" t="s">
        <v>1240</v>
      </c>
      <c r="D2439" s="599">
        <v>2.92</v>
      </c>
    </row>
    <row r="2440" spans="1:6">
      <c r="A2440" s="606">
        <v>106005</v>
      </c>
      <c r="B2440" s="607" t="s">
        <v>3833</v>
      </c>
      <c r="C2440" s="608" t="s">
        <v>1240</v>
      </c>
      <c r="D2440" s="599">
        <v>5.46</v>
      </c>
    </row>
    <row r="2441" spans="1:6">
      <c r="A2441" s="606">
        <v>106099</v>
      </c>
      <c r="B2441" s="607" t="s">
        <v>1691</v>
      </c>
      <c r="C2441" s="608" t="s">
        <v>1652</v>
      </c>
      <c r="D2441" s="599">
        <v>263.25</v>
      </c>
    </row>
    <row r="2442" spans="1:6">
      <c r="A2442" s="589">
        <v>1070</v>
      </c>
      <c r="B2442" s="596" t="s">
        <v>3834</v>
      </c>
      <c r="C2442" s="588"/>
      <c r="D2442" s="599"/>
      <c r="F2442" s="585"/>
    </row>
    <row r="2443" spans="1:6">
      <c r="A2443" s="606">
        <v>107001</v>
      </c>
      <c r="B2443" s="607" t="s">
        <v>3835</v>
      </c>
      <c r="C2443" s="608" t="s">
        <v>1240</v>
      </c>
      <c r="D2443" s="599">
        <v>6.31</v>
      </c>
    </row>
    <row r="2444" spans="1:6">
      <c r="A2444" s="606">
        <v>107002</v>
      </c>
      <c r="B2444" s="607" t="s">
        <v>3836</v>
      </c>
      <c r="C2444" s="608" t="s">
        <v>1240</v>
      </c>
      <c r="D2444" s="599">
        <v>2.92</v>
      </c>
    </row>
    <row r="2445" spans="1:6">
      <c r="A2445" s="606">
        <v>107005</v>
      </c>
      <c r="B2445" s="607" t="s">
        <v>3837</v>
      </c>
      <c r="C2445" s="608" t="s">
        <v>1240</v>
      </c>
      <c r="D2445" s="599">
        <v>5.46</v>
      </c>
    </row>
    <row r="2446" spans="1:6">
      <c r="A2446" s="606">
        <v>107099</v>
      </c>
      <c r="B2446" s="607" t="s">
        <v>3838</v>
      </c>
      <c r="C2446" s="608" t="s">
        <v>1652</v>
      </c>
      <c r="D2446" s="599">
        <v>263.25</v>
      </c>
    </row>
    <row r="2447" spans="1:6">
      <c r="A2447" s="589">
        <v>1080</v>
      </c>
      <c r="B2447" s="596" t="s">
        <v>3839</v>
      </c>
      <c r="C2447" s="588"/>
      <c r="D2447" s="599"/>
      <c r="F2447" s="585"/>
    </row>
    <row r="2448" spans="1:6">
      <c r="A2448" s="606">
        <v>108002</v>
      </c>
      <c r="B2448" s="607" t="s">
        <v>3840</v>
      </c>
      <c r="C2448" s="608" t="s">
        <v>1240</v>
      </c>
      <c r="D2448" s="599">
        <v>88.36</v>
      </c>
    </row>
    <row r="2449" spans="1:6">
      <c r="A2449" s="606">
        <v>108003</v>
      </c>
      <c r="B2449" s="607" t="s">
        <v>3841</v>
      </c>
      <c r="C2449" s="608" t="s">
        <v>1240</v>
      </c>
      <c r="D2449" s="599">
        <v>74.83</v>
      </c>
    </row>
    <row r="2450" spans="1:6">
      <c r="A2450" s="606">
        <v>108005</v>
      </c>
      <c r="B2450" s="607" t="s">
        <v>3842</v>
      </c>
      <c r="C2450" s="608" t="s">
        <v>1240</v>
      </c>
      <c r="D2450" s="599">
        <v>30.46</v>
      </c>
    </row>
    <row r="2451" spans="1:6">
      <c r="A2451" s="606">
        <v>108010</v>
      </c>
      <c r="B2451" s="607" t="s">
        <v>3843</v>
      </c>
      <c r="C2451" s="608" t="s">
        <v>1240</v>
      </c>
      <c r="D2451" s="599">
        <v>84.17</v>
      </c>
    </row>
    <row r="2452" spans="1:6">
      <c r="A2452" s="606">
        <v>108016</v>
      </c>
      <c r="B2452" s="607" t="s">
        <v>3844</v>
      </c>
      <c r="C2452" s="608" t="s">
        <v>1240</v>
      </c>
      <c r="D2452" s="599">
        <v>18.36</v>
      </c>
    </row>
    <row r="2453" spans="1:6">
      <c r="A2453" s="606">
        <v>108017</v>
      </c>
      <c r="B2453" s="607" t="s">
        <v>3845</v>
      </c>
      <c r="C2453" s="608" t="s">
        <v>1240</v>
      </c>
      <c r="D2453" s="599">
        <v>22.94</v>
      </c>
    </row>
    <row r="2454" spans="1:6">
      <c r="A2454" s="606">
        <v>108018</v>
      </c>
      <c r="B2454" s="607" t="s">
        <v>3846</v>
      </c>
      <c r="C2454" s="608" t="s">
        <v>1659</v>
      </c>
      <c r="D2454" s="599">
        <v>11.42</v>
      </c>
    </row>
    <row r="2455" spans="1:6">
      <c r="A2455" s="606">
        <v>108020</v>
      </c>
      <c r="B2455" s="607" t="s">
        <v>3847</v>
      </c>
      <c r="C2455" s="608" t="s">
        <v>1240</v>
      </c>
      <c r="D2455" s="599">
        <v>40.18</v>
      </c>
    </row>
    <row r="2456" spans="1:6">
      <c r="A2456" s="606">
        <v>108022</v>
      </c>
      <c r="B2456" s="607" t="s">
        <v>3848</v>
      </c>
      <c r="C2456" s="608" t="s">
        <v>1240</v>
      </c>
      <c r="D2456" s="599">
        <v>53.02</v>
      </c>
    </row>
    <row r="2457" spans="1:6">
      <c r="A2457" s="606">
        <v>108029</v>
      </c>
      <c r="B2457" s="607" t="s">
        <v>3849</v>
      </c>
      <c r="C2457" s="608" t="s">
        <v>1240</v>
      </c>
      <c r="D2457" s="599">
        <v>48.12</v>
      </c>
    </row>
    <row r="2458" spans="1:6">
      <c r="A2458" s="606">
        <v>108030</v>
      </c>
      <c r="B2458" s="607" t="s">
        <v>3850</v>
      </c>
      <c r="C2458" s="608" t="s">
        <v>1240</v>
      </c>
      <c r="D2458" s="599">
        <v>2.34</v>
      </c>
    </row>
    <row r="2459" spans="1:6">
      <c r="A2459" s="606">
        <v>108035</v>
      </c>
      <c r="B2459" s="607" t="s">
        <v>3851</v>
      </c>
      <c r="C2459" s="608" t="s">
        <v>1248</v>
      </c>
      <c r="D2459" s="599">
        <v>4.58</v>
      </c>
    </row>
    <row r="2460" spans="1:6">
      <c r="A2460" s="606">
        <v>108037</v>
      </c>
      <c r="B2460" s="607" t="s">
        <v>3852</v>
      </c>
      <c r="C2460" s="608" t="s">
        <v>1240</v>
      </c>
      <c r="D2460" s="599">
        <v>42.3</v>
      </c>
    </row>
    <row r="2461" spans="1:6">
      <c r="A2461" s="606">
        <v>108099</v>
      </c>
      <c r="B2461" s="607" t="s">
        <v>3853</v>
      </c>
      <c r="C2461" s="608" t="s">
        <v>1652</v>
      </c>
      <c r="D2461" s="599">
        <v>263.25</v>
      </c>
    </row>
    <row r="2462" spans="1:6">
      <c r="A2462" s="589">
        <v>11</v>
      </c>
      <c r="B2462" s="596" t="s">
        <v>3854</v>
      </c>
      <c r="C2462" s="588"/>
      <c r="D2462" s="599"/>
      <c r="F2462" s="585"/>
    </row>
    <row r="2463" spans="1:6">
      <c r="A2463" s="589">
        <v>1101</v>
      </c>
      <c r="B2463" s="596" t="s">
        <v>3855</v>
      </c>
      <c r="C2463" s="588"/>
      <c r="D2463" s="599"/>
      <c r="F2463" s="585"/>
    </row>
    <row r="2464" spans="1:6">
      <c r="A2464" s="606">
        <v>110101</v>
      </c>
      <c r="B2464" s="607" t="s">
        <v>3856</v>
      </c>
      <c r="C2464" s="608" t="s">
        <v>1240</v>
      </c>
      <c r="D2464" s="599">
        <v>29.64</v>
      </c>
    </row>
    <row r="2465" spans="1:6">
      <c r="A2465" s="606">
        <v>110102</v>
      </c>
      <c r="B2465" s="607" t="s">
        <v>3857</v>
      </c>
      <c r="C2465" s="608" t="s">
        <v>1240</v>
      </c>
      <c r="D2465" s="599">
        <v>38.22</v>
      </c>
    </row>
    <row r="2466" spans="1:6">
      <c r="A2466" s="606">
        <v>110103</v>
      </c>
      <c r="B2466" s="607" t="s">
        <v>1774</v>
      </c>
      <c r="C2466" s="608" t="s">
        <v>1240</v>
      </c>
      <c r="D2466" s="599">
        <v>8.94</v>
      </c>
    </row>
    <row r="2467" spans="1:6">
      <c r="A2467" s="606">
        <v>110110</v>
      </c>
      <c r="B2467" s="607" t="s">
        <v>3858</v>
      </c>
      <c r="C2467" s="608" t="s">
        <v>1240</v>
      </c>
      <c r="D2467" s="599">
        <v>13.45</v>
      </c>
    </row>
    <row r="2468" spans="1:6">
      <c r="A2468" s="606">
        <v>110199</v>
      </c>
      <c r="B2468" s="607" t="s">
        <v>93</v>
      </c>
      <c r="C2468" s="608" t="s">
        <v>1652</v>
      </c>
      <c r="D2468" s="599">
        <v>263.25</v>
      </c>
    </row>
    <row r="2469" spans="1:6">
      <c r="A2469" s="589">
        <v>1102</v>
      </c>
      <c r="B2469" s="596" t="s">
        <v>3859</v>
      </c>
      <c r="C2469" s="588"/>
      <c r="D2469" s="599"/>
      <c r="F2469" s="585"/>
    </row>
    <row r="2470" spans="1:6">
      <c r="A2470" s="606">
        <v>110222</v>
      </c>
      <c r="B2470" s="607" t="s">
        <v>3860</v>
      </c>
      <c r="C2470" s="608" t="s">
        <v>1240</v>
      </c>
      <c r="D2470" s="599">
        <v>71.63</v>
      </c>
    </row>
    <row r="2471" spans="1:6">
      <c r="A2471" s="606">
        <v>110223</v>
      </c>
      <c r="B2471" s="607" t="s">
        <v>3861</v>
      </c>
      <c r="C2471" s="608" t="s">
        <v>1240</v>
      </c>
      <c r="D2471" s="599">
        <v>101.75</v>
      </c>
    </row>
    <row r="2472" spans="1:6">
      <c r="A2472" s="606">
        <v>110224</v>
      </c>
      <c r="B2472" s="607" t="s">
        <v>3862</v>
      </c>
      <c r="C2472" s="608" t="s">
        <v>1240</v>
      </c>
      <c r="D2472" s="599">
        <v>59.45</v>
      </c>
    </row>
    <row r="2473" spans="1:6">
      <c r="A2473" s="606">
        <v>110225</v>
      </c>
      <c r="B2473" s="607" t="s">
        <v>3863</v>
      </c>
      <c r="C2473" s="608" t="s">
        <v>1240</v>
      </c>
      <c r="D2473" s="599">
        <v>72.88</v>
      </c>
    </row>
    <row r="2474" spans="1:6">
      <c r="A2474" s="606">
        <v>110226</v>
      </c>
      <c r="B2474" s="607" t="s">
        <v>3864</v>
      </c>
      <c r="C2474" s="608" t="s">
        <v>1240</v>
      </c>
      <c r="D2474" s="599">
        <v>33.19</v>
      </c>
    </row>
    <row r="2475" spans="1:6">
      <c r="A2475" s="606">
        <v>110227</v>
      </c>
      <c r="B2475" s="607" t="s">
        <v>3865</v>
      </c>
      <c r="C2475" s="608" t="s">
        <v>1240</v>
      </c>
      <c r="D2475" s="599">
        <v>25.29</v>
      </c>
    </row>
    <row r="2476" spans="1:6">
      <c r="A2476" s="606">
        <v>110228</v>
      </c>
      <c r="B2476" s="607" t="s">
        <v>3866</v>
      </c>
      <c r="C2476" s="608" t="s">
        <v>1240</v>
      </c>
      <c r="D2476" s="599">
        <v>19.23</v>
      </c>
    </row>
    <row r="2477" spans="1:6" ht="26.4">
      <c r="A2477" s="606">
        <v>110229</v>
      </c>
      <c r="B2477" s="607" t="s">
        <v>3867</v>
      </c>
      <c r="C2477" s="608" t="s">
        <v>1240</v>
      </c>
      <c r="D2477" s="599">
        <v>34.130000000000003</v>
      </c>
    </row>
    <row r="2478" spans="1:6">
      <c r="A2478" s="606">
        <v>110230</v>
      </c>
      <c r="B2478" s="607" t="s">
        <v>3868</v>
      </c>
      <c r="C2478" s="608" t="s">
        <v>1240</v>
      </c>
      <c r="D2478" s="599">
        <v>40.270000000000003</v>
      </c>
    </row>
    <row r="2479" spans="1:6">
      <c r="A2479" s="606">
        <v>110231</v>
      </c>
      <c r="B2479" s="607" t="s">
        <v>3869</v>
      </c>
      <c r="C2479" s="608" t="s">
        <v>1240</v>
      </c>
      <c r="D2479" s="599">
        <v>12.84</v>
      </c>
    </row>
    <row r="2480" spans="1:6">
      <c r="A2480" s="606">
        <v>110235</v>
      </c>
      <c r="B2480" s="607" t="s">
        <v>3870</v>
      </c>
      <c r="C2480" s="608" t="s">
        <v>1240</v>
      </c>
      <c r="D2480" s="599">
        <v>61.03</v>
      </c>
    </row>
    <row r="2481" spans="1:6">
      <c r="A2481" s="606">
        <v>110250</v>
      </c>
      <c r="B2481" s="607" t="s">
        <v>3822</v>
      </c>
      <c r="C2481" s="608" t="s">
        <v>1240</v>
      </c>
      <c r="D2481" s="599">
        <v>12.17</v>
      </c>
    </row>
    <row r="2482" spans="1:6">
      <c r="A2482" s="606">
        <v>110252</v>
      </c>
      <c r="B2482" s="607" t="s">
        <v>3871</v>
      </c>
      <c r="C2482" s="608" t="s">
        <v>1240</v>
      </c>
      <c r="D2482" s="599">
        <v>27.56</v>
      </c>
    </row>
    <row r="2483" spans="1:6">
      <c r="A2483" s="606">
        <v>110253</v>
      </c>
      <c r="B2483" s="607" t="s">
        <v>3872</v>
      </c>
      <c r="C2483" s="608" t="s">
        <v>1240</v>
      </c>
      <c r="D2483" s="599">
        <v>17.239999999999998</v>
      </c>
    </row>
    <row r="2484" spans="1:6">
      <c r="A2484" s="606">
        <v>110254</v>
      </c>
      <c r="B2484" s="607" t="s">
        <v>3873</v>
      </c>
      <c r="C2484" s="608" t="s">
        <v>1650</v>
      </c>
      <c r="D2484" s="599">
        <v>245.02</v>
      </c>
    </row>
    <row r="2485" spans="1:6">
      <c r="A2485" s="606">
        <v>110255</v>
      </c>
      <c r="B2485" s="607" t="s">
        <v>3874</v>
      </c>
      <c r="C2485" s="608" t="s">
        <v>1650</v>
      </c>
      <c r="D2485" s="599">
        <v>231.4</v>
      </c>
    </row>
    <row r="2486" spans="1:6">
      <c r="A2486" s="606">
        <v>110261</v>
      </c>
      <c r="B2486" s="607" t="s">
        <v>3875</v>
      </c>
      <c r="C2486" s="608" t="s">
        <v>1240</v>
      </c>
      <c r="D2486" s="599">
        <v>60.07</v>
      </c>
    </row>
    <row r="2487" spans="1:6">
      <c r="A2487" s="606">
        <v>110262</v>
      </c>
      <c r="B2487" s="607" t="s">
        <v>3876</v>
      </c>
      <c r="C2487" s="608" t="s">
        <v>1240</v>
      </c>
      <c r="D2487" s="599">
        <v>66.150000000000006</v>
      </c>
    </row>
    <row r="2488" spans="1:6">
      <c r="A2488" s="606">
        <v>110264</v>
      </c>
      <c r="B2488" s="607" t="s">
        <v>3877</v>
      </c>
      <c r="C2488" s="608" t="s">
        <v>1240</v>
      </c>
      <c r="D2488" s="599">
        <v>16.54</v>
      </c>
    </row>
    <row r="2489" spans="1:6">
      <c r="A2489" s="606">
        <v>110265</v>
      </c>
      <c r="B2489" s="607" t="s">
        <v>3878</v>
      </c>
      <c r="C2489" s="608" t="s">
        <v>1240</v>
      </c>
      <c r="D2489" s="599">
        <v>11.8</v>
      </c>
    </row>
    <row r="2490" spans="1:6">
      <c r="A2490" s="606">
        <v>110299</v>
      </c>
      <c r="B2490" s="607" t="s">
        <v>93</v>
      </c>
      <c r="C2490" s="608" t="s">
        <v>1652</v>
      </c>
      <c r="D2490" s="599">
        <v>263.25</v>
      </c>
    </row>
    <row r="2491" spans="1:6">
      <c r="A2491" s="589">
        <v>1103</v>
      </c>
      <c r="B2491" s="596" t="s">
        <v>3879</v>
      </c>
      <c r="C2491" s="588"/>
      <c r="D2491" s="599"/>
      <c r="F2491" s="585"/>
    </row>
    <row r="2492" spans="1:6">
      <c r="A2492" s="606">
        <v>110301</v>
      </c>
      <c r="B2492" s="607" t="s">
        <v>3880</v>
      </c>
      <c r="C2492" s="608" t="s">
        <v>1240</v>
      </c>
      <c r="D2492" s="599">
        <v>29.64</v>
      </c>
    </row>
    <row r="2493" spans="1:6">
      <c r="A2493" s="606">
        <v>110302</v>
      </c>
      <c r="B2493" s="607" t="s">
        <v>3881</v>
      </c>
      <c r="C2493" s="608" t="s">
        <v>1240</v>
      </c>
      <c r="D2493" s="599">
        <v>38.22</v>
      </c>
    </row>
    <row r="2494" spans="1:6">
      <c r="A2494" s="606">
        <v>110303</v>
      </c>
      <c r="B2494" s="607" t="s">
        <v>3882</v>
      </c>
      <c r="C2494" s="608" t="s">
        <v>1240</v>
      </c>
      <c r="D2494" s="599">
        <v>13.45</v>
      </c>
    </row>
    <row r="2495" spans="1:6">
      <c r="A2495" s="606">
        <v>110304</v>
      </c>
      <c r="B2495" s="607" t="s">
        <v>3883</v>
      </c>
      <c r="C2495" s="608" t="s">
        <v>1240</v>
      </c>
      <c r="D2495" s="599">
        <v>8.94</v>
      </c>
    </row>
    <row r="2496" spans="1:6">
      <c r="A2496" s="606">
        <v>110310</v>
      </c>
      <c r="B2496" s="607" t="s">
        <v>3884</v>
      </c>
      <c r="C2496" s="608" t="s">
        <v>1240</v>
      </c>
      <c r="D2496" s="599">
        <v>5.63</v>
      </c>
    </row>
    <row r="2497" spans="1:6">
      <c r="A2497" s="606">
        <v>110399</v>
      </c>
      <c r="B2497" s="607" t="s">
        <v>93</v>
      </c>
      <c r="C2497" s="608" t="s">
        <v>1652</v>
      </c>
      <c r="D2497" s="599">
        <v>263.25</v>
      </c>
    </row>
    <row r="2498" spans="1:6">
      <c r="A2498" s="589">
        <v>1104</v>
      </c>
      <c r="B2498" s="596" t="s">
        <v>3885</v>
      </c>
      <c r="C2498" s="588"/>
      <c r="D2498" s="599"/>
      <c r="F2498" s="585"/>
    </row>
    <row r="2499" spans="1:6">
      <c r="A2499" s="606">
        <v>110401</v>
      </c>
      <c r="B2499" s="607" t="s">
        <v>3886</v>
      </c>
      <c r="C2499" s="608" t="s">
        <v>1659</v>
      </c>
      <c r="D2499" s="599">
        <v>98.6</v>
      </c>
    </row>
    <row r="2500" spans="1:6">
      <c r="A2500" s="606">
        <v>110402</v>
      </c>
      <c r="B2500" s="607" t="s">
        <v>3887</v>
      </c>
      <c r="C2500" s="608" t="s">
        <v>1659</v>
      </c>
      <c r="D2500" s="599">
        <v>38.04</v>
      </c>
    </row>
    <row r="2501" spans="1:6">
      <c r="A2501" s="606">
        <v>110403</v>
      </c>
      <c r="B2501" s="607" t="s">
        <v>3888</v>
      </c>
      <c r="C2501" s="608" t="s">
        <v>1659</v>
      </c>
      <c r="D2501" s="599">
        <v>56.64</v>
      </c>
    </row>
    <row r="2502" spans="1:6">
      <c r="A2502" s="606">
        <v>110404</v>
      </c>
      <c r="B2502" s="607" t="s">
        <v>3889</v>
      </c>
      <c r="C2502" s="608" t="s">
        <v>3890</v>
      </c>
      <c r="D2502" s="599">
        <v>0.13</v>
      </c>
    </row>
    <row r="2503" spans="1:6">
      <c r="A2503" s="606">
        <v>110410</v>
      </c>
      <c r="B2503" s="607" t="s">
        <v>3891</v>
      </c>
      <c r="C2503" s="608" t="s">
        <v>1659</v>
      </c>
      <c r="D2503" s="599">
        <v>5.7</v>
      </c>
    </row>
    <row r="2504" spans="1:6">
      <c r="A2504" s="606">
        <v>110412</v>
      </c>
      <c r="B2504" s="607" t="s">
        <v>3892</v>
      </c>
      <c r="C2504" s="608" t="s">
        <v>1659</v>
      </c>
      <c r="D2504" s="599">
        <v>3.23</v>
      </c>
    </row>
    <row r="2505" spans="1:6">
      <c r="A2505" s="606">
        <v>110421</v>
      </c>
      <c r="B2505" s="607" t="s">
        <v>3893</v>
      </c>
      <c r="C2505" s="608" t="s">
        <v>1659</v>
      </c>
      <c r="D2505" s="599">
        <v>79.33</v>
      </c>
    </row>
    <row r="2506" spans="1:6">
      <c r="A2506" s="606">
        <v>110422</v>
      </c>
      <c r="B2506" s="607" t="s">
        <v>3894</v>
      </c>
      <c r="C2506" s="608" t="s">
        <v>1659</v>
      </c>
      <c r="D2506" s="599">
        <v>79.33</v>
      </c>
    </row>
    <row r="2507" spans="1:6">
      <c r="A2507" s="606">
        <v>110430</v>
      </c>
      <c r="B2507" s="607" t="s">
        <v>3895</v>
      </c>
      <c r="C2507" s="608" t="s">
        <v>1659</v>
      </c>
      <c r="D2507" s="599">
        <v>22.86</v>
      </c>
    </row>
    <row r="2508" spans="1:6" ht="26.4">
      <c r="A2508" s="606">
        <v>110441</v>
      </c>
      <c r="B2508" s="607" t="s">
        <v>3896</v>
      </c>
      <c r="C2508" s="608" t="s">
        <v>1659</v>
      </c>
      <c r="D2508" s="599">
        <v>14.36</v>
      </c>
    </row>
    <row r="2509" spans="1:6">
      <c r="A2509" s="606">
        <v>110499</v>
      </c>
      <c r="B2509" s="607" t="s">
        <v>3897</v>
      </c>
      <c r="C2509" s="608" t="s">
        <v>1652</v>
      </c>
      <c r="D2509" s="599">
        <v>263.25</v>
      </c>
    </row>
    <row r="2510" spans="1:6">
      <c r="A2510" s="589">
        <v>1150</v>
      </c>
      <c r="B2510" s="596" t="s">
        <v>1690</v>
      </c>
      <c r="C2510" s="588"/>
      <c r="D2510" s="599"/>
      <c r="F2510" s="585"/>
    </row>
    <row r="2511" spans="1:6">
      <c r="A2511" s="606">
        <v>115001</v>
      </c>
      <c r="B2511" s="607" t="s">
        <v>3898</v>
      </c>
      <c r="C2511" s="608" t="s">
        <v>1240</v>
      </c>
      <c r="D2511" s="599">
        <v>4.46</v>
      </c>
    </row>
    <row r="2512" spans="1:6">
      <c r="A2512" s="606">
        <v>115002</v>
      </c>
      <c r="B2512" s="607" t="s">
        <v>3899</v>
      </c>
      <c r="C2512" s="608" t="s">
        <v>1240</v>
      </c>
      <c r="D2512" s="599">
        <v>5.35</v>
      </c>
    </row>
    <row r="2513" spans="1:6">
      <c r="A2513" s="606">
        <v>115003</v>
      </c>
      <c r="B2513" s="607" t="s">
        <v>3900</v>
      </c>
      <c r="C2513" s="608" t="s">
        <v>1240</v>
      </c>
      <c r="D2513" s="599">
        <v>0.89</v>
      </c>
    </row>
    <row r="2514" spans="1:6">
      <c r="A2514" s="606">
        <v>115004</v>
      </c>
      <c r="B2514" s="607" t="s">
        <v>3901</v>
      </c>
      <c r="C2514" s="608" t="s">
        <v>1240</v>
      </c>
      <c r="D2514" s="599">
        <v>0.44</v>
      </c>
    </row>
    <row r="2515" spans="1:6">
      <c r="A2515" s="606">
        <v>115005</v>
      </c>
      <c r="B2515" s="607" t="s">
        <v>3902</v>
      </c>
      <c r="C2515" s="608" t="s">
        <v>1240</v>
      </c>
      <c r="D2515" s="599">
        <v>4.46</v>
      </c>
    </row>
    <row r="2516" spans="1:6">
      <c r="A2516" s="606">
        <v>115050</v>
      </c>
      <c r="B2516" s="607" t="s">
        <v>3903</v>
      </c>
      <c r="C2516" s="608" t="s">
        <v>1659</v>
      </c>
      <c r="D2516" s="599">
        <v>1.78</v>
      </c>
    </row>
    <row r="2517" spans="1:6">
      <c r="A2517" s="606">
        <v>115099</v>
      </c>
      <c r="B2517" s="607" t="s">
        <v>1690</v>
      </c>
      <c r="C2517" s="608" t="s">
        <v>1652</v>
      </c>
      <c r="D2517" s="599">
        <v>263.25</v>
      </c>
    </row>
    <row r="2518" spans="1:6">
      <c r="A2518" s="589">
        <v>1160</v>
      </c>
      <c r="B2518" s="596" t="s">
        <v>1691</v>
      </c>
      <c r="C2518" s="588"/>
      <c r="D2518" s="599"/>
      <c r="F2518" s="585"/>
    </row>
    <row r="2519" spans="1:6">
      <c r="A2519" s="606">
        <v>116001</v>
      </c>
      <c r="B2519" s="607" t="s">
        <v>3904</v>
      </c>
      <c r="C2519" s="608" t="s">
        <v>1240</v>
      </c>
      <c r="D2519" s="599">
        <v>2.67</v>
      </c>
    </row>
    <row r="2520" spans="1:6">
      <c r="A2520" s="606">
        <v>116002</v>
      </c>
      <c r="B2520" s="607" t="s">
        <v>3905</v>
      </c>
      <c r="C2520" s="608" t="s">
        <v>1240</v>
      </c>
      <c r="D2520" s="599">
        <v>0.89</v>
      </c>
    </row>
    <row r="2521" spans="1:6">
      <c r="A2521" s="606">
        <v>116099</v>
      </c>
      <c r="B2521" s="607" t="s">
        <v>1691</v>
      </c>
      <c r="C2521" s="608" t="s">
        <v>1652</v>
      </c>
      <c r="D2521" s="599">
        <v>263.25</v>
      </c>
    </row>
    <row r="2522" spans="1:6">
      <c r="A2522" s="589">
        <v>1170</v>
      </c>
      <c r="B2522" s="596" t="s">
        <v>3906</v>
      </c>
      <c r="C2522" s="588"/>
      <c r="D2522" s="599"/>
      <c r="F2522" s="585"/>
    </row>
    <row r="2523" spans="1:6">
      <c r="A2523" s="606">
        <v>117015</v>
      </c>
      <c r="B2523" s="607" t="s">
        <v>3907</v>
      </c>
      <c r="C2523" s="608" t="s">
        <v>1650</v>
      </c>
      <c r="D2523" s="599">
        <v>38.39</v>
      </c>
    </row>
    <row r="2524" spans="1:6">
      <c r="A2524" s="606">
        <v>117099</v>
      </c>
      <c r="B2524" s="607" t="s">
        <v>3908</v>
      </c>
      <c r="C2524" s="608" t="s">
        <v>1652</v>
      </c>
      <c r="D2524" s="599">
        <v>263.25</v>
      </c>
    </row>
    <row r="2525" spans="1:6">
      <c r="A2525" s="589">
        <v>1170</v>
      </c>
      <c r="B2525" s="596" t="s">
        <v>3909</v>
      </c>
      <c r="C2525" s="588"/>
      <c r="D2525" s="599"/>
      <c r="F2525" s="585"/>
    </row>
    <row r="2526" spans="1:6">
      <c r="A2526" s="606">
        <v>118099</v>
      </c>
      <c r="B2526" s="607" t="s">
        <v>3910</v>
      </c>
      <c r="C2526" s="608" t="s">
        <v>1652</v>
      </c>
      <c r="D2526" s="599">
        <v>263.25</v>
      </c>
    </row>
    <row r="2527" spans="1:6">
      <c r="A2527" s="589">
        <v>12</v>
      </c>
      <c r="B2527" s="596" t="s">
        <v>831</v>
      </c>
      <c r="C2527" s="588"/>
      <c r="D2527" s="599"/>
      <c r="F2527" s="585"/>
    </row>
    <row r="2528" spans="1:6">
      <c r="A2528" s="589">
        <v>1201</v>
      </c>
      <c r="B2528" s="596" t="s">
        <v>834</v>
      </c>
      <c r="C2528" s="588"/>
      <c r="D2528" s="599"/>
      <c r="F2528" s="585"/>
    </row>
    <row r="2529" spans="1:6">
      <c r="A2529" s="606">
        <v>120101</v>
      </c>
      <c r="B2529" s="607" t="s">
        <v>3911</v>
      </c>
      <c r="C2529" s="608" t="s">
        <v>1240</v>
      </c>
      <c r="D2529" s="599">
        <v>5.62</v>
      </c>
    </row>
    <row r="2530" spans="1:6">
      <c r="A2530" s="606">
        <v>120106</v>
      </c>
      <c r="B2530" s="607" t="s">
        <v>3912</v>
      </c>
      <c r="C2530" s="608" t="s">
        <v>1240</v>
      </c>
      <c r="D2530" s="599">
        <v>19.71</v>
      </c>
    </row>
    <row r="2531" spans="1:6">
      <c r="A2531" s="606">
        <v>120199</v>
      </c>
      <c r="B2531" s="607" t="s">
        <v>3913</v>
      </c>
      <c r="C2531" s="608" t="s">
        <v>1652</v>
      </c>
      <c r="D2531" s="599">
        <v>263.25</v>
      </c>
    </row>
    <row r="2532" spans="1:6">
      <c r="A2532" s="589">
        <v>1202</v>
      </c>
      <c r="B2532" s="596" t="s">
        <v>841</v>
      </c>
      <c r="C2532" s="588"/>
      <c r="D2532" s="599"/>
      <c r="F2532" s="585"/>
    </row>
    <row r="2533" spans="1:6">
      <c r="A2533" s="606">
        <v>120201</v>
      </c>
      <c r="B2533" s="607" t="s">
        <v>3911</v>
      </c>
      <c r="C2533" s="608" t="s">
        <v>1240</v>
      </c>
      <c r="D2533" s="599">
        <v>5.62</v>
      </c>
    </row>
    <row r="2534" spans="1:6">
      <c r="A2534" s="606">
        <v>120204</v>
      </c>
      <c r="B2534" s="607" t="s">
        <v>3914</v>
      </c>
      <c r="C2534" s="608" t="s">
        <v>1240</v>
      </c>
      <c r="D2534" s="599">
        <v>7.29</v>
      </c>
    </row>
    <row r="2535" spans="1:6">
      <c r="A2535" s="606">
        <v>120205</v>
      </c>
      <c r="B2535" s="607" t="s">
        <v>3915</v>
      </c>
      <c r="C2535" s="608" t="s">
        <v>1240</v>
      </c>
      <c r="D2535" s="599">
        <v>16.260000000000002</v>
      </c>
    </row>
    <row r="2536" spans="1:6">
      <c r="A2536" s="606">
        <v>120206</v>
      </c>
      <c r="B2536" s="607" t="s">
        <v>3912</v>
      </c>
      <c r="C2536" s="608" t="s">
        <v>1240</v>
      </c>
      <c r="D2536" s="599">
        <v>19.71</v>
      </c>
    </row>
    <row r="2537" spans="1:6">
      <c r="A2537" s="606">
        <v>120207</v>
      </c>
      <c r="B2537" s="607" t="s">
        <v>3916</v>
      </c>
      <c r="C2537" s="608" t="s">
        <v>1240</v>
      </c>
      <c r="D2537" s="599">
        <v>11.76</v>
      </c>
    </row>
    <row r="2538" spans="1:6">
      <c r="A2538" s="606">
        <v>120209</v>
      </c>
      <c r="B2538" s="607" t="s">
        <v>3917</v>
      </c>
      <c r="C2538" s="608" t="s">
        <v>1240</v>
      </c>
      <c r="D2538" s="599">
        <v>9.7899999999999991</v>
      </c>
    </row>
    <row r="2539" spans="1:6">
      <c r="A2539" s="606">
        <v>120210</v>
      </c>
      <c r="B2539" s="607" t="s">
        <v>3918</v>
      </c>
      <c r="C2539" s="608" t="s">
        <v>1240</v>
      </c>
      <c r="D2539" s="599">
        <v>12.18</v>
      </c>
    </row>
    <row r="2540" spans="1:6">
      <c r="A2540" s="606">
        <v>120211</v>
      </c>
      <c r="B2540" s="607" t="s">
        <v>3919</v>
      </c>
      <c r="C2540" s="608" t="s">
        <v>1240</v>
      </c>
      <c r="D2540" s="599">
        <v>14.95</v>
      </c>
    </row>
    <row r="2541" spans="1:6">
      <c r="A2541" s="606">
        <v>120212</v>
      </c>
      <c r="B2541" s="607" t="s">
        <v>3920</v>
      </c>
      <c r="C2541" s="608" t="s">
        <v>1240</v>
      </c>
      <c r="D2541" s="599">
        <v>82.15</v>
      </c>
    </row>
    <row r="2542" spans="1:6">
      <c r="A2542" s="606">
        <v>120213</v>
      </c>
      <c r="B2542" s="607" t="s">
        <v>3921</v>
      </c>
      <c r="C2542" s="608" t="s">
        <v>1240</v>
      </c>
      <c r="D2542" s="599">
        <v>69.180000000000007</v>
      </c>
    </row>
    <row r="2543" spans="1:6">
      <c r="A2543" s="606">
        <v>120214</v>
      </c>
      <c r="B2543" s="607" t="s">
        <v>3922</v>
      </c>
      <c r="C2543" s="608" t="s">
        <v>1240</v>
      </c>
      <c r="D2543" s="599">
        <v>62.12</v>
      </c>
    </row>
    <row r="2544" spans="1:6">
      <c r="A2544" s="606">
        <v>120229</v>
      </c>
      <c r="B2544" s="607" t="s">
        <v>3923</v>
      </c>
      <c r="C2544" s="608" t="s">
        <v>1240</v>
      </c>
      <c r="D2544" s="599">
        <v>52.91</v>
      </c>
    </row>
    <row r="2545" spans="1:6">
      <c r="A2545" s="606">
        <v>120237</v>
      </c>
      <c r="B2545" s="607" t="s">
        <v>3924</v>
      </c>
      <c r="C2545" s="608" t="s">
        <v>1240</v>
      </c>
      <c r="D2545" s="599">
        <v>31.8</v>
      </c>
    </row>
    <row r="2546" spans="1:6">
      <c r="A2546" s="606">
        <v>120238</v>
      </c>
      <c r="B2546" s="607" t="s">
        <v>3925</v>
      </c>
      <c r="C2546" s="608" t="s">
        <v>1659</v>
      </c>
      <c r="D2546" s="599">
        <v>16.670000000000002</v>
      </c>
    </row>
    <row r="2547" spans="1:6">
      <c r="A2547" s="606">
        <v>120239</v>
      </c>
      <c r="B2547" s="607" t="s">
        <v>3926</v>
      </c>
      <c r="C2547" s="608" t="s">
        <v>1659</v>
      </c>
      <c r="D2547" s="599">
        <v>18.260000000000002</v>
      </c>
    </row>
    <row r="2548" spans="1:6">
      <c r="A2548" s="606">
        <v>120250</v>
      </c>
      <c r="B2548" s="607" t="s">
        <v>3927</v>
      </c>
      <c r="C2548" s="608" t="s">
        <v>1240</v>
      </c>
      <c r="D2548" s="599">
        <v>17.11</v>
      </c>
    </row>
    <row r="2549" spans="1:6">
      <c r="A2549" s="606">
        <v>120251</v>
      </c>
      <c r="B2549" s="607" t="s">
        <v>3928</v>
      </c>
      <c r="C2549" s="608" t="s">
        <v>1240</v>
      </c>
      <c r="D2549" s="599">
        <v>13.47</v>
      </c>
    </row>
    <row r="2550" spans="1:6">
      <c r="A2550" s="606">
        <v>120272</v>
      </c>
      <c r="B2550" s="607" t="s">
        <v>3929</v>
      </c>
      <c r="C2550" s="608" t="s">
        <v>1659</v>
      </c>
      <c r="D2550" s="599">
        <v>6.29</v>
      </c>
    </row>
    <row r="2551" spans="1:6">
      <c r="A2551" s="606">
        <v>120299</v>
      </c>
      <c r="B2551" s="607" t="s">
        <v>3930</v>
      </c>
      <c r="C2551" s="608" t="s">
        <v>1652</v>
      </c>
      <c r="D2551" s="599">
        <v>263.25</v>
      </c>
    </row>
    <row r="2552" spans="1:6">
      <c r="A2552" s="589">
        <v>1204</v>
      </c>
      <c r="B2552" s="596" t="s">
        <v>3931</v>
      </c>
      <c r="C2552" s="588"/>
      <c r="D2552" s="599"/>
      <c r="F2552" s="585"/>
    </row>
    <row r="2553" spans="1:6">
      <c r="A2553" s="606">
        <v>120401</v>
      </c>
      <c r="B2553" s="607" t="s">
        <v>3911</v>
      </c>
      <c r="C2553" s="608" t="s">
        <v>1240</v>
      </c>
      <c r="D2553" s="599">
        <v>5.62</v>
      </c>
    </row>
    <row r="2554" spans="1:6">
      <c r="A2554" s="606">
        <v>120402</v>
      </c>
      <c r="B2554" s="607" t="s">
        <v>3932</v>
      </c>
      <c r="C2554" s="608" t="s">
        <v>1240</v>
      </c>
      <c r="D2554" s="599">
        <v>4.3899999999999997</v>
      </c>
    </row>
    <row r="2555" spans="1:6">
      <c r="A2555" s="606">
        <v>120405</v>
      </c>
      <c r="B2555" s="607" t="s">
        <v>3915</v>
      </c>
      <c r="C2555" s="608" t="s">
        <v>1240</v>
      </c>
      <c r="D2555" s="599">
        <v>16.260000000000002</v>
      </c>
    </row>
    <row r="2556" spans="1:6">
      <c r="A2556" s="606">
        <v>120406</v>
      </c>
      <c r="B2556" s="607" t="s">
        <v>3912</v>
      </c>
      <c r="C2556" s="608" t="s">
        <v>1240</v>
      </c>
      <c r="D2556" s="599">
        <v>19.71</v>
      </c>
    </row>
    <row r="2557" spans="1:6">
      <c r="A2557" s="606">
        <v>120407</v>
      </c>
      <c r="B2557" s="607" t="s">
        <v>3916</v>
      </c>
      <c r="C2557" s="608" t="s">
        <v>1240</v>
      </c>
      <c r="D2557" s="599">
        <v>11.76</v>
      </c>
    </row>
    <row r="2558" spans="1:6">
      <c r="A2558" s="606">
        <v>120413</v>
      </c>
      <c r="B2558" s="607" t="s">
        <v>3933</v>
      </c>
      <c r="C2558" s="608" t="s">
        <v>1240</v>
      </c>
      <c r="D2558" s="599">
        <v>17.11</v>
      </c>
    </row>
    <row r="2559" spans="1:6">
      <c r="A2559" s="606">
        <v>120414</v>
      </c>
      <c r="B2559" s="607" t="s">
        <v>3934</v>
      </c>
      <c r="C2559" s="608" t="s">
        <v>1240</v>
      </c>
      <c r="D2559" s="599">
        <v>13.47</v>
      </c>
    </row>
    <row r="2560" spans="1:6">
      <c r="A2560" s="606">
        <v>120418</v>
      </c>
      <c r="B2560" s="607" t="s">
        <v>3918</v>
      </c>
      <c r="C2560" s="608" t="s">
        <v>1240</v>
      </c>
      <c r="D2560" s="599">
        <v>12.18</v>
      </c>
    </row>
    <row r="2561" spans="1:4">
      <c r="A2561" s="606">
        <v>120419</v>
      </c>
      <c r="B2561" s="607" t="s">
        <v>3919</v>
      </c>
      <c r="C2561" s="608" t="s">
        <v>1240</v>
      </c>
      <c r="D2561" s="599">
        <v>14.95</v>
      </c>
    </row>
    <row r="2562" spans="1:4">
      <c r="A2562" s="606">
        <v>120420</v>
      </c>
      <c r="B2562" s="607" t="s">
        <v>3935</v>
      </c>
      <c r="C2562" s="608" t="s">
        <v>1240</v>
      </c>
      <c r="D2562" s="599">
        <v>111.43</v>
      </c>
    </row>
    <row r="2563" spans="1:4">
      <c r="A2563" s="606">
        <v>120421</v>
      </c>
      <c r="B2563" s="607" t="s">
        <v>3936</v>
      </c>
      <c r="C2563" s="608" t="s">
        <v>1240</v>
      </c>
      <c r="D2563" s="599">
        <v>131.44999999999999</v>
      </c>
    </row>
    <row r="2564" spans="1:4">
      <c r="A2564" s="606">
        <v>120422</v>
      </c>
      <c r="B2564" s="607" t="s">
        <v>3937</v>
      </c>
      <c r="C2564" s="608" t="s">
        <v>1240</v>
      </c>
      <c r="D2564" s="599">
        <v>97.19</v>
      </c>
    </row>
    <row r="2565" spans="1:4">
      <c r="A2565" s="606">
        <v>120423</v>
      </c>
      <c r="B2565" s="607" t="s">
        <v>3938</v>
      </c>
      <c r="C2565" s="608" t="s">
        <v>1240</v>
      </c>
      <c r="D2565" s="599">
        <v>104.43</v>
      </c>
    </row>
    <row r="2566" spans="1:4">
      <c r="A2566" s="606">
        <v>120424</v>
      </c>
      <c r="B2566" s="607" t="s">
        <v>3939</v>
      </c>
      <c r="C2566" s="608" t="s">
        <v>1240</v>
      </c>
      <c r="D2566" s="599">
        <v>113.27</v>
      </c>
    </row>
    <row r="2567" spans="1:4">
      <c r="A2567" s="606">
        <v>120440</v>
      </c>
      <c r="B2567" s="607" t="s">
        <v>3940</v>
      </c>
      <c r="C2567" s="608" t="s">
        <v>1240</v>
      </c>
      <c r="D2567" s="599">
        <v>83.98</v>
      </c>
    </row>
    <row r="2568" spans="1:4">
      <c r="A2568" s="606">
        <v>120448</v>
      </c>
      <c r="B2568" s="607" t="s">
        <v>3920</v>
      </c>
      <c r="C2568" s="608" t="s">
        <v>1240</v>
      </c>
      <c r="D2568" s="599">
        <v>82.15</v>
      </c>
    </row>
    <row r="2569" spans="1:4">
      <c r="A2569" s="606">
        <v>120449</v>
      </c>
      <c r="B2569" s="607" t="s">
        <v>3921</v>
      </c>
      <c r="C2569" s="608" t="s">
        <v>1240</v>
      </c>
      <c r="D2569" s="599">
        <v>69.180000000000007</v>
      </c>
    </row>
    <row r="2570" spans="1:4">
      <c r="A2570" s="606">
        <v>120450</v>
      </c>
      <c r="B2570" s="607" t="s">
        <v>3922</v>
      </c>
      <c r="C2570" s="608" t="s">
        <v>1240</v>
      </c>
      <c r="D2570" s="599">
        <v>62.12</v>
      </c>
    </row>
    <row r="2571" spans="1:4">
      <c r="A2571" s="606">
        <v>120469</v>
      </c>
      <c r="B2571" s="607" t="s">
        <v>3941</v>
      </c>
      <c r="C2571" s="608" t="s">
        <v>1240</v>
      </c>
      <c r="D2571" s="599">
        <v>46.45</v>
      </c>
    </row>
    <row r="2572" spans="1:4">
      <c r="A2572" s="606">
        <v>120470</v>
      </c>
      <c r="B2572" s="607" t="s">
        <v>3942</v>
      </c>
      <c r="C2572" s="608" t="s">
        <v>1240</v>
      </c>
      <c r="D2572" s="599">
        <v>38.6</v>
      </c>
    </row>
    <row r="2573" spans="1:4">
      <c r="A2573" s="606">
        <v>120472</v>
      </c>
      <c r="B2573" s="607" t="s">
        <v>3943</v>
      </c>
      <c r="C2573" s="608" t="s">
        <v>1240</v>
      </c>
      <c r="D2573" s="599">
        <v>38.6</v>
      </c>
    </row>
    <row r="2574" spans="1:4">
      <c r="A2574" s="606">
        <v>120490</v>
      </c>
      <c r="B2574" s="607" t="s">
        <v>3944</v>
      </c>
      <c r="C2574" s="608" t="s">
        <v>1240</v>
      </c>
      <c r="D2574" s="599">
        <v>57.09</v>
      </c>
    </row>
    <row r="2575" spans="1:4">
      <c r="A2575" s="606">
        <v>120491</v>
      </c>
      <c r="B2575" s="607" t="s">
        <v>3945</v>
      </c>
      <c r="C2575" s="608" t="s">
        <v>1240</v>
      </c>
      <c r="D2575" s="599">
        <v>40.36</v>
      </c>
    </row>
    <row r="2576" spans="1:4">
      <c r="A2576" s="606">
        <v>120499</v>
      </c>
      <c r="B2576" s="607" t="s">
        <v>3946</v>
      </c>
      <c r="C2576" s="608" t="s">
        <v>1652</v>
      </c>
      <c r="D2576" s="599">
        <v>263.25</v>
      </c>
    </row>
    <row r="2577" spans="1:6">
      <c r="A2577" s="589">
        <v>1250</v>
      </c>
      <c r="B2577" s="596" t="s">
        <v>2497</v>
      </c>
      <c r="C2577" s="588"/>
      <c r="D2577" s="599"/>
      <c r="F2577" s="585"/>
    </row>
    <row r="2578" spans="1:6">
      <c r="A2578" s="606">
        <v>125001</v>
      </c>
      <c r="B2578" s="607" t="s">
        <v>3947</v>
      </c>
      <c r="C2578" s="608" t="s">
        <v>1240</v>
      </c>
      <c r="D2578" s="599">
        <v>4.99</v>
      </c>
    </row>
    <row r="2579" spans="1:6">
      <c r="A2579" s="606">
        <v>125002</v>
      </c>
      <c r="B2579" s="607" t="s">
        <v>3948</v>
      </c>
      <c r="C2579" s="608" t="s">
        <v>1240</v>
      </c>
      <c r="D2579" s="599">
        <v>7.48</v>
      </c>
    </row>
    <row r="2580" spans="1:6">
      <c r="A2580" s="606">
        <v>125003</v>
      </c>
      <c r="B2580" s="607" t="s">
        <v>3949</v>
      </c>
      <c r="C2580" s="608" t="s">
        <v>1240</v>
      </c>
      <c r="D2580" s="599">
        <v>2.4900000000000002</v>
      </c>
    </row>
    <row r="2581" spans="1:6">
      <c r="A2581" s="606">
        <v>125099</v>
      </c>
      <c r="B2581" s="607" t="s">
        <v>1690</v>
      </c>
      <c r="C2581" s="608" t="s">
        <v>1652</v>
      </c>
      <c r="D2581" s="599">
        <v>263.25</v>
      </c>
    </row>
    <row r="2582" spans="1:6">
      <c r="A2582" s="589">
        <v>1260</v>
      </c>
      <c r="B2582" s="596" t="s">
        <v>1691</v>
      </c>
      <c r="C2582" s="588"/>
      <c r="D2582" s="599"/>
      <c r="F2582" s="585"/>
    </row>
    <row r="2583" spans="1:6" ht="26.4">
      <c r="A2583" s="606">
        <v>126001</v>
      </c>
      <c r="B2583" s="607" t="s">
        <v>3950</v>
      </c>
      <c r="C2583" s="608" t="s">
        <v>1240</v>
      </c>
      <c r="D2583" s="599">
        <v>16.07</v>
      </c>
    </row>
    <row r="2584" spans="1:6">
      <c r="A2584" s="606">
        <v>126099</v>
      </c>
      <c r="B2584" s="607" t="s">
        <v>1691</v>
      </c>
      <c r="C2584" s="608" t="s">
        <v>1652</v>
      </c>
      <c r="D2584" s="599">
        <v>263.25</v>
      </c>
    </row>
    <row r="2585" spans="1:6">
      <c r="A2585" s="589">
        <v>1270</v>
      </c>
      <c r="B2585" s="596" t="s">
        <v>3951</v>
      </c>
      <c r="C2585" s="588"/>
      <c r="D2585" s="599"/>
      <c r="F2585" s="585"/>
    </row>
    <row r="2586" spans="1:6">
      <c r="A2586" s="606">
        <v>127001</v>
      </c>
      <c r="B2586" s="607" t="s">
        <v>3952</v>
      </c>
      <c r="C2586" s="608" t="s">
        <v>1240</v>
      </c>
      <c r="D2586" s="599">
        <v>51.75</v>
      </c>
    </row>
    <row r="2587" spans="1:6">
      <c r="A2587" s="606">
        <v>127099</v>
      </c>
      <c r="B2587" s="607" t="s">
        <v>3953</v>
      </c>
      <c r="C2587" s="608" t="s">
        <v>1652</v>
      </c>
      <c r="D2587" s="599">
        <v>263.25</v>
      </c>
    </row>
    <row r="2588" spans="1:6">
      <c r="A2588" s="589">
        <v>1280</v>
      </c>
      <c r="B2588" s="596" t="s">
        <v>3954</v>
      </c>
      <c r="C2588" s="588"/>
      <c r="D2588" s="599"/>
      <c r="F2588" s="585"/>
    </row>
    <row r="2589" spans="1:6">
      <c r="A2589" s="606">
        <v>128002</v>
      </c>
      <c r="B2589" s="607" t="s">
        <v>3955</v>
      </c>
      <c r="C2589" s="608" t="s">
        <v>1240</v>
      </c>
      <c r="D2589" s="599">
        <v>8.8699999999999992</v>
      </c>
    </row>
    <row r="2590" spans="1:6">
      <c r="A2590" s="606">
        <v>128030</v>
      </c>
      <c r="B2590" s="607" t="s">
        <v>3956</v>
      </c>
      <c r="C2590" s="608" t="s">
        <v>1659</v>
      </c>
      <c r="D2590" s="599">
        <v>6.67</v>
      </c>
    </row>
    <row r="2591" spans="1:6">
      <c r="A2591" s="606">
        <v>128050</v>
      </c>
      <c r="B2591" s="607" t="s">
        <v>3957</v>
      </c>
      <c r="C2591" s="608" t="s">
        <v>1659</v>
      </c>
      <c r="D2591" s="599">
        <v>20.5</v>
      </c>
    </row>
    <row r="2592" spans="1:6">
      <c r="A2592" s="606">
        <v>128051</v>
      </c>
      <c r="B2592" s="607" t="s">
        <v>3958</v>
      </c>
      <c r="C2592" s="608" t="s">
        <v>1659</v>
      </c>
      <c r="D2592" s="599">
        <v>21.08</v>
      </c>
    </row>
    <row r="2593" spans="1:6">
      <c r="A2593" s="606">
        <v>128099</v>
      </c>
      <c r="B2593" s="607" t="s">
        <v>3959</v>
      </c>
      <c r="C2593" s="608" t="s">
        <v>1652</v>
      </c>
      <c r="D2593" s="599">
        <v>263.25</v>
      </c>
    </row>
    <row r="2594" spans="1:6">
      <c r="A2594" s="589">
        <v>13</v>
      </c>
      <c r="B2594" s="596" t="s">
        <v>3960</v>
      </c>
      <c r="C2594" s="588"/>
      <c r="D2594" s="599"/>
      <c r="F2594" s="585"/>
    </row>
    <row r="2595" spans="1:6">
      <c r="A2595" s="589">
        <v>1301</v>
      </c>
      <c r="B2595" s="596" t="s">
        <v>865</v>
      </c>
      <c r="C2595" s="588"/>
      <c r="D2595" s="599"/>
      <c r="F2595" s="585"/>
    </row>
    <row r="2596" spans="1:6">
      <c r="A2596" s="606">
        <v>130104</v>
      </c>
      <c r="B2596" s="607" t="s">
        <v>3961</v>
      </c>
      <c r="C2596" s="608" t="s">
        <v>1240</v>
      </c>
      <c r="D2596" s="599">
        <v>19.27</v>
      </c>
    </row>
    <row r="2597" spans="1:6">
      <c r="A2597" s="606">
        <v>130106</v>
      </c>
      <c r="B2597" s="607" t="s">
        <v>1654</v>
      </c>
      <c r="C2597" s="608" t="s">
        <v>1240</v>
      </c>
      <c r="D2597" s="599">
        <v>4.33</v>
      </c>
    </row>
    <row r="2598" spans="1:6">
      <c r="A2598" s="606">
        <v>130109</v>
      </c>
      <c r="B2598" s="607" t="s">
        <v>3962</v>
      </c>
      <c r="C2598" s="608" t="s">
        <v>1650</v>
      </c>
      <c r="D2598" s="599">
        <v>142.4</v>
      </c>
    </row>
    <row r="2599" spans="1:6">
      <c r="A2599" s="606">
        <v>130110</v>
      </c>
      <c r="B2599" s="607" t="s">
        <v>3963</v>
      </c>
      <c r="C2599" s="608" t="s">
        <v>1650</v>
      </c>
      <c r="D2599" s="599">
        <v>167.33</v>
      </c>
    </row>
    <row r="2600" spans="1:6">
      <c r="A2600" s="606">
        <v>130111</v>
      </c>
      <c r="B2600" s="607" t="s">
        <v>3964</v>
      </c>
      <c r="C2600" s="608" t="s">
        <v>1650</v>
      </c>
      <c r="D2600" s="599">
        <v>183.02</v>
      </c>
    </row>
    <row r="2601" spans="1:6">
      <c r="A2601" s="606">
        <v>130115</v>
      </c>
      <c r="B2601" s="607" t="s">
        <v>3965</v>
      </c>
      <c r="C2601" s="608" t="s">
        <v>1240</v>
      </c>
      <c r="D2601" s="599">
        <v>16.54</v>
      </c>
    </row>
    <row r="2602" spans="1:6">
      <c r="A2602" s="606">
        <v>130116</v>
      </c>
      <c r="B2602" s="607" t="s">
        <v>3966</v>
      </c>
      <c r="C2602" s="608" t="s">
        <v>1240</v>
      </c>
      <c r="D2602" s="599">
        <v>17.329999999999998</v>
      </c>
    </row>
    <row r="2603" spans="1:6">
      <c r="A2603" s="606">
        <v>130199</v>
      </c>
      <c r="B2603" s="607" t="s">
        <v>3967</v>
      </c>
      <c r="C2603" s="608" t="s">
        <v>1652</v>
      </c>
      <c r="D2603" s="599">
        <v>263.25</v>
      </c>
    </row>
    <row r="2604" spans="1:6">
      <c r="A2604" s="589">
        <v>1302</v>
      </c>
      <c r="B2604" s="596" t="s">
        <v>3968</v>
      </c>
      <c r="C2604" s="588"/>
      <c r="D2604" s="599"/>
      <c r="F2604" s="585"/>
    </row>
    <row r="2605" spans="1:6">
      <c r="A2605" s="606">
        <v>130204</v>
      </c>
      <c r="B2605" s="607" t="s">
        <v>3969</v>
      </c>
      <c r="C2605" s="608" t="s">
        <v>1240</v>
      </c>
      <c r="D2605" s="599">
        <v>32.409999999999997</v>
      </c>
    </row>
    <row r="2606" spans="1:6">
      <c r="A2606" s="606">
        <v>130205</v>
      </c>
      <c r="B2606" s="607" t="s">
        <v>3970</v>
      </c>
      <c r="C2606" s="608" t="s">
        <v>1240</v>
      </c>
      <c r="D2606" s="599">
        <v>29.91</v>
      </c>
    </row>
    <row r="2607" spans="1:6">
      <c r="A2607" s="606">
        <v>130207</v>
      </c>
      <c r="B2607" s="607" t="s">
        <v>3971</v>
      </c>
      <c r="C2607" s="608" t="s">
        <v>1240</v>
      </c>
      <c r="D2607" s="599">
        <v>93.23</v>
      </c>
    </row>
    <row r="2608" spans="1:6">
      <c r="A2608" s="606">
        <v>130209</v>
      </c>
      <c r="B2608" s="607" t="s">
        <v>3972</v>
      </c>
      <c r="C2608" s="608" t="s">
        <v>1240</v>
      </c>
      <c r="D2608" s="599">
        <v>89</v>
      </c>
    </row>
    <row r="2609" spans="1:4">
      <c r="A2609" s="606">
        <v>130210</v>
      </c>
      <c r="B2609" s="607" t="s">
        <v>3973</v>
      </c>
      <c r="C2609" s="608" t="s">
        <v>1240</v>
      </c>
      <c r="D2609" s="599">
        <v>13.35</v>
      </c>
    </row>
    <row r="2610" spans="1:4">
      <c r="A2610" s="606">
        <v>130211</v>
      </c>
      <c r="B2610" s="607" t="s">
        <v>3974</v>
      </c>
      <c r="C2610" s="608" t="s">
        <v>1240</v>
      </c>
      <c r="D2610" s="599">
        <v>13.35</v>
      </c>
    </row>
    <row r="2611" spans="1:4">
      <c r="A2611" s="606">
        <v>130212</v>
      </c>
      <c r="B2611" s="607" t="s">
        <v>3975</v>
      </c>
      <c r="C2611" s="608" t="s">
        <v>1240</v>
      </c>
      <c r="D2611" s="599">
        <v>154.6</v>
      </c>
    </row>
    <row r="2612" spans="1:4">
      <c r="A2612" s="606">
        <v>130213</v>
      </c>
      <c r="B2612" s="607" t="s">
        <v>3976</v>
      </c>
      <c r="C2612" s="608" t="s">
        <v>1240</v>
      </c>
      <c r="D2612" s="599">
        <v>21.28</v>
      </c>
    </row>
    <row r="2613" spans="1:4">
      <c r="A2613" s="606">
        <v>130214</v>
      </c>
      <c r="B2613" s="607" t="s">
        <v>3977</v>
      </c>
      <c r="C2613" s="608" t="s">
        <v>1240</v>
      </c>
      <c r="D2613" s="599">
        <v>21.32</v>
      </c>
    </row>
    <row r="2614" spans="1:4">
      <c r="A2614" s="606">
        <v>130215</v>
      </c>
      <c r="B2614" s="607" t="s">
        <v>3978</v>
      </c>
      <c r="C2614" s="608" t="s">
        <v>1240</v>
      </c>
      <c r="D2614" s="599">
        <v>156.55000000000001</v>
      </c>
    </row>
    <row r="2615" spans="1:4">
      <c r="A2615" s="606">
        <v>130217</v>
      </c>
      <c r="B2615" s="607" t="s">
        <v>3979</v>
      </c>
      <c r="C2615" s="608" t="s">
        <v>1240</v>
      </c>
      <c r="D2615" s="599">
        <v>49.37</v>
      </c>
    </row>
    <row r="2616" spans="1:4">
      <c r="A2616" s="606">
        <v>130219</v>
      </c>
      <c r="B2616" s="607" t="s">
        <v>3980</v>
      </c>
      <c r="C2616" s="608" t="s">
        <v>1240</v>
      </c>
      <c r="D2616" s="599">
        <v>77.209999999999994</v>
      </c>
    </row>
    <row r="2617" spans="1:4">
      <c r="A2617" s="606">
        <v>130220</v>
      </c>
      <c r="B2617" s="607" t="s">
        <v>3981</v>
      </c>
      <c r="C2617" s="608" t="s">
        <v>1240</v>
      </c>
      <c r="D2617" s="599">
        <v>77.209999999999994</v>
      </c>
    </row>
    <row r="2618" spans="1:4">
      <c r="A2618" s="606">
        <v>130223</v>
      </c>
      <c r="B2618" s="607" t="s">
        <v>3982</v>
      </c>
      <c r="C2618" s="608" t="s">
        <v>1240</v>
      </c>
      <c r="D2618" s="599">
        <v>112.95</v>
      </c>
    </row>
    <row r="2619" spans="1:4">
      <c r="A2619" s="606">
        <v>130224</v>
      </c>
      <c r="B2619" s="607" t="s">
        <v>3983</v>
      </c>
      <c r="C2619" s="608" t="s">
        <v>1240</v>
      </c>
      <c r="D2619" s="599">
        <v>134.81</v>
      </c>
    </row>
    <row r="2620" spans="1:4">
      <c r="A2620" s="606">
        <v>130226</v>
      </c>
      <c r="B2620" s="607" t="s">
        <v>3984</v>
      </c>
      <c r="C2620" s="608" t="s">
        <v>1240</v>
      </c>
      <c r="D2620" s="599">
        <v>45.71</v>
      </c>
    </row>
    <row r="2621" spans="1:4">
      <c r="A2621" s="606">
        <v>130231</v>
      </c>
      <c r="B2621" s="607" t="s">
        <v>3985</v>
      </c>
      <c r="C2621" s="608" t="s">
        <v>1240</v>
      </c>
      <c r="D2621" s="599">
        <v>75.959999999999994</v>
      </c>
    </row>
    <row r="2622" spans="1:4">
      <c r="A2622" s="606">
        <v>130232</v>
      </c>
      <c r="B2622" s="607" t="s">
        <v>3986</v>
      </c>
      <c r="C2622" s="608" t="s">
        <v>1659</v>
      </c>
      <c r="D2622" s="599">
        <v>7.8</v>
      </c>
    </row>
    <row r="2623" spans="1:4">
      <c r="A2623" s="606">
        <v>130233</v>
      </c>
      <c r="B2623" s="607" t="s">
        <v>3987</v>
      </c>
      <c r="C2623" s="608" t="s">
        <v>1240</v>
      </c>
      <c r="D2623" s="599">
        <v>77.05</v>
      </c>
    </row>
    <row r="2624" spans="1:4">
      <c r="A2624" s="606">
        <v>130234</v>
      </c>
      <c r="B2624" s="607" t="s">
        <v>3988</v>
      </c>
      <c r="C2624" s="608" t="s">
        <v>1240</v>
      </c>
      <c r="D2624" s="599">
        <v>43.2</v>
      </c>
    </row>
    <row r="2625" spans="1:4">
      <c r="A2625" s="606">
        <v>130238</v>
      </c>
      <c r="B2625" s="607" t="s">
        <v>3989</v>
      </c>
      <c r="C2625" s="608" t="s">
        <v>1240</v>
      </c>
      <c r="D2625" s="599">
        <v>44.66</v>
      </c>
    </row>
    <row r="2626" spans="1:4">
      <c r="A2626" s="606">
        <v>130240</v>
      </c>
      <c r="B2626" s="607" t="s">
        <v>3990</v>
      </c>
      <c r="C2626" s="608" t="s">
        <v>1240</v>
      </c>
      <c r="D2626" s="599">
        <v>44.55</v>
      </c>
    </row>
    <row r="2627" spans="1:4">
      <c r="A2627" s="606">
        <v>130241</v>
      </c>
      <c r="B2627" s="607" t="s">
        <v>3991</v>
      </c>
      <c r="C2627" s="608" t="s">
        <v>1240</v>
      </c>
      <c r="D2627" s="599">
        <v>40.409999999999997</v>
      </c>
    </row>
    <row r="2628" spans="1:4">
      <c r="A2628" s="606">
        <v>130247</v>
      </c>
      <c r="B2628" s="607" t="s">
        <v>3992</v>
      </c>
      <c r="C2628" s="608" t="s">
        <v>1240</v>
      </c>
      <c r="D2628" s="599">
        <v>180.22</v>
      </c>
    </row>
    <row r="2629" spans="1:4">
      <c r="A2629" s="606">
        <v>130248</v>
      </c>
      <c r="B2629" s="607" t="s">
        <v>3993</v>
      </c>
      <c r="C2629" s="608" t="s">
        <v>1240</v>
      </c>
      <c r="D2629" s="599">
        <v>190.59</v>
      </c>
    </row>
    <row r="2630" spans="1:4">
      <c r="A2630" s="606">
        <v>130249</v>
      </c>
      <c r="B2630" s="607" t="s">
        <v>3994</v>
      </c>
      <c r="C2630" s="608" t="s">
        <v>1240</v>
      </c>
      <c r="D2630" s="599">
        <v>65.48</v>
      </c>
    </row>
    <row r="2631" spans="1:4">
      <c r="A2631" s="606">
        <v>130250</v>
      </c>
      <c r="B2631" s="607" t="s">
        <v>3995</v>
      </c>
      <c r="C2631" s="608" t="s">
        <v>1240</v>
      </c>
      <c r="D2631" s="599">
        <v>62.89</v>
      </c>
    </row>
    <row r="2632" spans="1:4">
      <c r="A2632" s="606">
        <v>130252</v>
      </c>
      <c r="B2632" s="607" t="s">
        <v>3996</v>
      </c>
      <c r="C2632" s="608" t="s">
        <v>1240</v>
      </c>
      <c r="D2632" s="599">
        <v>5.74</v>
      </c>
    </row>
    <row r="2633" spans="1:4">
      <c r="A2633" s="606">
        <v>130253</v>
      </c>
      <c r="B2633" s="607" t="s">
        <v>3997</v>
      </c>
      <c r="C2633" s="608" t="s">
        <v>1240</v>
      </c>
      <c r="D2633" s="599">
        <v>112.95</v>
      </c>
    </row>
    <row r="2634" spans="1:4">
      <c r="A2634" s="606">
        <v>130255</v>
      </c>
      <c r="B2634" s="607" t="s">
        <v>3998</v>
      </c>
      <c r="C2634" s="608" t="s">
        <v>1240</v>
      </c>
      <c r="D2634" s="599">
        <v>134.81</v>
      </c>
    </row>
    <row r="2635" spans="1:4">
      <c r="A2635" s="606">
        <v>130261</v>
      </c>
      <c r="B2635" s="607" t="s">
        <v>3999</v>
      </c>
      <c r="C2635" s="608" t="s">
        <v>1240</v>
      </c>
      <c r="D2635" s="599">
        <v>96.28</v>
      </c>
    </row>
    <row r="2636" spans="1:4">
      <c r="A2636" s="606">
        <v>130262</v>
      </c>
      <c r="B2636" s="607" t="s">
        <v>4000</v>
      </c>
      <c r="C2636" s="608" t="s">
        <v>1240</v>
      </c>
      <c r="D2636" s="599">
        <v>92.2</v>
      </c>
    </row>
    <row r="2637" spans="1:4">
      <c r="A2637" s="606">
        <v>130266</v>
      </c>
      <c r="B2637" s="607" t="s">
        <v>4001</v>
      </c>
      <c r="C2637" s="608" t="s">
        <v>1240</v>
      </c>
      <c r="D2637" s="599">
        <v>12.73</v>
      </c>
    </row>
    <row r="2638" spans="1:4">
      <c r="A2638" s="606">
        <v>130267</v>
      </c>
      <c r="B2638" s="607" t="s">
        <v>4002</v>
      </c>
      <c r="C2638" s="608" t="s">
        <v>1240</v>
      </c>
      <c r="D2638" s="599">
        <v>12.73</v>
      </c>
    </row>
    <row r="2639" spans="1:4" ht="26.4">
      <c r="A2639" s="606">
        <v>130268</v>
      </c>
      <c r="B2639" s="607" t="s">
        <v>4003</v>
      </c>
      <c r="C2639" s="608" t="s">
        <v>1240</v>
      </c>
      <c r="D2639" s="599">
        <v>74.86</v>
      </c>
    </row>
    <row r="2640" spans="1:4">
      <c r="A2640" s="606">
        <v>130275</v>
      </c>
      <c r="B2640" s="607" t="s">
        <v>4004</v>
      </c>
      <c r="C2640" s="608" t="s">
        <v>1240</v>
      </c>
      <c r="D2640" s="599">
        <v>43.55</v>
      </c>
    </row>
    <row r="2641" spans="1:6">
      <c r="A2641" s="606">
        <v>130277</v>
      </c>
      <c r="B2641" s="607" t="s">
        <v>4005</v>
      </c>
      <c r="C2641" s="608" t="s">
        <v>1240</v>
      </c>
      <c r="D2641" s="599">
        <v>72.16</v>
      </c>
    </row>
    <row r="2642" spans="1:6">
      <c r="A2642" s="606">
        <v>130283</v>
      </c>
      <c r="B2642" s="607" t="s">
        <v>4006</v>
      </c>
      <c r="C2642" s="608" t="s">
        <v>1240</v>
      </c>
      <c r="D2642" s="599">
        <v>172.28</v>
      </c>
    </row>
    <row r="2643" spans="1:6">
      <c r="A2643" s="606">
        <v>130284</v>
      </c>
      <c r="B2643" s="607" t="s">
        <v>4007</v>
      </c>
      <c r="C2643" s="608" t="s">
        <v>1240</v>
      </c>
      <c r="D2643" s="599">
        <v>176.1</v>
      </c>
    </row>
    <row r="2644" spans="1:6">
      <c r="A2644" s="606">
        <v>130286</v>
      </c>
      <c r="B2644" s="607" t="s">
        <v>4008</v>
      </c>
      <c r="C2644" s="608" t="s">
        <v>1240</v>
      </c>
      <c r="D2644" s="599">
        <v>88.37</v>
      </c>
    </row>
    <row r="2645" spans="1:6">
      <c r="A2645" s="606">
        <v>130287</v>
      </c>
      <c r="B2645" s="607" t="s">
        <v>4009</v>
      </c>
      <c r="C2645" s="608" t="s">
        <v>1240</v>
      </c>
      <c r="D2645" s="599">
        <v>90.91</v>
      </c>
    </row>
    <row r="2646" spans="1:6">
      <c r="A2646" s="606">
        <v>130289</v>
      </c>
      <c r="B2646" s="607" t="s">
        <v>4010</v>
      </c>
      <c r="C2646" s="608" t="s">
        <v>1240</v>
      </c>
      <c r="D2646" s="599">
        <v>93.78</v>
      </c>
    </row>
    <row r="2647" spans="1:6">
      <c r="A2647" s="606">
        <v>130292</v>
      </c>
      <c r="B2647" s="607" t="s">
        <v>4011</v>
      </c>
      <c r="C2647" s="608" t="s">
        <v>1240</v>
      </c>
      <c r="D2647" s="599">
        <v>20.43</v>
      </c>
    </row>
    <row r="2648" spans="1:6">
      <c r="A2648" s="606">
        <v>130293</v>
      </c>
      <c r="B2648" s="607" t="s">
        <v>4012</v>
      </c>
      <c r="C2648" s="608" t="s">
        <v>1240</v>
      </c>
      <c r="D2648" s="599">
        <v>20.51</v>
      </c>
    </row>
    <row r="2649" spans="1:6">
      <c r="A2649" s="606">
        <v>130299</v>
      </c>
      <c r="B2649" s="607" t="s">
        <v>4013</v>
      </c>
      <c r="C2649" s="608" t="s">
        <v>1652</v>
      </c>
      <c r="D2649" s="599">
        <v>263.25</v>
      </c>
    </row>
    <row r="2650" spans="1:6">
      <c r="A2650" s="589">
        <v>1303</v>
      </c>
      <c r="B2650" s="596" t="s">
        <v>4014</v>
      </c>
      <c r="C2650" s="588"/>
      <c r="D2650" s="599"/>
      <c r="F2650" s="585"/>
    </row>
    <row r="2651" spans="1:6">
      <c r="A2651" s="606">
        <v>130342</v>
      </c>
      <c r="B2651" s="607" t="s">
        <v>4015</v>
      </c>
      <c r="C2651" s="608" t="s">
        <v>1240</v>
      </c>
      <c r="D2651" s="599">
        <v>42.08</v>
      </c>
    </row>
    <row r="2652" spans="1:6">
      <c r="A2652" s="606">
        <v>130399</v>
      </c>
      <c r="B2652" s="607" t="s">
        <v>4013</v>
      </c>
      <c r="C2652" s="608" t="s">
        <v>1652</v>
      </c>
      <c r="D2652" s="599">
        <v>263.25</v>
      </c>
    </row>
    <row r="2653" spans="1:6">
      <c r="A2653" s="589">
        <v>1304</v>
      </c>
      <c r="B2653" s="596" t="s">
        <v>4016</v>
      </c>
      <c r="C2653" s="588"/>
      <c r="D2653" s="599"/>
      <c r="F2653" s="585"/>
    </row>
    <row r="2654" spans="1:6">
      <c r="A2654" s="606">
        <v>130401</v>
      </c>
      <c r="B2654" s="607" t="s">
        <v>4017</v>
      </c>
      <c r="C2654" s="608" t="s">
        <v>1659</v>
      </c>
      <c r="D2654" s="599">
        <v>23.66</v>
      </c>
      <c r="F2654" s="581">
        <f>42.04*66</f>
        <v>2774.64</v>
      </c>
    </row>
    <row r="2655" spans="1:6">
      <c r="A2655" s="606">
        <v>130404</v>
      </c>
      <c r="B2655" s="607" t="s">
        <v>4018</v>
      </c>
      <c r="C2655" s="608" t="s">
        <v>1659</v>
      </c>
      <c r="D2655" s="599">
        <v>53.3</v>
      </c>
    </row>
    <row r="2656" spans="1:6">
      <c r="A2656" s="606">
        <v>130426</v>
      </c>
      <c r="B2656" s="607" t="s">
        <v>4019</v>
      </c>
      <c r="C2656" s="608" t="s">
        <v>1659</v>
      </c>
      <c r="D2656" s="599">
        <v>59.24</v>
      </c>
    </row>
    <row r="2657" spans="1:6">
      <c r="A2657" s="606">
        <v>130427</v>
      </c>
      <c r="B2657" s="607" t="s">
        <v>4020</v>
      </c>
      <c r="C2657" s="608" t="s">
        <v>1659</v>
      </c>
      <c r="D2657" s="599">
        <v>35.53</v>
      </c>
    </row>
    <row r="2658" spans="1:6">
      <c r="A2658" s="606">
        <v>130431</v>
      </c>
      <c r="B2658" s="607" t="s">
        <v>4021</v>
      </c>
      <c r="C2658" s="608" t="s">
        <v>1659</v>
      </c>
      <c r="D2658" s="599">
        <v>87.81</v>
      </c>
    </row>
    <row r="2659" spans="1:6">
      <c r="A2659" s="606">
        <v>130440</v>
      </c>
      <c r="B2659" s="607" t="s">
        <v>4022</v>
      </c>
      <c r="C2659" s="608" t="s">
        <v>1659</v>
      </c>
      <c r="D2659" s="599">
        <v>73.39</v>
      </c>
    </row>
    <row r="2660" spans="1:6">
      <c r="A2660" s="606">
        <v>130450</v>
      </c>
      <c r="B2660" s="607" t="s">
        <v>4023</v>
      </c>
      <c r="C2660" s="608" t="s">
        <v>1659</v>
      </c>
      <c r="D2660" s="599">
        <v>60.37</v>
      </c>
    </row>
    <row r="2661" spans="1:6">
      <c r="A2661" s="606">
        <v>130499</v>
      </c>
      <c r="B2661" s="607" t="s">
        <v>4024</v>
      </c>
      <c r="C2661" s="608" t="s">
        <v>1652</v>
      </c>
      <c r="D2661" s="599">
        <v>263.25</v>
      </c>
    </row>
    <row r="2662" spans="1:6">
      <c r="A2662" s="589">
        <v>1305</v>
      </c>
      <c r="B2662" s="596" t="s">
        <v>4025</v>
      </c>
      <c r="C2662" s="588"/>
      <c r="D2662" s="599"/>
      <c r="F2662" s="585"/>
    </row>
    <row r="2663" spans="1:6">
      <c r="A2663" s="606">
        <v>130501</v>
      </c>
      <c r="B2663" s="607" t="s">
        <v>4026</v>
      </c>
      <c r="C2663" s="608" t="s">
        <v>1659</v>
      </c>
      <c r="D2663" s="599">
        <v>10.62</v>
      </c>
    </row>
    <row r="2664" spans="1:6">
      <c r="A2664" s="606">
        <v>130502</v>
      </c>
      <c r="B2664" s="607" t="s">
        <v>4027</v>
      </c>
      <c r="C2664" s="608" t="s">
        <v>1659</v>
      </c>
      <c r="D2664" s="599">
        <v>10.79</v>
      </c>
    </row>
    <row r="2665" spans="1:6">
      <c r="A2665" s="606">
        <v>130503</v>
      </c>
      <c r="B2665" s="607" t="s">
        <v>4028</v>
      </c>
      <c r="C2665" s="608" t="s">
        <v>1659</v>
      </c>
      <c r="D2665" s="599">
        <v>11.01</v>
      </c>
    </row>
    <row r="2666" spans="1:6">
      <c r="A2666" s="606">
        <v>130504</v>
      </c>
      <c r="B2666" s="607" t="s">
        <v>4029</v>
      </c>
      <c r="C2666" s="608" t="s">
        <v>1659</v>
      </c>
      <c r="D2666" s="599">
        <v>10.96</v>
      </c>
    </row>
    <row r="2667" spans="1:6">
      <c r="A2667" s="606">
        <v>130505</v>
      </c>
      <c r="B2667" s="607" t="s">
        <v>4030</v>
      </c>
      <c r="C2667" s="608" t="s">
        <v>1659</v>
      </c>
      <c r="D2667" s="599">
        <v>17.95</v>
      </c>
    </row>
    <row r="2668" spans="1:6">
      <c r="A2668" s="606">
        <v>130508</v>
      </c>
      <c r="B2668" s="607" t="s">
        <v>4031</v>
      </c>
      <c r="C2668" s="608" t="s">
        <v>1659</v>
      </c>
      <c r="D2668" s="599">
        <v>13.87</v>
      </c>
    </row>
    <row r="2669" spans="1:6">
      <c r="A2669" s="606">
        <v>130509</v>
      </c>
      <c r="B2669" s="607" t="s">
        <v>4032</v>
      </c>
      <c r="C2669" s="608" t="s">
        <v>1659</v>
      </c>
      <c r="D2669" s="599">
        <v>20.07</v>
      </c>
    </row>
    <row r="2670" spans="1:6">
      <c r="A2670" s="606">
        <v>130512</v>
      </c>
      <c r="B2670" s="607" t="s">
        <v>4033</v>
      </c>
      <c r="C2670" s="608" t="s">
        <v>1659</v>
      </c>
      <c r="D2670" s="599">
        <v>19.16</v>
      </c>
    </row>
    <row r="2671" spans="1:6">
      <c r="A2671" s="606">
        <v>130513</v>
      </c>
      <c r="B2671" s="607" t="s">
        <v>4034</v>
      </c>
      <c r="C2671" s="608" t="s">
        <v>1659</v>
      </c>
      <c r="D2671" s="599">
        <v>20.58</v>
      </c>
    </row>
    <row r="2672" spans="1:6">
      <c r="A2672" s="606">
        <v>130514</v>
      </c>
      <c r="B2672" s="607" t="s">
        <v>4035</v>
      </c>
      <c r="C2672" s="608" t="s">
        <v>1659</v>
      </c>
      <c r="D2672" s="599">
        <v>24.01</v>
      </c>
    </row>
    <row r="2673" spans="1:6">
      <c r="A2673" s="606">
        <v>130520</v>
      </c>
      <c r="B2673" s="607" t="s">
        <v>4036</v>
      </c>
      <c r="C2673" s="608" t="s">
        <v>1659</v>
      </c>
      <c r="D2673" s="599">
        <v>17.88</v>
      </c>
    </row>
    <row r="2674" spans="1:6">
      <c r="A2674" s="606">
        <v>130521</v>
      </c>
      <c r="B2674" s="607" t="s">
        <v>4037</v>
      </c>
      <c r="C2674" s="608" t="s">
        <v>1659</v>
      </c>
      <c r="D2674" s="599">
        <v>17.64</v>
      </c>
    </row>
    <row r="2675" spans="1:6">
      <c r="A2675" s="606">
        <v>130524</v>
      </c>
      <c r="B2675" s="607" t="s">
        <v>4038</v>
      </c>
      <c r="C2675" s="608" t="s">
        <v>1659</v>
      </c>
      <c r="D2675" s="599">
        <v>17.920000000000002</v>
      </c>
    </row>
    <row r="2676" spans="1:6">
      <c r="A2676" s="606">
        <v>130525</v>
      </c>
      <c r="B2676" s="607" t="s">
        <v>4039</v>
      </c>
      <c r="C2676" s="608" t="s">
        <v>1659</v>
      </c>
      <c r="D2676" s="599">
        <v>17.670000000000002</v>
      </c>
    </row>
    <row r="2677" spans="1:6">
      <c r="A2677" s="606">
        <v>130528</v>
      </c>
      <c r="B2677" s="607" t="s">
        <v>4040</v>
      </c>
      <c r="C2677" s="608" t="s">
        <v>1659</v>
      </c>
      <c r="D2677" s="599">
        <v>29.48</v>
      </c>
    </row>
    <row r="2678" spans="1:6">
      <c r="A2678" s="606">
        <v>130529</v>
      </c>
      <c r="B2678" s="607" t="s">
        <v>4041</v>
      </c>
      <c r="C2678" s="608" t="s">
        <v>1659</v>
      </c>
      <c r="D2678" s="599">
        <v>17.14</v>
      </c>
    </row>
    <row r="2679" spans="1:6">
      <c r="A2679" s="606">
        <v>130530</v>
      </c>
      <c r="B2679" s="607" t="s">
        <v>4042</v>
      </c>
      <c r="C2679" s="608" t="s">
        <v>1659</v>
      </c>
      <c r="D2679" s="599">
        <v>31.99</v>
      </c>
    </row>
    <row r="2680" spans="1:6">
      <c r="A2680" s="606">
        <v>130531</v>
      </c>
      <c r="B2680" s="607" t="s">
        <v>4043</v>
      </c>
      <c r="C2680" s="608" t="s">
        <v>1659</v>
      </c>
      <c r="D2680" s="599">
        <v>27.17</v>
      </c>
    </row>
    <row r="2681" spans="1:6">
      <c r="A2681" s="606">
        <v>130568</v>
      </c>
      <c r="B2681" s="607" t="s">
        <v>4044</v>
      </c>
      <c r="C2681" s="608" t="s">
        <v>1659</v>
      </c>
      <c r="D2681" s="599">
        <v>15.73</v>
      </c>
    </row>
    <row r="2682" spans="1:6">
      <c r="A2682" s="606">
        <v>130569</v>
      </c>
      <c r="B2682" s="607" t="s">
        <v>4045</v>
      </c>
      <c r="C2682" s="608" t="s">
        <v>1659</v>
      </c>
      <c r="D2682" s="599">
        <v>15.62</v>
      </c>
    </row>
    <row r="2683" spans="1:6">
      <c r="A2683" s="606">
        <v>130570</v>
      </c>
      <c r="B2683" s="607" t="s">
        <v>4046</v>
      </c>
      <c r="C2683" s="608" t="s">
        <v>1659</v>
      </c>
      <c r="D2683" s="599">
        <v>16.03</v>
      </c>
    </row>
    <row r="2684" spans="1:6">
      <c r="A2684" s="606">
        <v>130574</v>
      </c>
      <c r="B2684" s="607" t="s">
        <v>4047</v>
      </c>
      <c r="C2684" s="608" t="s">
        <v>1659</v>
      </c>
      <c r="D2684" s="599">
        <v>14.88</v>
      </c>
    </row>
    <row r="2685" spans="1:6">
      <c r="A2685" s="606">
        <v>130575</v>
      </c>
      <c r="B2685" s="607" t="s">
        <v>4048</v>
      </c>
      <c r="C2685" s="608" t="s">
        <v>1659</v>
      </c>
      <c r="D2685" s="599">
        <v>16.91</v>
      </c>
    </row>
    <row r="2686" spans="1:6">
      <c r="A2686" s="618">
        <v>130578</v>
      </c>
      <c r="B2686" s="619" t="s">
        <v>4049</v>
      </c>
      <c r="C2686" s="620" t="s">
        <v>1659</v>
      </c>
      <c r="D2686" s="621">
        <v>12.38</v>
      </c>
      <c r="E2686" s="622"/>
      <c r="F2686" s="581">
        <f>12.3*660</f>
        <v>8118.0000000000009</v>
      </c>
    </row>
    <row r="2687" spans="1:6">
      <c r="A2687" s="606">
        <v>130580</v>
      </c>
      <c r="B2687" s="607" t="s">
        <v>4050</v>
      </c>
      <c r="C2687" s="608" t="s">
        <v>1659</v>
      </c>
      <c r="D2687" s="599">
        <v>23.02</v>
      </c>
    </row>
    <row r="2688" spans="1:6">
      <c r="A2688" s="606">
        <v>130585</v>
      </c>
      <c r="B2688" s="607" t="s">
        <v>4051</v>
      </c>
      <c r="C2688" s="608" t="s">
        <v>1659</v>
      </c>
      <c r="D2688" s="599">
        <v>11.93</v>
      </c>
    </row>
    <row r="2689" spans="1:6">
      <c r="A2689" s="606">
        <v>130599</v>
      </c>
      <c r="B2689" s="607" t="s">
        <v>4052</v>
      </c>
      <c r="C2689" s="608" t="s">
        <v>1652</v>
      </c>
      <c r="D2689" s="599">
        <v>263.25</v>
      </c>
    </row>
    <row r="2690" spans="1:6">
      <c r="A2690" s="589">
        <v>1306</v>
      </c>
      <c r="B2690" s="596" t="s">
        <v>4053</v>
      </c>
      <c r="C2690" s="588"/>
      <c r="D2690" s="599"/>
      <c r="F2690" s="585"/>
    </row>
    <row r="2691" spans="1:6">
      <c r="A2691" s="606">
        <v>130605</v>
      </c>
      <c r="B2691" s="607" t="s">
        <v>4054</v>
      </c>
      <c r="C2691" s="608" t="s">
        <v>1659</v>
      </c>
      <c r="D2691" s="599">
        <v>10.94</v>
      </c>
    </row>
    <row r="2692" spans="1:6">
      <c r="A2692" s="606">
        <v>130608</v>
      </c>
      <c r="B2692" s="607" t="s">
        <v>4055</v>
      </c>
      <c r="C2692" s="608" t="s">
        <v>1659</v>
      </c>
      <c r="D2692" s="599">
        <v>143.4</v>
      </c>
    </row>
    <row r="2693" spans="1:6">
      <c r="A2693" s="606">
        <v>130609</v>
      </c>
      <c r="B2693" s="607" t="s">
        <v>4056</v>
      </c>
      <c r="C2693" s="608" t="s">
        <v>1659</v>
      </c>
      <c r="D2693" s="599">
        <v>220.18</v>
      </c>
    </row>
    <row r="2694" spans="1:6">
      <c r="A2694" s="606">
        <v>130610</v>
      </c>
      <c r="B2694" s="607" t="s">
        <v>4057</v>
      </c>
      <c r="C2694" s="608" t="s">
        <v>1659</v>
      </c>
      <c r="D2694" s="599">
        <v>38.82</v>
      </c>
    </row>
    <row r="2695" spans="1:6">
      <c r="A2695" s="606">
        <v>130640</v>
      </c>
      <c r="B2695" s="607" t="s">
        <v>4058</v>
      </c>
      <c r="C2695" s="608" t="s">
        <v>1659</v>
      </c>
      <c r="D2695" s="599">
        <v>99</v>
      </c>
    </row>
    <row r="2696" spans="1:6">
      <c r="A2696" s="606">
        <v>130674</v>
      </c>
      <c r="B2696" s="607" t="s">
        <v>4059</v>
      </c>
      <c r="C2696" s="608" t="s">
        <v>1659</v>
      </c>
      <c r="D2696" s="599">
        <v>63.97</v>
      </c>
    </row>
    <row r="2697" spans="1:6">
      <c r="A2697" s="606">
        <v>130675</v>
      </c>
      <c r="B2697" s="607" t="s">
        <v>4060</v>
      </c>
      <c r="C2697" s="608" t="s">
        <v>1659</v>
      </c>
      <c r="D2697" s="599">
        <v>69.709999999999994</v>
      </c>
    </row>
    <row r="2698" spans="1:6">
      <c r="A2698" s="606">
        <v>130676</v>
      </c>
      <c r="B2698" s="607" t="s">
        <v>4061</v>
      </c>
      <c r="C2698" s="608" t="s">
        <v>1659</v>
      </c>
      <c r="D2698" s="599">
        <v>66.81</v>
      </c>
    </row>
    <row r="2699" spans="1:6">
      <c r="A2699" s="606">
        <v>130677</v>
      </c>
      <c r="B2699" s="607" t="s">
        <v>4062</v>
      </c>
      <c r="C2699" s="608" t="s">
        <v>1659</v>
      </c>
      <c r="D2699" s="599">
        <v>73.760000000000005</v>
      </c>
    </row>
    <row r="2700" spans="1:6">
      <c r="A2700" s="606">
        <v>130699</v>
      </c>
      <c r="B2700" s="607" t="s">
        <v>4063</v>
      </c>
      <c r="C2700" s="608" t="s">
        <v>1652</v>
      </c>
      <c r="D2700" s="599">
        <v>263.25</v>
      </c>
    </row>
    <row r="2701" spans="1:6">
      <c r="A2701" s="589">
        <v>1307</v>
      </c>
      <c r="B2701" s="596" t="s">
        <v>4064</v>
      </c>
      <c r="C2701" s="588"/>
      <c r="D2701" s="599"/>
      <c r="F2701" s="585"/>
    </row>
    <row r="2702" spans="1:6">
      <c r="A2702" s="606">
        <v>130702</v>
      </c>
      <c r="B2702" s="607" t="s">
        <v>4065</v>
      </c>
      <c r="C2702" s="608" t="s">
        <v>1659</v>
      </c>
      <c r="D2702" s="599">
        <v>39.1</v>
      </c>
    </row>
    <row r="2703" spans="1:6">
      <c r="A2703" s="606">
        <v>130799</v>
      </c>
      <c r="B2703" s="607" t="s">
        <v>4066</v>
      </c>
      <c r="C2703" s="608" t="s">
        <v>1652</v>
      </c>
      <c r="D2703" s="599">
        <v>263.25</v>
      </c>
    </row>
    <row r="2704" spans="1:6">
      <c r="A2704" s="589">
        <v>1350</v>
      </c>
      <c r="B2704" s="596" t="s">
        <v>2497</v>
      </c>
      <c r="C2704" s="588"/>
      <c r="D2704" s="599"/>
      <c r="F2704" s="585"/>
    </row>
    <row r="2705" spans="1:6">
      <c r="A2705" s="606">
        <v>135001</v>
      </c>
      <c r="B2705" s="607" t="s">
        <v>4067</v>
      </c>
      <c r="C2705" s="608" t="s">
        <v>1650</v>
      </c>
      <c r="D2705" s="599">
        <v>116.07</v>
      </c>
    </row>
    <row r="2706" spans="1:6">
      <c r="A2706" s="606">
        <v>135002</v>
      </c>
      <c r="B2706" s="607" t="s">
        <v>4068</v>
      </c>
      <c r="C2706" s="608" t="s">
        <v>1240</v>
      </c>
      <c r="D2706" s="599">
        <v>13.98</v>
      </c>
    </row>
    <row r="2707" spans="1:6">
      <c r="A2707" s="606">
        <v>135003</v>
      </c>
      <c r="B2707" s="607" t="s">
        <v>4069</v>
      </c>
      <c r="C2707" s="608" t="s">
        <v>1240</v>
      </c>
      <c r="D2707" s="599">
        <v>10.01</v>
      </c>
    </row>
    <row r="2708" spans="1:6">
      <c r="A2708" s="606">
        <v>135004</v>
      </c>
      <c r="B2708" s="607" t="s">
        <v>4070</v>
      </c>
      <c r="C2708" s="608" t="s">
        <v>1240</v>
      </c>
      <c r="D2708" s="599">
        <v>9.01</v>
      </c>
    </row>
    <row r="2709" spans="1:6">
      <c r="A2709" s="606">
        <v>135006</v>
      </c>
      <c r="B2709" s="607" t="s">
        <v>4071</v>
      </c>
      <c r="C2709" s="608" t="s">
        <v>1240</v>
      </c>
      <c r="D2709" s="599">
        <v>4.5</v>
      </c>
    </row>
    <row r="2710" spans="1:6">
      <c r="A2710" s="606">
        <v>135010</v>
      </c>
      <c r="B2710" s="607" t="s">
        <v>4072</v>
      </c>
      <c r="C2710" s="608" t="s">
        <v>1240</v>
      </c>
      <c r="D2710" s="599">
        <v>3.57</v>
      </c>
    </row>
    <row r="2711" spans="1:6">
      <c r="A2711" s="606">
        <v>135015</v>
      </c>
      <c r="B2711" s="607" t="s">
        <v>4073</v>
      </c>
      <c r="C2711" s="608" t="s">
        <v>1240</v>
      </c>
      <c r="D2711" s="599">
        <v>4.46</v>
      </c>
    </row>
    <row r="2712" spans="1:6">
      <c r="A2712" s="606">
        <v>135016</v>
      </c>
      <c r="B2712" s="607" t="s">
        <v>4074</v>
      </c>
      <c r="C2712" s="608" t="s">
        <v>1659</v>
      </c>
      <c r="D2712" s="599">
        <v>1.07</v>
      </c>
    </row>
    <row r="2713" spans="1:6">
      <c r="A2713" s="606">
        <v>135017</v>
      </c>
      <c r="B2713" s="607" t="s">
        <v>4075</v>
      </c>
      <c r="C2713" s="608" t="s">
        <v>1659</v>
      </c>
      <c r="D2713" s="599">
        <v>1.33</v>
      </c>
    </row>
    <row r="2714" spans="1:6">
      <c r="A2714" s="606">
        <v>135018</v>
      </c>
      <c r="B2714" s="607" t="s">
        <v>4076</v>
      </c>
      <c r="C2714" s="608" t="s">
        <v>1659</v>
      </c>
      <c r="D2714" s="599">
        <v>1.07</v>
      </c>
    </row>
    <row r="2715" spans="1:6">
      <c r="A2715" s="606">
        <v>135019</v>
      </c>
      <c r="B2715" s="607" t="s">
        <v>4077</v>
      </c>
      <c r="C2715" s="608" t="s">
        <v>1659</v>
      </c>
      <c r="D2715" s="599">
        <v>1.07</v>
      </c>
    </row>
    <row r="2716" spans="1:6">
      <c r="A2716" s="606">
        <v>135099</v>
      </c>
      <c r="B2716" s="607" t="s">
        <v>1690</v>
      </c>
      <c r="C2716" s="608" t="s">
        <v>1652</v>
      </c>
      <c r="D2716" s="599">
        <v>263.25</v>
      </c>
    </row>
    <row r="2717" spans="1:6">
      <c r="A2717" s="589">
        <v>1360</v>
      </c>
      <c r="B2717" s="596" t="s">
        <v>1691</v>
      </c>
      <c r="C2717" s="588"/>
      <c r="D2717" s="599"/>
      <c r="F2717" s="585"/>
    </row>
    <row r="2718" spans="1:6">
      <c r="A2718" s="606">
        <v>136001</v>
      </c>
      <c r="B2718" s="607" t="s">
        <v>4078</v>
      </c>
      <c r="C2718" s="608" t="s">
        <v>1240</v>
      </c>
      <c r="D2718" s="599">
        <v>1.94</v>
      </c>
    </row>
    <row r="2719" spans="1:6">
      <c r="A2719" s="606">
        <v>136002</v>
      </c>
      <c r="B2719" s="607" t="s">
        <v>4079</v>
      </c>
      <c r="C2719" s="608" t="s">
        <v>1240</v>
      </c>
      <c r="D2719" s="599">
        <v>4.28</v>
      </c>
    </row>
    <row r="2720" spans="1:6">
      <c r="A2720" s="606">
        <v>136003</v>
      </c>
      <c r="B2720" s="607" t="s">
        <v>4080</v>
      </c>
      <c r="C2720" s="608" t="s">
        <v>1240</v>
      </c>
      <c r="D2720" s="599">
        <v>13.39</v>
      </c>
    </row>
    <row r="2721" spans="1:6">
      <c r="A2721" s="606">
        <v>136004</v>
      </c>
      <c r="B2721" s="607" t="s">
        <v>4081</v>
      </c>
      <c r="C2721" s="608" t="s">
        <v>1240</v>
      </c>
      <c r="D2721" s="599">
        <v>5.35</v>
      </c>
    </row>
    <row r="2722" spans="1:6">
      <c r="A2722" s="606">
        <v>136005</v>
      </c>
      <c r="B2722" s="607" t="s">
        <v>4082</v>
      </c>
      <c r="C2722" s="608" t="s">
        <v>1240</v>
      </c>
      <c r="D2722" s="599">
        <v>11.71</v>
      </c>
    </row>
    <row r="2723" spans="1:6">
      <c r="A2723" s="606">
        <v>136006</v>
      </c>
      <c r="B2723" s="607" t="s">
        <v>4083</v>
      </c>
      <c r="C2723" s="608" t="s">
        <v>1240</v>
      </c>
      <c r="D2723" s="599">
        <v>6.83</v>
      </c>
    </row>
    <row r="2724" spans="1:6">
      <c r="A2724" s="606">
        <v>136007</v>
      </c>
      <c r="B2724" s="607" t="s">
        <v>4084</v>
      </c>
      <c r="C2724" s="608" t="s">
        <v>1240</v>
      </c>
      <c r="D2724" s="599">
        <v>11.6</v>
      </c>
    </row>
    <row r="2725" spans="1:6">
      <c r="A2725" s="606">
        <v>136008</v>
      </c>
      <c r="B2725" s="607" t="s">
        <v>4085</v>
      </c>
      <c r="C2725" s="608" t="s">
        <v>1240</v>
      </c>
      <c r="D2725" s="599">
        <v>14.28</v>
      </c>
    </row>
    <row r="2726" spans="1:6">
      <c r="A2726" s="606">
        <v>136009</v>
      </c>
      <c r="B2726" s="607" t="s">
        <v>4086</v>
      </c>
      <c r="C2726" s="608" t="s">
        <v>1659</v>
      </c>
      <c r="D2726" s="599">
        <v>8.92</v>
      </c>
    </row>
    <row r="2727" spans="1:6">
      <c r="A2727" s="606">
        <v>136010</v>
      </c>
      <c r="B2727" s="607" t="s">
        <v>4087</v>
      </c>
      <c r="C2727" s="608" t="s">
        <v>1659</v>
      </c>
      <c r="D2727" s="599">
        <v>10.71</v>
      </c>
    </row>
    <row r="2728" spans="1:6">
      <c r="A2728" s="606">
        <v>136011</v>
      </c>
      <c r="B2728" s="607" t="s">
        <v>4088</v>
      </c>
      <c r="C2728" s="608" t="s">
        <v>1659</v>
      </c>
      <c r="D2728" s="599">
        <v>1.78</v>
      </c>
    </row>
    <row r="2729" spans="1:6">
      <c r="A2729" s="606">
        <v>136012</v>
      </c>
      <c r="B2729" s="607" t="s">
        <v>4089</v>
      </c>
      <c r="C2729" s="608" t="s">
        <v>1659</v>
      </c>
      <c r="D2729" s="599">
        <v>1.34</v>
      </c>
    </row>
    <row r="2730" spans="1:6">
      <c r="A2730" s="606">
        <v>136013</v>
      </c>
      <c r="B2730" s="607" t="s">
        <v>4090</v>
      </c>
      <c r="C2730" s="608" t="s">
        <v>1659</v>
      </c>
      <c r="D2730" s="599">
        <v>1.78</v>
      </c>
    </row>
    <row r="2731" spans="1:6">
      <c r="A2731" s="606">
        <v>136014</v>
      </c>
      <c r="B2731" s="607" t="s">
        <v>4091</v>
      </c>
      <c r="C2731" s="608" t="s">
        <v>1659</v>
      </c>
      <c r="D2731" s="599">
        <v>1.78</v>
      </c>
    </row>
    <row r="2732" spans="1:6">
      <c r="A2732" s="606">
        <v>136015</v>
      </c>
      <c r="B2732" s="607" t="s">
        <v>4092</v>
      </c>
      <c r="C2732" s="608" t="s">
        <v>1659</v>
      </c>
      <c r="D2732" s="599">
        <v>1.78</v>
      </c>
    </row>
    <row r="2733" spans="1:6">
      <c r="A2733" s="606">
        <v>136099</v>
      </c>
      <c r="B2733" s="607" t="s">
        <v>1691</v>
      </c>
      <c r="C2733" s="608" t="s">
        <v>1652</v>
      </c>
      <c r="D2733" s="599">
        <v>263.25</v>
      </c>
    </row>
    <row r="2734" spans="1:6">
      <c r="A2734" s="589">
        <v>1370</v>
      </c>
      <c r="B2734" s="596" t="s">
        <v>4093</v>
      </c>
      <c r="C2734" s="588"/>
      <c r="D2734" s="599"/>
      <c r="F2734" s="585"/>
    </row>
    <row r="2735" spans="1:6">
      <c r="A2735" s="606">
        <v>137001</v>
      </c>
      <c r="B2735" s="607" t="s">
        <v>4078</v>
      </c>
      <c r="C2735" s="608" t="s">
        <v>1240</v>
      </c>
      <c r="D2735" s="599">
        <v>6.89</v>
      </c>
    </row>
    <row r="2736" spans="1:6">
      <c r="A2736" s="606">
        <v>137002</v>
      </c>
      <c r="B2736" s="607" t="s">
        <v>4079</v>
      </c>
      <c r="C2736" s="608" t="s">
        <v>1240</v>
      </c>
      <c r="D2736" s="599">
        <v>33.29</v>
      </c>
    </row>
    <row r="2737" spans="1:6">
      <c r="A2737" s="606">
        <v>137005</v>
      </c>
      <c r="B2737" s="607" t="s">
        <v>4094</v>
      </c>
      <c r="C2737" s="608" t="s">
        <v>1240</v>
      </c>
      <c r="D2737" s="599">
        <v>2.34</v>
      </c>
    </row>
    <row r="2738" spans="1:6">
      <c r="A2738" s="606">
        <v>137050</v>
      </c>
      <c r="B2738" s="607" t="s">
        <v>4095</v>
      </c>
      <c r="C2738" s="608" t="s">
        <v>1659</v>
      </c>
      <c r="D2738" s="599">
        <v>4.96</v>
      </c>
    </row>
    <row r="2739" spans="1:6">
      <c r="A2739" s="606">
        <v>137099</v>
      </c>
      <c r="B2739" s="607" t="s">
        <v>4096</v>
      </c>
      <c r="C2739" s="608" t="s">
        <v>1652</v>
      </c>
      <c r="D2739" s="599">
        <v>263.25</v>
      </c>
    </row>
    <row r="2740" spans="1:6">
      <c r="A2740" s="589">
        <v>1380</v>
      </c>
      <c r="B2740" s="596" t="s">
        <v>4097</v>
      </c>
      <c r="C2740" s="588"/>
      <c r="D2740" s="599"/>
      <c r="F2740" s="585"/>
    </row>
    <row r="2741" spans="1:6">
      <c r="A2741" s="606">
        <v>138002</v>
      </c>
      <c r="B2741" s="607" t="s">
        <v>4098</v>
      </c>
      <c r="C2741" s="608" t="s">
        <v>1650</v>
      </c>
      <c r="D2741" s="599">
        <v>369.77</v>
      </c>
    </row>
    <row r="2742" spans="1:6">
      <c r="A2742" s="606">
        <v>138005</v>
      </c>
      <c r="B2742" s="607" t="s">
        <v>4018</v>
      </c>
      <c r="C2742" s="608" t="s">
        <v>1659</v>
      </c>
      <c r="D2742" s="599">
        <v>53.3</v>
      </c>
    </row>
    <row r="2743" spans="1:6">
      <c r="A2743" s="606">
        <v>138006</v>
      </c>
      <c r="B2743" s="607" t="s">
        <v>4099</v>
      </c>
      <c r="C2743" s="608" t="s">
        <v>1240</v>
      </c>
      <c r="D2743" s="599">
        <v>5.35</v>
      </c>
    </row>
    <row r="2744" spans="1:6">
      <c r="A2744" s="606">
        <v>138010</v>
      </c>
      <c r="B2744" s="607" t="s">
        <v>4100</v>
      </c>
      <c r="C2744" s="608" t="s">
        <v>1240</v>
      </c>
      <c r="D2744" s="599">
        <v>176.1</v>
      </c>
    </row>
    <row r="2745" spans="1:6">
      <c r="A2745" s="606">
        <v>138011</v>
      </c>
      <c r="B2745" s="607" t="s">
        <v>4101</v>
      </c>
      <c r="C2745" s="608" t="s">
        <v>1240</v>
      </c>
      <c r="D2745" s="599">
        <v>124</v>
      </c>
    </row>
    <row r="2746" spans="1:6">
      <c r="A2746" s="606">
        <v>138012</v>
      </c>
      <c r="B2746" s="607" t="s">
        <v>4102</v>
      </c>
      <c r="C2746" s="608" t="s">
        <v>1240</v>
      </c>
      <c r="D2746" s="599">
        <v>142.07</v>
      </c>
    </row>
    <row r="2747" spans="1:6">
      <c r="A2747" s="606">
        <v>138014</v>
      </c>
      <c r="B2747" s="607" t="s">
        <v>4103</v>
      </c>
      <c r="C2747" s="608" t="s">
        <v>1240</v>
      </c>
      <c r="D2747" s="599">
        <v>11.66</v>
      </c>
    </row>
    <row r="2748" spans="1:6">
      <c r="A2748" s="606">
        <v>138015</v>
      </c>
      <c r="B2748" s="607" t="s">
        <v>4104</v>
      </c>
      <c r="C2748" s="608" t="s">
        <v>1240</v>
      </c>
      <c r="D2748" s="599">
        <v>41.06</v>
      </c>
    </row>
    <row r="2749" spans="1:6">
      <c r="A2749" s="606">
        <v>138016</v>
      </c>
      <c r="B2749" s="607" t="s">
        <v>4105</v>
      </c>
      <c r="C2749" s="608" t="s">
        <v>1240</v>
      </c>
      <c r="D2749" s="599">
        <v>55.71</v>
      </c>
    </row>
    <row r="2750" spans="1:6">
      <c r="A2750" s="606">
        <v>138018</v>
      </c>
      <c r="B2750" s="607" t="s">
        <v>4106</v>
      </c>
      <c r="C2750" s="608" t="s">
        <v>1240</v>
      </c>
      <c r="D2750" s="599">
        <v>13.96</v>
      </c>
    </row>
    <row r="2751" spans="1:6">
      <c r="A2751" s="606">
        <v>138021</v>
      </c>
      <c r="B2751" s="607" t="s">
        <v>4107</v>
      </c>
      <c r="C2751" s="608" t="s">
        <v>1240</v>
      </c>
      <c r="D2751" s="599">
        <v>16.54</v>
      </c>
    </row>
    <row r="2752" spans="1:6">
      <c r="A2752" s="606">
        <v>138022</v>
      </c>
      <c r="B2752" s="607" t="s">
        <v>4108</v>
      </c>
      <c r="C2752" s="608" t="s">
        <v>1240</v>
      </c>
      <c r="D2752" s="599">
        <v>8.57</v>
      </c>
    </row>
    <row r="2753" spans="1:4">
      <c r="A2753" s="606">
        <v>138023</v>
      </c>
      <c r="B2753" s="607" t="s">
        <v>4109</v>
      </c>
      <c r="C2753" s="608" t="s">
        <v>1240</v>
      </c>
      <c r="D2753" s="599">
        <v>197.52</v>
      </c>
    </row>
    <row r="2754" spans="1:4">
      <c r="A2754" s="606">
        <v>138024</v>
      </c>
      <c r="B2754" s="607" t="s">
        <v>4110</v>
      </c>
      <c r="C2754" s="608" t="s">
        <v>1240</v>
      </c>
      <c r="D2754" s="599">
        <v>207.31</v>
      </c>
    </row>
    <row r="2755" spans="1:4">
      <c r="A2755" s="606">
        <v>138025</v>
      </c>
      <c r="B2755" s="607" t="s">
        <v>4111</v>
      </c>
      <c r="C2755" s="608" t="s">
        <v>1240</v>
      </c>
      <c r="D2755" s="599">
        <v>2.34</v>
      </c>
    </row>
    <row r="2756" spans="1:4">
      <c r="A2756" s="606">
        <v>138026</v>
      </c>
      <c r="B2756" s="607" t="s">
        <v>4112</v>
      </c>
      <c r="C2756" s="608" t="s">
        <v>1240</v>
      </c>
      <c r="D2756" s="599">
        <v>193.83</v>
      </c>
    </row>
    <row r="2757" spans="1:4">
      <c r="A2757" s="606">
        <v>138027</v>
      </c>
      <c r="B2757" s="607" t="s">
        <v>4113</v>
      </c>
      <c r="C2757" s="608" t="s">
        <v>1240</v>
      </c>
      <c r="D2757" s="599">
        <v>184.04</v>
      </c>
    </row>
    <row r="2758" spans="1:4">
      <c r="A2758" s="606">
        <v>138028</v>
      </c>
      <c r="B2758" s="607" t="s">
        <v>4114</v>
      </c>
      <c r="C2758" s="608" t="s">
        <v>1240</v>
      </c>
      <c r="D2758" s="599">
        <v>131.94</v>
      </c>
    </row>
    <row r="2759" spans="1:4">
      <c r="A2759" s="606">
        <v>138050</v>
      </c>
      <c r="B2759" s="607" t="s">
        <v>4115</v>
      </c>
      <c r="C2759" s="608" t="s">
        <v>1659</v>
      </c>
      <c r="D2759" s="599">
        <v>39.07</v>
      </c>
    </row>
    <row r="2760" spans="1:4">
      <c r="A2760" s="606">
        <v>138051</v>
      </c>
      <c r="B2760" s="607" t="s">
        <v>4116</v>
      </c>
      <c r="C2760" s="608" t="s">
        <v>1659</v>
      </c>
      <c r="D2760" s="599">
        <v>54.75</v>
      </c>
    </row>
    <row r="2761" spans="1:4">
      <c r="A2761" s="606">
        <v>138055</v>
      </c>
      <c r="B2761" s="607" t="s">
        <v>4117</v>
      </c>
      <c r="C2761" s="608" t="s">
        <v>1659</v>
      </c>
      <c r="D2761" s="599">
        <v>5.18</v>
      </c>
    </row>
    <row r="2762" spans="1:4">
      <c r="A2762" s="606">
        <v>138056</v>
      </c>
      <c r="B2762" s="607" t="s">
        <v>4118</v>
      </c>
      <c r="C2762" s="608" t="s">
        <v>1659</v>
      </c>
      <c r="D2762" s="599">
        <v>17.600000000000001</v>
      </c>
    </row>
    <row r="2763" spans="1:4">
      <c r="A2763" s="606">
        <v>138060</v>
      </c>
      <c r="B2763" s="607" t="s">
        <v>4119</v>
      </c>
      <c r="C2763" s="608" t="s">
        <v>1659</v>
      </c>
      <c r="D2763" s="599">
        <v>51.4</v>
      </c>
    </row>
    <row r="2764" spans="1:4">
      <c r="A2764" s="606">
        <v>138061</v>
      </c>
      <c r="B2764" s="607" t="s">
        <v>4120</v>
      </c>
      <c r="C2764" s="608" t="s">
        <v>1659</v>
      </c>
      <c r="D2764" s="599">
        <v>144.09</v>
      </c>
    </row>
    <row r="2765" spans="1:4">
      <c r="A2765" s="606">
        <v>138062</v>
      </c>
      <c r="B2765" s="607" t="s">
        <v>4121</v>
      </c>
      <c r="C2765" s="608" t="s">
        <v>1659</v>
      </c>
      <c r="D2765" s="599">
        <v>49.72</v>
      </c>
    </row>
    <row r="2766" spans="1:4">
      <c r="A2766" s="606">
        <v>138065</v>
      </c>
      <c r="B2766" s="607" t="s">
        <v>4122</v>
      </c>
      <c r="C2766" s="608" t="s">
        <v>1659</v>
      </c>
      <c r="D2766" s="599">
        <v>15.52</v>
      </c>
    </row>
    <row r="2767" spans="1:4">
      <c r="A2767" s="606">
        <v>138066</v>
      </c>
      <c r="B2767" s="607" t="s">
        <v>4123</v>
      </c>
      <c r="C2767" s="608" t="s">
        <v>1240</v>
      </c>
      <c r="D2767" s="599">
        <v>57.27</v>
      </c>
    </row>
    <row r="2768" spans="1:4">
      <c r="A2768" s="606">
        <v>138099</v>
      </c>
      <c r="B2768" s="607" t="s">
        <v>4124</v>
      </c>
      <c r="C2768" s="608" t="s">
        <v>1652</v>
      </c>
      <c r="D2768" s="599">
        <v>263.25</v>
      </c>
    </row>
    <row r="2769" spans="1:6">
      <c r="A2769" s="589">
        <v>14</v>
      </c>
      <c r="B2769" s="596" t="s">
        <v>910</v>
      </c>
      <c r="C2769" s="588"/>
      <c r="D2769" s="599"/>
      <c r="F2769" s="585"/>
    </row>
    <row r="2770" spans="1:6">
      <c r="A2770" s="589">
        <v>1401</v>
      </c>
      <c r="B2770" s="596" t="s">
        <v>910</v>
      </c>
      <c r="C2770" s="588"/>
      <c r="D2770" s="599"/>
      <c r="F2770" s="585"/>
    </row>
    <row r="2771" spans="1:6">
      <c r="A2771" s="606">
        <v>140102</v>
      </c>
      <c r="B2771" s="607" t="s">
        <v>4125</v>
      </c>
      <c r="C2771" s="608" t="s">
        <v>1240</v>
      </c>
      <c r="D2771" s="599">
        <v>50.34</v>
      </c>
    </row>
    <row r="2772" spans="1:6">
      <c r="A2772" s="606">
        <v>140104</v>
      </c>
      <c r="B2772" s="607" t="s">
        <v>4126</v>
      </c>
      <c r="C2772" s="608" t="s">
        <v>1240</v>
      </c>
      <c r="D2772" s="599">
        <v>61.05</v>
      </c>
    </row>
    <row r="2773" spans="1:6">
      <c r="A2773" s="606">
        <v>140106</v>
      </c>
      <c r="B2773" s="607" t="s">
        <v>4127</v>
      </c>
      <c r="C2773" s="608" t="s">
        <v>1240</v>
      </c>
      <c r="D2773" s="599">
        <v>70.67</v>
      </c>
    </row>
    <row r="2774" spans="1:6">
      <c r="A2774" s="606">
        <v>140108</v>
      </c>
      <c r="B2774" s="607" t="s">
        <v>4128</v>
      </c>
      <c r="C2774" s="608" t="s">
        <v>1240</v>
      </c>
      <c r="D2774" s="599">
        <v>82.17</v>
      </c>
    </row>
    <row r="2775" spans="1:6">
      <c r="A2775" s="606">
        <v>140132</v>
      </c>
      <c r="B2775" s="607" t="s">
        <v>4129</v>
      </c>
      <c r="C2775" s="608" t="s">
        <v>1240</v>
      </c>
      <c r="D2775" s="599">
        <v>86.85</v>
      </c>
    </row>
    <row r="2776" spans="1:6">
      <c r="A2776" s="606">
        <v>140135</v>
      </c>
      <c r="B2776" s="607" t="s">
        <v>4130</v>
      </c>
      <c r="C2776" s="608" t="s">
        <v>1240</v>
      </c>
      <c r="D2776" s="599">
        <v>48.23</v>
      </c>
    </row>
    <row r="2777" spans="1:6">
      <c r="A2777" s="606">
        <v>140140</v>
      </c>
      <c r="B2777" s="607" t="s">
        <v>4131</v>
      </c>
      <c r="C2777" s="608" t="s">
        <v>1240</v>
      </c>
      <c r="D2777" s="599">
        <v>121.64</v>
      </c>
    </row>
    <row r="2778" spans="1:6">
      <c r="A2778" s="606">
        <v>140160</v>
      </c>
      <c r="B2778" s="607" t="s">
        <v>4132</v>
      </c>
      <c r="C2778" s="608" t="s">
        <v>1240</v>
      </c>
      <c r="D2778" s="599">
        <v>340.05</v>
      </c>
    </row>
    <row r="2779" spans="1:6">
      <c r="A2779" s="606">
        <v>140170</v>
      </c>
      <c r="B2779" s="607" t="s">
        <v>4133</v>
      </c>
      <c r="C2779" s="608" t="s">
        <v>1240</v>
      </c>
      <c r="D2779" s="599">
        <v>182.65</v>
      </c>
    </row>
    <row r="2780" spans="1:6">
      <c r="A2780" s="606">
        <v>140171</v>
      </c>
      <c r="B2780" s="607" t="s">
        <v>4134</v>
      </c>
      <c r="C2780" s="608" t="s">
        <v>1240</v>
      </c>
      <c r="D2780" s="599">
        <v>231.36</v>
      </c>
    </row>
    <row r="2781" spans="1:6">
      <c r="A2781" s="606">
        <v>140199</v>
      </c>
      <c r="B2781" s="607" t="s">
        <v>4135</v>
      </c>
      <c r="C2781" s="608" t="s">
        <v>1652</v>
      </c>
      <c r="D2781" s="599">
        <v>263.25</v>
      </c>
    </row>
    <row r="2782" spans="1:6">
      <c r="A2782" s="589">
        <v>1402</v>
      </c>
      <c r="B2782" s="596" t="s">
        <v>919</v>
      </c>
      <c r="C2782" s="588"/>
      <c r="D2782" s="599"/>
      <c r="F2782" s="585"/>
    </row>
    <row r="2783" spans="1:6">
      <c r="A2783" s="606">
        <v>140201</v>
      </c>
      <c r="B2783" s="607" t="s">
        <v>4136</v>
      </c>
      <c r="C2783" s="608" t="s">
        <v>1615</v>
      </c>
      <c r="D2783" s="599">
        <v>163.08000000000001</v>
      </c>
    </row>
    <row r="2784" spans="1:6">
      <c r="A2784" s="606">
        <v>140202</v>
      </c>
      <c r="B2784" s="607" t="s">
        <v>4137</v>
      </c>
      <c r="C2784" s="608" t="s">
        <v>1615</v>
      </c>
      <c r="D2784" s="599">
        <v>45.38</v>
      </c>
    </row>
    <row r="2785" spans="1:6">
      <c r="A2785" s="606">
        <v>140210</v>
      </c>
      <c r="B2785" s="607" t="s">
        <v>4138</v>
      </c>
      <c r="C2785" s="608" t="s">
        <v>1240</v>
      </c>
      <c r="D2785" s="599">
        <v>147.41</v>
      </c>
    </row>
    <row r="2786" spans="1:6">
      <c r="A2786" s="606">
        <v>140299</v>
      </c>
      <c r="B2786" s="607" t="s">
        <v>4139</v>
      </c>
      <c r="C2786" s="608" t="s">
        <v>1652</v>
      </c>
      <c r="D2786" s="599">
        <v>263.25</v>
      </c>
    </row>
    <row r="2787" spans="1:6">
      <c r="A2787" s="589">
        <v>1460</v>
      </c>
      <c r="B2787" s="596" t="s">
        <v>1691</v>
      </c>
      <c r="C2787" s="588"/>
      <c r="D2787" s="599"/>
      <c r="F2787" s="585"/>
    </row>
    <row r="2788" spans="1:6">
      <c r="A2788" s="606">
        <v>146001</v>
      </c>
      <c r="B2788" s="607" t="s">
        <v>4140</v>
      </c>
      <c r="C2788" s="608" t="s">
        <v>1240</v>
      </c>
      <c r="D2788" s="599">
        <v>5.42</v>
      </c>
    </row>
    <row r="2789" spans="1:6">
      <c r="A2789" s="606">
        <v>146099</v>
      </c>
      <c r="B2789" s="607" t="s">
        <v>1691</v>
      </c>
      <c r="C2789" s="608" t="s">
        <v>1652</v>
      </c>
      <c r="D2789" s="599">
        <v>263.25</v>
      </c>
    </row>
    <row r="2790" spans="1:6">
      <c r="A2790" s="589">
        <v>1470</v>
      </c>
      <c r="B2790" s="596" t="s">
        <v>4141</v>
      </c>
      <c r="C2790" s="588"/>
      <c r="D2790" s="599"/>
      <c r="F2790" s="585"/>
    </row>
    <row r="2791" spans="1:6">
      <c r="A2791" s="623">
        <v>147001</v>
      </c>
      <c r="B2791" s="624" t="s">
        <v>4142</v>
      </c>
      <c r="C2791" s="625" t="s">
        <v>1240</v>
      </c>
      <c r="D2791" s="599">
        <v>24.65</v>
      </c>
    </row>
    <row r="2792" spans="1:6">
      <c r="A2792" s="606">
        <v>147099</v>
      </c>
      <c r="B2792" s="607" t="s">
        <v>4143</v>
      </c>
      <c r="C2792" s="608" t="s">
        <v>1652</v>
      </c>
      <c r="D2792" s="599">
        <v>263.25</v>
      </c>
    </row>
    <row r="2793" spans="1:6">
      <c r="A2793" s="589">
        <v>1480</v>
      </c>
      <c r="B2793" s="596" t="s">
        <v>4144</v>
      </c>
      <c r="C2793" s="588"/>
      <c r="D2793" s="599"/>
      <c r="F2793" s="585"/>
    </row>
    <row r="2794" spans="1:6">
      <c r="A2794" s="606">
        <v>148099</v>
      </c>
      <c r="B2794" s="607" t="s">
        <v>4135</v>
      </c>
      <c r="C2794" s="608" t="s">
        <v>1652</v>
      </c>
      <c r="D2794" s="599">
        <v>263.25</v>
      </c>
    </row>
    <row r="2795" spans="1:6">
      <c r="A2795" s="589">
        <v>15</v>
      </c>
      <c r="B2795" s="596" t="s">
        <v>923</v>
      </c>
      <c r="C2795" s="588"/>
      <c r="D2795" s="599"/>
      <c r="F2795" s="585"/>
    </row>
    <row r="2796" spans="1:6">
      <c r="A2796" s="589">
        <v>1501</v>
      </c>
      <c r="B2796" s="596" t="s">
        <v>926</v>
      </c>
      <c r="C2796" s="588"/>
      <c r="D2796" s="599"/>
      <c r="F2796" s="585"/>
    </row>
    <row r="2797" spans="1:6">
      <c r="A2797" s="606">
        <v>150101</v>
      </c>
      <c r="B2797" s="607" t="s">
        <v>4145</v>
      </c>
      <c r="C2797" s="608" t="s">
        <v>1240</v>
      </c>
      <c r="D2797" s="599">
        <v>7.71</v>
      </c>
    </row>
    <row r="2798" spans="1:6">
      <c r="A2798" s="606">
        <v>150102</v>
      </c>
      <c r="B2798" s="607" t="s">
        <v>4146</v>
      </c>
      <c r="C2798" s="608" t="s">
        <v>1240</v>
      </c>
      <c r="D2798" s="599">
        <v>8.1199999999999992</v>
      </c>
    </row>
    <row r="2799" spans="1:6">
      <c r="A2799" s="606">
        <v>150103</v>
      </c>
      <c r="B2799" s="607" t="s">
        <v>4147</v>
      </c>
      <c r="C2799" s="608" t="s">
        <v>1240</v>
      </c>
      <c r="D2799" s="599">
        <v>8.35</v>
      </c>
    </row>
    <row r="2800" spans="1:6">
      <c r="A2800" s="606">
        <v>150104</v>
      </c>
      <c r="B2800" s="607" t="s">
        <v>4148</v>
      </c>
      <c r="C2800" s="608" t="s">
        <v>1240</v>
      </c>
      <c r="D2800" s="599">
        <v>8.17</v>
      </c>
    </row>
    <row r="2801" spans="1:6">
      <c r="A2801" s="606">
        <v>150105</v>
      </c>
      <c r="B2801" s="607" t="s">
        <v>4149</v>
      </c>
      <c r="C2801" s="608" t="s">
        <v>1240</v>
      </c>
      <c r="D2801" s="599">
        <v>10.67</v>
      </c>
    </row>
    <row r="2802" spans="1:6">
      <c r="A2802" s="606">
        <v>150110</v>
      </c>
      <c r="B2802" s="607" t="s">
        <v>4150</v>
      </c>
      <c r="C2802" s="608" t="s">
        <v>1240</v>
      </c>
      <c r="D2802" s="599">
        <v>8.5399999999999991</v>
      </c>
    </row>
    <row r="2803" spans="1:6">
      <c r="A2803" s="606">
        <v>150112</v>
      </c>
      <c r="B2803" s="607" t="s">
        <v>4151</v>
      </c>
      <c r="C2803" s="608" t="s">
        <v>1240</v>
      </c>
      <c r="D2803" s="599">
        <v>9</v>
      </c>
    </row>
    <row r="2804" spans="1:6" ht="26.4">
      <c r="A2804" s="606">
        <v>150115</v>
      </c>
      <c r="B2804" s="607" t="s">
        <v>4152</v>
      </c>
      <c r="C2804" s="608" t="s">
        <v>1240</v>
      </c>
      <c r="D2804" s="599">
        <v>8.51</v>
      </c>
    </row>
    <row r="2805" spans="1:6">
      <c r="A2805" s="606">
        <v>150130</v>
      </c>
      <c r="B2805" s="607" t="s">
        <v>4153</v>
      </c>
      <c r="C2805" s="608" t="s">
        <v>1248</v>
      </c>
      <c r="D2805" s="599">
        <v>4</v>
      </c>
    </row>
    <row r="2806" spans="1:6">
      <c r="A2806" s="606">
        <v>150132</v>
      </c>
      <c r="B2806" s="607" t="s">
        <v>4154</v>
      </c>
      <c r="C2806" s="608" t="s">
        <v>1240</v>
      </c>
      <c r="D2806" s="599">
        <v>5.55</v>
      </c>
    </row>
    <row r="2807" spans="1:6">
      <c r="A2807" s="606">
        <v>150135</v>
      </c>
      <c r="B2807" s="607" t="s">
        <v>4155</v>
      </c>
      <c r="C2807" s="608" t="s">
        <v>1240</v>
      </c>
      <c r="D2807" s="599">
        <v>7.04</v>
      </c>
    </row>
    <row r="2808" spans="1:6">
      <c r="A2808" s="606">
        <v>150199</v>
      </c>
      <c r="B2808" s="607" t="s">
        <v>4156</v>
      </c>
      <c r="C2808" s="608" t="s">
        <v>1652</v>
      </c>
      <c r="D2808" s="599">
        <v>263.25</v>
      </c>
    </row>
    <row r="2809" spans="1:6">
      <c r="A2809" s="589">
        <v>1502</v>
      </c>
      <c r="B2809" s="596" t="s">
        <v>931</v>
      </c>
      <c r="C2809" s="588"/>
      <c r="D2809" s="599"/>
      <c r="F2809" s="585"/>
    </row>
    <row r="2810" spans="1:6">
      <c r="A2810" s="606">
        <v>150203</v>
      </c>
      <c r="B2810" s="607" t="s">
        <v>4157</v>
      </c>
      <c r="C2810" s="608" t="s">
        <v>1240</v>
      </c>
      <c r="D2810" s="599">
        <v>8.35</v>
      </c>
    </row>
    <row r="2811" spans="1:6">
      <c r="A2811" s="606">
        <v>150205</v>
      </c>
      <c r="B2811" s="607" t="s">
        <v>4158</v>
      </c>
      <c r="C2811" s="608" t="s">
        <v>1240</v>
      </c>
      <c r="D2811" s="599">
        <v>12.16</v>
      </c>
    </row>
    <row r="2812" spans="1:6">
      <c r="A2812" s="606">
        <v>150206</v>
      </c>
      <c r="B2812" s="607" t="s">
        <v>4159</v>
      </c>
      <c r="C2812" s="608" t="s">
        <v>1240</v>
      </c>
      <c r="D2812" s="599">
        <v>18.809999999999999</v>
      </c>
    </row>
    <row r="2813" spans="1:6">
      <c r="A2813" s="606">
        <v>150210</v>
      </c>
      <c r="B2813" s="607" t="s">
        <v>4160</v>
      </c>
      <c r="C2813" s="608" t="s">
        <v>1240</v>
      </c>
      <c r="D2813" s="599">
        <v>12.16</v>
      </c>
    </row>
    <row r="2814" spans="1:6">
      <c r="A2814" s="606">
        <v>150212</v>
      </c>
      <c r="B2814" s="607" t="s">
        <v>4161</v>
      </c>
      <c r="C2814" s="608" t="s">
        <v>1240</v>
      </c>
      <c r="D2814" s="599">
        <v>14.37</v>
      </c>
    </row>
    <row r="2815" spans="1:6">
      <c r="A2815" s="606">
        <v>150215</v>
      </c>
      <c r="B2815" s="607" t="s">
        <v>4162</v>
      </c>
      <c r="C2815" s="608" t="s">
        <v>1240</v>
      </c>
      <c r="D2815" s="599">
        <v>13.54</v>
      </c>
    </row>
    <row r="2816" spans="1:6">
      <c r="A2816" s="606">
        <v>150216</v>
      </c>
      <c r="B2816" s="607" t="s">
        <v>4163</v>
      </c>
      <c r="C2816" s="608" t="s">
        <v>1240</v>
      </c>
      <c r="D2816" s="599">
        <v>25.76</v>
      </c>
    </row>
    <row r="2817" spans="1:6">
      <c r="A2817" s="606">
        <v>150219</v>
      </c>
      <c r="B2817" s="607" t="s">
        <v>4164</v>
      </c>
      <c r="C2817" s="608" t="s">
        <v>1240</v>
      </c>
      <c r="D2817" s="599">
        <v>14.3</v>
      </c>
    </row>
    <row r="2818" spans="1:6">
      <c r="A2818" s="606">
        <v>150220</v>
      </c>
      <c r="B2818" s="607" t="s">
        <v>4165</v>
      </c>
      <c r="C2818" s="608" t="s">
        <v>1240</v>
      </c>
      <c r="D2818" s="599">
        <v>11.56</v>
      </c>
    </row>
    <row r="2819" spans="1:6">
      <c r="A2819" s="606">
        <v>150225</v>
      </c>
      <c r="B2819" s="607" t="s">
        <v>4166</v>
      </c>
      <c r="C2819" s="608" t="s">
        <v>1240</v>
      </c>
      <c r="D2819" s="599">
        <v>12.62</v>
      </c>
    </row>
    <row r="2820" spans="1:6">
      <c r="A2820" s="606">
        <v>150226</v>
      </c>
      <c r="B2820" s="607" t="s">
        <v>4167</v>
      </c>
      <c r="C2820" s="608" t="s">
        <v>1240</v>
      </c>
      <c r="D2820" s="599">
        <v>19.27</v>
      </c>
    </row>
    <row r="2821" spans="1:6">
      <c r="A2821" s="606">
        <v>150230</v>
      </c>
      <c r="B2821" s="607" t="s">
        <v>4168</v>
      </c>
      <c r="C2821" s="608" t="s">
        <v>1240</v>
      </c>
      <c r="D2821" s="599">
        <v>21.82</v>
      </c>
    </row>
    <row r="2822" spans="1:6">
      <c r="A2822" s="606">
        <v>150231</v>
      </c>
      <c r="B2822" s="607" t="s">
        <v>4169</v>
      </c>
      <c r="C2822" s="608" t="s">
        <v>1240</v>
      </c>
      <c r="D2822" s="599">
        <v>29.23</v>
      </c>
    </row>
    <row r="2823" spans="1:6">
      <c r="A2823" s="606">
        <v>150235</v>
      </c>
      <c r="B2823" s="607" t="s">
        <v>4170</v>
      </c>
      <c r="C2823" s="608" t="s">
        <v>1240</v>
      </c>
      <c r="D2823" s="599">
        <v>48.76</v>
      </c>
    </row>
    <row r="2824" spans="1:6">
      <c r="A2824" s="606">
        <v>150236</v>
      </c>
      <c r="B2824" s="607" t="s">
        <v>4171</v>
      </c>
      <c r="C2824" s="608" t="s">
        <v>1240</v>
      </c>
      <c r="D2824" s="599">
        <v>79.37</v>
      </c>
    </row>
    <row r="2825" spans="1:6">
      <c r="A2825" s="606">
        <v>150250</v>
      </c>
      <c r="B2825" s="607" t="s">
        <v>4172</v>
      </c>
      <c r="C2825" s="608" t="s">
        <v>1240</v>
      </c>
      <c r="D2825" s="599">
        <v>15.59</v>
      </c>
    </row>
    <row r="2826" spans="1:6">
      <c r="A2826" s="606">
        <v>150252</v>
      </c>
      <c r="B2826" s="607" t="s">
        <v>4173</v>
      </c>
      <c r="C2826" s="608" t="s">
        <v>1240</v>
      </c>
      <c r="D2826" s="599">
        <v>16.8</v>
      </c>
    </row>
    <row r="2827" spans="1:6">
      <c r="A2827" s="606">
        <v>150255</v>
      </c>
      <c r="B2827" s="607" t="s">
        <v>4174</v>
      </c>
      <c r="C2827" s="608" t="s">
        <v>1240</v>
      </c>
      <c r="D2827" s="599">
        <v>10.37</v>
      </c>
    </row>
    <row r="2828" spans="1:6">
      <c r="A2828" s="606">
        <v>150260</v>
      </c>
      <c r="B2828" s="607" t="s">
        <v>4175</v>
      </c>
      <c r="C2828" s="608" t="s">
        <v>1240</v>
      </c>
      <c r="D2828" s="599">
        <v>3.61</v>
      </c>
    </row>
    <row r="2829" spans="1:6">
      <c r="A2829" s="606">
        <v>150279</v>
      </c>
      <c r="B2829" s="607" t="s">
        <v>4176</v>
      </c>
      <c r="C2829" s="608" t="s">
        <v>1240</v>
      </c>
      <c r="D2829" s="599">
        <v>10.71</v>
      </c>
    </row>
    <row r="2830" spans="1:6">
      <c r="A2830" s="606">
        <v>150299</v>
      </c>
      <c r="B2830" s="607" t="s">
        <v>4177</v>
      </c>
      <c r="C2830" s="608" t="s">
        <v>1652</v>
      </c>
      <c r="D2830" s="599">
        <v>263.25</v>
      </c>
    </row>
    <row r="2831" spans="1:6">
      <c r="A2831" s="589">
        <v>1503</v>
      </c>
      <c r="B2831" s="596" t="s">
        <v>938</v>
      </c>
      <c r="C2831" s="588"/>
      <c r="D2831" s="599"/>
      <c r="F2831" s="585"/>
    </row>
    <row r="2832" spans="1:6">
      <c r="A2832" s="606">
        <v>150301</v>
      </c>
      <c r="B2832" s="607" t="s">
        <v>4178</v>
      </c>
      <c r="C2832" s="608" t="s">
        <v>1240</v>
      </c>
      <c r="D2832" s="599">
        <v>9.8800000000000008</v>
      </c>
    </row>
    <row r="2833" spans="1:4">
      <c r="A2833" s="606">
        <v>150303</v>
      </c>
      <c r="B2833" s="607" t="s">
        <v>4179</v>
      </c>
      <c r="C2833" s="608" t="s">
        <v>1240</v>
      </c>
      <c r="D2833" s="599">
        <v>12.91</v>
      </c>
    </row>
    <row r="2834" spans="1:4">
      <c r="A2834" s="606">
        <v>150304</v>
      </c>
      <c r="B2834" s="607" t="s">
        <v>4180</v>
      </c>
      <c r="C2834" s="608" t="s">
        <v>1240</v>
      </c>
      <c r="D2834" s="599">
        <v>22.8</v>
      </c>
    </row>
    <row r="2835" spans="1:4">
      <c r="A2835" s="606">
        <v>150305</v>
      </c>
      <c r="B2835" s="607" t="s">
        <v>4181</v>
      </c>
      <c r="C2835" s="608" t="s">
        <v>1240</v>
      </c>
      <c r="D2835" s="599">
        <v>12.05</v>
      </c>
    </row>
    <row r="2836" spans="1:4">
      <c r="A2836" s="606">
        <v>150306</v>
      </c>
      <c r="B2836" s="607" t="s">
        <v>4182</v>
      </c>
      <c r="C2836" s="608" t="s">
        <v>1240</v>
      </c>
      <c r="D2836" s="599">
        <v>12.02</v>
      </c>
    </row>
    <row r="2837" spans="1:4">
      <c r="A2837" s="606">
        <v>150307</v>
      </c>
      <c r="B2837" s="607" t="s">
        <v>4183</v>
      </c>
      <c r="C2837" s="608" t="s">
        <v>1240</v>
      </c>
      <c r="D2837" s="599">
        <v>21.91</v>
      </c>
    </row>
    <row r="2838" spans="1:4">
      <c r="A2838" s="606">
        <v>150309</v>
      </c>
      <c r="B2838" s="607" t="s">
        <v>4184</v>
      </c>
      <c r="C2838" s="608" t="s">
        <v>1240</v>
      </c>
      <c r="D2838" s="599">
        <v>5.73</v>
      </c>
    </row>
    <row r="2839" spans="1:4">
      <c r="A2839" s="606">
        <v>150310</v>
      </c>
      <c r="B2839" s="607" t="s">
        <v>4185</v>
      </c>
      <c r="C2839" s="608" t="s">
        <v>1240</v>
      </c>
      <c r="D2839" s="599">
        <v>11.65</v>
      </c>
    </row>
    <row r="2840" spans="1:4">
      <c r="A2840" s="606">
        <v>150312</v>
      </c>
      <c r="B2840" s="607" t="s">
        <v>4186</v>
      </c>
      <c r="C2840" s="608" t="s">
        <v>1240</v>
      </c>
      <c r="D2840" s="599">
        <v>10.37</v>
      </c>
    </row>
    <row r="2841" spans="1:4">
      <c r="A2841" s="606">
        <v>150315</v>
      </c>
      <c r="B2841" s="607" t="s">
        <v>4187</v>
      </c>
      <c r="C2841" s="608" t="s">
        <v>1240</v>
      </c>
      <c r="D2841" s="599">
        <v>14.93</v>
      </c>
    </row>
    <row r="2842" spans="1:4">
      <c r="A2842" s="606">
        <v>150320</v>
      </c>
      <c r="B2842" s="607" t="s">
        <v>4188</v>
      </c>
      <c r="C2842" s="608" t="s">
        <v>1240</v>
      </c>
      <c r="D2842" s="599">
        <v>13.78</v>
      </c>
    </row>
    <row r="2843" spans="1:4">
      <c r="A2843" s="606">
        <v>150321</v>
      </c>
      <c r="B2843" s="607" t="s">
        <v>4189</v>
      </c>
      <c r="C2843" s="608" t="s">
        <v>1240</v>
      </c>
      <c r="D2843" s="599">
        <v>14.54</v>
      </c>
    </row>
    <row r="2844" spans="1:4">
      <c r="A2844" s="606">
        <v>150322</v>
      </c>
      <c r="B2844" s="607" t="s">
        <v>4190</v>
      </c>
      <c r="C2844" s="608" t="s">
        <v>1240</v>
      </c>
      <c r="D2844" s="599">
        <v>14.46</v>
      </c>
    </row>
    <row r="2845" spans="1:4">
      <c r="A2845" s="606">
        <v>150324</v>
      </c>
      <c r="B2845" s="607" t="s">
        <v>4191</v>
      </c>
      <c r="C2845" s="608" t="s">
        <v>1240</v>
      </c>
      <c r="D2845" s="599">
        <v>14.84</v>
      </c>
    </row>
    <row r="2846" spans="1:4">
      <c r="A2846" s="606">
        <v>150330</v>
      </c>
      <c r="B2846" s="607" t="s">
        <v>4192</v>
      </c>
      <c r="C2846" s="608" t="s">
        <v>1248</v>
      </c>
      <c r="D2846" s="599">
        <v>4</v>
      </c>
    </row>
    <row r="2847" spans="1:4">
      <c r="A2847" s="606">
        <v>150332</v>
      </c>
      <c r="B2847" s="607" t="s">
        <v>4193</v>
      </c>
      <c r="C2847" s="608" t="s">
        <v>1240</v>
      </c>
      <c r="D2847" s="599">
        <v>14.05</v>
      </c>
    </row>
    <row r="2848" spans="1:4">
      <c r="A2848" s="606">
        <v>150335</v>
      </c>
      <c r="B2848" s="607" t="s">
        <v>4194</v>
      </c>
      <c r="C2848" s="608" t="s">
        <v>1240</v>
      </c>
      <c r="D2848" s="599">
        <v>16.18</v>
      </c>
    </row>
    <row r="2849" spans="1:6">
      <c r="A2849" s="606">
        <v>150340</v>
      </c>
      <c r="B2849" s="607" t="s">
        <v>4195</v>
      </c>
      <c r="C2849" s="608" t="s">
        <v>1659</v>
      </c>
      <c r="D2849" s="599">
        <v>1.93</v>
      </c>
    </row>
    <row r="2850" spans="1:6">
      <c r="A2850" s="606">
        <v>150341</v>
      </c>
      <c r="B2850" s="607" t="s">
        <v>4196</v>
      </c>
      <c r="C2850" s="608" t="s">
        <v>1659</v>
      </c>
      <c r="D2850" s="599">
        <v>2.1800000000000002</v>
      </c>
    </row>
    <row r="2851" spans="1:6">
      <c r="A2851" s="606">
        <v>150350</v>
      </c>
      <c r="B2851" s="607" t="s">
        <v>4197</v>
      </c>
      <c r="C2851" s="608" t="s">
        <v>1659</v>
      </c>
      <c r="D2851" s="599">
        <v>1.7</v>
      </c>
    </row>
    <row r="2852" spans="1:6">
      <c r="A2852" s="606">
        <v>150360</v>
      </c>
      <c r="B2852" s="607" t="s">
        <v>4198</v>
      </c>
      <c r="C2852" s="608" t="s">
        <v>1659</v>
      </c>
      <c r="D2852" s="599">
        <v>6.7</v>
      </c>
    </row>
    <row r="2853" spans="1:6">
      <c r="A2853" s="606">
        <v>150361</v>
      </c>
      <c r="B2853" s="607" t="s">
        <v>4199</v>
      </c>
      <c r="C2853" s="608" t="s">
        <v>1659</v>
      </c>
      <c r="D2853" s="599">
        <v>3.67</v>
      </c>
    </row>
    <row r="2854" spans="1:6">
      <c r="A2854" s="606">
        <v>150362</v>
      </c>
      <c r="B2854" s="607" t="s">
        <v>4200</v>
      </c>
      <c r="C2854" s="608" t="s">
        <v>1659</v>
      </c>
      <c r="D2854" s="599">
        <v>3.67</v>
      </c>
    </row>
    <row r="2855" spans="1:6">
      <c r="A2855" s="606">
        <v>150363</v>
      </c>
      <c r="B2855" s="607" t="s">
        <v>4201</v>
      </c>
      <c r="C2855" s="608" t="s">
        <v>1659</v>
      </c>
      <c r="D2855" s="599">
        <v>6.39</v>
      </c>
    </row>
    <row r="2856" spans="1:6">
      <c r="A2856" s="606">
        <v>150370</v>
      </c>
      <c r="B2856" s="607" t="s">
        <v>4202</v>
      </c>
      <c r="C2856" s="608" t="s">
        <v>1615</v>
      </c>
      <c r="D2856" s="599">
        <v>163.09</v>
      </c>
    </row>
    <row r="2857" spans="1:6">
      <c r="A2857" s="606">
        <v>150371</v>
      </c>
      <c r="B2857" s="607" t="s">
        <v>4203</v>
      </c>
      <c r="C2857" s="608" t="s">
        <v>1615</v>
      </c>
      <c r="D2857" s="599">
        <v>174.53</v>
      </c>
    </row>
    <row r="2858" spans="1:6">
      <c r="A2858" s="606">
        <v>150399</v>
      </c>
      <c r="B2858" s="607" t="s">
        <v>4204</v>
      </c>
      <c r="C2858" s="608" t="s">
        <v>1652</v>
      </c>
      <c r="D2858" s="599">
        <v>263.25</v>
      </c>
    </row>
    <row r="2859" spans="1:6">
      <c r="A2859" s="589">
        <v>1504</v>
      </c>
      <c r="B2859" s="596" t="s">
        <v>947</v>
      </c>
      <c r="C2859" s="588"/>
      <c r="D2859" s="599"/>
      <c r="F2859" s="585"/>
    </row>
    <row r="2860" spans="1:6">
      <c r="A2860" s="606">
        <v>150401</v>
      </c>
      <c r="B2860" s="607" t="s">
        <v>4205</v>
      </c>
      <c r="C2860" s="608" t="s">
        <v>1240</v>
      </c>
      <c r="D2860" s="599">
        <v>4.13</v>
      </c>
    </row>
    <row r="2861" spans="1:6">
      <c r="A2861" s="606">
        <v>150405</v>
      </c>
      <c r="B2861" s="607" t="s">
        <v>4158</v>
      </c>
      <c r="C2861" s="608" t="s">
        <v>1240</v>
      </c>
      <c r="D2861" s="599">
        <v>12.16</v>
      </c>
    </row>
    <row r="2862" spans="1:6">
      <c r="A2862" s="606">
        <v>150406</v>
      </c>
      <c r="B2862" s="607" t="s">
        <v>4166</v>
      </c>
      <c r="C2862" s="608" t="s">
        <v>1240</v>
      </c>
      <c r="D2862" s="599">
        <v>12.62</v>
      </c>
    </row>
    <row r="2863" spans="1:6">
      <c r="A2863" s="606">
        <v>150407</v>
      </c>
      <c r="B2863" s="607" t="s">
        <v>4206</v>
      </c>
      <c r="C2863" s="608" t="s">
        <v>1240</v>
      </c>
      <c r="D2863" s="599">
        <v>12.03</v>
      </c>
    </row>
    <row r="2864" spans="1:6">
      <c r="A2864" s="606">
        <v>150408</v>
      </c>
      <c r="B2864" s="607" t="s">
        <v>4160</v>
      </c>
      <c r="C2864" s="608" t="s">
        <v>1240</v>
      </c>
      <c r="D2864" s="599">
        <v>12.16</v>
      </c>
    </row>
    <row r="2865" spans="1:6">
      <c r="A2865" s="606">
        <v>150409</v>
      </c>
      <c r="B2865" s="607" t="s">
        <v>4207</v>
      </c>
      <c r="C2865" s="608" t="s">
        <v>1240</v>
      </c>
      <c r="D2865" s="599">
        <v>16.96</v>
      </c>
    </row>
    <row r="2866" spans="1:6">
      <c r="A2866" s="606">
        <v>150410</v>
      </c>
      <c r="B2866" s="607" t="s">
        <v>4208</v>
      </c>
      <c r="C2866" s="608" t="s">
        <v>1240</v>
      </c>
      <c r="D2866" s="599">
        <v>10.48</v>
      </c>
    </row>
    <row r="2867" spans="1:6">
      <c r="A2867" s="606">
        <v>150411</v>
      </c>
      <c r="B2867" s="607" t="s">
        <v>4209</v>
      </c>
      <c r="C2867" s="608" t="s">
        <v>1240</v>
      </c>
      <c r="D2867" s="599">
        <v>6.51</v>
      </c>
    </row>
    <row r="2868" spans="1:6">
      <c r="A2868" s="606">
        <v>150412</v>
      </c>
      <c r="B2868" s="607" t="s">
        <v>4210</v>
      </c>
      <c r="C2868" s="608" t="s">
        <v>1240</v>
      </c>
      <c r="D2868" s="599">
        <v>12.47</v>
      </c>
    </row>
    <row r="2869" spans="1:6">
      <c r="A2869" s="606">
        <v>150413</v>
      </c>
      <c r="B2869" s="607" t="s">
        <v>4211</v>
      </c>
      <c r="C2869" s="608" t="s">
        <v>1240</v>
      </c>
      <c r="D2869" s="599">
        <v>13.38</v>
      </c>
    </row>
    <row r="2870" spans="1:6">
      <c r="A2870" s="606">
        <v>150415</v>
      </c>
      <c r="B2870" s="607" t="s">
        <v>4212</v>
      </c>
      <c r="C2870" s="608" t="s">
        <v>1240</v>
      </c>
      <c r="D2870" s="599">
        <v>11.57</v>
      </c>
    </row>
    <row r="2871" spans="1:6">
      <c r="A2871" s="606">
        <v>150420</v>
      </c>
      <c r="B2871" s="607" t="s">
        <v>4213</v>
      </c>
      <c r="C2871" s="608" t="s">
        <v>1240</v>
      </c>
      <c r="D2871" s="599">
        <v>5.83</v>
      </c>
    </row>
    <row r="2872" spans="1:6">
      <c r="A2872" s="606">
        <v>150470</v>
      </c>
      <c r="B2872" s="607" t="s">
        <v>4214</v>
      </c>
      <c r="C2872" s="608" t="s">
        <v>1615</v>
      </c>
      <c r="D2872" s="599">
        <v>2067.0100000000002</v>
      </c>
    </row>
    <row r="2873" spans="1:6">
      <c r="A2873" s="606">
        <v>150471</v>
      </c>
      <c r="B2873" s="607" t="s">
        <v>4215</v>
      </c>
      <c r="C2873" s="608" t="s">
        <v>1615</v>
      </c>
      <c r="D2873" s="599">
        <v>180.69</v>
      </c>
    </row>
    <row r="2874" spans="1:6">
      <c r="A2874" s="606">
        <v>150473</v>
      </c>
      <c r="B2874" s="607" t="s">
        <v>4216</v>
      </c>
      <c r="C2874" s="608" t="s">
        <v>1240</v>
      </c>
      <c r="D2874" s="599">
        <v>10.67</v>
      </c>
    </row>
    <row r="2875" spans="1:6">
      <c r="A2875" s="606">
        <v>150479</v>
      </c>
      <c r="B2875" s="607" t="s">
        <v>4176</v>
      </c>
      <c r="C2875" s="608" t="s">
        <v>1240</v>
      </c>
      <c r="D2875" s="599">
        <v>10.71</v>
      </c>
    </row>
    <row r="2876" spans="1:6">
      <c r="A2876" s="606">
        <v>150480</v>
      </c>
      <c r="B2876" s="607" t="s">
        <v>4217</v>
      </c>
      <c r="C2876" s="608" t="s">
        <v>1615</v>
      </c>
      <c r="D2876" s="599">
        <v>629.42999999999995</v>
      </c>
    </row>
    <row r="2877" spans="1:6">
      <c r="A2877" s="606">
        <v>150481</v>
      </c>
      <c r="B2877" s="607" t="s">
        <v>4218</v>
      </c>
      <c r="C2877" s="608" t="s">
        <v>1659</v>
      </c>
      <c r="D2877" s="599">
        <v>1.05</v>
      </c>
    </row>
    <row r="2878" spans="1:6">
      <c r="A2878" s="606">
        <v>150499</v>
      </c>
      <c r="B2878" s="607" t="s">
        <v>4219</v>
      </c>
      <c r="C2878" s="608" t="s">
        <v>1652</v>
      </c>
      <c r="D2878" s="599">
        <v>263.25</v>
      </c>
    </row>
    <row r="2879" spans="1:6">
      <c r="A2879" s="589">
        <v>1550</v>
      </c>
      <c r="B2879" s="596" t="s">
        <v>4220</v>
      </c>
      <c r="C2879" s="588"/>
      <c r="D2879" s="599"/>
      <c r="F2879" s="585"/>
    </row>
    <row r="2880" spans="1:6">
      <c r="A2880" s="606">
        <v>155001</v>
      </c>
      <c r="B2880" s="607" t="s">
        <v>4221</v>
      </c>
      <c r="C2880" s="608" t="s">
        <v>1240</v>
      </c>
      <c r="D2880" s="599">
        <v>0.9</v>
      </c>
    </row>
    <row r="2881" spans="1:6">
      <c r="A2881" s="606">
        <v>155002</v>
      </c>
      <c r="B2881" s="607" t="s">
        <v>4222</v>
      </c>
      <c r="C2881" s="608" t="s">
        <v>1240</v>
      </c>
      <c r="D2881" s="599">
        <v>1.74</v>
      </c>
    </row>
    <row r="2882" spans="1:6">
      <c r="A2882" s="606">
        <v>155003</v>
      </c>
      <c r="B2882" s="607" t="s">
        <v>4223</v>
      </c>
      <c r="C2882" s="608" t="s">
        <v>1240</v>
      </c>
      <c r="D2882" s="599">
        <v>2.4500000000000002</v>
      </c>
    </row>
    <row r="2883" spans="1:6" ht="26.4">
      <c r="A2883" s="606">
        <v>155004</v>
      </c>
      <c r="B2883" s="607" t="s">
        <v>4224</v>
      </c>
      <c r="C2883" s="608" t="s">
        <v>1240</v>
      </c>
      <c r="D2883" s="599">
        <v>3.06</v>
      </c>
    </row>
    <row r="2884" spans="1:6">
      <c r="A2884" s="606">
        <v>155010</v>
      </c>
      <c r="B2884" s="607" t="s">
        <v>4225</v>
      </c>
      <c r="C2884" s="608" t="s">
        <v>1659</v>
      </c>
      <c r="D2884" s="599">
        <v>0.49</v>
      </c>
    </row>
    <row r="2885" spans="1:6" ht="26.4">
      <c r="A2885" s="606">
        <v>155011</v>
      </c>
      <c r="B2885" s="607" t="s">
        <v>4226</v>
      </c>
      <c r="C2885" s="608" t="s">
        <v>1240</v>
      </c>
      <c r="D2885" s="599">
        <v>3.19</v>
      </c>
    </row>
    <row r="2886" spans="1:6">
      <c r="A2886" s="606">
        <v>155012</v>
      </c>
      <c r="B2886" s="607" t="s">
        <v>4227</v>
      </c>
      <c r="C2886" s="608" t="s">
        <v>1240</v>
      </c>
      <c r="D2886" s="599">
        <v>3.19</v>
      </c>
    </row>
    <row r="2887" spans="1:6" ht="26.4">
      <c r="A2887" s="606">
        <v>155013</v>
      </c>
      <c r="B2887" s="607" t="s">
        <v>4228</v>
      </c>
      <c r="C2887" s="608" t="s">
        <v>1240</v>
      </c>
      <c r="D2887" s="599">
        <v>3.19</v>
      </c>
    </row>
    <row r="2888" spans="1:6">
      <c r="A2888" s="606">
        <v>155014</v>
      </c>
      <c r="B2888" s="607" t="s">
        <v>4229</v>
      </c>
      <c r="C2888" s="608" t="s">
        <v>1659</v>
      </c>
      <c r="D2888" s="599">
        <v>0.63</v>
      </c>
    </row>
    <row r="2889" spans="1:6">
      <c r="A2889" s="606">
        <v>155030</v>
      </c>
      <c r="B2889" s="607" t="s">
        <v>4230</v>
      </c>
      <c r="C2889" s="608" t="s">
        <v>1240</v>
      </c>
      <c r="D2889" s="599">
        <v>13.81</v>
      </c>
    </row>
    <row r="2890" spans="1:6">
      <c r="A2890" s="606">
        <v>155099</v>
      </c>
      <c r="B2890" s="607" t="s">
        <v>4231</v>
      </c>
      <c r="C2890" s="608" t="s">
        <v>1652</v>
      </c>
      <c r="D2890" s="599">
        <v>263.25</v>
      </c>
    </row>
    <row r="2891" spans="1:6">
      <c r="A2891" s="589">
        <v>1580</v>
      </c>
      <c r="B2891" s="596" t="s">
        <v>4232</v>
      </c>
      <c r="C2891" s="588"/>
      <c r="D2891" s="599"/>
      <c r="F2891" s="585"/>
    </row>
    <row r="2892" spans="1:6">
      <c r="A2892" s="606">
        <v>158008</v>
      </c>
      <c r="B2892" s="607" t="s">
        <v>4233</v>
      </c>
      <c r="C2892" s="608" t="s">
        <v>1240</v>
      </c>
      <c r="D2892" s="599">
        <v>4.34</v>
      </c>
    </row>
    <row r="2893" spans="1:6">
      <c r="A2893" s="606">
        <v>158010</v>
      </c>
      <c r="B2893" s="607" t="s">
        <v>4234</v>
      </c>
      <c r="C2893" s="608" t="s">
        <v>1240</v>
      </c>
      <c r="D2893" s="599">
        <v>11.41</v>
      </c>
    </row>
    <row r="2894" spans="1:6">
      <c r="A2894" s="606">
        <v>158012</v>
      </c>
      <c r="B2894" s="607" t="s">
        <v>4235</v>
      </c>
      <c r="C2894" s="608" t="s">
        <v>1240</v>
      </c>
      <c r="D2894" s="599">
        <v>9.67</v>
      </c>
    </row>
    <row r="2895" spans="1:6">
      <c r="A2895" s="606">
        <v>158015</v>
      </c>
      <c r="B2895" s="607" t="s">
        <v>4236</v>
      </c>
      <c r="C2895" s="608" t="s">
        <v>1240</v>
      </c>
      <c r="D2895" s="599">
        <v>7.32</v>
      </c>
    </row>
    <row r="2896" spans="1:6">
      <c r="A2896" s="606">
        <v>158016</v>
      </c>
      <c r="B2896" s="607" t="s">
        <v>4237</v>
      </c>
      <c r="C2896" s="608" t="s">
        <v>1240</v>
      </c>
      <c r="D2896" s="599">
        <v>9.33</v>
      </c>
    </row>
    <row r="2897" spans="1:4">
      <c r="A2897" s="606">
        <v>158017</v>
      </c>
      <c r="B2897" s="607" t="s">
        <v>4238</v>
      </c>
      <c r="C2897" s="608" t="s">
        <v>1240</v>
      </c>
      <c r="D2897" s="599">
        <v>8.73</v>
      </c>
    </row>
    <row r="2898" spans="1:4">
      <c r="A2898" s="606">
        <v>158018</v>
      </c>
      <c r="B2898" s="607" t="s">
        <v>4239</v>
      </c>
      <c r="C2898" s="608" t="s">
        <v>1240</v>
      </c>
      <c r="D2898" s="599">
        <v>7.69</v>
      </c>
    </row>
    <row r="2899" spans="1:4" ht="26.4">
      <c r="A2899" s="606">
        <v>158019</v>
      </c>
      <c r="B2899" s="607" t="s">
        <v>4240</v>
      </c>
      <c r="C2899" s="608" t="s">
        <v>1240</v>
      </c>
      <c r="D2899" s="599">
        <v>9.2100000000000009</v>
      </c>
    </row>
    <row r="2900" spans="1:4">
      <c r="A2900" s="606">
        <v>158020</v>
      </c>
      <c r="B2900" s="607" t="s">
        <v>4241</v>
      </c>
      <c r="C2900" s="608" t="s">
        <v>1240</v>
      </c>
      <c r="D2900" s="599">
        <v>8.61</v>
      </c>
    </row>
    <row r="2901" spans="1:4">
      <c r="A2901" s="606">
        <v>158021</v>
      </c>
      <c r="B2901" s="607" t="s">
        <v>4242</v>
      </c>
      <c r="C2901" s="608" t="s">
        <v>1240</v>
      </c>
      <c r="D2901" s="599">
        <v>12.85</v>
      </c>
    </row>
    <row r="2902" spans="1:4" ht="26.4">
      <c r="A2902" s="606">
        <v>158022</v>
      </c>
      <c r="B2902" s="607" t="s">
        <v>4243</v>
      </c>
      <c r="C2902" s="608" t="s">
        <v>1240</v>
      </c>
      <c r="D2902" s="599">
        <v>13.3</v>
      </c>
    </row>
    <row r="2903" spans="1:4">
      <c r="A2903" s="606">
        <v>158023</v>
      </c>
      <c r="B2903" s="607" t="s">
        <v>4244</v>
      </c>
      <c r="C2903" s="608" t="s">
        <v>1659</v>
      </c>
      <c r="D2903" s="599">
        <v>1.32</v>
      </c>
    </row>
    <row r="2904" spans="1:4" ht="26.4">
      <c r="A2904" s="606">
        <v>158024</v>
      </c>
      <c r="B2904" s="607" t="s">
        <v>4245</v>
      </c>
      <c r="C2904" s="608" t="s">
        <v>1240</v>
      </c>
      <c r="D2904" s="599">
        <v>13.48</v>
      </c>
    </row>
    <row r="2905" spans="1:4">
      <c r="A2905" s="606">
        <v>158025</v>
      </c>
      <c r="B2905" s="607" t="s">
        <v>4246</v>
      </c>
      <c r="C2905" s="608" t="s">
        <v>1240</v>
      </c>
      <c r="D2905" s="599">
        <v>4.1100000000000003</v>
      </c>
    </row>
    <row r="2906" spans="1:4">
      <c r="A2906" s="606">
        <v>158027</v>
      </c>
      <c r="B2906" s="607" t="s">
        <v>4247</v>
      </c>
      <c r="C2906" s="608" t="s">
        <v>1240</v>
      </c>
      <c r="D2906" s="599">
        <v>13.26</v>
      </c>
    </row>
    <row r="2907" spans="1:4">
      <c r="A2907" s="606">
        <v>158029</v>
      </c>
      <c r="B2907" s="607" t="s">
        <v>4248</v>
      </c>
      <c r="C2907" s="608" t="s">
        <v>1240</v>
      </c>
      <c r="D2907" s="599">
        <v>11.65</v>
      </c>
    </row>
    <row r="2908" spans="1:4">
      <c r="A2908" s="606">
        <v>158030</v>
      </c>
      <c r="B2908" s="607" t="s">
        <v>4249</v>
      </c>
      <c r="C2908" s="608" t="s">
        <v>1240</v>
      </c>
      <c r="D2908" s="599">
        <v>10.34</v>
      </c>
    </row>
    <row r="2909" spans="1:4" ht="26.4">
      <c r="A2909" s="606">
        <v>158032</v>
      </c>
      <c r="B2909" s="607" t="s">
        <v>4250</v>
      </c>
      <c r="C2909" s="608" t="s">
        <v>1659</v>
      </c>
      <c r="D2909" s="599">
        <v>1.31</v>
      </c>
    </row>
    <row r="2910" spans="1:4">
      <c r="A2910" s="606">
        <v>158035</v>
      </c>
      <c r="B2910" s="607" t="s">
        <v>4251</v>
      </c>
      <c r="C2910" s="608" t="s">
        <v>1240</v>
      </c>
      <c r="D2910" s="599">
        <v>7.49</v>
      </c>
    </row>
    <row r="2911" spans="1:4">
      <c r="A2911" s="606">
        <v>158040</v>
      </c>
      <c r="B2911" s="607" t="s">
        <v>4252</v>
      </c>
      <c r="C2911" s="608" t="s">
        <v>1615</v>
      </c>
      <c r="D2911" s="599">
        <v>290.04000000000002</v>
      </c>
    </row>
    <row r="2912" spans="1:4">
      <c r="A2912" s="606">
        <v>158042</v>
      </c>
      <c r="B2912" s="607" t="s">
        <v>4218</v>
      </c>
      <c r="C2912" s="608" t="s">
        <v>1659</v>
      </c>
      <c r="D2912" s="599">
        <v>0.85</v>
      </c>
    </row>
    <row r="2913" spans="1:6">
      <c r="A2913" s="606">
        <v>158050</v>
      </c>
      <c r="B2913" s="607" t="s">
        <v>4253</v>
      </c>
      <c r="C2913" s="608" t="s">
        <v>1240</v>
      </c>
      <c r="D2913" s="599">
        <v>8.7200000000000006</v>
      </c>
    </row>
    <row r="2914" spans="1:6">
      <c r="A2914" s="606">
        <v>158051</v>
      </c>
      <c r="B2914" s="607" t="s">
        <v>4254</v>
      </c>
      <c r="C2914" s="608" t="s">
        <v>1240</v>
      </c>
      <c r="D2914" s="599">
        <v>9.32</v>
      </c>
    </row>
    <row r="2915" spans="1:6">
      <c r="A2915" s="606">
        <v>158060</v>
      </c>
      <c r="B2915" s="607" t="s">
        <v>4255</v>
      </c>
      <c r="C2915" s="608" t="s">
        <v>1240</v>
      </c>
      <c r="D2915" s="599">
        <v>8.35</v>
      </c>
    </row>
    <row r="2916" spans="1:6">
      <c r="A2916" s="606">
        <v>158061</v>
      </c>
      <c r="B2916" s="607" t="s">
        <v>4256</v>
      </c>
      <c r="C2916" s="608" t="s">
        <v>1240</v>
      </c>
      <c r="D2916" s="599">
        <v>7.9</v>
      </c>
    </row>
    <row r="2917" spans="1:6">
      <c r="A2917" s="606">
        <v>158062</v>
      </c>
      <c r="B2917" s="607" t="s">
        <v>4257</v>
      </c>
      <c r="C2917" s="608" t="s">
        <v>1240</v>
      </c>
      <c r="D2917" s="599">
        <v>8.3000000000000007</v>
      </c>
    </row>
    <row r="2918" spans="1:6">
      <c r="A2918" s="606">
        <v>158070</v>
      </c>
      <c r="B2918" s="607" t="s">
        <v>4258</v>
      </c>
      <c r="C2918" s="608" t="s">
        <v>1240</v>
      </c>
      <c r="D2918" s="599">
        <v>22.27</v>
      </c>
    </row>
    <row r="2919" spans="1:6">
      <c r="A2919" s="606">
        <v>158071</v>
      </c>
      <c r="B2919" s="607" t="s">
        <v>4259</v>
      </c>
      <c r="C2919" s="608" t="s">
        <v>1240</v>
      </c>
      <c r="D2919" s="599">
        <v>33.520000000000003</v>
      </c>
    </row>
    <row r="2920" spans="1:6">
      <c r="A2920" s="606">
        <v>158072</v>
      </c>
      <c r="B2920" s="607" t="s">
        <v>4260</v>
      </c>
      <c r="C2920" s="608" t="s">
        <v>1240</v>
      </c>
      <c r="D2920" s="599">
        <v>4.9400000000000004</v>
      </c>
    </row>
    <row r="2921" spans="1:6">
      <c r="A2921" s="606">
        <v>158073</v>
      </c>
      <c r="B2921" s="607" t="s">
        <v>4261</v>
      </c>
      <c r="C2921" s="608" t="s">
        <v>1240</v>
      </c>
      <c r="D2921" s="599">
        <v>10.01</v>
      </c>
    </row>
    <row r="2922" spans="1:6">
      <c r="A2922" s="606">
        <v>158075</v>
      </c>
      <c r="B2922" s="607" t="s">
        <v>4262</v>
      </c>
      <c r="C2922" s="608" t="s">
        <v>1240</v>
      </c>
      <c r="D2922" s="599">
        <v>5.87</v>
      </c>
    </row>
    <row r="2923" spans="1:6">
      <c r="A2923" s="606">
        <v>158076</v>
      </c>
      <c r="B2923" s="607" t="s">
        <v>4263</v>
      </c>
      <c r="C2923" s="608" t="s">
        <v>1240</v>
      </c>
      <c r="D2923" s="599">
        <v>11.17</v>
      </c>
    </row>
    <row r="2924" spans="1:6">
      <c r="A2924" s="606">
        <v>158099</v>
      </c>
      <c r="B2924" s="607" t="s">
        <v>4264</v>
      </c>
      <c r="C2924" s="608" t="s">
        <v>1652</v>
      </c>
      <c r="D2924" s="599">
        <v>263.25</v>
      </c>
    </row>
    <row r="2925" spans="1:6">
      <c r="A2925" s="589">
        <v>16</v>
      </c>
      <c r="B2925" s="596" t="s">
        <v>1488</v>
      </c>
      <c r="C2925" s="588"/>
      <c r="D2925" s="599"/>
    </row>
    <row r="2926" spans="1:6">
      <c r="A2926" s="589">
        <v>1601</v>
      </c>
      <c r="B2926" s="596" t="s">
        <v>4265</v>
      </c>
      <c r="C2926" s="588"/>
      <c r="D2926" s="599"/>
      <c r="F2926" s="585"/>
    </row>
    <row r="2927" spans="1:6">
      <c r="A2927" s="606">
        <v>160105</v>
      </c>
      <c r="B2927" s="607" t="s">
        <v>4266</v>
      </c>
      <c r="C2927" s="608" t="s">
        <v>1659</v>
      </c>
      <c r="D2927" s="599">
        <v>209.29</v>
      </c>
    </row>
    <row r="2928" spans="1:6" ht="26.4">
      <c r="A2928" s="606">
        <v>160108</v>
      </c>
      <c r="B2928" s="607" t="s">
        <v>4267</v>
      </c>
      <c r="C2928" s="608" t="s">
        <v>1659</v>
      </c>
      <c r="D2928" s="599">
        <v>261.47000000000003</v>
      </c>
    </row>
    <row r="2929" spans="1:4" ht="26.4">
      <c r="A2929" s="606">
        <v>160109</v>
      </c>
      <c r="B2929" s="607" t="s">
        <v>4268</v>
      </c>
      <c r="C2929" s="608" t="s">
        <v>1659</v>
      </c>
      <c r="D2929" s="599">
        <v>302.08999999999997</v>
      </c>
    </row>
    <row r="2930" spans="1:4">
      <c r="A2930" s="606">
        <v>160110</v>
      </c>
      <c r="B2930" s="607" t="s">
        <v>4269</v>
      </c>
      <c r="C2930" s="608" t="s">
        <v>1659</v>
      </c>
      <c r="D2930" s="599">
        <v>27.87</v>
      </c>
    </row>
    <row r="2931" spans="1:4">
      <c r="A2931" s="606">
        <v>160111</v>
      </c>
      <c r="B2931" s="607" t="s">
        <v>4270</v>
      </c>
      <c r="C2931" s="608" t="s">
        <v>1659</v>
      </c>
      <c r="D2931" s="599">
        <v>94.59</v>
      </c>
    </row>
    <row r="2932" spans="1:4">
      <c r="A2932" s="606">
        <v>160112</v>
      </c>
      <c r="B2932" s="607" t="s">
        <v>4271</v>
      </c>
      <c r="C2932" s="608" t="s">
        <v>1659</v>
      </c>
      <c r="D2932" s="599">
        <v>73.33</v>
      </c>
    </row>
    <row r="2933" spans="1:4">
      <c r="A2933" s="606">
        <v>160113</v>
      </c>
      <c r="B2933" s="607" t="s">
        <v>4272</v>
      </c>
      <c r="C2933" s="608" t="s">
        <v>1659</v>
      </c>
      <c r="D2933" s="599">
        <v>251.37</v>
      </c>
    </row>
    <row r="2934" spans="1:4">
      <c r="A2934" s="606">
        <v>160114</v>
      </c>
      <c r="B2934" s="607" t="s">
        <v>4273</v>
      </c>
      <c r="C2934" s="608" t="s">
        <v>1659</v>
      </c>
      <c r="D2934" s="599">
        <v>291.88</v>
      </c>
    </row>
    <row r="2935" spans="1:4" ht="26.4">
      <c r="A2935" s="606">
        <v>160115</v>
      </c>
      <c r="B2935" s="607" t="s">
        <v>4274</v>
      </c>
      <c r="C2935" s="608" t="s">
        <v>1659</v>
      </c>
      <c r="D2935" s="599">
        <v>387.43</v>
      </c>
    </row>
    <row r="2936" spans="1:4" ht="26.4">
      <c r="A2936" s="606">
        <v>160116</v>
      </c>
      <c r="B2936" s="607" t="s">
        <v>4275</v>
      </c>
      <c r="C2936" s="608" t="s">
        <v>1659</v>
      </c>
      <c r="D2936" s="599">
        <v>414.23</v>
      </c>
    </row>
    <row r="2937" spans="1:4">
      <c r="A2937" s="606">
        <v>160121</v>
      </c>
      <c r="B2937" s="607" t="s">
        <v>4276</v>
      </c>
      <c r="C2937" s="608" t="s">
        <v>1659</v>
      </c>
      <c r="D2937" s="599">
        <v>619.41999999999996</v>
      </c>
    </row>
    <row r="2938" spans="1:4">
      <c r="A2938" s="606">
        <v>160122</v>
      </c>
      <c r="B2938" s="607" t="s">
        <v>4277</v>
      </c>
      <c r="C2938" s="608" t="s">
        <v>1659</v>
      </c>
      <c r="D2938" s="599">
        <v>734.68</v>
      </c>
    </row>
    <row r="2939" spans="1:4">
      <c r="A2939" s="606">
        <v>160123</v>
      </c>
      <c r="B2939" s="607" t="s">
        <v>4278</v>
      </c>
      <c r="C2939" s="608" t="s">
        <v>1240</v>
      </c>
      <c r="D2939" s="599">
        <v>239.44</v>
      </c>
    </row>
    <row r="2940" spans="1:4">
      <c r="A2940" s="606">
        <v>160124</v>
      </c>
      <c r="B2940" s="607" t="s">
        <v>4279</v>
      </c>
      <c r="C2940" s="608" t="s">
        <v>1240</v>
      </c>
      <c r="D2940" s="599">
        <v>330.23</v>
      </c>
    </row>
    <row r="2941" spans="1:4">
      <c r="A2941" s="606">
        <v>160128</v>
      </c>
      <c r="B2941" s="607" t="s">
        <v>4280</v>
      </c>
      <c r="C2941" s="608" t="s">
        <v>1659</v>
      </c>
      <c r="D2941" s="599">
        <v>660.23</v>
      </c>
    </row>
    <row r="2942" spans="1:4">
      <c r="A2942" s="606">
        <v>160129</v>
      </c>
      <c r="B2942" s="607" t="s">
        <v>4281</v>
      </c>
      <c r="C2942" s="608" t="s">
        <v>1659</v>
      </c>
      <c r="D2942" s="599">
        <v>775.48</v>
      </c>
    </row>
    <row r="2943" spans="1:4">
      <c r="A2943" s="606">
        <v>160130</v>
      </c>
      <c r="B2943" s="607" t="s">
        <v>4282</v>
      </c>
      <c r="C2943" s="608" t="s">
        <v>1659</v>
      </c>
      <c r="D2943" s="599">
        <v>463.26</v>
      </c>
    </row>
    <row r="2944" spans="1:4">
      <c r="A2944" s="606">
        <v>160131</v>
      </c>
      <c r="B2944" s="607" t="s">
        <v>4283</v>
      </c>
      <c r="C2944" s="608" t="s">
        <v>1659</v>
      </c>
      <c r="D2944" s="599">
        <v>544.99</v>
      </c>
    </row>
    <row r="2945" spans="1:4">
      <c r="A2945" s="606">
        <v>160132</v>
      </c>
      <c r="B2945" s="607" t="s">
        <v>4284</v>
      </c>
      <c r="C2945" s="608" t="s">
        <v>1659</v>
      </c>
      <c r="D2945" s="599">
        <v>473.93</v>
      </c>
    </row>
    <row r="2946" spans="1:4">
      <c r="A2946" s="606">
        <v>160133</v>
      </c>
      <c r="B2946" s="607" t="s">
        <v>4285</v>
      </c>
      <c r="C2946" s="608" t="s">
        <v>1659</v>
      </c>
      <c r="D2946" s="599">
        <v>540.80999999999995</v>
      </c>
    </row>
    <row r="2947" spans="1:4">
      <c r="A2947" s="606">
        <v>160134</v>
      </c>
      <c r="B2947" s="607" t="s">
        <v>4286</v>
      </c>
      <c r="C2947" s="608" t="s">
        <v>1615</v>
      </c>
      <c r="D2947" s="599">
        <v>765.7</v>
      </c>
    </row>
    <row r="2948" spans="1:4">
      <c r="A2948" s="606">
        <v>160145</v>
      </c>
      <c r="B2948" s="607" t="s">
        <v>2196</v>
      </c>
      <c r="C2948" s="608" t="s">
        <v>1240</v>
      </c>
      <c r="D2948" s="599">
        <v>336.79</v>
      </c>
    </row>
    <row r="2949" spans="1:4">
      <c r="A2949" s="606">
        <v>160146</v>
      </c>
      <c r="B2949" s="607" t="s">
        <v>4287</v>
      </c>
      <c r="C2949" s="608" t="s">
        <v>1240</v>
      </c>
      <c r="D2949" s="599">
        <v>363.58</v>
      </c>
    </row>
    <row r="2950" spans="1:4">
      <c r="A2950" s="606">
        <v>160147</v>
      </c>
      <c r="B2950" s="607" t="s">
        <v>4288</v>
      </c>
      <c r="C2950" s="608" t="s">
        <v>1615</v>
      </c>
      <c r="D2950" s="599">
        <v>4576.5200000000004</v>
      </c>
    </row>
    <row r="2951" spans="1:4">
      <c r="A2951" s="606">
        <v>160148</v>
      </c>
      <c r="B2951" s="607" t="s">
        <v>4289</v>
      </c>
      <c r="C2951" s="608" t="s">
        <v>1615</v>
      </c>
      <c r="D2951" s="599">
        <v>2237.85</v>
      </c>
    </row>
    <row r="2952" spans="1:4">
      <c r="A2952" s="606">
        <v>160149</v>
      </c>
      <c r="B2952" s="607" t="s">
        <v>4290</v>
      </c>
      <c r="C2952" s="608" t="s">
        <v>1615</v>
      </c>
      <c r="D2952" s="599">
        <v>2742.39</v>
      </c>
    </row>
    <row r="2953" spans="1:4">
      <c r="A2953" s="606">
        <v>160158</v>
      </c>
      <c r="B2953" s="607" t="s">
        <v>4291</v>
      </c>
      <c r="C2953" s="608" t="s">
        <v>1240</v>
      </c>
      <c r="D2953" s="599">
        <v>284.55</v>
      </c>
    </row>
    <row r="2954" spans="1:4">
      <c r="A2954" s="606">
        <v>160160</v>
      </c>
      <c r="B2954" s="607" t="s">
        <v>4292</v>
      </c>
      <c r="C2954" s="608" t="s">
        <v>1659</v>
      </c>
      <c r="D2954" s="599">
        <v>405.44</v>
      </c>
    </row>
    <row r="2955" spans="1:4">
      <c r="A2955" s="606">
        <v>160161</v>
      </c>
      <c r="B2955" s="607" t="s">
        <v>4293</v>
      </c>
      <c r="C2955" s="608" t="s">
        <v>1659</v>
      </c>
      <c r="D2955" s="599">
        <v>427.13</v>
      </c>
    </row>
    <row r="2956" spans="1:4">
      <c r="A2956" s="606">
        <v>160162</v>
      </c>
      <c r="B2956" s="607" t="s">
        <v>4294</v>
      </c>
      <c r="C2956" s="608" t="s">
        <v>1659</v>
      </c>
      <c r="D2956" s="599">
        <v>396.65</v>
      </c>
    </row>
    <row r="2957" spans="1:4">
      <c r="A2957" s="606">
        <v>160163</v>
      </c>
      <c r="B2957" s="607" t="s">
        <v>4295</v>
      </c>
      <c r="C2957" s="608" t="s">
        <v>1659</v>
      </c>
      <c r="D2957" s="599">
        <v>418.86</v>
      </c>
    </row>
    <row r="2958" spans="1:4">
      <c r="A2958" s="606">
        <v>160164</v>
      </c>
      <c r="B2958" s="607" t="s">
        <v>4296</v>
      </c>
      <c r="C2958" s="608" t="s">
        <v>1240</v>
      </c>
      <c r="D2958" s="599">
        <v>373.72</v>
      </c>
    </row>
    <row r="2959" spans="1:4">
      <c r="A2959" s="606">
        <v>160165</v>
      </c>
      <c r="B2959" s="607" t="s">
        <v>4297</v>
      </c>
      <c r="C2959" s="608" t="s">
        <v>1659</v>
      </c>
      <c r="D2959" s="599">
        <v>24.27</v>
      </c>
    </row>
    <row r="2960" spans="1:4">
      <c r="A2960" s="606">
        <v>160166</v>
      </c>
      <c r="B2960" s="607" t="s">
        <v>4298</v>
      </c>
      <c r="C2960" s="608" t="s">
        <v>1659</v>
      </c>
      <c r="D2960" s="599">
        <v>21.56</v>
      </c>
    </row>
    <row r="2961" spans="1:6">
      <c r="A2961" s="606">
        <v>160180</v>
      </c>
      <c r="B2961" s="607" t="s">
        <v>4299</v>
      </c>
      <c r="C2961" s="608" t="s">
        <v>1615</v>
      </c>
      <c r="D2961" s="599">
        <v>2869.27</v>
      </c>
    </row>
    <row r="2962" spans="1:6">
      <c r="A2962" s="606">
        <v>160181</v>
      </c>
      <c r="B2962" s="607" t="s">
        <v>4300</v>
      </c>
      <c r="C2962" s="608" t="s">
        <v>1615</v>
      </c>
      <c r="D2962" s="599">
        <v>3253.52</v>
      </c>
    </row>
    <row r="2963" spans="1:6">
      <c r="A2963" s="606">
        <v>160182</v>
      </c>
      <c r="B2963" s="607" t="s">
        <v>4301</v>
      </c>
      <c r="C2963" s="608" t="s">
        <v>1615</v>
      </c>
      <c r="D2963" s="599">
        <v>2080.35</v>
      </c>
    </row>
    <row r="2964" spans="1:6">
      <c r="A2964" s="606">
        <v>160183</v>
      </c>
      <c r="B2964" s="607" t="s">
        <v>4302</v>
      </c>
      <c r="C2964" s="608" t="s">
        <v>1615</v>
      </c>
      <c r="D2964" s="599">
        <v>2384.5</v>
      </c>
    </row>
    <row r="2965" spans="1:6">
      <c r="A2965" s="606">
        <v>160184</v>
      </c>
      <c r="B2965" s="607" t="s">
        <v>4303</v>
      </c>
      <c r="C2965" s="608" t="s">
        <v>1615</v>
      </c>
      <c r="D2965" s="599">
        <v>2408.15</v>
      </c>
    </row>
    <row r="2966" spans="1:6">
      <c r="A2966" s="606">
        <v>160185</v>
      </c>
      <c r="B2966" s="607" t="s">
        <v>4304</v>
      </c>
      <c r="C2966" s="608" t="s">
        <v>1615</v>
      </c>
      <c r="D2966" s="599">
        <v>2803.8</v>
      </c>
    </row>
    <row r="2967" spans="1:6">
      <c r="A2967" s="606">
        <v>160186</v>
      </c>
      <c r="B2967" s="607" t="s">
        <v>4305</v>
      </c>
      <c r="C2967" s="608" t="s">
        <v>1615</v>
      </c>
      <c r="D2967" s="599">
        <v>1606.59</v>
      </c>
    </row>
    <row r="2968" spans="1:6">
      <c r="A2968" s="606">
        <v>160187</v>
      </c>
      <c r="B2968" s="607" t="s">
        <v>4306</v>
      </c>
      <c r="C2968" s="608" t="s">
        <v>1615</v>
      </c>
      <c r="D2968" s="599">
        <v>1921.48</v>
      </c>
    </row>
    <row r="2969" spans="1:6">
      <c r="A2969" s="606">
        <v>160188</v>
      </c>
      <c r="B2969" s="607" t="s">
        <v>4307</v>
      </c>
      <c r="C2969" s="608" t="s">
        <v>1615</v>
      </c>
      <c r="D2969" s="599">
        <v>3659.57</v>
      </c>
    </row>
    <row r="2970" spans="1:6">
      <c r="A2970" s="606">
        <v>160189</v>
      </c>
      <c r="B2970" s="607" t="s">
        <v>4308</v>
      </c>
      <c r="C2970" s="608" t="s">
        <v>1615</v>
      </c>
      <c r="D2970" s="599">
        <v>2616.36</v>
      </c>
    </row>
    <row r="2971" spans="1:6">
      <c r="A2971" s="606">
        <v>160199</v>
      </c>
      <c r="B2971" s="607" t="s">
        <v>4309</v>
      </c>
      <c r="C2971" s="608" t="s">
        <v>1652</v>
      </c>
      <c r="D2971" s="599">
        <v>263.25</v>
      </c>
    </row>
    <row r="2972" spans="1:6">
      <c r="A2972" s="589">
        <v>1602</v>
      </c>
      <c r="B2972" s="596" t="s">
        <v>969</v>
      </c>
      <c r="C2972" s="588"/>
      <c r="D2972" s="599"/>
      <c r="F2972" s="585"/>
    </row>
    <row r="2973" spans="1:6">
      <c r="A2973" s="606">
        <v>160207</v>
      </c>
      <c r="B2973" s="607" t="s">
        <v>4310</v>
      </c>
      <c r="C2973" s="608" t="s">
        <v>1240</v>
      </c>
      <c r="D2973" s="599">
        <v>89</v>
      </c>
    </row>
    <row r="2974" spans="1:6">
      <c r="A2974" s="606">
        <v>160208</v>
      </c>
      <c r="B2974" s="607" t="s">
        <v>3971</v>
      </c>
      <c r="C2974" s="608" t="s">
        <v>1240</v>
      </c>
      <c r="D2974" s="599">
        <v>93.23</v>
      </c>
    </row>
    <row r="2975" spans="1:6">
      <c r="A2975" s="606">
        <v>160209</v>
      </c>
      <c r="B2975" s="607" t="s">
        <v>4311</v>
      </c>
      <c r="C2975" s="608" t="s">
        <v>1240</v>
      </c>
      <c r="D2975" s="599">
        <v>44.84</v>
      </c>
    </row>
    <row r="2976" spans="1:6">
      <c r="A2976" s="606">
        <v>160212</v>
      </c>
      <c r="B2976" s="607" t="s">
        <v>4312</v>
      </c>
      <c r="C2976" s="608" t="s">
        <v>1240</v>
      </c>
      <c r="D2976" s="599">
        <v>60.34</v>
      </c>
    </row>
    <row r="2977" spans="1:4">
      <c r="A2977" s="606">
        <v>160215</v>
      </c>
      <c r="B2977" s="607" t="s">
        <v>4313</v>
      </c>
      <c r="C2977" s="608" t="s">
        <v>1240</v>
      </c>
      <c r="D2977" s="599">
        <v>20.309999999999999</v>
      </c>
    </row>
    <row r="2978" spans="1:4">
      <c r="A2978" s="606">
        <v>160218</v>
      </c>
      <c r="B2978" s="607" t="s">
        <v>3983</v>
      </c>
      <c r="C2978" s="608" t="s">
        <v>1240</v>
      </c>
      <c r="D2978" s="599">
        <v>134.81</v>
      </c>
    </row>
    <row r="2979" spans="1:4">
      <c r="A2979" s="606">
        <v>160220</v>
      </c>
      <c r="B2979" s="607" t="s">
        <v>4314</v>
      </c>
      <c r="C2979" s="608" t="s">
        <v>1240</v>
      </c>
      <c r="D2979" s="599">
        <v>134.81</v>
      </c>
    </row>
    <row r="2980" spans="1:4">
      <c r="A2980" s="606">
        <v>160222</v>
      </c>
      <c r="B2980" s="607" t="s">
        <v>4315</v>
      </c>
      <c r="C2980" s="608" t="s">
        <v>1240</v>
      </c>
      <c r="D2980" s="599">
        <v>5.16</v>
      </c>
    </row>
    <row r="2981" spans="1:4" ht="26.4">
      <c r="A2981" s="606">
        <v>160223</v>
      </c>
      <c r="B2981" s="607" t="s">
        <v>4316</v>
      </c>
      <c r="C2981" s="608" t="s">
        <v>1240</v>
      </c>
      <c r="D2981" s="599">
        <v>92</v>
      </c>
    </row>
    <row r="2982" spans="1:4">
      <c r="A2982" s="606">
        <v>160225</v>
      </c>
      <c r="B2982" s="607" t="s">
        <v>4317</v>
      </c>
      <c r="C2982" s="608" t="s">
        <v>1659</v>
      </c>
      <c r="D2982" s="599">
        <v>47.12</v>
      </c>
    </row>
    <row r="2983" spans="1:4">
      <c r="A2983" s="606">
        <v>160226</v>
      </c>
      <c r="B2983" s="607" t="s">
        <v>4318</v>
      </c>
      <c r="C2983" s="608" t="s">
        <v>1659</v>
      </c>
      <c r="D2983" s="599">
        <v>39.92</v>
      </c>
    </row>
    <row r="2984" spans="1:4">
      <c r="A2984" s="606">
        <v>160227</v>
      </c>
      <c r="B2984" s="607" t="s">
        <v>4319</v>
      </c>
      <c r="C2984" s="608" t="s">
        <v>1659</v>
      </c>
      <c r="D2984" s="599">
        <v>18.04</v>
      </c>
    </row>
    <row r="2985" spans="1:4">
      <c r="A2985" s="606">
        <v>160228</v>
      </c>
      <c r="B2985" s="607" t="s">
        <v>4320</v>
      </c>
      <c r="C2985" s="608" t="s">
        <v>1659</v>
      </c>
      <c r="D2985" s="599">
        <v>53.17</v>
      </c>
    </row>
    <row r="2986" spans="1:4">
      <c r="A2986" s="606">
        <v>160229</v>
      </c>
      <c r="B2986" s="607" t="s">
        <v>4321</v>
      </c>
      <c r="C2986" s="608" t="s">
        <v>1659</v>
      </c>
      <c r="D2986" s="599">
        <v>69.44</v>
      </c>
    </row>
    <row r="2987" spans="1:4">
      <c r="A2987" s="606">
        <v>160231</v>
      </c>
      <c r="B2987" s="607" t="s">
        <v>4322</v>
      </c>
      <c r="C2987" s="608" t="s">
        <v>1659</v>
      </c>
      <c r="D2987" s="599">
        <v>41.7</v>
      </c>
    </row>
    <row r="2988" spans="1:4">
      <c r="A2988" s="606">
        <v>160233</v>
      </c>
      <c r="B2988" s="607" t="s">
        <v>4323</v>
      </c>
      <c r="C2988" s="608" t="s">
        <v>1240</v>
      </c>
      <c r="D2988" s="599">
        <v>44.67</v>
      </c>
    </row>
    <row r="2989" spans="1:4">
      <c r="A2989" s="606">
        <v>160236</v>
      </c>
      <c r="B2989" s="607" t="s">
        <v>4324</v>
      </c>
      <c r="C2989" s="608" t="s">
        <v>1240</v>
      </c>
      <c r="D2989" s="599">
        <v>49.81</v>
      </c>
    </row>
    <row r="2990" spans="1:4">
      <c r="A2990" s="606">
        <v>160245</v>
      </c>
      <c r="B2990" s="607" t="s">
        <v>4325</v>
      </c>
      <c r="C2990" s="608" t="s">
        <v>1240</v>
      </c>
      <c r="D2990" s="599">
        <v>83.71</v>
      </c>
    </row>
    <row r="2991" spans="1:4">
      <c r="A2991" s="606">
        <v>160248</v>
      </c>
      <c r="B2991" s="607" t="s">
        <v>4326</v>
      </c>
      <c r="C2991" s="608" t="s">
        <v>1240</v>
      </c>
      <c r="D2991" s="599">
        <v>43.19</v>
      </c>
    </row>
    <row r="2992" spans="1:4">
      <c r="A2992" s="606">
        <v>160250</v>
      </c>
      <c r="B2992" s="607" t="s">
        <v>4327</v>
      </c>
      <c r="C2992" s="608" t="s">
        <v>1240</v>
      </c>
      <c r="D2992" s="599">
        <v>135.47</v>
      </c>
    </row>
    <row r="2993" spans="1:6">
      <c r="A2993" s="606">
        <v>160251</v>
      </c>
      <c r="B2993" s="607" t="s">
        <v>4328</v>
      </c>
      <c r="C2993" s="608" t="s">
        <v>1240</v>
      </c>
      <c r="D2993" s="599">
        <v>155.49</v>
      </c>
    </row>
    <row r="2994" spans="1:6">
      <c r="A2994" s="606">
        <v>160256</v>
      </c>
      <c r="B2994" s="607" t="s">
        <v>4329</v>
      </c>
      <c r="C2994" s="608" t="s">
        <v>1240</v>
      </c>
      <c r="D2994" s="599">
        <v>49.37</v>
      </c>
    </row>
    <row r="2995" spans="1:6">
      <c r="A2995" s="606">
        <v>160261</v>
      </c>
      <c r="B2995" s="607" t="s">
        <v>3980</v>
      </c>
      <c r="C2995" s="608" t="s">
        <v>1240</v>
      </c>
      <c r="D2995" s="599">
        <v>77.209999999999994</v>
      </c>
    </row>
    <row r="2996" spans="1:6">
      <c r="A2996" s="606">
        <v>160262</v>
      </c>
      <c r="B2996" s="607" t="s">
        <v>3981</v>
      </c>
      <c r="C2996" s="608" t="s">
        <v>1240</v>
      </c>
      <c r="D2996" s="599">
        <v>77.209999999999994</v>
      </c>
    </row>
    <row r="2997" spans="1:6">
      <c r="A2997" s="606">
        <v>160270</v>
      </c>
      <c r="B2997" s="607" t="s">
        <v>4330</v>
      </c>
      <c r="C2997" s="608" t="s">
        <v>1240</v>
      </c>
      <c r="D2997" s="599">
        <v>18.48</v>
      </c>
    </row>
    <row r="2998" spans="1:6">
      <c r="A2998" s="606">
        <v>160271</v>
      </c>
      <c r="B2998" s="607" t="s">
        <v>1654</v>
      </c>
      <c r="C2998" s="608" t="s">
        <v>1240</v>
      </c>
      <c r="D2998" s="599">
        <v>4.33</v>
      </c>
    </row>
    <row r="2999" spans="1:6">
      <c r="A2999" s="606">
        <v>160280</v>
      </c>
      <c r="B2999" s="607" t="s">
        <v>4015</v>
      </c>
      <c r="C2999" s="608" t="s">
        <v>1240</v>
      </c>
      <c r="D2999" s="599">
        <v>37.76</v>
      </c>
    </row>
    <row r="3000" spans="1:6">
      <c r="A3000" s="606">
        <v>160290</v>
      </c>
      <c r="B3000" s="607" t="s">
        <v>4331</v>
      </c>
      <c r="C3000" s="608" t="s">
        <v>1240</v>
      </c>
      <c r="D3000" s="599">
        <v>29.91</v>
      </c>
    </row>
    <row r="3001" spans="1:6">
      <c r="A3001" s="606">
        <v>160291</v>
      </c>
      <c r="B3001" s="607" t="s">
        <v>4332</v>
      </c>
      <c r="C3001" s="608" t="s">
        <v>1240</v>
      </c>
      <c r="D3001" s="599">
        <v>32.409999999999997</v>
      </c>
    </row>
    <row r="3002" spans="1:6">
      <c r="A3002" s="606">
        <v>160299</v>
      </c>
      <c r="B3002" s="607" t="s">
        <v>4333</v>
      </c>
      <c r="C3002" s="608" t="s">
        <v>1652</v>
      </c>
      <c r="D3002" s="599">
        <v>263.25</v>
      </c>
    </row>
    <row r="3003" spans="1:6">
      <c r="A3003" s="589">
        <v>1603</v>
      </c>
      <c r="B3003" s="596" t="s">
        <v>4334</v>
      </c>
      <c r="C3003" s="588"/>
      <c r="D3003" s="599"/>
      <c r="F3003" s="585"/>
    </row>
    <row r="3004" spans="1:6">
      <c r="A3004" s="606">
        <v>160303</v>
      </c>
      <c r="B3004" s="607" t="s">
        <v>4335</v>
      </c>
      <c r="C3004" s="608" t="s">
        <v>1240</v>
      </c>
      <c r="D3004" s="599">
        <v>7.21</v>
      </c>
    </row>
    <row r="3005" spans="1:6">
      <c r="A3005" s="606">
        <v>160305</v>
      </c>
      <c r="B3005" s="607" t="s">
        <v>4336</v>
      </c>
      <c r="C3005" s="608" t="s">
        <v>1240</v>
      </c>
      <c r="D3005" s="599">
        <v>9.6199999999999992</v>
      </c>
    </row>
    <row r="3006" spans="1:6">
      <c r="A3006" s="606">
        <v>160307</v>
      </c>
      <c r="B3006" s="607" t="s">
        <v>4337</v>
      </c>
      <c r="C3006" s="608" t="s">
        <v>1240</v>
      </c>
      <c r="D3006" s="599">
        <v>35.53</v>
      </c>
    </row>
    <row r="3007" spans="1:6">
      <c r="A3007" s="606">
        <v>160308</v>
      </c>
      <c r="B3007" s="607" t="s">
        <v>4338</v>
      </c>
      <c r="C3007" s="608" t="s">
        <v>1240</v>
      </c>
      <c r="D3007" s="599">
        <v>21.73</v>
      </c>
    </row>
    <row r="3008" spans="1:6">
      <c r="A3008" s="606">
        <v>160309</v>
      </c>
      <c r="B3008" s="607" t="s">
        <v>4339</v>
      </c>
      <c r="C3008" s="608" t="s">
        <v>1240</v>
      </c>
      <c r="D3008" s="599">
        <v>10.07</v>
      </c>
    </row>
    <row r="3009" spans="1:4">
      <c r="A3009" s="606">
        <v>160310</v>
      </c>
      <c r="B3009" s="607" t="s">
        <v>4340</v>
      </c>
      <c r="C3009" s="608" t="s">
        <v>1240</v>
      </c>
      <c r="D3009" s="599">
        <v>24.32</v>
      </c>
    </row>
    <row r="3010" spans="1:4">
      <c r="A3010" s="606">
        <v>160314</v>
      </c>
      <c r="B3010" s="607" t="s">
        <v>4341</v>
      </c>
      <c r="C3010" s="608" t="s">
        <v>1615</v>
      </c>
      <c r="D3010" s="599">
        <v>54.69</v>
      </c>
    </row>
    <row r="3011" spans="1:4">
      <c r="A3011" s="606">
        <v>160316</v>
      </c>
      <c r="B3011" s="607" t="s">
        <v>4342</v>
      </c>
      <c r="C3011" s="608" t="s">
        <v>1615</v>
      </c>
      <c r="D3011" s="599">
        <v>66.47</v>
      </c>
    </row>
    <row r="3012" spans="1:4">
      <c r="A3012" s="606">
        <v>160317</v>
      </c>
      <c r="B3012" s="607" t="s">
        <v>4343</v>
      </c>
      <c r="C3012" s="608" t="s">
        <v>1615</v>
      </c>
      <c r="D3012" s="599">
        <v>69.31</v>
      </c>
    </row>
    <row r="3013" spans="1:4">
      <c r="A3013" s="606">
        <v>160318</v>
      </c>
      <c r="B3013" s="607" t="s">
        <v>4344</v>
      </c>
      <c r="C3013" s="608" t="s">
        <v>1615</v>
      </c>
      <c r="D3013" s="599">
        <v>64.650000000000006</v>
      </c>
    </row>
    <row r="3014" spans="1:4">
      <c r="A3014" s="606">
        <v>160319</v>
      </c>
      <c r="B3014" s="607" t="s">
        <v>4345</v>
      </c>
      <c r="C3014" s="608" t="s">
        <v>1615</v>
      </c>
      <c r="D3014" s="599">
        <v>66.150000000000006</v>
      </c>
    </row>
    <row r="3015" spans="1:4">
      <c r="A3015" s="606">
        <v>160320</v>
      </c>
      <c r="B3015" s="607" t="s">
        <v>4346</v>
      </c>
      <c r="C3015" s="608" t="s">
        <v>1615</v>
      </c>
      <c r="D3015" s="599">
        <v>127.38</v>
      </c>
    </row>
    <row r="3016" spans="1:4">
      <c r="A3016" s="606">
        <v>160321</v>
      </c>
      <c r="B3016" s="607" t="s">
        <v>4347</v>
      </c>
      <c r="C3016" s="608" t="s">
        <v>1615</v>
      </c>
      <c r="D3016" s="599">
        <v>66.040000000000006</v>
      </c>
    </row>
    <row r="3017" spans="1:4">
      <c r="A3017" s="606">
        <v>160322</v>
      </c>
      <c r="B3017" s="607" t="s">
        <v>4348</v>
      </c>
      <c r="C3017" s="608" t="s">
        <v>1615</v>
      </c>
      <c r="D3017" s="599">
        <v>63.88</v>
      </c>
    </row>
    <row r="3018" spans="1:4">
      <c r="A3018" s="606">
        <v>160323</v>
      </c>
      <c r="B3018" s="607" t="s">
        <v>4349</v>
      </c>
      <c r="C3018" s="608" t="s">
        <v>1615</v>
      </c>
      <c r="D3018" s="599">
        <v>75.67</v>
      </c>
    </row>
    <row r="3019" spans="1:4">
      <c r="A3019" s="606">
        <v>160324</v>
      </c>
      <c r="B3019" s="607" t="s">
        <v>4350</v>
      </c>
      <c r="C3019" s="608" t="s">
        <v>1615</v>
      </c>
      <c r="D3019" s="599">
        <v>75.67</v>
      </c>
    </row>
    <row r="3020" spans="1:4">
      <c r="A3020" s="606">
        <v>160325</v>
      </c>
      <c r="B3020" s="607" t="s">
        <v>4351</v>
      </c>
      <c r="C3020" s="608" t="s">
        <v>1615</v>
      </c>
      <c r="D3020" s="599">
        <v>64.569999999999993</v>
      </c>
    </row>
    <row r="3021" spans="1:4">
      <c r="A3021" s="606">
        <v>160326</v>
      </c>
      <c r="B3021" s="607" t="s">
        <v>4352</v>
      </c>
      <c r="C3021" s="608" t="s">
        <v>1615</v>
      </c>
      <c r="D3021" s="599">
        <v>64.319999999999993</v>
      </c>
    </row>
    <row r="3022" spans="1:4">
      <c r="A3022" s="606">
        <v>160327</v>
      </c>
      <c r="B3022" s="607" t="s">
        <v>4353</v>
      </c>
      <c r="C3022" s="608" t="s">
        <v>1615</v>
      </c>
      <c r="D3022" s="599">
        <v>69.989999999999995</v>
      </c>
    </row>
    <row r="3023" spans="1:4">
      <c r="A3023" s="606">
        <v>160328</v>
      </c>
      <c r="B3023" s="607" t="s">
        <v>4354</v>
      </c>
      <c r="C3023" s="608" t="s">
        <v>1615</v>
      </c>
      <c r="D3023" s="599">
        <v>72.28</v>
      </c>
    </row>
    <row r="3024" spans="1:4">
      <c r="A3024" s="606">
        <v>160329</v>
      </c>
      <c r="B3024" s="607" t="s">
        <v>4355</v>
      </c>
      <c r="C3024" s="608" t="s">
        <v>1615</v>
      </c>
      <c r="D3024" s="599">
        <v>69.489999999999995</v>
      </c>
    </row>
    <row r="3025" spans="1:4">
      <c r="A3025" s="606">
        <v>160330</v>
      </c>
      <c r="B3025" s="607" t="s">
        <v>4356</v>
      </c>
      <c r="C3025" s="608" t="s">
        <v>1615</v>
      </c>
      <c r="D3025" s="599">
        <v>63.03</v>
      </c>
    </row>
    <row r="3026" spans="1:4">
      <c r="A3026" s="606">
        <v>160331</v>
      </c>
      <c r="B3026" s="607" t="s">
        <v>4357</v>
      </c>
      <c r="C3026" s="608" t="s">
        <v>1615</v>
      </c>
      <c r="D3026" s="599">
        <v>64.09</v>
      </c>
    </row>
    <row r="3027" spans="1:4">
      <c r="A3027" s="606">
        <v>160332</v>
      </c>
      <c r="B3027" s="607" t="s">
        <v>4358</v>
      </c>
      <c r="C3027" s="608" t="s">
        <v>1615</v>
      </c>
      <c r="D3027" s="599">
        <v>66.45</v>
      </c>
    </row>
    <row r="3028" spans="1:4">
      <c r="A3028" s="606">
        <v>160333</v>
      </c>
      <c r="B3028" s="607" t="s">
        <v>4359</v>
      </c>
      <c r="C3028" s="608" t="s">
        <v>1615</v>
      </c>
      <c r="D3028" s="599">
        <v>72.27</v>
      </c>
    </row>
    <row r="3029" spans="1:4">
      <c r="A3029" s="606">
        <v>160334</v>
      </c>
      <c r="B3029" s="607" t="s">
        <v>4360</v>
      </c>
      <c r="C3029" s="608" t="s">
        <v>1615</v>
      </c>
      <c r="D3029" s="599">
        <v>66.08</v>
      </c>
    </row>
    <row r="3030" spans="1:4">
      <c r="A3030" s="606">
        <v>160335</v>
      </c>
      <c r="B3030" s="607" t="s">
        <v>4361</v>
      </c>
      <c r="C3030" s="608" t="s">
        <v>1615</v>
      </c>
      <c r="D3030" s="599">
        <v>67.78</v>
      </c>
    </row>
    <row r="3031" spans="1:4">
      <c r="A3031" s="606">
        <v>160336</v>
      </c>
      <c r="B3031" s="607" t="s">
        <v>4362</v>
      </c>
      <c r="C3031" s="608" t="s">
        <v>1615</v>
      </c>
      <c r="D3031" s="599">
        <v>63.63</v>
      </c>
    </row>
    <row r="3032" spans="1:4">
      <c r="A3032" s="606">
        <v>160337</v>
      </c>
      <c r="B3032" s="607" t="s">
        <v>4363</v>
      </c>
      <c r="C3032" s="608" t="s">
        <v>1615</v>
      </c>
      <c r="D3032" s="599">
        <v>67.989999999999995</v>
      </c>
    </row>
    <row r="3033" spans="1:4">
      <c r="A3033" s="606">
        <v>160338</v>
      </c>
      <c r="B3033" s="607" t="s">
        <v>4364</v>
      </c>
      <c r="C3033" s="608" t="s">
        <v>1615</v>
      </c>
      <c r="D3033" s="599">
        <v>68.260000000000005</v>
      </c>
    </row>
    <row r="3034" spans="1:4">
      <c r="A3034" s="606">
        <v>160339</v>
      </c>
      <c r="B3034" s="607" t="s">
        <v>4365</v>
      </c>
      <c r="C3034" s="608" t="s">
        <v>1615</v>
      </c>
      <c r="D3034" s="599">
        <v>64.53</v>
      </c>
    </row>
    <row r="3035" spans="1:4">
      <c r="A3035" s="606">
        <v>160340</v>
      </c>
      <c r="B3035" s="607" t="s">
        <v>4366</v>
      </c>
      <c r="C3035" s="608" t="s">
        <v>1615</v>
      </c>
      <c r="D3035" s="599">
        <v>64.48</v>
      </c>
    </row>
    <row r="3036" spans="1:4">
      <c r="A3036" s="606">
        <v>160341</v>
      </c>
      <c r="B3036" s="607" t="s">
        <v>4367</v>
      </c>
      <c r="C3036" s="608" t="s">
        <v>1615</v>
      </c>
      <c r="D3036" s="599">
        <v>67.28</v>
      </c>
    </row>
    <row r="3037" spans="1:4">
      <c r="A3037" s="606">
        <v>160345</v>
      </c>
      <c r="B3037" s="607" t="s">
        <v>4368</v>
      </c>
      <c r="C3037" s="608" t="s">
        <v>1615</v>
      </c>
      <c r="D3037" s="599">
        <v>60.11</v>
      </c>
    </row>
    <row r="3038" spans="1:4">
      <c r="A3038" s="606">
        <v>160346</v>
      </c>
      <c r="B3038" s="607" t="s">
        <v>4369</v>
      </c>
      <c r="C3038" s="608" t="s">
        <v>1615</v>
      </c>
      <c r="D3038" s="599">
        <v>56.68</v>
      </c>
    </row>
    <row r="3039" spans="1:4">
      <c r="A3039" s="606">
        <v>160347</v>
      </c>
      <c r="B3039" s="607" t="s">
        <v>4370</v>
      </c>
      <c r="C3039" s="608" t="s">
        <v>1615</v>
      </c>
      <c r="D3039" s="599">
        <v>55.51</v>
      </c>
    </row>
    <row r="3040" spans="1:4">
      <c r="A3040" s="606">
        <v>160348</v>
      </c>
      <c r="B3040" s="607" t="s">
        <v>4371</v>
      </c>
      <c r="C3040" s="608" t="s">
        <v>1615</v>
      </c>
      <c r="D3040" s="599">
        <v>54.87</v>
      </c>
    </row>
    <row r="3041" spans="1:4">
      <c r="A3041" s="606">
        <v>160349</v>
      </c>
      <c r="B3041" s="607" t="s">
        <v>4372</v>
      </c>
      <c r="C3041" s="608" t="s">
        <v>1615</v>
      </c>
      <c r="D3041" s="599">
        <v>58.55</v>
      </c>
    </row>
    <row r="3042" spans="1:4">
      <c r="A3042" s="606">
        <v>160350</v>
      </c>
      <c r="B3042" s="607" t="s">
        <v>4373</v>
      </c>
      <c r="C3042" s="608" t="s">
        <v>1615</v>
      </c>
      <c r="D3042" s="599">
        <v>59.47</v>
      </c>
    </row>
    <row r="3043" spans="1:4">
      <c r="A3043" s="606">
        <v>160351</v>
      </c>
      <c r="B3043" s="607" t="s">
        <v>4374</v>
      </c>
      <c r="C3043" s="608" t="s">
        <v>1615</v>
      </c>
      <c r="D3043" s="599">
        <v>56.78</v>
      </c>
    </row>
    <row r="3044" spans="1:4">
      <c r="A3044" s="606">
        <v>160352</v>
      </c>
      <c r="B3044" s="607" t="s">
        <v>4375</v>
      </c>
      <c r="C3044" s="608" t="s">
        <v>1615</v>
      </c>
      <c r="D3044" s="599">
        <v>56.83</v>
      </c>
    </row>
    <row r="3045" spans="1:4">
      <c r="A3045" s="606">
        <v>160353</v>
      </c>
      <c r="B3045" s="607" t="s">
        <v>4376</v>
      </c>
      <c r="C3045" s="608" t="s">
        <v>1615</v>
      </c>
      <c r="D3045" s="599">
        <v>56.15</v>
      </c>
    </row>
    <row r="3046" spans="1:4">
      <c r="A3046" s="606">
        <v>160354</v>
      </c>
      <c r="B3046" s="607" t="s">
        <v>4377</v>
      </c>
      <c r="C3046" s="608" t="s">
        <v>1615</v>
      </c>
      <c r="D3046" s="599">
        <v>53.32</v>
      </c>
    </row>
    <row r="3047" spans="1:4">
      <c r="A3047" s="606">
        <v>160355</v>
      </c>
      <c r="B3047" s="607" t="s">
        <v>4378</v>
      </c>
      <c r="C3047" s="608" t="s">
        <v>1615</v>
      </c>
      <c r="D3047" s="599">
        <v>53.79</v>
      </c>
    </row>
    <row r="3048" spans="1:4">
      <c r="A3048" s="606">
        <v>160356</v>
      </c>
      <c r="B3048" s="607" t="s">
        <v>4379</v>
      </c>
      <c r="C3048" s="608" t="s">
        <v>1615</v>
      </c>
      <c r="D3048" s="599">
        <v>58.42</v>
      </c>
    </row>
    <row r="3049" spans="1:4">
      <c r="A3049" s="606">
        <v>160357</v>
      </c>
      <c r="B3049" s="607" t="s">
        <v>4380</v>
      </c>
      <c r="C3049" s="608" t="s">
        <v>1615</v>
      </c>
      <c r="D3049" s="599">
        <v>15.73</v>
      </c>
    </row>
    <row r="3050" spans="1:4">
      <c r="A3050" s="606">
        <v>160358</v>
      </c>
      <c r="B3050" s="607" t="s">
        <v>4381</v>
      </c>
      <c r="C3050" s="608" t="s">
        <v>1615</v>
      </c>
      <c r="D3050" s="599">
        <v>16.5</v>
      </c>
    </row>
    <row r="3051" spans="1:4">
      <c r="A3051" s="606">
        <v>160359</v>
      </c>
      <c r="B3051" s="607" t="s">
        <v>4382</v>
      </c>
      <c r="C3051" s="608" t="s">
        <v>1615</v>
      </c>
      <c r="D3051" s="599">
        <v>18.649999999999999</v>
      </c>
    </row>
    <row r="3052" spans="1:4">
      <c r="A3052" s="606">
        <v>160360</v>
      </c>
      <c r="B3052" s="607" t="s">
        <v>4383</v>
      </c>
      <c r="C3052" s="608" t="s">
        <v>1615</v>
      </c>
      <c r="D3052" s="599">
        <v>63.74</v>
      </c>
    </row>
    <row r="3053" spans="1:4">
      <c r="A3053" s="606">
        <v>160361</v>
      </c>
      <c r="B3053" s="607" t="s">
        <v>4384</v>
      </c>
      <c r="C3053" s="608" t="s">
        <v>1615</v>
      </c>
      <c r="D3053" s="599">
        <v>83.63</v>
      </c>
    </row>
    <row r="3054" spans="1:4">
      <c r="A3054" s="606">
        <v>160362</v>
      </c>
      <c r="B3054" s="607" t="s">
        <v>4385</v>
      </c>
      <c r="C3054" s="608" t="s">
        <v>1615</v>
      </c>
      <c r="D3054" s="599">
        <v>87.85</v>
      </c>
    </row>
    <row r="3055" spans="1:4">
      <c r="A3055" s="606">
        <v>160363</v>
      </c>
      <c r="B3055" s="607" t="s">
        <v>4386</v>
      </c>
      <c r="C3055" s="608" t="s">
        <v>1615</v>
      </c>
      <c r="D3055" s="599">
        <v>80.06</v>
      </c>
    </row>
    <row r="3056" spans="1:4">
      <c r="A3056" s="606">
        <v>160364</v>
      </c>
      <c r="B3056" s="607" t="s">
        <v>4387</v>
      </c>
      <c r="C3056" s="608" t="s">
        <v>1615</v>
      </c>
      <c r="D3056" s="599">
        <v>12.09</v>
      </c>
    </row>
    <row r="3057" spans="1:4">
      <c r="A3057" s="606">
        <v>160365</v>
      </c>
      <c r="B3057" s="607" t="s">
        <v>4388</v>
      </c>
      <c r="C3057" s="608" t="s">
        <v>1615</v>
      </c>
      <c r="D3057" s="599">
        <v>12.64</v>
      </c>
    </row>
    <row r="3058" spans="1:4">
      <c r="A3058" s="606">
        <v>160366</v>
      </c>
      <c r="B3058" s="607" t="s">
        <v>4389</v>
      </c>
      <c r="C3058" s="608" t="s">
        <v>1615</v>
      </c>
      <c r="D3058" s="599">
        <v>14.52</v>
      </c>
    </row>
    <row r="3059" spans="1:4">
      <c r="A3059" s="606">
        <v>160367</v>
      </c>
      <c r="B3059" s="607" t="s">
        <v>4390</v>
      </c>
      <c r="C3059" s="608" t="s">
        <v>1615</v>
      </c>
      <c r="D3059" s="599">
        <v>10.45</v>
      </c>
    </row>
    <row r="3060" spans="1:4">
      <c r="A3060" s="606">
        <v>160368</v>
      </c>
      <c r="B3060" s="607" t="s">
        <v>4391</v>
      </c>
      <c r="C3060" s="608" t="s">
        <v>1615</v>
      </c>
      <c r="D3060" s="599">
        <v>11.36</v>
      </c>
    </row>
    <row r="3061" spans="1:4">
      <c r="A3061" s="606">
        <v>160369</v>
      </c>
      <c r="B3061" s="607" t="s">
        <v>4392</v>
      </c>
      <c r="C3061" s="608" t="s">
        <v>1615</v>
      </c>
      <c r="D3061" s="599">
        <v>21.4</v>
      </c>
    </row>
    <row r="3062" spans="1:4">
      <c r="A3062" s="606">
        <v>160370</v>
      </c>
      <c r="B3062" s="607" t="s">
        <v>4393</v>
      </c>
      <c r="C3062" s="608" t="s">
        <v>1615</v>
      </c>
      <c r="D3062" s="599">
        <v>12.95</v>
      </c>
    </row>
    <row r="3063" spans="1:4">
      <c r="A3063" s="606">
        <v>160371</v>
      </c>
      <c r="B3063" s="607" t="s">
        <v>4394</v>
      </c>
      <c r="C3063" s="608" t="s">
        <v>1615</v>
      </c>
      <c r="D3063" s="599">
        <v>21.68</v>
      </c>
    </row>
    <row r="3064" spans="1:4">
      <c r="A3064" s="606">
        <v>160372</v>
      </c>
      <c r="B3064" s="607" t="s">
        <v>4395</v>
      </c>
      <c r="C3064" s="608" t="s">
        <v>1615</v>
      </c>
      <c r="D3064" s="599">
        <v>11.02</v>
      </c>
    </row>
    <row r="3065" spans="1:4">
      <c r="A3065" s="606">
        <v>160373</v>
      </c>
      <c r="B3065" s="607" t="s">
        <v>4396</v>
      </c>
      <c r="C3065" s="608" t="s">
        <v>1615</v>
      </c>
      <c r="D3065" s="599">
        <v>13.52</v>
      </c>
    </row>
    <row r="3066" spans="1:4">
      <c r="A3066" s="606">
        <v>160374</v>
      </c>
      <c r="B3066" s="607" t="s">
        <v>4397</v>
      </c>
      <c r="C3066" s="608" t="s">
        <v>1615</v>
      </c>
      <c r="D3066" s="599">
        <v>21.1</v>
      </c>
    </row>
    <row r="3067" spans="1:4">
      <c r="A3067" s="606">
        <v>160375</v>
      </c>
      <c r="B3067" s="607" t="s">
        <v>4398</v>
      </c>
      <c r="C3067" s="608" t="s">
        <v>1615</v>
      </c>
      <c r="D3067" s="599">
        <v>20.079999999999998</v>
      </c>
    </row>
    <row r="3068" spans="1:4">
      <c r="A3068" s="606">
        <v>160376</v>
      </c>
      <c r="B3068" s="607" t="s">
        <v>4399</v>
      </c>
      <c r="C3068" s="608" t="s">
        <v>1615</v>
      </c>
      <c r="D3068" s="599">
        <v>19.850000000000001</v>
      </c>
    </row>
    <row r="3069" spans="1:4">
      <c r="A3069" s="606">
        <v>160377</v>
      </c>
      <c r="B3069" s="607" t="s">
        <v>4400</v>
      </c>
      <c r="C3069" s="608" t="s">
        <v>1615</v>
      </c>
      <c r="D3069" s="599">
        <v>19.690000000000001</v>
      </c>
    </row>
    <row r="3070" spans="1:4">
      <c r="A3070" s="606">
        <v>160378</v>
      </c>
      <c r="B3070" s="607" t="s">
        <v>4401</v>
      </c>
      <c r="C3070" s="608" t="s">
        <v>1615</v>
      </c>
      <c r="D3070" s="599">
        <v>3.22</v>
      </c>
    </row>
    <row r="3071" spans="1:4">
      <c r="A3071" s="606">
        <v>160379</v>
      </c>
      <c r="B3071" s="607" t="s">
        <v>4402</v>
      </c>
      <c r="C3071" s="608" t="s">
        <v>1615</v>
      </c>
      <c r="D3071" s="599">
        <v>12.45</v>
      </c>
    </row>
    <row r="3072" spans="1:4">
      <c r="A3072" s="606">
        <v>160380</v>
      </c>
      <c r="B3072" s="607" t="s">
        <v>4403</v>
      </c>
      <c r="C3072" s="608" t="s">
        <v>1615</v>
      </c>
      <c r="D3072" s="599">
        <v>12.05</v>
      </c>
    </row>
    <row r="3073" spans="1:4">
      <c r="A3073" s="606">
        <v>160381</v>
      </c>
      <c r="B3073" s="607" t="s">
        <v>4404</v>
      </c>
      <c r="C3073" s="608" t="s">
        <v>1615</v>
      </c>
      <c r="D3073" s="599">
        <v>21.83</v>
      </c>
    </row>
    <row r="3074" spans="1:4">
      <c r="A3074" s="606">
        <v>160382</v>
      </c>
      <c r="B3074" s="607" t="s">
        <v>4405</v>
      </c>
      <c r="C3074" s="608" t="s">
        <v>1615</v>
      </c>
      <c r="D3074" s="599">
        <v>6.97</v>
      </c>
    </row>
    <row r="3075" spans="1:4">
      <c r="A3075" s="606">
        <v>160383</v>
      </c>
      <c r="B3075" s="607" t="s">
        <v>4406</v>
      </c>
      <c r="C3075" s="608" t="s">
        <v>1615</v>
      </c>
      <c r="D3075" s="599">
        <v>18.239999999999998</v>
      </c>
    </row>
    <row r="3076" spans="1:4">
      <c r="A3076" s="606">
        <v>160384</v>
      </c>
      <c r="B3076" s="607" t="s">
        <v>4407</v>
      </c>
      <c r="C3076" s="608" t="s">
        <v>1615</v>
      </c>
      <c r="D3076" s="599">
        <v>20.81</v>
      </c>
    </row>
    <row r="3077" spans="1:4">
      <c r="A3077" s="606">
        <v>160385</v>
      </c>
      <c r="B3077" s="607" t="s">
        <v>4408</v>
      </c>
      <c r="C3077" s="608" t="s">
        <v>1240</v>
      </c>
      <c r="D3077" s="599">
        <v>15.13</v>
      </c>
    </row>
    <row r="3078" spans="1:4">
      <c r="A3078" s="606">
        <v>160386</v>
      </c>
      <c r="B3078" s="607" t="s">
        <v>4409</v>
      </c>
      <c r="C3078" s="608" t="s">
        <v>1615</v>
      </c>
      <c r="D3078" s="599">
        <v>3.24</v>
      </c>
    </row>
    <row r="3079" spans="1:4">
      <c r="A3079" s="606">
        <v>160387</v>
      </c>
      <c r="B3079" s="607" t="s">
        <v>4410</v>
      </c>
      <c r="C3079" s="608" t="s">
        <v>1240</v>
      </c>
      <c r="D3079" s="599">
        <v>12.62</v>
      </c>
    </row>
    <row r="3080" spans="1:4">
      <c r="A3080" s="606">
        <v>160388</v>
      </c>
      <c r="B3080" s="607" t="s">
        <v>4411</v>
      </c>
      <c r="C3080" s="608" t="s">
        <v>1240</v>
      </c>
      <c r="D3080" s="599">
        <v>27.81</v>
      </c>
    </row>
    <row r="3081" spans="1:4">
      <c r="A3081" s="606">
        <v>160389</v>
      </c>
      <c r="B3081" s="607" t="s">
        <v>4412</v>
      </c>
      <c r="C3081" s="608" t="s">
        <v>1240</v>
      </c>
      <c r="D3081" s="599">
        <v>20.29</v>
      </c>
    </row>
    <row r="3082" spans="1:4">
      <c r="A3082" s="606">
        <v>160390</v>
      </c>
      <c r="B3082" s="607" t="s">
        <v>4413</v>
      </c>
      <c r="C3082" s="608" t="s">
        <v>1240</v>
      </c>
      <c r="D3082" s="599">
        <v>10.050000000000001</v>
      </c>
    </row>
    <row r="3083" spans="1:4">
      <c r="A3083" s="606">
        <v>160391</v>
      </c>
      <c r="B3083" s="607" t="s">
        <v>4414</v>
      </c>
      <c r="C3083" s="608" t="s">
        <v>1240</v>
      </c>
      <c r="D3083" s="599">
        <v>19.43</v>
      </c>
    </row>
    <row r="3084" spans="1:4">
      <c r="A3084" s="606">
        <v>160392</v>
      </c>
      <c r="B3084" s="607" t="s">
        <v>4415</v>
      </c>
      <c r="C3084" s="608" t="s">
        <v>1240</v>
      </c>
      <c r="D3084" s="599">
        <v>18.79</v>
      </c>
    </row>
    <row r="3085" spans="1:4">
      <c r="A3085" s="606">
        <v>160393</v>
      </c>
      <c r="B3085" s="607" t="s">
        <v>4416</v>
      </c>
      <c r="C3085" s="608" t="s">
        <v>1240</v>
      </c>
      <c r="D3085" s="599">
        <v>29.74</v>
      </c>
    </row>
    <row r="3086" spans="1:4">
      <c r="A3086" s="606">
        <v>160395</v>
      </c>
      <c r="B3086" s="607" t="s">
        <v>4417</v>
      </c>
      <c r="C3086" s="608" t="s">
        <v>1240</v>
      </c>
      <c r="D3086" s="599">
        <v>30.39</v>
      </c>
    </row>
    <row r="3087" spans="1:4">
      <c r="A3087" s="606">
        <v>160396</v>
      </c>
      <c r="B3087" s="607" t="s">
        <v>4418</v>
      </c>
      <c r="C3087" s="608" t="s">
        <v>1240</v>
      </c>
      <c r="D3087" s="599">
        <v>14.94</v>
      </c>
    </row>
    <row r="3088" spans="1:4">
      <c r="A3088" s="606">
        <v>160397</v>
      </c>
      <c r="B3088" s="607" t="s">
        <v>4419</v>
      </c>
      <c r="C3088" s="608" t="s">
        <v>1240</v>
      </c>
      <c r="D3088" s="599">
        <v>22.21</v>
      </c>
    </row>
    <row r="3089" spans="1:6">
      <c r="A3089" s="606">
        <v>160398</v>
      </c>
      <c r="B3089" s="607" t="s">
        <v>4420</v>
      </c>
      <c r="C3089" s="608" t="s">
        <v>1240</v>
      </c>
      <c r="D3089" s="599">
        <v>16.63</v>
      </c>
    </row>
    <row r="3090" spans="1:6">
      <c r="A3090" s="606">
        <v>160399</v>
      </c>
      <c r="B3090" s="607" t="s">
        <v>4421</v>
      </c>
      <c r="C3090" s="608" t="s">
        <v>1652</v>
      </c>
      <c r="D3090" s="599">
        <v>263.25</v>
      </c>
    </row>
    <row r="3091" spans="1:6">
      <c r="A3091" s="589">
        <v>1604</v>
      </c>
      <c r="B3091" s="596" t="s">
        <v>4422</v>
      </c>
      <c r="C3091" s="588"/>
      <c r="D3091" s="599"/>
      <c r="F3091" s="585"/>
    </row>
    <row r="3092" spans="1:6">
      <c r="A3092" s="606">
        <v>160401</v>
      </c>
      <c r="B3092" s="607" t="s">
        <v>4423</v>
      </c>
      <c r="C3092" s="608" t="s">
        <v>2087</v>
      </c>
      <c r="D3092" s="599">
        <v>735.18</v>
      </c>
    </row>
    <row r="3093" spans="1:6">
      <c r="A3093" s="606">
        <v>160402</v>
      </c>
      <c r="B3093" s="607" t="s">
        <v>4424</v>
      </c>
      <c r="C3093" s="608" t="s">
        <v>1615</v>
      </c>
      <c r="D3093" s="599">
        <v>708.89</v>
      </c>
    </row>
    <row r="3094" spans="1:6">
      <c r="A3094" s="606">
        <v>160404</v>
      </c>
      <c r="B3094" s="607" t="s">
        <v>4425</v>
      </c>
      <c r="C3094" s="608" t="s">
        <v>1615</v>
      </c>
      <c r="D3094" s="599">
        <v>3490.74</v>
      </c>
    </row>
    <row r="3095" spans="1:6">
      <c r="A3095" s="606">
        <v>160406</v>
      </c>
      <c r="B3095" s="607" t="s">
        <v>4426</v>
      </c>
      <c r="C3095" s="608" t="s">
        <v>1659</v>
      </c>
      <c r="D3095" s="599">
        <v>72.16</v>
      </c>
    </row>
    <row r="3096" spans="1:6" ht="26.4">
      <c r="A3096" s="606">
        <v>160407</v>
      </c>
      <c r="B3096" s="607" t="s">
        <v>4427</v>
      </c>
      <c r="C3096" s="608" t="s">
        <v>1615</v>
      </c>
      <c r="D3096" s="599">
        <v>45575.22</v>
      </c>
    </row>
    <row r="3097" spans="1:6">
      <c r="A3097" s="606">
        <v>160411</v>
      </c>
      <c r="B3097" s="607" t="s">
        <v>4428</v>
      </c>
      <c r="C3097" s="608" t="s">
        <v>1659</v>
      </c>
      <c r="D3097" s="599">
        <v>133.84</v>
      </c>
    </row>
    <row r="3098" spans="1:6">
      <c r="A3098" s="606">
        <v>160412</v>
      </c>
      <c r="B3098" s="607" t="s">
        <v>4429</v>
      </c>
      <c r="C3098" s="608" t="s">
        <v>1659</v>
      </c>
      <c r="D3098" s="599">
        <v>135.72999999999999</v>
      </c>
    </row>
    <row r="3099" spans="1:6">
      <c r="A3099" s="606">
        <v>160414</v>
      </c>
      <c r="B3099" s="607" t="s">
        <v>4430</v>
      </c>
      <c r="C3099" s="608" t="s">
        <v>1659</v>
      </c>
      <c r="D3099" s="599">
        <v>137.22</v>
      </c>
    </row>
    <row r="3100" spans="1:6">
      <c r="A3100" s="606">
        <v>160416</v>
      </c>
      <c r="B3100" s="607" t="s">
        <v>4431</v>
      </c>
      <c r="C3100" s="608" t="s">
        <v>1240</v>
      </c>
      <c r="D3100" s="599">
        <v>74.63</v>
      </c>
    </row>
    <row r="3101" spans="1:6">
      <c r="A3101" s="606">
        <v>160417</v>
      </c>
      <c r="B3101" s="607" t="s">
        <v>4432</v>
      </c>
      <c r="C3101" s="608" t="s">
        <v>1615</v>
      </c>
      <c r="D3101" s="599">
        <v>4939.37</v>
      </c>
    </row>
    <row r="3102" spans="1:6">
      <c r="A3102" s="606">
        <v>160419</v>
      </c>
      <c r="B3102" s="607" t="s">
        <v>4433</v>
      </c>
      <c r="C3102" s="608" t="s">
        <v>1659</v>
      </c>
      <c r="D3102" s="599">
        <v>535.92999999999995</v>
      </c>
    </row>
    <row r="3103" spans="1:6">
      <c r="A3103" s="606">
        <v>160420</v>
      </c>
      <c r="B3103" s="607" t="s">
        <v>4434</v>
      </c>
      <c r="C3103" s="608" t="s">
        <v>1659</v>
      </c>
      <c r="D3103" s="599">
        <v>500.26</v>
      </c>
    </row>
    <row r="3104" spans="1:6">
      <c r="A3104" s="606">
        <v>160431</v>
      </c>
      <c r="B3104" s="607" t="s">
        <v>4435</v>
      </c>
      <c r="C3104" s="608" t="s">
        <v>1659</v>
      </c>
      <c r="D3104" s="599">
        <v>362.37</v>
      </c>
    </row>
    <row r="3105" spans="1:6">
      <c r="A3105" s="606">
        <v>160434</v>
      </c>
      <c r="B3105" s="607" t="s">
        <v>4436</v>
      </c>
      <c r="C3105" s="608" t="s">
        <v>1240</v>
      </c>
      <c r="D3105" s="599">
        <v>72.59</v>
      </c>
    </row>
    <row r="3106" spans="1:6">
      <c r="A3106" s="606">
        <v>160435</v>
      </c>
      <c r="B3106" s="607" t="s">
        <v>4437</v>
      </c>
      <c r="C3106" s="608" t="s">
        <v>1240</v>
      </c>
      <c r="D3106" s="599">
        <v>336.25</v>
      </c>
    </row>
    <row r="3107" spans="1:6">
      <c r="A3107" s="606">
        <v>160436</v>
      </c>
      <c r="B3107" s="607" t="s">
        <v>4438</v>
      </c>
      <c r="C3107" s="608" t="s">
        <v>1659</v>
      </c>
      <c r="D3107" s="599">
        <v>341.79</v>
      </c>
    </row>
    <row r="3108" spans="1:6">
      <c r="A3108" s="606">
        <v>160443</v>
      </c>
      <c r="B3108" s="607" t="s">
        <v>4439</v>
      </c>
      <c r="C3108" s="608" t="s">
        <v>1615</v>
      </c>
      <c r="D3108" s="599">
        <v>12322.13</v>
      </c>
    </row>
    <row r="3109" spans="1:6">
      <c r="A3109" s="606">
        <v>160499</v>
      </c>
      <c r="B3109" s="607" t="s">
        <v>4440</v>
      </c>
      <c r="C3109" s="608" t="s">
        <v>1652</v>
      </c>
      <c r="D3109" s="599">
        <v>263.25</v>
      </c>
    </row>
    <row r="3110" spans="1:6">
      <c r="A3110" s="589">
        <v>1605</v>
      </c>
      <c r="B3110" s="596" t="s">
        <v>4441</v>
      </c>
      <c r="C3110" s="588"/>
      <c r="D3110" s="599"/>
      <c r="F3110" s="585"/>
    </row>
    <row r="3111" spans="1:6">
      <c r="A3111" s="606">
        <v>160504</v>
      </c>
      <c r="B3111" s="607" t="s">
        <v>4442</v>
      </c>
      <c r="C3111" s="608" t="s">
        <v>1659</v>
      </c>
      <c r="D3111" s="599">
        <v>24.8</v>
      </c>
    </row>
    <row r="3112" spans="1:6">
      <c r="A3112" s="606">
        <v>160505</v>
      </c>
      <c r="B3112" s="607" t="s">
        <v>4443</v>
      </c>
      <c r="C3112" s="608" t="s">
        <v>1659</v>
      </c>
      <c r="D3112" s="599">
        <v>36.03</v>
      </c>
    </row>
    <row r="3113" spans="1:6">
      <c r="A3113" s="606">
        <v>160512</v>
      </c>
      <c r="B3113" s="607" t="s">
        <v>4444</v>
      </c>
      <c r="C3113" s="608" t="s">
        <v>1615</v>
      </c>
      <c r="D3113" s="599">
        <v>236.86</v>
      </c>
    </row>
    <row r="3114" spans="1:6">
      <c r="A3114" s="606">
        <v>160530</v>
      </c>
      <c r="B3114" s="607" t="s">
        <v>4445</v>
      </c>
      <c r="C3114" s="608" t="s">
        <v>1659</v>
      </c>
      <c r="D3114" s="599">
        <v>74.92</v>
      </c>
    </row>
    <row r="3115" spans="1:6">
      <c r="A3115" s="606">
        <v>160531</v>
      </c>
      <c r="B3115" s="607" t="s">
        <v>4446</v>
      </c>
      <c r="C3115" s="608" t="s">
        <v>1659</v>
      </c>
      <c r="D3115" s="599">
        <v>76.540000000000006</v>
      </c>
    </row>
    <row r="3116" spans="1:6">
      <c r="A3116" s="606">
        <v>160532</v>
      </c>
      <c r="B3116" s="607" t="s">
        <v>4447</v>
      </c>
      <c r="C3116" s="608" t="s">
        <v>1659</v>
      </c>
      <c r="D3116" s="599">
        <v>79.84</v>
      </c>
    </row>
    <row r="3117" spans="1:6">
      <c r="A3117" s="606">
        <v>160536</v>
      </c>
      <c r="B3117" s="607" t="s">
        <v>4448</v>
      </c>
      <c r="C3117" s="608" t="s">
        <v>1659</v>
      </c>
      <c r="D3117" s="599">
        <v>31.58</v>
      </c>
    </row>
    <row r="3118" spans="1:6">
      <c r="A3118" s="606">
        <v>160537</v>
      </c>
      <c r="B3118" s="607" t="s">
        <v>4449</v>
      </c>
      <c r="C3118" s="608" t="s">
        <v>1659</v>
      </c>
      <c r="D3118" s="599">
        <v>39.72</v>
      </c>
    </row>
    <row r="3119" spans="1:6">
      <c r="A3119" s="606">
        <v>160538</v>
      </c>
      <c r="B3119" s="607" t="s">
        <v>4450</v>
      </c>
      <c r="C3119" s="608" t="s">
        <v>1659</v>
      </c>
      <c r="D3119" s="599">
        <v>53.98</v>
      </c>
    </row>
    <row r="3120" spans="1:6">
      <c r="A3120" s="606">
        <v>160539</v>
      </c>
      <c r="B3120" s="607" t="s">
        <v>4451</v>
      </c>
      <c r="C3120" s="608" t="s">
        <v>1659</v>
      </c>
      <c r="D3120" s="599">
        <v>73.56</v>
      </c>
    </row>
    <row r="3121" spans="1:6">
      <c r="A3121" s="606">
        <v>160540</v>
      </c>
      <c r="B3121" s="607" t="s">
        <v>4452</v>
      </c>
      <c r="C3121" s="608" t="s">
        <v>1659</v>
      </c>
      <c r="D3121" s="599">
        <v>50.66</v>
      </c>
    </row>
    <row r="3122" spans="1:6">
      <c r="A3122" s="606">
        <v>160541</v>
      </c>
      <c r="B3122" s="607" t="s">
        <v>4453</v>
      </c>
      <c r="C3122" s="608" t="s">
        <v>1659</v>
      </c>
      <c r="D3122" s="599">
        <v>57.79</v>
      </c>
    </row>
    <row r="3123" spans="1:6">
      <c r="A3123" s="606">
        <v>160542</v>
      </c>
      <c r="B3123" s="607" t="s">
        <v>4454</v>
      </c>
      <c r="C3123" s="608" t="s">
        <v>1659</v>
      </c>
      <c r="D3123" s="599">
        <v>71.19</v>
      </c>
    </row>
    <row r="3124" spans="1:6">
      <c r="A3124" s="606">
        <v>160543</v>
      </c>
      <c r="B3124" s="607" t="s">
        <v>4455</v>
      </c>
      <c r="C3124" s="608" t="s">
        <v>1659</v>
      </c>
      <c r="D3124" s="599">
        <v>289.51</v>
      </c>
    </row>
    <row r="3125" spans="1:6">
      <c r="A3125" s="606">
        <v>160544</v>
      </c>
      <c r="B3125" s="607" t="s">
        <v>4456</v>
      </c>
      <c r="C3125" s="608" t="s">
        <v>1659</v>
      </c>
      <c r="D3125" s="599">
        <v>321.63</v>
      </c>
    </row>
    <row r="3126" spans="1:6">
      <c r="A3126" s="606">
        <v>160545</v>
      </c>
      <c r="B3126" s="607" t="s">
        <v>4457</v>
      </c>
      <c r="C3126" s="608" t="s">
        <v>1659</v>
      </c>
      <c r="D3126" s="599">
        <v>356.08</v>
      </c>
    </row>
    <row r="3127" spans="1:6">
      <c r="A3127" s="606">
        <v>160546</v>
      </c>
      <c r="B3127" s="607" t="s">
        <v>4458</v>
      </c>
      <c r="C3127" s="608" t="s">
        <v>1659</v>
      </c>
      <c r="D3127" s="599">
        <v>49.8</v>
      </c>
    </row>
    <row r="3128" spans="1:6">
      <c r="A3128" s="606">
        <v>160547</v>
      </c>
      <c r="B3128" s="607" t="s">
        <v>4459</v>
      </c>
      <c r="C3128" s="608" t="s">
        <v>1659</v>
      </c>
      <c r="D3128" s="599">
        <v>56.47</v>
      </c>
    </row>
    <row r="3129" spans="1:6">
      <c r="A3129" s="606">
        <v>160548</v>
      </c>
      <c r="B3129" s="607" t="s">
        <v>4460</v>
      </c>
      <c r="C3129" s="608" t="s">
        <v>1659</v>
      </c>
      <c r="D3129" s="599">
        <v>69.87</v>
      </c>
    </row>
    <row r="3130" spans="1:6">
      <c r="A3130" s="606">
        <v>160599</v>
      </c>
      <c r="B3130" s="607" t="s">
        <v>4461</v>
      </c>
      <c r="C3130" s="608" t="s">
        <v>1652</v>
      </c>
      <c r="D3130" s="599">
        <v>263.25</v>
      </c>
    </row>
    <row r="3131" spans="1:6">
      <c r="A3131" s="589">
        <v>1606</v>
      </c>
      <c r="B3131" s="596" t="s">
        <v>4462</v>
      </c>
      <c r="C3131" s="588"/>
      <c r="D3131" s="599"/>
      <c r="F3131" s="585"/>
    </row>
    <row r="3132" spans="1:6">
      <c r="A3132" s="606">
        <v>160601</v>
      </c>
      <c r="B3132" s="607" t="s">
        <v>4463</v>
      </c>
      <c r="C3132" s="608" t="s">
        <v>1659</v>
      </c>
      <c r="D3132" s="599">
        <v>154.05000000000001</v>
      </c>
    </row>
    <row r="3133" spans="1:6">
      <c r="A3133" s="606">
        <v>160610</v>
      </c>
      <c r="B3133" s="607" t="s">
        <v>4464</v>
      </c>
      <c r="C3133" s="608" t="s">
        <v>1650</v>
      </c>
      <c r="D3133" s="599">
        <v>107.09</v>
      </c>
    </row>
    <row r="3134" spans="1:6">
      <c r="A3134" s="606">
        <v>160611</v>
      </c>
      <c r="B3134" s="607" t="s">
        <v>4465</v>
      </c>
      <c r="C3134" s="608" t="s">
        <v>1650</v>
      </c>
      <c r="D3134" s="599">
        <v>110.99</v>
      </c>
    </row>
    <row r="3135" spans="1:6">
      <c r="A3135" s="606">
        <v>160612</v>
      </c>
      <c r="B3135" s="607" t="s">
        <v>4466</v>
      </c>
      <c r="C3135" s="608" t="s">
        <v>1659</v>
      </c>
      <c r="D3135" s="599">
        <v>113.29</v>
      </c>
    </row>
    <row r="3136" spans="1:6">
      <c r="A3136" s="606">
        <v>160615</v>
      </c>
      <c r="B3136" s="607" t="s">
        <v>4467</v>
      </c>
      <c r="C3136" s="608" t="s">
        <v>1659</v>
      </c>
      <c r="D3136" s="599">
        <v>185.33</v>
      </c>
    </row>
    <row r="3137" spans="1:4">
      <c r="A3137" s="606">
        <v>160622</v>
      </c>
      <c r="B3137" s="607" t="s">
        <v>4468</v>
      </c>
      <c r="C3137" s="608" t="s">
        <v>2050</v>
      </c>
      <c r="D3137" s="599">
        <v>3892.07</v>
      </c>
    </row>
    <row r="3138" spans="1:4">
      <c r="A3138" s="606">
        <v>160623</v>
      </c>
      <c r="B3138" s="607" t="s">
        <v>4469</v>
      </c>
      <c r="C3138" s="608" t="s">
        <v>1615</v>
      </c>
      <c r="D3138" s="599">
        <v>2307.0500000000002</v>
      </c>
    </row>
    <row r="3139" spans="1:4">
      <c r="A3139" s="606">
        <v>160635</v>
      </c>
      <c r="B3139" s="607" t="s">
        <v>4470</v>
      </c>
      <c r="C3139" s="608" t="s">
        <v>1615</v>
      </c>
      <c r="D3139" s="599">
        <v>133.63999999999999</v>
      </c>
    </row>
    <row r="3140" spans="1:4">
      <c r="A3140" s="606">
        <v>160650</v>
      </c>
      <c r="B3140" s="607" t="s">
        <v>4471</v>
      </c>
      <c r="C3140" s="608" t="s">
        <v>1240</v>
      </c>
      <c r="D3140" s="599">
        <v>193.18</v>
      </c>
    </row>
    <row r="3141" spans="1:4">
      <c r="A3141" s="606">
        <v>160651</v>
      </c>
      <c r="B3141" s="607" t="s">
        <v>4472</v>
      </c>
      <c r="C3141" s="608" t="s">
        <v>1240</v>
      </c>
      <c r="D3141" s="599">
        <v>221.26</v>
      </c>
    </row>
    <row r="3142" spans="1:4">
      <c r="A3142" s="606">
        <v>160661</v>
      </c>
      <c r="B3142" s="607" t="s">
        <v>4473</v>
      </c>
      <c r="C3142" s="608" t="s">
        <v>1659</v>
      </c>
      <c r="D3142" s="599">
        <v>29.13</v>
      </c>
    </row>
    <row r="3143" spans="1:4">
      <c r="A3143" s="606">
        <v>160662</v>
      </c>
      <c r="B3143" s="607" t="s">
        <v>4474</v>
      </c>
      <c r="C3143" s="608" t="s">
        <v>1240</v>
      </c>
      <c r="D3143" s="599">
        <v>26.28</v>
      </c>
    </row>
    <row r="3144" spans="1:4">
      <c r="A3144" s="606">
        <v>160665</v>
      </c>
      <c r="B3144" s="607" t="s">
        <v>4475</v>
      </c>
      <c r="C3144" s="608" t="s">
        <v>1240</v>
      </c>
      <c r="D3144" s="599">
        <v>4.03</v>
      </c>
    </row>
    <row r="3145" spans="1:4">
      <c r="A3145" s="606">
        <v>160666</v>
      </c>
      <c r="B3145" s="607" t="s">
        <v>4476</v>
      </c>
      <c r="C3145" s="608" t="s">
        <v>1659</v>
      </c>
      <c r="D3145" s="599">
        <v>13</v>
      </c>
    </row>
    <row r="3146" spans="1:4">
      <c r="A3146" s="606">
        <v>160680</v>
      </c>
      <c r="B3146" s="607" t="s">
        <v>4477</v>
      </c>
      <c r="C3146" s="608" t="s">
        <v>4478</v>
      </c>
      <c r="D3146" s="599">
        <v>6.92</v>
      </c>
    </row>
    <row r="3147" spans="1:4">
      <c r="A3147" s="606">
        <v>160681</v>
      </c>
      <c r="B3147" s="607" t="s">
        <v>4479</v>
      </c>
      <c r="C3147" s="608" t="s">
        <v>4478</v>
      </c>
      <c r="D3147" s="599">
        <v>2.04</v>
      </c>
    </row>
    <row r="3148" spans="1:4">
      <c r="A3148" s="606">
        <v>160686</v>
      </c>
      <c r="B3148" s="607" t="s">
        <v>4480</v>
      </c>
      <c r="C3148" s="608" t="s">
        <v>1615</v>
      </c>
      <c r="D3148" s="599">
        <v>9.74</v>
      </c>
    </row>
    <row r="3149" spans="1:4">
      <c r="A3149" s="606">
        <v>160687</v>
      </c>
      <c r="B3149" s="607" t="s">
        <v>4481</v>
      </c>
      <c r="C3149" s="608" t="s">
        <v>1615</v>
      </c>
      <c r="D3149" s="599">
        <v>3.89</v>
      </c>
    </row>
    <row r="3150" spans="1:4">
      <c r="A3150" s="606">
        <v>160688</v>
      </c>
      <c r="B3150" s="607" t="s">
        <v>4482</v>
      </c>
      <c r="C3150" s="608" t="s">
        <v>1615</v>
      </c>
      <c r="D3150" s="599">
        <v>1.94</v>
      </c>
    </row>
    <row r="3151" spans="1:4">
      <c r="A3151" s="606">
        <v>160689</v>
      </c>
      <c r="B3151" s="607" t="s">
        <v>4483</v>
      </c>
      <c r="C3151" s="608" t="s">
        <v>1615</v>
      </c>
      <c r="D3151" s="599">
        <v>26.65</v>
      </c>
    </row>
    <row r="3152" spans="1:4">
      <c r="A3152" s="606">
        <v>160690</v>
      </c>
      <c r="B3152" s="607" t="s">
        <v>4484</v>
      </c>
      <c r="C3152" s="608" t="s">
        <v>1615</v>
      </c>
      <c r="D3152" s="599">
        <v>19.489999999999998</v>
      </c>
    </row>
    <row r="3153" spans="1:6">
      <c r="A3153" s="606">
        <v>160691</v>
      </c>
      <c r="B3153" s="607" t="s">
        <v>4485</v>
      </c>
      <c r="C3153" s="608" t="s">
        <v>1615</v>
      </c>
      <c r="D3153" s="599">
        <v>4.87</v>
      </c>
    </row>
    <row r="3154" spans="1:6">
      <c r="A3154" s="606">
        <v>160692</v>
      </c>
      <c r="B3154" s="607" t="s">
        <v>4486</v>
      </c>
      <c r="C3154" s="608" t="s">
        <v>1615</v>
      </c>
      <c r="D3154" s="599">
        <v>10.26</v>
      </c>
    </row>
    <row r="3155" spans="1:6">
      <c r="A3155" s="606">
        <v>160693</v>
      </c>
      <c r="B3155" s="607" t="s">
        <v>4487</v>
      </c>
      <c r="C3155" s="608" t="s">
        <v>1615</v>
      </c>
      <c r="D3155" s="599">
        <v>4.87</v>
      </c>
    </row>
    <row r="3156" spans="1:6">
      <c r="A3156" s="606">
        <v>160694</v>
      </c>
      <c r="B3156" s="607" t="s">
        <v>4488</v>
      </c>
      <c r="C3156" s="608" t="s">
        <v>1615</v>
      </c>
      <c r="D3156" s="599">
        <v>4.46</v>
      </c>
    </row>
    <row r="3157" spans="1:6">
      <c r="A3157" s="606">
        <v>160695</v>
      </c>
      <c r="B3157" s="607" t="s">
        <v>4489</v>
      </c>
      <c r="C3157" s="608" t="s">
        <v>1615</v>
      </c>
      <c r="D3157" s="599">
        <v>2.64</v>
      </c>
    </row>
    <row r="3158" spans="1:6">
      <c r="A3158" s="606">
        <v>160696</v>
      </c>
      <c r="B3158" s="607" t="s">
        <v>4490</v>
      </c>
      <c r="C3158" s="608" t="s">
        <v>1615</v>
      </c>
      <c r="D3158" s="599">
        <v>26.65</v>
      </c>
    </row>
    <row r="3159" spans="1:6">
      <c r="A3159" s="606">
        <v>160697</v>
      </c>
      <c r="B3159" s="607" t="s">
        <v>4491</v>
      </c>
      <c r="C3159" s="608" t="s">
        <v>1615</v>
      </c>
      <c r="D3159" s="599">
        <v>26.65</v>
      </c>
    </row>
    <row r="3160" spans="1:6">
      <c r="A3160" s="606">
        <v>160698</v>
      </c>
      <c r="B3160" s="607" t="s">
        <v>4492</v>
      </c>
      <c r="C3160" s="608" t="s">
        <v>1615</v>
      </c>
      <c r="D3160" s="599">
        <v>26.65</v>
      </c>
    </row>
    <row r="3161" spans="1:6">
      <c r="A3161" s="606">
        <v>160699</v>
      </c>
      <c r="B3161" s="607" t="s">
        <v>4493</v>
      </c>
      <c r="C3161" s="608" t="s">
        <v>1652</v>
      </c>
      <c r="D3161" s="599">
        <v>263.25</v>
      </c>
    </row>
    <row r="3162" spans="1:6">
      <c r="A3162" s="589">
        <v>1607</v>
      </c>
      <c r="B3162" s="596" t="s">
        <v>4494</v>
      </c>
      <c r="C3162" s="588"/>
      <c r="D3162" s="599"/>
      <c r="F3162" s="585"/>
    </row>
    <row r="3163" spans="1:6">
      <c r="A3163" s="606">
        <v>160701</v>
      </c>
      <c r="B3163" s="607" t="s">
        <v>4495</v>
      </c>
      <c r="C3163" s="608" t="s">
        <v>1615</v>
      </c>
      <c r="D3163" s="599">
        <v>621.75</v>
      </c>
    </row>
    <row r="3164" spans="1:6">
      <c r="A3164" s="606">
        <v>160702</v>
      </c>
      <c r="B3164" s="607" t="s">
        <v>4496</v>
      </c>
      <c r="C3164" s="608" t="s">
        <v>1615</v>
      </c>
      <c r="D3164" s="599">
        <v>672.88</v>
      </c>
    </row>
    <row r="3165" spans="1:6">
      <c r="A3165" s="606">
        <v>160703</v>
      </c>
      <c r="B3165" s="607" t="s">
        <v>4497</v>
      </c>
      <c r="C3165" s="608" t="s">
        <v>1615</v>
      </c>
      <c r="D3165" s="599">
        <v>1060.46</v>
      </c>
    </row>
    <row r="3166" spans="1:6">
      <c r="A3166" s="606">
        <v>160704</v>
      </c>
      <c r="B3166" s="607" t="s">
        <v>4498</v>
      </c>
      <c r="C3166" s="608" t="s">
        <v>1615</v>
      </c>
      <c r="D3166" s="599">
        <v>1162.72</v>
      </c>
    </row>
    <row r="3167" spans="1:6">
      <c r="A3167" s="606">
        <v>160705</v>
      </c>
      <c r="B3167" s="607" t="s">
        <v>4499</v>
      </c>
      <c r="C3167" s="608" t="s">
        <v>1615</v>
      </c>
      <c r="D3167" s="599">
        <v>173.84</v>
      </c>
    </row>
    <row r="3168" spans="1:6">
      <c r="A3168" s="606">
        <v>160706</v>
      </c>
      <c r="B3168" s="607" t="s">
        <v>4500</v>
      </c>
      <c r="C3168" s="608" t="s">
        <v>1615</v>
      </c>
      <c r="D3168" s="599">
        <v>286.33</v>
      </c>
    </row>
    <row r="3169" spans="1:4">
      <c r="A3169" s="606">
        <v>160708</v>
      </c>
      <c r="B3169" s="607" t="s">
        <v>4501</v>
      </c>
      <c r="C3169" s="608" t="s">
        <v>1615</v>
      </c>
      <c r="D3169" s="599">
        <v>392.58</v>
      </c>
    </row>
    <row r="3170" spans="1:4">
      <c r="A3170" s="606">
        <v>160709</v>
      </c>
      <c r="B3170" s="607" t="s">
        <v>4502</v>
      </c>
      <c r="C3170" s="608" t="s">
        <v>1615</v>
      </c>
      <c r="D3170" s="599">
        <v>586.84</v>
      </c>
    </row>
    <row r="3171" spans="1:4">
      <c r="A3171" s="606">
        <v>160715</v>
      </c>
      <c r="B3171" s="607" t="s">
        <v>4503</v>
      </c>
      <c r="C3171" s="608" t="s">
        <v>1615</v>
      </c>
      <c r="D3171" s="599">
        <v>96.42</v>
      </c>
    </row>
    <row r="3172" spans="1:4">
      <c r="A3172" s="606">
        <v>160716</v>
      </c>
      <c r="B3172" s="607" t="s">
        <v>4504</v>
      </c>
      <c r="C3172" s="608" t="s">
        <v>1615</v>
      </c>
      <c r="D3172" s="599">
        <v>308.67</v>
      </c>
    </row>
    <row r="3173" spans="1:4">
      <c r="A3173" s="606">
        <v>160717</v>
      </c>
      <c r="B3173" s="607" t="s">
        <v>4505</v>
      </c>
      <c r="C3173" s="608" t="s">
        <v>1615</v>
      </c>
      <c r="D3173" s="599">
        <v>293.27999999999997</v>
      </c>
    </row>
    <row r="3174" spans="1:4">
      <c r="A3174" s="606">
        <v>160718</v>
      </c>
      <c r="B3174" s="607" t="s">
        <v>4506</v>
      </c>
      <c r="C3174" s="608" t="s">
        <v>1615</v>
      </c>
      <c r="D3174" s="599">
        <v>275.97000000000003</v>
      </c>
    </row>
    <row r="3175" spans="1:4">
      <c r="A3175" s="606">
        <v>160719</v>
      </c>
      <c r="B3175" s="607" t="s">
        <v>4507</v>
      </c>
      <c r="C3175" s="608" t="s">
        <v>1615</v>
      </c>
      <c r="D3175" s="599">
        <v>347.42</v>
      </c>
    </row>
    <row r="3176" spans="1:4">
      <c r="A3176" s="606">
        <v>160720</v>
      </c>
      <c r="B3176" s="607" t="s">
        <v>4508</v>
      </c>
      <c r="C3176" s="608" t="s">
        <v>1615</v>
      </c>
      <c r="D3176" s="599">
        <v>327.76</v>
      </c>
    </row>
    <row r="3177" spans="1:4">
      <c r="A3177" s="606">
        <v>160721</v>
      </c>
      <c r="B3177" s="607" t="s">
        <v>4509</v>
      </c>
      <c r="C3177" s="608" t="s">
        <v>1615</v>
      </c>
      <c r="D3177" s="599">
        <v>305.98</v>
      </c>
    </row>
    <row r="3178" spans="1:4">
      <c r="A3178" s="606">
        <v>160731</v>
      </c>
      <c r="B3178" s="607" t="s">
        <v>4510</v>
      </c>
      <c r="C3178" s="608" t="s">
        <v>1615</v>
      </c>
      <c r="D3178" s="599">
        <v>381.68</v>
      </c>
    </row>
    <row r="3179" spans="1:4">
      <c r="A3179" s="606">
        <v>160733</v>
      </c>
      <c r="B3179" s="607" t="s">
        <v>4511</v>
      </c>
      <c r="C3179" s="608" t="s">
        <v>1615</v>
      </c>
      <c r="D3179" s="599">
        <v>777.96</v>
      </c>
    </row>
    <row r="3180" spans="1:4">
      <c r="A3180" s="606">
        <v>160734</v>
      </c>
      <c r="B3180" s="607" t="s">
        <v>4512</v>
      </c>
      <c r="C3180" s="608" t="s">
        <v>1615</v>
      </c>
      <c r="D3180" s="599">
        <v>1275.57</v>
      </c>
    </row>
    <row r="3181" spans="1:4">
      <c r="A3181" s="606">
        <v>160735</v>
      </c>
      <c r="B3181" s="607" t="s">
        <v>4513</v>
      </c>
      <c r="C3181" s="608" t="s">
        <v>1615</v>
      </c>
      <c r="D3181" s="599">
        <v>521.24</v>
      </c>
    </row>
    <row r="3182" spans="1:4">
      <c r="A3182" s="606">
        <v>160736</v>
      </c>
      <c r="B3182" s="607" t="s">
        <v>4514</v>
      </c>
      <c r="C3182" s="608" t="s">
        <v>1615</v>
      </c>
      <c r="D3182" s="599">
        <v>736.15</v>
      </c>
    </row>
    <row r="3183" spans="1:4">
      <c r="A3183" s="606">
        <v>160741</v>
      </c>
      <c r="B3183" s="607" t="s">
        <v>4515</v>
      </c>
      <c r="C3183" s="608" t="s">
        <v>1615</v>
      </c>
      <c r="D3183" s="599">
        <v>2961.42</v>
      </c>
    </row>
    <row r="3184" spans="1:4">
      <c r="A3184" s="606">
        <v>160751</v>
      </c>
      <c r="B3184" s="607" t="s">
        <v>4516</v>
      </c>
      <c r="C3184" s="608" t="s">
        <v>1615</v>
      </c>
      <c r="D3184" s="599">
        <v>455.39</v>
      </c>
    </row>
    <row r="3185" spans="1:6">
      <c r="A3185" s="606">
        <v>160752</v>
      </c>
      <c r="B3185" s="607" t="s">
        <v>4517</v>
      </c>
      <c r="C3185" s="608" t="s">
        <v>1615</v>
      </c>
      <c r="D3185" s="599">
        <v>463.89</v>
      </c>
    </row>
    <row r="3186" spans="1:6">
      <c r="A3186" s="606">
        <v>160753</v>
      </c>
      <c r="B3186" s="607" t="s">
        <v>4518</v>
      </c>
      <c r="C3186" s="608" t="s">
        <v>1615</v>
      </c>
      <c r="D3186" s="599">
        <v>449.08</v>
      </c>
    </row>
    <row r="3187" spans="1:6">
      <c r="A3187" s="606">
        <v>160754</v>
      </c>
      <c r="B3187" s="607" t="s">
        <v>4519</v>
      </c>
      <c r="C3187" s="608" t="s">
        <v>1615</v>
      </c>
      <c r="D3187" s="599">
        <v>456.05</v>
      </c>
    </row>
    <row r="3188" spans="1:6">
      <c r="A3188" s="606">
        <v>160755</v>
      </c>
      <c r="B3188" s="607" t="s">
        <v>4520</v>
      </c>
      <c r="C3188" s="608" t="s">
        <v>1615</v>
      </c>
      <c r="D3188" s="599">
        <v>430.59</v>
      </c>
    </row>
    <row r="3189" spans="1:6">
      <c r="A3189" s="606">
        <v>160761</v>
      </c>
      <c r="B3189" s="607" t="s">
        <v>4521</v>
      </c>
      <c r="C3189" s="608" t="s">
        <v>1659</v>
      </c>
      <c r="D3189" s="599">
        <v>441.17</v>
      </c>
    </row>
    <row r="3190" spans="1:6">
      <c r="A3190" s="606">
        <v>160762</v>
      </c>
      <c r="B3190" s="607" t="s">
        <v>4522</v>
      </c>
      <c r="C3190" s="608" t="s">
        <v>1659</v>
      </c>
      <c r="D3190" s="599">
        <v>445.94</v>
      </c>
    </row>
    <row r="3191" spans="1:6">
      <c r="A3191" s="606">
        <v>160781</v>
      </c>
      <c r="B3191" s="607" t="s">
        <v>4523</v>
      </c>
      <c r="C3191" s="608" t="s">
        <v>1615</v>
      </c>
      <c r="D3191" s="599">
        <v>109.08</v>
      </c>
    </row>
    <row r="3192" spans="1:6">
      <c r="A3192" s="606">
        <v>160782</v>
      </c>
      <c r="B3192" s="607" t="s">
        <v>4524</v>
      </c>
      <c r="C3192" s="608" t="s">
        <v>1615</v>
      </c>
      <c r="D3192" s="599">
        <v>80.41</v>
      </c>
    </row>
    <row r="3193" spans="1:6">
      <c r="A3193" s="606">
        <v>160791</v>
      </c>
      <c r="B3193" s="607" t="s">
        <v>4525</v>
      </c>
      <c r="C3193" s="608" t="s">
        <v>1615</v>
      </c>
      <c r="D3193" s="599">
        <v>87.5</v>
      </c>
    </row>
    <row r="3194" spans="1:6">
      <c r="A3194" s="606">
        <v>160792</v>
      </c>
      <c r="B3194" s="607" t="s">
        <v>4526</v>
      </c>
      <c r="C3194" s="608" t="s">
        <v>1615</v>
      </c>
      <c r="D3194" s="599">
        <v>104.22</v>
      </c>
    </row>
    <row r="3195" spans="1:6">
      <c r="A3195" s="606">
        <v>160793</v>
      </c>
      <c r="B3195" s="607" t="s">
        <v>4527</v>
      </c>
      <c r="C3195" s="608" t="s">
        <v>1615</v>
      </c>
      <c r="D3195" s="599">
        <v>120.95</v>
      </c>
    </row>
    <row r="3196" spans="1:6">
      <c r="A3196" s="606">
        <v>160794</v>
      </c>
      <c r="B3196" s="607" t="s">
        <v>4528</v>
      </c>
      <c r="C3196" s="608" t="s">
        <v>1615</v>
      </c>
      <c r="D3196" s="599">
        <v>1751.96</v>
      </c>
    </row>
    <row r="3197" spans="1:6">
      <c r="A3197" s="606">
        <v>160795</v>
      </c>
      <c r="B3197" s="607" t="s">
        <v>4529</v>
      </c>
      <c r="C3197" s="608" t="s">
        <v>1615</v>
      </c>
      <c r="D3197" s="599">
        <v>90.85</v>
      </c>
    </row>
    <row r="3198" spans="1:6">
      <c r="A3198" s="589">
        <v>1608</v>
      </c>
      <c r="B3198" s="596" t="s">
        <v>4530</v>
      </c>
      <c r="C3198" s="588"/>
      <c r="D3198" s="599"/>
      <c r="F3198" s="585"/>
    </row>
    <row r="3199" spans="1:6">
      <c r="A3199" s="606">
        <v>160834</v>
      </c>
      <c r="B3199" s="607" t="s">
        <v>4531</v>
      </c>
      <c r="C3199" s="608" t="s">
        <v>1615</v>
      </c>
      <c r="D3199" s="599">
        <v>2445.75</v>
      </c>
    </row>
    <row r="3200" spans="1:6">
      <c r="A3200" s="606">
        <v>160850</v>
      </c>
      <c r="B3200" s="607" t="s">
        <v>4532</v>
      </c>
      <c r="C3200" s="608" t="s">
        <v>1615</v>
      </c>
      <c r="D3200" s="599">
        <v>2946.79</v>
      </c>
    </row>
    <row r="3201" spans="1:4">
      <c r="A3201" s="606">
        <v>160851</v>
      </c>
      <c r="B3201" s="607" t="s">
        <v>4533</v>
      </c>
      <c r="C3201" s="608" t="s">
        <v>1615</v>
      </c>
      <c r="D3201" s="599">
        <v>5049.7299999999996</v>
      </c>
    </row>
    <row r="3202" spans="1:4">
      <c r="A3202" s="606">
        <v>160860</v>
      </c>
      <c r="B3202" s="607" t="s">
        <v>4534</v>
      </c>
      <c r="C3202" s="608" t="s">
        <v>1615</v>
      </c>
      <c r="D3202" s="599">
        <v>298.24</v>
      </c>
    </row>
    <row r="3203" spans="1:4">
      <c r="A3203" s="606">
        <v>160861</v>
      </c>
      <c r="B3203" s="607" t="s">
        <v>4535</v>
      </c>
      <c r="C3203" s="608" t="s">
        <v>1615</v>
      </c>
      <c r="D3203" s="599">
        <v>406.43</v>
      </c>
    </row>
    <row r="3204" spans="1:4">
      <c r="A3204" s="606">
        <v>160862</v>
      </c>
      <c r="B3204" s="607" t="s">
        <v>4536</v>
      </c>
      <c r="C3204" s="608" t="s">
        <v>1615</v>
      </c>
      <c r="D3204" s="599">
        <v>512.16999999999996</v>
      </c>
    </row>
    <row r="3205" spans="1:4">
      <c r="A3205" s="606">
        <v>160865</v>
      </c>
      <c r="B3205" s="607" t="s">
        <v>4537</v>
      </c>
      <c r="C3205" s="608" t="s">
        <v>1615</v>
      </c>
      <c r="D3205" s="599">
        <v>9265.34</v>
      </c>
    </row>
    <row r="3206" spans="1:4">
      <c r="A3206" s="606">
        <v>160866</v>
      </c>
      <c r="B3206" s="607" t="s">
        <v>4538</v>
      </c>
      <c r="C3206" s="608" t="s">
        <v>1615</v>
      </c>
      <c r="D3206" s="599">
        <v>10517.32</v>
      </c>
    </row>
    <row r="3207" spans="1:4">
      <c r="A3207" s="606">
        <v>160867</v>
      </c>
      <c r="B3207" s="607" t="s">
        <v>4539</v>
      </c>
      <c r="C3207" s="608" t="s">
        <v>1615</v>
      </c>
      <c r="D3207" s="599">
        <v>13509.42</v>
      </c>
    </row>
    <row r="3208" spans="1:4">
      <c r="A3208" s="606">
        <v>160868</v>
      </c>
      <c r="B3208" s="607" t="s">
        <v>4540</v>
      </c>
      <c r="C3208" s="608" t="s">
        <v>1615</v>
      </c>
      <c r="D3208" s="599">
        <v>13642.68</v>
      </c>
    </row>
    <row r="3209" spans="1:4">
      <c r="A3209" s="606">
        <v>160869</v>
      </c>
      <c r="B3209" s="607" t="s">
        <v>4541</v>
      </c>
      <c r="C3209" s="608" t="s">
        <v>1615</v>
      </c>
      <c r="D3209" s="599">
        <v>15526.21</v>
      </c>
    </row>
    <row r="3210" spans="1:4">
      <c r="A3210" s="606">
        <v>160870</v>
      </c>
      <c r="B3210" s="607" t="s">
        <v>4542</v>
      </c>
      <c r="C3210" s="608" t="s">
        <v>1615</v>
      </c>
      <c r="D3210" s="599">
        <v>17114.25</v>
      </c>
    </row>
    <row r="3211" spans="1:4">
      <c r="A3211" s="606">
        <v>160871</v>
      </c>
      <c r="B3211" s="607" t="s">
        <v>4543</v>
      </c>
      <c r="C3211" s="608" t="s">
        <v>1615</v>
      </c>
      <c r="D3211" s="599">
        <v>6032.38</v>
      </c>
    </row>
    <row r="3212" spans="1:4">
      <c r="A3212" s="606">
        <v>160872</v>
      </c>
      <c r="B3212" s="607" t="s">
        <v>4544</v>
      </c>
      <c r="C3212" s="608" t="s">
        <v>1615</v>
      </c>
      <c r="D3212" s="599">
        <v>7140.83</v>
      </c>
    </row>
    <row r="3213" spans="1:4">
      <c r="A3213" s="606">
        <v>160873</v>
      </c>
      <c r="B3213" s="607" t="s">
        <v>4545</v>
      </c>
      <c r="C3213" s="608" t="s">
        <v>1615</v>
      </c>
      <c r="D3213" s="599">
        <v>8125.37</v>
      </c>
    </row>
    <row r="3214" spans="1:4">
      <c r="A3214" s="606">
        <v>160874</v>
      </c>
      <c r="B3214" s="607" t="s">
        <v>4546</v>
      </c>
      <c r="C3214" s="608" t="s">
        <v>1615</v>
      </c>
      <c r="D3214" s="599">
        <v>9727.84</v>
      </c>
    </row>
    <row r="3215" spans="1:4">
      <c r="A3215" s="606">
        <v>160875</v>
      </c>
      <c r="B3215" s="607" t="s">
        <v>4547</v>
      </c>
      <c r="C3215" s="608" t="s">
        <v>1615</v>
      </c>
      <c r="D3215" s="599">
        <v>11457.11</v>
      </c>
    </row>
    <row r="3216" spans="1:4">
      <c r="A3216" s="606">
        <v>160899</v>
      </c>
      <c r="B3216" s="607" t="s">
        <v>4548</v>
      </c>
      <c r="C3216" s="608" t="s">
        <v>1652</v>
      </c>
      <c r="D3216" s="599">
        <v>263.25</v>
      </c>
    </row>
    <row r="3217" spans="1:6">
      <c r="A3217" s="589">
        <v>1609</v>
      </c>
      <c r="B3217" s="596" t="s">
        <v>4549</v>
      </c>
      <c r="C3217" s="588"/>
      <c r="D3217" s="599"/>
      <c r="F3217" s="585"/>
    </row>
    <row r="3218" spans="1:6">
      <c r="A3218" s="606">
        <v>160903</v>
      </c>
      <c r="B3218" s="607" t="s">
        <v>4550</v>
      </c>
      <c r="C3218" s="608" t="s">
        <v>1615</v>
      </c>
      <c r="D3218" s="599">
        <v>417.7</v>
      </c>
    </row>
    <row r="3219" spans="1:6">
      <c r="A3219" s="606">
        <v>160904</v>
      </c>
      <c r="B3219" s="607" t="s">
        <v>4551</v>
      </c>
      <c r="C3219" s="608" t="s">
        <v>1615</v>
      </c>
      <c r="D3219" s="599">
        <v>633.03</v>
      </c>
    </row>
    <row r="3220" spans="1:6">
      <c r="A3220" s="606">
        <v>160907</v>
      </c>
      <c r="B3220" s="607" t="s">
        <v>4552</v>
      </c>
      <c r="C3220" s="608" t="s">
        <v>1659</v>
      </c>
      <c r="D3220" s="599">
        <v>1214.77</v>
      </c>
    </row>
    <row r="3221" spans="1:6">
      <c r="A3221" s="606">
        <v>160908</v>
      </c>
      <c r="B3221" s="607" t="s">
        <v>4553</v>
      </c>
      <c r="C3221" s="608" t="s">
        <v>1659</v>
      </c>
      <c r="D3221" s="599">
        <v>1663.17</v>
      </c>
    </row>
    <row r="3222" spans="1:6">
      <c r="A3222" s="606">
        <v>160999</v>
      </c>
      <c r="B3222" s="607" t="s">
        <v>4554</v>
      </c>
      <c r="C3222" s="608" t="s">
        <v>1652</v>
      </c>
      <c r="D3222" s="599">
        <v>263.25</v>
      </c>
    </row>
    <row r="3223" spans="1:6">
      <c r="A3223" s="589">
        <v>1610</v>
      </c>
      <c r="B3223" s="596" t="s">
        <v>4555</v>
      </c>
      <c r="C3223" s="588"/>
      <c r="D3223" s="599"/>
      <c r="F3223" s="585"/>
    </row>
    <row r="3224" spans="1:6">
      <c r="A3224" s="606">
        <v>161010</v>
      </c>
      <c r="B3224" s="607" t="s">
        <v>4556</v>
      </c>
      <c r="C3224" s="608" t="s">
        <v>1240</v>
      </c>
      <c r="D3224" s="599">
        <v>48.85</v>
      </c>
    </row>
    <row r="3225" spans="1:6">
      <c r="A3225" s="606">
        <v>161011</v>
      </c>
      <c r="B3225" s="607" t="s">
        <v>4557</v>
      </c>
      <c r="C3225" s="608" t="s">
        <v>1240</v>
      </c>
      <c r="D3225" s="599">
        <v>77.56</v>
      </c>
    </row>
    <row r="3226" spans="1:6">
      <c r="A3226" s="606">
        <v>161020</v>
      </c>
      <c r="B3226" s="607" t="s">
        <v>4558</v>
      </c>
      <c r="C3226" s="608" t="s">
        <v>1659</v>
      </c>
      <c r="D3226" s="599">
        <v>258.13</v>
      </c>
    </row>
    <row r="3227" spans="1:6">
      <c r="A3227" s="606">
        <v>161021</v>
      </c>
      <c r="B3227" s="607" t="s">
        <v>4559</v>
      </c>
      <c r="C3227" s="608" t="s">
        <v>1659</v>
      </c>
      <c r="D3227" s="599">
        <v>258.49</v>
      </c>
    </row>
    <row r="3228" spans="1:6">
      <c r="A3228" s="606">
        <v>161022</v>
      </c>
      <c r="B3228" s="607" t="s">
        <v>4560</v>
      </c>
      <c r="C3228" s="608" t="s">
        <v>1659</v>
      </c>
      <c r="D3228" s="599">
        <v>328.87</v>
      </c>
    </row>
    <row r="3229" spans="1:6">
      <c r="A3229" s="606">
        <v>161023</v>
      </c>
      <c r="B3229" s="607" t="s">
        <v>4561</v>
      </c>
      <c r="C3229" s="608" t="s">
        <v>1659</v>
      </c>
      <c r="D3229" s="599">
        <v>399.06</v>
      </c>
    </row>
    <row r="3230" spans="1:6">
      <c r="A3230" s="606">
        <v>161024</v>
      </c>
      <c r="B3230" s="607" t="s">
        <v>4562</v>
      </c>
      <c r="C3230" s="608" t="s">
        <v>1659</v>
      </c>
      <c r="D3230" s="599">
        <v>486.79</v>
      </c>
    </row>
    <row r="3231" spans="1:6">
      <c r="A3231" s="606">
        <v>161030</v>
      </c>
      <c r="B3231" s="607" t="s">
        <v>4563</v>
      </c>
      <c r="C3231" s="608" t="s">
        <v>1615</v>
      </c>
      <c r="D3231" s="599">
        <v>7380</v>
      </c>
    </row>
    <row r="3232" spans="1:6">
      <c r="A3232" s="606">
        <v>161099</v>
      </c>
      <c r="B3232" s="607" t="s">
        <v>4564</v>
      </c>
      <c r="C3232" s="608" t="s">
        <v>1652</v>
      </c>
      <c r="D3232" s="599">
        <v>263.25</v>
      </c>
    </row>
    <row r="3233" spans="1:6">
      <c r="A3233" s="589">
        <v>1611</v>
      </c>
      <c r="B3233" s="596" t="s">
        <v>1081</v>
      </c>
      <c r="C3233" s="588"/>
      <c r="D3233" s="599"/>
      <c r="F3233" s="585"/>
    </row>
    <row r="3234" spans="1:6">
      <c r="A3234" s="606">
        <v>161105</v>
      </c>
      <c r="B3234" s="607" t="s">
        <v>1388</v>
      </c>
      <c r="C3234" s="608" t="s">
        <v>1240</v>
      </c>
      <c r="D3234" s="599">
        <v>6.25</v>
      </c>
    </row>
    <row r="3235" spans="1:6">
      <c r="A3235" s="606">
        <v>161112</v>
      </c>
      <c r="B3235" s="607" t="s">
        <v>4565</v>
      </c>
      <c r="C3235" s="608" t="s">
        <v>1615</v>
      </c>
      <c r="D3235" s="599">
        <v>7.14</v>
      </c>
    </row>
    <row r="3236" spans="1:6">
      <c r="A3236" s="606">
        <v>161113</v>
      </c>
      <c r="B3236" s="607" t="s">
        <v>4566</v>
      </c>
      <c r="C3236" s="608" t="s">
        <v>1240</v>
      </c>
      <c r="D3236" s="599">
        <v>5.35</v>
      </c>
    </row>
    <row r="3237" spans="1:6">
      <c r="A3237" s="606">
        <v>161114</v>
      </c>
      <c r="B3237" s="607" t="s">
        <v>4567</v>
      </c>
      <c r="C3237" s="608" t="s">
        <v>1240</v>
      </c>
      <c r="D3237" s="599">
        <v>6.69</v>
      </c>
    </row>
    <row r="3238" spans="1:6">
      <c r="A3238" s="606">
        <v>161120</v>
      </c>
      <c r="B3238" s="607" t="s">
        <v>4568</v>
      </c>
      <c r="C3238" s="608" t="s">
        <v>1240</v>
      </c>
      <c r="D3238" s="599">
        <v>4.2300000000000004</v>
      </c>
    </row>
    <row r="3239" spans="1:6">
      <c r="A3239" s="606">
        <v>161199</v>
      </c>
      <c r="B3239" s="607" t="s">
        <v>4569</v>
      </c>
      <c r="C3239" s="608" t="s">
        <v>1652</v>
      </c>
      <c r="D3239" s="599">
        <v>263.25</v>
      </c>
    </row>
    <row r="3240" spans="1:6">
      <c r="A3240" s="589">
        <v>1613</v>
      </c>
      <c r="B3240" s="596" t="s">
        <v>4570</v>
      </c>
      <c r="C3240" s="588"/>
      <c r="D3240" s="599"/>
      <c r="F3240" s="585"/>
    </row>
    <row r="3241" spans="1:6">
      <c r="A3241" s="606">
        <v>161301</v>
      </c>
      <c r="B3241" s="607" t="s">
        <v>1696</v>
      </c>
      <c r="C3241" s="608" t="s">
        <v>1650</v>
      </c>
      <c r="D3241" s="599">
        <v>20.53</v>
      </c>
    </row>
    <row r="3242" spans="1:6">
      <c r="A3242" s="606">
        <v>161302</v>
      </c>
      <c r="B3242" s="607" t="s">
        <v>1697</v>
      </c>
      <c r="C3242" s="608" t="s">
        <v>1650</v>
      </c>
      <c r="D3242" s="599">
        <v>26.78</v>
      </c>
    </row>
    <row r="3243" spans="1:6">
      <c r="A3243" s="606">
        <v>161307</v>
      </c>
      <c r="B3243" s="607" t="s">
        <v>4571</v>
      </c>
      <c r="C3243" s="608" t="s">
        <v>1240</v>
      </c>
      <c r="D3243" s="599">
        <v>44.98</v>
      </c>
    </row>
    <row r="3244" spans="1:6">
      <c r="A3244" s="606">
        <v>161310</v>
      </c>
      <c r="B3244" s="607" t="s">
        <v>1700</v>
      </c>
      <c r="C3244" s="608" t="s">
        <v>1240</v>
      </c>
      <c r="D3244" s="599">
        <v>3.57</v>
      </c>
    </row>
    <row r="3245" spans="1:6">
      <c r="A3245" s="606">
        <v>161315</v>
      </c>
      <c r="B3245" s="607" t="s">
        <v>1701</v>
      </c>
      <c r="C3245" s="608" t="s">
        <v>1650</v>
      </c>
      <c r="D3245" s="599">
        <v>31.25</v>
      </c>
    </row>
    <row r="3246" spans="1:6">
      <c r="A3246" s="606">
        <v>161325</v>
      </c>
      <c r="B3246" s="607" t="s">
        <v>4330</v>
      </c>
      <c r="C3246" s="608" t="s">
        <v>1240</v>
      </c>
      <c r="D3246" s="599">
        <v>18.48</v>
      </c>
    </row>
    <row r="3247" spans="1:6">
      <c r="A3247" s="606">
        <v>161326</v>
      </c>
      <c r="B3247" s="607" t="s">
        <v>1654</v>
      </c>
      <c r="C3247" s="608" t="s">
        <v>1240</v>
      </c>
      <c r="D3247" s="599">
        <v>4.33</v>
      </c>
    </row>
    <row r="3248" spans="1:6">
      <c r="A3248" s="606">
        <v>161330</v>
      </c>
      <c r="B3248" s="607" t="s">
        <v>4572</v>
      </c>
      <c r="C3248" s="608" t="s">
        <v>1240</v>
      </c>
      <c r="D3248" s="599">
        <v>41.34</v>
      </c>
    </row>
    <row r="3249" spans="1:6">
      <c r="A3249" s="606">
        <v>161331</v>
      </c>
      <c r="B3249" s="607" t="s">
        <v>4573</v>
      </c>
      <c r="C3249" s="608" t="s">
        <v>1240</v>
      </c>
      <c r="D3249" s="599">
        <v>54.89</v>
      </c>
    </row>
    <row r="3250" spans="1:6">
      <c r="A3250" s="606">
        <v>161335</v>
      </c>
      <c r="B3250" s="607" t="s">
        <v>4574</v>
      </c>
      <c r="C3250" s="608" t="s">
        <v>1240</v>
      </c>
      <c r="D3250" s="599">
        <v>29.29</v>
      </c>
    </row>
    <row r="3251" spans="1:6">
      <c r="A3251" s="606">
        <v>161336</v>
      </c>
      <c r="B3251" s="607" t="s">
        <v>4575</v>
      </c>
      <c r="C3251" s="608" t="s">
        <v>1240</v>
      </c>
      <c r="D3251" s="599">
        <v>35.03</v>
      </c>
    </row>
    <row r="3252" spans="1:6">
      <c r="A3252" s="606">
        <v>161399</v>
      </c>
      <c r="B3252" s="607" t="s">
        <v>4576</v>
      </c>
      <c r="C3252" s="608" t="s">
        <v>1652</v>
      </c>
      <c r="D3252" s="599">
        <v>263.25</v>
      </c>
    </row>
    <row r="3253" spans="1:6">
      <c r="A3253" s="589">
        <v>1614</v>
      </c>
      <c r="B3253" s="596" t="s">
        <v>1099</v>
      </c>
      <c r="C3253" s="588"/>
      <c r="D3253" s="599"/>
      <c r="F3253" s="585"/>
    </row>
    <row r="3254" spans="1:6">
      <c r="A3254" s="606">
        <v>161404</v>
      </c>
      <c r="B3254" s="607" t="s">
        <v>4577</v>
      </c>
      <c r="C3254" s="608" t="s">
        <v>1659</v>
      </c>
      <c r="D3254" s="599">
        <v>215.25</v>
      </c>
    </row>
    <row r="3255" spans="1:6">
      <c r="A3255" s="606">
        <v>161406</v>
      </c>
      <c r="B3255" s="607" t="s">
        <v>1780</v>
      </c>
      <c r="C3255" s="608" t="s">
        <v>1240</v>
      </c>
      <c r="D3255" s="599">
        <v>51.04</v>
      </c>
    </row>
    <row r="3256" spans="1:6">
      <c r="A3256" s="606">
        <v>161409</v>
      </c>
      <c r="B3256" s="607" t="s">
        <v>4578</v>
      </c>
      <c r="C3256" s="608" t="s">
        <v>1240</v>
      </c>
      <c r="D3256" s="599">
        <v>63.61</v>
      </c>
    </row>
    <row r="3257" spans="1:6">
      <c r="A3257" s="606">
        <v>161411</v>
      </c>
      <c r="B3257" s="607" t="s">
        <v>4579</v>
      </c>
      <c r="C3257" s="608" t="s">
        <v>1248</v>
      </c>
      <c r="D3257" s="599">
        <v>6.86</v>
      </c>
    </row>
    <row r="3258" spans="1:6">
      <c r="A3258" s="606">
        <v>161412</v>
      </c>
      <c r="B3258" s="607" t="s">
        <v>4580</v>
      </c>
      <c r="C3258" s="608" t="s">
        <v>1248</v>
      </c>
      <c r="D3258" s="599">
        <v>7.6</v>
      </c>
    </row>
    <row r="3259" spans="1:6">
      <c r="A3259" s="606">
        <v>161413</v>
      </c>
      <c r="B3259" s="607" t="s">
        <v>4581</v>
      </c>
      <c r="C3259" s="608" t="s">
        <v>1248</v>
      </c>
      <c r="D3259" s="599">
        <v>6.37</v>
      </c>
    </row>
    <row r="3260" spans="1:6">
      <c r="A3260" s="606">
        <v>161434</v>
      </c>
      <c r="B3260" s="607" t="s">
        <v>1754</v>
      </c>
      <c r="C3260" s="608" t="s">
        <v>1650</v>
      </c>
      <c r="D3260" s="599">
        <v>379.2</v>
      </c>
    </row>
    <row r="3261" spans="1:6">
      <c r="A3261" s="606">
        <v>161438</v>
      </c>
      <c r="B3261" s="607" t="s">
        <v>1804</v>
      </c>
      <c r="C3261" s="608" t="s">
        <v>1650</v>
      </c>
      <c r="D3261" s="599">
        <v>387.24</v>
      </c>
    </row>
    <row r="3262" spans="1:6">
      <c r="A3262" s="606">
        <v>161439</v>
      </c>
      <c r="B3262" s="607" t="s">
        <v>1756</v>
      </c>
      <c r="C3262" s="608" t="s">
        <v>1650</v>
      </c>
      <c r="D3262" s="599">
        <v>399.26</v>
      </c>
    </row>
    <row r="3263" spans="1:6">
      <c r="A3263" s="606">
        <v>161444</v>
      </c>
      <c r="B3263" s="607" t="s">
        <v>1757</v>
      </c>
      <c r="C3263" s="608" t="s">
        <v>1650</v>
      </c>
      <c r="D3263" s="599">
        <v>352.21</v>
      </c>
    </row>
    <row r="3264" spans="1:6">
      <c r="A3264" s="606">
        <v>161448</v>
      </c>
      <c r="B3264" s="607" t="s">
        <v>4582</v>
      </c>
      <c r="C3264" s="608" t="s">
        <v>1650</v>
      </c>
      <c r="D3264" s="599">
        <v>369.07</v>
      </c>
    </row>
    <row r="3265" spans="1:6">
      <c r="A3265" s="606">
        <v>161449</v>
      </c>
      <c r="B3265" s="607" t="s">
        <v>1759</v>
      </c>
      <c r="C3265" s="608" t="s">
        <v>1650</v>
      </c>
      <c r="D3265" s="599">
        <v>379.22</v>
      </c>
    </row>
    <row r="3266" spans="1:6">
      <c r="A3266" s="606">
        <v>161455</v>
      </c>
      <c r="B3266" s="607" t="s">
        <v>1760</v>
      </c>
      <c r="C3266" s="608" t="s">
        <v>1650</v>
      </c>
      <c r="D3266" s="599">
        <v>390.26</v>
      </c>
    </row>
    <row r="3267" spans="1:6">
      <c r="A3267" s="606">
        <v>161499</v>
      </c>
      <c r="B3267" s="607" t="s">
        <v>4583</v>
      </c>
      <c r="C3267" s="608" t="s">
        <v>1652</v>
      </c>
      <c r="D3267" s="599">
        <v>263.25</v>
      </c>
    </row>
    <row r="3268" spans="1:6">
      <c r="A3268" s="589">
        <v>1615</v>
      </c>
      <c r="B3268" s="596" t="s">
        <v>4584</v>
      </c>
      <c r="C3268" s="588"/>
      <c r="D3268" s="599"/>
      <c r="F3268" s="585"/>
    </row>
    <row r="3269" spans="1:6">
      <c r="A3269" s="606">
        <v>161509</v>
      </c>
      <c r="B3269" s="607" t="s">
        <v>1885</v>
      </c>
      <c r="C3269" s="608" t="s">
        <v>1240</v>
      </c>
      <c r="D3269" s="599">
        <v>57.62</v>
      </c>
    </row>
    <row r="3270" spans="1:6">
      <c r="A3270" s="606">
        <v>161510</v>
      </c>
      <c r="B3270" s="607" t="s">
        <v>1886</v>
      </c>
      <c r="C3270" s="608" t="s">
        <v>1240</v>
      </c>
      <c r="D3270" s="599">
        <v>64.2</v>
      </c>
    </row>
    <row r="3271" spans="1:6">
      <c r="A3271" s="606">
        <v>161529</v>
      </c>
      <c r="B3271" s="607" t="s">
        <v>4585</v>
      </c>
      <c r="C3271" s="608" t="s">
        <v>1240</v>
      </c>
      <c r="D3271" s="599">
        <v>27.14</v>
      </c>
    </row>
    <row r="3272" spans="1:6">
      <c r="A3272" s="606">
        <v>161530</v>
      </c>
      <c r="B3272" s="607" t="s">
        <v>4586</v>
      </c>
      <c r="C3272" s="608" t="s">
        <v>1240</v>
      </c>
      <c r="D3272" s="599">
        <v>34.840000000000003</v>
      </c>
    </row>
    <row r="3273" spans="1:6">
      <c r="A3273" s="606">
        <v>161531</v>
      </c>
      <c r="B3273" s="607" t="s">
        <v>4587</v>
      </c>
      <c r="C3273" s="608" t="s">
        <v>1240</v>
      </c>
      <c r="D3273" s="599">
        <v>8.94</v>
      </c>
    </row>
    <row r="3274" spans="1:6">
      <c r="A3274" s="606">
        <v>161534</v>
      </c>
      <c r="B3274" s="607" t="s">
        <v>4588</v>
      </c>
      <c r="C3274" s="608" t="s">
        <v>1240</v>
      </c>
      <c r="D3274" s="599">
        <v>10.33</v>
      </c>
    </row>
    <row r="3275" spans="1:6">
      <c r="A3275" s="606">
        <v>161540</v>
      </c>
      <c r="B3275" s="607" t="s">
        <v>4589</v>
      </c>
      <c r="C3275" s="608" t="s">
        <v>1650</v>
      </c>
      <c r="D3275" s="599">
        <v>82.23</v>
      </c>
    </row>
    <row r="3276" spans="1:6">
      <c r="A3276" s="606">
        <v>161541</v>
      </c>
      <c r="B3276" s="607" t="s">
        <v>4590</v>
      </c>
      <c r="C3276" s="608" t="s">
        <v>1650</v>
      </c>
      <c r="D3276" s="599">
        <v>93.42</v>
      </c>
    </row>
    <row r="3277" spans="1:6">
      <c r="A3277" s="606">
        <v>161549</v>
      </c>
      <c r="B3277" s="607" t="s">
        <v>4591</v>
      </c>
      <c r="C3277" s="608" t="s">
        <v>1650</v>
      </c>
      <c r="D3277" s="599">
        <v>215.02</v>
      </c>
    </row>
    <row r="3278" spans="1:6">
      <c r="A3278" s="606">
        <v>161599</v>
      </c>
      <c r="B3278" s="607" t="s">
        <v>4592</v>
      </c>
      <c r="C3278" s="608" t="s">
        <v>1652</v>
      </c>
      <c r="D3278" s="599">
        <v>263.25</v>
      </c>
    </row>
    <row r="3279" spans="1:6">
      <c r="A3279" s="589">
        <v>1618</v>
      </c>
      <c r="B3279" s="596" t="s">
        <v>4593</v>
      </c>
      <c r="C3279" s="588"/>
      <c r="D3279" s="599"/>
      <c r="F3279" s="585"/>
    </row>
    <row r="3280" spans="1:6">
      <c r="A3280" s="606">
        <v>161801</v>
      </c>
      <c r="B3280" s="607" t="s">
        <v>4594</v>
      </c>
      <c r="C3280" s="608" t="s">
        <v>1652</v>
      </c>
      <c r="D3280" s="599">
        <v>263.25</v>
      </c>
    </row>
    <row r="3281" spans="1:6">
      <c r="A3281" s="606">
        <v>161840</v>
      </c>
      <c r="B3281" s="607" t="s">
        <v>4595</v>
      </c>
      <c r="C3281" s="608" t="s">
        <v>1240</v>
      </c>
      <c r="D3281" s="599">
        <v>11.04</v>
      </c>
    </row>
    <row r="3282" spans="1:6">
      <c r="A3282" s="606">
        <v>161841</v>
      </c>
      <c r="B3282" s="607" t="s">
        <v>4596</v>
      </c>
      <c r="C3282" s="608" t="s">
        <v>1240</v>
      </c>
      <c r="D3282" s="599">
        <v>12.61</v>
      </c>
    </row>
    <row r="3283" spans="1:6">
      <c r="A3283" s="606">
        <v>161850</v>
      </c>
      <c r="B3283" s="607" t="s">
        <v>4597</v>
      </c>
      <c r="C3283" s="608" t="s">
        <v>1615</v>
      </c>
      <c r="D3283" s="599">
        <v>1416.93</v>
      </c>
    </row>
    <row r="3284" spans="1:6">
      <c r="A3284" s="606">
        <v>161851</v>
      </c>
      <c r="B3284" s="607" t="s">
        <v>4598</v>
      </c>
      <c r="C3284" s="608" t="s">
        <v>1615</v>
      </c>
      <c r="D3284" s="599">
        <v>1133.54</v>
      </c>
    </row>
    <row r="3285" spans="1:6">
      <c r="A3285" s="606">
        <v>161861</v>
      </c>
      <c r="B3285" s="607" t="s">
        <v>4599</v>
      </c>
      <c r="C3285" s="608" t="s">
        <v>1240</v>
      </c>
      <c r="D3285" s="599">
        <v>0.12</v>
      </c>
      <c r="E3285" s="626"/>
    </row>
    <row r="3286" spans="1:6">
      <c r="A3286" s="606">
        <v>161862</v>
      </c>
      <c r="B3286" s="607" t="s">
        <v>4600</v>
      </c>
      <c r="C3286" s="608" t="s">
        <v>1240</v>
      </c>
      <c r="D3286" s="599">
        <v>0.17</v>
      </c>
      <c r="E3286" s="626"/>
    </row>
    <row r="3287" spans="1:6">
      <c r="A3287" s="589">
        <v>1619</v>
      </c>
      <c r="B3287" s="596" t="s">
        <v>4601</v>
      </c>
      <c r="C3287" s="588"/>
      <c r="D3287" s="599"/>
      <c r="F3287" s="585"/>
    </row>
    <row r="3288" spans="1:6">
      <c r="A3288" s="606">
        <v>161901</v>
      </c>
      <c r="B3288" s="607" t="s">
        <v>4602</v>
      </c>
      <c r="C3288" s="608" t="s">
        <v>1652</v>
      </c>
      <c r="D3288" s="599">
        <v>263.25</v>
      </c>
    </row>
    <row r="3289" spans="1:6">
      <c r="A3289" s="606">
        <v>161940</v>
      </c>
      <c r="B3289" s="607" t="s">
        <v>4603</v>
      </c>
      <c r="C3289" s="608" t="s">
        <v>1240</v>
      </c>
      <c r="D3289" s="599">
        <v>4.32</v>
      </c>
    </row>
    <row r="3290" spans="1:6">
      <c r="A3290" s="606">
        <v>161941</v>
      </c>
      <c r="B3290" s="607" t="s">
        <v>4604</v>
      </c>
      <c r="C3290" s="608" t="s">
        <v>1240</v>
      </c>
      <c r="D3290" s="599">
        <v>0.75</v>
      </c>
    </row>
    <row r="3291" spans="1:6">
      <c r="A3291" s="606">
        <v>161950</v>
      </c>
      <c r="B3291" s="607" t="s">
        <v>4605</v>
      </c>
      <c r="C3291" s="608" t="s">
        <v>1615</v>
      </c>
      <c r="D3291" s="599">
        <v>651.78</v>
      </c>
    </row>
    <row r="3292" spans="1:6">
      <c r="A3292" s="589">
        <v>1620</v>
      </c>
      <c r="B3292" s="596" t="s">
        <v>4606</v>
      </c>
      <c r="C3292" s="588"/>
      <c r="D3292" s="599"/>
      <c r="F3292" s="585"/>
    </row>
    <row r="3293" spans="1:6">
      <c r="A3293" s="606">
        <v>162001</v>
      </c>
      <c r="B3293" s="607" t="s">
        <v>4607</v>
      </c>
      <c r="C3293" s="608" t="s">
        <v>1652</v>
      </c>
      <c r="D3293" s="599">
        <v>263.25</v>
      </c>
    </row>
    <row r="3294" spans="1:6">
      <c r="A3294" s="606">
        <v>162020</v>
      </c>
      <c r="B3294" s="607" t="s">
        <v>4608</v>
      </c>
      <c r="C3294" s="608" t="s">
        <v>1615</v>
      </c>
      <c r="D3294" s="599">
        <v>32533.5</v>
      </c>
    </row>
    <row r="3295" spans="1:6">
      <c r="A3295" s="606">
        <v>162022</v>
      </c>
      <c r="B3295" s="607" t="s">
        <v>4609</v>
      </c>
      <c r="C3295" s="608" t="s">
        <v>1615</v>
      </c>
      <c r="D3295" s="599">
        <v>63345</v>
      </c>
    </row>
    <row r="3296" spans="1:6">
      <c r="A3296" s="606">
        <v>162023</v>
      </c>
      <c r="B3296" s="607" t="s">
        <v>4610</v>
      </c>
      <c r="C3296" s="608" t="s">
        <v>1615</v>
      </c>
      <c r="D3296" s="599">
        <v>66912</v>
      </c>
    </row>
    <row r="3297" spans="1:6">
      <c r="A3297" s="606">
        <v>162024</v>
      </c>
      <c r="B3297" s="607" t="s">
        <v>4611</v>
      </c>
      <c r="C3297" s="608" t="s">
        <v>1615</v>
      </c>
      <c r="D3297" s="599">
        <v>118080</v>
      </c>
    </row>
    <row r="3298" spans="1:6">
      <c r="A3298" s="606">
        <v>162025</v>
      </c>
      <c r="B3298" s="607" t="s">
        <v>4612</v>
      </c>
      <c r="C3298" s="608" t="s">
        <v>1615</v>
      </c>
      <c r="D3298" s="599">
        <v>124230</v>
      </c>
    </row>
    <row r="3299" spans="1:6">
      <c r="A3299" s="606">
        <v>162026</v>
      </c>
      <c r="B3299" s="607" t="s">
        <v>4613</v>
      </c>
      <c r="C3299" s="608" t="s">
        <v>1615</v>
      </c>
      <c r="D3299" s="599">
        <v>120540</v>
      </c>
    </row>
    <row r="3300" spans="1:6">
      <c r="A3300" s="606">
        <v>162029</v>
      </c>
      <c r="B3300" s="607" t="s">
        <v>4614</v>
      </c>
      <c r="C3300" s="608" t="s">
        <v>1615</v>
      </c>
      <c r="D3300" s="599">
        <v>120540</v>
      </c>
    </row>
    <row r="3301" spans="1:6">
      <c r="A3301" s="606">
        <v>162033</v>
      </c>
      <c r="B3301" s="607" t="s">
        <v>4615</v>
      </c>
      <c r="C3301" s="608" t="s">
        <v>1615</v>
      </c>
      <c r="D3301" s="599">
        <v>118080</v>
      </c>
    </row>
    <row r="3302" spans="1:6">
      <c r="A3302" s="606">
        <v>162040</v>
      </c>
      <c r="B3302" s="607" t="s">
        <v>4616</v>
      </c>
      <c r="C3302" s="608" t="s">
        <v>1240</v>
      </c>
      <c r="D3302" s="599">
        <v>4.8899999999999997</v>
      </c>
    </row>
    <row r="3303" spans="1:6">
      <c r="A3303" s="606">
        <v>162041</v>
      </c>
      <c r="B3303" s="607" t="s">
        <v>4617</v>
      </c>
      <c r="C3303" s="608" t="s">
        <v>1615</v>
      </c>
      <c r="D3303" s="599">
        <v>631.55999999999995</v>
      </c>
    </row>
    <row r="3304" spans="1:6">
      <c r="A3304" s="606">
        <v>162042</v>
      </c>
      <c r="B3304" s="607" t="s">
        <v>4618</v>
      </c>
      <c r="C3304" s="608" t="s">
        <v>1615</v>
      </c>
      <c r="D3304" s="599">
        <v>676.86</v>
      </c>
    </row>
    <row r="3305" spans="1:6">
      <c r="A3305" s="606">
        <v>162043</v>
      </c>
      <c r="B3305" s="607" t="s">
        <v>4619</v>
      </c>
      <c r="C3305" s="608" t="s">
        <v>1615</v>
      </c>
      <c r="D3305" s="599">
        <v>732.56</v>
      </c>
    </row>
    <row r="3306" spans="1:6">
      <c r="A3306" s="606">
        <v>162044</v>
      </c>
      <c r="B3306" s="607" t="s">
        <v>4620</v>
      </c>
      <c r="C3306" s="608" t="s">
        <v>1615</v>
      </c>
      <c r="D3306" s="599">
        <v>779.24</v>
      </c>
    </row>
    <row r="3307" spans="1:6">
      <c r="A3307" s="606">
        <v>162045</v>
      </c>
      <c r="B3307" s="607" t="s">
        <v>4621</v>
      </c>
      <c r="C3307" s="608" t="s">
        <v>1615</v>
      </c>
      <c r="D3307" s="599">
        <v>830.06</v>
      </c>
    </row>
    <row r="3308" spans="1:6">
      <c r="A3308" s="606">
        <v>162050</v>
      </c>
      <c r="B3308" s="607" t="s">
        <v>4622</v>
      </c>
      <c r="C3308" s="608" t="s">
        <v>1615</v>
      </c>
      <c r="D3308" s="599">
        <v>940.85</v>
      </c>
    </row>
    <row r="3309" spans="1:6">
      <c r="A3309" s="589">
        <v>1625</v>
      </c>
      <c r="B3309" s="596" t="s">
        <v>4623</v>
      </c>
      <c r="C3309" s="608"/>
      <c r="D3309" s="599"/>
    </row>
    <row r="3310" spans="1:6">
      <c r="A3310" s="589">
        <v>1630</v>
      </c>
      <c r="B3310" s="596" t="s">
        <v>4624</v>
      </c>
      <c r="C3310" s="588"/>
      <c r="D3310" s="599"/>
      <c r="F3310" s="585"/>
    </row>
    <row r="3311" spans="1:6">
      <c r="A3311" s="606">
        <v>163012</v>
      </c>
      <c r="B3311" s="607" t="s">
        <v>4471</v>
      </c>
      <c r="C3311" s="608" t="s">
        <v>1240</v>
      </c>
      <c r="D3311" s="599">
        <v>193.18</v>
      </c>
    </row>
    <row r="3312" spans="1:6">
      <c r="A3312" s="606">
        <v>163013</v>
      </c>
      <c r="B3312" s="607" t="s">
        <v>4625</v>
      </c>
      <c r="C3312" s="608" t="s">
        <v>1240</v>
      </c>
      <c r="D3312" s="599">
        <v>221.26</v>
      </c>
    </row>
    <row r="3313" spans="1:6">
      <c r="A3313" s="606">
        <v>163014</v>
      </c>
      <c r="B3313" s="607" t="s">
        <v>4626</v>
      </c>
      <c r="C3313" s="608" t="s">
        <v>1659</v>
      </c>
      <c r="D3313" s="599">
        <v>37.5</v>
      </c>
    </row>
    <row r="3314" spans="1:6">
      <c r="A3314" s="606">
        <v>163015</v>
      </c>
      <c r="B3314" s="607" t="s">
        <v>4627</v>
      </c>
      <c r="C3314" s="608" t="s">
        <v>1659</v>
      </c>
      <c r="D3314" s="599">
        <v>20.8</v>
      </c>
    </row>
    <row r="3315" spans="1:6">
      <c r="A3315" s="606">
        <v>163016</v>
      </c>
      <c r="B3315" s="607" t="s">
        <v>4475</v>
      </c>
      <c r="C3315" s="608" t="s">
        <v>1240</v>
      </c>
      <c r="D3315" s="599">
        <v>4.03</v>
      </c>
    </row>
    <row r="3316" spans="1:6">
      <c r="A3316" s="606">
        <v>163017</v>
      </c>
      <c r="B3316" s="607" t="s">
        <v>4476</v>
      </c>
      <c r="C3316" s="608" t="s">
        <v>1659</v>
      </c>
      <c r="D3316" s="599">
        <v>13</v>
      </c>
    </row>
    <row r="3317" spans="1:6">
      <c r="A3317" s="589">
        <v>1631</v>
      </c>
      <c r="B3317" s="596" t="s">
        <v>4628</v>
      </c>
      <c r="C3317" s="588"/>
      <c r="D3317" s="599"/>
      <c r="F3317" s="585"/>
    </row>
    <row r="3318" spans="1:6">
      <c r="A3318" s="606">
        <v>163119</v>
      </c>
      <c r="B3318" s="607" t="s">
        <v>4629</v>
      </c>
      <c r="C3318" s="608" t="s">
        <v>1659</v>
      </c>
      <c r="D3318" s="599">
        <v>215.54</v>
      </c>
    </row>
    <row r="3319" spans="1:6">
      <c r="A3319" s="606">
        <v>163121</v>
      </c>
      <c r="B3319" s="607" t="s">
        <v>4630</v>
      </c>
      <c r="C3319" s="608" t="s">
        <v>1659</v>
      </c>
      <c r="D3319" s="599">
        <v>180.06</v>
      </c>
    </row>
    <row r="3320" spans="1:6">
      <c r="A3320" s="606">
        <v>163123</v>
      </c>
      <c r="B3320" s="607" t="s">
        <v>4631</v>
      </c>
      <c r="C3320" s="608" t="s">
        <v>1659</v>
      </c>
      <c r="D3320" s="599">
        <v>195.8</v>
      </c>
    </row>
    <row r="3321" spans="1:6">
      <c r="A3321" s="606">
        <v>163124</v>
      </c>
      <c r="B3321" s="607" t="s">
        <v>4632</v>
      </c>
      <c r="C3321" s="608" t="s">
        <v>1659</v>
      </c>
      <c r="D3321" s="599">
        <v>143.13999999999999</v>
      </c>
    </row>
    <row r="3322" spans="1:6">
      <c r="A3322" s="606">
        <v>163125</v>
      </c>
      <c r="B3322" s="607" t="s">
        <v>4633</v>
      </c>
      <c r="C3322" s="608" t="s">
        <v>1615</v>
      </c>
      <c r="D3322" s="599">
        <v>1008.39</v>
      </c>
    </row>
    <row r="3323" spans="1:6">
      <c r="A3323" s="606">
        <v>163126</v>
      </c>
      <c r="B3323" s="607" t="s">
        <v>4634</v>
      </c>
      <c r="C3323" s="608" t="s">
        <v>1659</v>
      </c>
      <c r="D3323" s="599">
        <v>164.15</v>
      </c>
    </row>
    <row r="3324" spans="1:6">
      <c r="A3324" s="606">
        <v>163127</v>
      </c>
      <c r="B3324" s="607" t="s">
        <v>4635</v>
      </c>
      <c r="C3324" s="608" t="s">
        <v>1615</v>
      </c>
      <c r="D3324" s="599">
        <v>1198</v>
      </c>
    </row>
    <row r="3325" spans="1:6">
      <c r="A3325" s="589">
        <v>1632</v>
      </c>
      <c r="B3325" s="596" t="s">
        <v>4636</v>
      </c>
      <c r="C3325" s="588"/>
      <c r="D3325" s="599"/>
      <c r="F3325" s="585"/>
    </row>
    <row r="3326" spans="1:6">
      <c r="A3326" s="606">
        <v>163234</v>
      </c>
      <c r="B3326" s="607" t="s">
        <v>4637</v>
      </c>
      <c r="C3326" s="608" t="s">
        <v>1240</v>
      </c>
      <c r="D3326" s="599">
        <v>24.76</v>
      </c>
    </row>
    <row r="3327" spans="1:6">
      <c r="A3327" s="589">
        <v>1633</v>
      </c>
      <c r="B3327" s="596" t="s">
        <v>4638</v>
      </c>
      <c r="C3327" s="588"/>
      <c r="D3327" s="599"/>
    </row>
    <row r="3328" spans="1:6">
      <c r="A3328" s="589">
        <v>1634</v>
      </c>
      <c r="B3328" s="596" t="s">
        <v>4639</v>
      </c>
      <c r="C3328" s="588"/>
      <c r="D3328" s="599"/>
    </row>
    <row r="3329" spans="1:6">
      <c r="A3329" s="589">
        <v>1635</v>
      </c>
      <c r="B3329" s="596" t="s">
        <v>4640</v>
      </c>
      <c r="C3329" s="588"/>
      <c r="D3329" s="599"/>
      <c r="F3329" s="585"/>
    </row>
    <row r="3330" spans="1:6">
      <c r="A3330" s="606">
        <v>163501</v>
      </c>
      <c r="B3330" s="607" t="s">
        <v>4641</v>
      </c>
      <c r="C3330" s="608" t="s">
        <v>1659</v>
      </c>
      <c r="D3330" s="599">
        <v>2.63</v>
      </c>
    </row>
    <row r="3331" spans="1:6">
      <c r="A3331" s="606">
        <v>163502</v>
      </c>
      <c r="B3331" s="607" t="s">
        <v>4642</v>
      </c>
      <c r="C3331" s="608" t="s">
        <v>1240</v>
      </c>
      <c r="D3331" s="599">
        <v>89.29</v>
      </c>
    </row>
    <row r="3332" spans="1:6">
      <c r="A3332" s="606">
        <v>163503</v>
      </c>
      <c r="B3332" s="607" t="s">
        <v>4643</v>
      </c>
      <c r="C3332" s="608" t="s">
        <v>1240</v>
      </c>
      <c r="D3332" s="599">
        <v>12.6</v>
      </c>
    </row>
    <row r="3333" spans="1:6">
      <c r="A3333" s="606">
        <v>163504</v>
      </c>
      <c r="B3333" s="607" t="s">
        <v>4644</v>
      </c>
      <c r="C3333" s="608" t="s">
        <v>1240</v>
      </c>
      <c r="D3333" s="599">
        <v>59.73</v>
      </c>
    </row>
    <row r="3334" spans="1:6">
      <c r="A3334" s="606">
        <v>163505</v>
      </c>
      <c r="B3334" s="607" t="s">
        <v>4645</v>
      </c>
      <c r="C3334" s="608" t="s">
        <v>1240</v>
      </c>
      <c r="D3334" s="599">
        <v>121.67</v>
      </c>
    </row>
    <row r="3335" spans="1:6" ht="26.4">
      <c r="A3335" s="606">
        <v>163506</v>
      </c>
      <c r="B3335" s="607" t="s">
        <v>4646</v>
      </c>
      <c r="C3335" s="608" t="s">
        <v>1240</v>
      </c>
      <c r="D3335" s="599">
        <v>99.56</v>
      </c>
    </row>
    <row r="3336" spans="1:6">
      <c r="A3336" s="606">
        <v>163507</v>
      </c>
      <c r="B3336" s="607" t="s">
        <v>4647</v>
      </c>
      <c r="C3336" s="608" t="s">
        <v>1659</v>
      </c>
      <c r="D3336" s="599">
        <v>2.64</v>
      </c>
    </row>
    <row r="3337" spans="1:6">
      <c r="A3337" s="606">
        <v>163508</v>
      </c>
      <c r="B3337" s="607" t="s">
        <v>4648</v>
      </c>
      <c r="C3337" s="608" t="s">
        <v>1240</v>
      </c>
      <c r="D3337" s="599">
        <v>3.74</v>
      </c>
    </row>
    <row r="3338" spans="1:6">
      <c r="A3338" s="606">
        <v>163509</v>
      </c>
      <c r="B3338" s="607" t="s">
        <v>4649</v>
      </c>
      <c r="C3338" s="608" t="s">
        <v>1240</v>
      </c>
      <c r="D3338" s="599">
        <v>46.57</v>
      </c>
    </row>
    <row r="3339" spans="1:6">
      <c r="A3339" s="606">
        <v>163511</v>
      </c>
      <c r="B3339" s="607" t="s">
        <v>4650</v>
      </c>
      <c r="C3339" s="608" t="s">
        <v>1240</v>
      </c>
      <c r="D3339" s="599">
        <v>15.73</v>
      </c>
    </row>
    <row r="3340" spans="1:6">
      <c r="A3340" s="606">
        <v>163512</v>
      </c>
      <c r="B3340" s="607" t="s">
        <v>4651</v>
      </c>
      <c r="C3340" s="608" t="s">
        <v>1240</v>
      </c>
      <c r="D3340" s="599">
        <v>7.81</v>
      </c>
    </row>
    <row r="3341" spans="1:6">
      <c r="A3341" s="606">
        <v>163513</v>
      </c>
      <c r="B3341" s="607" t="s">
        <v>4652</v>
      </c>
      <c r="C3341" s="608" t="s">
        <v>1240</v>
      </c>
      <c r="D3341" s="599">
        <v>19.850000000000001</v>
      </c>
    </row>
    <row r="3342" spans="1:6">
      <c r="A3342" s="606">
        <v>163514</v>
      </c>
      <c r="B3342" s="607" t="s">
        <v>4653</v>
      </c>
      <c r="C3342" s="608" t="s">
        <v>1240</v>
      </c>
      <c r="D3342" s="599">
        <v>5.26</v>
      </c>
    </row>
    <row r="3343" spans="1:6">
      <c r="A3343" s="606">
        <v>163515</v>
      </c>
      <c r="B3343" s="607" t="s">
        <v>4654</v>
      </c>
      <c r="C3343" s="608" t="s">
        <v>1240</v>
      </c>
      <c r="D3343" s="599">
        <v>7.21</v>
      </c>
    </row>
    <row r="3344" spans="1:6">
      <c r="A3344" s="606">
        <v>163516</v>
      </c>
      <c r="B3344" s="607" t="s">
        <v>4655</v>
      </c>
      <c r="C3344" s="608" t="s">
        <v>1240</v>
      </c>
      <c r="D3344" s="599">
        <v>4.6100000000000003</v>
      </c>
    </row>
    <row r="3345" spans="1:6">
      <c r="A3345" s="606">
        <v>163517</v>
      </c>
      <c r="B3345" s="607" t="s">
        <v>4656</v>
      </c>
      <c r="C3345" s="608" t="s">
        <v>1240</v>
      </c>
      <c r="D3345" s="599">
        <v>3.25</v>
      </c>
    </row>
    <row r="3346" spans="1:6">
      <c r="A3346" s="606">
        <v>163518</v>
      </c>
      <c r="B3346" s="607" t="s">
        <v>4657</v>
      </c>
      <c r="C3346" s="608" t="s">
        <v>1240</v>
      </c>
      <c r="D3346" s="599">
        <v>7.09</v>
      </c>
    </row>
    <row r="3347" spans="1:6">
      <c r="A3347" s="606">
        <v>163519</v>
      </c>
      <c r="B3347" s="607" t="s">
        <v>4658</v>
      </c>
      <c r="C3347" s="608" t="s">
        <v>1240</v>
      </c>
      <c r="D3347" s="599">
        <v>3.87</v>
      </c>
    </row>
    <row r="3348" spans="1:6">
      <c r="A3348" s="606">
        <v>163520</v>
      </c>
      <c r="B3348" s="607" t="s">
        <v>4659</v>
      </c>
      <c r="C3348" s="608" t="s">
        <v>1240</v>
      </c>
      <c r="D3348" s="599">
        <v>8.85</v>
      </c>
    </row>
    <row r="3349" spans="1:6">
      <c r="A3349" s="606">
        <v>163521</v>
      </c>
      <c r="B3349" s="607" t="s">
        <v>4660</v>
      </c>
      <c r="C3349" s="608" t="s">
        <v>1240</v>
      </c>
      <c r="D3349" s="599">
        <v>3.13</v>
      </c>
    </row>
    <row r="3350" spans="1:6">
      <c r="A3350" s="606">
        <v>163522</v>
      </c>
      <c r="B3350" s="607" t="s">
        <v>4661</v>
      </c>
      <c r="C3350" s="608" t="s">
        <v>1240</v>
      </c>
      <c r="D3350" s="599">
        <v>22.32</v>
      </c>
    </row>
    <row r="3351" spans="1:6">
      <c r="A3351" s="589">
        <v>1636</v>
      </c>
      <c r="B3351" s="596" t="s">
        <v>4662</v>
      </c>
      <c r="C3351" s="588"/>
      <c r="D3351" s="599"/>
      <c r="F3351" s="585"/>
    </row>
    <row r="3352" spans="1:6">
      <c r="A3352" s="606">
        <v>163601</v>
      </c>
      <c r="B3352" s="607" t="s">
        <v>4663</v>
      </c>
      <c r="C3352" s="608" t="s">
        <v>1240</v>
      </c>
      <c r="D3352" s="599">
        <v>80.27</v>
      </c>
    </row>
    <row r="3353" spans="1:6">
      <c r="A3353" s="606">
        <v>163602</v>
      </c>
      <c r="B3353" s="607" t="s">
        <v>4663</v>
      </c>
      <c r="C3353" s="608" t="s">
        <v>1240</v>
      </c>
      <c r="D3353" s="599">
        <v>98.82</v>
      </c>
    </row>
    <row r="3354" spans="1:6">
      <c r="A3354" s="606">
        <v>163603</v>
      </c>
      <c r="B3354" s="607" t="s">
        <v>4663</v>
      </c>
      <c r="C3354" s="608" t="s">
        <v>1240</v>
      </c>
      <c r="D3354" s="599">
        <v>111.61</v>
      </c>
    </row>
    <row r="3355" spans="1:6">
      <c r="A3355" s="606">
        <v>163605</v>
      </c>
      <c r="B3355" s="607" t="s">
        <v>4664</v>
      </c>
      <c r="C3355" s="608" t="s">
        <v>1240</v>
      </c>
      <c r="D3355" s="599">
        <v>463.67</v>
      </c>
    </row>
    <row r="3356" spans="1:6" ht="26.4">
      <c r="A3356" s="606">
        <v>163606</v>
      </c>
      <c r="B3356" s="607" t="s">
        <v>4665</v>
      </c>
      <c r="C3356" s="608" t="s">
        <v>1240</v>
      </c>
      <c r="D3356" s="599">
        <v>250.38</v>
      </c>
    </row>
    <row r="3357" spans="1:6">
      <c r="A3357" s="589">
        <v>1637</v>
      </c>
      <c r="B3357" s="596" t="s">
        <v>4666</v>
      </c>
      <c r="C3357" s="588"/>
      <c r="D3357" s="599"/>
      <c r="F3357" s="585"/>
    </row>
    <row r="3358" spans="1:6">
      <c r="A3358" s="606">
        <v>163701</v>
      </c>
      <c r="B3358" s="607" t="s">
        <v>4667</v>
      </c>
      <c r="C3358" s="608" t="s">
        <v>1240</v>
      </c>
      <c r="D3358" s="599">
        <v>95.36</v>
      </c>
    </row>
    <row r="3359" spans="1:6">
      <c r="A3359" s="606">
        <v>163702</v>
      </c>
      <c r="B3359" s="607" t="s">
        <v>4667</v>
      </c>
      <c r="C3359" s="608" t="s">
        <v>1240</v>
      </c>
      <c r="D3359" s="599">
        <v>125.04</v>
      </c>
    </row>
    <row r="3360" spans="1:6">
      <c r="A3360" s="606">
        <v>163703</v>
      </c>
      <c r="B3360" s="607" t="s">
        <v>4667</v>
      </c>
      <c r="C3360" s="608" t="s">
        <v>1240</v>
      </c>
      <c r="D3360" s="599">
        <v>145.51</v>
      </c>
    </row>
    <row r="3361" spans="1:6">
      <c r="A3361" s="606">
        <v>163705</v>
      </c>
      <c r="B3361" s="607" t="s">
        <v>4668</v>
      </c>
      <c r="C3361" s="608" t="s">
        <v>1240</v>
      </c>
      <c r="D3361" s="599">
        <v>144.56</v>
      </c>
    </row>
    <row r="3362" spans="1:6">
      <c r="A3362" s="606">
        <v>163706</v>
      </c>
      <c r="B3362" s="607" t="s">
        <v>4668</v>
      </c>
      <c r="C3362" s="608" t="s">
        <v>1240</v>
      </c>
      <c r="D3362" s="599">
        <v>196.49</v>
      </c>
    </row>
    <row r="3363" spans="1:6">
      <c r="A3363" s="606">
        <v>163707</v>
      </c>
      <c r="B3363" s="607" t="s">
        <v>4668</v>
      </c>
      <c r="C3363" s="608" t="s">
        <v>1240</v>
      </c>
      <c r="D3363" s="599">
        <v>232.31</v>
      </c>
    </row>
    <row r="3364" spans="1:6">
      <c r="A3364" s="606">
        <v>163709</v>
      </c>
      <c r="B3364" s="607" t="s">
        <v>4669</v>
      </c>
      <c r="C3364" s="608" t="s">
        <v>1240</v>
      </c>
      <c r="D3364" s="599">
        <v>16.78</v>
      </c>
    </row>
    <row r="3365" spans="1:6">
      <c r="A3365" s="606">
        <v>163710</v>
      </c>
      <c r="B3365" s="607" t="s">
        <v>4670</v>
      </c>
      <c r="C3365" s="608" t="s">
        <v>1240</v>
      </c>
      <c r="D3365" s="599">
        <v>20.49</v>
      </c>
    </row>
    <row r="3366" spans="1:6">
      <c r="A3366" s="606">
        <v>163711</v>
      </c>
      <c r="B3366" s="607" t="s">
        <v>4671</v>
      </c>
      <c r="C3366" s="608" t="s">
        <v>1240</v>
      </c>
      <c r="D3366" s="599">
        <v>23.05</v>
      </c>
    </row>
    <row r="3367" spans="1:6">
      <c r="A3367" s="589">
        <v>1638</v>
      </c>
      <c r="B3367" s="596" t="s">
        <v>4672</v>
      </c>
      <c r="C3367" s="588"/>
      <c r="D3367" s="599"/>
      <c r="F3367" s="585"/>
    </row>
    <row r="3368" spans="1:6">
      <c r="A3368" s="606">
        <v>163801</v>
      </c>
      <c r="B3368" s="607" t="s">
        <v>4673</v>
      </c>
      <c r="C3368" s="608" t="s">
        <v>1240</v>
      </c>
      <c r="D3368" s="599">
        <v>95.3</v>
      </c>
    </row>
    <row r="3369" spans="1:6">
      <c r="A3369" s="606">
        <v>163802</v>
      </c>
      <c r="B3369" s="607" t="s">
        <v>4674</v>
      </c>
      <c r="C3369" s="608" t="s">
        <v>1240</v>
      </c>
      <c r="D3369" s="599">
        <v>113.85</v>
      </c>
    </row>
    <row r="3370" spans="1:6">
      <c r="A3370" s="606">
        <v>163803</v>
      </c>
      <c r="B3370" s="607" t="s">
        <v>4675</v>
      </c>
      <c r="C3370" s="608" t="s">
        <v>1240</v>
      </c>
      <c r="D3370" s="599">
        <v>126.64</v>
      </c>
    </row>
    <row r="3371" spans="1:6">
      <c r="A3371" s="606">
        <v>163805</v>
      </c>
      <c r="B3371" s="607" t="s">
        <v>4676</v>
      </c>
      <c r="C3371" s="608" t="s">
        <v>1240</v>
      </c>
      <c r="D3371" s="599">
        <v>478.7</v>
      </c>
    </row>
    <row r="3372" spans="1:6">
      <c r="A3372" s="606">
        <v>163806</v>
      </c>
      <c r="B3372" s="607" t="s">
        <v>4677</v>
      </c>
      <c r="C3372" s="608" t="s">
        <v>4678</v>
      </c>
      <c r="D3372" s="599">
        <v>106.28</v>
      </c>
    </row>
    <row r="3373" spans="1:6">
      <c r="A3373" s="589">
        <v>1639</v>
      </c>
      <c r="B3373" s="596" t="s">
        <v>4679</v>
      </c>
      <c r="C3373" s="588"/>
      <c r="D3373" s="599"/>
      <c r="F3373" s="585"/>
    </row>
    <row r="3374" spans="1:6">
      <c r="A3374" s="606">
        <v>163901</v>
      </c>
      <c r="B3374" s="607" t="s">
        <v>4680</v>
      </c>
      <c r="C3374" s="608" t="s">
        <v>1650</v>
      </c>
      <c r="D3374" s="599">
        <v>2153.13</v>
      </c>
    </row>
    <row r="3375" spans="1:6">
      <c r="A3375" s="606">
        <v>163902</v>
      </c>
      <c r="B3375" s="607" t="s">
        <v>4681</v>
      </c>
      <c r="C3375" s="608" t="s">
        <v>1650</v>
      </c>
      <c r="D3375" s="599">
        <v>2257.9699999999998</v>
      </c>
    </row>
    <row r="3376" spans="1:6" ht="26.4">
      <c r="A3376" s="606">
        <v>163903</v>
      </c>
      <c r="B3376" s="607" t="s">
        <v>4682</v>
      </c>
      <c r="C3376" s="608" t="s">
        <v>1650</v>
      </c>
      <c r="D3376" s="599">
        <v>2636.72</v>
      </c>
    </row>
    <row r="3377" spans="1:6">
      <c r="A3377" s="606">
        <v>163904</v>
      </c>
      <c r="B3377" s="607" t="s">
        <v>4683</v>
      </c>
      <c r="C3377" s="608" t="s">
        <v>1240</v>
      </c>
      <c r="D3377" s="599">
        <v>142.01</v>
      </c>
    </row>
    <row r="3378" spans="1:6">
      <c r="A3378" s="606">
        <v>163905</v>
      </c>
      <c r="B3378" s="607" t="s">
        <v>4684</v>
      </c>
      <c r="C3378" s="608" t="s">
        <v>1240</v>
      </c>
      <c r="D3378" s="599">
        <v>4.28</v>
      </c>
    </row>
    <row r="3379" spans="1:6">
      <c r="A3379" s="589">
        <v>1640</v>
      </c>
      <c r="B3379" s="596" t="s">
        <v>4685</v>
      </c>
      <c r="C3379" s="588"/>
      <c r="D3379" s="599"/>
      <c r="F3379" s="585"/>
    </row>
    <row r="3380" spans="1:6">
      <c r="A3380" s="606">
        <v>164001</v>
      </c>
      <c r="B3380" s="607" t="s">
        <v>4686</v>
      </c>
      <c r="C3380" s="608" t="s">
        <v>1659</v>
      </c>
      <c r="D3380" s="599">
        <v>3.01</v>
      </c>
    </row>
    <row r="3381" spans="1:6">
      <c r="A3381" s="606">
        <v>164002</v>
      </c>
      <c r="B3381" s="607" t="s">
        <v>4687</v>
      </c>
      <c r="C3381" s="608" t="s">
        <v>1650</v>
      </c>
      <c r="D3381" s="599">
        <v>573.91</v>
      </c>
    </row>
    <row r="3382" spans="1:6">
      <c r="A3382" s="589">
        <v>1641</v>
      </c>
      <c r="B3382" s="596" t="s">
        <v>4688</v>
      </c>
      <c r="C3382" s="588"/>
      <c r="D3382" s="599"/>
      <c r="F3382" s="585"/>
    </row>
    <row r="3383" spans="1:6">
      <c r="A3383" s="606">
        <v>164101</v>
      </c>
      <c r="B3383" s="607" t="s">
        <v>4689</v>
      </c>
      <c r="C3383" s="608" t="s">
        <v>1248</v>
      </c>
      <c r="D3383" s="599">
        <v>6.54</v>
      </c>
    </row>
    <row r="3384" spans="1:6">
      <c r="A3384" s="606">
        <v>164102</v>
      </c>
      <c r="B3384" s="607" t="s">
        <v>4690</v>
      </c>
      <c r="C3384" s="608" t="s">
        <v>1615</v>
      </c>
      <c r="D3384" s="599">
        <v>6.28</v>
      </c>
    </row>
    <row r="3385" spans="1:6">
      <c r="A3385" s="589">
        <v>1642</v>
      </c>
      <c r="B3385" s="596" t="s">
        <v>4691</v>
      </c>
      <c r="C3385" s="588"/>
      <c r="D3385" s="599"/>
      <c r="F3385" s="585"/>
    </row>
    <row r="3386" spans="1:6">
      <c r="A3386" s="606">
        <v>164201</v>
      </c>
      <c r="B3386" s="607" t="s">
        <v>4692</v>
      </c>
      <c r="C3386" s="608" t="s">
        <v>1659</v>
      </c>
      <c r="D3386" s="599">
        <v>231.65</v>
      </c>
    </row>
    <row r="3387" spans="1:6" ht="26.4">
      <c r="A3387" s="606">
        <v>164202</v>
      </c>
      <c r="B3387" s="607" t="s">
        <v>4693</v>
      </c>
      <c r="C3387" s="608" t="s">
        <v>1659</v>
      </c>
      <c r="D3387" s="599">
        <v>85.98</v>
      </c>
    </row>
    <row r="3388" spans="1:6">
      <c r="A3388" s="606">
        <v>164203</v>
      </c>
      <c r="B3388" s="607" t="s">
        <v>4694</v>
      </c>
      <c r="C3388" s="608" t="s">
        <v>1659</v>
      </c>
      <c r="D3388" s="599">
        <v>120.5</v>
      </c>
    </row>
    <row r="3389" spans="1:6">
      <c r="A3389" s="606">
        <v>164204</v>
      </c>
      <c r="B3389" s="607" t="s">
        <v>4695</v>
      </c>
      <c r="C3389" s="608" t="s">
        <v>1240</v>
      </c>
      <c r="D3389" s="599">
        <v>7.48</v>
      </c>
    </row>
    <row r="3390" spans="1:6">
      <c r="A3390" s="589">
        <v>1643</v>
      </c>
      <c r="B3390" s="596" t="s">
        <v>1130</v>
      </c>
      <c r="C3390" s="588"/>
      <c r="D3390" s="599"/>
      <c r="F3390" s="585"/>
    </row>
    <row r="3391" spans="1:6">
      <c r="A3391" s="606">
        <v>164301</v>
      </c>
      <c r="B3391" s="607" t="s">
        <v>4696</v>
      </c>
      <c r="C3391" s="608" t="s">
        <v>1615</v>
      </c>
      <c r="D3391" s="599">
        <v>5.26</v>
      </c>
    </row>
    <row r="3392" spans="1:6">
      <c r="A3392" s="606">
        <v>164302</v>
      </c>
      <c r="B3392" s="607" t="s">
        <v>4697</v>
      </c>
      <c r="C3392" s="608" t="s">
        <v>1615</v>
      </c>
      <c r="D3392" s="599">
        <v>14</v>
      </c>
    </row>
    <row r="3393" spans="1:6">
      <c r="A3393" s="606">
        <v>164303</v>
      </c>
      <c r="B3393" s="607" t="s">
        <v>4698</v>
      </c>
      <c r="C3393" s="608" t="s">
        <v>1615</v>
      </c>
      <c r="D3393" s="599">
        <v>12.34</v>
      </c>
    </row>
    <row r="3394" spans="1:6">
      <c r="A3394" s="606">
        <v>164304</v>
      </c>
      <c r="B3394" s="607" t="s">
        <v>4699</v>
      </c>
      <c r="C3394" s="608" t="s">
        <v>1615</v>
      </c>
      <c r="D3394" s="599">
        <v>4.43</v>
      </c>
    </row>
    <row r="3395" spans="1:6">
      <c r="A3395" s="606">
        <v>164305</v>
      </c>
      <c r="B3395" s="607" t="s">
        <v>4700</v>
      </c>
      <c r="C3395" s="608" t="s">
        <v>1615</v>
      </c>
      <c r="D3395" s="599">
        <v>12.54</v>
      </c>
    </row>
    <row r="3396" spans="1:6">
      <c r="A3396" s="606">
        <v>164306</v>
      </c>
      <c r="B3396" s="607" t="s">
        <v>4701</v>
      </c>
      <c r="C3396" s="608" t="s">
        <v>1615</v>
      </c>
      <c r="D3396" s="599">
        <v>11.32</v>
      </c>
    </row>
    <row r="3397" spans="1:6">
      <c r="A3397" s="606">
        <v>164307</v>
      </c>
      <c r="B3397" s="607" t="s">
        <v>4702</v>
      </c>
      <c r="C3397" s="608" t="s">
        <v>1615</v>
      </c>
      <c r="D3397" s="599">
        <v>2.82</v>
      </c>
    </row>
    <row r="3398" spans="1:6">
      <c r="A3398" s="606">
        <v>164308</v>
      </c>
      <c r="B3398" s="607" t="s">
        <v>4703</v>
      </c>
      <c r="C3398" s="608" t="s">
        <v>1615</v>
      </c>
      <c r="D3398" s="599">
        <v>9.4600000000000009</v>
      </c>
    </row>
    <row r="3399" spans="1:6">
      <c r="A3399" s="606">
        <v>164309</v>
      </c>
      <c r="B3399" s="607" t="s">
        <v>4704</v>
      </c>
      <c r="C3399" s="608" t="s">
        <v>1615</v>
      </c>
      <c r="D3399" s="599">
        <v>10.4</v>
      </c>
    </row>
    <row r="3400" spans="1:6">
      <c r="A3400" s="606">
        <v>164310</v>
      </c>
      <c r="B3400" s="607" t="s">
        <v>4705</v>
      </c>
      <c r="C3400" s="608" t="s">
        <v>1615</v>
      </c>
      <c r="D3400" s="599">
        <v>2.57</v>
      </c>
    </row>
    <row r="3401" spans="1:6">
      <c r="A3401" s="606">
        <v>164311</v>
      </c>
      <c r="B3401" s="607" t="s">
        <v>4706</v>
      </c>
      <c r="C3401" s="608" t="s">
        <v>1615</v>
      </c>
      <c r="D3401" s="599">
        <v>8.06</v>
      </c>
    </row>
    <row r="3402" spans="1:6">
      <c r="A3402" s="606">
        <v>164312</v>
      </c>
      <c r="B3402" s="607" t="s">
        <v>4707</v>
      </c>
      <c r="C3402" s="608" t="s">
        <v>1615</v>
      </c>
      <c r="D3402" s="599">
        <v>8.94</v>
      </c>
    </row>
    <row r="3403" spans="1:6">
      <c r="A3403" s="589">
        <v>1644</v>
      </c>
      <c r="B3403" s="596" t="s">
        <v>4708</v>
      </c>
      <c r="C3403" s="588"/>
      <c r="D3403" s="599"/>
    </row>
    <row r="3404" spans="1:6">
      <c r="A3404" s="606">
        <v>164401</v>
      </c>
      <c r="B3404" s="607" t="s">
        <v>4709</v>
      </c>
      <c r="C3404" s="608" t="s">
        <v>1615</v>
      </c>
      <c r="D3404" s="599">
        <v>34.58</v>
      </c>
    </row>
    <row r="3405" spans="1:6">
      <c r="A3405" s="606">
        <v>164402</v>
      </c>
      <c r="B3405" s="607" t="s">
        <v>4710</v>
      </c>
      <c r="C3405" s="608" t="s">
        <v>1615</v>
      </c>
      <c r="D3405" s="599">
        <v>18.2</v>
      </c>
    </row>
    <row r="3406" spans="1:6">
      <c r="A3406" s="606">
        <v>164403</v>
      </c>
      <c r="B3406" s="607" t="s">
        <v>4711</v>
      </c>
      <c r="C3406" s="608" t="s">
        <v>1615</v>
      </c>
      <c r="D3406" s="599">
        <v>13.98</v>
      </c>
    </row>
    <row r="3407" spans="1:6">
      <c r="A3407" s="589">
        <v>1645</v>
      </c>
      <c r="B3407" s="596" t="s">
        <v>4712</v>
      </c>
      <c r="C3407" s="588"/>
      <c r="D3407" s="599"/>
      <c r="F3407" s="585"/>
    </row>
    <row r="3408" spans="1:6">
      <c r="A3408" s="606">
        <v>164501</v>
      </c>
      <c r="B3408" s="607" t="s">
        <v>4713</v>
      </c>
      <c r="C3408" s="608" t="s">
        <v>1615</v>
      </c>
      <c r="D3408" s="599">
        <v>11.24</v>
      </c>
    </row>
    <row r="3409" spans="1:6">
      <c r="A3409" s="606">
        <v>164502</v>
      </c>
      <c r="B3409" s="607" t="s">
        <v>4714</v>
      </c>
      <c r="C3409" s="608" t="s">
        <v>1615</v>
      </c>
      <c r="D3409" s="599">
        <v>5.55</v>
      </c>
    </row>
    <row r="3410" spans="1:6">
      <c r="A3410" s="606">
        <v>164503</v>
      </c>
      <c r="B3410" s="607" t="s">
        <v>4715</v>
      </c>
      <c r="C3410" s="608" t="s">
        <v>1615</v>
      </c>
      <c r="D3410" s="599">
        <v>3.24</v>
      </c>
    </row>
    <row r="3411" spans="1:6">
      <c r="A3411" s="606">
        <v>164510</v>
      </c>
      <c r="B3411" s="607" t="s">
        <v>4716</v>
      </c>
      <c r="C3411" s="608" t="s">
        <v>1615</v>
      </c>
      <c r="D3411" s="599">
        <v>8.01</v>
      </c>
    </row>
    <row r="3412" spans="1:6">
      <c r="A3412" s="589">
        <v>1646</v>
      </c>
      <c r="B3412" s="596" t="s">
        <v>4717</v>
      </c>
      <c r="C3412" s="588"/>
      <c r="D3412" s="599"/>
      <c r="F3412" s="585"/>
    </row>
    <row r="3413" spans="1:6">
      <c r="A3413" s="606">
        <v>164601</v>
      </c>
      <c r="B3413" s="607" t="s">
        <v>4718</v>
      </c>
      <c r="C3413" s="608" t="s">
        <v>4678</v>
      </c>
      <c r="D3413" s="599">
        <v>24.79</v>
      </c>
    </row>
    <row r="3414" spans="1:6">
      <c r="A3414" s="606">
        <v>164602</v>
      </c>
      <c r="B3414" s="607" t="s">
        <v>4719</v>
      </c>
      <c r="C3414" s="608" t="s">
        <v>4678</v>
      </c>
      <c r="D3414" s="599">
        <v>59</v>
      </c>
    </row>
    <row r="3415" spans="1:6">
      <c r="A3415" s="589">
        <v>1647</v>
      </c>
      <c r="B3415" s="596" t="s">
        <v>4720</v>
      </c>
      <c r="C3415" s="588"/>
      <c r="D3415" s="599"/>
      <c r="F3415" s="585"/>
    </row>
    <row r="3416" spans="1:6">
      <c r="A3416" s="606">
        <v>164701</v>
      </c>
      <c r="B3416" s="607" t="s">
        <v>4721</v>
      </c>
      <c r="C3416" s="608" t="s">
        <v>1240</v>
      </c>
      <c r="D3416" s="599">
        <v>7.39</v>
      </c>
    </row>
    <row r="3417" spans="1:6">
      <c r="A3417" s="606">
        <v>164702</v>
      </c>
      <c r="B3417" s="607" t="s">
        <v>4722</v>
      </c>
      <c r="C3417" s="608" t="s">
        <v>1240</v>
      </c>
      <c r="D3417" s="599">
        <v>42.74</v>
      </c>
    </row>
    <row r="3418" spans="1:6">
      <c r="A3418" s="589">
        <v>1648</v>
      </c>
      <c r="B3418" s="596" t="s">
        <v>4723</v>
      </c>
      <c r="C3418" s="588"/>
      <c r="D3418" s="599"/>
      <c r="F3418" s="585"/>
    </row>
    <row r="3419" spans="1:6">
      <c r="A3419" s="606">
        <v>164801</v>
      </c>
      <c r="B3419" s="607" t="s">
        <v>4724</v>
      </c>
      <c r="C3419" s="608" t="s">
        <v>1240</v>
      </c>
      <c r="D3419" s="599">
        <v>5.25</v>
      </c>
    </row>
    <row r="3420" spans="1:6">
      <c r="A3420" s="606">
        <v>164802</v>
      </c>
      <c r="B3420" s="607" t="s">
        <v>4725</v>
      </c>
      <c r="C3420" s="608" t="s">
        <v>1240</v>
      </c>
      <c r="D3420" s="599">
        <v>7.97</v>
      </c>
    </row>
    <row r="3421" spans="1:6">
      <c r="A3421" s="606">
        <v>164803</v>
      </c>
      <c r="B3421" s="607" t="s">
        <v>4726</v>
      </c>
      <c r="C3421" s="608" t="s">
        <v>1240</v>
      </c>
      <c r="D3421" s="599">
        <v>7.95</v>
      </c>
    </row>
    <row r="3422" spans="1:6">
      <c r="A3422" s="606">
        <v>164804</v>
      </c>
      <c r="B3422" s="607" t="s">
        <v>4727</v>
      </c>
      <c r="C3422" s="608" t="s">
        <v>1240</v>
      </c>
      <c r="D3422" s="599">
        <v>3.02</v>
      </c>
    </row>
    <row r="3423" spans="1:6">
      <c r="A3423" s="606">
        <v>164805</v>
      </c>
      <c r="B3423" s="607" t="s">
        <v>4728</v>
      </c>
      <c r="C3423" s="608" t="s">
        <v>1240</v>
      </c>
      <c r="D3423" s="599">
        <v>26.14</v>
      </c>
    </row>
    <row r="3424" spans="1:6">
      <c r="A3424" s="606">
        <v>164806</v>
      </c>
      <c r="B3424" s="607" t="s">
        <v>4729</v>
      </c>
      <c r="C3424" s="608" t="s">
        <v>1240</v>
      </c>
      <c r="D3424" s="599">
        <v>14.69</v>
      </c>
    </row>
    <row r="3425" spans="1:6" ht="26.4">
      <c r="A3425" s="606">
        <v>164807</v>
      </c>
      <c r="B3425" s="607" t="s">
        <v>4730</v>
      </c>
      <c r="C3425" s="608" t="s">
        <v>1240</v>
      </c>
      <c r="D3425" s="599">
        <v>11.21</v>
      </c>
    </row>
    <row r="3426" spans="1:6" ht="26.4">
      <c r="A3426" s="606">
        <v>164808</v>
      </c>
      <c r="B3426" s="607" t="s">
        <v>4731</v>
      </c>
      <c r="C3426" s="608" t="s">
        <v>1240</v>
      </c>
      <c r="D3426" s="599">
        <v>14.91</v>
      </c>
    </row>
    <row r="3427" spans="1:6">
      <c r="A3427" s="606">
        <v>164809</v>
      </c>
      <c r="B3427" s="607" t="s">
        <v>4732</v>
      </c>
      <c r="C3427" s="608" t="s">
        <v>1240</v>
      </c>
      <c r="D3427" s="599">
        <v>15.3</v>
      </c>
    </row>
    <row r="3428" spans="1:6" ht="26.4">
      <c r="A3428" s="606">
        <v>164810</v>
      </c>
      <c r="B3428" s="607" t="s">
        <v>4733</v>
      </c>
      <c r="C3428" s="608" t="s">
        <v>1240</v>
      </c>
      <c r="D3428" s="599">
        <v>27.41</v>
      </c>
      <c r="E3428" s="626">
        <f t="shared" ref="E3428:E3433" si="0">520*D3428</f>
        <v>14253.2</v>
      </c>
    </row>
    <row r="3429" spans="1:6" ht="26.4">
      <c r="A3429" s="606">
        <v>164811</v>
      </c>
      <c r="B3429" s="607" t="s">
        <v>4734</v>
      </c>
      <c r="C3429" s="608" t="s">
        <v>1240</v>
      </c>
      <c r="D3429" s="599">
        <v>18.64</v>
      </c>
      <c r="E3429" s="626">
        <f t="shared" si="0"/>
        <v>9692.8000000000011</v>
      </c>
    </row>
    <row r="3430" spans="1:6">
      <c r="A3430" s="606">
        <v>164812</v>
      </c>
      <c r="B3430" s="607" t="s">
        <v>4735</v>
      </c>
      <c r="C3430" s="608" t="s">
        <v>1240</v>
      </c>
      <c r="D3430" s="599">
        <v>17.309999999999999</v>
      </c>
      <c r="E3430" s="626">
        <f t="shared" si="0"/>
        <v>9001.1999999999989</v>
      </c>
    </row>
    <row r="3431" spans="1:6">
      <c r="A3431" s="606">
        <v>164813</v>
      </c>
      <c r="B3431" s="607" t="s">
        <v>4736</v>
      </c>
      <c r="C3431" s="608" t="s">
        <v>1240</v>
      </c>
      <c r="D3431" s="599">
        <v>14.78</v>
      </c>
      <c r="E3431" s="626">
        <f t="shared" si="0"/>
        <v>7685.5999999999995</v>
      </c>
    </row>
    <row r="3432" spans="1:6" ht="26.4">
      <c r="A3432" s="606">
        <v>164814</v>
      </c>
      <c r="B3432" s="607" t="s">
        <v>4737</v>
      </c>
      <c r="C3432" s="608" t="s">
        <v>1240</v>
      </c>
      <c r="D3432" s="599">
        <v>25.01</v>
      </c>
      <c r="E3432" s="626">
        <f t="shared" si="0"/>
        <v>13005.2</v>
      </c>
    </row>
    <row r="3433" spans="1:6">
      <c r="A3433" s="606">
        <v>164815</v>
      </c>
      <c r="B3433" s="607" t="s">
        <v>4738</v>
      </c>
      <c r="C3433" s="608" t="s">
        <v>1240</v>
      </c>
      <c r="D3433" s="599">
        <v>37.53</v>
      </c>
      <c r="E3433" s="626">
        <f t="shared" si="0"/>
        <v>19515.600000000002</v>
      </c>
    </row>
    <row r="3434" spans="1:6">
      <c r="A3434" s="606">
        <v>164816</v>
      </c>
      <c r="B3434" s="607" t="s">
        <v>4739</v>
      </c>
      <c r="C3434" s="608" t="s">
        <v>1240</v>
      </c>
      <c r="D3434" s="599">
        <v>21.04</v>
      </c>
    </row>
    <row r="3435" spans="1:6" ht="26.4">
      <c r="A3435" s="606">
        <v>164831</v>
      </c>
      <c r="B3435" s="607" t="s">
        <v>4740</v>
      </c>
      <c r="C3435" s="608" t="s">
        <v>1240</v>
      </c>
      <c r="D3435" s="599">
        <v>36.880000000000003</v>
      </c>
    </row>
    <row r="3436" spans="1:6">
      <c r="A3436" s="606">
        <v>164835</v>
      </c>
      <c r="B3436" s="607" t="s">
        <v>4741</v>
      </c>
      <c r="C3436" s="608" t="s">
        <v>1240</v>
      </c>
      <c r="D3436" s="599">
        <v>55.96</v>
      </c>
    </row>
    <row r="3437" spans="1:6">
      <c r="A3437" s="606">
        <v>164840</v>
      </c>
      <c r="B3437" s="607" t="s">
        <v>4742</v>
      </c>
      <c r="C3437" s="608" t="s">
        <v>1240</v>
      </c>
      <c r="D3437" s="599">
        <v>29.52</v>
      </c>
    </row>
    <row r="3438" spans="1:6">
      <c r="A3438" s="589">
        <v>1649</v>
      </c>
      <c r="B3438" s="596" t="s">
        <v>4743</v>
      </c>
      <c r="C3438" s="588"/>
      <c r="D3438" s="599"/>
      <c r="F3438" s="585"/>
    </row>
    <row r="3439" spans="1:6">
      <c r="A3439" s="606">
        <v>164901</v>
      </c>
      <c r="B3439" s="607" t="s">
        <v>4744</v>
      </c>
      <c r="C3439" s="608" t="s">
        <v>4678</v>
      </c>
      <c r="D3439" s="599">
        <v>121.1</v>
      </c>
    </row>
    <row r="3440" spans="1:6">
      <c r="A3440" s="589">
        <v>1650</v>
      </c>
      <c r="B3440" s="596" t="s">
        <v>4745</v>
      </c>
      <c r="C3440" s="588"/>
      <c r="D3440" s="599"/>
      <c r="F3440" s="585"/>
    </row>
    <row r="3441" spans="1:6">
      <c r="A3441" s="606">
        <v>165001</v>
      </c>
      <c r="B3441" s="607" t="s">
        <v>4746</v>
      </c>
      <c r="C3441" s="608" t="s">
        <v>1615</v>
      </c>
      <c r="D3441" s="599">
        <v>11.6</v>
      </c>
    </row>
    <row r="3442" spans="1:6">
      <c r="A3442" s="606">
        <v>165002</v>
      </c>
      <c r="B3442" s="607" t="s">
        <v>4747</v>
      </c>
      <c r="C3442" s="608" t="s">
        <v>1240</v>
      </c>
      <c r="D3442" s="599">
        <v>0.97</v>
      </c>
    </row>
    <row r="3443" spans="1:6">
      <c r="A3443" s="606">
        <v>165010</v>
      </c>
      <c r="B3443" s="607" t="s">
        <v>4748</v>
      </c>
      <c r="C3443" s="608" t="s">
        <v>1650</v>
      </c>
      <c r="D3443" s="599">
        <v>116.07</v>
      </c>
    </row>
    <row r="3444" spans="1:6">
      <c r="A3444" s="606">
        <v>165015</v>
      </c>
      <c r="B3444" s="607" t="s">
        <v>4749</v>
      </c>
      <c r="C3444" s="608" t="s">
        <v>1650</v>
      </c>
      <c r="D3444" s="599">
        <v>47.09</v>
      </c>
    </row>
    <row r="3445" spans="1:6">
      <c r="A3445" s="606">
        <v>165099</v>
      </c>
      <c r="B3445" s="607" t="s">
        <v>1690</v>
      </c>
      <c r="C3445" s="608" t="s">
        <v>1652</v>
      </c>
      <c r="D3445" s="599">
        <v>263.25</v>
      </c>
    </row>
    <row r="3446" spans="1:6">
      <c r="A3446" s="589">
        <v>1680</v>
      </c>
      <c r="B3446" s="596" t="s">
        <v>4750</v>
      </c>
      <c r="C3446" s="588"/>
      <c r="D3446" s="599"/>
      <c r="F3446" s="585"/>
    </row>
    <row r="3447" spans="1:6">
      <c r="A3447" s="606">
        <v>168003</v>
      </c>
      <c r="B3447" s="607" t="s">
        <v>4751</v>
      </c>
      <c r="C3447" s="608" t="s">
        <v>1659</v>
      </c>
      <c r="D3447" s="599">
        <v>231.89</v>
      </c>
    </row>
    <row r="3448" spans="1:6">
      <c r="A3448" s="606">
        <v>168004</v>
      </c>
      <c r="B3448" s="607" t="s">
        <v>4752</v>
      </c>
      <c r="C3448" s="608" t="s">
        <v>1659</v>
      </c>
      <c r="D3448" s="599">
        <v>282.86</v>
      </c>
    </row>
    <row r="3449" spans="1:6">
      <c r="A3449" s="606">
        <v>168006</v>
      </c>
      <c r="B3449" s="607" t="s">
        <v>4753</v>
      </c>
      <c r="C3449" s="608" t="s">
        <v>1248</v>
      </c>
      <c r="D3449" s="599">
        <v>12.54</v>
      </c>
    </row>
    <row r="3450" spans="1:6">
      <c r="A3450" s="606">
        <v>168007</v>
      </c>
      <c r="B3450" s="607" t="s">
        <v>4754</v>
      </c>
      <c r="C3450" s="608" t="s">
        <v>1659</v>
      </c>
      <c r="D3450" s="599">
        <v>42.16</v>
      </c>
    </row>
    <row r="3451" spans="1:6">
      <c r="A3451" s="606">
        <v>168008</v>
      </c>
      <c r="B3451" s="607" t="s">
        <v>4755</v>
      </c>
      <c r="C3451" s="608" t="s">
        <v>1240</v>
      </c>
      <c r="D3451" s="599">
        <v>47.33</v>
      </c>
    </row>
    <row r="3452" spans="1:6">
      <c r="A3452" s="606">
        <v>168009</v>
      </c>
      <c r="B3452" s="607" t="s">
        <v>4756</v>
      </c>
      <c r="C3452" s="608" t="s">
        <v>1240</v>
      </c>
      <c r="D3452" s="599">
        <v>58.37</v>
      </c>
    </row>
    <row r="3453" spans="1:6">
      <c r="A3453" s="606">
        <v>168010</v>
      </c>
      <c r="B3453" s="607" t="s">
        <v>4757</v>
      </c>
      <c r="C3453" s="608" t="s">
        <v>1240</v>
      </c>
      <c r="D3453" s="599">
        <v>34.700000000000003</v>
      </c>
    </row>
    <row r="3454" spans="1:6">
      <c r="A3454" s="606">
        <v>168011</v>
      </c>
      <c r="B3454" s="607" t="s">
        <v>4758</v>
      </c>
      <c r="C3454" s="608" t="s">
        <v>1659</v>
      </c>
      <c r="D3454" s="599">
        <v>24.92</v>
      </c>
    </row>
    <row r="3455" spans="1:6">
      <c r="A3455" s="606">
        <v>168012</v>
      </c>
      <c r="B3455" s="607" t="s">
        <v>4759</v>
      </c>
      <c r="C3455" s="608" t="s">
        <v>1659</v>
      </c>
      <c r="D3455" s="599">
        <v>48.67</v>
      </c>
    </row>
    <row r="3456" spans="1:6">
      <c r="A3456" s="606">
        <v>168013</v>
      </c>
      <c r="B3456" s="607" t="s">
        <v>4760</v>
      </c>
      <c r="C3456" s="608" t="s">
        <v>1240</v>
      </c>
      <c r="D3456" s="599">
        <v>27.18</v>
      </c>
    </row>
    <row r="3457" spans="1:4">
      <c r="A3457" s="606">
        <v>168020</v>
      </c>
      <c r="B3457" s="607" t="s">
        <v>4761</v>
      </c>
      <c r="C3457" s="608" t="s">
        <v>1615</v>
      </c>
      <c r="D3457" s="599">
        <v>1898.31</v>
      </c>
    </row>
    <row r="3458" spans="1:4">
      <c r="A3458" s="606">
        <v>168021</v>
      </c>
      <c r="B3458" s="607" t="s">
        <v>4762</v>
      </c>
      <c r="C3458" s="608" t="s">
        <v>1615</v>
      </c>
      <c r="D3458" s="599">
        <v>345.12</v>
      </c>
    </row>
    <row r="3459" spans="1:4">
      <c r="A3459" s="606">
        <v>168022</v>
      </c>
      <c r="B3459" s="607" t="s">
        <v>4763</v>
      </c>
      <c r="C3459" s="608" t="s">
        <v>1615</v>
      </c>
      <c r="D3459" s="599">
        <v>108.39</v>
      </c>
    </row>
    <row r="3460" spans="1:4">
      <c r="A3460" s="606">
        <v>168070</v>
      </c>
      <c r="B3460" s="607" t="s">
        <v>4764</v>
      </c>
      <c r="C3460" s="608" t="s">
        <v>1659</v>
      </c>
      <c r="D3460" s="599">
        <v>807.57</v>
      </c>
    </row>
    <row r="3461" spans="1:4">
      <c r="A3461" s="606">
        <v>168071</v>
      </c>
      <c r="B3461" s="607" t="s">
        <v>4765</v>
      </c>
      <c r="C3461" s="608" t="s">
        <v>1659</v>
      </c>
      <c r="D3461" s="599">
        <v>176.05</v>
      </c>
    </row>
    <row r="3462" spans="1:4">
      <c r="A3462" s="606">
        <v>168072</v>
      </c>
      <c r="B3462" s="607" t="s">
        <v>4766</v>
      </c>
      <c r="C3462" s="608" t="s">
        <v>1650</v>
      </c>
      <c r="D3462" s="599">
        <v>68.81</v>
      </c>
    </row>
    <row r="3463" spans="1:4">
      <c r="A3463" s="606">
        <v>168086</v>
      </c>
      <c r="B3463" s="607" t="s">
        <v>4565</v>
      </c>
      <c r="C3463" s="608" t="s">
        <v>1615</v>
      </c>
      <c r="D3463" s="599">
        <v>7.14</v>
      </c>
    </row>
    <row r="3464" spans="1:4">
      <c r="A3464" s="606">
        <v>168087</v>
      </c>
      <c r="B3464" s="607" t="s">
        <v>4566</v>
      </c>
      <c r="C3464" s="608" t="s">
        <v>1240</v>
      </c>
      <c r="D3464" s="599">
        <v>5.35</v>
      </c>
    </row>
    <row r="3465" spans="1:4">
      <c r="A3465" s="606">
        <v>168088</v>
      </c>
      <c r="B3465" s="607" t="s">
        <v>4567</v>
      </c>
      <c r="C3465" s="608" t="s">
        <v>1240</v>
      </c>
      <c r="D3465" s="599">
        <v>6.69</v>
      </c>
    </row>
    <row r="3466" spans="1:4">
      <c r="A3466" s="606">
        <v>168089</v>
      </c>
      <c r="B3466" s="607" t="s">
        <v>4767</v>
      </c>
      <c r="C3466" s="608" t="s">
        <v>1615</v>
      </c>
      <c r="D3466" s="599">
        <v>26.78</v>
      </c>
    </row>
    <row r="3467" spans="1:4">
      <c r="A3467" s="606">
        <v>168090</v>
      </c>
      <c r="B3467" s="607" t="s">
        <v>4768</v>
      </c>
      <c r="C3467" s="608" t="s">
        <v>1615</v>
      </c>
      <c r="D3467" s="599">
        <v>71.430000000000007</v>
      </c>
    </row>
    <row r="3468" spans="1:4">
      <c r="A3468" s="606">
        <v>168091</v>
      </c>
      <c r="B3468" s="607" t="s">
        <v>4769</v>
      </c>
      <c r="C3468" s="608" t="s">
        <v>1615</v>
      </c>
      <c r="D3468" s="599">
        <v>160.72</v>
      </c>
    </row>
    <row r="3469" spans="1:4">
      <c r="A3469" s="606">
        <v>168092</v>
      </c>
      <c r="B3469" s="607" t="s">
        <v>4770</v>
      </c>
      <c r="C3469" s="608" t="s">
        <v>1240</v>
      </c>
      <c r="D3469" s="599">
        <v>13.39</v>
      </c>
    </row>
    <row r="3470" spans="1:4">
      <c r="A3470" s="606">
        <v>168093</v>
      </c>
      <c r="B3470" s="607" t="s">
        <v>4771</v>
      </c>
      <c r="C3470" s="608" t="s">
        <v>1615</v>
      </c>
      <c r="D3470" s="599">
        <v>2.67</v>
      </c>
    </row>
    <row r="3471" spans="1:4">
      <c r="A3471" s="606">
        <v>168094</v>
      </c>
      <c r="B3471" s="607" t="s">
        <v>4772</v>
      </c>
      <c r="C3471" s="608" t="s">
        <v>1650</v>
      </c>
      <c r="D3471" s="599">
        <v>56.39</v>
      </c>
    </row>
    <row r="3472" spans="1:4">
      <c r="A3472" s="606">
        <v>168095</v>
      </c>
      <c r="B3472" s="607" t="s">
        <v>4773</v>
      </c>
      <c r="C3472" s="608" t="s">
        <v>4774</v>
      </c>
      <c r="D3472" s="599">
        <v>394.92</v>
      </c>
    </row>
    <row r="3473" spans="1:6">
      <c r="A3473" s="606">
        <v>168098</v>
      </c>
      <c r="B3473" s="607" t="s">
        <v>4775</v>
      </c>
      <c r="C3473" s="608" t="s">
        <v>1650</v>
      </c>
      <c r="D3473" s="599">
        <v>26.38</v>
      </c>
    </row>
    <row r="3474" spans="1:6">
      <c r="A3474" s="606">
        <v>168099</v>
      </c>
      <c r="B3474" s="607" t="s">
        <v>4776</v>
      </c>
      <c r="C3474" s="608" t="s">
        <v>1652</v>
      </c>
      <c r="D3474" s="599">
        <v>263.25</v>
      </c>
    </row>
    <row r="3475" spans="1:6">
      <c r="A3475" s="589">
        <v>1685</v>
      </c>
      <c r="B3475" s="596" t="s">
        <v>4777</v>
      </c>
      <c r="C3475" s="588"/>
      <c r="D3475" s="599"/>
      <c r="F3475" s="585"/>
    </row>
    <row r="3476" spans="1:6">
      <c r="A3476" s="606">
        <v>168501</v>
      </c>
      <c r="B3476" s="607" t="s">
        <v>4778</v>
      </c>
      <c r="C3476" s="608" t="s">
        <v>1615</v>
      </c>
      <c r="D3476" s="599">
        <v>1853.2</v>
      </c>
    </row>
    <row r="3477" spans="1:6">
      <c r="A3477" s="606">
        <v>168502</v>
      </c>
      <c r="B3477" s="607" t="s">
        <v>4779</v>
      </c>
      <c r="C3477" s="608" t="s">
        <v>4478</v>
      </c>
      <c r="D3477" s="599">
        <v>5.16</v>
      </c>
    </row>
    <row r="3478" spans="1:6">
      <c r="A3478" s="606">
        <v>168505</v>
      </c>
      <c r="B3478" s="607" t="s">
        <v>4780</v>
      </c>
      <c r="C3478" s="608" t="s">
        <v>1659</v>
      </c>
      <c r="D3478" s="599">
        <v>425.71</v>
      </c>
    </row>
    <row r="3479" spans="1:6">
      <c r="A3479" s="606">
        <v>168506</v>
      </c>
      <c r="B3479" s="607" t="s">
        <v>4781</v>
      </c>
      <c r="C3479" s="608" t="s">
        <v>1659</v>
      </c>
      <c r="D3479" s="599">
        <v>365.55</v>
      </c>
    </row>
    <row r="3480" spans="1:6">
      <c r="A3480" s="606">
        <v>168507</v>
      </c>
      <c r="B3480" s="607" t="s">
        <v>4782</v>
      </c>
      <c r="C3480" s="608" t="s">
        <v>1659</v>
      </c>
      <c r="D3480" s="599">
        <v>316.52</v>
      </c>
    </row>
    <row r="3481" spans="1:6">
      <c r="A3481" s="606">
        <v>168508</v>
      </c>
      <c r="B3481" s="607" t="s">
        <v>4783</v>
      </c>
      <c r="C3481" s="608" t="s">
        <v>1659</v>
      </c>
      <c r="D3481" s="599">
        <v>262.62</v>
      </c>
    </row>
    <row r="3482" spans="1:6">
      <c r="A3482" s="606">
        <v>168509</v>
      </c>
      <c r="B3482" s="607" t="s">
        <v>4784</v>
      </c>
      <c r="C3482" s="608" t="s">
        <v>1659</v>
      </c>
      <c r="D3482" s="599">
        <v>162.02000000000001</v>
      </c>
    </row>
    <row r="3483" spans="1:6">
      <c r="A3483" s="606">
        <v>168511</v>
      </c>
      <c r="B3483" s="607" t="s">
        <v>4785</v>
      </c>
      <c r="C3483" s="608" t="s">
        <v>1659</v>
      </c>
      <c r="D3483" s="599">
        <v>514.26</v>
      </c>
    </row>
    <row r="3484" spans="1:6">
      <c r="A3484" s="606">
        <v>168512</v>
      </c>
      <c r="B3484" s="607" t="s">
        <v>4786</v>
      </c>
      <c r="C3484" s="608" t="s">
        <v>1659</v>
      </c>
      <c r="D3484" s="599">
        <v>299.39999999999998</v>
      </c>
    </row>
    <row r="3485" spans="1:6">
      <c r="A3485" s="606">
        <v>168513</v>
      </c>
      <c r="B3485" s="607" t="s">
        <v>4787</v>
      </c>
      <c r="C3485" s="608" t="s">
        <v>1659</v>
      </c>
      <c r="D3485" s="599">
        <v>198.31</v>
      </c>
    </row>
    <row r="3486" spans="1:6">
      <c r="A3486" s="606">
        <v>168514</v>
      </c>
      <c r="B3486" s="607" t="s">
        <v>4788</v>
      </c>
      <c r="C3486" s="608" t="s">
        <v>1659</v>
      </c>
      <c r="D3486" s="599">
        <v>369.61</v>
      </c>
    </row>
    <row r="3487" spans="1:6">
      <c r="A3487" s="606">
        <v>168515</v>
      </c>
      <c r="B3487" s="607" t="s">
        <v>4789</v>
      </c>
      <c r="C3487" s="608" t="s">
        <v>1659</v>
      </c>
      <c r="D3487" s="599">
        <v>299.39999999999998</v>
      </c>
    </row>
    <row r="3488" spans="1:6">
      <c r="A3488" s="606">
        <v>168516</v>
      </c>
      <c r="B3488" s="607" t="s">
        <v>4790</v>
      </c>
      <c r="C3488" s="608" t="s">
        <v>1659</v>
      </c>
      <c r="D3488" s="599">
        <v>198.31</v>
      </c>
    </row>
    <row r="3489" spans="1:4">
      <c r="A3489" s="606">
        <v>168517</v>
      </c>
      <c r="B3489" s="607" t="s">
        <v>4791</v>
      </c>
      <c r="C3489" s="608" t="s">
        <v>1659</v>
      </c>
      <c r="D3489" s="599">
        <v>147.05000000000001</v>
      </c>
    </row>
    <row r="3490" spans="1:4">
      <c r="A3490" s="606">
        <v>168521</v>
      </c>
      <c r="B3490" s="607" t="s">
        <v>4792</v>
      </c>
      <c r="C3490" s="608" t="s">
        <v>1659</v>
      </c>
      <c r="D3490" s="599">
        <v>667.71</v>
      </c>
    </row>
    <row r="3491" spans="1:4">
      <c r="A3491" s="606">
        <v>168522</v>
      </c>
      <c r="B3491" s="607" t="s">
        <v>4793</v>
      </c>
      <c r="C3491" s="608" t="s">
        <v>1659</v>
      </c>
      <c r="D3491" s="599">
        <v>596.16</v>
      </c>
    </row>
    <row r="3492" spans="1:4">
      <c r="A3492" s="606">
        <v>168523</v>
      </c>
      <c r="B3492" s="607" t="s">
        <v>4794</v>
      </c>
      <c r="C3492" s="608" t="s">
        <v>1659</v>
      </c>
      <c r="D3492" s="599">
        <v>517.21</v>
      </c>
    </row>
    <row r="3493" spans="1:4">
      <c r="A3493" s="606">
        <v>168525</v>
      </c>
      <c r="B3493" s="607" t="s">
        <v>4795</v>
      </c>
      <c r="C3493" s="608" t="s">
        <v>1659</v>
      </c>
      <c r="D3493" s="599">
        <v>500.69</v>
      </c>
    </row>
    <row r="3494" spans="1:4">
      <c r="A3494" s="606">
        <v>168526</v>
      </c>
      <c r="B3494" s="607" t="s">
        <v>4796</v>
      </c>
      <c r="C3494" s="608" t="s">
        <v>1659</v>
      </c>
      <c r="D3494" s="599">
        <v>278.02</v>
      </c>
    </row>
    <row r="3495" spans="1:4">
      <c r="A3495" s="606">
        <v>168528</v>
      </c>
      <c r="B3495" s="607" t="s">
        <v>4797</v>
      </c>
      <c r="C3495" s="608" t="s">
        <v>1659</v>
      </c>
      <c r="D3495" s="599">
        <v>392.12</v>
      </c>
    </row>
    <row r="3496" spans="1:4">
      <c r="A3496" s="606">
        <v>168529</v>
      </c>
      <c r="B3496" s="607" t="s">
        <v>4798</v>
      </c>
      <c r="C3496" s="608" t="s">
        <v>1659</v>
      </c>
      <c r="D3496" s="599">
        <v>387.45</v>
      </c>
    </row>
    <row r="3497" spans="1:4">
      <c r="A3497" s="606">
        <v>168531</v>
      </c>
      <c r="B3497" s="607" t="s">
        <v>4799</v>
      </c>
      <c r="C3497" s="608" t="s">
        <v>1650</v>
      </c>
      <c r="D3497" s="599">
        <v>378.43</v>
      </c>
    </row>
    <row r="3498" spans="1:4">
      <c r="A3498" s="606">
        <v>168533</v>
      </c>
      <c r="B3498" s="607" t="s">
        <v>4800</v>
      </c>
      <c r="C3498" s="608" t="s">
        <v>1650</v>
      </c>
      <c r="D3498" s="599">
        <v>435.65</v>
      </c>
    </row>
    <row r="3499" spans="1:4">
      <c r="A3499" s="606">
        <v>168535</v>
      </c>
      <c r="B3499" s="607" t="s">
        <v>4801</v>
      </c>
      <c r="C3499" s="608" t="s">
        <v>4802</v>
      </c>
      <c r="D3499" s="599">
        <v>185.05</v>
      </c>
    </row>
    <row r="3500" spans="1:4">
      <c r="A3500" s="606">
        <v>168537</v>
      </c>
      <c r="B3500" s="607" t="s">
        <v>4803</v>
      </c>
      <c r="C3500" s="608" t="s">
        <v>4802</v>
      </c>
      <c r="D3500" s="599">
        <v>91.47</v>
      </c>
    </row>
    <row r="3501" spans="1:4">
      <c r="A3501" s="606">
        <v>168538</v>
      </c>
      <c r="B3501" s="607" t="s">
        <v>4804</v>
      </c>
      <c r="C3501" s="608" t="s">
        <v>4802</v>
      </c>
      <c r="D3501" s="599">
        <v>114.69</v>
      </c>
    </row>
    <row r="3502" spans="1:4">
      <c r="A3502" s="606">
        <v>168539</v>
      </c>
      <c r="B3502" s="607" t="s">
        <v>4805</v>
      </c>
      <c r="C3502" s="608" t="s">
        <v>4802</v>
      </c>
      <c r="D3502" s="599">
        <v>233.7</v>
      </c>
    </row>
    <row r="3503" spans="1:4">
      <c r="A3503" s="606">
        <v>168541</v>
      </c>
      <c r="B3503" s="607" t="s">
        <v>4806</v>
      </c>
      <c r="C3503" s="608" t="s">
        <v>1615</v>
      </c>
      <c r="D3503" s="599">
        <v>1180.7</v>
      </c>
    </row>
    <row r="3504" spans="1:4">
      <c r="A3504" s="606">
        <v>168542</v>
      </c>
      <c r="B3504" s="607" t="s">
        <v>4807</v>
      </c>
      <c r="C3504" s="608" t="s">
        <v>4478</v>
      </c>
      <c r="D3504" s="599">
        <v>3.86</v>
      </c>
    </row>
    <row r="3505" spans="1:4">
      <c r="A3505" s="606">
        <v>168544</v>
      </c>
      <c r="B3505" s="607" t="s">
        <v>4808</v>
      </c>
      <c r="C3505" s="608" t="s">
        <v>1615</v>
      </c>
      <c r="D3505" s="599">
        <v>98.8</v>
      </c>
    </row>
    <row r="3506" spans="1:4">
      <c r="A3506" s="606">
        <v>168545</v>
      </c>
      <c r="B3506" s="607" t="s">
        <v>4809</v>
      </c>
      <c r="C3506" s="608" t="s">
        <v>1615</v>
      </c>
      <c r="D3506" s="599">
        <v>64.569999999999993</v>
      </c>
    </row>
    <row r="3507" spans="1:4">
      <c r="A3507" s="606">
        <v>168546</v>
      </c>
      <c r="B3507" s="607" t="s">
        <v>4810</v>
      </c>
      <c r="C3507" s="608" t="s">
        <v>1615</v>
      </c>
      <c r="D3507" s="599">
        <v>242.92</v>
      </c>
    </row>
    <row r="3508" spans="1:4">
      <c r="A3508" s="606">
        <v>168548</v>
      </c>
      <c r="B3508" s="607" t="s">
        <v>4811</v>
      </c>
      <c r="C3508" s="608" t="s">
        <v>1615</v>
      </c>
      <c r="D3508" s="599">
        <v>170.93</v>
      </c>
    </row>
    <row r="3509" spans="1:4">
      <c r="A3509" s="606">
        <v>168549</v>
      </c>
      <c r="B3509" s="607" t="s">
        <v>4812</v>
      </c>
      <c r="C3509" s="608" t="s">
        <v>1615</v>
      </c>
      <c r="D3509" s="599">
        <v>527.25</v>
      </c>
    </row>
    <row r="3510" spans="1:4">
      <c r="A3510" s="606">
        <v>168550</v>
      </c>
      <c r="B3510" s="607" t="s">
        <v>4813</v>
      </c>
      <c r="C3510" s="608" t="s">
        <v>1615</v>
      </c>
      <c r="D3510" s="599">
        <v>616.02</v>
      </c>
    </row>
    <row r="3511" spans="1:4">
      <c r="A3511" s="606">
        <v>168551</v>
      </c>
      <c r="B3511" s="607" t="s">
        <v>4814</v>
      </c>
      <c r="C3511" s="608" t="s">
        <v>1659</v>
      </c>
      <c r="D3511" s="599">
        <v>150.41999999999999</v>
      </c>
    </row>
    <row r="3512" spans="1:4">
      <c r="A3512" s="606">
        <v>168552</v>
      </c>
      <c r="B3512" s="607" t="s">
        <v>4815</v>
      </c>
      <c r="C3512" s="608" t="s">
        <v>1659</v>
      </c>
      <c r="D3512" s="599">
        <v>273.08999999999997</v>
      </c>
    </row>
    <row r="3513" spans="1:4">
      <c r="A3513" s="606">
        <v>168553</v>
      </c>
      <c r="B3513" s="607" t="s">
        <v>4816</v>
      </c>
      <c r="C3513" s="608" t="s">
        <v>1659</v>
      </c>
      <c r="D3513" s="599">
        <v>208.85</v>
      </c>
    </row>
    <row r="3514" spans="1:4">
      <c r="A3514" s="606">
        <v>168554</v>
      </c>
      <c r="B3514" s="607" t="s">
        <v>4817</v>
      </c>
      <c r="C3514" s="608" t="s">
        <v>1659</v>
      </c>
      <c r="D3514" s="599">
        <v>362.51</v>
      </c>
    </row>
    <row r="3515" spans="1:4">
      <c r="A3515" s="606">
        <v>168556</v>
      </c>
      <c r="B3515" s="607" t="s">
        <v>4818</v>
      </c>
      <c r="C3515" s="608" t="s">
        <v>1659</v>
      </c>
      <c r="D3515" s="599">
        <v>227.63</v>
      </c>
    </row>
    <row r="3516" spans="1:4">
      <c r="A3516" s="606">
        <v>168557</v>
      </c>
      <c r="B3516" s="607" t="s">
        <v>4819</v>
      </c>
      <c r="C3516" s="608" t="s">
        <v>1659</v>
      </c>
      <c r="D3516" s="599">
        <v>423.09</v>
      </c>
    </row>
    <row r="3517" spans="1:4">
      <c r="A3517" s="606">
        <v>168558</v>
      </c>
      <c r="B3517" s="607" t="s">
        <v>4820</v>
      </c>
      <c r="C3517" s="608" t="s">
        <v>1659</v>
      </c>
      <c r="D3517" s="599">
        <v>294.63</v>
      </c>
    </row>
    <row r="3518" spans="1:4">
      <c r="A3518" s="606">
        <v>168559</v>
      </c>
      <c r="B3518" s="607" t="s">
        <v>4821</v>
      </c>
      <c r="C3518" s="608" t="s">
        <v>1659</v>
      </c>
      <c r="D3518" s="599">
        <v>541.59</v>
      </c>
    </row>
    <row r="3519" spans="1:4">
      <c r="A3519" s="606">
        <v>168560</v>
      </c>
      <c r="B3519" s="607" t="s">
        <v>4822</v>
      </c>
      <c r="C3519" s="608" t="s">
        <v>1615</v>
      </c>
      <c r="D3519" s="599">
        <v>2277.52</v>
      </c>
    </row>
    <row r="3520" spans="1:4">
      <c r="A3520" s="606">
        <v>168561</v>
      </c>
      <c r="B3520" s="607" t="s">
        <v>4823</v>
      </c>
      <c r="C3520" s="608" t="s">
        <v>1615</v>
      </c>
      <c r="D3520" s="599">
        <v>2617.92</v>
      </c>
    </row>
    <row r="3521" spans="1:4">
      <c r="A3521" s="606">
        <v>168562</v>
      </c>
      <c r="B3521" s="607" t="s">
        <v>4824</v>
      </c>
      <c r="C3521" s="608" t="s">
        <v>1615</v>
      </c>
      <c r="D3521" s="599">
        <v>2850.15</v>
      </c>
    </row>
    <row r="3522" spans="1:4">
      <c r="A3522" s="606">
        <v>168563</v>
      </c>
      <c r="B3522" s="607" t="s">
        <v>4825</v>
      </c>
      <c r="C3522" s="608" t="s">
        <v>1615</v>
      </c>
      <c r="D3522" s="599">
        <v>3263.85</v>
      </c>
    </row>
    <row r="3523" spans="1:4">
      <c r="A3523" s="606">
        <v>168564</v>
      </c>
      <c r="B3523" s="607" t="s">
        <v>4826</v>
      </c>
      <c r="C3523" s="608" t="s">
        <v>1615</v>
      </c>
      <c r="D3523" s="599">
        <v>4245.04</v>
      </c>
    </row>
    <row r="3524" spans="1:4">
      <c r="A3524" s="606">
        <v>168565</v>
      </c>
      <c r="B3524" s="607" t="s">
        <v>4827</v>
      </c>
      <c r="C3524" s="608" t="s">
        <v>1659</v>
      </c>
      <c r="D3524" s="599">
        <v>184.5</v>
      </c>
    </row>
    <row r="3525" spans="1:4">
      <c r="A3525" s="606">
        <v>168566</v>
      </c>
      <c r="B3525" s="607" t="s">
        <v>4828</v>
      </c>
      <c r="C3525" s="608" t="s">
        <v>1659</v>
      </c>
      <c r="D3525" s="599">
        <v>221.4</v>
      </c>
    </row>
    <row r="3526" spans="1:4">
      <c r="A3526" s="606">
        <v>168567</v>
      </c>
      <c r="B3526" s="607" t="s">
        <v>4829</v>
      </c>
      <c r="C3526" s="608" t="s">
        <v>1659</v>
      </c>
      <c r="D3526" s="599">
        <v>258.3</v>
      </c>
    </row>
    <row r="3527" spans="1:4">
      <c r="A3527" s="606">
        <v>168568</v>
      </c>
      <c r="B3527" s="607" t="s">
        <v>4830</v>
      </c>
      <c r="C3527" s="608" t="s">
        <v>1659</v>
      </c>
      <c r="D3527" s="599">
        <v>295.2</v>
      </c>
    </row>
    <row r="3528" spans="1:4">
      <c r="A3528" s="606">
        <v>168570</v>
      </c>
      <c r="B3528" s="607" t="s">
        <v>4831</v>
      </c>
      <c r="C3528" s="608" t="s">
        <v>1615</v>
      </c>
      <c r="D3528" s="599">
        <v>944.2</v>
      </c>
    </row>
    <row r="3529" spans="1:4">
      <c r="A3529" s="606">
        <v>168571</v>
      </c>
      <c r="B3529" s="607" t="s">
        <v>4832</v>
      </c>
      <c r="C3529" s="608" t="s">
        <v>1615</v>
      </c>
      <c r="D3529" s="599">
        <v>944.2</v>
      </c>
    </row>
    <row r="3530" spans="1:4">
      <c r="A3530" s="606">
        <v>168572</v>
      </c>
      <c r="B3530" s="607" t="s">
        <v>4833</v>
      </c>
      <c r="C3530" s="608" t="s">
        <v>1615</v>
      </c>
      <c r="D3530" s="599">
        <v>944.2</v>
      </c>
    </row>
    <row r="3531" spans="1:4">
      <c r="A3531" s="606">
        <v>168580</v>
      </c>
      <c r="B3531" s="607" t="s">
        <v>4834</v>
      </c>
      <c r="C3531" s="608" t="s">
        <v>1659</v>
      </c>
      <c r="D3531" s="599">
        <v>5.38</v>
      </c>
    </row>
    <row r="3532" spans="1:4">
      <c r="A3532" s="606">
        <v>168581</v>
      </c>
      <c r="B3532" s="607" t="s">
        <v>4835</v>
      </c>
      <c r="C3532" s="608" t="s">
        <v>1659</v>
      </c>
      <c r="D3532" s="599">
        <v>8.11</v>
      </c>
    </row>
    <row r="3533" spans="1:4">
      <c r="A3533" s="606">
        <v>168582</v>
      </c>
      <c r="B3533" s="607" t="s">
        <v>4836</v>
      </c>
      <c r="C3533" s="608" t="s">
        <v>1659</v>
      </c>
      <c r="D3533" s="599">
        <v>11.16</v>
      </c>
    </row>
    <row r="3534" spans="1:4">
      <c r="A3534" s="606">
        <v>168583</v>
      </c>
      <c r="B3534" s="607" t="s">
        <v>4837</v>
      </c>
      <c r="C3534" s="608" t="s">
        <v>1659</v>
      </c>
      <c r="D3534" s="599">
        <v>18.43</v>
      </c>
    </row>
    <row r="3535" spans="1:4">
      <c r="A3535" s="606">
        <v>168584</v>
      </c>
      <c r="B3535" s="607" t="s">
        <v>4838</v>
      </c>
      <c r="C3535" s="608" t="s">
        <v>1659</v>
      </c>
      <c r="D3535" s="599">
        <v>28.65</v>
      </c>
    </row>
    <row r="3536" spans="1:4">
      <c r="A3536" s="606">
        <v>168585</v>
      </c>
      <c r="B3536" s="607" t="s">
        <v>4839</v>
      </c>
      <c r="C3536" s="608" t="s">
        <v>1659</v>
      </c>
      <c r="D3536" s="599">
        <v>45.17</v>
      </c>
    </row>
    <row r="3537" spans="1:4">
      <c r="A3537" s="627">
        <v>168590</v>
      </c>
      <c r="B3537" s="628" t="s">
        <v>4840</v>
      </c>
      <c r="C3537" s="629" t="s">
        <v>1615</v>
      </c>
      <c r="D3537" s="599">
        <v>39.119999999999997</v>
      </c>
    </row>
    <row r="3538" spans="1:4">
      <c r="D3538" s="599">
        <v>0</v>
      </c>
    </row>
  </sheetData>
  <pageMargins left="0.78749999999999998" right="0.78749999999999998" top="0.98402777777777795" bottom="0.98402777777777795" header="0.511811023622047" footer="0.511811023622047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H317"/>
  <sheetViews>
    <sheetView view="pageBreakPreview" topLeftCell="A202" zoomScale="90" zoomScaleNormal="80" zoomScalePageLayoutView="90" workbookViewId="0">
      <selection activeCell="C41" sqref="C41"/>
    </sheetView>
  </sheetViews>
  <sheetFormatPr defaultColWidth="11.44140625" defaultRowHeight="11.4"/>
  <cols>
    <col min="1" max="1" width="11.44140625" style="506"/>
    <col min="2" max="2" width="11.44140625" style="630"/>
    <col min="3" max="3" width="71.44140625" style="506" customWidth="1"/>
    <col min="4" max="4" width="8" style="506" customWidth="1"/>
    <col min="5" max="6" width="9.6640625" style="506" customWidth="1"/>
    <col min="7" max="7" width="14.33203125" style="506" customWidth="1"/>
    <col min="8" max="8" width="7.109375" style="506" customWidth="1"/>
    <col min="9" max="16384" width="11.44140625" style="506"/>
  </cols>
  <sheetData>
    <row r="2" spans="1:8" ht="15.6">
      <c r="C2" s="1399"/>
      <c r="D2" s="1399"/>
      <c r="E2" s="1399"/>
      <c r="F2" s="1399"/>
      <c r="G2" s="1399"/>
    </row>
    <row r="3" spans="1:8" ht="15.6">
      <c r="C3" s="1399"/>
      <c r="D3" s="1399"/>
      <c r="E3" s="1399"/>
      <c r="F3" s="1399"/>
      <c r="G3" s="1399"/>
    </row>
    <row r="6" spans="1:8" ht="5.25" customHeight="1">
      <c r="B6" s="631"/>
      <c r="D6" s="631"/>
      <c r="E6" s="632"/>
      <c r="F6" s="633"/>
      <c r="G6" s="632"/>
    </row>
    <row r="7" spans="1:8" ht="11.25" customHeight="1">
      <c r="A7" s="631"/>
      <c r="B7" s="634" t="s">
        <v>1193</v>
      </c>
      <c r="C7" s="635"/>
      <c r="D7" s="636" t="s">
        <v>4841</v>
      </c>
      <c r="E7" s="637"/>
      <c r="F7" s="638"/>
      <c r="G7" s="639"/>
      <c r="H7" s="631"/>
    </row>
    <row r="8" spans="1:8" ht="17.399999999999999">
      <c r="B8" s="640" t="s">
        <v>4842</v>
      </c>
      <c r="C8" s="641"/>
      <c r="D8" s="1400" t="s">
        <v>4843</v>
      </c>
      <c r="E8" s="1400"/>
      <c r="F8" s="1400"/>
      <c r="G8" s="1400"/>
    </row>
    <row r="9" spans="1:8" ht="5.25" customHeight="1">
      <c r="B9" s="642"/>
      <c r="D9" s="643"/>
      <c r="E9" s="644"/>
      <c r="F9" s="644"/>
      <c r="G9" s="644"/>
    </row>
    <row r="10" spans="1:8" s="650" customFormat="1" ht="11.25" customHeight="1">
      <c r="A10" s="506"/>
      <c r="B10" s="645" t="s">
        <v>1197</v>
      </c>
      <c r="C10" s="646"/>
      <c r="D10" s="647"/>
      <c r="E10" s="648"/>
      <c r="F10" s="648"/>
      <c r="G10" s="649"/>
      <c r="H10" s="506"/>
    </row>
    <row r="11" spans="1:8" ht="21" customHeight="1">
      <c r="B11" s="651" t="s">
        <v>4844</v>
      </c>
      <c r="C11" s="652"/>
      <c r="D11" s="653" t="s">
        <v>4845</v>
      </c>
      <c r="E11" s="654"/>
      <c r="F11" s="655"/>
      <c r="G11" s="656"/>
    </row>
    <row r="12" spans="1:8" s="658" customFormat="1" ht="5.25" customHeight="1">
      <c r="A12" s="506"/>
      <c r="B12" s="643"/>
      <c r="C12" s="610"/>
      <c r="D12" s="657"/>
      <c r="E12" s="200"/>
      <c r="F12" s="581"/>
      <c r="G12" s="200"/>
      <c r="H12" s="506"/>
    </row>
    <row r="13" spans="1:8" s="659" customFormat="1" ht="21" customHeight="1">
      <c r="A13" s="650"/>
      <c r="B13" s="1401" t="s">
        <v>4846</v>
      </c>
      <c r="C13" s="1401"/>
      <c r="D13" s="1401"/>
      <c r="E13" s="1401"/>
      <c r="F13" s="1401"/>
      <c r="G13" s="1401"/>
      <c r="H13" s="650"/>
    </row>
    <row r="14" spans="1:8" s="659" customFormat="1" ht="5.25" customHeight="1">
      <c r="A14" s="506"/>
      <c r="B14" s="643"/>
      <c r="C14" s="610"/>
      <c r="D14" s="657"/>
      <c r="E14" s="200"/>
      <c r="F14" s="581"/>
      <c r="G14" s="200"/>
      <c r="H14" s="506"/>
    </row>
    <row r="15" spans="1:8" ht="26.25" customHeight="1">
      <c r="A15" s="658"/>
      <c r="B15" s="660" t="s">
        <v>4847</v>
      </c>
      <c r="C15" s="661" t="s">
        <v>4848</v>
      </c>
      <c r="D15" s="662" t="s">
        <v>4849</v>
      </c>
      <c r="E15" s="663" t="s">
        <v>4850</v>
      </c>
      <c r="F15" s="664" t="s">
        <v>4851</v>
      </c>
      <c r="G15" s="663" t="s">
        <v>4852</v>
      </c>
      <c r="H15" s="658"/>
    </row>
    <row r="16" spans="1:8" ht="13.5" customHeight="1">
      <c r="A16" s="659">
        <v>1</v>
      </c>
      <c r="B16" s="665">
        <v>1</v>
      </c>
      <c r="C16" s="666" t="s">
        <v>2987</v>
      </c>
      <c r="D16" s="667"/>
      <c r="E16" s="668"/>
      <c r="F16" s="669"/>
      <c r="G16" s="670"/>
      <c r="H16" s="659"/>
    </row>
    <row r="17" spans="1:8" ht="13.5" customHeight="1">
      <c r="A17" s="659">
        <v>2</v>
      </c>
      <c r="B17" s="671">
        <v>9</v>
      </c>
      <c r="C17" s="672" t="str">
        <f>VLOOKUP(B17,'FDE-JUNHO-08'!$A$6:$D$3537,2,FALSE())</f>
        <v>INSTALAÇÕES ELÉTRICAS</v>
      </c>
      <c r="D17" s="673"/>
      <c r="E17" s="674"/>
      <c r="F17" s="675"/>
      <c r="G17" s="676">
        <v>146715.31</v>
      </c>
      <c r="H17" s="659"/>
    </row>
    <row r="18" spans="1:8" ht="13.5" customHeight="1">
      <c r="A18" s="659">
        <v>3</v>
      </c>
      <c r="B18" s="677">
        <f>90480</f>
        <v>90480</v>
      </c>
      <c r="C18" s="678" t="str">
        <f>VLOOKUP(B18,'FDE-JUNHO-08'!$A$6:$D$3537,2,FALSE())</f>
        <v>QUADRO GERAL - CABO DE COBRE NU DE 50 MM2</v>
      </c>
      <c r="D18" s="679" t="str">
        <f>VLOOKUP(B18,'FDE-JUNHO-08'!$A$6:$D$3537,3,FALSE())</f>
        <v xml:space="preserve">M </v>
      </c>
      <c r="E18" s="680">
        <v>10.1</v>
      </c>
      <c r="F18" s="681">
        <v>33.83</v>
      </c>
      <c r="G18" s="682">
        <v>341.68</v>
      </c>
    </row>
    <row r="19" spans="1:8" ht="13.5" customHeight="1">
      <c r="A19" s="659">
        <v>4</v>
      </c>
      <c r="B19" s="677">
        <f>'FDE-JUNHO-08'!A1925</f>
        <v>91333</v>
      </c>
      <c r="C19" s="678" t="str">
        <f>VLOOKUP(B19,'FDE-JUNHO-08'!$A$6:$D$3537,2,FALSE())</f>
        <v>CONEXAO EXOTERMICA CABO/HASTE</v>
      </c>
      <c r="D19" s="679" t="str">
        <f>VLOOKUP(B19,'FDE-JUNHO-08'!$A$6:$D$3537,3,FALSE())</f>
        <v>UN</v>
      </c>
      <c r="E19" s="680">
        <v>3</v>
      </c>
      <c r="F19" s="681">
        <v>20.73</v>
      </c>
      <c r="G19" s="682">
        <v>62.19</v>
      </c>
    </row>
    <row r="20" spans="1:8" ht="13.5" customHeight="1">
      <c r="A20" s="659">
        <v>5</v>
      </c>
      <c r="B20" s="677">
        <v>91327</v>
      </c>
      <c r="C20" s="678" t="str">
        <f>VLOOKUP(B20,'FDE-JUNHO-08'!$A$6:$D$3537,2,FALSE())</f>
        <v>TERRA SIMPLES - 1 HASTE</v>
      </c>
      <c r="D20" s="679" t="str">
        <f>VLOOKUP(B20,'FDE-JUNHO-08'!$A$6:$D$3537,3,FALSE())</f>
        <v>UN</v>
      </c>
      <c r="E20" s="680">
        <v>3</v>
      </c>
      <c r="F20" s="681">
        <v>115.45</v>
      </c>
      <c r="G20" s="682">
        <v>346.35</v>
      </c>
    </row>
    <row r="21" spans="1:8" ht="13.5" customHeight="1">
      <c r="A21" s="659">
        <v>6</v>
      </c>
      <c r="B21" s="677">
        <v>90281</v>
      </c>
      <c r="C21" s="678" t="str">
        <f>VLOOKUP(B21,'FDE-JUNHO-08'!$A$6:$D$3537,2,FALSE())</f>
        <v>CONJ 4 CABOS P/ ENTRADA ENERGIA SECCAO 185MM2 C/ ELETRODUTOS</v>
      </c>
      <c r="D21" s="679" t="str">
        <f>VLOOKUP(B21,'FDE-JUNHO-08'!$A$6:$D$3537,3,FALSE())</f>
        <v>UN</v>
      </c>
      <c r="E21" s="680">
        <v>1</v>
      </c>
      <c r="F21" s="681">
        <v>3636.32</v>
      </c>
      <c r="G21" s="682">
        <v>3636.32</v>
      </c>
    </row>
    <row r="22" spans="1:8" ht="13.5" customHeight="1">
      <c r="A22" s="659">
        <v>7</v>
      </c>
      <c r="B22" s="677">
        <v>90298</v>
      </c>
      <c r="C22" s="678" t="str">
        <f>VLOOKUP(B22,'FDE-JUNHO-08'!$A$6:$D$3537,2,FALSE())</f>
        <v>CHAVE SECCIONADORA NH 3X400A SECA</v>
      </c>
      <c r="D22" s="679" t="str">
        <f>VLOOKUP(B22,'FDE-JUNHO-08'!$A$6:$D$3537,3,FALSE())</f>
        <v>UN</v>
      </c>
      <c r="E22" s="680">
        <v>1</v>
      </c>
      <c r="F22" s="681">
        <v>1202.52</v>
      </c>
      <c r="G22" s="682">
        <v>1202.52</v>
      </c>
    </row>
    <row r="23" spans="1:8" ht="13.5" customHeight="1">
      <c r="A23" s="659">
        <v>8</v>
      </c>
      <c r="B23" s="683">
        <v>90406</v>
      </c>
      <c r="C23" s="684" t="str">
        <f>VLOOKUP(B23,'FDE-JUNHO-08'!$A$6:$D$3537,2,FALSE())</f>
        <v>CAIXA EM CHAPA DE AÇO 16 COM PORTA E FECHO</v>
      </c>
      <c r="D23" s="679" t="str">
        <f>VLOOKUP(B23,'FDE-JUNHO-08'!$A$6:$D$3537,3,FALSE())</f>
        <v>M2</v>
      </c>
      <c r="E23" s="680">
        <v>2.2000000000000002</v>
      </c>
      <c r="F23" s="681">
        <v>809.6</v>
      </c>
      <c r="G23" s="682">
        <v>1781.12</v>
      </c>
    </row>
    <row r="24" spans="1:8" ht="13.5" customHeight="1">
      <c r="A24" s="659">
        <v>9</v>
      </c>
      <c r="B24" s="677">
        <v>90423</v>
      </c>
      <c r="C24" s="678" t="str">
        <f>VLOOKUP(B24,'FDE-JUNHO-08'!$A$6:$D$3537,2,FALSE())</f>
        <v>QUADRO GERAL - DISJUNTOR TERMO MAGNETICO 3X600A</v>
      </c>
      <c r="D24" s="685" t="str">
        <f>VLOOKUP(B24,'FDE-JUNHO-08'!$A$6:$D$3537,3,FALSE())</f>
        <v>UN</v>
      </c>
      <c r="E24" s="680">
        <v>1</v>
      </c>
      <c r="F24" s="686">
        <v>2679.43</v>
      </c>
      <c r="G24" s="687">
        <v>2679.43</v>
      </c>
    </row>
    <row r="25" spans="1:8" ht="13.5" customHeight="1">
      <c r="A25" s="659">
        <v>10</v>
      </c>
      <c r="B25" s="677">
        <v>90422</v>
      </c>
      <c r="C25" s="678" t="str">
        <f>VLOOKUP(B25,'FDE-JUNHO-08'!$A$6:$D$3537,2,FALSE())</f>
        <v>QUADRO GERAL - DISJUNTOR TERMO MAGNETICO 3X400A</v>
      </c>
      <c r="D25" s="685" t="str">
        <f>VLOOKUP(B25,'FDE-JUNHO-08'!$A$6:$D$3537,3,FALSE())</f>
        <v>UN</v>
      </c>
      <c r="E25" s="680">
        <v>1</v>
      </c>
      <c r="F25" s="686">
        <v>1621.74</v>
      </c>
      <c r="G25" s="687">
        <v>1621.74</v>
      </c>
    </row>
    <row r="26" spans="1:8" ht="13.5" customHeight="1">
      <c r="A26" s="659">
        <v>11</v>
      </c>
      <c r="B26" s="677">
        <v>90425</v>
      </c>
      <c r="C26" s="678" t="str">
        <f>VLOOKUP(B26,'FDE-JUNHO-08'!$A$6:$D$3537,2,FALSE())</f>
        <v>DISJUNTOR TERMOMAGNETICO 3X125A A 3X225A</v>
      </c>
      <c r="D26" s="685" t="str">
        <f>VLOOKUP(B26,'FDE-JUNHO-08'!$A$6:$D$3537,3,FALSE())</f>
        <v>UN</v>
      </c>
      <c r="E26" s="680">
        <v>2</v>
      </c>
      <c r="F26" s="686">
        <v>187.33</v>
      </c>
      <c r="G26" s="687">
        <v>374.66</v>
      </c>
    </row>
    <row r="27" spans="1:8" ht="13.5" customHeight="1">
      <c r="A27" s="659">
        <v>12</v>
      </c>
      <c r="B27" s="683">
        <v>90445</v>
      </c>
      <c r="C27" s="684" t="str">
        <f>VLOOKUP(B27,'FDE-JUNHO-08'!$A$6:$D$3537,2,FALSE())</f>
        <v>QUADRO GERAL-BARRAMENTO DE 400 A</v>
      </c>
      <c r="D27" s="679" t="str">
        <f>VLOOKUP(B27,'FDE-JUNHO-08'!$A$6:$D$3537,3,FALSE())</f>
        <v xml:space="preserve">M </v>
      </c>
      <c r="E27" s="680">
        <v>3</v>
      </c>
      <c r="F27" s="681">
        <v>103.63</v>
      </c>
      <c r="G27" s="682">
        <v>310.89</v>
      </c>
    </row>
    <row r="28" spans="1:8" ht="13.5" customHeight="1">
      <c r="A28" s="659">
        <v>13</v>
      </c>
      <c r="B28" s="683">
        <v>90444</v>
      </c>
      <c r="C28" s="684" t="str">
        <f>VLOOKUP(B28,'FDE-JUNHO-08'!$A$6:$D$3537,2,FALSE())</f>
        <v>QUADRO GERAL-BARRAMENTO DE 200 A</v>
      </c>
      <c r="D28" s="679" t="str">
        <f>VLOOKUP(B28,'FDE-JUNHO-08'!$A$6:$D$3537,3,FALSE())</f>
        <v xml:space="preserve">M </v>
      </c>
      <c r="E28" s="680">
        <v>5</v>
      </c>
      <c r="F28" s="681">
        <v>30.82</v>
      </c>
      <c r="G28" s="682">
        <v>154.1</v>
      </c>
    </row>
    <row r="29" spans="1:8" ht="13.5" customHeight="1">
      <c r="A29" s="659">
        <v>14</v>
      </c>
      <c r="B29" s="683">
        <v>90450</v>
      </c>
      <c r="C29" s="684" t="str">
        <f>VLOOKUP(B29,'FDE-JUNHO-08'!$A$6:$D$3537,2,FALSE())</f>
        <v>PLACA DE ACRILICO TRANSPARENTE ESP=5MM PROTECAO A CONTATO ACIDENTAL</v>
      </c>
      <c r="D29" s="679" t="str">
        <f>VLOOKUP(B29,'FDE-JUNHO-08'!$A$6:$D$3537,3,FALSE())</f>
        <v>M2</v>
      </c>
      <c r="E29" s="680">
        <v>5</v>
      </c>
      <c r="F29" s="681">
        <v>174.12</v>
      </c>
      <c r="G29" s="682">
        <v>870.6</v>
      </c>
    </row>
    <row r="30" spans="1:8" ht="13.5" customHeight="1">
      <c r="A30" s="659">
        <v>15</v>
      </c>
      <c r="B30" s="683">
        <v>90486</v>
      </c>
      <c r="C30" s="684" t="str">
        <f>VLOOKUP(B30,'FDE-JUNHO-08'!$A$6:$D$3537,2,FALSE())</f>
        <v>TERRA COMPLETO</v>
      </c>
      <c r="D30" s="679" t="str">
        <f>VLOOKUP(B30,'FDE-JUNHO-08'!$A$6:$D$3537,3,FALSE())</f>
        <v>UN</v>
      </c>
      <c r="E30" s="680">
        <v>4</v>
      </c>
      <c r="F30" s="681">
        <v>122.32</v>
      </c>
      <c r="G30" s="682">
        <v>489.28</v>
      </c>
    </row>
    <row r="31" spans="1:8" ht="13.5" customHeight="1">
      <c r="A31" s="659">
        <v>16</v>
      </c>
      <c r="B31" s="683">
        <v>90487</v>
      </c>
      <c r="C31" s="684" t="str">
        <f>VLOOKUP(B31,'FDE-JUNHO-08'!$A$6:$D$3537,2,FALSE())</f>
        <v>DISJUNTOR TRIPOLAR TERMOMAGNETICO 125A A 225A</v>
      </c>
      <c r="D31" s="679" t="str">
        <f>VLOOKUP(B31,'FDE-JUNHO-08'!$A$6:$D$3537,3,FALSE())</f>
        <v>UN</v>
      </c>
      <c r="E31" s="680">
        <v>16</v>
      </c>
      <c r="F31" s="681">
        <v>173.81</v>
      </c>
      <c r="G31" s="682">
        <v>2780.96</v>
      </c>
    </row>
    <row r="32" spans="1:8" ht="13.5" customHeight="1">
      <c r="A32" s="659">
        <v>17</v>
      </c>
      <c r="B32" s="683">
        <v>90491</v>
      </c>
      <c r="C32" s="684" t="str">
        <f>VLOOKUP(B32,'FDE-JUNHO-08'!$A$6:$D$3537,2,FALSE())</f>
        <v>DISJUNTOR BIPOLAR TERMOMAGNETICO 2X10A A 2X50A</v>
      </c>
      <c r="D32" s="679" t="str">
        <f>VLOOKUP(B32,'FDE-JUNHO-08'!$A$6:$D$3537,3,FALSE())</f>
        <v>UN</v>
      </c>
      <c r="E32" s="680">
        <v>11</v>
      </c>
      <c r="F32" s="681">
        <v>38.119999999999997</v>
      </c>
      <c r="G32" s="682">
        <v>419.32</v>
      </c>
    </row>
    <row r="33" spans="1:7" ht="13.5" customHeight="1">
      <c r="A33" s="659">
        <v>18</v>
      </c>
      <c r="B33" s="683">
        <v>90502</v>
      </c>
      <c r="C33" s="684" t="str">
        <f>VLOOKUP(B33,'FDE-JUNHO-08'!$A$6:$D$3537,2,FALSE())</f>
        <v>ELETROD ACO GALV QUENTE (NBR 5624) 20 MM (3/4") - INCL CONEXOES</v>
      </c>
      <c r="D33" s="679" t="str">
        <f>VLOOKUP(B33,'FDE-JUNHO-08'!$A$6:$D$3537,3,FALSE())</f>
        <v xml:space="preserve">M </v>
      </c>
      <c r="E33" s="680">
        <v>240</v>
      </c>
      <c r="F33" s="681">
        <v>23.28</v>
      </c>
      <c r="G33" s="682">
        <v>5587.2</v>
      </c>
    </row>
    <row r="34" spans="1:7" ht="13.5" customHeight="1">
      <c r="A34" s="659">
        <v>19</v>
      </c>
      <c r="B34" s="683">
        <v>90503</v>
      </c>
      <c r="C34" s="684" t="str">
        <f>VLOOKUP(B34,'FDE-JUNHO-08'!$A$6:$D$3537,2,FALSE())</f>
        <v>ELETROD ACO GALV QUENTE (NBR 5624) 25 MM (1") - INCL CONEXOES</v>
      </c>
      <c r="D34" s="679" t="str">
        <f>VLOOKUP(B34,'FDE-JUNHO-08'!$A$6:$D$3537,3,FALSE())</f>
        <v xml:space="preserve">M </v>
      </c>
      <c r="E34" s="680">
        <v>90</v>
      </c>
      <c r="F34" s="681">
        <v>27.48</v>
      </c>
      <c r="G34" s="682">
        <v>2473.1999999999998</v>
      </c>
    </row>
    <row r="35" spans="1:7" ht="13.5" customHeight="1">
      <c r="A35" s="659">
        <v>20</v>
      </c>
      <c r="B35" s="683">
        <v>90505</v>
      </c>
      <c r="C35" s="684" t="str">
        <f>VLOOKUP(B35,'FDE-JUNHO-08'!$A$6:$D$3537,2,FALSE())</f>
        <v>ELETROD ACO GALV QUENTE (NBR 5624) 40 MM (1 1/2") - INCL CONEXOES</v>
      </c>
      <c r="D35" s="679" t="str">
        <f>VLOOKUP(B35,'FDE-JUNHO-08'!$A$6:$D$3537,3,FALSE())</f>
        <v xml:space="preserve">M </v>
      </c>
      <c r="E35" s="680">
        <v>28</v>
      </c>
      <c r="F35" s="681">
        <v>41.79</v>
      </c>
      <c r="G35" s="682">
        <v>1170.1199999999999</v>
      </c>
    </row>
    <row r="36" spans="1:7" ht="13.5" customHeight="1">
      <c r="A36" s="659">
        <v>21</v>
      </c>
      <c r="B36" s="683">
        <v>90506</v>
      </c>
      <c r="C36" s="684" t="str">
        <f>VLOOKUP(B36,'FDE-JUNHO-08'!$A$6:$D$3537,2,FALSE())</f>
        <v>ELETROD ACO GALV QUENTE (NBR 5624) 50 MM (2") - INCL CONEXOES</v>
      </c>
      <c r="D36" s="679" t="str">
        <f>VLOOKUP(B36,'FDE-JUNHO-08'!$A$6:$D$3537,3,FALSE())</f>
        <v xml:space="preserve">M </v>
      </c>
      <c r="E36" s="680">
        <v>43</v>
      </c>
      <c r="F36" s="681">
        <v>50.33</v>
      </c>
      <c r="G36" s="682">
        <v>2164.19</v>
      </c>
    </row>
    <row r="37" spans="1:7" ht="13.5" customHeight="1">
      <c r="A37" s="659">
        <v>22</v>
      </c>
      <c r="B37" s="683">
        <v>90508</v>
      </c>
      <c r="C37" s="684" t="str">
        <f>VLOOKUP(B37,'FDE-JUNHO-08'!$A$6:$D$3537,2,FALSE())</f>
        <v>ELETROD ACO GALV QUENTE (NBR5624) 80MM(3") INCL CONEXOES</v>
      </c>
      <c r="D37" s="679" t="str">
        <f>VLOOKUP(B37,'FDE-JUNHO-08'!$A$6:$D$3537,3,FALSE())</f>
        <v xml:space="preserve">M </v>
      </c>
      <c r="E37" s="680">
        <v>49</v>
      </c>
      <c r="F37" s="681">
        <v>76.92</v>
      </c>
      <c r="G37" s="682">
        <v>3769.08</v>
      </c>
    </row>
    <row r="38" spans="1:7" ht="13.5" customHeight="1">
      <c r="A38" s="659">
        <v>23</v>
      </c>
      <c r="B38" s="683">
        <v>90520</v>
      </c>
      <c r="C38" s="684" t="str">
        <f>VLOOKUP(B38,'FDE-JUNHO-08'!$A$6:$D$3537,2,FALSE())</f>
        <v>ELETRODUTO DE PVC RIGIDO ROSCAVEL DE 110MM -INCL CONEXOES</v>
      </c>
      <c r="D38" s="679" t="str">
        <f>VLOOKUP(B38,'FDE-JUNHO-08'!$A$6:$D$3537,3,FALSE())</f>
        <v xml:space="preserve">M </v>
      </c>
      <c r="E38" s="680">
        <v>30</v>
      </c>
      <c r="F38" s="681">
        <v>58.66</v>
      </c>
      <c r="G38" s="682">
        <v>1759.8</v>
      </c>
    </row>
    <row r="39" spans="1:7" ht="13.5" customHeight="1">
      <c r="A39" s="659">
        <v>24</v>
      </c>
      <c r="B39" s="683">
        <v>90519</v>
      </c>
      <c r="C39" s="684" t="str">
        <f>VLOOKUP(B39,'FDE-JUNHO-08'!$A$6:$D$3537,2,FALSE())</f>
        <v>ELETRODUTO DE PVC RIGIDO ROSCAVEL DE 85MM - INCL CONEXOES</v>
      </c>
      <c r="D39" s="679" t="str">
        <f>VLOOKUP(B39,'FDE-JUNHO-08'!$A$6:$D$3537,3,FALSE())</f>
        <v xml:space="preserve">M </v>
      </c>
      <c r="E39" s="680">
        <v>28</v>
      </c>
      <c r="F39" s="681">
        <v>43.94</v>
      </c>
      <c r="G39" s="682">
        <v>1230.32</v>
      </c>
    </row>
    <row r="40" spans="1:7" ht="13.5" customHeight="1">
      <c r="A40" s="659">
        <v>25</v>
      </c>
      <c r="B40" s="683">
        <v>98211</v>
      </c>
      <c r="C40" s="684" t="str">
        <f>VLOOKUP(B40,'FDE-JUNHO-08'!$A$6:$D$3537,2,FALSE())</f>
        <v>BRACADEIRA PARA FIXACAO DE ELETRODUTO</v>
      </c>
      <c r="D40" s="679" t="str">
        <f>VLOOKUP(B40,'FDE-JUNHO-08'!$A$6:$D$3537,3,FALSE())</f>
        <v>UN</v>
      </c>
      <c r="E40" s="688">
        <v>430</v>
      </c>
      <c r="F40" s="686">
        <v>4.08</v>
      </c>
      <c r="G40" s="687">
        <v>1754.4</v>
      </c>
    </row>
    <row r="41" spans="1:7" ht="13.5" customHeight="1">
      <c r="A41" s="659">
        <v>26</v>
      </c>
      <c r="B41" s="683">
        <v>90490</v>
      </c>
      <c r="C41" s="684" t="str">
        <f>VLOOKUP(B41,'FDE-JUNHO-08'!$A$6:$D$3537,2,FALSE())</f>
        <v>DISJUNTOR UNIPOLAR TERMOMAGNETICO 1X10A 1X30A</v>
      </c>
      <c r="D41" s="679" t="str">
        <f>VLOOKUP(B41,'FDE-JUNHO-08'!$A$6:$D$3537,3,FALSE())</f>
        <v>UN</v>
      </c>
      <c r="E41" s="680">
        <v>24</v>
      </c>
      <c r="F41" s="681">
        <v>10.19</v>
      </c>
      <c r="G41" s="682">
        <v>244.56</v>
      </c>
    </row>
    <row r="42" spans="1:7" ht="13.5" customHeight="1">
      <c r="A42" s="659">
        <v>27</v>
      </c>
      <c r="B42" s="683">
        <v>90491</v>
      </c>
      <c r="C42" s="684" t="str">
        <f>VLOOKUP(B42,'FDE-JUNHO-08'!$A$6:$D$3537,2,FALSE())</f>
        <v>DISJUNTOR BIPOLAR TERMOMAGNETICO 2X10A A 2X50A</v>
      </c>
      <c r="D42" s="679" t="str">
        <f>VLOOKUP(B42,'FDE-JUNHO-08'!$A$6:$D$3537,3,FALSE())</f>
        <v>UN</v>
      </c>
      <c r="E42" s="680">
        <v>6</v>
      </c>
      <c r="F42" s="681">
        <v>38.119999999999997</v>
      </c>
      <c r="G42" s="682">
        <v>228.72</v>
      </c>
    </row>
    <row r="43" spans="1:7" ht="13.5" customHeight="1">
      <c r="A43" s="659">
        <v>28</v>
      </c>
      <c r="B43" s="683">
        <v>90492</v>
      </c>
      <c r="C43" s="684" t="str">
        <f>VLOOKUP(B43,'FDE-JUNHO-08'!$A$6:$D$3537,2,FALSE())</f>
        <v>DISJUNTOR BIPOLAR TERMOMAGNETICO 2X60A A 2X100A</v>
      </c>
      <c r="D43" s="679" t="str">
        <f>VLOOKUP(B43,'FDE-JUNHO-08'!$A$6:$D$3537,3,FALSE())</f>
        <v>UN</v>
      </c>
      <c r="E43" s="680">
        <v>11</v>
      </c>
      <c r="F43" s="681">
        <v>47.2</v>
      </c>
      <c r="G43" s="682">
        <v>519.20000000000005</v>
      </c>
    </row>
    <row r="44" spans="1:7" ht="13.5" customHeight="1">
      <c r="A44" s="659">
        <v>29</v>
      </c>
      <c r="B44" s="683">
        <f>'FDE-JUNHO-08'!A1570</f>
        <v>90287</v>
      </c>
      <c r="C44" s="684" t="str">
        <f>VLOOKUP(B44,'FDE-JUNHO-08'!$A$6:$D$3537,2,FALSE())</f>
        <v>DISJUNTOR BIPOLAR TERMOMAGNETICO 2X60A A 2X100A</v>
      </c>
      <c r="D44" s="679" t="str">
        <f>VLOOKUP(B44,'FDE-JUNHO-08'!$A$6:$D$3537,3,FALSE())</f>
        <v>UN</v>
      </c>
      <c r="E44" s="680">
        <v>2</v>
      </c>
      <c r="F44" s="681">
        <v>60.73</v>
      </c>
      <c r="G44" s="682">
        <v>121.46</v>
      </c>
    </row>
    <row r="45" spans="1:7" ht="13.5" customHeight="1">
      <c r="A45" s="659">
        <v>30</v>
      </c>
      <c r="B45" s="683">
        <v>90290</v>
      </c>
      <c r="C45" s="684" t="str">
        <f>VLOOKUP(B45,'FDE-JUNHO-08'!$A$6:$D$3537,2,FALSE())</f>
        <v>DISJUNTOR TRIPOLAR TERMOMAGNETICO 125A A 225A</v>
      </c>
      <c r="D45" s="679" t="str">
        <f>VLOOKUP(B45,'FDE-JUNHO-08'!$A$6:$D$3537,3,FALSE())</f>
        <v>UN</v>
      </c>
      <c r="E45" s="680">
        <v>2</v>
      </c>
      <c r="F45" s="681">
        <v>187.33</v>
      </c>
      <c r="G45" s="682">
        <v>374.66</v>
      </c>
    </row>
    <row r="46" spans="1:7" ht="13.5" customHeight="1">
      <c r="A46" s="659">
        <v>31</v>
      </c>
      <c r="B46" s="683">
        <v>90298</v>
      </c>
      <c r="C46" s="684" t="str">
        <f>VLOOKUP(B46,'FDE-JUNHO-08'!$A$6:$D$3537,2,FALSE())</f>
        <v>CHAVE SECCIONADORA NH 3X400A SECA</v>
      </c>
      <c r="D46" s="679" t="str">
        <f>VLOOKUP(B46,'FDE-JUNHO-08'!$A$6:$D$3537,3,FALSE())</f>
        <v>UN</v>
      </c>
      <c r="E46" s="680">
        <v>1</v>
      </c>
      <c r="F46" s="681">
        <v>1202.52</v>
      </c>
      <c r="G46" s="682">
        <v>1202.52</v>
      </c>
    </row>
    <row r="47" spans="1:7" ht="13.5" customHeight="1">
      <c r="A47" s="659">
        <v>32</v>
      </c>
      <c r="B47" s="683">
        <v>98314</v>
      </c>
      <c r="C47" s="684" t="str">
        <f>VLOOKUP(B47,'FDE-JUNHO-08'!$A$6:$D$3537,2,FALSE())</f>
        <v>FUSIVEL NH DE 300 A 400A</v>
      </c>
      <c r="D47" s="679" t="str">
        <f>VLOOKUP(B47,'FDE-JUNHO-08'!$A$6:$D$3537,3,FALSE())</f>
        <v>UN</v>
      </c>
      <c r="E47" s="680">
        <v>3</v>
      </c>
      <c r="F47" s="681">
        <v>38.9</v>
      </c>
      <c r="G47" s="682">
        <v>116.7</v>
      </c>
    </row>
    <row r="48" spans="1:7" ht="13.5" customHeight="1">
      <c r="A48" s="659">
        <v>33</v>
      </c>
      <c r="B48" s="683">
        <v>90601</v>
      </c>
      <c r="C48" s="684" t="str">
        <f>VLOOKUP(B48,'FDE-JUNHO-08'!$A$6:$D$3537,2,FALSE())</f>
        <v>CAIXA DE PASSAGEM ESTAMPADA COM TAMPA PLASTICA DE 4"X2"</v>
      </c>
      <c r="D48" s="679" t="str">
        <f>VLOOKUP(B48,'FDE-JUNHO-08'!$A$6:$D$3537,3,FALSE())</f>
        <v>UN</v>
      </c>
      <c r="E48" s="680">
        <v>8</v>
      </c>
      <c r="F48" s="681">
        <v>9.91</v>
      </c>
      <c r="G48" s="682">
        <v>79.28</v>
      </c>
    </row>
    <row r="49" spans="1:7" ht="13.5" customHeight="1">
      <c r="A49" s="659">
        <v>34</v>
      </c>
      <c r="B49" s="683">
        <v>90602</v>
      </c>
      <c r="C49" s="684" t="str">
        <f>VLOOKUP(B49,'FDE-JUNHO-08'!$A$6:$D$3537,2,FALSE())</f>
        <v>CAIXA DE PASSAGEM ESTAMPADA COM TAMPA PLASTICA DE 4"X4"</v>
      </c>
      <c r="D49" s="679" t="str">
        <f>VLOOKUP(B49,'FDE-JUNHO-08'!$A$6:$D$3537,3,FALSE())</f>
        <v>UN</v>
      </c>
      <c r="E49" s="680">
        <v>3</v>
      </c>
      <c r="F49" s="681">
        <v>16.63</v>
      </c>
      <c r="G49" s="682">
        <v>49.89</v>
      </c>
    </row>
    <row r="50" spans="1:7" ht="13.5" customHeight="1">
      <c r="A50" s="659">
        <v>35</v>
      </c>
      <c r="B50" s="683">
        <v>90636</v>
      </c>
      <c r="C50" s="684" t="str">
        <f>VLOOKUP(B50,'FDE-JUNHO-08'!$A$6:$D$3537,2,FALSE())</f>
        <v>CAIXA DE PASSAGEM A PROVA DE UMIDADE EM ALUMINIO 15X15X10CM</v>
      </c>
      <c r="D50" s="679" t="str">
        <f>VLOOKUP(B50,'FDE-JUNHO-08'!$A$6:$D$3537,3,FALSE())</f>
        <v>UN</v>
      </c>
      <c r="E50" s="680">
        <v>3</v>
      </c>
      <c r="F50" s="681">
        <v>63.32</v>
      </c>
      <c r="G50" s="682">
        <v>189.96</v>
      </c>
    </row>
    <row r="51" spans="1:7" ht="13.5" customHeight="1">
      <c r="A51" s="659">
        <v>36</v>
      </c>
      <c r="B51" s="683">
        <v>90609</v>
      </c>
      <c r="C51" s="684" t="str">
        <f>VLOOKUP(B51,'FDE-JUNHO-08'!$A$6:$D$3537,2,FALSE())</f>
        <v>CAIXA DE PASSAGEM CHAPA TAMPA PARAFUSADA DE 20X20X10 CM</v>
      </c>
      <c r="D51" s="679" t="str">
        <f>VLOOKUP(B51,'FDE-JUNHO-08'!$A$6:$D$3537,3,FALSE())</f>
        <v>UN</v>
      </c>
      <c r="E51" s="680">
        <v>12</v>
      </c>
      <c r="F51" s="681">
        <v>29.9</v>
      </c>
      <c r="G51" s="682">
        <v>358.8</v>
      </c>
    </row>
    <row r="52" spans="1:7" ht="13.5" customHeight="1">
      <c r="A52" s="659">
        <v>37</v>
      </c>
      <c r="B52" s="683">
        <v>90619</v>
      </c>
      <c r="C52" s="684" t="str">
        <f>VLOOKUP(B52,'FDE-JUNHO-08'!$A$6:$D$3537,2,FALSE())</f>
        <v>CAIXA DE PASSAGEM CHAPA TAMPA PARAFUSADA DE 50X50X15 CM</v>
      </c>
      <c r="D52" s="679" t="str">
        <f>VLOOKUP(B52,'FDE-JUNHO-08'!$A$6:$D$3537,3,FALSE())</f>
        <v>UN</v>
      </c>
      <c r="E52" s="680">
        <v>1</v>
      </c>
      <c r="F52" s="681">
        <v>89.72</v>
      </c>
      <c r="G52" s="682">
        <v>89.72</v>
      </c>
    </row>
    <row r="53" spans="1:7" ht="13.5" customHeight="1">
      <c r="A53" s="659">
        <v>38</v>
      </c>
      <c r="B53" s="683">
        <f>'FDE-JUNHO-08'!A1622</f>
        <v>90390</v>
      </c>
      <c r="C53" s="684" t="str">
        <f>VLOOKUP(B53,'FDE-JUNHO-08'!$A$6:$D$3537,2,FALSE())</f>
        <v>ENVELOPE DE CONCRETO PARA DUTOS</v>
      </c>
      <c r="D53" s="679" t="str">
        <f>VLOOKUP(B53,'FDE-JUNHO-08'!$A$6:$D$3537,3,FALSE())</f>
        <v xml:space="preserve">M </v>
      </c>
      <c r="E53" s="680">
        <v>47.78</v>
      </c>
      <c r="F53" s="681">
        <v>8.5399999999999991</v>
      </c>
      <c r="G53" s="682">
        <v>408.04</v>
      </c>
    </row>
    <row r="54" spans="1:7" ht="13.5" customHeight="1">
      <c r="A54" s="659">
        <v>39</v>
      </c>
      <c r="B54" s="683">
        <v>90731</v>
      </c>
      <c r="C54" s="684" t="str">
        <f>VLOOKUP(B54,'FDE-JUNHO-08'!$A$6:$D$3537,2,FALSE())</f>
        <v>CABO DE 2,5 MM2 - 1000V DE ISOLAÇÃO</v>
      </c>
      <c r="D54" s="679" t="str">
        <f>VLOOKUP(B54,'FDE-JUNHO-08'!$A$6:$D$3537,3,FALSE())</f>
        <v xml:space="preserve">M </v>
      </c>
      <c r="E54" s="680">
        <v>3200</v>
      </c>
      <c r="F54" s="681">
        <v>3.42</v>
      </c>
      <c r="G54" s="682">
        <v>10944</v>
      </c>
    </row>
    <row r="55" spans="1:7" ht="13.5" customHeight="1">
      <c r="A55" s="659">
        <v>40</v>
      </c>
      <c r="B55" s="683">
        <v>90732</v>
      </c>
      <c r="C55" s="684" t="str">
        <f>VLOOKUP(B55,'FDE-JUNHO-08'!$A$6:$D$3537,2,FALSE())</f>
        <v>CABO DE 4 MM2 - 1000V DE ISOLAÇÃO</v>
      </c>
      <c r="D55" s="679" t="str">
        <f>VLOOKUP(B55,'FDE-JUNHO-08'!$A$6:$D$3537,3,FALSE())</f>
        <v xml:space="preserve">M </v>
      </c>
      <c r="E55" s="680">
        <v>500</v>
      </c>
      <c r="F55" s="681">
        <v>4.6900000000000004</v>
      </c>
      <c r="G55" s="682">
        <v>2345</v>
      </c>
    </row>
    <row r="56" spans="1:7" ht="13.5" customHeight="1">
      <c r="A56" s="659">
        <v>41</v>
      </c>
      <c r="B56" s="683">
        <v>90733</v>
      </c>
      <c r="C56" s="684" t="str">
        <f>VLOOKUP(B56,'FDE-JUNHO-08'!$A$6:$D$3537,2,FALSE())</f>
        <v>CABO DE 6 MM2 - 1000V DE ISOLAÇÃO</v>
      </c>
      <c r="D56" s="679" t="str">
        <f>VLOOKUP(B56,'FDE-JUNHO-08'!$A$6:$D$3537,3,FALSE())</f>
        <v xml:space="preserve">M </v>
      </c>
      <c r="E56" s="680">
        <v>506.96</v>
      </c>
      <c r="F56" s="681">
        <v>6.92</v>
      </c>
      <c r="G56" s="682">
        <v>3508.16</v>
      </c>
    </row>
    <row r="57" spans="1:7" ht="13.5" customHeight="1">
      <c r="A57" s="659">
        <v>42</v>
      </c>
      <c r="B57" s="683">
        <v>90734</v>
      </c>
      <c r="C57" s="684" t="str">
        <f>VLOOKUP(B57,'FDE-JUNHO-08'!$A$6:$D$3537,2,FALSE())</f>
        <v>CABO DE 10 MM2 - 1000V DE ISOLAÇÃO</v>
      </c>
      <c r="D57" s="679" t="str">
        <f>VLOOKUP(B57,'FDE-JUNHO-08'!$A$6:$D$3537,3,FALSE())</f>
        <v xml:space="preserve">M </v>
      </c>
      <c r="E57" s="680">
        <v>452.33</v>
      </c>
      <c r="F57" s="681">
        <v>9.39</v>
      </c>
      <c r="G57" s="682">
        <v>4247.37</v>
      </c>
    </row>
    <row r="58" spans="1:7" ht="13.5" customHeight="1">
      <c r="A58" s="659">
        <v>43</v>
      </c>
      <c r="B58" s="683">
        <v>90320</v>
      </c>
      <c r="C58" s="684" t="str">
        <f>VLOOKUP(B58,'FDE-JUNHO-08'!$A$6:$D$3537,2,FALSE())</f>
        <v>CABO DE 16 MM2 - 1000V DE ISOLAÇÃO</v>
      </c>
      <c r="D58" s="679" t="str">
        <f>VLOOKUP(B58,'FDE-JUNHO-08'!$A$6:$D$3537,3,FALSE())</f>
        <v xml:space="preserve">M </v>
      </c>
      <c r="E58" s="680">
        <v>120</v>
      </c>
      <c r="F58" s="681">
        <v>15.64</v>
      </c>
      <c r="G58" s="682">
        <v>1876.8</v>
      </c>
    </row>
    <row r="59" spans="1:7" ht="13.5" customHeight="1">
      <c r="A59" s="659">
        <v>44</v>
      </c>
      <c r="B59" s="683">
        <v>90322</v>
      </c>
      <c r="C59" s="684" t="str">
        <f>VLOOKUP(B59,'FDE-JUNHO-08'!$A$6:$D$3537,2,FALSE())</f>
        <v>CABO DE 35 MM2 - 1000V DE ISOLAÇÃO</v>
      </c>
      <c r="D59" s="679" t="str">
        <f>VLOOKUP(B59,'FDE-JUNHO-08'!$A$6:$D$3537,3,FALSE())</f>
        <v xml:space="preserve">M </v>
      </c>
      <c r="E59" s="680">
        <v>88.9</v>
      </c>
      <c r="F59" s="681">
        <v>33.04</v>
      </c>
      <c r="G59" s="682">
        <v>2937.25</v>
      </c>
    </row>
    <row r="60" spans="1:7" ht="13.5" customHeight="1">
      <c r="A60" s="659">
        <v>45</v>
      </c>
      <c r="B60" s="683">
        <v>90323</v>
      </c>
      <c r="C60" s="684" t="str">
        <f>VLOOKUP(B60,'FDE-JUNHO-08'!$A$6:$D$3537,2,FALSE())</f>
        <v>CABO DE 50 MM2 - 1000V DE ISOLAÇÃO</v>
      </c>
      <c r="D60" s="679" t="str">
        <f>VLOOKUP(B60,'FDE-JUNHO-08'!$A$6:$D$3537,3,FALSE())</f>
        <v xml:space="preserve">M </v>
      </c>
      <c r="E60" s="680">
        <v>70.650000000000006</v>
      </c>
      <c r="F60" s="681">
        <v>44.45</v>
      </c>
      <c r="G60" s="682">
        <v>3140.39</v>
      </c>
    </row>
    <row r="61" spans="1:7" ht="13.5" customHeight="1">
      <c r="A61" s="659">
        <v>46</v>
      </c>
      <c r="B61" s="683">
        <v>90325</v>
      </c>
      <c r="C61" s="684" t="str">
        <f>VLOOKUP(B61,'FDE-JUNHO-08'!$A$6:$D$3537,2,FALSE())</f>
        <v>CABO DE 95 MM2 - 1000V DE ISOLAÇÃO</v>
      </c>
      <c r="D61" s="679" t="str">
        <f>VLOOKUP(B61,'FDE-JUNHO-08'!$A$6:$D$3537,3,FALSE())</f>
        <v xml:space="preserve">M </v>
      </c>
      <c r="E61" s="680">
        <v>88</v>
      </c>
      <c r="F61" s="681">
        <v>79.13</v>
      </c>
      <c r="G61" s="682">
        <v>6963.44</v>
      </c>
    </row>
    <row r="62" spans="1:7" ht="13.5" customHeight="1">
      <c r="A62" s="659">
        <v>47</v>
      </c>
      <c r="B62" s="677">
        <v>90328</v>
      </c>
      <c r="C62" s="678" t="str">
        <f>VLOOKUP(B62,'FDE-JUNHO-08'!$A$6:$D$3537,2,FALSE())</f>
        <v>CABO DE 185 MM2 - 1000V DE ISOLAÇÃO</v>
      </c>
      <c r="D62" s="685" t="str">
        <f>VLOOKUP(B62,'FDE-JUNHO-08'!$A$6:$D$3537,3,FALSE())</f>
        <v xml:space="preserve">M </v>
      </c>
      <c r="E62" s="688">
        <v>156</v>
      </c>
      <c r="F62" s="686">
        <v>146.94999999999999</v>
      </c>
      <c r="G62" s="687">
        <v>22924.2</v>
      </c>
    </row>
    <row r="63" spans="1:7" ht="13.5" customHeight="1">
      <c r="A63" s="659">
        <v>48</v>
      </c>
      <c r="B63" s="683">
        <v>90952</v>
      </c>
      <c r="C63" s="684" t="str">
        <f>VLOOKUP(B63,'FDE-JUNHO-08'!$A$6:$D$3537,2,FALSE())</f>
        <v>IL-45 LUMINARIA PARA LAMPADA FLUORESCENTE (2X32W)</v>
      </c>
      <c r="D63" s="679" t="str">
        <f>VLOOKUP(B63,'FDE-JUNHO-08'!$A$6:$D$3537,3,FALSE())</f>
        <v>UN</v>
      </c>
      <c r="E63" s="680">
        <v>11</v>
      </c>
      <c r="F63" s="681">
        <v>134.41999999999999</v>
      </c>
      <c r="G63" s="682">
        <v>1478.62</v>
      </c>
    </row>
    <row r="64" spans="1:7" ht="13.5" customHeight="1">
      <c r="A64" s="659">
        <v>49</v>
      </c>
      <c r="B64" s="683">
        <v>91021</v>
      </c>
      <c r="C64" s="684" t="str">
        <f>VLOOKUP(B64,'FDE-JUNHO-08'!$A$6:$D$3537,2,FALSE())</f>
        <v>CENTRO DE LUZ EM PERFILADOS-CAIXA FM</v>
      </c>
      <c r="D64" s="679" t="str">
        <f>VLOOKUP(B64,'FDE-JUNHO-08'!$A$6:$D$3537,3,FALSE())</f>
        <v>UN</v>
      </c>
      <c r="E64" s="680">
        <v>15</v>
      </c>
      <c r="F64" s="681">
        <v>196.47</v>
      </c>
      <c r="G64" s="682">
        <v>2947.05</v>
      </c>
    </row>
    <row r="65" spans="1:8" ht="13.5" customHeight="1">
      <c r="A65" s="659">
        <v>50</v>
      </c>
      <c r="B65" s="683">
        <v>95401</v>
      </c>
      <c r="C65" s="684" t="str">
        <f>VLOOKUP(B65,'FDE-JUNHO-08'!$A$6:$D$3537,2,FALSE())</f>
        <v>REMOCAO DE INTERRUPTORES TOMADAS BOTOES DE CAMPAINHA E CIGARRAS</v>
      </c>
      <c r="D65" s="679" t="str">
        <f>VLOOKUP(B65,'FDE-JUNHO-08'!$A$6:$D$3537,3,FALSE())</f>
        <v>UN</v>
      </c>
      <c r="E65" s="680">
        <v>10</v>
      </c>
      <c r="F65" s="681">
        <v>8.32</v>
      </c>
      <c r="G65" s="682">
        <v>83.2</v>
      </c>
    </row>
    <row r="66" spans="1:8" ht="13.5" customHeight="1">
      <c r="A66" s="659">
        <v>51</v>
      </c>
      <c r="B66" s="683">
        <v>95202</v>
      </c>
      <c r="C66" s="684" t="str">
        <f>VLOOKUP(B66,'FDE-JUNHO-08'!$A$6:$D$3537,2,FALSE())</f>
        <v>REMOCAO DE POSTE DE CONCRETO DE ENTRADA EM B.T.</v>
      </c>
      <c r="D66" s="679" t="str">
        <f>VLOOKUP(B66,'FDE-JUNHO-08'!$A$6:$D$3537,3,FALSE())</f>
        <v>UN</v>
      </c>
      <c r="E66" s="680">
        <v>1</v>
      </c>
      <c r="F66" s="681">
        <v>104.03</v>
      </c>
      <c r="G66" s="682">
        <v>104.03</v>
      </c>
    </row>
    <row r="67" spans="1:8" ht="13.5" customHeight="1">
      <c r="A67" s="659">
        <v>52</v>
      </c>
      <c r="B67" s="683">
        <v>95221</v>
      </c>
      <c r="C67" s="684" t="str">
        <f>VLOOKUP(B67,'FDE-JUNHO-08'!$A$6:$D$3537,2,FALSE())</f>
        <v>REMOCAO DE TERMINAIS ,CONECTORES DE PRESSAO OU ROLDANAS PARA CABOS</v>
      </c>
      <c r="D67" s="679" t="str">
        <f>VLOOKUP(B67,'FDE-JUNHO-08'!$A$6:$D$3537,3,FALSE())</f>
        <v>UN</v>
      </c>
      <c r="E67" s="680">
        <v>20</v>
      </c>
      <c r="F67" s="681">
        <v>4.16</v>
      </c>
      <c r="G67" s="682">
        <v>83.2</v>
      </c>
    </row>
    <row r="68" spans="1:8" ht="13.5" customHeight="1">
      <c r="A68" s="659">
        <v>53</v>
      </c>
      <c r="B68" s="683">
        <v>95217</v>
      </c>
      <c r="C68" s="684" t="str">
        <f>VLOOKUP(B68,'FDE-JUNHO-08'!$A$6:$D$3537,2,FALSE())</f>
        <v>REMOCAO DE FIO EMBUTIDO ATE 16 MM2</v>
      </c>
      <c r="D68" s="679" t="str">
        <f>VLOOKUP(B68,'FDE-JUNHO-08'!$A$6:$D$3537,3,FALSE())</f>
        <v xml:space="preserve">M </v>
      </c>
      <c r="E68" s="680">
        <v>269</v>
      </c>
      <c r="F68" s="681">
        <v>0.52</v>
      </c>
      <c r="G68" s="682">
        <v>139.88</v>
      </c>
    </row>
    <row r="69" spans="1:8" ht="13.5" customHeight="1">
      <c r="A69" s="659">
        <v>54</v>
      </c>
      <c r="B69" s="683">
        <v>95218</v>
      </c>
      <c r="C69" s="684" t="str">
        <f>VLOOKUP(B69,'FDE-JUNHO-08'!$A$6:$D$3537,2,FALSE())</f>
        <v>REMOCAO DE CABO EMBUTIDO ACIMA DE 16 MM2</v>
      </c>
      <c r="D69" s="679" t="str">
        <f>VLOOKUP(B69,'FDE-JUNHO-08'!$A$6:$D$3537,3,FALSE())</f>
        <v xml:space="preserve">M </v>
      </c>
      <c r="E69" s="680">
        <v>286.33999999999997</v>
      </c>
      <c r="F69" s="681">
        <v>1.04</v>
      </c>
      <c r="G69" s="682">
        <v>297.79000000000002</v>
      </c>
    </row>
    <row r="70" spans="1:8" ht="13.5" customHeight="1">
      <c r="A70" s="659">
        <v>55</v>
      </c>
      <c r="B70" s="683">
        <v>95230</v>
      </c>
      <c r="C70" s="684" t="str">
        <f>VLOOKUP(B70,'FDE-JUNHO-08'!$A$6:$D$3537,2,FALSE())</f>
        <v>REMOCAO DE DISJUNTOR QUICK-LAG OU BASE P/ FUSIVEL DIAZED EM B.T</v>
      </c>
      <c r="D70" s="679" t="str">
        <f>VLOOKUP(B70,'FDE-JUNHO-08'!$A$6:$D$3537,3,FALSE())</f>
        <v>UN</v>
      </c>
      <c r="E70" s="680">
        <v>6</v>
      </c>
      <c r="F70" s="681">
        <v>2.6</v>
      </c>
      <c r="G70" s="682">
        <v>15.6</v>
      </c>
    </row>
    <row r="71" spans="1:8" ht="13.5" customHeight="1">
      <c r="A71" s="659">
        <v>56</v>
      </c>
      <c r="B71" s="683">
        <v>96209</v>
      </c>
      <c r="C71" s="684" t="str">
        <f>VLOOKUP(B71,'FDE-JUNHO-08'!$A$6:$D$3537,2,FALSE())</f>
        <v>DE TUBULACAO ELETRICA APARENTE ATE 2"</v>
      </c>
      <c r="D71" s="679" t="str">
        <f>VLOOKUP(B71,'FDE-JUNHO-08'!$A$6:$D$3537,3,FALSE())</f>
        <v xml:space="preserve">M </v>
      </c>
      <c r="E71" s="680">
        <v>98</v>
      </c>
      <c r="F71" s="681">
        <v>5.2</v>
      </c>
      <c r="G71" s="682">
        <v>509.6</v>
      </c>
    </row>
    <row r="72" spans="1:8" ht="13.5" customHeight="1">
      <c r="A72" s="659">
        <v>57</v>
      </c>
      <c r="B72" s="683">
        <v>96499</v>
      </c>
      <c r="C72" s="684" t="str">
        <f>VLOOKUP(B72,'FDE-JUNHO-08'!$A$6:$D$3537,2,FALSE())</f>
        <v>RETIRADAS DE APARELHOS E EQUIPAMENTOS</v>
      </c>
      <c r="D72" s="679" t="str">
        <f>VLOOKUP(B72,'FDE-JUNHO-08'!$A$6:$D$3537,3,FALSE())</f>
        <v>MV</v>
      </c>
      <c r="E72" s="680">
        <v>17</v>
      </c>
      <c r="F72" s="681">
        <v>263.25</v>
      </c>
      <c r="G72" s="682">
        <v>4475.25</v>
      </c>
    </row>
    <row r="73" spans="1:8" ht="13.5" customHeight="1">
      <c r="A73" s="659">
        <v>58</v>
      </c>
      <c r="B73" s="683">
        <v>95401</v>
      </c>
      <c r="C73" s="684" t="str">
        <f>VLOOKUP(B73,'FDE-JUNHO-08'!$A$6:$D$3537,2,FALSE())</f>
        <v>REMOCAO DE INTERRUPTORES TOMADAS BOTOES DE CAMPAINHA E CIGARRAS</v>
      </c>
      <c r="D73" s="679" t="str">
        <f>VLOOKUP(B73,'FDE-JUNHO-08'!$A$6:$D$3537,3,FALSE())</f>
        <v>UN</v>
      </c>
      <c r="E73" s="680">
        <v>11</v>
      </c>
      <c r="F73" s="681">
        <v>8.32</v>
      </c>
      <c r="G73" s="682">
        <v>91.52</v>
      </c>
    </row>
    <row r="74" spans="1:8" ht="13.5" customHeight="1">
      <c r="A74" s="659">
        <v>59</v>
      </c>
      <c r="B74" s="683">
        <v>95405</v>
      </c>
      <c r="C74" s="684" t="str">
        <f>VLOOKUP(B74,'FDE-JUNHO-08'!$A$6:$D$3537,2,FALSE())</f>
        <v>REMOCAO AP.ILUM FLUORESC.C/PLAFON E PEND,OU CANOPLA P/ LUM.PENDENTE</v>
      </c>
      <c r="D74" s="679" t="str">
        <f>VLOOKUP(B74,'FDE-JUNHO-08'!$A$6:$D$3537,3,FALSE())</f>
        <v>UN</v>
      </c>
      <c r="E74" s="680">
        <v>64</v>
      </c>
      <c r="F74" s="681">
        <v>3.12</v>
      </c>
      <c r="G74" s="682">
        <v>199.68</v>
      </c>
    </row>
    <row r="75" spans="1:8" ht="13.5" customHeight="1">
      <c r="A75" s="659">
        <v>60</v>
      </c>
      <c r="B75" s="683">
        <v>97405</v>
      </c>
      <c r="C75" s="684" t="str">
        <f>VLOOKUP(B75,'FDE-JUNHO-08'!$A$6:$D$3537,2,FALSE())</f>
        <v>DE AP.ILUM.(PLAFON OU PEND.)P/LAMP.INCAND OU DE PROJET EM JARDINS</v>
      </c>
      <c r="D75" s="679" t="str">
        <f>VLOOKUP(B75,'FDE-JUNHO-08'!$A$6:$D$3537,3,FALSE())</f>
        <v>UN</v>
      </c>
      <c r="E75" s="680">
        <v>64</v>
      </c>
      <c r="F75" s="681">
        <v>16.64</v>
      </c>
      <c r="G75" s="682">
        <v>1064.96</v>
      </c>
    </row>
    <row r="76" spans="1:8" ht="13.5" customHeight="1">
      <c r="A76" s="659">
        <v>61</v>
      </c>
      <c r="B76" s="683">
        <v>98552</v>
      </c>
      <c r="C76" s="684" t="str">
        <f>VLOOKUP(B76,'FDE-JUNHO-08'!$A$6:$D$3537,2,FALSE())</f>
        <v>POSTE DE CONCRETO TUBULAR OCO DE 7 M DE COMPR C/ JANELA ISNPECAO</v>
      </c>
      <c r="D76" s="679" t="str">
        <f>VLOOKUP(B76,'FDE-JUNHO-08'!$A$6:$D$3537,3,FALSE())</f>
        <v>UN</v>
      </c>
      <c r="E76" s="680">
        <v>1</v>
      </c>
      <c r="F76" s="681">
        <v>564.23</v>
      </c>
      <c r="G76" s="682">
        <v>564.23</v>
      </c>
    </row>
    <row r="77" spans="1:8" ht="13.5" customHeight="1">
      <c r="A77" s="659">
        <v>62</v>
      </c>
      <c r="B77" s="683">
        <v>98225</v>
      </c>
      <c r="C77" s="684" t="str">
        <f>VLOOKUP(B77,'FDE-JUNHO-08'!$A$6:$D$3537,2,FALSE())</f>
        <v>TERMINAL OU CONECTOR DE PRESSAO PARA CABO 10MM</v>
      </c>
      <c r="D77" s="679" t="str">
        <f>VLOOKUP(B77,'FDE-JUNHO-08'!$A$6:$D$3537,3,FALSE())</f>
        <v>UN</v>
      </c>
      <c r="E77" s="680">
        <v>10</v>
      </c>
      <c r="F77" s="681">
        <v>8.2100000000000009</v>
      </c>
      <c r="G77" s="682">
        <v>82.1</v>
      </c>
    </row>
    <row r="78" spans="1:8" ht="13.5" customHeight="1">
      <c r="A78" s="659">
        <v>63</v>
      </c>
      <c r="B78" s="683">
        <v>98226</v>
      </c>
      <c r="C78" s="684" t="str">
        <f>VLOOKUP(B78,'FDE-JUNHO-08'!$A$6:$D$3537,2,FALSE())</f>
        <v>TERMINAL OU CONECTOR DE PRESSAO PARA CABO 16MM</v>
      </c>
      <c r="D78" s="679" t="str">
        <f>VLOOKUP(B78,'FDE-JUNHO-08'!$A$6:$D$3537,3,FALSE())</f>
        <v>UN</v>
      </c>
      <c r="E78" s="680">
        <v>8</v>
      </c>
      <c r="F78" s="681">
        <v>8.68</v>
      </c>
      <c r="G78" s="682">
        <v>69.44</v>
      </c>
    </row>
    <row r="79" spans="1:8" ht="13.5" customHeight="1">
      <c r="A79" s="659">
        <v>64</v>
      </c>
      <c r="B79" s="683">
        <v>98227</v>
      </c>
      <c r="C79" s="684" t="str">
        <f>VLOOKUP(B79,'FDE-JUNHO-08'!$A$6:$D$3537,2,FALSE())</f>
        <v>TERMINAL OU CONECTOR DE PRESSAO PARA CABO 25MM</v>
      </c>
      <c r="D79" s="679" t="str">
        <f>VLOOKUP(B79,'FDE-JUNHO-08'!$A$6:$D$3537,3,FALSE())</f>
        <v>UN</v>
      </c>
      <c r="E79" s="680">
        <v>18</v>
      </c>
      <c r="F79" s="681">
        <v>8.76</v>
      </c>
      <c r="G79" s="682">
        <v>157.68</v>
      </c>
    </row>
    <row r="80" spans="1:8" s="659" customFormat="1" ht="13.5" customHeight="1">
      <c r="A80" s="659">
        <v>65</v>
      </c>
      <c r="B80" s="683">
        <v>98229</v>
      </c>
      <c r="C80" s="684" t="str">
        <f>VLOOKUP(B80,'FDE-JUNHO-08'!$A$6:$D$3537,2,FALSE())</f>
        <v>TERMINAL OU CONECTOR DE PRESSAO PARA CABO 50MM</v>
      </c>
      <c r="D80" s="679" t="str">
        <f>VLOOKUP(B80,'FDE-JUNHO-08'!$A$6:$D$3537,3,FALSE())</f>
        <v>UN</v>
      </c>
      <c r="E80" s="680">
        <v>16</v>
      </c>
      <c r="F80" s="681">
        <v>12.06</v>
      </c>
      <c r="G80" s="682">
        <v>192.96</v>
      </c>
      <c r="H80" s="506"/>
    </row>
    <row r="81" spans="1:8" s="659" customFormat="1" ht="13.5" customHeight="1">
      <c r="A81" s="659">
        <v>66</v>
      </c>
      <c r="B81" s="683">
        <v>98228</v>
      </c>
      <c r="C81" s="684" t="str">
        <f>VLOOKUP(B81,'FDE-JUNHO-08'!$A$6:$D$3537,2,FALSE())</f>
        <v>TERMINAL OU CONECTOR DE PRESSAO PARA CABO 35MM</v>
      </c>
      <c r="D81" s="679" t="str">
        <f>VLOOKUP(B81,'FDE-JUNHO-08'!$A$6:$D$3537,3,FALSE())</f>
        <v>UN</v>
      </c>
      <c r="E81" s="680">
        <v>8</v>
      </c>
      <c r="F81" s="681">
        <v>11.23</v>
      </c>
      <c r="G81" s="682">
        <v>89.84</v>
      </c>
      <c r="H81" s="506"/>
    </row>
    <row r="82" spans="1:8" ht="13.5" customHeight="1">
      <c r="A82" s="659">
        <v>67</v>
      </c>
      <c r="B82" s="683">
        <v>98229</v>
      </c>
      <c r="C82" s="684" t="str">
        <f>VLOOKUP(B82,'FDE-JUNHO-08'!$A$6:$D$3537,2,FALSE())</f>
        <v>TERMINAL OU CONECTOR DE PRESSAO PARA CABO 50MM</v>
      </c>
      <c r="D82" s="679" t="str">
        <f>VLOOKUP(B82,'FDE-JUNHO-08'!$A$6:$D$3537,3,FALSE())</f>
        <v>UN</v>
      </c>
      <c r="E82" s="680">
        <v>10</v>
      </c>
      <c r="F82" s="681">
        <v>12.06</v>
      </c>
      <c r="G82" s="682">
        <v>120.6</v>
      </c>
    </row>
    <row r="83" spans="1:8" ht="13.5" customHeight="1">
      <c r="A83" s="659">
        <v>68</v>
      </c>
      <c r="B83" s="683">
        <v>98231</v>
      </c>
      <c r="C83" s="684" t="str">
        <f>VLOOKUP(B83,'FDE-JUNHO-08'!$A$6:$D$3537,2,FALSE())</f>
        <v>TERMINAL OU CONECTOR DE PRESSAO PARA CABO 95MM</v>
      </c>
      <c r="D83" s="679" t="str">
        <f>VLOOKUP(B83,'FDE-JUNHO-08'!$A$6:$D$3537,3,FALSE())</f>
        <v>UN</v>
      </c>
      <c r="E83" s="680">
        <v>15</v>
      </c>
      <c r="F83" s="681">
        <v>14.14</v>
      </c>
      <c r="G83" s="682">
        <v>212.1</v>
      </c>
    </row>
    <row r="84" spans="1:8" ht="13.5" customHeight="1">
      <c r="A84" s="659">
        <v>69</v>
      </c>
      <c r="B84" s="683">
        <v>98234</v>
      </c>
      <c r="C84" s="684" t="str">
        <f>VLOOKUP(B84,'FDE-JUNHO-08'!$A$6:$D$3537,2,FALSE())</f>
        <v>TERMINAL OU CONECTOR DE PRESSAO PARA CABO 185MM</v>
      </c>
      <c r="D84" s="679" t="str">
        <f>VLOOKUP(B84,'FDE-JUNHO-08'!$A$6:$D$3537,3,FALSE())</f>
        <v>UN</v>
      </c>
      <c r="E84" s="680">
        <v>20</v>
      </c>
      <c r="F84" s="681">
        <v>21.69</v>
      </c>
      <c r="G84" s="682">
        <v>433.8</v>
      </c>
    </row>
    <row r="85" spans="1:8" ht="13.5" customHeight="1">
      <c r="A85" s="659">
        <v>70</v>
      </c>
      <c r="B85" s="683">
        <v>98295</v>
      </c>
      <c r="C85" s="684" t="str">
        <f>VLOOKUP(B85,'FDE-JUNHO-08'!$A$6:$D$3537,2,FALSE())</f>
        <v>PERFFILADO EM CHAPA DE ACO 38X38MM</v>
      </c>
      <c r="D85" s="679" t="str">
        <f>VLOOKUP(B85,'FDE-JUNHO-08'!$A$6:$D$3537,3,FALSE())</f>
        <v xml:space="preserve">M </v>
      </c>
      <c r="E85" s="680">
        <v>112.98</v>
      </c>
      <c r="F85" s="681">
        <v>25.35</v>
      </c>
      <c r="G85" s="682">
        <v>2864.04</v>
      </c>
    </row>
    <row r="86" spans="1:8" ht="13.5" customHeight="1">
      <c r="A86" s="659">
        <v>71</v>
      </c>
      <c r="B86" s="677">
        <v>90284</v>
      </c>
      <c r="C86" s="678" t="str">
        <f>VLOOKUP(B86,'FDE-JUNHO-08'!$A$6:$D$3537,2,FALSE())</f>
        <v>CHAVE SECCIONADORA NH C/ CARGA 3X250A TAM 01 C/ FUSIVEIS</v>
      </c>
      <c r="D86" s="685" t="str">
        <f>VLOOKUP(B86,'FDE-JUNHO-08'!$A$6:$D$3537,3,FALSE())</f>
        <v>UN</v>
      </c>
      <c r="E86" s="688">
        <v>4</v>
      </c>
      <c r="F86" s="686">
        <v>367.61</v>
      </c>
      <c r="G86" s="687">
        <v>1470.44</v>
      </c>
    </row>
    <row r="87" spans="1:8" ht="13.5" customHeight="1">
      <c r="A87" s="659">
        <v>72</v>
      </c>
      <c r="B87" s="683">
        <v>98292</v>
      </c>
      <c r="C87" s="684" t="str">
        <f>VLOOKUP(B87,'FDE-JUNHO-08'!$A$6:$D$3537,2,FALSE())</f>
        <v>CHAVE SECCIONADORA NH 3X400A COM FUSIVEIS</v>
      </c>
      <c r="D87" s="679" t="str">
        <f>VLOOKUP(B87,'FDE-JUNHO-08'!$A$6:$D$3537,3,FALSE())</f>
        <v>UN</v>
      </c>
      <c r="E87" s="680">
        <v>2</v>
      </c>
      <c r="F87" s="681">
        <v>548.73</v>
      </c>
      <c r="G87" s="682">
        <v>1097.46</v>
      </c>
    </row>
    <row r="88" spans="1:8" ht="13.5" customHeight="1">
      <c r="A88" s="659">
        <v>73</v>
      </c>
      <c r="B88" s="683">
        <v>90813</v>
      </c>
      <c r="C88" s="684" t="str">
        <f>VLOOKUP(B88,'FDE-JUNHO-08'!$A$6:$D$3537,2,FALSE())</f>
        <v>TOMADA 2P+T UNIVERSAL CORR.10A/15A-250V-ELETR. GALV. A QUENTE</v>
      </c>
      <c r="D88" s="679" t="str">
        <f>VLOOKUP(B88,'FDE-JUNHO-08'!$A$6:$D$3537,3,FALSE())</f>
        <v>UN</v>
      </c>
      <c r="E88" s="680">
        <v>80</v>
      </c>
      <c r="F88" s="681">
        <v>107.48</v>
      </c>
      <c r="G88" s="682">
        <v>8598.4</v>
      </c>
    </row>
    <row r="89" spans="1:8" ht="13.5" customHeight="1">
      <c r="A89" s="659">
        <v>74</v>
      </c>
      <c r="B89" s="683">
        <v>98401</v>
      </c>
      <c r="C89" s="684" t="str">
        <f>VLOOKUP(B89,'FDE-JUNHO-08'!$A$6:$D$3537,2,FALSE())</f>
        <v>INTERRUPTOR DE 1 TECLA</v>
      </c>
      <c r="D89" s="679" t="str">
        <f>VLOOKUP(B89,'FDE-JUNHO-08'!$A$6:$D$3537,3,FALSE())</f>
        <v>UN</v>
      </c>
      <c r="E89" s="680">
        <v>8</v>
      </c>
      <c r="F89" s="681">
        <v>7.4</v>
      </c>
      <c r="G89" s="682">
        <v>59.2</v>
      </c>
    </row>
    <row r="90" spans="1:8" ht="13.5" customHeight="1">
      <c r="A90" s="659">
        <v>75</v>
      </c>
      <c r="B90" s="683">
        <v>98402</v>
      </c>
      <c r="C90" s="684" t="str">
        <f>VLOOKUP(B90,'FDE-JUNHO-08'!$A$6:$D$3537,2,FALSE())</f>
        <v>INTERRUPTOR DE 2 TECLAS</v>
      </c>
      <c r="D90" s="679" t="str">
        <f>VLOOKUP(B90,'FDE-JUNHO-08'!$A$6:$D$3537,3,FALSE())</f>
        <v>UN</v>
      </c>
      <c r="E90" s="680">
        <v>6</v>
      </c>
      <c r="F90" s="681">
        <v>15.81</v>
      </c>
      <c r="G90" s="682">
        <v>94.86</v>
      </c>
    </row>
    <row r="91" spans="1:8" ht="13.5" customHeight="1">
      <c r="A91" s="659">
        <v>76</v>
      </c>
      <c r="B91" s="683">
        <v>98403</v>
      </c>
      <c r="C91" s="684" t="str">
        <f>VLOOKUP(B91,'FDE-JUNHO-08'!$A$6:$D$3537,2,FALSE())</f>
        <v>INTERRUPTOR DE 3 TECLAS</v>
      </c>
      <c r="D91" s="679" t="str">
        <f>VLOOKUP(B91,'FDE-JUNHO-08'!$A$6:$D$3537,3,FALSE())</f>
        <v>UN</v>
      </c>
      <c r="E91" s="680">
        <v>3</v>
      </c>
      <c r="F91" s="681">
        <v>15.65</v>
      </c>
      <c r="G91" s="682">
        <v>46.95</v>
      </c>
    </row>
    <row r="92" spans="1:8" ht="13.5" customHeight="1">
      <c r="A92" s="659">
        <v>77</v>
      </c>
      <c r="B92" s="683">
        <v>98452</v>
      </c>
      <c r="C92" s="684" t="str">
        <f>VLOOKUP(B92,'FDE-JUNHO-08'!$A$6:$D$3537,2,FALSE())</f>
        <v>SOQUETE P/LAMPADA FLUORESCENTE TIPO ANTI-VIBR. S/PORTA-STAR</v>
      </c>
      <c r="D92" s="679" t="str">
        <f>VLOOKUP(B92,'FDE-JUNHO-08'!$A$6:$D$3537,3,FALSE())</f>
        <v>UN</v>
      </c>
      <c r="E92" s="680">
        <v>42</v>
      </c>
      <c r="F92" s="681">
        <v>2.57</v>
      </c>
      <c r="G92" s="682">
        <v>107.94</v>
      </c>
    </row>
    <row r="93" spans="1:8" ht="13.5" customHeight="1">
      <c r="A93" s="659">
        <v>78</v>
      </c>
      <c r="B93" s="683">
        <v>98490</v>
      </c>
      <c r="C93" s="684" t="str">
        <f>VLOOKUP(B93,'FDE-JUNHO-08'!$A$6:$D$3537,2,FALSE())</f>
        <v>REATOR DUPLO P/ LAMP FLUOR PART RAP ALTO FATOR POTENCIA 220V/2X40W</v>
      </c>
      <c r="D93" s="679" t="str">
        <f>VLOOKUP(B93,'FDE-JUNHO-08'!$A$6:$D$3537,3,FALSE())</f>
        <v>UN</v>
      </c>
      <c r="E93" s="680">
        <v>21</v>
      </c>
      <c r="F93" s="681">
        <v>61.6</v>
      </c>
      <c r="G93" s="682">
        <v>1293.5999999999999</v>
      </c>
    </row>
    <row r="94" spans="1:8" ht="13.5" customHeight="1">
      <c r="A94" s="659">
        <v>79</v>
      </c>
      <c r="B94" s="683">
        <v>98509</v>
      </c>
      <c r="C94" s="684" t="str">
        <f>VLOOKUP(B94,'FDE-JUNHO-08'!$A$6:$D$3537,2,FALSE())</f>
        <v>LAMPADA FLUORESCENTE DE 40W/220V</v>
      </c>
      <c r="D94" s="679" t="str">
        <f>VLOOKUP(B94,'FDE-JUNHO-08'!$A$6:$D$3537,3,FALSE())</f>
        <v>UN</v>
      </c>
      <c r="E94" s="680">
        <v>44</v>
      </c>
      <c r="F94" s="681">
        <v>4.41</v>
      </c>
      <c r="G94" s="682">
        <v>194.04</v>
      </c>
    </row>
    <row r="95" spans="1:8" ht="13.5" customHeight="1">
      <c r="A95" s="659">
        <v>80</v>
      </c>
      <c r="B95" s="683">
        <v>98560</v>
      </c>
      <c r="C95" s="684" t="str">
        <f>VLOOKUP(B95,'FDE-JUNHO-08'!$A$6:$D$3537,2,FALSE())</f>
        <v>CONDULETE DE 1"</v>
      </c>
      <c r="D95" s="679" t="str">
        <f>VLOOKUP(B95,'FDE-JUNHO-08'!$A$6:$D$3537,3,FALSE())</f>
        <v>UN</v>
      </c>
      <c r="E95" s="680">
        <v>59</v>
      </c>
      <c r="F95" s="681">
        <v>22.32</v>
      </c>
      <c r="G95" s="682">
        <v>1316.88</v>
      </c>
    </row>
    <row r="96" spans="1:8" ht="13.5" customHeight="1">
      <c r="A96" s="659">
        <v>81</v>
      </c>
      <c r="B96" s="683">
        <v>98561</v>
      </c>
      <c r="C96" s="684" t="str">
        <f>VLOOKUP(B96,'FDE-JUNHO-08'!$A$6:$D$3537,2,FALSE())</f>
        <v>CONDULETE DE 1 1/4"</v>
      </c>
      <c r="D96" s="679" t="str">
        <f>VLOOKUP(B96,'FDE-JUNHO-08'!$A$6:$D$3537,3,FALSE())</f>
        <v>UN</v>
      </c>
      <c r="E96" s="680">
        <v>83</v>
      </c>
      <c r="F96" s="681">
        <v>28.3</v>
      </c>
      <c r="G96" s="682">
        <v>2348.9</v>
      </c>
    </row>
    <row r="97" spans="1:8" ht="13.5" customHeight="1">
      <c r="A97" s="659">
        <v>82</v>
      </c>
      <c r="B97" s="683">
        <v>98562</v>
      </c>
      <c r="C97" s="684" t="str">
        <f>VLOOKUP(B97,'FDE-JUNHO-08'!$A$6:$D$3537,2,FALSE())</f>
        <v>CONDULETE DE 1 1/2"</v>
      </c>
      <c r="D97" s="679" t="str">
        <f>VLOOKUP(B97,'FDE-JUNHO-08'!$A$6:$D$3537,3,FALSE())</f>
        <v>UN</v>
      </c>
      <c r="E97" s="680">
        <v>65</v>
      </c>
      <c r="F97" s="681">
        <v>34.78</v>
      </c>
      <c r="G97" s="682">
        <v>2260.6999999999998</v>
      </c>
    </row>
    <row r="98" spans="1:8" ht="13.5" customHeight="1">
      <c r="A98" s="659">
        <v>83</v>
      </c>
      <c r="B98" s="683">
        <v>98563</v>
      </c>
      <c r="C98" s="684" t="str">
        <f>VLOOKUP(B98,'FDE-JUNHO-08'!$A$6:$D$3537,2,FALSE())</f>
        <v>CONDULETE DE 2"</v>
      </c>
      <c r="D98" s="679" t="str">
        <f>VLOOKUP(B98,'FDE-JUNHO-08'!$A$6:$D$3537,3,FALSE())</f>
        <v>UN</v>
      </c>
      <c r="E98" s="680">
        <v>26</v>
      </c>
      <c r="F98" s="681">
        <v>47.75</v>
      </c>
      <c r="G98" s="682">
        <v>1241.5</v>
      </c>
    </row>
    <row r="99" spans="1:8" ht="13.5" customHeight="1">
      <c r="A99" s="659">
        <v>84</v>
      </c>
      <c r="B99" s="683">
        <v>98564</v>
      </c>
      <c r="C99" s="684" t="str">
        <f>VLOOKUP(B99,'FDE-JUNHO-08'!$A$6:$D$3537,2,FALSE())</f>
        <v>CONDULETE DE 3/4"</v>
      </c>
      <c r="D99" s="679" t="str">
        <f>VLOOKUP(B99,'FDE-JUNHO-08'!$A$6:$D$3537,3,FALSE())</f>
        <v>UN</v>
      </c>
      <c r="E99" s="680">
        <v>168</v>
      </c>
      <c r="F99" s="681">
        <v>19.61</v>
      </c>
      <c r="G99" s="682">
        <v>3294.48</v>
      </c>
    </row>
    <row r="100" spans="1:8" ht="13.5" customHeight="1">
      <c r="A100" s="659">
        <v>85</v>
      </c>
      <c r="B100" s="677">
        <v>98295</v>
      </c>
      <c r="C100" s="678" t="str">
        <f>VLOOKUP(B100,'FDE-JUNHO-08'!$A$6:$D$3537,2,FALSE())</f>
        <v>PERFFILADO EM CHAPA DE ACO 38X38MM</v>
      </c>
      <c r="D100" s="685" t="str">
        <f>VLOOKUP(B100,'FDE-JUNHO-08'!$A$6:$D$3537,3,FALSE())</f>
        <v xml:space="preserve">M </v>
      </c>
      <c r="E100" s="680">
        <v>97</v>
      </c>
      <c r="F100" s="686">
        <v>25.35</v>
      </c>
      <c r="G100" s="687">
        <v>2458.9499999999998</v>
      </c>
    </row>
    <row r="101" spans="1:8" ht="13.5" customHeight="1">
      <c r="A101" s="659">
        <v>86</v>
      </c>
      <c r="B101" s="677">
        <f>'FDE-JUNHO-08'!A3308</f>
        <v>162050</v>
      </c>
      <c r="C101" s="678" t="str">
        <f>VLOOKUP(B101,'FDE-JUNHO-08'!$A$6:$D$3537,2,FALSE())</f>
        <v>PROJETO EXECUTIVO DE ELETRICA - PRANCHA TECNICA (ELEV/PLAT)</v>
      </c>
      <c r="D101" s="685" t="str">
        <f>VLOOKUP(B101,'FDE-JUNHO-08'!$A$6:$D$3537,3,FALSE())</f>
        <v>UN</v>
      </c>
      <c r="E101" s="688">
        <v>5</v>
      </c>
      <c r="F101" s="686">
        <v>940.85</v>
      </c>
      <c r="G101" s="687">
        <v>4704.25</v>
      </c>
    </row>
    <row r="102" spans="1:8" ht="13.5" customHeight="1">
      <c r="A102" s="659">
        <v>87</v>
      </c>
      <c r="B102" s="689"/>
      <c r="C102" s="690"/>
      <c r="D102" s="679"/>
      <c r="E102" s="680"/>
      <c r="F102" s="681"/>
      <c r="G102" s="682"/>
      <c r="H102" s="659"/>
    </row>
    <row r="103" spans="1:8" ht="13.5" customHeight="1">
      <c r="A103" s="659">
        <v>88</v>
      </c>
      <c r="B103" s="665">
        <v>4</v>
      </c>
      <c r="C103" s="666" t="s">
        <v>4853</v>
      </c>
      <c r="D103" s="667"/>
      <c r="E103" s="668"/>
      <c r="F103" s="669"/>
      <c r="G103" s="670"/>
      <c r="H103" s="659"/>
    </row>
    <row r="104" spans="1:8" ht="13.5" customHeight="1">
      <c r="A104" s="659">
        <v>89</v>
      </c>
      <c r="B104" s="671">
        <v>1</v>
      </c>
      <c r="C104" s="672" t="str">
        <f>VLOOKUP(B104,'FDE-JUNHO-08'!$A$6:$D$3537,2,FALSE())</f>
        <v>SERVICOS PRELIMINARES</v>
      </c>
      <c r="D104" s="673">
        <f>VLOOKUP(B104,'FDE-JUNHO-08'!$A$6:$D$3537,3,FALSE())</f>
        <v>0</v>
      </c>
      <c r="E104" s="674"/>
      <c r="F104" s="675"/>
      <c r="G104" s="676">
        <v>58073.06</v>
      </c>
    </row>
    <row r="105" spans="1:8" ht="13.5" customHeight="1">
      <c r="A105" s="659">
        <v>90</v>
      </c>
      <c r="B105" s="683">
        <v>10305</v>
      </c>
      <c r="C105" s="684" t="str">
        <f>VLOOKUP(B105,'FDE-JUNHO-08'!$A$6:$D$3537,2,FALSE())</f>
        <v xml:space="preserve">TRANSPORTE POR CAMINHAO M3X </v>
      </c>
      <c r="D105" s="679" t="str">
        <f>VLOOKUP(B105,'FDE-JUNHO-08'!$A$6:$D$3537,3,FALSE())</f>
        <v xml:space="preserve">KM </v>
      </c>
      <c r="E105" s="680">
        <v>2253</v>
      </c>
      <c r="F105" s="681">
        <v>0.72</v>
      </c>
      <c r="G105" s="682">
        <v>1622.16</v>
      </c>
    </row>
    <row r="106" spans="1:8" ht="13.5" customHeight="1">
      <c r="A106" s="659">
        <v>91</v>
      </c>
      <c r="B106" s="683">
        <v>106001</v>
      </c>
      <c r="C106" s="684" t="str">
        <f>VLOOKUP(B106,'FDE-JUNHO-08'!$A$6:$D$3537,2,FALSE())</f>
        <v>DE FORROS DE MADEIRA PREGADOS (PLACAS OU TABUAS)</v>
      </c>
      <c r="D106" s="679" t="str">
        <f>VLOOKUP(B106,'FDE-JUNHO-08'!$A$6:$D$3537,3,FALSE())</f>
        <v>M2</v>
      </c>
      <c r="E106" s="680">
        <v>528</v>
      </c>
      <c r="F106" s="681">
        <v>5.46</v>
      </c>
      <c r="G106" s="682">
        <v>2882.88</v>
      </c>
    </row>
    <row r="107" spans="1:8" ht="13.5" customHeight="1">
      <c r="A107" s="659">
        <v>92</v>
      </c>
      <c r="B107" s="683">
        <f>'FDE-JUNHO-08'!A2404</f>
        <v>100107</v>
      </c>
      <c r="C107" s="684" t="str">
        <f>VLOOKUP(B107,'FDE-JUNHO-08'!$A$6:$D$3537,2,FALSE())</f>
        <v>FORRO EM LAMINA DE PVC 200MM E=8A12MM ENTARUGAMENTO DE MADEIRA</v>
      </c>
      <c r="D107" s="679" t="str">
        <f>VLOOKUP(B107,'FDE-JUNHO-08'!$A$6:$D$3537,3,FALSE())</f>
        <v>M2</v>
      </c>
      <c r="E107" s="680">
        <v>528</v>
      </c>
      <c r="F107" s="681">
        <v>73.680000000000007</v>
      </c>
      <c r="G107" s="682">
        <v>38903.040000000001</v>
      </c>
    </row>
    <row r="108" spans="1:8" ht="13.5" customHeight="1">
      <c r="A108" s="659">
        <v>93</v>
      </c>
      <c r="B108" s="683">
        <f>'FDE-JUNHO-08'!A3449</f>
        <v>168006</v>
      </c>
      <c r="C108" s="684" t="str">
        <f>VLOOKUP(B108,'FDE-JUNHO-08'!$A$6:$D$3537,2,FALSE())</f>
        <v>FERRO TRABALHADO (GRADIL)</v>
      </c>
      <c r="D108" s="679" t="str">
        <f>VLOOKUP(B108,'FDE-JUNHO-08'!$A$6:$D$3537,3,FALSE())</f>
        <v>KG</v>
      </c>
      <c r="E108" s="680">
        <v>986.56</v>
      </c>
      <c r="F108" s="681">
        <v>12.54</v>
      </c>
      <c r="G108" s="682">
        <v>12371.46</v>
      </c>
    </row>
    <row r="109" spans="1:8" ht="13.5" customHeight="1">
      <c r="A109" s="659">
        <v>94</v>
      </c>
      <c r="B109" s="683">
        <f>'FDE-JUNHO-08'!A274</f>
        <v>30430</v>
      </c>
      <c r="C109" s="684" t="str">
        <f>VLOOKUP(B109,'FDE-JUNHO-08'!$A$6:$D$3537,2,FALSE())</f>
        <v>DESMONTAGEM DE ESTRUTURA METALICA</v>
      </c>
      <c r="D109" s="679" t="str">
        <f>VLOOKUP(B109,'FDE-JUNHO-08'!$A$6:$D$3537,3,FALSE())</f>
        <v>KG</v>
      </c>
      <c r="E109" s="680">
        <v>986.56</v>
      </c>
      <c r="F109" s="681">
        <v>1.91</v>
      </c>
      <c r="G109" s="682">
        <v>1884.32</v>
      </c>
    </row>
    <row r="110" spans="1:8" ht="13.5" customHeight="1">
      <c r="A110" s="659">
        <v>95</v>
      </c>
      <c r="B110" s="683">
        <v>68049</v>
      </c>
      <c r="C110" s="684" t="str">
        <f>VLOOKUP(B110,'FDE-JUNHO-08'!$A$6:$D$3537,2,FALSE())</f>
        <v>LUBRIFICACAO DE CAIXILHO E TROCA DE REBITES</v>
      </c>
      <c r="D110" s="679" t="str">
        <f>VLOOKUP(B110,'FDE-JUNHO-08'!$A$6:$D$3537,3,FALSE())</f>
        <v>M2</v>
      </c>
      <c r="E110" s="680">
        <v>88</v>
      </c>
      <c r="F110" s="681">
        <v>4.6500000000000004</v>
      </c>
      <c r="G110" s="682">
        <v>409.2</v>
      </c>
    </row>
    <row r="111" spans="1:8" ht="13.5" customHeight="1">
      <c r="A111" s="659">
        <v>96</v>
      </c>
      <c r="B111" s="671">
        <v>4</v>
      </c>
      <c r="C111" s="672" t="str">
        <f>VLOOKUP(B111,'FDE-JUNHO-08'!$A$6:$D$3537,2,FALSE())</f>
        <v>ALVENARIA E OUTROS ELEMENTOS DIVISÓRIOS</v>
      </c>
      <c r="D111" s="673"/>
      <c r="E111" s="674"/>
      <c r="F111" s="675"/>
      <c r="G111" s="676">
        <v>6773.35</v>
      </c>
    </row>
    <row r="112" spans="1:8" ht="13.5" customHeight="1">
      <c r="A112" s="659">
        <v>97</v>
      </c>
      <c r="B112" s="683">
        <f>'FDE-JUNHO-08'!A310</f>
        <v>40146</v>
      </c>
      <c r="C112" s="684" t="str">
        <f>VLOOKUP(B112,'FDE-JUNHO-08'!$A$6:$D$3537,2,FALSE())</f>
        <v>ARMADURA CA 50 PARA PAREDE AUTO-PORTANTE</v>
      </c>
      <c r="D112" s="679" t="str">
        <f>VLOOKUP(B112,'FDE-JUNHO-08'!$A$6:$D$3537,3,FALSE())</f>
        <v>KG</v>
      </c>
      <c r="E112" s="680">
        <v>36</v>
      </c>
      <c r="F112" s="681">
        <v>6.86</v>
      </c>
      <c r="G112" s="682">
        <v>246.96</v>
      </c>
    </row>
    <row r="113" spans="1:7" ht="13.5" customHeight="1">
      <c r="A113" s="659">
        <v>98</v>
      </c>
      <c r="B113" s="683">
        <f>'FDE-JUNHO-08'!A309</f>
        <v>40145</v>
      </c>
      <c r="C113" s="684" t="str">
        <f>VLOOKUP(B113,'FDE-JUNHO-08'!$A$6:$D$3537,2,FALSE())</f>
        <v>CONCRETO GROUT PARA PAREDE AUTO PORTANTE</v>
      </c>
      <c r="D113" s="679" t="str">
        <f>VLOOKUP(B113,'FDE-JUNHO-08'!$A$6:$D$3537,3,FALSE())</f>
        <v>M3</v>
      </c>
      <c r="E113" s="680">
        <v>0.6</v>
      </c>
      <c r="F113" s="681">
        <v>390.26</v>
      </c>
      <c r="G113" s="682">
        <v>234.15</v>
      </c>
    </row>
    <row r="114" spans="1:7" ht="13.5" customHeight="1">
      <c r="A114" s="659">
        <v>99</v>
      </c>
      <c r="B114" s="683">
        <v>40142</v>
      </c>
      <c r="C114" s="684" t="str">
        <f>VLOOKUP(B114,'FDE-JUNHO-08'!$A$6:$D$3537,2,FALSE())</f>
        <v>ALVENARIA DE BLOCO CERAMICO PORTANTE E=14CM</v>
      </c>
      <c r="D114" s="679" t="str">
        <f>VLOOKUP(B114,'FDE-JUNHO-08'!$A$6:$D$3537,3,FALSE())</f>
        <v>M2</v>
      </c>
      <c r="E114" s="680">
        <v>6.8639999999999999</v>
      </c>
      <c r="F114" s="681">
        <v>39.909999999999997</v>
      </c>
      <c r="G114" s="682">
        <v>273.94</v>
      </c>
    </row>
    <row r="115" spans="1:7" ht="13.5" customHeight="1">
      <c r="A115" s="659">
        <v>100</v>
      </c>
      <c r="B115" s="677">
        <f>'FDE-JUNHO-08'!A372</f>
        <v>46012</v>
      </c>
      <c r="C115" s="678" t="str">
        <f>VLOOKUP(B115,'FDE-JUNHO-08'!$A$6:$D$3537,2,FALSE())</f>
        <v>DE PAINEIS DIVISORIAS COM MONTANTES METALICAS</v>
      </c>
      <c r="D115" s="685" t="str">
        <f>VLOOKUP(B115,'FDE-JUNHO-08'!$A$6:$D$3537,3,FALSE())</f>
        <v>M2</v>
      </c>
      <c r="E115" s="688">
        <v>24.8064</v>
      </c>
      <c r="F115" s="686">
        <v>2.95</v>
      </c>
      <c r="G115" s="687">
        <v>73.17</v>
      </c>
    </row>
    <row r="116" spans="1:7" ht="13.5" customHeight="1">
      <c r="A116" s="659">
        <v>101</v>
      </c>
      <c r="B116" s="683">
        <f>47012</f>
        <v>47012</v>
      </c>
      <c r="C116" s="684" t="str">
        <f>VLOOKUP(B116,'FDE-JUNHO-08'!$A$6:$D$3537,2,FALSE())</f>
        <v>DE PAINEIS DIVISORIOS COM MONTANTES METALICAS</v>
      </c>
      <c r="D116" s="679" t="str">
        <f>VLOOKUP(B116,'FDE-JUNHO-08'!$A$6:$D$3537,3,FALSE())</f>
        <v>M2</v>
      </c>
      <c r="E116" s="680">
        <v>24.8064</v>
      </c>
      <c r="F116" s="681">
        <v>19.32</v>
      </c>
      <c r="G116" s="682">
        <v>479.25</v>
      </c>
    </row>
    <row r="117" spans="1:7" ht="13.5" customHeight="1">
      <c r="A117" s="659">
        <v>102</v>
      </c>
      <c r="B117" s="683">
        <f>'FDE-JUNHO-08'!A360</f>
        <v>40326</v>
      </c>
      <c r="C117" s="684" t="str">
        <f>VLOOKUP(B117,'FDE-JUNHO-08'!$A$6:$D$3537,2,FALSE())</f>
        <v>DIVISORIA PAINEL BP-PLUS PERFIL MET AÇO GALV E=35MM</v>
      </c>
      <c r="D117" s="679" t="str">
        <f>VLOOKUP(B117,'FDE-JUNHO-08'!$A$6:$D$3537,3,FALSE())</f>
        <v>M2</v>
      </c>
      <c r="E117" s="680">
        <v>64.349999999999994</v>
      </c>
      <c r="F117" s="681">
        <v>84.94</v>
      </c>
      <c r="G117" s="682">
        <v>5465.88</v>
      </c>
    </row>
    <row r="118" spans="1:7" ht="13.5" customHeight="1">
      <c r="A118" s="659">
        <v>103</v>
      </c>
      <c r="B118" s="671">
        <v>5</v>
      </c>
      <c r="C118" s="672" t="str">
        <f>VLOOKUP(B118,'FDE-JUNHO-08'!$A$6:$D$3537,2,FALSE())</f>
        <v>ELEMENTOS DE MADEIRA/COMPONENTES ESPECIAIS</v>
      </c>
      <c r="D118" s="673"/>
      <c r="E118" s="674"/>
      <c r="F118" s="675"/>
      <c r="G118" s="676">
        <v>823.58</v>
      </c>
    </row>
    <row r="119" spans="1:7" ht="13.5" customHeight="1">
      <c r="A119" s="659">
        <v>104</v>
      </c>
      <c r="B119" s="677">
        <v>56001</v>
      </c>
      <c r="C119" s="678" t="str">
        <f>VLOOKUP(B119,'FDE-JUNHO-08'!$A$6:$D$3537,2,FALSE())</f>
        <v>DE FOLHAS DE PORTAS OU JANELAS</v>
      </c>
      <c r="D119" s="685" t="str">
        <f>VLOOKUP(B119,'FDE-JUNHO-08'!$A$6:$D$3537,3,FALSE())</f>
        <v>UN</v>
      </c>
      <c r="E119" s="688">
        <v>1</v>
      </c>
      <c r="F119" s="686">
        <v>5.28</v>
      </c>
      <c r="G119" s="687">
        <v>5.28</v>
      </c>
    </row>
    <row r="120" spans="1:7" ht="13.5" customHeight="1">
      <c r="A120" s="659">
        <v>105</v>
      </c>
      <c r="B120" s="677">
        <v>56060</v>
      </c>
      <c r="C120" s="678" t="str">
        <f>VLOOKUP(B120,'FDE-JUNHO-08'!$A$6:$D$3537,2,FALSE())</f>
        <v>DE DOBRADICAS</v>
      </c>
      <c r="D120" s="685" t="str">
        <f>VLOOKUP(B120,'FDE-JUNHO-08'!$A$6:$D$3537,3,FALSE())</f>
        <v>UN</v>
      </c>
      <c r="E120" s="688">
        <v>9</v>
      </c>
      <c r="F120" s="686">
        <v>2.11</v>
      </c>
      <c r="G120" s="687">
        <v>18.989999999999998</v>
      </c>
    </row>
    <row r="121" spans="1:7" ht="13.5" customHeight="1">
      <c r="A121" s="659">
        <v>106</v>
      </c>
      <c r="B121" s="677">
        <f>'FDE-JUNHO-08'!A477</f>
        <v>56050</v>
      </c>
      <c r="C121" s="678" t="str">
        <f>VLOOKUP(B121,'FDE-JUNHO-08'!$A$6:$D$3537,2,FALSE())</f>
        <v>DE FECHADURAS DE EMBUTIR</v>
      </c>
      <c r="D121" s="685" t="str">
        <f>VLOOKUP(B121,'FDE-JUNHO-08'!$A$6:$D$3537,3,FALSE())</f>
        <v>UN</v>
      </c>
      <c r="E121" s="688">
        <v>13</v>
      </c>
      <c r="F121" s="686">
        <v>5.28</v>
      </c>
      <c r="G121" s="687">
        <v>68.64</v>
      </c>
    </row>
    <row r="122" spans="1:7" ht="13.5" customHeight="1">
      <c r="A122" s="659">
        <v>107</v>
      </c>
      <c r="B122" s="683">
        <v>58071</v>
      </c>
      <c r="C122" s="684" t="str">
        <f>VLOOKUP(B122,'FDE-JUNHO-08'!$A$6:$D$3537,2,FALSE())</f>
        <v>FECHADURA COMPLETA, TIPO GORGE DE EMBUTIR</v>
      </c>
      <c r="D122" s="679" t="str">
        <f>VLOOKUP(B122,'FDE-JUNHO-08'!$A$6:$D$3537,3,FALSE())</f>
        <v>JG</v>
      </c>
      <c r="E122" s="680">
        <v>3</v>
      </c>
      <c r="F122" s="681">
        <v>81.38</v>
      </c>
      <c r="G122" s="682">
        <v>244.14</v>
      </c>
    </row>
    <row r="123" spans="1:7" ht="13.5" customHeight="1">
      <c r="A123" s="659">
        <v>108</v>
      </c>
      <c r="B123" s="683">
        <v>58001</v>
      </c>
      <c r="C123" s="684" t="str">
        <f>VLOOKUP(B123,'FDE-JUNHO-08'!$A$6:$D$3537,2,FALSE())</f>
        <v>PORTA COMPENS LISA IMBUIA P/ PINTURA</v>
      </c>
      <c r="D123" s="679" t="str">
        <f>VLOOKUP(B123,'FDE-JUNHO-08'!$A$6:$D$3537,3,FALSE())</f>
        <v>M2</v>
      </c>
      <c r="E123" s="680">
        <v>2</v>
      </c>
      <c r="F123" s="681">
        <v>77.09</v>
      </c>
      <c r="G123" s="682">
        <v>154.18</v>
      </c>
    </row>
    <row r="124" spans="1:7" ht="13.5" customHeight="1">
      <c r="A124" s="659">
        <v>109</v>
      </c>
      <c r="B124" s="683">
        <v>146001</v>
      </c>
      <c r="C124" s="684" t="str">
        <f>VLOOKUP(B124,'FDE-JUNHO-08'!$A$6:$D$3537,2,FALSE())</f>
        <v>DE VIDRO INCLUSIVE RASPAGEM DE MASSA OU RETIRADA DE BAGUETES</v>
      </c>
      <c r="D124" s="679" t="str">
        <f>VLOOKUP(B124,'FDE-JUNHO-08'!$A$6:$D$3537,3,FALSE())</f>
        <v>M2</v>
      </c>
      <c r="E124" s="680">
        <v>5</v>
      </c>
      <c r="F124" s="681">
        <v>5.42</v>
      </c>
      <c r="G124" s="682">
        <v>27.1</v>
      </c>
    </row>
    <row r="125" spans="1:7" ht="13.5" customHeight="1">
      <c r="A125" s="659">
        <v>110</v>
      </c>
      <c r="B125" s="683">
        <v>140104</v>
      </c>
      <c r="C125" s="684" t="str">
        <f>VLOOKUP(B125,'FDE-JUNHO-08'!$A$6:$D$3537,2,FALSE())</f>
        <v>VIDRO LISO COMUM INCOLOR DE 4MM</v>
      </c>
      <c r="D125" s="679" t="str">
        <f>VLOOKUP(B125,'FDE-JUNHO-08'!$A$6:$D$3537,3,FALSE())</f>
        <v>M2</v>
      </c>
      <c r="E125" s="680">
        <v>5</v>
      </c>
      <c r="F125" s="681">
        <v>61.05</v>
      </c>
      <c r="G125" s="682">
        <v>305.25</v>
      </c>
    </row>
    <row r="126" spans="1:7" ht="13.5" customHeight="1">
      <c r="A126" s="659">
        <v>111</v>
      </c>
      <c r="B126" s="671">
        <v>6</v>
      </c>
      <c r="C126" s="672" t="str">
        <f>VLOOKUP(B126,'FDE-JUNHO-08'!$A$6:$D$3537,2,FALSE())</f>
        <v>ELEMENTOS METÁLICOS/COMPONENTES ESPECIAIS</v>
      </c>
      <c r="D126" s="673"/>
      <c r="E126" s="674"/>
      <c r="F126" s="675"/>
      <c r="G126" s="676">
        <v>204.6</v>
      </c>
    </row>
    <row r="127" spans="1:7" ht="13.5" customHeight="1">
      <c r="A127" s="659">
        <v>112</v>
      </c>
      <c r="B127" s="683">
        <v>66001</v>
      </c>
      <c r="C127" s="684" t="str">
        <f>VLOOKUP(B127,'FDE-JUNHO-08'!$A$6:$D$3537,2,FALSE())</f>
        <v>DE ESQUADRIAS METALICAS</v>
      </c>
      <c r="D127" s="679" t="str">
        <f>VLOOKUP(B127,'FDE-JUNHO-08'!$A$6:$D$3537,3,FALSE())</f>
        <v>M2</v>
      </c>
      <c r="E127" s="680">
        <v>15</v>
      </c>
      <c r="F127" s="681">
        <v>13.64</v>
      </c>
      <c r="G127" s="682">
        <v>204.6</v>
      </c>
    </row>
    <row r="128" spans="1:7" ht="13.5" customHeight="1">
      <c r="A128" s="659">
        <v>113</v>
      </c>
      <c r="B128" s="671">
        <v>7</v>
      </c>
      <c r="C128" s="672" t="str">
        <f>VLOOKUP(B128,'FDE-JUNHO-08'!$A$6:$D$3537,2,FALSE())</f>
        <v>COBERTURA</v>
      </c>
      <c r="D128" s="673"/>
      <c r="E128" s="674"/>
      <c r="F128" s="675"/>
      <c r="G128" s="676">
        <v>30965.42</v>
      </c>
    </row>
    <row r="129" spans="1:7" ht="13.5" customHeight="1">
      <c r="A129" s="659">
        <v>114</v>
      </c>
      <c r="B129" s="677">
        <f>'FDE-JUNHO-08'!A876</f>
        <v>70415</v>
      </c>
      <c r="C129" s="678" t="str">
        <f>VLOOKUP(B129,'FDE-JUNHO-08'!$A$6:$D$3537,2,FALSE())</f>
        <v>CUMEEIRA NORMAL PARA TELHA FIBROCIMENTO MODULADA</v>
      </c>
      <c r="D129" s="685" t="str">
        <f>VLOOKUP(B129,'FDE-JUNHO-08'!$A$6:$D$3537,3,FALSE())</f>
        <v xml:space="preserve">M </v>
      </c>
      <c r="E129" s="688">
        <v>28</v>
      </c>
      <c r="F129" s="686">
        <v>41.44</v>
      </c>
      <c r="G129" s="687">
        <v>1160.32</v>
      </c>
    </row>
    <row r="130" spans="1:7" ht="13.5" customHeight="1">
      <c r="A130" s="659">
        <v>115</v>
      </c>
      <c r="B130" s="677">
        <v>70454</v>
      </c>
      <c r="C130" s="678" t="str">
        <f>VLOOKUP(B130,'FDE-JUNHO-08'!$A$6:$D$3537,2,FALSE())</f>
        <v>RUFO LISO DE ALUMINIO ACAB. NATURAL E=0,8MM CORTE 0,50M</v>
      </c>
      <c r="D130" s="685" t="str">
        <f>VLOOKUP(B130,'FDE-JUNHO-08'!$A$6:$D$3537,3,FALSE())</f>
        <v xml:space="preserve">M </v>
      </c>
      <c r="E130" s="688">
        <v>73</v>
      </c>
      <c r="F130" s="686">
        <v>58.76</v>
      </c>
      <c r="G130" s="682">
        <v>4289.4799999999996</v>
      </c>
    </row>
    <row r="131" spans="1:7" ht="13.5" customHeight="1">
      <c r="A131" s="659">
        <v>116</v>
      </c>
      <c r="B131" s="677">
        <f>'FDE-JUNHO-08'!A953</f>
        <v>70498</v>
      </c>
      <c r="C131" s="678" t="str">
        <f>VLOOKUP(B131,'FDE-JUNHO-08'!$A$6:$D$3537,2,FALSE())</f>
        <v>CONTRA RUFO TRAPEZOIDAL DE ALUMINIO ESP 0,8MM</v>
      </c>
      <c r="D131" s="685" t="str">
        <f>VLOOKUP(B131,'FDE-JUNHO-08'!$A$6:$D$3537,3,FALSE())</f>
        <v xml:space="preserve">M </v>
      </c>
      <c r="E131" s="688">
        <v>66</v>
      </c>
      <c r="F131" s="686">
        <v>59.33</v>
      </c>
      <c r="G131" s="682">
        <v>3915.78</v>
      </c>
    </row>
    <row r="132" spans="1:7" ht="13.5" customHeight="1">
      <c r="A132" s="659">
        <v>117</v>
      </c>
      <c r="B132" s="677">
        <f>'FDE-JUNHO-08'!A799</f>
        <v>70315</v>
      </c>
      <c r="C132" s="678" t="str">
        <f>VLOOKUP(B132,'FDE-JUNHO-08'!$A$6:$D$3537,2,FALSE())</f>
        <v>TELHA DE FIBROCIMENTO ONDULADA E=8MM</v>
      </c>
      <c r="D132" s="685" t="str">
        <f>VLOOKUP(B132,'FDE-JUNHO-08'!$A$6:$D$3537,3,FALSE())</f>
        <v>M2</v>
      </c>
      <c r="E132" s="688">
        <v>357.36</v>
      </c>
      <c r="F132" s="686">
        <v>21.69</v>
      </c>
      <c r="G132" s="682">
        <v>7751.13</v>
      </c>
    </row>
    <row r="133" spans="1:7" ht="13.5" customHeight="1">
      <c r="A133" s="659">
        <v>118</v>
      </c>
      <c r="B133" s="677">
        <f>'FDE-JUNHO-08'!A987</f>
        <v>76060</v>
      </c>
      <c r="C133" s="678" t="str">
        <f>VLOOKUP(B133,'FDE-JUNHO-08'!$A$6:$D$3537,2,FALSE())</f>
        <v>TELHAS OND DE FIBRO-CIM/PLAST OU ALUM/PLANA PRE FAB</v>
      </c>
      <c r="D133" s="685" t="str">
        <f>VLOOKUP(B133,'FDE-JUNHO-08'!$A$6:$D$3537,3,FALSE())</f>
        <v>M2</v>
      </c>
      <c r="E133" s="688">
        <v>609.77</v>
      </c>
      <c r="F133" s="686">
        <v>3.6</v>
      </c>
      <c r="G133" s="682">
        <v>2195.17</v>
      </c>
    </row>
    <row r="134" spans="1:7" ht="13.5" customHeight="1">
      <c r="A134" s="659">
        <v>119</v>
      </c>
      <c r="B134" s="683">
        <f>'FDE-JUNHO-08'!A989</f>
        <v>76065</v>
      </c>
      <c r="C134" s="684" t="str">
        <f>VLOOKUP(B134,'FDE-JUNHO-08'!$A$6:$D$3537,2,FALSE())</f>
        <v>CUMEEIRAS, ESPIGOES E RUFOS DE FIBRO-CIMENTO</v>
      </c>
      <c r="D134" s="679" t="str">
        <f>VLOOKUP(B134,'FDE-JUNHO-08'!$A$6:$D$3537,3,FALSE())</f>
        <v xml:space="preserve">M </v>
      </c>
      <c r="E134" s="680">
        <v>34</v>
      </c>
      <c r="F134" s="681">
        <v>4.47</v>
      </c>
      <c r="G134" s="682">
        <v>151.97999999999999</v>
      </c>
    </row>
    <row r="135" spans="1:7" ht="13.5" customHeight="1">
      <c r="A135" s="659">
        <v>120</v>
      </c>
      <c r="B135" s="677">
        <f>'FDE-JUNHO-08'!A980</f>
        <v>76015</v>
      </c>
      <c r="C135" s="678" t="str">
        <f>VLOOKUP(B135,'FDE-JUNHO-08'!$A$6:$D$3537,2,FALSE())</f>
        <v>DE CAIBROS</v>
      </c>
      <c r="D135" s="685" t="str">
        <f>VLOOKUP(B135,'FDE-JUNHO-08'!$A$6:$D$3537,3,FALSE())</f>
        <v xml:space="preserve">M </v>
      </c>
      <c r="E135" s="688">
        <v>145.97999999999999</v>
      </c>
      <c r="F135" s="686">
        <v>1.17</v>
      </c>
      <c r="G135" s="682">
        <v>170.79</v>
      </c>
    </row>
    <row r="136" spans="1:7" ht="13.5" customHeight="1">
      <c r="A136" s="659">
        <v>121</v>
      </c>
      <c r="B136" s="677">
        <v>76016</v>
      </c>
      <c r="C136" s="678" t="str">
        <f>VLOOKUP(B136,'FDE-JUNHO-08'!$A$6:$D$3537,2,FALSE())</f>
        <v>DE RIPAS</v>
      </c>
      <c r="D136" s="685" t="str">
        <f>VLOOKUP(B136,'FDE-JUNHO-08'!$A$6:$D$3537,3,FALSE())</f>
        <v xml:space="preserve">M </v>
      </c>
      <c r="E136" s="688">
        <v>245.78</v>
      </c>
      <c r="F136" s="686">
        <v>0.19</v>
      </c>
      <c r="G136" s="687">
        <v>46.69</v>
      </c>
    </row>
    <row r="137" spans="1:7" ht="13.5" customHeight="1">
      <c r="A137" s="659">
        <v>122</v>
      </c>
      <c r="B137" s="677">
        <v>76061</v>
      </c>
      <c r="C137" s="678" t="str">
        <f>VLOOKUP(B137,'FDE-JUNHO-08'!$A$6:$D$3537,2,FALSE())</f>
        <v>TELHAS OND DE FIBRO-CIM/PLAST OU ALUM/PLANA PRE FAB - S/REAPROV</v>
      </c>
      <c r="D137" s="685" t="str">
        <f>VLOOKUP(B137,'FDE-JUNHO-08'!$A$6:$D$3537,3,FALSE())</f>
        <v>M2</v>
      </c>
      <c r="E137" s="688">
        <v>357.36</v>
      </c>
      <c r="F137" s="686">
        <v>2.5</v>
      </c>
      <c r="G137" s="687">
        <v>893.4</v>
      </c>
    </row>
    <row r="138" spans="1:7" ht="13.5" customHeight="1">
      <c r="A138" s="659">
        <v>123</v>
      </c>
      <c r="B138" s="677">
        <f>'FDE-JUNHO-08'!A1012</f>
        <v>78014</v>
      </c>
      <c r="C138" s="678" t="str">
        <f>VLOOKUP(B138,'FDE-JUNHO-08'!$A$6:$D$3537,2,FALSE())</f>
        <v>PARAFUSO P/ FIXACAO TELHA FIBROC OND/MOD/MAXIPLAC 5/16" X 110 MM GALV</v>
      </c>
      <c r="D138" s="685" t="str">
        <f>VLOOKUP(B138,'FDE-JUNHO-08'!$A$6:$D$3537,3,FALSE())</f>
        <v>UN</v>
      </c>
      <c r="E138" s="688">
        <v>666</v>
      </c>
      <c r="F138" s="686">
        <v>3.99</v>
      </c>
      <c r="G138" s="682">
        <v>2657.34</v>
      </c>
    </row>
    <row r="139" spans="1:7" ht="13.5" customHeight="1">
      <c r="A139" s="659">
        <v>124</v>
      </c>
      <c r="B139" s="677">
        <v>78002</v>
      </c>
      <c r="C139" s="678" t="str">
        <f>VLOOKUP(B139,'FDE-JUNHO-08'!$A$6:$D$3537,2,FALSE())</f>
        <v>CAIBRO DE PEROBA DE 5 X 6 CM</v>
      </c>
      <c r="D139" s="685" t="str">
        <f>VLOOKUP(B139,'FDE-JUNHO-08'!$A$6:$D$3537,3,FALSE())</f>
        <v xml:space="preserve">M </v>
      </c>
      <c r="E139" s="688">
        <v>145.97999999999999</v>
      </c>
      <c r="F139" s="686">
        <v>10.77</v>
      </c>
      <c r="G139" s="682">
        <v>1572.2</v>
      </c>
    </row>
    <row r="140" spans="1:7" ht="13.5" customHeight="1">
      <c r="A140" s="659">
        <v>125</v>
      </c>
      <c r="B140" s="677">
        <v>78001</v>
      </c>
      <c r="C140" s="678" t="str">
        <f>VLOOKUP(B140,'FDE-JUNHO-08'!$A$6:$D$3537,2,FALSE())</f>
        <v>RIPAS DE PEROBA DE 5 X 1,2 CM</v>
      </c>
      <c r="D140" s="685" t="str">
        <f>VLOOKUP(B140,'FDE-JUNHO-08'!$A$6:$D$3537,3,FALSE())</f>
        <v xml:space="preserve">M </v>
      </c>
      <c r="E140" s="688">
        <v>245.78</v>
      </c>
      <c r="F140" s="686">
        <v>2.42</v>
      </c>
      <c r="G140" s="687">
        <v>594.78</v>
      </c>
    </row>
    <row r="141" spans="1:7" ht="13.5" customHeight="1">
      <c r="A141" s="659">
        <v>126</v>
      </c>
      <c r="B141" s="683">
        <v>68031</v>
      </c>
      <c r="C141" s="684" t="str">
        <f>VLOOKUP(B141,'FDE-JUNHO-08'!$A$6:$D$3537,2,FALSE())</f>
        <v>TELA MOSQUITEIRO COM REQUADRO DE PERFIL DE FERRO</v>
      </c>
      <c r="D141" s="679" t="str">
        <f>VLOOKUP(B141,'FDE-JUNHO-08'!$A$6:$D$3537,3,FALSE())</f>
        <v>M2</v>
      </c>
      <c r="E141" s="680">
        <v>28.78</v>
      </c>
      <c r="F141" s="681">
        <v>75.95</v>
      </c>
      <c r="G141" s="682">
        <v>2185.84</v>
      </c>
    </row>
    <row r="142" spans="1:7" ht="13.5" customHeight="1">
      <c r="A142" s="659">
        <v>127</v>
      </c>
      <c r="B142" s="677">
        <v>85020</v>
      </c>
      <c r="C142" s="678" t="str">
        <f>VLOOKUP(B142,'FDE-JUNHO-08'!$A$6:$D$3537,2,FALSE())</f>
        <v>DE CALHAS E RUFOS EM CHAPAS METALICAS</v>
      </c>
      <c r="D142" s="685" t="str">
        <f>VLOOKUP(B142,'FDE-JUNHO-08'!$A$6:$D$3537,3,FALSE())</f>
        <v xml:space="preserve">M </v>
      </c>
      <c r="E142" s="688">
        <v>66</v>
      </c>
      <c r="F142" s="686">
        <v>2.0499999999999998</v>
      </c>
      <c r="G142" s="687">
        <v>135.30000000000001</v>
      </c>
    </row>
    <row r="143" spans="1:7" ht="13.5" customHeight="1">
      <c r="A143" s="659">
        <v>128</v>
      </c>
      <c r="B143" s="677">
        <v>81222</v>
      </c>
      <c r="C143" s="678" t="str">
        <f>VLOOKUP(B143,'FDE-JUNHO-08'!$A$6:$D$3537,2,FALSE())</f>
        <v>CALHA OU AGUA FURTADA EM CHAPA GALV. N 26 - CORTE 0,50M</v>
      </c>
      <c r="D143" s="685" t="str">
        <f>VLOOKUP(B143,'FDE-JUNHO-08'!$A$6:$D$3537,3,FALSE())</f>
        <v xml:space="preserve">M </v>
      </c>
      <c r="E143" s="688">
        <v>66</v>
      </c>
      <c r="F143" s="686">
        <v>49.17</v>
      </c>
      <c r="G143" s="682">
        <v>3245.22</v>
      </c>
    </row>
    <row r="144" spans="1:7" ht="13.5" customHeight="1">
      <c r="A144" s="659">
        <v>129</v>
      </c>
      <c r="B144" s="671">
        <v>8</v>
      </c>
      <c r="C144" s="672" t="str">
        <f>VLOOKUP(B144,'FDE-JUNHO-08'!$A$6:$D$3537,2,FALSE())</f>
        <v>INSTALAÇÕES HIDRAULICAS</v>
      </c>
      <c r="D144" s="673"/>
      <c r="E144" s="674"/>
      <c r="F144" s="675"/>
      <c r="G144" s="676">
        <v>14267.29</v>
      </c>
    </row>
    <row r="145" spans="1:7" ht="13.5" customHeight="1">
      <c r="A145" s="659">
        <v>130</v>
      </c>
      <c r="B145" s="683">
        <f>'FDE-JUNHO-08'!A1077</f>
        <v>80316</v>
      </c>
      <c r="C145" s="684" t="str">
        <f>VLOOKUP(B145,'FDE-JUNHO-08'!$A$6:$D$3537,2,FALSE())</f>
        <v>TUBO DE PVC RIGIDO JUNTA SOLDAVEL DN 25MM (3/4") INCL CONEXOES</v>
      </c>
      <c r="D145" s="679" t="str">
        <f>VLOOKUP(B145,'FDE-JUNHO-08'!$A$6:$D$3537,3,FALSE())</f>
        <v xml:space="preserve">M </v>
      </c>
      <c r="E145" s="680">
        <v>47.98</v>
      </c>
      <c r="F145" s="681">
        <v>11.27</v>
      </c>
      <c r="G145" s="682">
        <v>540.73</v>
      </c>
    </row>
    <row r="146" spans="1:7" ht="13.5" customHeight="1">
      <c r="A146" s="659">
        <v>131</v>
      </c>
      <c r="B146" s="677">
        <v>80317</v>
      </c>
      <c r="C146" s="678" t="str">
        <f>VLOOKUP(B146,'FDE-JUNHO-08'!$A$6:$D$3537,2,FALSE())</f>
        <v>TUBO DE PVC RIGIDO JUNTA SOLDAVEL DN 32MM (1") INCL CONEXOES</v>
      </c>
      <c r="D146" s="685" t="str">
        <f>VLOOKUP(B146,'FDE-JUNHO-08'!$A$6:$D$3537,3,FALSE())</f>
        <v xml:space="preserve">M </v>
      </c>
      <c r="E146" s="688">
        <v>30</v>
      </c>
      <c r="F146" s="686">
        <v>15.32</v>
      </c>
      <c r="G146" s="687">
        <v>459.6</v>
      </c>
    </row>
    <row r="147" spans="1:7" ht="13.5" customHeight="1">
      <c r="A147" s="659">
        <v>132</v>
      </c>
      <c r="B147" s="677">
        <v>80422</v>
      </c>
      <c r="C147" s="678" t="str">
        <f>VLOOKUP(B147,'FDE-JUNHO-08'!$A$6:$D$3537,2,FALSE())</f>
        <v>REGISTRO DE GAVETA COM CANOPLA CROMADA DN 20MM (3/4")</v>
      </c>
      <c r="D147" s="685" t="str">
        <f>VLOOKUP(B147,'FDE-JUNHO-08'!$A$6:$D$3537,3,FALSE())</f>
        <v>UN</v>
      </c>
      <c r="E147" s="688">
        <v>3</v>
      </c>
      <c r="F147" s="686">
        <v>70.459999999999994</v>
      </c>
      <c r="G147" s="687">
        <v>211.38</v>
      </c>
    </row>
    <row r="148" spans="1:7" ht="13.5" customHeight="1">
      <c r="A148" s="659">
        <v>133</v>
      </c>
      <c r="B148" s="683">
        <f>'FDE-JUNHO-08'!A1088</f>
        <v>80402</v>
      </c>
      <c r="C148" s="684" t="str">
        <f>VLOOKUP(B148,'FDE-JUNHO-08'!$A$6:$D$3537,2,FALSE())</f>
        <v>REGISTRO DE GAVETA BRUTO DN 20MM (3/4")</v>
      </c>
      <c r="D148" s="679" t="str">
        <f>VLOOKUP(B148,'FDE-JUNHO-08'!$A$6:$D$3537,3,FALSE())</f>
        <v>UN</v>
      </c>
      <c r="E148" s="680">
        <v>1</v>
      </c>
      <c r="F148" s="681">
        <v>33.130000000000003</v>
      </c>
      <c r="G148" s="682">
        <v>33.130000000000003</v>
      </c>
    </row>
    <row r="149" spans="1:7" ht="13.5" customHeight="1">
      <c r="A149" s="659">
        <v>134</v>
      </c>
      <c r="B149" s="683">
        <f>'FDE-JUNHO-08'!A1089</f>
        <v>80403</v>
      </c>
      <c r="C149" s="684" t="str">
        <f>VLOOKUP(B149,'FDE-JUNHO-08'!$A$6:$D$3537,2,FALSE())</f>
        <v>REGISTRO DE GAVETA BRUTO DN 25MM (1")</v>
      </c>
      <c r="D149" s="679" t="str">
        <f>VLOOKUP(B149,'FDE-JUNHO-08'!$A$6:$D$3537,3,FALSE())</f>
        <v>UN</v>
      </c>
      <c r="E149" s="680">
        <v>1</v>
      </c>
      <c r="F149" s="681">
        <v>42.22</v>
      </c>
      <c r="G149" s="682">
        <v>42.22</v>
      </c>
    </row>
    <row r="150" spans="1:7" ht="13.5" customHeight="1">
      <c r="A150" s="659">
        <v>134</v>
      </c>
      <c r="B150" s="691">
        <f>'FDE-JUNHO-08'!A1092</f>
        <v>80406</v>
      </c>
      <c r="C150" s="692" t="str">
        <f>VLOOKUP(B150,'FDE-JUNHO-08'!$A$6:$D$3537,2,FALSE())</f>
        <v>REGISTRO DE GAVETA BRUTO DN 50MM (2")</v>
      </c>
      <c r="D150" s="693" t="str">
        <f>VLOOKUP(B150,'FDE-JUNHO-08'!$A$6:$D$3537,3,FALSE())</f>
        <v>UN</v>
      </c>
      <c r="E150" s="694">
        <v>1</v>
      </c>
      <c r="F150" s="695">
        <v>95.12</v>
      </c>
      <c r="G150" s="696">
        <v>95.12</v>
      </c>
    </row>
    <row r="151" spans="1:7" ht="13.5" customHeight="1">
      <c r="A151" s="659">
        <v>135</v>
      </c>
      <c r="B151" s="683">
        <f>80460</f>
        <v>80460</v>
      </c>
      <c r="C151" s="684" t="str">
        <f>VLOOKUP(B151,'FDE-JUNHO-08'!$A$6:$D$3537,2,FALSE())</f>
        <v>ENVELOPE DE CONCRETO PARA DUTOS</v>
      </c>
      <c r="D151" s="679" t="str">
        <f>VLOOKUP(B151,'FDE-JUNHO-08'!$A$6:$D$3537,3,FALSE())</f>
        <v xml:space="preserve">M </v>
      </c>
      <c r="E151" s="680">
        <v>16</v>
      </c>
      <c r="F151" s="681">
        <v>15.92</v>
      </c>
      <c r="G151" s="682">
        <v>254.72</v>
      </c>
    </row>
    <row r="152" spans="1:7" ht="13.5" customHeight="1">
      <c r="A152" s="659">
        <v>136</v>
      </c>
      <c r="B152" s="683">
        <f>'FDE-JUNHO-08'!A1173</f>
        <v>80918</v>
      </c>
      <c r="C152" s="684" t="str">
        <f>VLOOKUP(B152,'FDE-JUNHO-08'!$A$6:$D$3537,2,FALSE())</f>
        <v>TUBO DE PVC RIGIDO JUNTA ELASTICA DN 100MM (4") INCL CONEXOES</v>
      </c>
      <c r="D152" s="679" t="str">
        <f>VLOOKUP(B152,'FDE-JUNHO-08'!$A$6:$D$3537,3,FALSE())</f>
        <v xml:space="preserve">M </v>
      </c>
      <c r="E152" s="680">
        <v>47.6</v>
      </c>
      <c r="F152" s="681">
        <v>32.340000000000003</v>
      </c>
      <c r="G152" s="682">
        <v>1539.38</v>
      </c>
    </row>
    <row r="153" spans="1:7" ht="13.5" customHeight="1">
      <c r="A153" s="659">
        <v>137</v>
      </c>
      <c r="B153" s="683">
        <f>'FDE-JUNHO-08'!A1171</f>
        <v>80916</v>
      </c>
      <c r="C153" s="684" t="str">
        <f>VLOOKUP(B153,'FDE-JUNHO-08'!$A$6:$D$3537,2,FALSE())</f>
        <v>TUBO DE PVC RIGIDO JUNTA ELASTICA DN 50MM (2") INCL CONEXOES</v>
      </c>
      <c r="D153" s="679" t="str">
        <f>VLOOKUP(B153,'FDE-JUNHO-08'!$A$6:$D$3537,3,FALSE())</f>
        <v xml:space="preserve">M </v>
      </c>
      <c r="E153" s="680">
        <v>16.8</v>
      </c>
      <c r="F153" s="681">
        <v>24</v>
      </c>
      <c r="G153" s="682">
        <v>403.2</v>
      </c>
    </row>
    <row r="154" spans="1:7" ht="13.5" customHeight="1">
      <c r="A154" s="659">
        <v>138</v>
      </c>
      <c r="B154" s="683">
        <v>81267</v>
      </c>
      <c r="C154" s="684" t="str">
        <f>VLOOKUP(B154,'FDE-JUNHO-08'!$A$6:$D$3537,2,FALSE())</f>
        <v>GRELHA HEMISFERICA DE F F DE 6"</v>
      </c>
      <c r="D154" s="679" t="str">
        <f>VLOOKUP(B154,'FDE-JUNHO-08'!$A$6:$D$3537,3,FALSE())</f>
        <v>UN</v>
      </c>
      <c r="E154" s="680">
        <v>6</v>
      </c>
      <c r="F154" s="681">
        <v>16.5</v>
      </c>
      <c r="G154" s="682">
        <v>99</v>
      </c>
    </row>
    <row r="155" spans="1:7" ht="13.5" customHeight="1">
      <c r="A155" s="659">
        <v>139</v>
      </c>
      <c r="B155" s="683">
        <f>'FDE-JUNHO-08'!A1269</f>
        <v>81270</v>
      </c>
      <c r="C155" s="684" t="str">
        <f>VLOOKUP(B155,'FDE-JUNHO-08'!$A$6:$D$3537,2,FALSE())</f>
        <v>CAIXA DE ALVENARIA - ESCAVACAO MANUAL COM APILOAMENTO DO FUNDO</v>
      </c>
      <c r="D155" s="679" t="str">
        <f>VLOOKUP(B155,'FDE-JUNHO-08'!$A$6:$D$3537,3,FALSE())</f>
        <v>M3</v>
      </c>
      <c r="E155" s="680">
        <v>3</v>
      </c>
      <c r="F155" s="681">
        <v>44.64</v>
      </c>
      <c r="G155" s="682">
        <v>133.91999999999999</v>
      </c>
    </row>
    <row r="156" spans="1:7" ht="13.5" customHeight="1">
      <c r="A156" s="659">
        <v>140</v>
      </c>
      <c r="B156" s="683">
        <f>'FDE-JUNHO-08'!A1270</f>
        <v>81271</v>
      </c>
      <c r="C156" s="684" t="str">
        <f>VLOOKUP(B156,'FDE-JUNHO-08'!$A$6:$D$3537,2,FALSE())</f>
        <v>CAIXA DE ALVENARIA - LASTRO DE CONCRETO</v>
      </c>
      <c r="D156" s="679" t="str">
        <f>VLOOKUP(B156,'FDE-JUNHO-08'!$A$6:$D$3537,3,FALSE())</f>
        <v>M3</v>
      </c>
      <c r="E156" s="680">
        <v>0.95</v>
      </c>
      <c r="F156" s="681">
        <v>402.56</v>
      </c>
      <c r="G156" s="682">
        <v>382.43</v>
      </c>
    </row>
    <row r="157" spans="1:7" ht="13.5" customHeight="1">
      <c r="A157" s="659">
        <v>141</v>
      </c>
      <c r="B157" s="683">
        <f>'FDE-JUNHO-08'!A1272</f>
        <v>81273</v>
      </c>
      <c r="C157" s="684" t="str">
        <f>VLOOKUP(B157,'FDE-JUNHO-08'!$A$6:$D$3537,2,FALSE())</f>
        <v>CAIXA DE ALVENARIA - PAREDE DE 1 TIJOLO REVESTIDO</v>
      </c>
      <c r="D157" s="679" t="str">
        <f>VLOOKUP(B157,'FDE-JUNHO-08'!$A$6:$D$3537,3,FALSE())</f>
        <v>M2</v>
      </c>
      <c r="E157" s="680">
        <v>5.9039999999999999</v>
      </c>
      <c r="F157" s="681">
        <v>152.22</v>
      </c>
      <c r="G157" s="682">
        <v>898.7</v>
      </c>
    </row>
    <row r="158" spans="1:7" ht="13.5" customHeight="1">
      <c r="A158" s="659">
        <v>142</v>
      </c>
      <c r="B158" s="683">
        <f>'FDE-JUNHO-08'!A1273</f>
        <v>81274</v>
      </c>
      <c r="C158" s="684" t="str">
        <f>VLOOKUP(B158,'FDE-JUNHO-08'!$A$6:$D$3537,2,FALSE())</f>
        <v>CAIXA DE ALVENARIA - TAMPA DE CONCRETO</v>
      </c>
      <c r="D158" s="679" t="str">
        <f>VLOOKUP(B158,'FDE-JUNHO-08'!$A$6:$D$3537,3,FALSE())</f>
        <v>M2</v>
      </c>
      <c r="E158" s="680">
        <v>1.8</v>
      </c>
      <c r="F158" s="681">
        <v>98.85</v>
      </c>
      <c r="G158" s="682">
        <v>177.93</v>
      </c>
    </row>
    <row r="159" spans="1:7" ht="13.5" customHeight="1">
      <c r="A159" s="659">
        <v>143</v>
      </c>
      <c r="B159" s="683">
        <f>'FDE-JUNHO-08'!A1381</f>
        <v>81604</v>
      </c>
      <c r="C159" s="684" t="str">
        <f>VLOOKUP(B159,'FDE-JUNHO-08'!$A$6:$D$3537,2,FALSE())</f>
        <v>BACIA SIFONADA COM CAIXA DE DESCARGA ACOPLADA BRANCA</v>
      </c>
      <c r="D159" s="679" t="str">
        <f>VLOOKUP(B159,'FDE-JUNHO-08'!$A$6:$D$3537,3,FALSE())</f>
        <v>UN</v>
      </c>
      <c r="E159" s="680">
        <v>6</v>
      </c>
      <c r="F159" s="681">
        <v>286.52999999999997</v>
      </c>
      <c r="G159" s="682">
        <v>1719.18</v>
      </c>
    </row>
    <row r="160" spans="1:7" ht="13.5" customHeight="1">
      <c r="A160" s="659">
        <v>144</v>
      </c>
      <c r="B160" s="683">
        <f>'FDE-JUNHO-08'!A1404</f>
        <v>81743</v>
      </c>
      <c r="C160" s="684" t="str">
        <f>VLOOKUP(B160,'FDE-JUNHO-08'!$A$6:$D$3537,2,FALSE())</f>
        <v>AQUECEDOR ELETRICO DE PASSAGEM COM RESISTENCIA BLINDADA</v>
      </c>
      <c r="D160" s="679" t="str">
        <f>VLOOKUP(B160,'FDE-JUNHO-08'!$A$6:$D$3537,3,FALSE())</f>
        <v>UN</v>
      </c>
      <c r="E160" s="680">
        <v>1</v>
      </c>
      <c r="F160" s="681">
        <v>492.58</v>
      </c>
      <c r="G160" s="682">
        <v>492.58</v>
      </c>
    </row>
    <row r="161" spans="1:7" ht="13.5" customHeight="1">
      <c r="A161" s="659">
        <v>145</v>
      </c>
      <c r="B161" s="683">
        <v>88476</v>
      </c>
      <c r="C161" s="684" t="str">
        <f>VLOOKUP(B161,'FDE-JUNHO-08'!$A$6:$D$3537,2,FALSE())</f>
        <v>VALVULA DE METAL CROMADO DE 1 1/2"</v>
      </c>
      <c r="D161" s="679" t="str">
        <f>VLOOKUP(B161,'FDE-JUNHO-08'!$A$6:$D$3537,3,FALSE())</f>
        <v>UN</v>
      </c>
      <c r="E161" s="680">
        <v>2</v>
      </c>
      <c r="F161" s="681">
        <v>35.85</v>
      </c>
      <c r="G161" s="682">
        <v>71.7</v>
      </c>
    </row>
    <row r="162" spans="1:7" ht="13.5" customHeight="1">
      <c r="A162" s="659">
        <v>146</v>
      </c>
      <c r="B162" s="683">
        <v>88246</v>
      </c>
      <c r="C162" s="684" t="str">
        <f>VLOOKUP(B162,'FDE-JUNHO-08'!$A$6:$D$3537,2,FALSE())</f>
        <v>SIFAO PVC RIGIDO TIPO COPO DN 1 1/2X1 1/2"</v>
      </c>
      <c r="D162" s="679" t="str">
        <f>VLOOKUP(B162,'FDE-JUNHO-08'!$A$6:$D$3537,3,FALSE())</f>
        <v>UN</v>
      </c>
      <c r="E162" s="680">
        <v>2</v>
      </c>
      <c r="F162" s="681">
        <v>16.54</v>
      </c>
      <c r="G162" s="682">
        <v>33.08</v>
      </c>
    </row>
    <row r="163" spans="1:7" ht="13.5" customHeight="1">
      <c r="A163" s="659">
        <v>147</v>
      </c>
      <c r="B163" s="683">
        <v>81610</v>
      </c>
      <c r="C163" s="684" t="str">
        <f>VLOOKUP(B163,'FDE-JUNHO-08'!$A$6:$D$3537,2,FALSE())</f>
        <v>LAVATORIO DE LOUCA BRANCA SEM COLUNA C/ TORNEIRA DE FECHAM AUTOMATICO</v>
      </c>
      <c r="D163" s="679" t="str">
        <f>VLOOKUP(B163,'FDE-JUNHO-08'!$A$6:$D$3537,3,FALSE())</f>
        <v>UN</v>
      </c>
      <c r="E163" s="680">
        <v>2</v>
      </c>
      <c r="F163" s="681">
        <v>402.13</v>
      </c>
      <c r="G163" s="682">
        <v>804.26</v>
      </c>
    </row>
    <row r="164" spans="1:7" ht="13.5" customHeight="1">
      <c r="A164" s="659">
        <v>148</v>
      </c>
      <c r="B164" s="683">
        <f>'FDE-JUNHO-08'!A1428</f>
        <v>85001</v>
      </c>
      <c r="C164" s="684" t="str">
        <f>VLOOKUP(B164,'FDE-JUNHO-08'!$A$6:$D$3537,2,FALSE())</f>
        <v>DE TUBULACOES EM GERAL INCLUINDO CONEXOES, CAIXAS E RALOS</v>
      </c>
      <c r="D164" s="679" t="str">
        <f>VLOOKUP(B164,'FDE-JUNHO-08'!$A$6:$D$3537,3,FALSE())</f>
        <v xml:space="preserve">M </v>
      </c>
      <c r="E164" s="680">
        <v>78.98</v>
      </c>
      <c r="F164" s="681">
        <v>3.57</v>
      </c>
      <c r="G164" s="682">
        <v>281.95</v>
      </c>
    </row>
    <row r="165" spans="1:7" ht="13.5" customHeight="1">
      <c r="A165" s="659">
        <v>149</v>
      </c>
      <c r="B165" s="683">
        <v>168086</v>
      </c>
      <c r="C165" s="684" t="str">
        <f>VLOOKUP(B165,'FDE-JUNHO-08'!$A$6:$D$3537,2,FALSE())</f>
        <v>LIMPEZA DE APARELHOS SANITARIOS</v>
      </c>
      <c r="D165" s="679" t="str">
        <f>VLOOKUP(B165,'FDE-JUNHO-08'!$A$6:$D$3537,3,FALSE())</f>
        <v>UN</v>
      </c>
      <c r="E165" s="680">
        <v>12</v>
      </c>
      <c r="F165" s="681">
        <v>7.14</v>
      </c>
      <c r="G165" s="682">
        <v>85.68</v>
      </c>
    </row>
    <row r="166" spans="1:7" ht="13.5" customHeight="1">
      <c r="A166" s="659">
        <v>150</v>
      </c>
      <c r="B166" s="683">
        <f>'FDE-JUNHO-08'!A1429</f>
        <v>85020</v>
      </c>
      <c r="C166" s="684" t="str">
        <f>VLOOKUP(B166,'FDE-JUNHO-08'!$A$6:$D$3537,2,FALSE())</f>
        <v>DE CALHAS E RUFOS EM CHAPAS METALICAS</v>
      </c>
      <c r="D166" s="679" t="str">
        <f>VLOOKUP(B166,'FDE-JUNHO-08'!$A$6:$D$3537,3,FALSE())</f>
        <v xml:space="preserve">M </v>
      </c>
      <c r="E166" s="680">
        <v>66</v>
      </c>
      <c r="F166" s="681">
        <v>2.0499999999999998</v>
      </c>
      <c r="G166" s="682">
        <v>135.30000000000001</v>
      </c>
    </row>
    <row r="167" spans="1:7" ht="13.5" customHeight="1">
      <c r="A167" s="659">
        <v>151</v>
      </c>
      <c r="B167" s="683">
        <v>86007</v>
      </c>
      <c r="C167" s="684" t="str">
        <f>VLOOKUP(B167,'FDE-JUNHO-08'!$A$6:$D$3537,2,FALSE())</f>
        <v>DE TORNEIRAS</v>
      </c>
      <c r="D167" s="679" t="str">
        <f>VLOOKUP(B167,'FDE-JUNHO-08'!$A$6:$D$3537,3,FALSE())</f>
        <v>UN</v>
      </c>
      <c r="E167" s="680">
        <v>9</v>
      </c>
      <c r="F167" s="681">
        <v>3.01</v>
      </c>
      <c r="G167" s="682">
        <v>27.09</v>
      </c>
    </row>
    <row r="168" spans="1:7" ht="13.5" customHeight="1">
      <c r="A168" s="659">
        <v>152</v>
      </c>
      <c r="B168" s="683">
        <v>86011</v>
      </c>
      <c r="C168" s="684" t="str">
        <f>VLOOKUP(B168,'FDE-JUNHO-08'!$A$6:$D$3537,2,FALSE())</f>
        <v>DE APARELHOS SANITARIOS INCLUINDO ACESSORIOS</v>
      </c>
      <c r="D168" s="679" t="str">
        <f>VLOOKUP(B168,'FDE-JUNHO-08'!$A$6:$D$3537,3,FALSE())</f>
        <v>UN</v>
      </c>
      <c r="E168" s="680">
        <v>13</v>
      </c>
      <c r="F168" s="681">
        <v>23.21</v>
      </c>
      <c r="G168" s="682">
        <v>301.73</v>
      </c>
    </row>
    <row r="169" spans="1:7" ht="13.5" customHeight="1">
      <c r="A169" s="659">
        <v>153</v>
      </c>
      <c r="B169" s="683">
        <v>86010</v>
      </c>
      <c r="C169" s="684" t="str">
        <f>VLOOKUP(B169,'FDE-JUNHO-08'!$A$6:$D$3537,2,FALSE())</f>
        <v>DE SIFOES</v>
      </c>
      <c r="D169" s="679" t="str">
        <f>VLOOKUP(B169,'FDE-JUNHO-08'!$A$6:$D$3537,3,FALSE())</f>
        <v>UN</v>
      </c>
      <c r="E169" s="680">
        <v>11</v>
      </c>
      <c r="F169" s="681">
        <v>4.6399999999999997</v>
      </c>
      <c r="G169" s="682">
        <v>51.04</v>
      </c>
    </row>
    <row r="170" spans="1:7" ht="13.5" customHeight="1">
      <c r="A170" s="659">
        <v>154</v>
      </c>
      <c r="B170" s="683">
        <f>'FDE-JUNHO-08'!A1438</f>
        <v>86012</v>
      </c>
      <c r="C170" s="684" t="str">
        <f>VLOOKUP(B170,'FDE-JUNHO-08'!$A$6:$D$3537,2,FALSE())</f>
        <v>DE CAIXA DE DESCARGA DE SOBREPOR</v>
      </c>
      <c r="D170" s="679" t="str">
        <f>VLOOKUP(B170,'FDE-JUNHO-08'!$A$6:$D$3537,3,FALSE())</f>
        <v>UN</v>
      </c>
      <c r="E170" s="680">
        <v>6</v>
      </c>
      <c r="F170" s="681">
        <v>8.81</v>
      </c>
      <c r="G170" s="682">
        <v>52.86</v>
      </c>
    </row>
    <row r="171" spans="1:7" ht="13.5" customHeight="1">
      <c r="A171" s="659">
        <v>155</v>
      </c>
      <c r="B171" s="683">
        <f>'FDE-JUNHO-08'!A1446</f>
        <v>87007</v>
      </c>
      <c r="C171" s="684" t="str">
        <f>VLOOKUP(B171,'FDE-JUNHO-08'!$A$6:$D$3537,2,FALSE())</f>
        <v>DE TORNEIRAS</v>
      </c>
      <c r="D171" s="679" t="str">
        <f>VLOOKUP(B171,'FDE-JUNHO-08'!$A$6:$D$3537,3,FALSE())</f>
        <v>UN</v>
      </c>
      <c r="E171" s="680">
        <v>9</v>
      </c>
      <c r="F171" s="681">
        <v>10.26</v>
      </c>
      <c r="G171" s="682">
        <v>92.34</v>
      </c>
    </row>
    <row r="172" spans="1:7" ht="13.5" customHeight="1">
      <c r="A172" s="659">
        <v>156</v>
      </c>
      <c r="B172" s="683">
        <f>'FDE-JUNHO-08'!A1447</f>
        <v>87010</v>
      </c>
      <c r="C172" s="684" t="str">
        <f>VLOOKUP(B172,'FDE-JUNHO-08'!$A$6:$D$3537,2,FALSE())</f>
        <v>DE SIFOES</v>
      </c>
      <c r="D172" s="679" t="str">
        <f>VLOOKUP(B172,'FDE-JUNHO-08'!$A$6:$D$3537,3,FALSE())</f>
        <v>UN</v>
      </c>
      <c r="E172" s="680">
        <v>8</v>
      </c>
      <c r="F172" s="681">
        <v>10.26</v>
      </c>
      <c r="G172" s="682">
        <v>82.08</v>
      </c>
    </row>
    <row r="173" spans="1:7" ht="13.5" customHeight="1">
      <c r="A173" s="659">
        <v>157</v>
      </c>
      <c r="B173" s="683">
        <v>87099</v>
      </c>
      <c r="C173" s="684" t="str">
        <f>VLOOKUP(B173,'FDE-JUNHO-08'!$A$6:$D$3537,2,FALSE())</f>
        <v>RECOLOCACOES DE INSTALACOES HIDRAULICAS</v>
      </c>
      <c r="D173" s="679" t="str">
        <f>VLOOKUP(B173,'FDE-JUNHO-08'!$A$6:$D$3537,3,FALSE())</f>
        <v>MV</v>
      </c>
      <c r="E173" s="680">
        <v>2</v>
      </c>
      <c r="F173" s="681">
        <v>263.25</v>
      </c>
      <c r="G173" s="682">
        <v>526.5</v>
      </c>
    </row>
    <row r="174" spans="1:7" ht="13.5" customHeight="1">
      <c r="A174" s="659">
        <v>158</v>
      </c>
      <c r="B174" s="683">
        <f>'FDE-JUNHO-08'!A1448</f>
        <v>87011</v>
      </c>
      <c r="C174" s="684" t="str">
        <f>VLOOKUP(B174,'FDE-JUNHO-08'!$A$6:$D$3537,2,FALSE())</f>
        <v>DE APARELHOS SANITARIOS INCLUINDO ACESSORIOS</v>
      </c>
      <c r="D174" s="679" t="str">
        <f>VLOOKUP(B174,'FDE-JUNHO-08'!$A$6:$D$3537,3,FALSE())</f>
        <v>UN</v>
      </c>
      <c r="E174" s="680">
        <v>9</v>
      </c>
      <c r="F174" s="681">
        <v>82.13</v>
      </c>
      <c r="G174" s="682">
        <v>739.17</v>
      </c>
    </row>
    <row r="175" spans="1:7" ht="13.5" customHeight="1">
      <c r="A175" s="659">
        <v>159</v>
      </c>
      <c r="B175" s="677">
        <v>81730</v>
      </c>
      <c r="C175" s="678" t="str">
        <f>VLOOKUP(B175,'FDE-JUNHO-08'!$A$6:$D$3537,2,FALSE())</f>
        <v>TAMPO PARA PIA MARMORE NACIONAL ESPESSURA DE 3 CM</v>
      </c>
      <c r="D175" s="685" t="str">
        <f>VLOOKUP(B175,'FDE-JUNHO-08'!$A$6:$D$3537,3,FALSE())</f>
        <v>M2</v>
      </c>
      <c r="E175" s="688">
        <v>6.78</v>
      </c>
      <c r="F175" s="686">
        <v>516.12</v>
      </c>
      <c r="G175" s="687">
        <v>3499.29</v>
      </c>
    </row>
    <row r="176" spans="1:7" ht="13.5" customHeight="1">
      <c r="A176" s="659">
        <v>160</v>
      </c>
      <c r="B176" s="671">
        <v>12</v>
      </c>
      <c r="C176" s="672" t="str">
        <f>VLOOKUP(B176,'FDE-JUNHO-08'!$A$6:$D$3537,2,FALSE())</f>
        <v>REVESTIMENTOS: TETO E PAREDE</v>
      </c>
      <c r="D176" s="673"/>
      <c r="E176" s="674"/>
      <c r="F176" s="675"/>
      <c r="G176" s="676">
        <v>5514.59</v>
      </c>
    </row>
    <row r="177" spans="1:8" ht="13.5" customHeight="1">
      <c r="A177" s="659">
        <v>161</v>
      </c>
      <c r="B177" s="683">
        <f>'FDE-JUNHO-08'!A2583</f>
        <v>126001</v>
      </c>
      <c r="C177" s="684" t="str">
        <f>VLOOKUP(B177,'FDE-JUNHO-08'!$A$6:$D$3537,2,FALSE())</f>
        <v>DE MARMORE PEDRAS OU GRANITOS INCL DEMOLICAO ARGAMASSA ASSENTAMENTO</v>
      </c>
      <c r="D177" s="679" t="str">
        <f>VLOOKUP(B177,'FDE-JUNHO-08'!$A$6:$D$3537,3,FALSE())</f>
        <v>M2</v>
      </c>
      <c r="E177" s="680">
        <v>15.2</v>
      </c>
      <c r="F177" s="681">
        <v>16.07</v>
      </c>
      <c r="G177" s="682">
        <v>244.26</v>
      </c>
    </row>
    <row r="178" spans="1:8" ht="13.5" customHeight="1">
      <c r="A178" s="659">
        <v>162</v>
      </c>
      <c r="B178" s="677">
        <f>'FDE-JUNHO-08'!A2579</f>
        <v>125002</v>
      </c>
      <c r="C178" s="678" t="str">
        <f>VLOOKUP(B178,'FDE-JUNHO-08'!$A$6:$D$3537,2,FALSE())</f>
        <v>DE REVEST DE AZULEJOS, PASTILHAS E LADRILHOS INCL ARG ASSENTAMENTO</v>
      </c>
      <c r="D178" s="685" t="str">
        <f>VLOOKUP(B178,'FDE-JUNHO-08'!$A$6:$D$3537,3,FALSE())</f>
        <v>M2</v>
      </c>
      <c r="E178" s="688">
        <v>7.35</v>
      </c>
      <c r="F178" s="686">
        <v>7.48</v>
      </c>
      <c r="G178" s="687">
        <v>54.97</v>
      </c>
    </row>
    <row r="179" spans="1:8" ht="13.5" customHeight="1">
      <c r="A179" s="659">
        <v>163</v>
      </c>
      <c r="B179" s="683">
        <v>120237</v>
      </c>
      <c r="C179" s="684" t="str">
        <f>VLOOKUP(B179,'FDE-JUNHO-08'!$A$6:$D$3537,2,FALSE())</f>
        <v>REVESTIMENTOS COM AZULEJOS LISOS BRANCOS 15X15CM</v>
      </c>
      <c r="D179" s="679" t="str">
        <f>VLOOKUP(B179,'FDE-JUNHO-08'!$A$6:$D$3537,3,FALSE())</f>
        <v>M2</v>
      </c>
      <c r="E179" s="680">
        <v>9</v>
      </c>
      <c r="F179" s="681">
        <v>31.8</v>
      </c>
      <c r="G179" s="682">
        <v>286.2</v>
      </c>
    </row>
    <row r="180" spans="1:8" ht="13.5" customHeight="1">
      <c r="A180" s="659">
        <v>164</v>
      </c>
      <c r="B180" s="683">
        <f>'FDE-JUNHO-08'!A2534</f>
        <v>120204</v>
      </c>
      <c r="C180" s="684" t="str">
        <f>VLOOKUP(B180,'FDE-JUNHO-08'!$A$6:$D$3537,2,FALSE())</f>
        <v>CHAPISCO ROLADO PARA SUPERFICIES LISAS</v>
      </c>
      <c r="D180" s="679" t="str">
        <f>VLOOKUP(B180,'FDE-JUNHO-08'!$A$6:$D$3537,3,FALSE())</f>
        <v>M2</v>
      </c>
      <c r="E180" s="680">
        <v>118.69</v>
      </c>
      <c r="F180" s="681">
        <v>7.29</v>
      </c>
      <c r="G180" s="682">
        <v>865.25</v>
      </c>
    </row>
    <row r="181" spans="1:8" ht="13.5" customHeight="1">
      <c r="A181" s="659">
        <v>165</v>
      </c>
      <c r="B181" s="683">
        <f>'FDE-JUNHO-08'!A2533</f>
        <v>120201</v>
      </c>
      <c r="C181" s="684" t="str">
        <f>VLOOKUP(B181,'FDE-JUNHO-08'!$A$6:$D$3537,2,FALSE())</f>
        <v>CHAPISCO</v>
      </c>
      <c r="D181" s="679" t="str">
        <f>VLOOKUP(B181,'FDE-JUNHO-08'!$A$6:$D$3537,3,FALSE())</f>
        <v>M2</v>
      </c>
      <c r="E181" s="680">
        <v>51.74</v>
      </c>
      <c r="F181" s="681">
        <v>5.62</v>
      </c>
      <c r="G181" s="682">
        <v>290.77</v>
      </c>
    </row>
    <row r="182" spans="1:8" s="659" customFormat="1" ht="13.5" customHeight="1">
      <c r="A182" s="659">
        <v>166</v>
      </c>
      <c r="B182" s="683">
        <v>120205</v>
      </c>
      <c r="C182" s="684" t="str">
        <f>VLOOKUP(B182,'FDE-JUNHO-08'!$A$6:$D$3537,2,FALSE())</f>
        <v>EMBOCO</v>
      </c>
      <c r="D182" s="679" t="str">
        <f>VLOOKUP(B182,'FDE-JUNHO-08'!$A$6:$D$3537,3,FALSE())</f>
        <v>M2</v>
      </c>
      <c r="E182" s="680">
        <v>51.74</v>
      </c>
      <c r="F182" s="681">
        <v>16.260000000000002</v>
      </c>
      <c r="G182" s="682">
        <v>841.29</v>
      </c>
      <c r="H182" s="506"/>
    </row>
    <row r="183" spans="1:8" customFormat="1" ht="13.5" customHeight="1">
      <c r="A183" s="659">
        <v>167</v>
      </c>
      <c r="B183" s="683">
        <v>120237</v>
      </c>
      <c r="C183" s="684" t="str">
        <f>VLOOKUP(B183,'FDE-JUNHO-08'!$A$6:$D$3537,2,FALSE())</f>
        <v>REVESTIMENTOS COM AZULEJOS LISOS BRANCOS 15X15CM</v>
      </c>
      <c r="D183" s="679" t="str">
        <f>VLOOKUP(B183,'FDE-JUNHO-08'!$A$6:$D$3537,3,FALSE())</f>
        <v>M2</v>
      </c>
      <c r="E183" s="680">
        <v>12.6</v>
      </c>
      <c r="F183" s="681">
        <v>31.8</v>
      </c>
      <c r="G183" s="682">
        <v>400.68</v>
      </c>
      <c r="H183" s="506"/>
    </row>
    <row r="184" spans="1:8" customFormat="1" ht="13.5" customHeight="1">
      <c r="A184" s="659">
        <v>168</v>
      </c>
      <c r="B184" s="683">
        <v>125002</v>
      </c>
      <c r="C184" s="684" t="str">
        <f>VLOOKUP(B184,'FDE-JUNHO-08'!$A$6:$D$3537,2,FALSE())</f>
        <v>DE REVEST DE AZULEJOS, PASTILHAS E LADRILHOS INCL ARG ASSENTAMENTO</v>
      </c>
      <c r="D184" s="679" t="str">
        <f>VLOOKUP(B184,'FDE-JUNHO-08'!$A$6:$D$3537,3,FALSE())</f>
        <v>M2</v>
      </c>
      <c r="E184" s="680">
        <v>8</v>
      </c>
      <c r="F184" s="681">
        <v>7.48</v>
      </c>
      <c r="G184" s="682">
        <v>59.84</v>
      </c>
      <c r="H184" s="506"/>
    </row>
    <row r="185" spans="1:8" customFormat="1" ht="13.5" customHeight="1">
      <c r="A185" s="659">
        <v>169</v>
      </c>
      <c r="B185" s="683">
        <v>25003</v>
      </c>
      <c r="C185" s="684" t="str">
        <f>VLOOKUP(B185,'FDE-JUNHO-08'!$A$6:$D$3537,2,FALSE())</f>
        <v>DE ALVENARIA DE FUNDACAO (MANUAL)</v>
      </c>
      <c r="D185" s="679" t="str">
        <f>VLOOKUP(B185,'FDE-JUNHO-08'!$A$6:$D$3537,3,FALSE())</f>
        <v>M3</v>
      </c>
      <c r="E185" s="680">
        <v>11</v>
      </c>
      <c r="F185" s="681">
        <v>53.57</v>
      </c>
      <c r="G185" s="682">
        <v>589.27</v>
      </c>
      <c r="H185" s="506"/>
    </row>
    <row r="186" spans="1:8" customFormat="1" ht="13.5" customHeight="1">
      <c r="A186" s="659">
        <v>170</v>
      </c>
      <c r="B186" s="677">
        <v>35001</v>
      </c>
      <c r="C186" s="678" t="str">
        <f>VLOOKUP(B186,'FDE-JUNHO-08'!$A$6:$D$3537,2,FALSE())</f>
        <v>DE CONCRETO INCLUINDO REVESTIMENTOS (MANUAL)</v>
      </c>
      <c r="D186" s="685" t="str">
        <f>VLOOKUP(B186,'FDE-JUNHO-08'!$A$6:$D$3537,3,FALSE())</f>
        <v>M3</v>
      </c>
      <c r="E186" s="688">
        <v>8</v>
      </c>
      <c r="F186" s="686">
        <v>178.58</v>
      </c>
      <c r="G186" s="687">
        <v>1428.64</v>
      </c>
      <c r="H186" s="506"/>
    </row>
    <row r="187" spans="1:8" ht="13.5" customHeight="1">
      <c r="A187" s="659">
        <v>171</v>
      </c>
      <c r="B187" s="683">
        <v>128030</v>
      </c>
      <c r="C187" s="684" t="str">
        <f>VLOOKUP(B187,'FDE-JUNHO-08'!$A$6:$D$3537,2,FALSE())</f>
        <v>REPARO EM TRINCAS E RACHADURAS</v>
      </c>
      <c r="D187" s="679" t="str">
        <f>VLOOKUP(B187,'FDE-JUNHO-08'!$A$6:$D$3537,3,FALSE())</f>
        <v xml:space="preserve">M </v>
      </c>
      <c r="E187" s="680">
        <v>67.98</v>
      </c>
      <c r="F187" s="681">
        <v>6.67</v>
      </c>
      <c r="G187" s="682">
        <v>453.42</v>
      </c>
    </row>
    <row r="188" spans="1:8" ht="13.5" customHeight="1">
      <c r="A188" s="659">
        <v>172</v>
      </c>
      <c r="B188" s="671">
        <v>13</v>
      </c>
      <c r="C188" s="672" t="str">
        <f>VLOOKUP(B188,'FDE-JUNHO-08'!$A$6:$D$3537,2,FALSE())</f>
        <v>PISOS INTERNOS/ RODAPES/ PEITORAIS</v>
      </c>
      <c r="D188" s="673"/>
      <c r="E188" s="674"/>
      <c r="F188" s="675"/>
      <c r="G188" s="676">
        <v>10851.55</v>
      </c>
    </row>
    <row r="189" spans="1:8" s="650" customFormat="1" ht="13.5" customHeight="1">
      <c r="A189" s="659">
        <v>173</v>
      </c>
      <c r="B189" s="683">
        <f>'FDE-JUNHO-08'!A2686</f>
        <v>130578</v>
      </c>
      <c r="C189" s="684" t="str">
        <f>VLOOKUP(B189,'FDE-JUNHO-08'!$A$6:$D$3537,2,FALSE())</f>
        <v>RODAPE CERAMICA ANTIDERRAPANTE (TP MONOQUEIMA) DE 8CM</v>
      </c>
      <c r="D189" s="679" t="str">
        <f>VLOOKUP(B189,'FDE-JUNHO-08'!$A$6:$D$3537,3,FALSE())</f>
        <v xml:space="preserve">M </v>
      </c>
      <c r="E189" s="680">
        <v>708</v>
      </c>
      <c r="F189" s="681">
        <v>12.38</v>
      </c>
      <c r="G189" s="682">
        <v>8765.0400000000009</v>
      </c>
      <c r="H189" s="506"/>
    </row>
    <row r="190" spans="1:8" ht="13.5" customHeight="1">
      <c r="A190" s="659">
        <v>174</v>
      </c>
      <c r="B190" s="683">
        <v>130204</v>
      </c>
      <c r="C190" s="684" t="str">
        <f>VLOOKUP(B190,'FDE-JUNHO-08'!$A$6:$D$3537,2,FALSE())</f>
        <v>CIMENTADO DESEMPENADO E ALISADO C/ CORANTE E=3,5CM INCL ARG REG</v>
      </c>
      <c r="D190" s="679" t="str">
        <f>VLOOKUP(B190,'FDE-JUNHO-08'!$A$6:$D$3537,3,FALSE())</f>
        <v>M2</v>
      </c>
      <c r="E190" s="680">
        <v>5</v>
      </c>
      <c r="F190" s="681">
        <v>32.409999999999997</v>
      </c>
      <c r="G190" s="682">
        <v>162.05000000000001</v>
      </c>
    </row>
    <row r="191" spans="1:8" ht="13.5" customHeight="1">
      <c r="A191" s="659">
        <v>175</v>
      </c>
      <c r="B191" s="683">
        <f>'FDE-JUNHO-08'!A2608</f>
        <v>130209</v>
      </c>
      <c r="C191" s="684" t="str">
        <f>VLOOKUP(B191,'FDE-JUNHO-08'!$A$6:$D$3537,2,FALSE())</f>
        <v>PISO DE CONCRETO CAMURCADO-FUNDACAO DIRETA FCK-25 MPA</v>
      </c>
      <c r="D191" s="679" t="str">
        <f>VLOOKUP(B191,'FDE-JUNHO-08'!$A$6:$D$3537,3,FALSE())</f>
        <v>M2</v>
      </c>
      <c r="E191" s="680">
        <v>8</v>
      </c>
      <c r="F191" s="681">
        <v>89</v>
      </c>
      <c r="G191" s="682">
        <v>712</v>
      </c>
    </row>
    <row r="192" spans="1:8" ht="13.5" customHeight="1">
      <c r="A192" s="659">
        <v>176</v>
      </c>
      <c r="B192" s="683">
        <v>20125</v>
      </c>
      <c r="C192" s="684" t="str">
        <f>VLOOKUP(B192,'FDE-JUNHO-08'!$A$6:$D$3537,2,FALSE())</f>
        <v>REATERRO INTERNO APILOADO</v>
      </c>
      <c r="D192" s="679" t="str">
        <f>VLOOKUP(B192,'FDE-JUNHO-08'!$A$6:$D$3537,3,FALSE())</f>
        <v>M3</v>
      </c>
      <c r="E192" s="680">
        <v>7</v>
      </c>
      <c r="F192" s="681">
        <v>31.25</v>
      </c>
      <c r="G192" s="682">
        <v>218.75</v>
      </c>
    </row>
    <row r="193" spans="1:7" ht="13.5" customHeight="1">
      <c r="A193" s="659">
        <v>177</v>
      </c>
      <c r="B193" s="683">
        <f>'FDE-JUNHO-08'!A2705</f>
        <v>135001</v>
      </c>
      <c r="C193" s="684" t="str">
        <f>VLOOKUP(B193,'FDE-JUNHO-08'!$A$6:$D$3537,2,FALSE())</f>
        <v>DEMOLICAO PISO DE CONCRETO SIMPLES CAPEADO</v>
      </c>
      <c r="D193" s="679" t="str">
        <f>VLOOKUP(B193,'FDE-JUNHO-08'!$A$6:$D$3537,3,FALSE())</f>
        <v>M3</v>
      </c>
      <c r="E193" s="680">
        <v>6.5449999999999999</v>
      </c>
      <c r="F193" s="681">
        <v>116.07</v>
      </c>
      <c r="G193" s="682">
        <v>759.67</v>
      </c>
    </row>
    <row r="194" spans="1:7" ht="13.5" customHeight="1">
      <c r="A194" s="659">
        <v>178</v>
      </c>
      <c r="B194" s="683">
        <f>'FDE-JUNHO-08'!A34</f>
        <v>10501</v>
      </c>
      <c r="C194" s="684" t="str">
        <f>VLOOKUP(B194,'FDE-JUNHO-08'!$A$6:$D$3537,2,FALSE())</f>
        <v xml:space="preserve">ESCAVACAO MANUAL - PROFUNDIDADE ATE 1.80 M  </v>
      </c>
      <c r="D194" s="679" t="str">
        <f>VLOOKUP(B194,'FDE-JUNHO-08'!$A$6:$D$3537,3,FALSE())</f>
        <v xml:space="preserve">M3  </v>
      </c>
      <c r="E194" s="680">
        <v>11.4</v>
      </c>
      <c r="F194" s="681">
        <v>20.53</v>
      </c>
      <c r="G194" s="682">
        <v>234.04</v>
      </c>
    </row>
    <row r="195" spans="1:7" ht="13.5" customHeight="1">
      <c r="A195" s="659">
        <v>179</v>
      </c>
      <c r="B195" s="671">
        <v>15</v>
      </c>
      <c r="C195" s="672" t="str">
        <f>VLOOKUP(B195,'FDE-JUNHO-08'!$A$6:$D$3537,2,FALSE())</f>
        <v>PINTURA</v>
      </c>
      <c r="D195" s="673"/>
      <c r="E195" s="674"/>
      <c r="F195" s="675"/>
      <c r="G195" s="676">
        <v>54091.93</v>
      </c>
    </row>
    <row r="196" spans="1:7" ht="13.5" customHeight="1">
      <c r="A196" s="659">
        <v>180</v>
      </c>
      <c r="B196" s="683">
        <v>150335</v>
      </c>
      <c r="C196" s="684" t="str">
        <f>VLOOKUP(B196,'FDE-JUNHO-08'!$A$6:$D$3537,2,FALSE())</f>
        <v>FUNDO ANTI-OXIDANTE EM ESQUADRIAS</v>
      </c>
      <c r="D196" s="679" t="str">
        <f>VLOOKUP(B196,'FDE-JUNHO-08'!$A$6:$D$3537,3,FALSE())</f>
        <v>M2</v>
      </c>
      <c r="E196" s="680">
        <v>169.52</v>
      </c>
      <c r="F196" s="681">
        <v>16.18</v>
      </c>
      <c r="G196" s="682">
        <v>2742.83</v>
      </c>
    </row>
    <row r="197" spans="1:7" ht="13.5" customHeight="1">
      <c r="A197" s="659">
        <v>181</v>
      </c>
      <c r="B197" s="683">
        <v>120211</v>
      </c>
      <c r="C197" s="684" t="str">
        <f>VLOOKUP(B197,'FDE-JUNHO-08'!$A$6:$D$3537,2,FALSE())</f>
        <v>REVESTIMENTO TEXTURIZADO ACRILICO BRANCO E PINTURA ACRILICA</v>
      </c>
      <c r="D197" s="679" t="str">
        <f>VLOOKUP(B197,'FDE-JUNHO-08'!$A$6:$D$3537,3,FALSE())</f>
        <v>M2</v>
      </c>
      <c r="E197" s="680">
        <v>157.71</v>
      </c>
      <c r="F197" s="681">
        <v>14.95</v>
      </c>
      <c r="G197" s="682">
        <v>2357.7600000000002</v>
      </c>
    </row>
    <row r="198" spans="1:7" ht="13.5" customHeight="1">
      <c r="A198" s="659">
        <v>182</v>
      </c>
      <c r="B198" s="683">
        <v>150203</v>
      </c>
      <c r="C198" s="684" t="str">
        <f>VLOOKUP(B198,'FDE-JUNHO-08'!$A$6:$D$3537,2,FALSE())</f>
        <v>MASSA CORRIDA PVA</v>
      </c>
      <c r="D198" s="679" t="str">
        <f>VLOOKUP(B198,'FDE-JUNHO-08'!$A$6:$D$3537,3,FALSE())</f>
        <v>M2</v>
      </c>
      <c r="E198" s="680">
        <v>361.39350000000002</v>
      </c>
      <c r="F198" s="681">
        <v>8.35</v>
      </c>
      <c r="G198" s="682">
        <v>3017.63</v>
      </c>
    </row>
    <row r="199" spans="1:7" ht="13.5" customHeight="1">
      <c r="A199" s="659">
        <v>183</v>
      </c>
      <c r="B199" s="683">
        <v>150225</v>
      </c>
      <c r="C199" s="684" t="str">
        <f>VLOOKUP(B199,'FDE-JUNHO-08'!$A$6:$D$3537,2,FALSE())</f>
        <v>TINTA ACRILICA</v>
      </c>
      <c r="D199" s="679" t="str">
        <f>VLOOKUP(B199,'FDE-JUNHO-08'!$A$6:$D$3537,3,FALSE())</f>
        <v>M2</v>
      </c>
      <c r="E199" s="680">
        <v>1806.9675</v>
      </c>
      <c r="F199" s="681">
        <v>12.62</v>
      </c>
      <c r="G199" s="682">
        <v>22803.919999999998</v>
      </c>
    </row>
    <row r="200" spans="1:7" ht="13.5" customHeight="1">
      <c r="A200" s="659">
        <v>184</v>
      </c>
      <c r="B200" s="683">
        <v>150219</v>
      </c>
      <c r="C200" s="684" t="str">
        <f>VLOOKUP(B200,'FDE-JUNHO-08'!$A$6:$D$3537,2,FALSE())</f>
        <v>ESMALTE</v>
      </c>
      <c r="D200" s="679" t="str">
        <f>VLOOKUP(B200,'FDE-JUNHO-08'!$A$6:$D$3537,3,FALSE())</f>
        <v>M2</v>
      </c>
      <c r="E200" s="680">
        <v>1222.56</v>
      </c>
      <c r="F200" s="681">
        <v>14.3</v>
      </c>
      <c r="G200" s="682">
        <v>17482.599999999999</v>
      </c>
    </row>
    <row r="201" spans="1:7" ht="13.5" customHeight="1">
      <c r="A201" s="659">
        <v>185</v>
      </c>
      <c r="B201" s="683">
        <v>150321</v>
      </c>
      <c r="C201" s="684" t="str">
        <f>VLOOKUP(B201,'FDE-JUNHO-08'!$A$6:$D$3537,2,FALSE())</f>
        <v>ESMALTE EM ESQUADRIAS DE FERRO</v>
      </c>
      <c r="D201" s="679" t="str">
        <f>VLOOKUP(B201,'FDE-JUNHO-08'!$A$6:$D$3537,3,FALSE())</f>
        <v>M2</v>
      </c>
      <c r="E201" s="680">
        <v>103.2</v>
      </c>
      <c r="F201" s="681">
        <v>14.54</v>
      </c>
      <c r="G201" s="682">
        <v>1500.52</v>
      </c>
    </row>
    <row r="202" spans="1:7" ht="13.5" customHeight="1">
      <c r="A202" s="659">
        <v>186</v>
      </c>
      <c r="B202" s="683">
        <f>'FDE-JUNHO-08'!A2832</f>
        <v>150301</v>
      </c>
      <c r="C202" s="684" t="str">
        <f>VLOOKUP(B202,'FDE-JUNHO-08'!$A$6:$D$3537,2,FALSE())</f>
        <v>MASSA CORRIDA A OLEO EM ESQUADRIAS DE MADEIRA</v>
      </c>
      <c r="D202" s="679" t="str">
        <f>VLOOKUP(B202,'FDE-JUNHO-08'!$A$6:$D$3537,3,FALSE())</f>
        <v>M2</v>
      </c>
      <c r="E202" s="680">
        <v>124.74</v>
      </c>
      <c r="F202" s="681">
        <v>9.8800000000000008</v>
      </c>
      <c r="G202" s="682">
        <v>1232.43</v>
      </c>
    </row>
    <row r="203" spans="1:7" ht="13.5" customHeight="1">
      <c r="A203" s="659">
        <v>187</v>
      </c>
      <c r="B203" s="683">
        <v>150306</v>
      </c>
      <c r="C203" s="684" t="str">
        <f>VLOOKUP(B203,'FDE-JUNHO-08'!$A$6:$D$3537,2,FALSE())</f>
        <v>ESMALTE SEM MASSA CORRIDA EM ESQUADRIAS DE MADEIRA</v>
      </c>
      <c r="D203" s="679" t="str">
        <f>VLOOKUP(B203,'FDE-JUNHO-08'!$A$6:$D$3537,3,FALSE())</f>
        <v>M2</v>
      </c>
      <c r="E203" s="680">
        <v>165.6</v>
      </c>
      <c r="F203" s="681">
        <v>12.02</v>
      </c>
      <c r="G203" s="682">
        <v>1990.51</v>
      </c>
    </row>
    <row r="204" spans="1:7" ht="13.5" customHeight="1">
      <c r="A204" s="659">
        <v>188</v>
      </c>
      <c r="B204" s="683">
        <v>155003</v>
      </c>
      <c r="C204" s="684" t="str">
        <f>VLOOKUP(B204,'FDE-JUNHO-08'!$A$6:$D$3537,2,FALSE())</f>
        <v>REMOCAO DE OLEO,ESMALTE OU VERNIZ EM ESQ DE MADEIRA C/LIXAMENTO</v>
      </c>
      <c r="D204" s="679" t="str">
        <f>VLOOKUP(B204,'FDE-JUNHO-08'!$A$6:$D$3537,3,FALSE())</f>
        <v>M2</v>
      </c>
      <c r="E204" s="680">
        <v>165.6</v>
      </c>
      <c r="F204" s="681">
        <v>2.4500000000000002</v>
      </c>
      <c r="G204" s="682">
        <v>405.72</v>
      </c>
    </row>
    <row r="205" spans="1:7" ht="13.5" customHeight="1">
      <c r="A205" s="659">
        <v>189</v>
      </c>
      <c r="B205" s="683">
        <v>155004</v>
      </c>
      <c r="C205" s="684" t="str">
        <f>VLOOKUP(B205,'FDE-JUNHO-08'!$A$6:$D$3537,2,FALSE())</f>
        <v>REMOCAO DE OLEO,ESMALTE,ALUMIN OU GRAFITE EM ESQ DE FERRO C/LIXAMENTO</v>
      </c>
      <c r="D205" s="679" t="str">
        <f>VLOOKUP(B205,'FDE-JUNHO-08'!$A$6:$D$3537,3,FALSE())</f>
        <v>M2</v>
      </c>
      <c r="E205" s="680">
        <v>103.2</v>
      </c>
      <c r="F205" s="681">
        <v>3.06</v>
      </c>
      <c r="G205" s="682">
        <v>315.79000000000002</v>
      </c>
    </row>
    <row r="206" spans="1:7" ht="13.5" customHeight="1">
      <c r="A206" s="659">
        <v>190</v>
      </c>
      <c r="B206" s="677">
        <v>150361</v>
      </c>
      <c r="C206" s="678" t="str">
        <f>VLOOKUP(B206,'FDE-JUNHO-08'!$A$6:$D$3537,2,FALSE())</f>
        <v>FACE INTERNA DE CALHAS COM TINTA BETUMINOSA</v>
      </c>
      <c r="D206" s="685" t="str">
        <f>VLOOKUP(B206,'FDE-JUNHO-08'!$A$6:$D$3537,3,FALSE())</f>
        <v xml:space="preserve">M </v>
      </c>
      <c r="E206" s="688">
        <v>66</v>
      </c>
      <c r="F206" s="686">
        <v>3.67</v>
      </c>
      <c r="G206" s="682">
        <v>242.22</v>
      </c>
    </row>
    <row r="207" spans="1:7" ht="13.5" customHeight="1">
      <c r="A207" s="659">
        <v>191</v>
      </c>
      <c r="B207" s="671">
        <v>16</v>
      </c>
      <c r="C207" s="672" t="str">
        <f>VLOOKUP(B207,'FDE-JUNHO-08'!$A$6:$D$3537,2,FALSE())</f>
        <v>SERVIÇOS COMPLEMENTARES</v>
      </c>
      <c r="D207" s="673"/>
      <c r="E207" s="674"/>
      <c r="F207" s="675"/>
      <c r="G207" s="676">
        <v>15017.47</v>
      </c>
    </row>
    <row r="208" spans="1:7" ht="13.5" customHeight="1">
      <c r="A208" s="659">
        <v>192</v>
      </c>
      <c r="B208" s="683">
        <f>'FDE-JUNHO-08'!A3234</f>
        <v>161105</v>
      </c>
      <c r="C208" s="684" t="str">
        <f>VLOOKUP(B208,'FDE-JUNHO-08'!$A$6:$D$3537,2,FALSE())</f>
        <v>LIMPEZA DA OBRA</v>
      </c>
      <c r="D208" s="679" t="str">
        <f>VLOOKUP(B208,'FDE-JUNHO-08'!$A$6:$D$3537,3,FALSE())</f>
        <v>M2</v>
      </c>
      <c r="E208" s="680">
        <v>1009.28</v>
      </c>
      <c r="F208" s="681">
        <v>6.25</v>
      </c>
      <c r="G208" s="682">
        <v>6308</v>
      </c>
    </row>
    <row r="209" spans="1:8" ht="13.5" customHeight="1">
      <c r="A209" s="659">
        <v>193</v>
      </c>
      <c r="B209" s="683">
        <v>163514</v>
      </c>
      <c r="C209" s="684" t="str">
        <f>VLOOKUP(B209,'FDE-JUNHO-08'!$A$6:$D$3537,2,FALSE())</f>
        <v>LIMPEZA DO SUBSTRATO COM APLICACAO DE JATO DE AGUA FRIA</v>
      </c>
      <c r="D209" s="679" t="str">
        <f>VLOOKUP(B209,'FDE-JUNHO-08'!$A$6:$D$3537,3,FALSE())</f>
        <v>M2</v>
      </c>
      <c r="E209" s="680">
        <v>520</v>
      </c>
      <c r="F209" s="681">
        <v>5.26</v>
      </c>
      <c r="G209" s="682">
        <v>2735.2</v>
      </c>
    </row>
    <row r="210" spans="1:8" ht="13.5" customHeight="1">
      <c r="A210" s="659">
        <v>194</v>
      </c>
      <c r="B210" s="683">
        <v>161120</v>
      </c>
      <c r="C210" s="684" t="str">
        <f>VLOOKUP(B210,'FDE-JUNHO-08'!$A$6:$D$3537,2,FALSE())</f>
        <v>LIMPEZA DE FACHADA POR HIDROJATEAMENTO</v>
      </c>
      <c r="D210" s="679" t="str">
        <f>VLOOKUP(B210,'FDE-JUNHO-08'!$A$6:$D$3537,3,FALSE())</f>
        <v>M2</v>
      </c>
      <c r="E210" s="680">
        <v>560</v>
      </c>
      <c r="F210" s="681">
        <v>4.2300000000000004</v>
      </c>
      <c r="G210" s="682">
        <v>2368.8000000000002</v>
      </c>
    </row>
    <row r="211" spans="1:8" ht="13.5" customHeight="1">
      <c r="A211" s="659">
        <v>195</v>
      </c>
      <c r="B211" s="683">
        <v>163508</v>
      </c>
      <c r="C211" s="684" t="str">
        <f>VLOOKUP(B211,'FDE-JUNHO-08'!$A$6:$D$3537,2,FALSE())</f>
        <v>ESCOVAMENTO MANUAL</v>
      </c>
      <c r="D211" s="679" t="str">
        <f>VLOOKUP(B211,'FDE-JUNHO-08'!$A$6:$D$3537,3,FALSE())</f>
        <v>M2</v>
      </c>
      <c r="E211" s="680">
        <v>225.76</v>
      </c>
      <c r="F211" s="681">
        <v>3.74</v>
      </c>
      <c r="G211" s="682">
        <v>844.34</v>
      </c>
    </row>
    <row r="212" spans="1:8" ht="13.5" customHeight="1">
      <c r="A212" s="659">
        <v>196</v>
      </c>
      <c r="B212" s="677">
        <v>168098</v>
      </c>
      <c r="C212" s="678" t="str">
        <f>VLOOKUP(B212,'FDE-JUNHO-08'!$A$6:$D$3537,2,FALSE())</f>
        <v>RETIRADA DE ENTULHO</v>
      </c>
      <c r="D212" s="685" t="str">
        <f>VLOOKUP(B212,'FDE-JUNHO-08'!$A$6:$D$3537,3,FALSE())</f>
        <v>M3</v>
      </c>
      <c r="E212" s="688">
        <v>75.099999999999994</v>
      </c>
      <c r="F212" s="686">
        <v>26.38</v>
      </c>
      <c r="G212" s="687">
        <v>1981.13</v>
      </c>
    </row>
    <row r="213" spans="1:8" ht="13.5" customHeight="1">
      <c r="A213" s="659">
        <v>197</v>
      </c>
      <c r="B213" s="677">
        <v>160666</v>
      </c>
      <c r="C213" s="678" t="str">
        <f>VLOOKUP(B213,'FDE-JUNHO-08'!$A$6:$D$3537,2,FALSE())</f>
        <v>ANDAIME - TORRE - ALUGUEL MENSAL</v>
      </c>
      <c r="D213" s="685" t="str">
        <f>VLOOKUP(B213,'FDE-JUNHO-08'!$A$6:$D$3537,3,FALSE())</f>
        <v xml:space="preserve">M </v>
      </c>
      <c r="E213" s="688">
        <v>60</v>
      </c>
      <c r="F213" s="686">
        <v>13</v>
      </c>
      <c r="G213" s="682">
        <v>780</v>
      </c>
    </row>
    <row r="214" spans="1:8" ht="13.5" customHeight="1">
      <c r="A214" s="659"/>
      <c r="B214" s="689"/>
      <c r="C214" s="697"/>
      <c r="D214" s="698"/>
      <c r="E214" s="699"/>
      <c r="F214" s="700"/>
      <c r="G214" s="701"/>
      <c r="H214" s="659"/>
    </row>
    <row r="215" spans="1:8" ht="13.2">
      <c r="A215"/>
      <c r="B215" s="702"/>
      <c r="C215" s="703" t="s">
        <v>4854</v>
      </c>
      <c r="D215" s="704"/>
      <c r="E215" s="705"/>
      <c r="F215" s="706"/>
      <c r="G215" s="707">
        <v>343298.15</v>
      </c>
      <c r="H215"/>
    </row>
    <row r="216" spans="1:8" ht="13.2">
      <c r="A216"/>
      <c r="B216" s="702"/>
      <c r="C216" s="703" t="s">
        <v>4855</v>
      </c>
      <c r="D216" s="708"/>
      <c r="E216" s="709"/>
      <c r="F216" s="710"/>
      <c r="G216" s="711">
        <v>279104.18699187</v>
      </c>
      <c r="H216"/>
    </row>
    <row r="217" spans="1:8" ht="13.2">
      <c r="A217"/>
      <c r="B217" s="712"/>
      <c r="C217" s="713" t="s">
        <v>4856</v>
      </c>
      <c r="D217" s="714"/>
      <c r="E217" s="715"/>
      <c r="F217" s="716">
        <v>4.9000000000000002E-2</v>
      </c>
      <c r="G217" s="717">
        <v>13676.1051626016</v>
      </c>
      <c r="H217"/>
    </row>
    <row r="218" spans="1:8" ht="13.8">
      <c r="A218"/>
      <c r="B218" s="718"/>
      <c r="C218" s="719" t="s">
        <v>4857</v>
      </c>
      <c r="D218" s="720"/>
      <c r="E218" s="720"/>
      <c r="F218" s="720"/>
      <c r="G218" s="721">
        <v>292780.29215447197</v>
      </c>
      <c r="H218"/>
    </row>
    <row r="219" spans="1:8" ht="12">
      <c r="B219" s="722"/>
      <c r="C219" s="723"/>
      <c r="E219" s="724"/>
      <c r="G219" s="725"/>
    </row>
    <row r="220" spans="1:8" ht="12">
      <c r="B220" s="722"/>
      <c r="C220" s="723"/>
      <c r="E220" s="724"/>
      <c r="G220" s="725"/>
    </row>
    <row r="221" spans="1:8" ht="15.6">
      <c r="A221" s="650"/>
      <c r="B221" s="1401" t="s">
        <v>4858</v>
      </c>
      <c r="C221" s="1401"/>
      <c r="D221" s="1401"/>
      <c r="E221" s="1401"/>
      <c r="F221" s="1401"/>
      <c r="G221" s="1401"/>
      <c r="H221" s="650"/>
    </row>
    <row r="222" spans="1:8" ht="12">
      <c r="B222" s="506"/>
      <c r="C222" s="726"/>
      <c r="E222" s="724"/>
      <c r="F222" s="727"/>
      <c r="G222" s="728"/>
    </row>
    <row r="223" spans="1:8" ht="12">
      <c r="B223" s="506"/>
      <c r="C223" s="726"/>
      <c r="E223" s="724"/>
    </row>
    <row r="224" spans="1:8" ht="12">
      <c r="B224" s="506"/>
      <c r="C224" s="726"/>
      <c r="E224" s="724"/>
    </row>
    <row r="225" spans="3:7" s="506" customFormat="1">
      <c r="C225" s="726"/>
    </row>
    <row r="226" spans="3:7" s="506" customFormat="1">
      <c r="C226" s="726"/>
    </row>
    <row r="227" spans="3:7" s="506" customFormat="1">
      <c r="C227" s="726"/>
    </row>
    <row r="228" spans="3:7" s="506" customFormat="1">
      <c r="C228" s="726"/>
    </row>
    <row r="229" spans="3:7" s="506" customFormat="1">
      <c r="C229" s="726"/>
    </row>
    <row r="230" spans="3:7" s="506" customFormat="1" ht="12">
      <c r="C230" s="726"/>
      <c r="E230" s="659"/>
      <c r="F230" s="659"/>
      <c r="G230" s="659"/>
    </row>
    <row r="231" spans="3:7" s="506" customFormat="1" ht="12">
      <c r="C231" s="726"/>
      <c r="E231" s="659"/>
      <c r="F231" s="659"/>
      <c r="G231" s="659"/>
    </row>
    <row r="232" spans="3:7" s="506" customFormat="1">
      <c r="C232" s="726"/>
    </row>
    <row r="233" spans="3:7" s="506" customFormat="1">
      <c r="C233" s="726"/>
    </row>
    <row r="234" spans="3:7" s="506" customFormat="1">
      <c r="C234" s="726"/>
    </row>
    <row r="235" spans="3:7" s="506" customFormat="1">
      <c r="C235" s="726"/>
    </row>
    <row r="236" spans="3:7" s="506" customFormat="1">
      <c r="C236" s="726"/>
    </row>
    <row r="237" spans="3:7" s="506" customFormat="1">
      <c r="C237" s="726"/>
    </row>
    <row r="238" spans="3:7" s="506" customFormat="1">
      <c r="C238" s="726"/>
    </row>
    <row r="239" spans="3:7" s="506" customFormat="1">
      <c r="C239" s="726"/>
    </row>
    <row r="240" spans="3:7" s="506" customFormat="1">
      <c r="C240" s="726"/>
    </row>
    <row r="241" spans="3:3" s="506" customFormat="1">
      <c r="C241" s="726"/>
    </row>
    <row r="242" spans="3:3" s="506" customFormat="1">
      <c r="C242" s="726"/>
    </row>
    <row r="243" spans="3:3" s="506" customFormat="1">
      <c r="C243" s="726"/>
    </row>
    <row r="244" spans="3:3" s="506" customFormat="1">
      <c r="C244" s="726"/>
    </row>
    <row r="245" spans="3:3" s="506" customFormat="1">
      <c r="C245" s="726"/>
    </row>
    <row r="246" spans="3:3" s="506" customFormat="1">
      <c r="C246" s="726"/>
    </row>
    <row r="247" spans="3:3" s="506" customFormat="1">
      <c r="C247" s="726"/>
    </row>
    <row r="248" spans="3:3" s="506" customFormat="1">
      <c r="C248" s="726"/>
    </row>
    <row r="249" spans="3:3" s="506" customFormat="1">
      <c r="C249" s="726"/>
    </row>
    <row r="250" spans="3:3" s="506" customFormat="1">
      <c r="C250" s="726"/>
    </row>
    <row r="251" spans="3:3" s="506" customFormat="1">
      <c r="C251" s="726"/>
    </row>
    <row r="252" spans="3:3" s="506" customFormat="1">
      <c r="C252" s="726"/>
    </row>
    <row r="253" spans="3:3" s="506" customFormat="1">
      <c r="C253" s="726"/>
    </row>
    <row r="254" spans="3:3" s="506" customFormat="1">
      <c r="C254" s="726"/>
    </row>
    <row r="255" spans="3:3" s="506" customFormat="1">
      <c r="C255" s="726"/>
    </row>
    <row r="256" spans="3:3" s="506" customFormat="1">
      <c r="C256" s="726"/>
    </row>
    <row r="257" spans="3:3" s="506" customFormat="1">
      <c r="C257" s="726"/>
    </row>
    <row r="258" spans="3:3" s="506" customFormat="1">
      <c r="C258" s="726"/>
    </row>
    <row r="259" spans="3:3" s="506" customFormat="1">
      <c r="C259" s="726"/>
    </row>
    <row r="260" spans="3:3" s="506" customFormat="1">
      <c r="C260" s="726"/>
    </row>
    <row r="261" spans="3:3" s="506" customFormat="1">
      <c r="C261" s="726"/>
    </row>
    <row r="262" spans="3:3" s="506" customFormat="1">
      <c r="C262" s="726"/>
    </row>
    <row r="263" spans="3:3" s="506" customFormat="1">
      <c r="C263" s="726"/>
    </row>
    <row r="264" spans="3:3" s="506" customFormat="1">
      <c r="C264" s="726"/>
    </row>
    <row r="265" spans="3:3" s="506" customFormat="1">
      <c r="C265" s="726"/>
    </row>
    <row r="266" spans="3:3" s="506" customFormat="1">
      <c r="C266" s="726"/>
    </row>
    <row r="267" spans="3:3" s="506" customFormat="1">
      <c r="C267" s="726"/>
    </row>
    <row r="268" spans="3:3" s="506" customFormat="1">
      <c r="C268" s="726"/>
    </row>
    <row r="269" spans="3:3" s="506" customFormat="1">
      <c r="C269" s="726"/>
    </row>
    <row r="270" spans="3:3" s="506" customFormat="1">
      <c r="C270" s="726"/>
    </row>
    <row r="271" spans="3:3" s="506" customFormat="1">
      <c r="C271" s="726"/>
    </row>
    <row r="272" spans="3:3" s="506" customFormat="1">
      <c r="C272" s="726"/>
    </row>
    <row r="273" spans="3:3" s="506" customFormat="1">
      <c r="C273" s="726"/>
    </row>
    <row r="274" spans="3:3" s="506" customFormat="1">
      <c r="C274" s="726"/>
    </row>
    <row r="275" spans="3:3" s="506" customFormat="1">
      <c r="C275" s="726"/>
    </row>
    <row r="276" spans="3:3" s="506" customFormat="1">
      <c r="C276" s="726"/>
    </row>
    <row r="277" spans="3:3" s="506" customFormat="1">
      <c r="C277" s="726"/>
    </row>
    <row r="278" spans="3:3" s="506" customFormat="1">
      <c r="C278" s="726"/>
    </row>
    <row r="279" spans="3:3" s="506" customFormat="1">
      <c r="C279" s="726"/>
    </row>
    <row r="280" spans="3:3" s="506" customFormat="1">
      <c r="C280" s="726"/>
    </row>
    <row r="281" spans="3:3" s="506" customFormat="1">
      <c r="C281" s="726"/>
    </row>
    <row r="282" spans="3:3" s="506" customFormat="1">
      <c r="C282" s="726"/>
    </row>
    <row r="283" spans="3:3" s="506" customFormat="1">
      <c r="C283" s="726"/>
    </row>
    <row r="284" spans="3:3" s="506" customFormat="1">
      <c r="C284" s="726"/>
    </row>
    <row r="285" spans="3:3" s="506" customFormat="1">
      <c r="C285" s="726"/>
    </row>
    <row r="286" spans="3:3" s="506" customFormat="1">
      <c r="C286" s="726"/>
    </row>
    <row r="287" spans="3:3" s="506" customFormat="1">
      <c r="C287" s="726"/>
    </row>
    <row r="288" spans="3:3" s="506" customFormat="1"/>
    <row r="289" s="506" customFormat="1"/>
    <row r="290" s="506" customFormat="1"/>
    <row r="291" s="506" customFormat="1"/>
    <row r="292" s="506" customFormat="1"/>
    <row r="293" s="506" customFormat="1"/>
    <row r="294" s="506" customFormat="1"/>
    <row r="295" s="506" customFormat="1"/>
    <row r="296" s="506" customFormat="1"/>
    <row r="297" s="506" customFormat="1"/>
    <row r="298" s="506" customFormat="1"/>
    <row r="299" s="506" customFormat="1"/>
    <row r="300" s="506" customFormat="1"/>
    <row r="301" s="506" customFormat="1"/>
    <row r="302" s="506" customFormat="1"/>
    <row r="303" s="506" customFormat="1"/>
    <row r="304" s="506" customFormat="1"/>
    <row r="305" s="506" customFormat="1"/>
    <row r="306" s="506" customFormat="1"/>
    <row r="307" s="506" customFormat="1"/>
    <row r="308" s="506" customFormat="1"/>
    <row r="309" s="506" customFormat="1"/>
    <row r="310" s="506" customFormat="1"/>
    <row r="311" s="506" customFormat="1"/>
    <row r="312" s="506" customFormat="1"/>
    <row r="313" s="506" customFormat="1"/>
    <row r="314" s="506" customFormat="1"/>
    <row r="315" s="506" customFormat="1"/>
    <row r="316" s="506" customFormat="1"/>
    <row r="317" s="506" customFormat="1"/>
  </sheetData>
  <mergeCells count="5">
    <mergeCell ref="C2:G2"/>
    <mergeCell ref="C3:G3"/>
    <mergeCell ref="D8:G8"/>
    <mergeCell ref="B13:G13"/>
    <mergeCell ref="B221:G221"/>
  </mergeCells>
  <printOptions horizontalCentered="1"/>
  <pageMargins left="0.59027777777777801" right="0.59027777777777801" top="0.59027777777777801" bottom="0.59027777777777801" header="0.511811023622047" footer="0.196527777777778"/>
  <pageSetup paperSize="9" scale="80" orientation="portrait" horizontalDpi="300" verticalDpi="300" r:id="rId1"/>
  <headerFooter>
    <oddFooter>&amp;C&amp;P de &amp;N</oddFooter>
  </headerFooter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view="pageBreakPreview" zoomScale="90" zoomScaleNormal="100" zoomScalePageLayoutView="90" workbookViewId="0">
      <selection activeCell="B2" sqref="B2"/>
    </sheetView>
  </sheetViews>
  <sheetFormatPr defaultColWidth="8.6640625" defaultRowHeight="13.2"/>
  <sheetData/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XFD486"/>
  <sheetViews>
    <sheetView view="pageBreakPreview" topLeftCell="A16" zoomScale="90" zoomScaleNormal="100" zoomScalePageLayoutView="90" workbookViewId="0">
      <selection activeCell="I11" sqref="I11"/>
    </sheetView>
  </sheetViews>
  <sheetFormatPr defaultColWidth="8.6640625" defaultRowHeight="13.2"/>
  <cols>
    <col min="2" max="2" width="1.6640625" style="195" customWidth="1"/>
    <col min="3" max="3" width="10.44140625" customWidth="1"/>
    <col min="4" max="4" width="55.109375" customWidth="1"/>
    <col min="5" max="5" width="4.6640625" customWidth="1"/>
    <col min="6" max="6" width="10" customWidth="1"/>
    <col min="7" max="7" width="14" customWidth="1"/>
    <col min="8" max="8" width="3.33203125" style="729" customWidth="1"/>
    <col min="9" max="9" width="10.6640625" style="729" customWidth="1"/>
    <col min="10" max="10" width="15.33203125" style="730" customWidth="1"/>
    <col min="11" max="11" width="11.6640625" customWidth="1"/>
    <col min="12" max="12" width="11.109375" customWidth="1"/>
    <col min="13" max="13" width="30.88671875" customWidth="1"/>
    <col min="14" max="14" width="9.44140625" customWidth="1"/>
    <col min="16" max="16" width="6.109375" customWidth="1"/>
    <col min="17" max="17" width="4.44140625" customWidth="1"/>
    <col min="18" max="18" width="11.5546875" customWidth="1"/>
    <col min="19" max="19" width="11.6640625" style="731" customWidth="1"/>
    <col min="20" max="20" width="11.33203125" customWidth="1"/>
    <col min="258" max="258" width="1.6640625" customWidth="1"/>
    <col min="259" max="259" width="10.44140625" customWidth="1"/>
    <col min="260" max="260" width="55.109375" customWidth="1"/>
    <col min="261" max="261" width="4.6640625" customWidth="1"/>
    <col min="262" max="262" width="10" customWidth="1"/>
    <col min="263" max="263" width="14" customWidth="1"/>
    <col min="264" max="264" width="3.33203125" customWidth="1"/>
    <col min="265" max="265" width="10.6640625" customWidth="1"/>
    <col min="266" max="266" width="15.33203125" customWidth="1"/>
    <col min="267" max="267" width="11.6640625" customWidth="1"/>
    <col min="268" max="268" width="11.109375" customWidth="1"/>
    <col min="269" max="269" width="30.88671875" customWidth="1"/>
    <col min="270" max="270" width="9.44140625" customWidth="1"/>
    <col min="272" max="272" width="6.109375" customWidth="1"/>
    <col min="273" max="273" width="4.44140625" customWidth="1"/>
    <col min="274" max="274" width="11.5546875" customWidth="1"/>
    <col min="275" max="275" width="11.6640625" customWidth="1"/>
    <col min="276" max="276" width="11.33203125" customWidth="1"/>
    <col min="514" max="514" width="1.6640625" customWidth="1"/>
    <col min="515" max="515" width="10.44140625" customWidth="1"/>
    <col min="516" max="516" width="55.109375" customWidth="1"/>
    <col min="517" max="517" width="4.6640625" customWidth="1"/>
    <col min="518" max="518" width="10" customWidth="1"/>
    <col min="519" max="519" width="14" customWidth="1"/>
    <col min="520" max="520" width="3.33203125" customWidth="1"/>
    <col min="521" max="521" width="10.6640625" customWidth="1"/>
    <col min="522" max="522" width="15.33203125" customWidth="1"/>
    <col min="523" max="523" width="11.6640625" customWidth="1"/>
    <col min="524" max="524" width="11.109375" customWidth="1"/>
    <col min="525" max="525" width="30.88671875" customWidth="1"/>
    <col min="526" max="526" width="9.44140625" customWidth="1"/>
    <col min="528" max="528" width="6.109375" customWidth="1"/>
    <col min="529" max="529" width="4.44140625" customWidth="1"/>
    <col min="530" max="530" width="11.5546875" customWidth="1"/>
    <col min="531" max="531" width="11.6640625" customWidth="1"/>
    <col min="532" max="532" width="11.33203125" customWidth="1"/>
    <col min="770" max="770" width="1.6640625" customWidth="1"/>
    <col min="771" max="771" width="10.44140625" customWidth="1"/>
    <col min="772" max="772" width="55.109375" customWidth="1"/>
    <col min="773" max="773" width="4.6640625" customWidth="1"/>
    <col min="774" max="774" width="10" customWidth="1"/>
    <col min="775" max="775" width="14" customWidth="1"/>
    <col min="776" max="776" width="3.33203125" customWidth="1"/>
    <col min="777" max="777" width="10.6640625" customWidth="1"/>
    <col min="778" max="778" width="15.33203125" customWidth="1"/>
    <col min="779" max="779" width="11.6640625" customWidth="1"/>
    <col min="780" max="780" width="11.109375" customWidth="1"/>
    <col min="781" max="781" width="30.88671875" customWidth="1"/>
    <col min="782" max="782" width="9.44140625" customWidth="1"/>
    <col min="784" max="784" width="6.109375" customWidth="1"/>
    <col min="785" max="785" width="4.44140625" customWidth="1"/>
    <col min="786" max="786" width="11.5546875" customWidth="1"/>
    <col min="787" max="787" width="11.6640625" customWidth="1"/>
    <col min="788" max="788" width="11.33203125" customWidth="1"/>
    <col min="1026" max="1026" width="1.6640625" customWidth="1"/>
    <col min="1027" max="1027" width="10.44140625" customWidth="1"/>
    <col min="1028" max="1028" width="55.109375" customWidth="1"/>
    <col min="1029" max="1029" width="4.6640625" customWidth="1"/>
    <col min="1030" max="1030" width="10" customWidth="1"/>
    <col min="1031" max="1031" width="14" customWidth="1"/>
    <col min="1032" max="1032" width="3.33203125" customWidth="1"/>
    <col min="1033" max="1033" width="10.6640625" customWidth="1"/>
    <col min="1034" max="1034" width="15.33203125" customWidth="1"/>
    <col min="1035" max="1035" width="11.6640625" customWidth="1"/>
    <col min="1036" max="1036" width="11.109375" customWidth="1"/>
    <col min="1037" max="1037" width="30.88671875" customWidth="1"/>
    <col min="1038" max="1038" width="9.44140625" customWidth="1"/>
    <col min="1040" max="1040" width="6.109375" customWidth="1"/>
    <col min="1041" max="1041" width="4.44140625" customWidth="1"/>
    <col min="1042" max="1042" width="11.5546875" customWidth="1"/>
    <col min="1043" max="1043" width="11.6640625" customWidth="1"/>
    <col min="1044" max="1044" width="11.33203125" customWidth="1"/>
    <col min="1282" max="1282" width="1.6640625" customWidth="1"/>
    <col min="1283" max="1283" width="10.44140625" customWidth="1"/>
    <col min="1284" max="1284" width="55.109375" customWidth="1"/>
    <col min="1285" max="1285" width="4.6640625" customWidth="1"/>
    <col min="1286" max="1286" width="10" customWidth="1"/>
    <col min="1287" max="1287" width="14" customWidth="1"/>
    <col min="1288" max="1288" width="3.33203125" customWidth="1"/>
    <col min="1289" max="1289" width="10.6640625" customWidth="1"/>
    <col min="1290" max="1290" width="15.33203125" customWidth="1"/>
    <col min="1291" max="1291" width="11.6640625" customWidth="1"/>
    <col min="1292" max="1292" width="11.109375" customWidth="1"/>
    <col min="1293" max="1293" width="30.88671875" customWidth="1"/>
    <col min="1294" max="1294" width="9.44140625" customWidth="1"/>
    <col min="1296" max="1296" width="6.109375" customWidth="1"/>
    <col min="1297" max="1297" width="4.44140625" customWidth="1"/>
    <col min="1298" max="1298" width="11.5546875" customWidth="1"/>
    <col min="1299" max="1299" width="11.6640625" customWidth="1"/>
    <col min="1300" max="1300" width="11.33203125" customWidth="1"/>
    <col min="1538" max="1538" width="1.6640625" customWidth="1"/>
    <col min="1539" max="1539" width="10.44140625" customWidth="1"/>
    <col min="1540" max="1540" width="55.109375" customWidth="1"/>
    <col min="1541" max="1541" width="4.6640625" customWidth="1"/>
    <col min="1542" max="1542" width="10" customWidth="1"/>
    <col min="1543" max="1543" width="14" customWidth="1"/>
    <col min="1544" max="1544" width="3.33203125" customWidth="1"/>
    <col min="1545" max="1545" width="10.6640625" customWidth="1"/>
    <col min="1546" max="1546" width="15.33203125" customWidth="1"/>
    <col min="1547" max="1547" width="11.6640625" customWidth="1"/>
    <col min="1548" max="1548" width="11.109375" customWidth="1"/>
    <col min="1549" max="1549" width="30.88671875" customWidth="1"/>
    <col min="1550" max="1550" width="9.44140625" customWidth="1"/>
    <col min="1552" max="1552" width="6.109375" customWidth="1"/>
    <col min="1553" max="1553" width="4.44140625" customWidth="1"/>
    <col min="1554" max="1554" width="11.5546875" customWidth="1"/>
    <col min="1555" max="1555" width="11.6640625" customWidth="1"/>
    <col min="1556" max="1556" width="11.33203125" customWidth="1"/>
    <col min="1794" max="1794" width="1.6640625" customWidth="1"/>
    <col min="1795" max="1795" width="10.44140625" customWidth="1"/>
    <col min="1796" max="1796" width="55.109375" customWidth="1"/>
    <col min="1797" max="1797" width="4.6640625" customWidth="1"/>
    <col min="1798" max="1798" width="10" customWidth="1"/>
    <col min="1799" max="1799" width="14" customWidth="1"/>
    <col min="1800" max="1800" width="3.33203125" customWidth="1"/>
    <col min="1801" max="1801" width="10.6640625" customWidth="1"/>
    <col min="1802" max="1802" width="15.33203125" customWidth="1"/>
    <col min="1803" max="1803" width="11.6640625" customWidth="1"/>
    <col min="1804" max="1804" width="11.109375" customWidth="1"/>
    <col min="1805" max="1805" width="30.88671875" customWidth="1"/>
    <col min="1806" max="1806" width="9.44140625" customWidth="1"/>
    <col min="1808" max="1808" width="6.109375" customWidth="1"/>
    <col min="1809" max="1809" width="4.44140625" customWidth="1"/>
    <col min="1810" max="1810" width="11.5546875" customWidth="1"/>
    <col min="1811" max="1811" width="11.6640625" customWidth="1"/>
    <col min="1812" max="1812" width="11.33203125" customWidth="1"/>
    <col min="2050" max="2050" width="1.6640625" customWidth="1"/>
    <col min="2051" max="2051" width="10.44140625" customWidth="1"/>
    <col min="2052" max="2052" width="55.109375" customWidth="1"/>
    <col min="2053" max="2053" width="4.6640625" customWidth="1"/>
    <col min="2054" max="2054" width="10" customWidth="1"/>
    <col min="2055" max="2055" width="14" customWidth="1"/>
    <col min="2056" max="2056" width="3.33203125" customWidth="1"/>
    <col min="2057" max="2057" width="10.6640625" customWidth="1"/>
    <col min="2058" max="2058" width="15.33203125" customWidth="1"/>
    <col min="2059" max="2059" width="11.6640625" customWidth="1"/>
    <col min="2060" max="2060" width="11.109375" customWidth="1"/>
    <col min="2061" max="2061" width="30.88671875" customWidth="1"/>
    <col min="2062" max="2062" width="9.44140625" customWidth="1"/>
    <col min="2064" max="2064" width="6.109375" customWidth="1"/>
    <col min="2065" max="2065" width="4.44140625" customWidth="1"/>
    <col min="2066" max="2066" width="11.5546875" customWidth="1"/>
    <col min="2067" max="2067" width="11.6640625" customWidth="1"/>
    <col min="2068" max="2068" width="11.33203125" customWidth="1"/>
    <col min="2306" max="2306" width="1.6640625" customWidth="1"/>
    <col min="2307" max="2307" width="10.44140625" customWidth="1"/>
    <col min="2308" max="2308" width="55.109375" customWidth="1"/>
    <col min="2309" max="2309" width="4.6640625" customWidth="1"/>
    <col min="2310" max="2310" width="10" customWidth="1"/>
    <col min="2311" max="2311" width="14" customWidth="1"/>
    <col min="2312" max="2312" width="3.33203125" customWidth="1"/>
    <col min="2313" max="2313" width="10.6640625" customWidth="1"/>
    <col min="2314" max="2314" width="15.33203125" customWidth="1"/>
    <col min="2315" max="2315" width="11.6640625" customWidth="1"/>
    <col min="2316" max="2316" width="11.109375" customWidth="1"/>
    <col min="2317" max="2317" width="30.88671875" customWidth="1"/>
    <col min="2318" max="2318" width="9.44140625" customWidth="1"/>
    <col min="2320" max="2320" width="6.109375" customWidth="1"/>
    <col min="2321" max="2321" width="4.44140625" customWidth="1"/>
    <col min="2322" max="2322" width="11.5546875" customWidth="1"/>
    <col min="2323" max="2323" width="11.6640625" customWidth="1"/>
    <col min="2324" max="2324" width="11.33203125" customWidth="1"/>
    <col min="2562" max="2562" width="1.6640625" customWidth="1"/>
    <col min="2563" max="2563" width="10.44140625" customWidth="1"/>
    <col min="2564" max="2564" width="55.109375" customWidth="1"/>
    <col min="2565" max="2565" width="4.6640625" customWidth="1"/>
    <col min="2566" max="2566" width="10" customWidth="1"/>
    <col min="2567" max="2567" width="14" customWidth="1"/>
    <col min="2568" max="2568" width="3.33203125" customWidth="1"/>
    <col min="2569" max="2569" width="10.6640625" customWidth="1"/>
    <col min="2570" max="2570" width="15.33203125" customWidth="1"/>
    <col min="2571" max="2571" width="11.6640625" customWidth="1"/>
    <col min="2572" max="2572" width="11.109375" customWidth="1"/>
    <col min="2573" max="2573" width="30.88671875" customWidth="1"/>
    <col min="2574" max="2574" width="9.44140625" customWidth="1"/>
    <col min="2576" max="2576" width="6.109375" customWidth="1"/>
    <col min="2577" max="2577" width="4.44140625" customWidth="1"/>
    <col min="2578" max="2578" width="11.5546875" customWidth="1"/>
    <col min="2579" max="2579" width="11.6640625" customWidth="1"/>
    <col min="2580" max="2580" width="11.33203125" customWidth="1"/>
    <col min="2818" max="2818" width="1.6640625" customWidth="1"/>
    <col min="2819" max="2819" width="10.44140625" customWidth="1"/>
    <col min="2820" max="2820" width="55.109375" customWidth="1"/>
    <col min="2821" max="2821" width="4.6640625" customWidth="1"/>
    <col min="2822" max="2822" width="10" customWidth="1"/>
    <col min="2823" max="2823" width="14" customWidth="1"/>
    <col min="2824" max="2824" width="3.33203125" customWidth="1"/>
    <col min="2825" max="2825" width="10.6640625" customWidth="1"/>
    <col min="2826" max="2826" width="15.33203125" customWidth="1"/>
    <col min="2827" max="2827" width="11.6640625" customWidth="1"/>
    <col min="2828" max="2828" width="11.109375" customWidth="1"/>
    <col min="2829" max="2829" width="30.88671875" customWidth="1"/>
    <col min="2830" max="2830" width="9.44140625" customWidth="1"/>
    <col min="2832" max="2832" width="6.109375" customWidth="1"/>
    <col min="2833" max="2833" width="4.44140625" customWidth="1"/>
    <col min="2834" max="2834" width="11.5546875" customWidth="1"/>
    <col min="2835" max="2835" width="11.6640625" customWidth="1"/>
    <col min="2836" max="2836" width="11.33203125" customWidth="1"/>
    <col min="3074" max="3074" width="1.6640625" customWidth="1"/>
    <col min="3075" max="3075" width="10.44140625" customWidth="1"/>
    <col min="3076" max="3076" width="55.109375" customWidth="1"/>
    <col min="3077" max="3077" width="4.6640625" customWidth="1"/>
    <col min="3078" max="3078" width="10" customWidth="1"/>
    <col min="3079" max="3079" width="14" customWidth="1"/>
    <col min="3080" max="3080" width="3.33203125" customWidth="1"/>
    <col min="3081" max="3081" width="10.6640625" customWidth="1"/>
    <col min="3082" max="3082" width="15.33203125" customWidth="1"/>
    <col min="3083" max="3083" width="11.6640625" customWidth="1"/>
    <col min="3084" max="3084" width="11.109375" customWidth="1"/>
    <col min="3085" max="3085" width="30.88671875" customWidth="1"/>
    <col min="3086" max="3086" width="9.44140625" customWidth="1"/>
    <col min="3088" max="3088" width="6.109375" customWidth="1"/>
    <col min="3089" max="3089" width="4.44140625" customWidth="1"/>
    <col min="3090" max="3090" width="11.5546875" customWidth="1"/>
    <col min="3091" max="3091" width="11.6640625" customWidth="1"/>
    <col min="3092" max="3092" width="11.33203125" customWidth="1"/>
    <col min="3330" max="3330" width="1.6640625" customWidth="1"/>
    <col min="3331" max="3331" width="10.44140625" customWidth="1"/>
    <col min="3332" max="3332" width="55.109375" customWidth="1"/>
    <col min="3333" max="3333" width="4.6640625" customWidth="1"/>
    <col min="3334" max="3334" width="10" customWidth="1"/>
    <col min="3335" max="3335" width="14" customWidth="1"/>
    <col min="3336" max="3336" width="3.33203125" customWidth="1"/>
    <col min="3337" max="3337" width="10.6640625" customWidth="1"/>
    <col min="3338" max="3338" width="15.33203125" customWidth="1"/>
    <col min="3339" max="3339" width="11.6640625" customWidth="1"/>
    <col min="3340" max="3340" width="11.109375" customWidth="1"/>
    <col min="3341" max="3341" width="30.88671875" customWidth="1"/>
    <col min="3342" max="3342" width="9.44140625" customWidth="1"/>
    <col min="3344" max="3344" width="6.109375" customWidth="1"/>
    <col min="3345" max="3345" width="4.44140625" customWidth="1"/>
    <col min="3346" max="3346" width="11.5546875" customWidth="1"/>
    <col min="3347" max="3347" width="11.6640625" customWidth="1"/>
    <col min="3348" max="3348" width="11.33203125" customWidth="1"/>
    <col min="3586" max="3586" width="1.6640625" customWidth="1"/>
    <col min="3587" max="3587" width="10.44140625" customWidth="1"/>
    <col min="3588" max="3588" width="55.109375" customWidth="1"/>
    <col min="3589" max="3589" width="4.6640625" customWidth="1"/>
    <col min="3590" max="3590" width="10" customWidth="1"/>
    <col min="3591" max="3591" width="14" customWidth="1"/>
    <col min="3592" max="3592" width="3.33203125" customWidth="1"/>
    <col min="3593" max="3593" width="10.6640625" customWidth="1"/>
    <col min="3594" max="3594" width="15.33203125" customWidth="1"/>
    <col min="3595" max="3595" width="11.6640625" customWidth="1"/>
    <col min="3596" max="3596" width="11.109375" customWidth="1"/>
    <col min="3597" max="3597" width="30.88671875" customWidth="1"/>
    <col min="3598" max="3598" width="9.44140625" customWidth="1"/>
    <col min="3600" max="3600" width="6.109375" customWidth="1"/>
    <col min="3601" max="3601" width="4.44140625" customWidth="1"/>
    <col min="3602" max="3602" width="11.5546875" customWidth="1"/>
    <col min="3603" max="3603" width="11.6640625" customWidth="1"/>
    <col min="3604" max="3604" width="11.33203125" customWidth="1"/>
    <col min="3842" max="3842" width="1.6640625" customWidth="1"/>
    <col min="3843" max="3843" width="10.44140625" customWidth="1"/>
    <col min="3844" max="3844" width="55.109375" customWidth="1"/>
    <col min="3845" max="3845" width="4.6640625" customWidth="1"/>
    <col min="3846" max="3846" width="10" customWidth="1"/>
    <col min="3847" max="3847" width="14" customWidth="1"/>
    <col min="3848" max="3848" width="3.33203125" customWidth="1"/>
    <col min="3849" max="3849" width="10.6640625" customWidth="1"/>
    <col min="3850" max="3850" width="15.33203125" customWidth="1"/>
    <col min="3851" max="3851" width="11.6640625" customWidth="1"/>
    <col min="3852" max="3852" width="11.109375" customWidth="1"/>
    <col min="3853" max="3853" width="30.88671875" customWidth="1"/>
    <col min="3854" max="3854" width="9.44140625" customWidth="1"/>
    <col min="3856" max="3856" width="6.109375" customWidth="1"/>
    <col min="3857" max="3857" width="4.44140625" customWidth="1"/>
    <col min="3858" max="3858" width="11.5546875" customWidth="1"/>
    <col min="3859" max="3859" width="11.6640625" customWidth="1"/>
    <col min="3860" max="3860" width="11.33203125" customWidth="1"/>
    <col min="4098" max="4098" width="1.6640625" customWidth="1"/>
    <col min="4099" max="4099" width="10.44140625" customWidth="1"/>
    <col min="4100" max="4100" width="55.109375" customWidth="1"/>
    <col min="4101" max="4101" width="4.6640625" customWidth="1"/>
    <col min="4102" max="4102" width="10" customWidth="1"/>
    <col min="4103" max="4103" width="14" customWidth="1"/>
    <col min="4104" max="4104" width="3.33203125" customWidth="1"/>
    <col min="4105" max="4105" width="10.6640625" customWidth="1"/>
    <col min="4106" max="4106" width="15.33203125" customWidth="1"/>
    <col min="4107" max="4107" width="11.6640625" customWidth="1"/>
    <col min="4108" max="4108" width="11.109375" customWidth="1"/>
    <col min="4109" max="4109" width="30.88671875" customWidth="1"/>
    <col min="4110" max="4110" width="9.44140625" customWidth="1"/>
    <col min="4112" max="4112" width="6.109375" customWidth="1"/>
    <col min="4113" max="4113" width="4.44140625" customWidth="1"/>
    <col min="4114" max="4114" width="11.5546875" customWidth="1"/>
    <col min="4115" max="4115" width="11.6640625" customWidth="1"/>
    <col min="4116" max="4116" width="11.33203125" customWidth="1"/>
    <col min="4354" max="4354" width="1.6640625" customWidth="1"/>
    <col min="4355" max="4355" width="10.44140625" customWidth="1"/>
    <col min="4356" max="4356" width="55.109375" customWidth="1"/>
    <col min="4357" max="4357" width="4.6640625" customWidth="1"/>
    <col min="4358" max="4358" width="10" customWidth="1"/>
    <col min="4359" max="4359" width="14" customWidth="1"/>
    <col min="4360" max="4360" width="3.33203125" customWidth="1"/>
    <col min="4361" max="4361" width="10.6640625" customWidth="1"/>
    <col min="4362" max="4362" width="15.33203125" customWidth="1"/>
    <col min="4363" max="4363" width="11.6640625" customWidth="1"/>
    <col min="4364" max="4364" width="11.109375" customWidth="1"/>
    <col min="4365" max="4365" width="30.88671875" customWidth="1"/>
    <col min="4366" max="4366" width="9.44140625" customWidth="1"/>
    <col min="4368" max="4368" width="6.109375" customWidth="1"/>
    <col min="4369" max="4369" width="4.44140625" customWidth="1"/>
    <col min="4370" max="4370" width="11.5546875" customWidth="1"/>
    <col min="4371" max="4371" width="11.6640625" customWidth="1"/>
    <col min="4372" max="4372" width="11.33203125" customWidth="1"/>
    <col min="4610" max="4610" width="1.6640625" customWidth="1"/>
    <col min="4611" max="4611" width="10.44140625" customWidth="1"/>
    <col min="4612" max="4612" width="55.109375" customWidth="1"/>
    <col min="4613" max="4613" width="4.6640625" customWidth="1"/>
    <col min="4614" max="4614" width="10" customWidth="1"/>
    <col min="4615" max="4615" width="14" customWidth="1"/>
    <col min="4616" max="4616" width="3.33203125" customWidth="1"/>
    <col min="4617" max="4617" width="10.6640625" customWidth="1"/>
    <col min="4618" max="4618" width="15.33203125" customWidth="1"/>
    <col min="4619" max="4619" width="11.6640625" customWidth="1"/>
    <col min="4620" max="4620" width="11.109375" customWidth="1"/>
    <col min="4621" max="4621" width="30.88671875" customWidth="1"/>
    <col min="4622" max="4622" width="9.44140625" customWidth="1"/>
    <col min="4624" max="4624" width="6.109375" customWidth="1"/>
    <col min="4625" max="4625" width="4.44140625" customWidth="1"/>
    <col min="4626" max="4626" width="11.5546875" customWidth="1"/>
    <col min="4627" max="4627" width="11.6640625" customWidth="1"/>
    <col min="4628" max="4628" width="11.33203125" customWidth="1"/>
    <col min="4866" max="4866" width="1.6640625" customWidth="1"/>
    <col min="4867" max="4867" width="10.44140625" customWidth="1"/>
    <col min="4868" max="4868" width="55.109375" customWidth="1"/>
    <col min="4869" max="4869" width="4.6640625" customWidth="1"/>
    <col min="4870" max="4870" width="10" customWidth="1"/>
    <col min="4871" max="4871" width="14" customWidth="1"/>
    <col min="4872" max="4872" width="3.33203125" customWidth="1"/>
    <col min="4873" max="4873" width="10.6640625" customWidth="1"/>
    <col min="4874" max="4874" width="15.33203125" customWidth="1"/>
    <col min="4875" max="4875" width="11.6640625" customWidth="1"/>
    <col min="4876" max="4876" width="11.109375" customWidth="1"/>
    <col min="4877" max="4877" width="30.88671875" customWidth="1"/>
    <col min="4878" max="4878" width="9.44140625" customWidth="1"/>
    <col min="4880" max="4880" width="6.109375" customWidth="1"/>
    <col min="4881" max="4881" width="4.44140625" customWidth="1"/>
    <col min="4882" max="4882" width="11.5546875" customWidth="1"/>
    <col min="4883" max="4883" width="11.6640625" customWidth="1"/>
    <col min="4884" max="4884" width="11.33203125" customWidth="1"/>
    <col min="5122" max="5122" width="1.6640625" customWidth="1"/>
    <col min="5123" max="5123" width="10.44140625" customWidth="1"/>
    <col min="5124" max="5124" width="55.109375" customWidth="1"/>
    <col min="5125" max="5125" width="4.6640625" customWidth="1"/>
    <col min="5126" max="5126" width="10" customWidth="1"/>
    <col min="5127" max="5127" width="14" customWidth="1"/>
    <col min="5128" max="5128" width="3.33203125" customWidth="1"/>
    <col min="5129" max="5129" width="10.6640625" customWidth="1"/>
    <col min="5130" max="5130" width="15.33203125" customWidth="1"/>
    <col min="5131" max="5131" width="11.6640625" customWidth="1"/>
    <col min="5132" max="5132" width="11.109375" customWidth="1"/>
    <col min="5133" max="5133" width="30.88671875" customWidth="1"/>
    <col min="5134" max="5134" width="9.44140625" customWidth="1"/>
    <col min="5136" max="5136" width="6.109375" customWidth="1"/>
    <col min="5137" max="5137" width="4.44140625" customWidth="1"/>
    <col min="5138" max="5138" width="11.5546875" customWidth="1"/>
    <col min="5139" max="5139" width="11.6640625" customWidth="1"/>
    <col min="5140" max="5140" width="11.33203125" customWidth="1"/>
    <col min="5378" max="5378" width="1.6640625" customWidth="1"/>
    <col min="5379" max="5379" width="10.44140625" customWidth="1"/>
    <col min="5380" max="5380" width="55.109375" customWidth="1"/>
    <col min="5381" max="5381" width="4.6640625" customWidth="1"/>
    <col min="5382" max="5382" width="10" customWidth="1"/>
    <col min="5383" max="5383" width="14" customWidth="1"/>
    <col min="5384" max="5384" width="3.33203125" customWidth="1"/>
    <col min="5385" max="5385" width="10.6640625" customWidth="1"/>
    <col min="5386" max="5386" width="15.33203125" customWidth="1"/>
    <col min="5387" max="5387" width="11.6640625" customWidth="1"/>
    <col min="5388" max="5388" width="11.109375" customWidth="1"/>
    <col min="5389" max="5389" width="30.88671875" customWidth="1"/>
    <col min="5390" max="5390" width="9.44140625" customWidth="1"/>
    <col min="5392" max="5392" width="6.109375" customWidth="1"/>
    <col min="5393" max="5393" width="4.44140625" customWidth="1"/>
    <col min="5394" max="5394" width="11.5546875" customWidth="1"/>
    <col min="5395" max="5395" width="11.6640625" customWidth="1"/>
    <col min="5396" max="5396" width="11.33203125" customWidth="1"/>
    <col min="5634" max="5634" width="1.6640625" customWidth="1"/>
    <col min="5635" max="5635" width="10.44140625" customWidth="1"/>
    <col min="5636" max="5636" width="55.109375" customWidth="1"/>
    <col min="5637" max="5637" width="4.6640625" customWidth="1"/>
    <col min="5638" max="5638" width="10" customWidth="1"/>
    <col min="5639" max="5639" width="14" customWidth="1"/>
    <col min="5640" max="5640" width="3.33203125" customWidth="1"/>
    <col min="5641" max="5641" width="10.6640625" customWidth="1"/>
    <col min="5642" max="5642" width="15.33203125" customWidth="1"/>
    <col min="5643" max="5643" width="11.6640625" customWidth="1"/>
    <col min="5644" max="5644" width="11.109375" customWidth="1"/>
    <col min="5645" max="5645" width="30.88671875" customWidth="1"/>
    <col min="5646" max="5646" width="9.44140625" customWidth="1"/>
    <col min="5648" max="5648" width="6.109375" customWidth="1"/>
    <col min="5649" max="5649" width="4.44140625" customWidth="1"/>
    <col min="5650" max="5650" width="11.5546875" customWidth="1"/>
    <col min="5651" max="5651" width="11.6640625" customWidth="1"/>
    <col min="5652" max="5652" width="11.33203125" customWidth="1"/>
    <col min="5890" max="5890" width="1.6640625" customWidth="1"/>
    <col min="5891" max="5891" width="10.44140625" customWidth="1"/>
    <col min="5892" max="5892" width="55.109375" customWidth="1"/>
    <col min="5893" max="5893" width="4.6640625" customWidth="1"/>
    <col min="5894" max="5894" width="10" customWidth="1"/>
    <col min="5895" max="5895" width="14" customWidth="1"/>
    <col min="5896" max="5896" width="3.33203125" customWidth="1"/>
    <col min="5897" max="5897" width="10.6640625" customWidth="1"/>
    <col min="5898" max="5898" width="15.33203125" customWidth="1"/>
    <col min="5899" max="5899" width="11.6640625" customWidth="1"/>
    <col min="5900" max="5900" width="11.109375" customWidth="1"/>
    <col min="5901" max="5901" width="30.88671875" customWidth="1"/>
    <col min="5902" max="5902" width="9.44140625" customWidth="1"/>
    <col min="5904" max="5904" width="6.109375" customWidth="1"/>
    <col min="5905" max="5905" width="4.44140625" customWidth="1"/>
    <col min="5906" max="5906" width="11.5546875" customWidth="1"/>
    <col min="5907" max="5907" width="11.6640625" customWidth="1"/>
    <col min="5908" max="5908" width="11.33203125" customWidth="1"/>
    <col min="6146" max="6146" width="1.6640625" customWidth="1"/>
    <col min="6147" max="6147" width="10.44140625" customWidth="1"/>
    <col min="6148" max="6148" width="55.109375" customWidth="1"/>
    <col min="6149" max="6149" width="4.6640625" customWidth="1"/>
    <col min="6150" max="6150" width="10" customWidth="1"/>
    <col min="6151" max="6151" width="14" customWidth="1"/>
    <col min="6152" max="6152" width="3.33203125" customWidth="1"/>
    <col min="6153" max="6153" width="10.6640625" customWidth="1"/>
    <col min="6154" max="6154" width="15.33203125" customWidth="1"/>
    <col min="6155" max="6155" width="11.6640625" customWidth="1"/>
    <col min="6156" max="6156" width="11.109375" customWidth="1"/>
    <col min="6157" max="6157" width="30.88671875" customWidth="1"/>
    <col min="6158" max="6158" width="9.44140625" customWidth="1"/>
    <col min="6160" max="6160" width="6.109375" customWidth="1"/>
    <col min="6161" max="6161" width="4.44140625" customWidth="1"/>
    <col min="6162" max="6162" width="11.5546875" customWidth="1"/>
    <col min="6163" max="6163" width="11.6640625" customWidth="1"/>
    <col min="6164" max="6164" width="11.33203125" customWidth="1"/>
    <col min="6402" max="6402" width="1.6640625" customWidth="1"/>
    <col min="6403" max="6403" width="10.44140625" customWidth="1"/>
    <col min="6404" max="6404" width="55.109375" customWidth="1"/>
    <col min="6405" max="6405" width="4.6640625" customWidth="1"/>
    <col min="6406" max="6406" width="10" customWidth="1"/>
    <col min="6407" max="6407" width="14" customWidth="1"/>
    <col min="6408" max="6408" width="3.33203125" customWidth="1"/>
    <col min="6409" max="6409" width="10.6640625" customWidth="1"/>
    <col min="6410" max="6410" width="15.33203125" customWidth="1"/>
    <col min="6411" max="6411" width="11.6640625" customWidth="1"/>
    <col min="6412" max="6412" width="11.109375" customWidth="1"/>
    <col min="6413" max="6413" width="30.88671875" customWidth="1"/>
    <col min="6414" max="6414" width="9.44140625" customWidth="1"/>
    <col min="6416" max="6416" width="6.109375" customWidth="1"/>
    <col min="6417" max="6417" width="4.44140625" customWidth="1"/>
    <col min="6418" max="6418" width="11.5546875" customWidth="1"/>
    <col min="6419" max="6419" width="11.6640625" customWidth="1"/>
    <col min="6420" max="6420" width="11.33203125" customWidth="1"/>
    <col min="6658" max="6658" width="1.6640625" customWidth="1"/>
    <col min="6659" max="6659" width="10.44140625" customWidth="1"/>
    <col min="6660" max="6660" width="55.109375" customWidth="1"/>
    <col min="6661" max="6661" width="4.6640625" customWidth="1"/>
    <col min="6662" max="6662" width="10" customWidth="1"/>
    <col min="6663" max="6663" width="14" customWidth="1"/>
    <col min="6664" max="6664" width="3.33203125" customWidth="1"/>
    <col min="6665" max="6665" width="10.6640625" customWidth="1"/>
    <col min="6666" max="6666" width="15.33203125" customWidth="1"/>
    <col min="6667" max="6667" width="11.6640625" customWidth="1"/>
    <col min="6668" max="6668" width="11.109375" customWidth="1"/>
    <col min="6669" max="6669" width="30.88671875" customWidth="1"/>
    <col min="6670" max="6670" width="9.44140625" customWidth="1"/>
    <col min="6672" max="6672" width="6.109375" customWidth="1"/>
    <col min="6673" max="6673" width="4.44140625" customWidth="1"/>
    <col min="6674" max="6674" width="11.5546875" customWidth="1"/>
    <col min="6675" max="6675" width="11.6640625" customWidth="1"/>
    <col min="6676" max="6676" width="11.33203125" customWidth="1"/>
    <col min="6914" max="6914" width="1.6640625" customWidth="1"/>
    <col min="6915" max="6915" width="10.44140625" customWidth="1"/>
    <col min="6916" max="6916" width="55.109375" customWidth="1"/>
    <col min="6917" max="6917" width="4.6640625" customWidth="1"/>
    <col min="6918" max="6918" width="10" customWidth="1"/>
    <col min="6919" max="6919" width="14" customWidth="1"/>
    <col min="6920" max="6920" width="3.33203125" customWidth="1"/>
    <col min="6921" max="6921" width="10.6640625" customWidth="1"/>
    <col min="6922" max="6922" width="15.33203125" customWidth="1"/>
    <col min="6923" max="6923" width="11.6640625" customWidth="1"/>
    <col min="6924" max="6924" width="11.109375" customWidth="1"/>
    <col min="6925" max="6925" width="30.88671875" customWidth="1"/>
    <col min="6926" max="6926" width="9.44140625" customWidth="1"/>
    <col min="6928" max="6928" width="6.109375" customWidth="1"/>
    <col min="6929" max="6929" width="4.44140625" customWidth="1"/>
    <col min="6930" max="6930" width="11.5546875" customWidth="1"/>
    <col min="6931" max="6931" width="11.6640625" customWidth="1"/>
    <col min="6932" max="6932" width="11.33203125" customWidth="1"/>
    <col min="7170" max="7170" width="1.6640625" customWidth="1"/>
    <col min="7171" max="7171" width="10.44140625" customWidth="1"/>
    <col min="7172" max="7172" width="55.109375" customWidth="1"/>
    <col min="7173" max="7173" width="4.6640625" customWidth="1"/>
    <col min="7174" max="7174" width="10" customWidth="1"/>
    <col min="7175" max="7175" width="14" customWidth="1"/>
    <col min="7176" max="7176" width="3.33203125" customWidth="1"/>
    <col min="7177" max="7177" width="10.6640625" customWidth="1"/>
    <col min="7178" max="7178" width="15.33203125" customWidth="1"/>
    <col min="7179" max="7179" width="11.6640625" customWidth="1"/>
    <col min="7180" max="7180" width="11.109375" customWidth="1"/>
    <col min="7181" max="7181" width="30.88671875" customWidth="1"/>
    <col min="7182" max="7182" width="9.44140625" customWidth="1"/>
    <col min="7184" max="7184" width="6.109375" customWidth="1"/>
    <col min="7185" max="7185" width="4.44140625" customWidth="1"/>
    <col min="7186" max="7186" width="11.5546875" customWidth="1"/>
    <col min="7187" max="7187" width="11.6640625" customWidth="1"/>
    <col min="7188" max="7188" width="11.33203125" customWidth="1"/>
    <col min="7426" max="7426" width="1.6640625" customWidth="1"/>
    <col min="7427" max="7427" width="10.44140625" customWidth="1"/>
    <col min="7428" max="7428" width="55.109375" customWidth="1"/>
    <col min="7429" max="7429" width="4.6640625" customWidth="1"/>
    <col min="7430" max="7430" width="10" customWidth="1"/>
    <col min="7431" max="7431" width="14" customWidth="1"/>
    <col min="7432" max="7432" width="3.33203125" customWidth="1"/>
    <col min="7433" max="7433" width="10.6640625" customWidth="1"/>
    <col min="7434" max="7434" width="15.33203125" customWidth="1"/>
    <col min="7435" max="7435" width="11.6640625" customWidth="1"/>
    <col min="7436" max="7436" width="11.109375" customWidth="1"/>
    <col min="7437" max="7437" width="30.88671875" customWidth="1"/>
    <col min="7438" max="7438" width="9.44140625" customWidth="1"/>
    <col min="7440" max="7440" width="6.109375" customWidth="1"/>
    <col min="7441" max="7441" width="4.44140625" customWidth="1"/>
    <col min="7442" max="7442" width="11.5546875" customWidth="1"/>
    <col min="7443" max="7443" width="11.6640625" customWidth="1"/>
    <col min="7444" max="7444" width="11.33203125" customWidth="1"/>
    <col min="7682" max="7682" width="1.6640625" customWidth="1"/>
    <col min="7683" max="7683" width="10.44140625" customWidth="1"/>
    <col min="7684" max="7684" width="55.109375" customWidth="1"/>
    <col min="7685" max="7685" width="4.6640625" customWidth="1"/>
    <col min="7686" max="7686" width="10" customWidth="1"/>
    <col min="7687" max="7687" width="14" customWidth="1"/>
    <col min="7688" max="7688" width="3.33203125" customWidth="1"/>
    <col min="7689" max="7689" width="10.6640625" customWidth="1"/>
    <col min="7690" max="7690" width="15.33203125" customWidth="1"/>
    <col min="7691" max="7691" width="11.6640625" customWidth="1"/>
    <col min="7692" max="7692" width="11.109375" customWidth="1"/>
    <col min="7693" max="7693" width="30.88671875" customWidth="1"/>
    <col min="7694" max="7694" width="9.44140625" customWidth="1"/>
    <col min="7696" max="7696" width="6.109375" customWidth="1"/>
    <col min="7697" max="7697" width="4.44140625" customWidth="1"/>
    <col min="7698" max="7698" width="11.5546875" customWidth="1"/>
    <col min="7699" max="7699" width="11.6640625" customWidth="1"/>
    <col min="7700" max="7700" width="11.33203125" customWidth="1"/>
    <col min="7938" max="7938" width="1.6640625" customWidth="1"/>
    <col min="7939" max="7939" width="10.44140625" customWidth="1"/>
    <col min="7940" max="7940" width="55.109375" customWidth="1"/>
    <col min="7941" max="7941" width="4.6640625" customWidth="1"/>
    <col min="7942" max="7942" width="10" customWidth="1"/>
    <col min="7943" max="7943" width="14" customWidth="1"/>
    <col min="7944" max="7944" width="3.33203125" customWidth="1"/>
    <col min="7945" max="7945" width="10.6640625" customWidth="1"/>
    <col min="7946" max="7946" width="15.33203125" customWidth="1"/>
    <col min="7947" max="7947" width="11.6640625" customWidth="1"/>
    <col min="7948" max="7948" width="11.109375" customWidth="1"/>
    <col min="7949" max="7949" width="30.88671875" customWidth="1"/>
    <col min="7950" max="7950" width="9.44140625" customWidth="1"/>
    <col min="7952" max="7952" width="6.109375" customWidth="1"/>
    <col min="7953" max="7953" width="4.44140625" customWidth="1"/>
    <col min="7954" max="7954" width="11.5546875" customWidth="1"/>
    <col min="7955" max="7955" width="11.6640625" customWidth="1"/>
    <col min="7956" max="7956" width="11.33203125" customWidth="1"/>
    <col min="8194" max="8194" width="1.6640625" customWidth="1"/>
    <col min="8195" max="8195" width="10.44140625" customWidth="1"/>
    <col min="8196" max="8196" width="55.109375" customWidth="1"/>
    <col min="8197" max="8197" width="4.6640625" customWidth="1"/>
    <col min="8198" max="8198" width="10" customWidth="1"/>
    <col min="8199" max="8199" width="14" customWidth="1"/>
    <col min="8200" max="8200" width="3.33203125" customWidth="1"/>
    <col min="8201" max="8201" width="10.6640625" customWidth="1"/>
    <col min="8202" max="8202" width="15.33203125" customWidth="1"/>
    <col min="8203" max="8203" width="11.6640625" customWidth="1"/>
    <col min="8204" max="8204" width="11.109375" customWidth="1"/>
    <col min="8205" max="8205" width="30.88671875" customWidth="1"/>
    <col min="8206" max="8206" width="9.44140625" customWidth="1"/>
    <col min="8208" max="8208" width="6.109375" customWidth="1"/>
    <col min="8209" max="8209" width="4.44140625" customWidth="1"/>
    <col min="8210" max="8210" width="11.5546875" customWidth="1"/>
    <col min="8211" max="8211" width="11.6640625" customWidth="1"/>
    <col min="8212" max="8212" width="11.33203125" customWidth="1"/>
    <col min="8450" max="8450" width="1.6640625" customWidth="1"/>
    <col min="8451" max="8451" width="10.44140625" customWidth="1"/>
    <col min="8452" max="8452" width="55.109375" customWidth="1"/>
    <col min="8453" max="8453" width="4.6640625" customWidth="1"/>
    <col min="8454" max="8454" width="10" customWidth="1"/>
    <col min="8455" max="8455" width="14" customWidth="1"/>
    <col min="8456" max="8456" width="3.33203125" customWidth="1"/>
    <col min="8457" max="8457" width="10.6640625" customWidth="1"/>
    <col min="8458" max="8458" width="15.33203125" customWidth="1"/>
    <col min="8459" max="8459" width="11.6640625" customWidth="1"/>
    <col min="8460" max="8460" width="11.109375" customWidth="1"/>
    <col min="8461" max="8461" width="30.88671875" customWidth="1"/>
    <col min="8462" max="8462" width="9.44140625" customWidth="1"/>
    <col min="8464" max="8464" width="6.109375" customWidth="1"/>
    <col min="8465" max="8465" width="4.44140625" customWidth="1"/>
    <col min="8466" max="8466" width="11.5546875" customWidth="1"/>
    <col min="8467" max="8467" width="11.6640625" customWidth="1"/>
    <col min="8468" max="8468" width="11.33203125" customWidth="1"/>
    <col min="8706" max="8706" width="1.6640625" customWidth="1"/>
    <col min="8707" max="8707" width="10.44140625" customWidth="1"/>
    <col min="8708" max="8708" width="55.109375" customWidth="1"/>
    <col min="8709" max="8709" width="4.6640625" customWidth="1"/>
    <col min="8710" max="8710" width="10" customWidth="1"/>
    <col min="8711" max="8711" width="14" customWidth="1"/>
    <col min="8712" max="8712" width="3.33203125" customWidth="1"/>
    <col min="8713" max="8713" width="10.6640625" customWidth="1"/>
    <col min="8714" max="8714" width="15.33203125" customWidth="1"/>
    <col min="8715" max="8715" width="11.6640625" customWidth="1"/>
    <col min="8716" max="8716" width="11.109375" customWidth="1"/>
    <col min="8717" max="8717" width="30.88671875" customWidth="1"/>
    <col min="8718" max="8718" width="9.44140625" customWidth="1"/>
    <col min="8720" max="8720" width="6.109375" customWidth="1"/>
    <col min="8721" max="8721" width="4.44140625" customWidth="1"/>
    <col min="8722" max="8722" width="11.5546875" customWidth="1"/>
    <col min="8723" max="8723" width="11.6640625" customWidth="1"/>
    <col min="8724" max="8724" width="11.33203125" customWidth="1"/>
    <col min="8962" max="8962" width="1.6640625" customWidth="1"/>
    <col min="8963" max="8963" width="10.44140625" customWidth="1"/>
    <col min="8964" max="8964" width="55.109375" customWidth="1"/>
    <col min="8965" max="8965" width="4.6640625" customWidth="1"/>
    <col min="8966" max="8966" width="10" customWidth="1"/>
    <col min="8967" max="8967" width="14" customWidth="1"/>
    <col min="8968" max="8968" width="3.33203125" customWidth="1"/>
    <col min="8969" max="8969" width="10.6640625" customWidth="1"/>
    <col min="8970" max="8970" width="15.33203125" customWidth="1"/>
    <col min="8971" max="8971" width="11.6640625" customWidth="1"/>
    <col min="8972" max="8972" width="11.109375" customWidth="1"/>
    <col min="8973" max="8973" width="30.88671875" customWidth="1"/>
    <col min="8974" max="8974" width="9.44140625" customWidth="1"/>
    <col min="8976" max="8976" width="6.109375" customWidth="1"/>
    <col min="8977" max="8977" width="4.44140625" customWidth="1"/>
    <col min="8978" max="8978" width="11.5546875" customWidth="1"/>
    <col min="8979" max="8979" width="11.6640625" customWidth="1"/>
    <col min="8980" max="8980" width="11.33203125" customWidth="1"/>
    <col min="9218" max="9218" width="1.6640625" customWidth="1"/>
    <col min="9219" max="9219" width="10.44140625" customWidth="1"/>
    <col min="9220" max="9220" width="55.109375" customWidth="1"/>
    <col min="9221" max="9221" width="4.6640625" customWidth="1"/>
    <col min="9222" max="9222" width="10" customWidth="1"/>
    <col min="9223" max="9223" width="14" customWidth="1"/>
    <col min="9224" max="9224" width="3.33203125" customWidth="1"/>
    <col min="9225" max="9225" width="10.6640625" customWidth="1"/>
    <col min="9226" max="9226" width="15.33203125" customWidth="1"/>
    <col min="9227" max="9227" width="11.6640625" customWidth="1"/>
    <col min="9228" max="9228" width="11.109375" customWidth="1"/>
    <col min="9229" max="9229" width="30.88671875" customWidth="1"/>
    <col min="9230" max="9230" width="9.44140625" customWidth="1"/>
    <col min="9232" max="9232" width="6.109375" customWidth="1"/>
    <col min="9233" max="9233" width="4.44140625" customWidth="1"/>
    <col min="9234" max="9234" width="11.5546875" customWidth="1"/>
    <col min="9235" max="9235" width="11.6640625" customWidth="1"/>
    <col min="9236" max="9236" width="11.33203125" customWidth="1"/>
    <col min="9474" max="9474" width="1.6640625" customWidth="1"/>
    <col min="9475" max="9475" width="10.44140625" customWidth="1"/>
    <col min="9476" max="9476" width="55.109375" customWidth="1"/>
    <col min="9477" max="9477" width="4.6640625" customWidth="1"/>
    <col min="9478" max="9478" width="10" customWidth="1"/>
    <col min="9479" max="9479" width="14" customWidth="1"/>
    <col min="9480" max="9480" width="3.33203125" customWidth="1"/>
    <col min="9481" max="9481" width="10.6640625" customWidth="1"/>
    <col min="9482" max="9482" width="15.33203125" customWidth="1"/>
    <col min="9483" max="9483" width="11.6640625" customWidth="1"/>
    <col min="9484" max="9484" width="11.109375" customWidth="1"/>
    <col min="9485" max="9485" width="30.88671875" customWidth="1"/>
    <col min="9486" max="9486" width="9.44140625" customWidth="1"/>
    <col min="9488" max="9488" width="6.109375" customWidth="1"/>
    <col min="9489" max="9489" width="4.44140625" customWidth="1"/>
    <col min="9490" max="9490" width="11.5546875" customWidth="1"/>
    <col min="9491" max="9491" width="11.6640625" customWidth="1"/>
    <col min="9492" max="9492" width="11.33203125" customWidth="1"/>
    <col min="9730" max="9730" width="1.6640625" customWidth="1"/>
    <col min="9731" max="9731" width="10.44140625" customWidth="1"/>
    <col min="9732" max="9732" width="55.109375" customWidth="1"/>
    <col min="9733" max="9733" width="4.6640625" customWidth="1"/>
    <col min="9734" max="9734" width="10" customWidth="1"/>
    <col min="9735" max="9735" width="14" customWidth="1"/>
    <col min="9736" max="9736" width="3.33203125" customWidth="1"/>
    <col min="9737" max="9737" width="10.6640625" customWidth="1"/>
    <col min="9738" max="9738" width="15.33203125" customWidth="1"/>
    <col min="9739" max="9739" width="11.6640625" customWidth="1"/>
    <col min="9740" max="9740" width="11.109375" customWidth="1"/>
    <col min="9741" max="9741" width="30.88671875" customWidth="1"/>
    <col min="9742" max="9742" width="9.44140625" customWidth="1"/>
    <col min="9744" max="9744" width="6.109375" customWidth="1"/>
    <col min="9745" max="9745" width="4.44140625" customWidth="1"/>
    <col min="9746" max="9746" width="11.5546875" customWidth="1"/>
    <col min="9747" max="9747" width="11.6640625" customWidth="1"/>
    <col min="9748" max="9748" width="11.33203125" customWidth="1"/>
    <col min="9986" max="9986" width="1.6640625" customWidth="1"/>
    <col min="9987" max="9987" width="10.44140625" customWidth="1"/>
    <col min="9988" max="9988" width="55.109375" customWidth="1"/>
    <col min="9989" max="9989" width="4.6640625" customWidth="1"/>
    <col min="9990" max="9990" width="10" customWidth="1"/>
    <col min="9991" max="9991" width="14" customWidth="1"/>
    <col min="9992" max="9992" width="3.33203125" customWidth="1"/>
    <col min="9993" max="9993" width="10.6640625" customWidth="1"/>
    <col min="9994" max="9994" width="15.33203125" customWidth="1"/>
    <col min="9995" max="9995" width="11.6640625" customWidth="1"/>
    <col min="9996" max="9996" width="11.109375" customWidth="1"/>
    <col min="9997" max="9997" width="30.88671875" customWidth="1"/>
    <col min="9998" max="9998" width="9.44140625" customWidth="1"/>
    <col min="10000" max="10000" width="6.109375" customWidth="1"/>
    <col min="10001" max="10001" width="4.44140625" customWidth="1"/>
    <col min="10002" max="10002" width="11.5546875" customWidth="1"/>
    <col min="10003" max="10003" width="11.6640625" customWidth="1"/>
    <col min="10004" max="10004" width="11.33203125" customWidth="1"/>
    <col min="10242" max="10242" width="1.6640625" customWidth="1"/>
    <col min="10243" max="10243" width="10.44140625" customWidth="1"/>
    <col min="10244" max="10244" width="55.109375" customWidth="1"/>
    <col min="10245" max="10245" width="4.6640625" customWidth="1"/>
    <col min="10246" max="10246" width="10" customWidth="1"/>
    <col min="10247" max="10247" width="14" customWidth="1"/>
    <col min="10248" max="10248" width="3.33203125" customWidth="1"/>
    <col min="10249" max="10249" width="10.6640625" customWidth="1"/>
    <col min="10250" max="10250" width="15.33203125" customWidth="1"/>
    <col min="10251" max="10251" width="11.6640625" customWidth="1"/>
    <col min="10252" max="10252" width="11.109375" customWidth="1"/>
    <col min="10253" max="10253" width="30.88671875" customWidth="1"/>
    <col min="10254" max="10254" width="9.44140625" customWidth="1"/>
    <col min="10256" max="10256" width="6.109375" customWidth="1"/>
    <col min="10257" max="10257" width="4.44140625" customWidth="1"/>
    <col min="10258" max="10258" width="11.5546875" customWidth="1"/>
    <col min="10259" max="10259" width="11.6640625" customWidth="1"/>
    <col min="10260" max="10260" width="11.33203125" customWidth="1"/>
    <col min="10498" max="10498" width="1.6640625" customWidth="1"/>
    <col min="10499" max="10499" width="10.44140625" customWidth="1"/>
    <col min="10500" max="10500" width="55.109375" customWidth="1"/>
    <col min="10501" max="10501" width="4.6640625" customWidth="1"/>
    <col min="10502" max="10502" width="10" customWidth="1"/>
    <col min="10503" max="10503" width="14" customWidth="1"/>
    <col min="10504" max="10504" width="3.33203125" customWidth="1"/>
    <col min="10505" max="10505" width="10.6640625" customWidth="1"/>
    <col min="10506" max="10506" width="15.33203125" customWidth="1"/>
    <col min="10507" max="10507" width="11.6640625" customWidth="1"/>
    <col min="10508" max="10508" width="11.109375" customWidth="1"/>
    <col min="10509" max="10509" width="30.88671875" customWidth="1"/>
    <col min="10510" max="10510" width="9.44140625" customWidth="1"/>
    <col min="10512" max="10512" width="6.109375" customWidth="1"/>
    <col min="10513" max="10513" width="4.44140625" customWidth="1"/>
    <col min="10514" max="10514" width="11.5546875" customWidth="1"/>
    <col min="10515" max="10515" width="11.6640625" customWidth="1"/>
    <col min="10516" max="10516" width="11.33203125" customWidth="1"/>
    <col min="10754" max="10754" width="1.6640625" customWidth="1"/>
    <col min="10755" max="10755" width="10.44140625" customWidth="1"/>
    <col min="10756" max="10756" width="55.109375" customWidth="1"/>
    <col min="10757" max="10757" width="4.6640625" customWidth="1"/>
    <col min="10758" max="10758" width="10" customWidth="1"/>
    <col min="10759" max="10759" width="14" customWidth="1"/>
    <col min="10760" max="10760" width="3.33203125" customWidth="1"/>
    <col min="10761" max="10761" width="10.6640625" customWidth="1"/>
    <col min="10762" max="10762" width="15.33203125" customWidth="1"/>
    <col min="10763" max="10763" width="11.6640625" customWidth="1"/>
    <col min="10764" max="10764" width="11.109375" customWidth="1"/>
    <col min="10765" max="10765" width="30.88671875" customWidth="1"/>
    <col min="10766" max="10766" width="9.44140625" customWidth="1"/>
    <col min="10768" max="10768" width="6.109375" customWidth="1"/>
    <col min="10769" max="10769" width="4.44140625" customWidth="1"/>
    <col min="10770" max="10770" width="11.5546875" customWidth="1"/>
    <col min="10771" max="10771" width="11.6640625" customWidth="1"/>
    <col min="10772" max="10772" width="11.33203125" customWidth="1"/>
    <col min="11010" max="11010" width="1.6640625" customWidth="1"/>
    <col min="11011" max="11011" width="10.44140625" customWidth="1"/>
    <col min="11012" max="11012" width="55.109375" customWidth="1"/>
    <col min="11013" max="11013" width="4.6640625" customWidth="1"/>
    <col min="11014" max="11014" width="10" customWidth="1"/>
    <col min="11015" max="11015" width="14" customWidth="1"/>
    <col min="11016" max="11016" width="3.33203125" customWidth="1"/>
    <col min="11017" max="11017" width="10.6640625" customWidth="1"/>
    <col min="11018" max="11018" width="15.33203125" customWidth="1"/>
    <col min="11019" max="11019" width="11.6640625" customWidth="1"/>
    <col min="11020" max="11020" width="11.109375" customWidth="1"/>
    <col min="11021" max="11021" width="30.88671875" customWidth="1"/>
    <col min="11022" max="11022" width="9.44140625" customWidth="1"/>
    <col min="11024" max="11024" width="6.109375" customWidth="1"/>
    <col min="11025" max="11025" width="4.44140625" customWidth="1"/>
    <col min="11026" max="11026" width="11.5546875" customWidth="1"/>
    <col min="11027" max="11027" width="11.6640625" customWidth="1"/>
    <col min="11028" max="11028" width="11.33203125" customWidth="1"/>
    <col min="11266" max="11266" width="1.6640625" customWidth="1"/>
    <col min="11267" max="11267" width="10.44140625" customWidth="1"/>
    <col min="11268" max="11268" width="55.109375" customWidth="1"/>
    <col min="11269" max="11269" width="4.6640625" customWidth="1"/>
    <col min="11270" max="11270" width="10" customWidth="1"/>
    <col min="11271" max="11271" width="14" customWidth="1"/>
    <col min="11272" max="11272" width="3.33203125" customWidth="1"/>
    <col min="11273" max="11273" width="10.6640625" customWidth="1"/>
    <col min="11274" max="11274" width="15.33203125" customWidth="1"/>
    <col min="11275" max="11275" width="11.6640625" customWidth="1"/>
    <col min="11276" max="11276" width="11.109375" customWidth="1"/>
    <col min="11277" max="11277" width="30.88671875" customWidth="1"/>
    <col min="11278" max="11278" width="9.44140625" customWidth="1"/>
    <col min="11280" max="11280" width="6.109375" customWidth="1"/>
    <col min="11281" max="11281" width="4.44140625" customWidth="1"/>
    <col min="11282" max="11282" width="11.5546875" customWidth="1"/>
    <col min="11283" max="11283" width="11.6640625" customWidth="1"/>
    <col min="11284" max="11284" width="11.33203125" customWidth="1"/>
    <col min="11522" max="11522" width="1.6640625" customWidth="1"/>
    <col min="11523" max="11523" width="10.44140625" customWidth="1"/>
    <col min="11524" max="11524" width="55.109375" customWidth="1"/>
    <col min="11525" max="11525" width="4.6640625" customWidth="1"/>
    <col min="11526" max="11526" width="10" customWidth="1"/>
    <col min="11527" max="11527" width="14" customWidth="1"/>
    <col min="11528" max="11528" width="3.33203125" customWidth="1"/>
    <col min="11529" max="11529" width="10.6640625" customWidth="1"/>
    <col min="11530" max="11530" width="15.33203125" customWidth="1"/>
    <col min="11531" max="11531" width="11.6640625" customWidth="1"/>
    <col min="11532" max="11532" width="11.109375" customWidth="1"/>
    <col min="11533" max="11533" width="30.88671875" customWidth="1"/>
    <col min="11534" max="11534" width="9.44140625" customWidth="1"/>
    <col min="11536" max="11536" width="6.109375" customWidth="1"/>
    <col min="11537" max="11537" width="4.44140625" customWidth="1"/>
    <col min="11538" max="11538" width="11.5546875" customWidth="1"/>
    <col min="11539" max="11539" width="11.6640625" customWidth="1"/>
    <col min="11540" max="11540" width="11.33203125" customWidth="1"/>
    <col min="11778" max="11778" width="1.6640625" customWidth="1"/>
    <col min="11779" max="11779" width="10.44140625" customWidth="1"/>
    <col min="11780" max="11780" width="55.109375" customWidth="1"/>
    <col min="11781" max="11781" width="4.6640625" customWidth="1"/>
    <col min="11782" max="11782" width="10" customWidth="1"/>
    <col min="11783" max="11783" width="14" customWidth="1"/>
    <col min="11784" max="11784" width="3.33203125" customWidth="1"/>
    <col min="11785" max="11785" width="10.6640625" customWidth="1"/>
    <col min="11786" max="11786" width="15.33203125" customWidth="1"/>
    <col min="11787" max="11787" width="11.6640625" customWidth="1"/>
    <col min="11788" max="11788" width="11.109375" customWidth="1"/>
    <col min="11789" max="11789" width="30.88671875" customWidth="1"/>
    <col min="11790" max="11790" width="9.44140625" customWidth="1"/>
    <col min="11792" max="11792" width="6.109375" customWidth="1"/>
    <col min="11793" max="11793" width="4.44140625" customWidth="1"/>
    <col min="11794" max="11794" width="11.5546875" customWidth="1"/>
    <col min="11795" max="11795" width="11.6640625" customWidth="1"/>
    <col min="11796" max="11796" width="11.33203125" customWidth="1"/>
    <col min="12034" max="12034" width="1.6640625" customWidth="1"/>
    <col min="12035" max="12035" width="10.44140625" customWidth="1"/>
    <col min="12036" max="12036" width="55.109375" customWidth="1"/>
    <col min="12037" max="12037" width="4.6640625" customWidth="1"/>
    <col min="12038" max="12038" width="10" customWidth="1"/>
    <col min="12039" max="12039" width="14" customWidth="1"/>
    <col min="12040" max="12040" width="3.33203125" customWidth="1"/>
    <col min="12041" max="12041" width="10.6640625" customWidth="1"/>
    <col min="12042" max="12042" width="15.33203125" customWidth="1"/>
    <col min="12043" max="12043" width="11.6640625" customWidth="1"/>
    <col min="12044" max="12044" width="11.109375" customWidth="1"/>
    <col min="12045" max="12045" width="30.88671875" customWidth="1"/>
    <col min="12046" max="12046" width="9.44140625" customWidth="1"/>
    <col min="12048" max="12048" width="6.109375" customWidth="1"/>
    <col min="12049" max="12049" width="4.44140625" customWidth="1"/>
    <col min="12050" max="12050" width="11.5546875" customWidth="1"/>
    <col min="12051" max="12051" width="11.6640625" customWidth="1"/>
    <col min="12052" max="12052" width="11.33203125" customWidth="1"/>
    <col min="12290" max="12290" width="1.6640625" customWidth="1"/>
    <col min="12291" max="12291" width="10.44140625" customWidth="1"/>
    <col min="12292" max="12292" width="55.109375" customWidth="1"/>
    <col min="12293" max="12293" width="4.6640625" customWidth="1"/>
    <col min="12294" max="12294" width="10" customWidth="1"/>
    <col min="12295" max="12295" width="14" customWidth="1"/>
    <col min="12296" max="12296" width="3.33203125" customWidth="1"/>
    <col min="12297" max="12297" width="10.6640625" customWidth="1"/>
    <col min="12298" max="12298" width="15.33203125" customWidth="1"/>
    <col min="12299" max="12299" width="11.6640625" customWidth="1"/>
    <col min="12300" max="12300" width="11.109375" customWidth="1"/>
    <col min="12301" max="12301" width="30.88671875" customWidth="1"/>
    <col min="12302" max="12302" width="9.44140625" customWidth="1"/>
    <col min="12304" max="12304" width="6.109375" customWidth="1"/>
    <col min="12305" max="12305" width="4.44140625" customWidth="1"/>
    <col min="12306" max="12306" width="11.5546875" customWidth="1"/>
    <col min="12307" max="12307" width="11.6640625" customWidth="1"/>
    <col min="12308" max="12308" width="11.33203125" customWidth="1"/>
    <col min="12546" max="12546" width="1.6640625" customWidth="1"/>
    <col min="12547" max="12547" width="10.44140625" customWidth="1"/>
    <col min="12548" max="12548" width="55.109375" customWidth="1"/>
    <col min="12549" max="12549" width="4.6640625" customWidth="1"/>
    <col min="12550" max="12550" width="10" customWidth="1"/>
    <col min="12551" max="12551" width="14" customWidth="1"/>
    <col min="12552" max="12552" width="3.33203125" customWidth="1"/>
    <col min="12553" max="12553" width="10.6640625" customWidth="1"/>
    <col min="12554" max="12554" width="15.33203125" customWidth="1"/>
    <col min="12555" max="12555" width="11.6640625" customWidth="1"/>
    <col min="12556" max="12556" width="11.109375" customWidth="1"/>
    <col min="12557" max="12557" width="30.88671875" customWidth="1"/>
    <col min="12558" max="12558" width="9.44140625" customWidth="1"/>
    <col min="12560" max="12560" width="6.109375" customWidth="1"/>
    <col min="12561" max="12561" width="4.44140625" customWidth="1"/>
    <col min="12562" max="12562" width="11.5546875" customWidth="1"/>
    <col min="12563" max="12563" width="11.6640625" customWidth="1"/>
    <col min="12564" max="12564" width="11.33203125" customWidth="1"/>
    <col min="12802" max="12802" width="1.6640625" customWidth="1"/>
    <col min="12803" max="12803" width="10.44140625" customWidth="1"/>
    <col min="12804" max="12804" width="55.109375" customWidth="1"/>
    <col min="12805" max="12805" width="4.6640625" customWidth="1"/>
    <col min="12806" max="12806" width="10" customWidth="1"/>
    <col min="12807" max="12807" width="14" customWidth="1"/>
    <col min="12808" max="12808" width="3.33203125" customWidth="1"/>
    <col min="12809" max="12809" width="10.6640625" customWidth="1"/>
    <col min="12810" max="12810" width="15.33203125" customWidth="1"/>
    <col min="12811" max="12811" width="11.6640625" customWidth="1"/>
    <col min="12812" max="12812" width="11.109375" customWidth="1"/>
    <col min="12813" max="12813" width="30.88671875" customWidth="1"/>
    <col min="12814" max="12814" width="9.44140625" customWidth="1"/>
    <col min="12816" max="12816" width="6.109375" customWidth="1"/>
    <col min="12817" max="12817" width="4.44140625" customWidth="1"/>
    <col min="12818" max="12818" width="11.5546875" customWidth="1"/>
    <col min="12819" max="12819" width="11.6640625" customWidth="1"/>
    <col min="12820" max="12820" width="11.33203125" customWidth="1"/>
    <col min="13058" max="13058" width="1.6640625" customWidth="1"/>
    <col min="13059" max="13059" width="10.44140625" customWidth="1"/>
    <col min="13060" max="13060" width="55.109375" customWidth="1"/>
    <col min="13061" max="13061" width="4.6640625" customWidth="1"/>
    <col min="13062" max="13062" width="10" customWidth="1"/>
    <col min="13063" max="13063" width="14" customWidth="1"/>
    <col min="13064" max="13064" width="3.33203125" customWidth="1"/>
    <col min="13065" max="13065" width="10.6640625" customWidth="1"/>
    <col min="13066" max="13066" width="15.33203125" customWidth="1"/>
    <col min="13067" max="13067" width="11.6640625" customWidth="1"/>
    <col min="13068" max="13068" width="11.109375" customWidth="1"/>
    <col min="13069" max="13069" width="30.88671875" customWidth="1"/>
    <col min="13070" max="13070" width="9.44140625" customWidth="1"/>
    <col min="13072" max="13072" width="6.109375" customWidth="1"/>
    <col min="13073" max="13073" width="4.44140625" customWidth="1"/>
    <col min="13074" max="13074" width="11.5546875" customWidth="1"/>
    <col min="13075" max="13075" width="11.6640625" customWidth="1"/>
    <col min="13076" max="13076" width="11.33203125" customWidth="1"/>
    <col min="13314" max="13314" width="1.6640625" customWidth="1"/>
    <col min="13315" max="13315" width="10.44140625" customWidth="1"/>
    <col min="13316" max="13316" width="55.109375" customWidth="1"/>
    <col min="13317" max="13317" width="4.6640625" customWidth="1"/>
    <col min="13318" max="13318" width="10" customWidth="1"/>
    <col min="13319" max="13319" width="14" customWidth="1"/>
    <col min="13320" max="13320" width="3.33203125" customWidth="1"/>
    <col min="13321" max="13321" width="10.6640625" customWidth="1"/>
    <col min="13322" max="13322" width="15.33203125" customWidth="1"/>
    <col min="13323" max="13323" width="11.6640625" customWidth="1"/>
    <col min="13324" max="13324" width="11.109375" customWidth="1"/>
    <col min="13325" max="13325" width="30.88671875" customWidth="1"/>
    <col min="13326" max="13326" width="9.44140625" customWidth="1"/>
    <col min="13328" max="13328" width="6.109375" customWidth="1"/>
    <col min="13329" max="13329" width="4.44140625" customWidth="1"/>
    <col min="13330" max="13330" width="11.5546875" customWidth="1"/>
    <col min="13331" max="13331" width="11.6640625" customWidth="1"/>
    <col min="13332" max="13332" width="11.33203125" customWidth="1"/>
    <col min="13570" max="13570" width="1.6640625" customWidth="1"/>
    <col min="13571" max="13571" width="10.44140625" customWidth="1"/>
    <col min="13572" max="13572" width="55.109375" customWidth="1"/>
    <col min="13573" max="13573" width="4.6640625" customWidth="1"/>
    <col min="13574" max="13574" width="10" customWidth="1"/>
    <col min="13575" max="13575" width="14" customWidth="1"/>
    <col min="13576" max="13576" width="3.33203125" customWidth="1"/>
    <col min="13577" max="13577" width="10.6640625" customWidth="1"/>
    <col min="13578" max="13578" width="15.33203125" customWidth="1"/>
    <col min="13579" max="13579" width="11.6640625" customWidth="1"/>
    <col min="13580" max="13580" width="11.109375" customWidth="1"/>
    <col min="13581" max="13581" width="30.88671875" customWidth="1"/>
    <col min="13582" max="13582" width="9.44140625" customWidth="1"/>
    <col min="13584" max="13584" width="6.109375" customWidth="1"/>
    <col min="13585" max="13585" width="4.44140625" customWidth="1"/>
    <col min="13586" max="13586" width="11.5546875" customWidth="1"/>
    <col min="13587" max="13587" width="11.6640625" customWidth="1"/>
    <col min="13588" max="13588" width="11.33203125" customWidth="1"/>
    <col min="13826" max="13826" width="1.6640625" customWidth="1"/>
    <col min="13827" max="13827" width="10.44140625" customWidth="1"/>
    <col min="13828" max="13828" width="55.109375" customWidth="1"/>
    <col min="13829" max="13829" width="4.6640625" customWidth="1"/>
    <col min="13830" max="13830" width="10" customWidth="1"/>
    <col min="13831" max="13831" width="14" customWidth="1"/>
    <col min="13832" max="13832" width="3.33203125" customWidth="1"/>
    <col min="13833" max="13833" width="10.6640625" customWidth="1"/>
    <col min="13834" max="13834" width="15.33203125" customWidth="1"/>
    <col min="13835" max="13835" width="11.6640625" customWidth="1"/>
    <col min="13836" max="13836" width="11.109375" customWidth="1"/>
    <col min="13837" max="13837" width="30.88671875" customWidth="1"/>
    <col min="13838" max="13838" width="9.44140625" customWidth="1"/>
    <col min="13840" max="13840" width="6.109375" customWidth="1"/>
    <col min="13841" max="13841" width="4.44140625" customWidth="1"/>
    <col min="13842" max="13842" width="11.5546875" customWidth="1"/>
    <col min="13843" max="13843" width="11.6640625" customWidth="1"/>
    <col min="13844" max="13844" width="11.33203125" customWidth="1"/>
    <col min="14082" max="14082" width="1.6640625" customWidth="1"/>
    <col min="14083" max="14083" width="10.44140625" customWidth="1"/>
    <col min="14084" max="14084" width="55.109375" customWidth="1"/>
    <col min="14085" max="14085" width="4.6640625" customWidth="1"/>
    <col min="14086" max="14086" width="10" customWidth="1"/>
    <col min="14087" max="14087" width="14" customWidth="1"/>
    <col min="14088" max="14088" width="3.33203125" customWidth="1"/>
    <col min="14089" max="14089" width="10.6640625" customWidth="1"/>
    <col min="14090" max="14090" width="15.33203125" customWidth="1"/>
    <col min="14091" max="14091" width="11.6640625" customWidth="1"/>
    <col min="14092" max="14092" width="11.109375" customWidth="1"/>
    <col min="14093" max="14093" width="30.88671875" customWidth="1"/>
    <col min="14094" max="14094" width="9.44140625" customWidth="1"/>
    <col min="14096" max="14096" width="6.109375" customWidth="1"/>
    <col min="14097" max="14097" width="4.44140625" customWidth="1"/>
    <col min="14098" max="14098" width="11.5546875" customWidth="1"/>
    <col min="14099" max="14099" width="11.6640625" customWidth="1"/>
    <col min="14100" max="14100" width="11.33203125" customWidth="1"/>
    <col min="14338" max="14338" width="1.6640625" customWidth="1"/>
    <col min="14339" max="14339" width="10.44140625" customWidth="1"/>
    <col min="14340" max="14340" width="55.109375" customWidth="1"/>
    <col min="14341" max="14341" width="4.6640625" customWidth="1"/>
    <col min="14342" max="14342" width="10" customWidth="1"/>
    <col min="14343" max="14343" width="14" customWidth="1"/>
    <col min="14344" max="14344" width="3.33203125" customWidth="1"/>
    <col min="14345" max="14345" width="10.6640625" customWidth="1"/>
    <col min="14346" max="14346" width="15.33203125" customWidth="1"/>
    <col min="14347" max="14347" width="11.6640625" customWidth="1"/>
    <col min="14348" max="14348" width="11.109375" customWidth="1"/>
    <col min="14349" max="14349" width="30.88671875" customWidth="1"/>
    <col min="14350" max="14350" width="9.44140625" customWidth="1"/>
    <col min="14352" max="14352" width="6.109375" customWidth="1"/>
    <col min="14353" max="14353" width="4.44140625" customWidth="1"/>
    <col min="14354" max="14354" width="11.5546875" customWidth="1"/>
    <col min="14355" max="14355" width="11.6640625" customWidth="1"/>
    <col min="14356" max="14356" width="11.33203125" customWidth="1"/>
    <col min="14594" max="14594" width="1.6640625" customWidth="1"/>
    <col min="14595" max="14595" width="10.44140625" customWidth="1"/>
    <col min="14596" max="14596" width="55.109375" customWidth="1"/>
    <col min="14597" max="14597" width="4.6640625" customWidth="1"/>
    <col min="14598" max="14598" width="10" customWidth="1"/>
    <col min="14599" max="14599" width="14" customWidth="1"/>
    <col min="14600" max="14600" width="3.33203125" customWidth="1"/>
    <col min="14601" max="14601" width="10.6640625" customWidth="1"/>
    <col min="14602" max="14602" width="15.33203125" customWidth="1"/>
    <col min="14603" max="14603" width="11.6640625" customWidth="1"/>
    <col min="14604" max="14604" width="11.109375" customWidth="1"/>
    <col min="14605" max="14605" width="30.88671875" customWidth="1"/>
    <col min="14606" max="14606" width="9.44140625" customWidth="1"/>
    <col min="14608" max="14608" width="6.109375" customWidth="1"/>
    <col min="14609" max="14609" width="4.44140625" customWidth="1"/>
    <col min="14610" max="14610" width="11.5546875" customWidth="1"/>
    <col min="14611" max="14611" width="11.6640625" customWidth="1"/>
    <col min="14612" max="14612" width="11.33203125" customWidth="1"/>
    <col min="14850" max="14850" width="1.6640625" customWidth="1"/>
    <col min="14851" max="14851" width="10.44140625" customWidth="1"/>
    <col min="14852" max="14852" width="55.109375" customWidth="1"/>
    <col min="14853" max="14853" width="4.6640625" customWidth="1"/>
    <col min="14854" max="14854" width="10" customWidth="1"/>
    <col min="14855" max="14855" width="14" customWidth="1"/>
    <col min="14856" max="14856" width="3.33203125" customWidth="1"/>
    <col min="14857" max="14857" width="10.6640625" customWidth="1"/>
    <col min="14858" max="14858" width="15.33203125" customWidth="1"/>
    <col min="14859" max="14859" width="11.6640625" customWidth="1"/>
    <col min="14860" max="14860" width="11.109375" customWidth="1"/>
    <col min="14861" max="14861" width="30.88671875" customWidth="1"/>
    <col min="14862" max="14862" width="9.44140625" customWidth="1"/>
    <col min="14864" max="14864" width="6.109375" customWidth="1"/>
    <col min="14865" max="14865" width="4.44140625" customWidth="1"/>
    <col min="14866" max="14866" width="11.5546875" customWidth="1"/>
    <col min="14867" max="14867" width="11.6640625" customWidth="1"/>
    <col min="14868" max="14868" width="11.33203125" customWidth="1"/>
    <col min="15106" max="15106" width="1.6640625" customWidth="1"/>
    <col min="15107" max="15107" width="10.44140625" customWidth="1"/>
    <col min="15108" max="15108" width="55.109375" customWidth="1"/>
    <col min="15109" max="15109" width="4.6640625" customWidth="1"/>
    <col min="15110" max="15110" width="10" customWidth="1"/>
    <col min="15111" max="15111" width="14" customWidth="1"/>
    <col min="15112" max="15112" width="3.33203125" customWidth="1"/>
    <col min="15113" max="15113" width="10.6640625" customWidth="1"/>
    <col min="15114" max="15114" width="15.33203125" customWidth="1"/>
    <col min="15115" max="15115" width="11.6640625" customWidth="1"/>
    <col min="15116" max="15116" width="11.109375" customWidth="1"/>
    <col min="15117" max="15117" width="30.88671875" customWidth="1"/>
    <col min="15118" max="15118" width="9.44140625" customWidth="1"/>
    <col min="15120" max="15120" width="6.109375" customWidth="1"/>
    <col min="15121" max="15121" width="4.44140625" customWidth="1"/>
    <col min="15122" max="15122" width="11.5546875" customWidth="1"/>
    <col min="15123" max="15123" width="11.6640625" customWidth="1"/>
    <col min="15124" max="15124" width="11.33203125" customWidth="1"/>
    <col min="15362" max="15362" width="1.6640625" customWidth="1"/>
    <col min="15363" max="15363" width="10.44140625" customWidth="1"/>
    <col min="15364" max="15364" width="55.109375" customWidth="1"/>
    <col min="15365" max="15365" width="4.6640625" customWidth="1"/>
    <col min="15366" max="15366" width="10" customWidth="1"/>
    <col min="15367" max="15367" width="14" customWidth="1"/>
    <col min="15368" max="15368" width="3.33203125" customWidth="1"/>
    <col min="15369" max="15369" width="10.6640625" customWidth="1"/>
    <col min="15370" max="15370" width="15.33203125" customWidth="1"/>
    <col min="15371" max="15371" width="11.6640625" customWidth="1"/>
    <col min="15372" max="15372" width="11.109375" customWidth="1"/>
    <col min="15373" max="15373" width="30.88671875" customWidth="1"/>
    <col min="15374" max="15374" width="9.44140625" customWidth="1"/>
    <col min="15376" max="15376" width="6.109375" customWidth="1"/>
    <col min="15377" max="15377" width="4.44140625" customWidth="1"/>
    <col min="15378" max="15378" width="11.5546875" customWidth="1"/>
    <col min="15379" max="15379" width="11.6640625" customWidth="1"/>
    <col min="15380" max="15380" width="11.33203125" customWidth="1"/>
    <col min="15618" max="15618" width="1.6640625" customWidth="1"/>
    <col min="15619" max="15619" width="10.44140625" customWidth="1"/>
    <col min="15620" max="15620" width="55.109375" customWidth="1"/>
    <col min="15621" max="15621" width="4.6640625" customWidth="1"/>
    <col min="15622" max="15622" width="10" customWidth="1"/>
    <col min="15623" max="15623" width="14" customWidth="1"/>
    <col min="15624" max="15624" width="3.33203125" customWidth="1"/>
    <col min="15625" max="15625" width="10.6640625" customWidth="1"/>
    <col min="15626" max="15626" width="15.33203125" customWidth="1"/>
    <col min="15627" max="15627" width="11.6640625" customWidth="1"/>
    <col min="15628" max="15628" width="11.109375" customWidth="1"/>
    <col min="15629" max="15629" width="30.88671875" customWidth="1"/>
    <col min="15630" max="15630" width="9.44140625" customWidth="1"/>
    <col min="15632" max="15632" width="6.109375" customWidth="1"/>
    <col min="15633" max="15633" width="4.44140625" customWidth="1"/>
    <col min="15634" max="15634" width="11.5546875" customWidth="1"/>
    <col min="15635" max="15635" width="11.6640625" customWidth="1"/>
    <col min="15636" max="15636" width="11.33203125" customWidth="1"/>
    <col min="15874" max="15874" width="1.6640625" customWidth="1"/>
    <col min="15875" max="15875" width="10.44140625" customWidth="1"/>
    <col min="15876" max="15876" width="55.109375" customWidth="1"/>
    <col min="15877" max="15877" width="4.6640625" customWidth="1"/>
    <col min="15878" max="15878" width="10" customWidth="1"/>
    <col min="15879" max="15879" width="14" customWidth="1"/>
    <col min="15880" max="15880" width="3.33203125" customWidth="1"/>
    <col min="15881" max="15881" width="10.6640625" customWidth="1"/>
    <col min="15882" max="15882" width="15.33203125" customWidth="1"/>
    <col min="15883" max="15883" width="11.6640625" customWidth="1"/>
    <col min="15884" max="15884" width="11.109375" customWidth="1"/>
    <col min="15885" max="15885" width="30.88671875" customWidth="1"/>
    <col min="15886" max="15886" width="9.44140625" customWidth="1"/>
    <col min="15888" max="15888" width="6.109375" customWidth="1"/>
    <col min="15889" max="15889" width="4.44140625" customWidth="1"/>
    <col min="15890" max="15890" width="11.5546875" customWidth="1"/>
    <col min="15891" max="15891" width="11.6640625" customWidth="1"/>
    <col min="15892" max="15892" width="11.33203125" customWidth="1"/>
    <col min="16130" max="16130" width="1.6640625" customWidth="1"/>
    <col min="16131" max="16131" width="10.44140625" customWidth="1"/>
    <col min="16132" max="16132" width="55.109375" customWidth="1"/>
    <col min="16133" max="16133" width="4.6640625" customWidth="1"/>
    <col min="16134" max="16134" width="10" customWidth="1"/>
    <col min="16135" max="16135" width="14" customWidth="1"/>
    <col min="16136" max="16136" width="3.33203125" customWidth="1"/>
    <col min="16137" max="16137" width="10.6640625" customWidth="1"/>
    <col min="16138" max="16138" width="15.33203125" customWidth="1"/>
    <col min="16139" max="16139" width="11.6640625" customWidth="1"/>
    <col min="16140" max="16140" width="11.109375" customWidth="1"/>
    <col min="16141" max="16141" width="30.88671875" customWidth="1"/>
    <col min="16142" max="16142" width="9.44140625" customWidth="1"/>
    <col min="16144" max="16144" width="6.109375" customWidth="1"/>
    <col min="16145" max="16145" width="4.44140625" customWidth="1"/>
    <col min="16146" max="16146" width="11.5546875" customWidth="1"/>
    <col min="16147" max="16147" width="11.6640625" customWidth="1"/>
    <col min="16148" max="16148" width="11.33203125" customWidth="1"/>
  </cols>
  <sheetData>
    <row r="2" spans="1:14" ht="17.399999999999999">
      <c r="D2" s="732" t="s">
        <v>4859</v>
      </c>
    </row>
    <row r="3" spans="1:14" ht="17.399999999999999">
      <c r="D3" s="732" t="s">
        <v>4860</v>
      </c>
    </row>
    <row r="5" spans="1:14" ht="15.6">
      <c r="D5" s="733" t="s">
        <v>4861</v>
      </c>
      <c r="G5" s="734" t="s">
        <v>4862</v>
      </c>
      <c r="H5" s="735">
        <v>40544</v>
      </c>
    </row>
    <row r="7" spans="1:14" ht="12.75" customHeight="1">
      <c r="B7" s="1401" t="s">
        <v>10</v>
      </c>
      <c r="C7" s="1402" t="s">
        <v>4863</v>
      </c>
      <c r="D7" s="1401" t="s">
        <v>4864</v>
      </c>
      <c r="E7" s="1401" t="s">
        <v>1615</v>
      </c>
      <c r="F7" s="1403" t="s">
        <v>15</v>
      </c>
      <c r="G7" s="1404" t="s">
        <v>1423</v>
      </c>
      <c r="H7" s="1404" t="s">
        <v>4865</v>
      </c>
      <c r="I7" s="1405" t="s">
        <v>4866</v>
      </c>
      <c r="J7" s="1404" t="s">
        <v>4867</v>
      </c>
    </row>
    <row r="8" spans="1:14">
      <c r="B8" s="1401"/>
      <c r="C8" s="1402"/>
      <c r="D8" s="1401"/>
      <c r="E8" s="1401"/>
      <c r="F8" s="1401"/>
      <c r="G8" s="1404"/>
      <c r="H8" s="1404"/>
      <c r="I8" s="1405"/>
      <c r="J8" s="1404"/>
    </row>
    <row r="9" spans="1:14">
      <c r="B9" s="736">
        <v>1</v>
      </c>
      <c r="C9" s="737"/>
      <c r="D9" s="736" t="s">
        <v>4868</v>
      </c>
      <c r="E9" s="738"/>
      <c r="F9" s="738"/>
      <c r="G9" s="739"/>
      <c r="H9" s="739"/>
      <c r="I9" s="740"/>
      <c r="J9" s="741"/>
    </row>
    <row r="10" spans="1:14">
      <c r="B10" s="742" t="s">
        <v>22</v>
      </c>
      <c r="C10" s="743"/>
      <c r="D10" s="744" t="s">
        <v>4869</v>
      </c>
      <c r="E10" s="745"/>
      <c r="F10" s="745"/>
      <c r="G10" s="746"/>
      <c r="H10" s="746"/>
      <c r="I10" s="747"/>
      <c r="J10" s="748"/>
    </row>
    <row r="11" spans="1:14" ht="13.8">
      <c r="A11" t="s">
        <v>1227</v>
      </c>
      <c r="B11" s="742" t="s">
        <v>25</v>
      </c>
      <c r="C11" s="743"/>
      <c r="D11" s="749" t="s">
        <v>4870</v>
      </c>
      <c r="E11" s="750" t="s">
        <v>4871</v>
      </c>
      <c r="F11" s="751">
        <v>1200</v>
      </c>
      <c r="G11" s="746"/>
      <c r="H11" s="752">
        <v>0</v>
      </c>
      <c r="I11" s="753" t="s">
        <v>4872</v>
      </c>
      <c r="J11" s="754">
        <v>200301</v>
      </c>
      <c r="M11" s="755">
        <v>98.7</v>
      </c>
      <c r="N11" s="756"/>
    </row>
    <row r="12" spans="1:14" ht="13.8">
      <c r="A12" t="s">
        <v>1227</v>
      </c>
      <c r="B12" s="742" t="s">
        <v>4873</v>
      </c>
      <c r="C12" s="743"/>
      <c r="D12" s="749" t="s">
        <v>4874</v>
      </c>
      <c r="E12" s="750" t="s">
        <v>4871</v>
      </c>
      <c r="F12" s="757">
        <v>3600</v>
      </c>
      <c r="G12" s="746"/>
      <c r="H12" s="752">
        <v>0</v>
      </c>
      <c r="I12" s="753" t="s">
        <v>4875</v>
      </c>
      <c r="J12" s="754">
        <v>32900</v>
      </c>
      <c r="M12" s="755">
        <v>85.85</v>
      </c>
      <c r="N12" s="756"/>
    </row>
    <row r="13" spans="1:14" ht="13.8">
      <c r="A13" t="s">
        <v>1227</v>
      </c>
      <c r="B13" s="742" t="s">
        <v>4876</v>
      </c>
      <c r="C13" s="743"/>
      <c r="D13" s="749" t="s">
        <v>4877</v>
      </c>
      <c r="E13" s="750" t="s">
        <v>4871</v>
      </c>
      <c r="F13" s="757">
        <v>2880</v>
      </c>
      <c r="G13" s="746"/>
      <c r="H13" s="752">
        <v>0</v>
      </c>
      <c r="I13" s="753" t="s">
        <v>4875</v>
      </c>
      <c r="J13" s="754">
        <v>32900</v>
      </c>
      <c r="M13" s="755">
        <v>85.85</v>
      </c>
      <c r="N13" s="756"/>
    </row>
    <row r="14" spans="1:14" ht="13.8">
      <c r="A14" t="s">
        <v>1227</v>
      </c>
      <c r="B14" s="742" t="s">
        <v>4878</v>
      </c>
      <c r="C14" s="743"/>
      <c r="D14" s="749" t="s">
        <v>4879</v>
      </c>
      <c r="E14" s="750" t="s">
        <v>4871</v>
      </c>
      <c r="F14" s="757">
        <v>2880</v>
      </c>
      <c r="G14" s="746"/>
      <c r="H14" s="752">
        <v>0</v>
      </c>
      <c r="I14" s="753" t="s">
        <v>4875</v>
      </c>
      <c r="J14" s="754">
        <v>35100</v>
      </c>
      <c r="M14" s="755">
        <v>41.23</v>
      </c>
      <c r="N14" s="756"/>
    </row>
    <row r="15" spans="1:14" ht="13.8">
      <c r="A15" t="s">
        <v>1227</v>
      </c>
      <c r="B15" s="742" t="s">
        <v>4880</v>
      </c>
      <c r="C15" s="743"/>
      <c r="D15" s="749" t="s">
        <v>4881</v>
      </c>
      <c r="E15" s="750" t="s">
        <v>4871</v>
      </c>
      <c r="F15" s="757">
        <v>2880</v>
      </c>
      <c r="G15" s="746"/>
      <c r="H15" s="752">
        <v>0</v>
      </c>
      <c r="I15" s="753" t="s">
        <v>4875</v>
      </c>
      <c r="J15" s="754">
        <v>35100</v>
      </c>
      <c r="M15" s="755">
        <v>41.23</v>
      </c>
      <c r="N15" s="756"/>
    </row>
    <row r="16" spans="1:14" ht="13.8">
      <c r="A16" t="s">
        <v>1227</v>
      </c>
      <c r="B16" s="742" t="s">
        <v>4882</v>
      </c>
      <c r="C16" s="743"/>
      <c r="D16" s="749" t="s">
        <v>4883</v>
      </c>
      <c r="E16" s="750" t="s">
        <v>4871</v>
      </c>
      <c r="F16" s="757">
        <v>2880</v>
      </c>
      <c r="G16" s="746"/>
      <c r="H16" s="752">
        <v>0</v>
      </c>
      <c r="I16" s="753" t="s">
        <v>4875</v>
      </c>
      <c r="J16" s="754">
        <v>35100</v>
      </c>
      <c r="M16" s="755">
        <v>41.23</v>
      </c>
      <c r="N16" s="756"/>
    </row>
    <row r="17" spans="1:20 16149:16384" ht="13.8">
      <c r="A17" t="s">
        <v>1227</v>
      </c>
      <c r="B17" s="742" t="s">
        <v>4884</v>
      </c>
      <c r="C17" s="743"/>
      <c r="D17" s="749" t="s">
        <v>4885</v>
      </c>
      <c r="E17" s="750" t="s">
        <v>4871</v>
      </c>
      <c r="F17" s="757">
        <v>3600</v>
      </c>
      <c r="G17" s="746"/>
      <c r="H17" s="752">
        <v>0</v>
      </c>
      <c r="I17" s="753" t="s">
        <v>4875</v>
      </c>
      <c r="J17" s="754">
        <v>33300</v>
      </c>
      <c r="M17" s="755">
        <v>39.36</v>
      </c>
      <c r="N17" s="756"/>
      <c r="S17" s="731" t="s">
        <v>4886</v>
      </c>
      <c r="WWC17" s="581"/>
      <c r="WWD17" s="581"/>
      <c r="WWE17" s="581"/>
      <c r="WWF17" s="581"/>
      <c r="WWG17" s="581"/>
      <c r="WWH17" s="581"/>
      <c r="WWI17" s="581"/>
      <c r="WWJ17" s="581"/>
      <c r="WWK17" s="581"/>
      <c r="WWL17" s="581"/>
      <c r="WWM17" s="581"/>
      <c r="WWN17" s="581"/>
      <c r="WWO17" s="581"/>
      <c r="WWP17" s="581"/>
      <c r="WWQ17" s="581"/>
      <c r="WWR17" s="581"/>
      <c r="WWS17" s="581"/>
      <c r="WWT17" s="581"/>
      <c r="WWU17" s="581"/>
      <c r="WWV17" s="581"/>
      <c r="WWW17" s="581"/>
      <c r="WWX17" s="581"/>
      <c r="WWY17" s="581"/>
      <c r="WWZ17" s="581"/>
      <c r="WXA17" s="581"/>
      <c r="WXB17" s="581"/>
      <c r="WXC17" s="581"/>
      <c r="WXD17" s="581"/>
      <c r="WXE17" s="581"/>
      <c r="WXF17" s="581"/>
      <c r="WXG17" s="581"/>
      <c r="WXH17" s="581"/>
      <c r="WXI17" s="581"/>
      <c r="WXJ17" s="581"/>
      <c r="WXK17" s="581"/>
      <c r="WXL17" s="581"/>
      <c r="WXM17" s="581"/>
      <c r="WXN17" s="581"/>
      <c r="WXO17" s="581"/>
      <c r="WXP17" s="581"/>
      <c r="WXQ17" s="581"/>
      <c r="WXR17" s="581"/>
      <c r="WXS17" s="581"/>
      <c r="WXT17" s="581"/>
      <c r="WXU17" s="581"/>
      <c r="WXV17" s="581"/>
      <c r="WXW17" s="581"/>
      <c r="WXX17" s="581"/>
      <c r="WXY17" s="581"/>
      <c r="WXZ17" s="581"/>
      <c r="WYA17" s="581"/>
      <c r="WYB17" s="581"/>
      <c r="WYC17" s="581"/>
      <c r="WYD17" s="581"/>
      <c r="WYE17" s="581"/>
      <c r="WYF17" s="581"/>
      <c r="WYG17" s="581"/>
      <c r="WYH17" s="581"/>
      <c r="WYI17" s="581"/>
      <c r="WYJ17" s="581"/>
      <c r="WYK17" s="581"/>
      <c r="WYL17" s="581"/>
      <c r="WYM17" s="581"/>
      <c r="WYN17" s="581"/>
      <c r="WYO17" s="581"/>
      <c r="WYP17" s="581"/>
      <c r="WYQ17" s="581"/>
      <c r="WYR17" s="581"/>
      <c r="WYS17" s="581"/>
      <c r="WYT17" s="581"/>
      <c r="WYU17" s="581"/>
      <c r="WYV17" s="581"/>
      <c r="WYW17" s="581"/>
      <c r="WYX17" s="581"/>
      <c r="WYY17" s="581"/>
      <c r="WYZ17" s="581"/>
      <c r="WZA17" s="581"/>
      <c r="WZB17" s="581"/>
      <c r="WZC17" s="581"/>
      <c r="WZD17" s="581"/>
      <c r="WZE17" s="581"/>
      <c r="WZF17" s="581"/>
      <c r="WZG17" s="581"/>
      <c r="WZH17" s="581"/>
      <c r="WZI17" s="581"/>
      <c r="WZJ17" s="581"/>
      <c r="WZK17" s="581"/>
      <c r="WZL17" s="581"/>
      <c r="WZM17" s="581"/>
      <c r="WZN17" s="581"/>
      <c r="WZO17" s="581"/>
      <c r="WZP17" s="581"/>
      <c r="WZQ17" s="581"/>
      <c r="WZR17" s="581"/>
      <c r="WZS17" s="581"/>
      <c r="WZT17" s="581"/>
      <c r="WZU17" s="581"/>
      <c r="WZV17" s="581"/>
      <c r="WZW17" s="581"/>
      <c r="WZX17" s="581"/>
      <c r="WZY17" s="581"/>
      <c r="WZZ17" s="581"/>
      <c r="XAA17" s="581"/>
      <c r="XAB17" s="581"/>
      <c r="XAC17" s="581"/>
      <c r="XAD17" s="581"/>
      <c r="XAE17" s="581"/>
      <c r="XAF17" s="581"/>
      <c r="XAG17" s="581"/>
      <c r="XAH17" s="581"/>
      <c r="XAI17" s="581"/>
      <c r="XAJ17" s="581"/>
      <c r="XAK17" s="581"/>
      <c r="XAL17" s="581"/>
      <c r="XAM17" s="581"/>
      <c r="XAN17" s="581"/>
      <c r="XAO17" s="581"/>
      <c r="XAP17" s="581"/>
      <c r="XAQ17" s="581"/>
      <c r="XAR17" s="581"/>
      <c r="XAS17" s="581"/>
      <c r="XAT17" s="581"/>
      <c r="XAU17" s="581"/>
      <c r="XAV17" s="581"/>
      <c r="XAW17" s="581"/>
      <c r="XAX17" s="581"/>
      <c r="XAY17" s="581"/>
      <c r="XAZ17" s="581"/>
      <c r="XBA17" s="581"/>
      <c r="XBB17" s="581"/>
      <c r="XBC17" s="581"/>
      <c r="XBD17" s="581"/>
      <c r="XBE17" s="581"/>
      <c r="XBF17" s="581"/>
      <c r="XBG17" s="581"/>
      <c r="XBH17" s="581"/>
      <c r="XBI17" s="581"/>
      <c r="XBJ17" s="581"/>
      <c r="XBK17" s="581"/>
      <c r="XBL17" s="581"/>
      <c r="XBM17" s="581"/>
      <c r="XBN17" s="581"/>
      <c r="XBO17" s="581"/>
      <c r="XBP17" s="581"/>
      <c r="XBQ17" s="581"/>
      <c r="XBR17" s="581"/>
      <c r="XBS17" s="581"/>
      <c r="XBT17" s="581"/>
      <c r="XBU17" s="581"/>
      <c r="XBV17" s="581"/>
      <c r="XBW17" s="581"/>
      <c r="XBX17" s="581"/>
      <c r="XBY17" s="581"/>
      <c r="XBZ17" s="581"/>
      <c r="XCA17" s="581"/>
      <c r="XCB17" s="581"/>
      <c r="XCC17" s="581"/>
      <c r="XCD17" s="581"/>
      <c r="XCE17" s="581"/>
      <c r="XCF17" s="581"/>
      <c r="XCG17" s="581"/>
      <c r="XCH17" s="581"/>
      <c r="XCI17" s="581"/>
      <c r="XCJ17" s="581"/>
      <c r="XCK17" s="581"/>
      <c r="XCL17" s="581"/>
      <c r="XCM17" s="581"/>
      <c r="XCN17" s="581"/>
      <c r="XCO17" s="581"/>
      <c r="XCP17" s="581"/>
      <c r="XCQ17" s="581"/>
      <c r="XCR17" s="581"/>
      <c r="XCS17" s="581"/>
      <c r="XCT17" s="581"/>
      <c r="XCU17" s="581"/>
      <c r="XCV17" s="581"/>
      <c r="XCW17" s="581"/>
      <c r="XCX17" s="581"/>
      <c r="XCY17" s="581"/>
      <c r="XCZ17" s="581"/>
      <c r="XDA17" s="581"/>
      <c r="XDB17" s="581"/>
      <c r="XDC17" s="581"/>
      <c r="XDD17" s="581"/>
      <c r="XDE17" s="581"/>
      <c r="XDF17" s="581"/>
      <c r="XDG17" s="581"/>
      <c r="XDH17" s="581"/>
      <c r="XDI17" s="581"/>
      <c r="XDJ17" s="581"/>
      <c r="XDK17" s="581"/>
      <c r="XDL17" s="581"/>
      <c r="XDM17" s="581"/>
      <c r="XDN17" s="581"/>
      <c r="XDO17" s="581"/>
      <c r="XDP17" s="581"/>
      <c r="XDQ17" s="581"/>
      <c r="XDR17" s="581"/>
      <c r="XDS17" s="581"/>
      <c r="XDT17" s="581"/>
      <c r="XDU17" s="581"/>
      <c r="XDV17" s="581"/>
      <c r="XDW17" s="581"/>
      <c r="XDX17" s="581"/>
      <c r="XDY17" s="581"/>
      <c r="XDZ17" s="581"/>
      <c r="XEA17" s="581"/>
      <c r="XEB17" s="581"/>
      <c r="XEC17" s="581"/>
      <c r="XED17" s="581"/>
      <c r="XEE17" s="581"/>
      <c r="XEF17" s="581"/>
      <c r="XEG17" s="581"/>
      <c r="XEH17" s="581"/>
      <c r="XEI17" s="581"/>
      <c r="XEJ17" s="581"/>
      <c r="XEK17" s="581"/>
      <c r="XEL17" s="581"/>
      <c r="XEM17" s="581"/>
      <c r="XEN17" s="581"/>
      <c r="XEO17" s="581"/>
      <c r="XEP17" s="581"/>
      <c r="XEQ17" s="581"/>
      <c r="XER17" s="581"/>
      <c r="XES17" s="581"/>
      <c r="XET17" s="581"/>
      <c r="XEU17" s="581"/>
      <c r="XEV17" s="581"/>
      <c r="XEW17" s="581"/>
      <c r="XEX17" s="581"/>
      <c r="XEY17" s="581"/>
      <c r="XEZ17" s="581"/>
      <c r="XFA17" s="581"/>
      <c r="XFB17" s="581"/>
      <c r="XFC17" s="581"/>
      <c r="XFD17" s="581"/>
    </row>
    <row r="18" spans="1:20 16149:16384">
      <c r="B18" s="742"/>
      <c r="C18" s="745"/>
      <c r="D18" s="758" t="s">
        <v>4887</v>
      </c>
      <c r="E18" s="745"/>
      <c r="F18" s="757"/>
      <c r="G18" s="746"/>
      <c r="H18" s="759">
        <v>0</v>
      </c>
      <c r="I18" s="753"/>
      <c r="J18" s="745"/>
      <c r="M18" s="756"/>
      <c r="N18" s="756"/>
      <c r="T18" s="617"/>
    </row>
    <row r="19" spans="1:20 16149:16384">
      <c r="B19" s="760" t="s">
        <v>28</v>
      </c>
      <c r="C19" s="743"/>
      <c r="D19" s="744" t="s">
        <v>4888</v>
      </c>
      <c r="E19" s="745"/>
      <c r="F19" s="761"/>
      <c r="G19" s="746"/>
      <c r="H19" s="762"/>
      <c r="I19" s="753"/>
      <c r="J19" s="745"/>
      <c r="M19" s="763"/>
      <c r="N19" s="763"/>
    </row>
    <row r="20" spans="1:20 16149:16384" s="581" customFormat="1" ht="39.6">
      <c r="A20" s="581" t="s">
        <v>1227</v>
      </c>
      <c r="B20" s="742" t="s">
        <v>31</v>
      </c>
      <c r="C20" s="764"/>
      <c r="D20" s="749" t="s">
        <v>4889</v>
      </c>
      <c r="E20" s="745" t="s">
        <v>1429</v>
      </c>
      <c r="F20" s="757">
        <v>350</v>
      </c>
      <c r="G20" s="746"/>
      <c r="H20" s="752">
        <v>0</v>
      </c>
      <c r="I20" s="753" t="s">
        <v>4890</v>
      </c>
      <c r="J20" s="745" t="s">
        <v>4891</v>
      </c>
      <c r="M20" s="765">
        <v>178.89</v>
      </c>
      <c r="N20" s="765"/>
      <c r="S20" s="766"/>
    </row>
    <row r="21" spans="1:20 16149:16384" ht="39.6">
      <c r="A21" t="s">
        <v>1227</v>
      </c>
      <c r="B21" s="742" t="s">
        <v>33</v>
      </c>
      <c r="C21" s="767"/>
      <c r="D21" s="749" t="s">
        <v>4892</v>
      </c>
      <c r="E21" s="745" t="s">
        <v>1429</v>
      </c>
      <c r="F21" s="757">
        <v>200</v>
      </c>
      <c r="G21" s="746"/>
      <c r="H21" s="752">
        <v>0</v>
      </c>
      <c r="I21" s="753" t="s">
        <v>4890</v>
      </c>
      <c r="J21" s="745" t="s">
        <v>4893</v>
      </c>
      <c r="M21" s="765">
        <v>213.27</v>
      </c>
      <c r="N21" s="765"/>
    </row>
    <row r="22" spans="1:20 16149:16384" ht="26.4">
      <c r="A22" t="s">
        <v>1227</v>
      </c>
      <c r="B22" s="742" t="s">
        <v>35</v>
      </c>
      <c r="C22" s="767"/>
      <c r="D22" s="749" t="s">
        <v>4894</v>
      </c>
      <c r="E22" s="745" t="s">
        <v>4895</v>
      </c>
      <c r="F22" s="757">
        <v>1</v>
      </c>
      <c r="G22" s="746"/>
      <c r="H22" s="752">
        <v>0</v>
      </c>
      <c r="I22" s="753" t="s">
        <v>4890</v>
      </c>
      <c r="J22" s="745" t="s">
        <v>4896</v>
      </c>
      <c r="M22" s="765">
        <v>1012.66</v>
      </c>
      <c r="N22" s="756"/>
    </row>
    <row r="23" spans="1:20 16149:16384" ht="26.4">
      <c r="A23" t="s">
        <v>1227</v>
      </c>
      <c r="B23" s="742" t="s">
        <v>4897</v>
      </c>
      <c r="C23" s="767"/>
      <c r="D23" s="749" t="s">
        <v>4898</v>
      </c>
      <c r="E23" s="750" t="s">
        <v>1447</v>
      </c>
      <c r="F23" s="761">
        <v>600</v>
      </c>
      <c r="G23" s="746"/>
      <c r="H23" s="752">
        <v>0</v>
      </c>
      <c r="I23" s="753" t="s">
        <v>4890</v>
      </c>
      <c r="J23" s="745" t="s">
        <v>4899</v>
      </c>
      <c r="M23" s="768">
        <v>30.76</v>
      </c>
      <c r="N23" s="756"/>
    </row>
    <row r="24" spans="1:20 16149:16384">
      <c r="B24" s="742"/>
      <c r="C24" s="745"/>
      <c r="D24" s="758" t="s">
        <v>4887</v>
      </c>
      <c r="E24" s="745"/>
      <c r="F24" s="757"/>
      <c r="G24" s="746"/>
      <c r="H24" s="759">
        <v>0</v>
      </c>
      <c r="I24" s="753"/>
      <c r="J24" s="745"/>
      <c r="M24" s="756"/>
      <c r="N24" s="756"/>
      <c r="WWC24" s="622"/>
      <c r="WWD24" s="622"/>
      <c r="WWE24" s="622"/>
      <c r="WWF24" s="622"/>
      <c r="WWG24" s="622"/>
      <c r="WWH24" s="622"/>
      <c r="WWI24" s="622"/>
      <c r="WWJ24" s="622"/>
      <c r="WWK24" s="622"/>
      <c r="WWL24" s="622"/>
      <c r="WWM24" s="622"/>
      <c r="WWN24" s="622"/>
      <c r="WWO24" s="622"/>
      <c r="WWP24" s="622"/>
      <c r="WWQ24" s="622"/>
      <c r="WWR24" s="622"/>
      <c r="WWS24" s="622"/>
      <c r="WWT24" s="622"/>
      <c r="WWU24" s="622"/>
      <c r="WWV24" s="622"/>
      <c r="WWW24" s="622"/>
      <c r="WWX24" s="622"/>
      <c r="WWY24" s="622"/>
      <c r="WWZ24" s="622"/>
      <c r="WXA24" s="622"/>
      <c r="WXB24" s="622"/>
      <c r="WXC24" s="622"/>
      <c r="WXD24" s="622"/>
      <c r="WXE24" s="622"/>
      <c r="WXF24" s="622"/>
      <c r="WXG24" s="622"/>
      <c r="WXH24" s="622"/>
      <c r="WXI24" s="622"/>
      <c r="WXJ24" s="622"/>
      <c r="WXK24" s="622"/>
      <c r="WXL24" s="622"/>
      <c r="WXM24" s="622"/>
      <c r="WXN24" s="622"/>
      <c r="WXO24" s="622"/>
      <c r="WXP24" s="622"/>
      <c r="WXQ24" s="622"/>
      <c r="WXR24" s="622"/>
      <c r="WXS24" s="622"/>
      <c r="WXT24" s="622"/>
      <c r="WXU24" s="622"/>
      <c r="WXV24" s="622"/>
      <c r="WXW24" s="622"/>
      <c r="WXX24" s="622"/>
      <c r="WXY24" s="622"/>
      <c r="WXZ24" s="622"/>
      <c r="WYA24" s="622"/>
      <c r="WYB24" s="622"/>
      <c r="WYC24" s="622"/>
      <c r="WYD24" s="622"/>
      <c r="WYE24" s="622"/>
      <c r="WYF24" s="622"/>
      <c r="WYG24" s="622"/>
      <c r="WYH24" s="622"/>
      <c r="WYI24" s="622"/>
      <c r="WYJ24" s="622"/>
      <c r="WYK24" s="622"/>
      <c r="WYL24" s="622"/>
      <c r="WYM24" s="622"/>
      <c r="WYN24" s="622"/>
      <c r="WYO24" s="622"/>
      <c r="WYP24" s="622"/>
      <c r="WYQ24" s="622"/>
      <c r="WYR24" s="622"/>
      <c r="WYS24" s="622"/>
      <c r="WYT24" s="622"/>
      <c r="WYU24" s="622"/>
      <c r="WYV24" s="622"/>
      <c r="WYW24" s="622"/>
      <c r="WYX24" s="622"/>
      <c r="WYY24" s="622"/>
      <c r="WYZ24" s="622"/>
      <c r="WZA24" s="622"/>
      <c r="WZB24" s="622"/>
      <c r="WZC24" s="622"/>
      <c r="WZD24" s="622"/>
      <c r="WZE24" s="622"/>
      <c r="WZF24" s="622"/>
      <c r="WZG24" s="622"/>
      <c r="WZH24" s="622"/>
      <c r="WZI24" s="622"/>
      <c r="WZJ24" s="622"/>
      <c r="WZK24" s="622"/>
      <c r="WZL24" s="622"/>
      <c r="WZM24" s="622"/>
      <c r="WZN24" s="622"/>
      <c r="WZO24" s="622"/>
      <c r="WZP24" s="622"/>
      <c r="WZQ24" s="622"/>
      <c r="WZR24" s="622"/>
      <c r="WZS24" s="622"/>
      <c r="WZT24" s="622"/>
      <c r="WZU24" s="622"/>
      <c r="WZV24" s="622"/>
      <c r="WZW24" s="622"/>
      <c r="WZX24" s="622"/>
      <c r="WZY24" s="622"/>
      <c r="WZZ24" s="622"/>
      <c r="XAA24" s="622"/>
      <c r="XAB24" s="622"/>
      <c r="XAC24" s="622"/>
      <c r="XAD24" s="622"/>
      <c r="XAE24" s="622"/>
      <c r="XAF24" s="622"/>
      <c r="XAG24" s="622"/>
      <c r="XAH24" s="622"/>
      <c r="XAI24" s="622"/>
      <c r="XAJ24" s="622"/>
      <c r="XAK24" s="622"/>
      <c r="XAL24" s="622"/>
      <c r="XAM24" s="622"/>
      <c r="XAN24" s="622"/>
      <c r="XAO24" s="622"/>
      <c r="XAP24" s="622"/>
      <c r="XAQ24" s="622"/>
      <c r="XAR24" s="622"/>
      <c r="XAS24" s="622"/>
      <c r="XAT24" s="622"/>
      <c r="XAU24" s="622"/>
      <c r="XAV24" s="622"/>
      <c r="XAW24" s="622"/>
      <c r="XAX24" s="622"/>
      <c r="XAY24" s="622"/>
      <c r="XAZ24" s="622"/>
      <c r="XBA24" s="622"/>
      <c r="XBB24" s="622"/>
      <c r="XBC24" s="622"/>
      <c r="XBD24" s="622"/>
      <c r="XBE24" s="622"/>
      <c r="XBF24" s="622"/>
      <c r="XBG24" s="622"/>
      <c r="XBH24" s="622"/>
      <c r="XBI24" s="622"/>
      <c r="XBJ24" s="622"/>
      <c r="XBK24" s="622"/>
      <c r="XBL24" s="622"/>
      <c r="XBM24" s="622"/>
      <c r="XBN24" s="622"/>
      <c r="XBO24" s="622"/>
      <c r="XBP24" s="622"/>
      <c r="XBQ24" s="622"/>
      <c r="XBR24" s="622"/>
      <c r="XBS24" s="622"/>
      <c r="XBT24" s="622"/>
      <c r="XBU24" s="622"/>
      <c r="XBV24" s="622"/>
      <c r="XBW24" s="622"/>
      <c r="XBX24" s="622"/>
      <c r="XBY24" s="622"/>
      <c r="XBZ24" s="622"/>
      <c r="XCA24" s="622"/>
      <c r="XCB24" s="622"/>
      <c r="XCC24" s="622"/>
      <c r="XCD24" s="622"/>
      <c r="XCE24" s="622"/>
      <c r="XCF24" s="622"/>
      <c r="XCG24" s="622"/>
      <c r="XCH24" s="622"/>
      <c r="XCI24" s="622"/>
      <c r="XCJ24" s="622"/>
      <c r="XCK24" s="622"/>
      <c r="XCL24" s="622"/>
      <c r="XCM24" s="622"/>
      <c r="XCN24" s="622"/>
      <c r="XCO24" s="622"/>
      <c r="XCP24" s="622"/>
      <c r="XCQ24" s="622"/>
      <c r="XCR24" s="622"/>
      <c r="XCS24" s="622"/>
      <c r="XCT24" s="622"/>
      <c r="XCU24" s="622"/>
      <c r="XCV24" s="622"/>
      <c r="XCW24" s="622"/>
      <c r="XCX24" s="622"/>
      <c r="XCY24" s="622"/>
      <c r="XCZ24" s="622"/>
      <c r="XDA24" s="622"/>
      <c r="XDB24" s="622"/>
      <c r="XDC24" s="622"/>
      <c r="XDD24" s="622"/>
      <c r="XDE24" s="622"/>
      <c r="XDF24" s="622"/>
      <c r="XDG24" s="622"/>
      <c r="XDH24" s="622"/>
      <c r="XDI24" s="622"/>
      <c r="XDJ24" s="622"/>
      <c r="XDK24" s="622"/>
      <c r="XDL24" s="622"/>
      <c r="XDM24" s="622"/>
      <c r="XDN24" s="622"/>
      <c r="XDO24" s="622"/>
      <c r="XDP24" s="622"/>
      <c r="XDQ24" s="622"/>
      <c r="XDR24" s="622"/>
      <c r="XDS24" s="622"/>
      <c r="XDT24" s="622"/>
      <c r="XDU24" s="622"/>
      <c r="XDV24" s="622"/>
      <c r="XDW24" s="622"/>
      <c r="XDX24" s="622"/>
      <c r="XDY24" s="622"/>
      <c r="XDZ24" s="622"/>
      <c r="XEA24" s="622"/>
      <c r="XEB24" s="622"/>
      <c r="XEC24" s="622"/>
      <c r="XED24" s="622"/>
      <c r="XEE24" s="622"/>
      <c r="XEF24" s="622"/>
      <c r="XEG24" s="622"/>
      <c r="XEH24" s="622"/>
      <c r="XEI24" s="622"/>
      <c r="XEJ24" s="622"/>
      <c r="XEK24" s="622"/>
      <c r="XEL24" s="622"/>
      <c r="XEM24" s="622"/>
      <c r="XEN24" s="622"/>
      <c r="XEO24" s="622"/>
      <c r="XEP24" s="622"/>
      <c r="XEQ24" s="622"/>
      <c r="XER24" s="622"/>
      <c r="XES24" s="622"/>
      <c r="XET24" s="622"/>
      <c r="XEU24" s="622"/>
      <c r="XEV24" s="622"/>
      <c r="XEW24" s="622"/>
      <c r="XEX24" s="622"/>
      <c r="XEY24" s="622"/>
      <c r="XEZ24" s="622"/>
      <c r="XFA24" s="622"/>
      <c r="XFB24" s="622"/>
      <c r="XFC24" s="622"/>
      <c r="XFD24" s="622"/>
    </row>
    <row r="25" spans="1:20 16149:16384">
      <c r="B25" s="742"/>
      <c r="C25" s="745"/>
      <c r="D25" s="758"/>
      <c r="E25" s="745"/>
      <c r="F25" s="757"/>
      <c r="G25" s="746"/>
      <c r="H25" s="759"/>
      <c r="I25" s="753"/>
      <c r="J25" s="745"/>
      <c r="M25" s="756"/>
      <c r="N25" s="756"/>
      <c r="WWC25" s="622"/>
      <c r="WWD25" s="622"/>
      <c r="WWE25" s="622"/>
      <c r="WWF25" s="622"/>
      <c r="WWG25" s="622"/>
      <c r="WWH25" s="622"/>
      <c r="WWI25" s="622"/>
      <c r="WWJ25" s="622"/>
      <c r="WWK25" s="622"/>
      <c r="WWL25" s="622"/>
      <c r="WWM25" s="622"/>
      <c r="WWN25" s="622"/>
      <c r="WWO25" s="622"/>
      <c r="WWP25" s="622"/>
      <c r="WWQ25" s="622"/>
      <c r="WWR25" s="622"/>
      <c r="WWS25" s="622"/>
      <c r="WWT25" s="622"/>
      <c r="WWU25" s="622"/>
      <c r="WWV25" s="622"/>
      <c r="WWW25" s="622"/>
      <c r="WWX25" s="622"/>
      <c r="WWY25" s="622"/>
      <c r="WWZ25" s="622"/>
      <c r="WXA25" s="622"/>
      <c r="WXB25" s="622"/>
      <c r="WXC25" s="622"/>
      <c r="WXD25" s="622"/>
      <c r="WXE25" s="622"/>
      <c r="WXF25" s="622"/>
      <c r="WXG25" s="622"/>
      <c r="WXH25" s="622"/>
      <c r="WXI25" s="622"/>
      <c r="WXJ25" s="622"/>
      <c r="WXK25" s="622"/>
      <c r="WXL25" s="622"/>
      <c r="WXM25" s="622"/>
      <c r="WXN25" s="622"/>
      <c r="WXO25" s="622"/>
      <c r="WXP25" s="622"/>
      <c r="WXQ25" s="622"/>
      <c r="WXR25" s="622"/>
      <c r="WXS25" s="622"/>
      <c r="WXT25" s="622"/>
      <c r="WXU25" s="622"/>
      <c r="WXV25" s="622"/>
      <c r="WXW25" s="622"/>
      <c r="WXX25" s="622"/>
      <c r="WXY25" s="622"/>
      <c r="WXZ25" s="622"/>
      <c r="WYA25" s="622"/>
      <c r="WYB25" s="622"/>
      <c r="WYC25" s="622"/>
      <c r="WYD25" s="622"/>
      <c r="WYE25" s="622"/>
      <c r="WYF25" s="622"/>
      <c r="WYG25" s="622"/>
      <c r="WYH25" s="622"/>
      <c r="WYI25" s="622"/>
      <c r="WYJ25" s="622"/>
      <c r="WYK25" s="622"/>
      <c r="WYL25" s="622"/>
      <c r="WYM25" s="622"/>
      <c r="WYN25" s="622"/>
      <c r="WYO25" s="622"/>
      <c r="WYP25" s="622"/>
      <c r="WYQ25" s="622"/>
      <c r="WYR25" s="622"/>
      <c r="WYS25" s="622"/>
      <c r="WYT25" s="622"/>
      <c r="WYU25" s="622"/>
      <c r="WYV25" s="622"/>
      <c r="WYW25" s="622"/>
      <c r="WYX25" s="622"/>
      <c r="WYY25" s="622"/>
      <c r="WYZ25" s="622"/>
      <c r="WZA25" s="622"/>
      <c r="WZB25" s="622"/>
      <c r="WZC25" s="622"/>
      <c r="WZD25" s="622"/>
      <c r="WZE25" s="622"/>
      <c r="WZF25" s="622"/>
      <c r="WZG25" s="622"/>
      <c r="WZH25" s="622"/>
      <c r="WZI25" s="622"/>
      <c r="WZJ25" s="622"/>
      <c r="WZK25" s="622"/>
      <c r="WZL25" s="622"/>
      <c r="WZM25" s="622"/>
      <c r="WZN25" s="622"/>
      <c r="WZO25" s="622"/>
      <c r="WZP25" s="622"/>
      <c r="WZQ25" s="622"/>
      <c r="WZR25" s="622"/>
      <c r="WZS25" s="622"/>
      <c r="WZT25" s="622"/>
      <c r="WZU25" s="622"/>
      <c r="WZV25" s="622"/>
      <c r="WZW25" s="622"/>
      <c r="WZX25" s="622"/>
      <c r="WZY25" s="622"/>
      <c r="WZZ25" s="622"/>
      <c r="XAA25" s="622"/>
      <c r="XAB25" s="622"/>
      <c r="XAC25" s="622"/>
      <c r="XAD25" s="622"/>
      <c r="XAE25" s="622"/>
      <c r="XAF25" s="622"/>
      <c r="XAG25" s="622"/>
      <c r="XAH25" s="622"/>
      <c r="XAI25" s="622"/>
      <c r="XAJ25" s="622"/>
      <c r="XAK25" s="622"/>
      <c r="XAL25" s="622"/>
      <c r="XAM25" s="622"/>
      <c r="XAN25" s="622"/>
      <c r="XAO25" s="622"/>
      <c r="XAP25" s="622"/>
      <c r="XAQ25" s="622"/>
      <c r="XAR25" s="622"/>
      <c r="XAS25" s="622"/>
      <c r="XAT25" s="622"/>
      <c r="XAU25" s="622"/>
      <c r="XAV25" s="622"/>
      <c r="XAW25" s="622"/>
      <c r="XAX25" s="622"/>
      <c r="XAY25" s="622"/>
      <c r="XAZ25" s="622"/>
      <c r="XBA25" s="622"/>
      <c r="XBB25" s="622"/>
      <c r="XBC25" s="622"/>
      <c r="XBD25" s="622"/>
      <c r="XBE25" s="622"/>
      <c r="XBF25" s="622"/>
      <c r="XBG25" s="622"/>
      <c r="XBH25" s="622"/>
      <c r="XBI25" s="622"/>
      <c r="XBJ25" s="622"/>
      <c r="XBK25" s="622"/>
      <c r="XBL25" s="622"/>
      <c r="XBM25" s="622"/>
      <c r="XBN25" s="622"/>
      <c r="XBO25" s="622"/>
      <c r="XBP25" s="622"/>
      <c r="XBQ25" s="622"/>
      <c r="XBR25" s="622"/>
      <c r="XBS25" s="622"/>
      <c r="XBT25" s="622"/>
      <c r="XBU25" s="622"/>
      <c r="XBV25" s="622"/>
      <c r="XBW25" s="622"/>
      <c r="XBX25" s="622"/>
      <c r="XBY25" s="622"/>
      <c r="XBZ25" s="622"/>
      <c r="XCA25" s="622"/>
      <c r="XCB25" s="622"/>
      <c r="XCC25" s="622"/>
      <c r="XCD25" s="622"/>
      <c r="XCE25" s="622"/>
      <c r="XCF25" s="622"/>
      <c r="XCG25" s="622"/>
      <c r="XCH25" s="622"/>
      <c r="XCI25" s="622"/>
      <c r="XCJ25" s="622"/>
      <c r="XCK25" s="622"/>
      <c r="XCL25" s="622"/>
      <c r="XCM25" s="622"/>
      <c r="XCN25" s="622"/>
      <c r="XCO25" s="622"/>
      <c r="XCP25" s="622"/>
      <c r="XCQ25" s="622"/>
      <c r="XCR25" s="622"/>
      <c r="XCS25" s="622"/>
      <c r="XCT25" s="622"/>
      <c r="XCU25" s="622"/>
      <c r="XCV25" s="622"/>
      <c r="XCW25" s="622"/>
      <c r="XCX25" s="622"/>
      <c r="XCY25" s="622"/>
      <c r="XCZ25" s="622"/>
      <c r="XDA25" s="622"/>
      <c r="XDB25" s="622"/>
      <c r="XDC25" s="622"/>
      <c r="XDD25" s="622"/>
      <c r="XDE25" s="622"/>
      <c r="XDF25" s="622"/>
      <c r="XDG25" s="622"/>
      <c r="XDH25" s="622"/>
      <c r="XDI25" s="622"/>
      <c r="XDJ25" s="622"/>
      <c r="XDK25" s="622"/>
      <c r="XDL25" s="622"/>
      <c r="XDM25" s="622"/>
      <c r="XDN25" s="622"/>
      <c r="XDO25" s="622"/>
      <c r="XDP25" s="622"/>
      <c r="XDQ25" s="622"/>
      <c r="XDR25" s="622"/>
      <c r="XDS25" s="622"/>
      <c r="XDT25" s="622"/>
      <c r="XDU25" s="622"/>
      <c r="XDV25" s="622"/>
      <c r="XDW25" s="622"/>
      <c r="XDX25" s="622"/>
      <c r="XDY25" s="622"/>
      <c r="XDZ25" s="622"/>
      <c r="XEA25" s="622"/>
      <c r="XEB25" s="622"/>
      <c r="XEC25" s="622"/>
      <c r="XED25" s="622"/>
      <c r="XEE25" s="622"/>
      <c r="XEF25" s="622"/>
      <c r="XEG25" s="622"/>
      <c r="XEH25" s="622"/>
      <c r="XEI25" s="622"/>
      <c r="XEJ25" s="622"/>
      <c r="XEK25" s="622"/>
      <c r="XEL25" s="622"/>
      <c r="XEM25" s="622"/>
      <c r="XEN25" s="622"/>
      <c r="XEO25" s="622"/>
      <c r="XEP25" s="622"/>
      <c r="XEQ25" s="622"/>
      <c r="XER25" s="622"/>
      <c r="XES25" s="622"/>
      <c r="XET25" s="622"/>
      <c r="XEU25" s="622"/>
      <c r="XEV25" s="622"/>
      <c r="XEW25" s="622"/>
      <c r="XEX25" s="622"/>
      <c r="XEY25" s="622"/>
      <c r="XEZ25" s="622"/>
      <c r="XFA25" s="622"/>
      <c r="XFB25" s="622"/>
      <c r="XFC25" s="622"/>
      <c r="XFD25" s="622"/>
    </row>
    <row r="26" spans="1:20 16149:16384" ht="13.8">
      <c r="B26" s="760">
        <v>2</v>
      </c>
      <c r="C26" s="769"/>
      <c r="D26" s="760" t="s">
        <v>4900</v>
      </c>
      <c r="E26" s="745"/>
      <c r="F26" s="757"/>
      <c r="G26" s="746"/>
      <c r="H26" s="757"/>
      <c r="I26" s="753"/>
      <c r="J26" s="745"/>
      <c r="M26" s="770"/>
      <c r="N26" s="770"/>
    </row>
    <row r="27" spans="1:20 16149:16384" s="622" customFormat="1" ht="26.4">
      <c r="A27" s="622" t="s">
        <v>1227</v>
      </c>
      <c r="B27" s="771" t="s">
        <v>39</v>
      </c>
      <c r="C27" s="772">
        <v>200318</v>
      </c>
      <c r="D27" s="773" t="s">
        <v>4901</v>
      </c>
      <c r="E27" s="774" t="s">
        <v>4895</v>
      </c>
      <c r="F27" s="775">
        <v>285</v>
      </c>
      <c r="G27" s="746"/>
      <c r="H27" s="776">
        <v>0</v>
      </c>
      <c r="I27" s="753" t="s">
        <v>4872</v>
      </c>
      <c r="J27" s="777">
        <v>200318</v>
      </c>
      <c r="M27" s="778">
        <v>1607.02</v>
      </c>
      <c r="N27" s="778"/>
      <c r="S27" s="779">
        <v>1181766.6000000001</v>
      </c>
      <c r="T27" s="780">
        <v>1181766.6000000001</v>
      </c>
    </row>
    <row r="28" spans="1:20 16149:16384" s="622" customFormat="1" ht="26.4">
      <c r="A28" s="622" t="s">
        <v>1227</v>
      </c>
      <c r="B28" s="771" t="s">
        <v>39</v>
      </c>
      <c r="C28" s="772">
        <v>200318</v>
      </c>
      <c r="D28" s="773" t="s">
        <v>4902</v>
      </c>
      <c r="E28" s="774" t="s">
        <v>4895</v>
      </c>
      <c r="F28" s="781">
        <v>200</v>
      </c>
      <c r="G28" s="746"/>
      <c r="H28" s="776">
        <v>0</v>
      </c>
      <c r="I28" s="753" t="s">
        <v>4872</v>
      </c>
      <c r="J28" s="777">
        <v>200319</v>
      </c>
      <c r="M28" s="778">
        <v>1607.02</v>
      </c>
      <c r="N28" s="778"/>
      <c r="S28" s="779"/>
    </row>
    <row r="29" spans="1:20 16149:16384">
      <c r="A29" t="s">
        <v>1227</v>
      </c>
      <c r="B29" s="742" t="s">
        <v>39</v>
      </c>
      <c r="C29" s="767">
        <v>200316</v>
      </c>
      <c r="D29" s="782" t="s">
        <v>4903</v>
      </c>
      <c r="E29" s="745" t="s">
        <v>4895</v>
      </c>
      <c r="F29" s="757">
        <v>32</v>
      </c>
      <c r="G29" s="746"/>
      <c r="H29" s="752">
        <v>0</v>
      </c>
      <c r="I29" s="753" t="s">
        <v>4872</v>
      </c>
      <c r="J29" s="754">
        <v>200316</v>
      </c>
      <c r="M29" s="756">
        <v>1607.02</v>
      </c>
      <c r="N29" s="756"/>
    </row>
    <row r="30" spans="1:20 16149:16384" ht="39.6">
      <c r="A30" t="s">
        <v>1227</v>
      </c>
      <c r="B30" s="742" t="s">
        <v>52</v>
      </c>
      <c r="C30" s="767">
        <v>10505</v>
      </c>
      <c r="D30" s="782" t="s">
        <v>4904</v>
      </c>
      <c r="E30" s="745" t="s">
        <v>1429</v>
      </c>
      <c r="F30" s="757">
        <v>592</v>
      </c>
      <c r="G30" s="746"/>
      <c r="H30" s="752">
        <v>0</v>
      </c>
      <c r="I30" s="753" t="s">
        <v>4872</v>
      </c>
      <c r="J30" s="754">
        <v>10505</v>
      </c>
      <c r="M30" s="756">
        <v>62.1</v>
      </c>
      <c r="N30" s="756"/>
    </row>
    <row r="31" spans="1:20 16149:16384">
      <c r="A31" t="s">
        <v>1227</v>
      </c>
      <c r="B31" s="742" t="s">
        <v>67</v>
      </c>
      <c r="C31" s="745"/>
      <c r="D31" s="742" t="s">
        <v>4905</v>
      </c>
      <c r="E31" s="745" t="s">
        <v>4906</v>
      </c>
      <c r="F31" s="757">
        <v>1</v>
      </c>
      <c r="G31" s="746"/>
      <c r="H31" s="752">
        <v>0</v>
      </c>
      <c r="I31" s="753" t="s">
        <v>4872</v>
      </c>
      <c r="J31" s="745"/>
      <c r="M31" s="756">
        <v>16500</v>
      </c>
      <c r="N31" s="756"/>
    </row>
    <row r="32" spans="1:20 16149:16384">
      <c r="A32" t="s">
        <v>1227</v>
      </c>
      <c r="B32" s="742" t="s">
        <v>72</v>
      </c>
      <c r="C32" s="745"/>
      <c r="D32" s="742" t="s">
        <v>4907</v>
      </c>
      <c r="E32" s="745" t="s">
        <v>4906</v>
      </c>
      <c r="F32" s="757">
        <v>1</v>
      </c>
      <c r="G32" s="746"/>
      <c r="H32" s="752">
        <v>0</v>
      </c>
      <c r="I32" s="753" t="s">
        <v>4908</v>
      </c>
      <c r="J32" s="745" t="s">
        <v>4896</v>
      </c>
      <c r="M32" s="756">
        <v>1012.66</v>
      </c>
      <c r="N32" s="756"/>
    </row>
    <row r="33" spans="1:14 16149:16384" ht="26.4">
      <c r="A33" t="s">
        <v>1227</v>
      </c>
      <c r="B33" s="742" t="s">
        <v>79</v>
      </c>
      <c r="C33" s="767">
        <v>200532</v>
      </c>
      <c r="D33" s="782" t="s">
        <v>4909</v>
      </c>
      <c r="E33" s="745" t="s">
        <v>4910</v>
      </c>
      <c r="F33" s="757">
        <v>1</v>
      </c>
      <c r="G33" s="746"/>
      <c r="H33" s="752">
        <v>0</v>
      </c>
      <c r="I33" s="753" t="s">
        <v>4872</v>
      </c>
      <c r="J33" s="754">
        <v>200532</v>
      </c>
      <c r="M33" s="756">
        <v>5239.1899999999996</v>
      </c>
      <c r="N33" s="756"/>
    </row>
    <row r="34" spans="1:14 16149:16384">
      <c r="B34" s="760" t="s">
        <v>86</v>
      </c>
      <c r="C34" s="783"/>
      <c r="D34" s="760" t="s">
        <v>4911</v>
      </c>
      <c r="E34" s="745"/>
      <c r="F34" s="757"/>
      <c r="G34" s="746"/>
      <c r="H34" s="752"/>
      <c r="I34" s="753"/>
      <c r="J34" s="784"/>
      <c r="M34" s="756"/>
      <c r="N34" s="756"/>
    </row>
    <row r="35" spans="1:14 16149:16384">
      <c r="A35" t="s">
        <v>1227</v>
      </c>
      <c r="B35" s="742" t="s">
        <v>89</v>
      </c>
      <c r="C35" s="767">
        <v>200301</v>
      </c>
      <c r="D35" s="742" t="s">
        <v>4912</v>
      </c>
      <c r="E35" s="745" t="s">
        <v>4913</v>
      </c>
      <c r="F35" s="757">
        <v>400</v>
      </c>
      <c r="G35" s="746"/>
      <c r="H35" s="752">
        <v>0</v>
      </c>
      <c r="I35" s="753" t="s">
        <v>4872</v>
      </c>
      <c r="J35" s="754">
        <v>200301</v>
      </c>
      <c r="M35" s="756">
        <v>204.82</v>
      </c>
      <c r="N35" s="756"/>
    </row>
    <row r="36" spans="1:14 16149:16384">
      <c r="A36" t="s">
        <v>1227</v>
      </c>
      <c r="B36" s="742" t="s">
        <v>4914</v>
      </c>
      <c r="C36" s="767">
        <v>200302</v>
      </c>
      <c r="D36" s="742" t="s">
        <v>4915</v>
      </c>
      <c r="E36" s="745" t="s">
        <v>4913</v>
      </c>
      <c r="F36" s="757">
        <v>800</v>
      </c>
      <c r="G36" s="746"/>
      <c r="H36" s="752">
        <v>0</v>
      </c>
      <c r="I36" s="753" t="s">
        <v>4872</v>
      </c>
      <c r="J36" s="754">
        <v>200302</v>
      </c>
      <c r="M36" s="756">
        <v>98.7</v>
      </c>
      <c r="N36" s="756"/>
    </row>
    <row r="37" spans="1:14 16149:16384">
      <c r="B37" s="760" t="s">
        <v>91</v>
      </c>
      <c r="C37" s="767"/>
      <c r="D37" s="760" t="s">
        <v>4916</v>
      </c>
      <c r="E37" s="745"/>
      <c r="F37" s="757"/>
      <c r="G37" s="746"/>
      <c r="H37" s="752"/>
      <c r="I37" s="753"/>
      <c r="J37" s="754"/>
      <c r="M37" s="756"/>
      <c r="N37" s="756"/>
    </row>
    <row r="38" spans="1:14 16149:16384">
      <c r="A38" t="s">
        <v>1227</v>
      </c>
      <c r="B38" s="742" t="s">
        <v>94</v>
      </c>
      <c r="C38" s="767">
        <v>200301</v>
      </c>
      <c r="D38" s="742" t="s">
        <v>4912</v>
      </c>
      <c r="E38" s="745" t="s">
        <v>4913</v>
      </c>
      <c r="F38" s="757">
        <v>200</v>
      </c>
      <c r="G38" s="746"/>
      <c r="H38" s="752">
        <v>0</v>
      </c>
      <c r="I38" s="753" t="s">
        <v>4872</v>
      </c>
      <c r="J38" s="754">
        <v>200301</v>
      </c>
      <c r="M38" s="756">
        <v>204.82</v>
      </c>
      <c r="N38" s="756"/>
    </row>
    <row r="39" spans="1:14 16149:16384">
      <c r="A39" t="s">
        <v>1227</v>
      </c>
      <c r="B39" s="742" t="s">
        <v>4917</v>
      </c>
      <c r="C39" s="767">
        <v>200302</v>
      </c>
      <c r="D39" s="742" t="s">
        <v>4915</v>
      </c>
      <c r="E39" s="745" t="s">
        <v>4913</v>
      </c>
      <c r="F39" s="757">
        <v>200</v>
      </c>
      <c r="G39" s="746"/>
      <c r="H39" s="752">
        <v>0</v>
      </c>
      <c r="I39" s="753" t="s">
        <v>4872</v>
      </c>
      <c r="J39" s="754">
        <v>200302</v>
      </c>
      <c r="M39" s="756">
        <v>98.7</v>
      </c>
      <c r="N39" s="756"/>
    </row>
    <row r="40" spans="1:14 16149:16384">
      <c r="B40" s="742"/>
      <c r="C40" s="745"/>
      <c r="D40" s="758" t="s">
        <v>4887</v>
      </c>
      <c r="E40" s="745"/>
      <c r="F40" s="757"/>
      <c r="G40" s="746"/>
      <c r="H40" s="759">
        <v>0</v>
      </c>
      <c r="I40" s="753"/>
      <c r="J40" s="745"/>
      <c r="M40" s="756"/>
      <c r="N40" s="756"/>
    </row>
    <row r="41" spans="1:14 16149:16384">
      <c r="B41" s="742"/>
      <c r="C41" s="745"/>
      <c r="D41" s="758"/>
      <c r="E41" s="745"/>
      <c r="F41" s="757"/>
      <c r="G41" s="746"/>
      <c r="H41" s="757"/>
      <c r="I41" s="753"/>
      <c r="J41" s="745"/>
      <c r="M41" s="756"/>
      <c r="N41" s="756"/>
    </row>
    <row r="42" spans="1:14 16149:16384">
      <c r="B42" s="760" t="s">
        <v>4918</v>
      </c>
      <c r="C42" s="769"/>
      <c r="D42" s="760" t="s">
        <v>4919</v>
      </c>
      <c r="E42" s="745"/>
      <c r="F42" s="757"/>
      <c r="G42" s="746"/>
      <c r="H42" s="757"/>
      <c r="I42" s="753"/>
      <c r="J42" s="769"/>
      <c r="M42" s="756"/>
      <c r="N42" s="756"/>
    </row>
    <row r="43" spans="1:14 16149:16384" ht="26.4">
      <c r="A43" t="s">
        <v>1227</v>
      </c>
      <c r="B43" s="742" t="s">
        <v>4920</v>
      </c>
      <c r="C43" s="767">
        <v>200353</v>
      </c>
      <c r="D43" s="782" t="s">
        <v>4921</v>
      </c>
      <c r="E43" s="745" t="s">
        <v>4895</v>
      </c>
      <c r="F43" s="757">
        <v>220</v>
      </c>
      <c r="G43" s="746"/>
      <c r="H43" s="752">
        <v>0</v>
      </c>
      <c r="I43" s="753" t="s">
        <v>4872</v>
      </c>
      <c r="J43" s="754">
        <v>200353</v>
      </c>
      <c r="M43" s="756">
        <v>9.16</v>
      </c>
      <c r="N43" s="756"/>
      <c r="WWC43" s="785"/>
      <c r="WWD43" s="785"/>
      <c r="WWE43" s="785"/>
      <c r="WWF43" s="785"/>
      <c r="WWG43" s="785"/>
      <c r="WWH43" s="785"/>
      <c r="WWI43" s="785"/>
      <c r="WWJ43" s="785"/>
      <c r="WWK43" s="785"/>
      <c r="WWL43" s="785"/>
      <c r="WWM43" s="785"/>
      <c r="WWN43" s="785"/>
      <c r="WWO43" s="785"/>
      <c r="WWP43" s="785"/>
      <c r="WWQ43" s="785"/>
      <c r="WWR43" s="785"/>
      <c r="WWS43" s="785"/>
      <c r="WWT43" s="785"/>
      <c r="WWU43" s="785"/>
      <c r="WWV43" s="785"/>
      <c r="WWW43" s="785"/>
      <c r="WWX43" s="785"/>
      <c r="WWY43" s="785"/>
      <c r="WWZ43" s="785"/>
      <c r="WXA43" s="785"/>
      <c r="WXB43" s="785"/>
      <c r="WXC43" s="785"/>
      <c r="WXD43" s="785"/>
      <c r="WXE43" s="785"/>
      <c r="WXF43" s="785"/>
      <c r="WXG43" s="785"/>
      <c r="WXH43" s="785"/>
      <c r="WXI43" s="785"/>
      <c r="WXJ43" s="785"/>
      <c r="WXK43" s="785"/>
      <c r="WXL43" s="785"/>
      <c r="WXM43" s="785"/>
      <c r="WXN43" s="785"/>
      <c r="WXO43" s="785"/>
      <c r="WXP43" s="785"/>
      <c r="WXQ43" s="785"/>
      <c r="WXR43" s="785"/>
      <c r="WXS43" s="785"/>
      <c r="WXT43" s="785"/>
      <c r="WXU43" s="785"/>
      <c r="WXV43" s="785"/>
      <c r="WXW43" s="785"/>
      <c r="WXX43" s="785"/>
      <c r="WXY43" s="785"/>
      <c r="WXZ43" s="785"/>
      <c r="WYA43" s="785"/>
      <c r="WYB43" s="785"/>
      <c r="WYC43" s="785"/>
      <c r="WYD43" s="785"/>
      <c r="WYE43" s="785"/>
      <c r="WYF43" s="785"/>
      <c r="WYG43" s="785"/>
      <c r="WYH43" s="785"/>
      <c r="WYI43" s="785"/>
      <c r="WYJ43" s="785"/>
      <c r="WYK43" s="785"/>
      <c r="WYL43" s="785"/>
      <c r="WYM43" s="785"/>
      <c r="WYN43" s="785"/>
      <c r="WYO43" s="785"/>
      <c r="WYP43" s="785"/>
      <c r="WYQ43" s="785"/>
      <c r="WYR43" s="785"/>
      <c r="WYS43" s="785"/>
      <c r="WYT43" s="785"/>
      <c r="WYU43" s="785"/>
      <c r="WYV43" s="785"/>
      <c r="WYW43" s="785"/>
      <c r="WYX43" s="785"/>
      <c r="WYY43" s="785"/>
      <c r="WYZ43" s="785"/>
      <c r="WZA43" s="785"/>
      <c r="WZB43" s="785"/>
      <c r="WZC43" s="785"/>
      <c r="WZD43" s="785"/>
      <c r="WZE43" s="785"/>
      <c r="WZF43" s="785"/>
      <c r="WZG43" s="785"/>
      <c r="WZH43" s="785"/>
      <c r="WZI43" s="785"/>
      <c r="WZJ43" s="785"/>
      <c r="WZK43" s="785"/>
      <c r="WZL43" s="785"/>
      <c r="WZM43" s="785"/>
      <c r="WZN43" s="785"/>
      <c r="WZO43" s="785"/>
      <c r="WZP43" s="785"/>
      <c r="WZQ43" s="785"/>
      <c r="WZR43" s="785"/>
      <c r="WZS43" s="785"/>
      <c r="WZT43" s="785"/>
      <c r="WZU43" s="785"/>
      <c r="WZV43" s="785"/>
      <c r="WZW43" s="785"/>
      <c r="WZX43" s="785"/>
      <c r="WZY43" s="785"/>
      <c r="WZZ43" s="785"/>
      <c r="XAA43" s="785"/>
      <c r="XAB43" s="785"/>
      <c r="XAC43" s="785"/>
      <c r="XAD43" s="785"/>
      <c r="XAE43" s="785"/>
      <c r="XAF43" s="785"/>
      <c r="XAG43" s="785"/>
      <c r="XAH43" s="785"/>
      <c r="XAI43" s="785"/>
      <c r="XAJ43" s="785"/>
      <c r="XAK43" s="785"/>
      <c r="XAL43" s="785"/>
      <c r="XAM43" s="785"/>
      <c r="XAN43" s="785"/>
      <c r="XAO43" s="785"/>
      <c r="XAP43" s="785"/>
      <c r="XAQ43" s="785"/>
      <c r="XAR43" s="785"/>
      <c r="XAS43" s="785"/>
      <c r="XAT43" s="785"/>
      <c r="XAU43" s="785"/>
      <c r="XAV43" s="785"/>
      <c r="XAW43" s="785"/>
      <c r="XAX43" s="785"/>
      <c r="XAY43" s="785"/>
      <c r="XAZ43" s="785"/>
      <c r="XBA43" s="785"/>
      <c r="XBB43" s="785"/>
      <c r="XBC43" s="785"/>
      <c r="XBD43" s="785"/>
      <c r="XBE43" s="785"/>
      <c r="XBF43" s="785"/>
      <c r="XBG43" s="785"/>
      <c r="XBH43" s="785"/>
      <c r="XBI43" s="785"/>
      <c r="XBJ43" s="785"/>
      <c r="XBK43" s="785"/>
      <c r="XBL43" s="785"/>
      <c r="XBM43" s="785"/>
      <c r="XBN43" s="785"/>
      <c r="XBO43" s="785"/>
      <c r="XBP43" s="785"/>
      <c r="XBQ43" s="785"/>
      <c r="XBR43" s="785"/>
      <c r="XBS43" s="785"/>
      <c r="XBT43" s="785"/>
      <c r="XBU43" s="785"/>
      <c r="XBV43" s="785"/>
      <c r="XBW43" s="785"/>
      <c r="XBX43" s="785"/>
      <c r="XBY43" s="785"/>
      <c r="XBZ43" s="785"/>
      <c r="XCA43" s="785"/>
      <c r="XCB43" s="785"/>
      <c r="XCC43" s="785"/>
      <c r="XCD43" s="785"/>
      <c r="XCE43" s="785"/>
      <c r="XCF43" s="785"/>
      <c r="XCG43" s="785"/>
      <c r="XCH43" s="785"/>
      <c r="XCI43" s="785"/>
      <c r="XCJ43" s="785"/>
      <c r="XCK43" s="785"/>
      <c r="XCL43" s="785"/>
      <c r="XCM43" s="785"/>
      <c r="XCN43" s="785"/>
      <c r="XCO43" s="785"/>
      <c r="XCP43" s="785"/>
      <c r="XCQ43" s="785"/>
      <c r="XCR43" s="785"/>
      <c r="XCS43" s="785"/>
      <c r="XCT43" s="785"/>
      <c r="XCU43" s="785"/>
      <c r="XCV43" s="785"/>
      <c r="XCW43" s="785"/>
      <c r="XCX43" s="785"/>
      <c r="XCY43" s="785"/>
      <c r="XCZ43" s="785"/>
      <c r="XDA43" s="785"/>
      <c r="XDB43" s="785"/>
      <c r="XDC43" s="785"/>
      <c r="XDD43" s="785"/>
      <c r="XDE43" s="785"/>
      <c r="XDF43" s="785"/>
      <c r="XDG43" s="785"/>
      <c r="XDH43" s="785"/>
      <c r="XDI43" s="785"/>
      <c r="XDJ43" s="785"/>
      <c r="XDK43" s="785"/>
      <c r="XDL43" s="785"/>
      <c r="XDM43" s="785"/>
      <c r="XDN43" s="785"/>
      <c r="XDO43" s="785"/>
      <c r="XDP43" s="785"/>
      <c r="XDQ43" s="785"/>
      <c r="XDR43" s="785"/>
      <c r="XDS43" s="785"/>
      <c r="XDT43" s="785"/>
      <c r="XDU43" s="785"/>
      <c r="XDV43" s="785"/>
      <c r="XDW43" s="785"/>
      <c r="XDX43" s="785"/>
      <c r="XDY43" s="785"/>
      <c r="XDZ43" s="785"/>
      <c r="XEA43" s="785"/>
      <c r="XEB43" s="785"/>
      <c r="XEC43" s="785"/>
      <c r="XED43" s="785"/>
      <c r="XEE43" s="785"/>
      <c r="XEF43" s="785"/>
      <c r="XEG43" s="785"/>
      <c r="XEH43" s="785"/>
      <c r="XEI43" s="785"/>
      <c r="XEJ43" s="785"/>
      <c r="XEK43" s="785"/>
      <c r="XEL43" s="785"/>
      <c r="XEM43" s="785"/>
      <c r="XEN43" s="785"/>
      <c r="XEO43" s="785"/>
      <c r="XEP43" s="785"/>
      <c r="XEQ43" s="785"/>
      <c r="XER43" s="785"/>
      <c r="XES43" s="785"/>
      <c r="XET43" s="785"/>
      <c r="XEU43" s="785"/>
      <c r="XEV43" s="785"/>
      <c r="XEW43" s="785"/>
      <c r="XEX43" s="785"/>
      <c r="XEY43" s="785"/>
      <c r="XEZ43" s="785"/>
      <c r="XFA43" s="785"/>
      <c r="XFB43" s="785"/>
      <c r="XFC43" s="785"/>
      <c r="XFD43" s="785"/>
    </row>
    <row r="44" spans="1:14 16149:16384" ht="39.6">
      <c r="A44" t="s">
        <v>1227</v>
      </c>
      <c r="B44" s="742" t="s">
        <v>4922</v>
      </c>
      <c r="C44" s="767">
        <v>200603</v>
      </c>
      <c r="D44" s="782" t="s">
        <v>4923</v>
      </c>
      <c r="E44" s="786" t="s">
        <v>4924</v>
      </c>
      <c r="F44" s="757">
        <v>60</v>
      </c>
      <c r="G44" s="746"/>
      <c r="H44" s="752">
        <v>0</v>
      </c>
      <c r="I44" s="753" t="s">
        <v>4872</v>
      </c>
      <c r="J44" s="754">
        <v>200603</v>
      </c>
      <c r="M44" s="756">
        <v>115.62</v>
      </c>
      <c r="N44" s="756"/>
      <c r="WWC44" s="785"/>
      <c r="WWD44" s="785"/>
      <c r="WWE44" s="785"/>
      <c r="WWF44" s="785"/>
      <c r="WWG44" s="785"/>
      <c r="WWH44" s="785"/>
      <c r="WWI44" s="785"/>
      <c r="WWJ44" s="785"/>
      <c r="WWK44" s="785"/>
      <c r="WWL44" s="785"/>
      <c r="WWM44" s="785"/>
      <c r="WWN44" s="785"/>
      <c r="WWO44" s="785"/>
      <c r="WWP44" s="785"/>
      <c r="WWQ44" s="785"/>
      <c r="WWR44" s="785"/>
      <c r="WWS44" s="785"/>
      <c r="WWT44" s="785"/>
      <c r="WWU44" s="785"/>
      <c r="WWV44" s="785"/>
      <c r="WWW44" s="785"/>
      <c r="WWX44" s="785"/>
      <c r="WWY44" s="785"/>
      <c r="WWZ44" s="785"/>
      <c r="WXA44" s="785"/>
      <c r="WXB44" s="785"/>
      <c r="WXC44" s="785"/>
      <c r="WXD44" s="785"/>
      <c r="WXE44" s="785"/>
      <c r="WXF44" s="785"/>
      <c r="WXG44" s="785"/>
      <c r="WXH44" s="785"/>
      <c r="WXI44" s="785"/>
      <c r="WXJ44" s="785"/>
      <c r="WXK44" s="785"/>
      <c r="WXL44" s="785"/>
      <c r="WXM44" s="785"/>
      <c r="WXN44" s="785"/>
      <c r="WXO44" s="785"/>
      <c r="WXP44" s="785"/>
      <c r="WXQ44" s="785"/>
      <c r="WXR44" s="785"/>
      <c r="WXS44" s="785"/>
      <c r="WXT44" s="785"/>
      <c r="WXU44" s="785"/>
      <c r="WXV44" s="785"/>
      <c r="WXW44" s="785"/>
      <c r="WXX44" s="785"/>
      <c r="WXY44" s="785"/>
      <c r="WXZ44" s="785"/>
      <c r="WYA44" s="785"/>
      <c r="WYB44" s="785"/>
      <c r="WYC44" s="785"/>
      <c r="WYD44" s="785"/>
      <c r="WYE44" s="785"/>
      <c r="WYF44" s="785"/>
      <c r="WYG44" s="785"/>
      <c r="WYH44" s="785"/>
      <c r="WYI44" s="785"/>
      <c r="WYJ44" s="785"/>
      <c r="WYK44" s="785"/>
      <c r="WYL44" s="785"/>
      <c r="WYM44" s="785"/>
      <c r="WYN44" s="785"/>
      <c r="WYO44" s="785"/>
      <c r="WYP44" s="785"/>
      <c r="WYQ44" s="785"/>
      <c r="WYR44" s="785"/>
      <c r="WYS44" s="785"/>
      <c r="WYT44" s="785"/>
      <c r="WYU44" s="785"/>
      <c r="WYV44" s="785"/>
      <c r="WYW44" s="785"/>
      <c r="WYX44" s="785"/>
      <c r="WYY44" s="785"/>
      <c r="WYZ44" s="785"/>
      <c r="WZA44" s="785"/>
      <c r="WZB44" s="785"/>
      <c r="WZC44" s="785"/>
      <c r="WZD44" s="785"/>
      <c r="WZE44" s="785"/>
      <c r="WZF44" s="785"/>
      <c r="WZG44" s="785"/>
      <c r="WZH44" s="785"/>
      <c r="WZI44" s="785"/>
      <c r="WZJ44" s="785"/>
      <c r="WZK44" s="785"/>
      <c r="WZL44" s="785"/>
      <c r="WZM44" s="785"/>
      <c r="WZN44" s="785"/>
      <c r="WZO44" s="785"/>
      <c r="WZP44" s="785"/>
      <c r="WZQ44" s="785"/>
      <c r="WZR44" s="785"/>
      <c r="WZS44" s="785"/>
      <c r="WZT44" s="785"/>
      <c r="WZU44" s="785"/>
      <c r="WZV44" s="785"/>
      <c r="WZW44" s="785"/>
      <c r="WZX44" s="785"/>
      <c r="WZY44" s="785"/>
      <c r="WZZ44" s="785"/>
      <c r="XAA44" s="785"/>
      <c r="XAB44" s="785"/>
      <c r="XAC44" s="785"/>
      <c r="XAD44" s="785"/>
      <c r="XAE44" s="785"/>
      <c r="XAF44" s="785"/>
      <c r="XAG44" s="785"/>
      <c r="XAH44" s="785"/>
      <c r="XAI44" s="785"/>
      <c r="XAJ44" s="785"/>
      <c r="XAK44" s="785"/>
      <c r="XAL44" s="785"/>
      <c r="XAM44" s="785"/>
      <c r="XAN44" s="785"/>
      <c r="XAO44" s="785"/>
      <c r="XAP44" s="785"/>
      <c r="XAQ44" s="785"/>
      <c r="XAR44" s="785"/>
      <c r="XAS44" s="785"/>
      <c r="XAT44" s="785"/>
      <c r="XAU44" s="785"/>
      <c r="XAV44" s="785"/>
      <c r="XAW44" s="785"/>
      <c r="XAX44" s="785"/>
      <c r="XAY44" s="785"/>
      <c r="XAZ44" s="785"/>
      <c r="XBA44" s="785"/>
      <c r="XBB44" s="785"/>
      <c r="XBC44" s="785"/>
      <c r="XBD44" s="785"/>
      <c r="XBE44" s="785"/>
      <c r="XBF44" s="785"/>
      <c r="XBG44" s="785"/>
      <c r="XBH44" s="785"/>
      <c r="XBI44" s="785"/>
      <c r="XBJ44" s="785"/>
      <c r="XBK44" s="785"/>
      <c r="XBL44" s="785"/>
      <c r="XBM44" s="785"/>
      <c r="XBN44" s="785"/>
      <c r="XBO44" s="785"/>
      <c r="XBP44" s="785"/>
      <c r="XBQ44" s="785"/>
      <c r="XBR44" s="785"/>
      <c r="XBS44" s="785"/>
      <c r="XBT44" s="785"/>
      <c r="XBU44" s="785"/>
      <c r="XBV44" s="785"/>
      <c r="XBW44" s="785"/>
      <c r="XBX44" s="785"/>
      <c r="XBY44" s="785"/>
      <c r="XBZ44" s="785"/>
      <c r="XCA44" s="785"/>
      <c r="XCB44" s="785"/>
      <c r="XCC44" s="785"/>
      <c r="XCD44" s="785"/>
      <c r="XCE44" s="785"/>
      <c r="XCF44" s="785"/>
      <c r="XCG44" s="785"/>
      <c r="XCH44" s="785"/>
      <c r="XCI44" s="785"/>
      <c r="XCJ44" s="785"/>
      <c r="XCK44" s="785"/>
      <c r="XCL44" s="785"/>
      <c r="XCM44" s="785"/>
      <c r="XCN44" s="785"/>
      <c r="XCO44" s="785"/>
      <c r="XCP44" s="785"/>
      <c r="XCQ44" s="785"/>
      <c r="XCR44" s="785"/>
      <c r="XCS44" s="785"/>
      <c r="XCT44" s="785"/>
      <c r="XCU44" s="785"/>
      <c r="XCV44" s="785"/>
      <c r="XCW44" s="785"/>
      <c r="XCX44" s="785"/>
      <c r="XCY44" s="785"/>
      <c r="XCZ44" s="785"/>
      <c r="XDA44" s="785"/>
      <c r="XDB44" s="785"/>
      <c r="XDC44" s="785"/>
      <c r="XDD44" s="785"/>
      <c r="XDE44" s="785"/>
      <c r="XDF44" s="785"/>
      <c r="XDG44" s="785"/>
      <c r="XDH44" s="785"/>
      <c r="XDI44" s="785"/>
      <c r="XDJ44" s="785"/>
      <c r="XDK44" s="785"/>
      <c r="XDL44" s="785"/>
      <c r="XDM44" s="785"/>
      <c r="XDN44" s="785"/>
      <c r="XDO44" s="785"/>
      <c r="XDP44" s="785"/>
      <c r="XDQ44" s="785"/>
      <c r="XDR44" s="785"/>
      <c r="XDS44" s="785"/>
      <c r="XDT44" s="785"/>
      <c r="XDU44" s="785"/>
      <c r="XDV44" s="785"/>
      <c r="XDW44" s="785"/>
      <c r="XDX44" s="785"/>
      <c r="XDY44" s="785"/>
      <c r="XDZ44" s="785"/>
      <c r="XEA44" s="785"/>
      <c r="XEB44" s="785"/>
      <c r="XEC44" s="785"/>
      <c r="XED44" s="785"/>
      <c r="XEE44" s="785"/>
      <c r="XEF44" s="785"/>
      <c r="XEG44" s="785"/>
      <c r="XEH44" s="785"/>
      <c r="XEI44" s="785"/>
      <c r="XEJ44" s="785"/>
      <c r="XEK44" s="785"/>
      <c r="XEL44" s="785"/>
      <c r="XEM44" s="785"/>
      <c r="XEN44" s="785"/>
      <c r="XEO44" s="785"/>
      <c r="XEP44" s="785"/>
      <c r="XEQ44" s="785"/>
      <c r="XER44" s="785"/>
      <c r="XES44" s="785"/>
      <c r="XET44" s="785"/>
      <c r="XEU44" s="785"/>
      <c r="XEV44" s="785"/>
      <c r="XEW44" s="785"/>
      <c r="XEX44" s="785"/>
      <c r="XEY44" s="785"/>
      <c r="XEZ44" s="785"/>
      <c r="XFA44" s="785"/>
      <c r="XFB44" s="785"/>
      <c r="XFC44" s="785"/>
      <c r="XFD44" s="785"/>
    </row>
    <row r="45" spans="1:14 16149:16384" ht="39.6">
      <c r="A45" t="s">
        <v>1227</v>
      </c>
      <c r="B45" s="742" t="s">
        <v>4925</v>
      </c>
      <c r="C45" s="767">
        <v>200604</v>
      </c>
      <c r="D45" s="782" t="s">
        <v>4926</v>
      </c>
      <c r="E45" s="786" t="s">
        <v>4927</v>
      </c>
      <c r="F45" s="757">
        <v>120</v>
      </c>
      <c r="G45" s="746"/>
      <c r="H45" s="752">
        <v>0</v>
      </c>
      <c r="I45" s="753" t="s">
        <v>4872</v>
      </c>
      <c r="J45" s="754">
        <v>200604</v>
      </c>
      <c r="M45" s="756">
        <v>111.2</v>
      </c>
      <c r="N45" s="756"/>
    </row>
    <row r="46" spans="1:14 16149:16384" ht="26.4">
      <c r="A46" t="s">
        <v>1227</v>
      </c>
      <c r="B46" s="742" t="s">
        <v>4928</v>
      </c>
      <c r="C46" s="767">
        <v>200602</v>
      </c>
      <c r="D46" s="782" t="s">
        <v>4929</v>
      </c>
      <c r="E46" s="745" t="s">
        <v>4895</v>
      </c>
      <c r="F46" s="757">
        <v>1800</v>
      </c>
      <c r="G46" s="746"/>
      <c r="H46" s="752">
        <v>0</v>
      </c>
      <c r="I46" s="753" t="s">
        <v>4872</v>
      </c>
      <c r="J46" s="754">
        <v>200602</v>
      </c>
      <c r="M46" s="756">
        <v>12.05</v>
      </c>
      <c r="N46" s="756"/>
    </row>
    <row r="47" spans="1:14 16149:16384">
      <c r="A47" t="s">
        <v>1227</v>
      </c>
      <c r="B47" s="742" t="s">
        <v>4930</v>
      </c>
      <c r="C47" s="767">
        <v>200611</v>
      </c>
      <c r="D47" s="782" t="s">
        <v>4931</v>
      </c>
      <c r="E47" s="745" t="s">
        <v>4895</v>
      </c>
      <c r="F47" s="757">
        <v>40</v>
      </c>
      <c r="G47" s="746"/>
      <c r="H47" s="752">
        <v>0</v>
      </c>
      <c r="I47" s="753" t="s">
        <v>4872</v>
      </c>
      <c r="J47" s="754">
        <v>200611</v>
      </c>
      <c r="M47" s="756">
        <v>28.6</v>
      </c>
      <c r="N47" s="756"/>
    </row>
    <row r="48" spans="1:14 16149:16384" ht="39.6">
      <c r="A48" t="s">
        <v>1227</v>
      </c>
      <c r="B48" s="742" t="s">
        <v>4932</v>
      </c>
      <c r="C48" s="767">
        <v>200605</v>
      </c>
      <c r="D48" s="782" t="s">
        <v>4933</v>
      </c>
      <c r="E48" s="745" t="s">
        <v>4895</v>
      </c>
      <c r="F48" s="757">
        <v>40</v>
      </c>
      <c r="G48" s="746"/>
      <c r="H48" s="752">
        <v>0</v>
      </c>
      <c r="I48" s="753" t="s">
        <v>4872</v>
      </c>
      <c r="J48" s="754">
        <v>200605</v>
      </c>
      <c r="M48" s="756">
        <v>556.32000000000005</v>
      </c>
      <c r="N48" s="756"/>
    </row>
    <row r="49" spans="1:19" ht="36.75" customHeight="1">
      <c r="A49" t="s">
        <v>1227</v>
      </c>
      <c r="B49" s="742" t="s">
        <v>4934</v>
      </c>
      <c r="C49" s="764"/>
      <c r="D49" s="749" t="s">
        <v>4935</v>
      </c>
      <c r="E49" s="745" t="s">
        <v>1429</v>
      </c>
      <c r="F49" s="757">
        <v>5966</v>
      </c>
      <c r="G49" s="746"/>
      <c r="H49" s="752">
        <v>0</v>
      </c>
      <c r="I49" s="753" t="s">
        <v>4908</v>
      </c>
      <c r="J49" s="745" t="s">
        <v>4936</v>
      </c>
      <c r="M49" s="765">
        <v>4.7</v>
      </c>
      <c r="N49" s="765"/>
    </row>
    <row r="50" spans="1:19" s="785" customFormat="1" ht="26.4">
      <c r="A50" s="785" t="s">
        <v>1227</v>
      </c>
      <c r="B50" s="787" t="s">
        <v>4937</v>
      </c>
      <c r="C50" s="788">
        <v>200320</v>
      </c>
      <c r="D50" s="789" t="s">
        <v>4938</v>
      </c>
      <c r="E50" s="790" t="s">
        <v>4906</v>
      </c>
      <c r="F50" s="791">
        <v>0</v>
      </c>
      <c r="G50" s="746"/>
      <c r="H50" s="792">
        <v>0</v>
      </c>
      <c r="I50" s="793" t="s">
        <v>4872</v>
      </c>
      <c r="J50" s="794">
        <v>200320</v>
      </c>
      <c r="M50" s="795">
        <v>1176.6500000000001</v>
      </c>
      <c r="N50" s="795"/>
      <c r="S50" s="796"/>
    </row>
    <row r="51" spans="1:19" s="785" customFormat="1" ht="26.4">
      <c r="A51" s="785" t="s">
        <v>1227</v>
      </c>
      <c r="B51" s="787" t="s">
        <v>4939</v>
      </c>
      <c r="C51" s="788">
        <v>200321</v>
      </c>
      <c r="D51" s="789" t="s">
        <v>4940</v>
      </c>
      <c r="E51" s="790" t="s">
        <v>4906</v>
      </c>
      <c r="F51" s="791">
        <v>0</v>
      </c>
      <c r="G51" s="746"/>
      <c r="H51" s="792">
        <v>0</v>
      </c>
      <c r="I51" s="793" t="s">
        <v>4872</v>
      </c>
      <c r="J51" s="794">
        <v>200321</v>
      </c>
      <c r="M51" s="795">
        <v>679.64</v>
      </c>
      <c r="N51" s="795"/>
      <c r="S51" s="796"/>
    </row>
    <row r="52" spans="1:19">
      <c r="A52" t="s">
        <v>1227</v>
      </c>
      <c r="B52" s="742" t="s">
        <v>4941</v>
      </c>
      <c r="C52" s="767"/>
      <c r="D52" s="742" t="s">
        <v>4942</v>
      </c>
      <c r="E52" s="745" t="s">
        <v>4943</v>
      </c>
      <c r="F52" s="757">
        <v>12</v>
      </c>
      <c r="G52" s="746"/>
      <c r="H52" s="752">
        <v>0</v>
      </c>
      <c r="I52" s="753"/>
      <c r="J52" s="745"/>
      <c r="M52" s="756">
        <v>900</v>
      </c>
      <c r="N52" s="756"/>
    </row>
    <row r="53" spans="1:19">
      <c r="B53" s="742"/>
      <c r="C53" s="745"/>
      <c r="D53" s="797" t="s">
        <v>4887</v>
      </c>
      <c r="E53" s="745"/>
      <c r="F53" s="757"/>
      <c r="G53" s="746"/>
      <c r="H53" s="759">
        <v>0</v>
      </c>
      <c r="I53" s="753"/>
      <c r="J53" s="745"/>
      <c r="M53" s="756"/>
      <c r="N53" s="756"/>
    </row>
    <row r="54" spans="1:19">
      <c r="B54" s="742"/>
      <c r="C54" s="745"/>
      <c r="D54" s="797"/>
      <c r="E54" s="745"/>
      <c r="F54" s="757"/>
      <c r="G54" s="746"/>
      <c r="H54" s="759"/>
      <c r="I54" s="753"/>
      <c r="J54" s="745"/>
      <c r="M54" s="756"/>
      <c r="N54" s="756"/>
    </row>
    <row r="55" spans="1:19">
      <c r="B55" s="760">
        <v>3</v>
      </c>
      <c r="C55" s="769"/>
      <c r="D55" s="797" t="s">
        <v>4944</v>
      </c>
      <c r="E55" s="745"/>
      <c r="F55" s="757"/>
      <c r="G55" s="746"/>
      <c r="H55" s="759"/>
      <c r="I55" s="753"/>
      <c r="J55" s="745"/>
      <c r="M55" s="756"/>
      <c r="N55" s="756"/>
    </row>
    <row r="56" spans="1:19">
      <c r="B56" s="760" t="s">
        <v>98</v>
      </c>
      <c r="C56" s="769"/>
      <c r="D56" s="797" t="s">
        <v>4945</v>
      </c>
      <c r="E56" s="745"/>
      <c r="F56" s="757"/>
      <c r="G56" s="746"/>
      <c r="H56" s="759"/>
      <c r="I56" s="753"/>
      <c r="J56" s="745"/>
      <c r="M56" s="756"/>
      <c r="N56" s="756"/>
    </row>
    <row r="57" spans="1:19" ht="39.6">
      <c r="A57" t="s">
        <v>1227</v>
      </c>
      <c r="B57" s="742" t="s">
        <v>100</v>
      </c>
      <c r="C57" s="767">
        <v>10108</v>
      </c>
      <c r="D57" s="782" t="s">
        <v>4946</v>
      </c>
      <c r="E57" s="745" t="s">
        <v>1429</v>
      </c>
      <c r="F57" s="757">
        <v>9244</v>
      </c>
      <c r="G57" s="746"/>
      <c r="H57" s="752">
        <v>0</v>
      </c>
      <c r="I57" s="753" t="s">
        <v>4908</v>
      </c>
      <c r="J57" s="745" t="s">
        <v>4947</v>
      </c>
      <c r="K57">
        <v>2.12</v>
      </c>
      <c r="M57" s="756">
        <v>2.09</v>
      </c>
      <c r="N57" s="756"/>
    </row>
    <row r="58" spans="1:19" ht="26.4">
      <c r="A58" t="s">
        <v>1227</v>
      </c>
      <c r="B58" s="742" t="s">
        <v>4948</v>
      </c>
      <c r="C58" s="767">
        <v>72209</v>
      </c>
      <c r="D58" s="782" t="s">
        <v>4949</v>
      </c>
      <c r="E58" s="745" t="s">
        <v>1399</v>
      </c>
      <c r="F58" s="757">
        <v>924</v>
      </c>
      <c r="G58" s="746"/>
      <c r="H58" s="752">
        <v>0</v>
      </c>
      <c r="I58" s="753" t="s">
        <v>4890</v>
      </c>
      <c r="J58" s="745">
        <v>72209</v>
      </c>
      <c r="K58">
        <v>11.45</v>
      </c>
      <c r="M58" s="756">
        <v>11.45</v>
      </c>
      <c r="N58" s="756"/>
    </row>
    <row r="59" spans="1:19">
      <c r="A59" t="s">
        <v>1227</v>
      </c>
      <c r="B59" s="742" t="s">
        <v>4950</v>
      </c>
      <c r="C59" s="767">
        <v>10301</v>
      </c>
      <c r="D59" s="782" t="s">
        <v>4951</v>
      </c>
      <c r="E59" s="745" t="s">
        <v>1399</v>
      </c>
      <c r="F59" s="757">
        <v>2850</v>
      </c>
      <c r="G59" s="746"/>
      <c r="H59" s="752">
        <v>0</v>
      </c>
      <c r="I59" s="753" t="s">
        <v>4872</v>
      </c>
      <c r="J59" s="754">
        <v>10301</v>
      </c>
      <c r="M59" s="756">
        <v>6.68</v>
      </c>
      <c r="N59" s="756"/>
    </row>
    <row r="60" spans="1:19" ht="26.4">
      <c r="A60" t="s">
        <v>1227</v>
      </c>
      <c r="B60" s="742" t="s">
        <v>4952</v>
      </c>
      <c r="C60" s="767">
        <v>72875</v>
      </c>
      <c r="D60" s="782" t="s">
        <v>4953</v>
      </c>
      <c r="E60" s="745" t="s">
        <v>4954</v>
      </c>
      <c r="F60" s="757">
        <v>57000</v>
      </c>
      <c r="G60" s="746"/>
      <c r="H60" s="752">
        <v>0</v>
      </c>
      <c r="I60" s="753" t="s">
        <v>4890</v>
      </c>
      <c r="J60" s="745">
        <v>72875</v>
      </c>
      <c r="M60" s="756">
        <v>0.9</v>
      </c>
      <c r="N60" s="756"/>
    </row>
    <row r="61" spans="1:19">
      <c r="A61" t="s">
        <v>1227</v>
      </c>
      <c r="B61" s="742"/>
      <c r="C61" s="767"/>
      <c r="D61" s="782" t="s">
        <v>4955</v>
      </c>
      <c r="E61" s="745" t="s">
        <v>1399</v>
      </c>
      <c r="F61" s="757">
        <v>924</v>
      </c>
      <c r="G61" s="746"/>
      <c r="H61" s="752">
        <v>0</v>
      </c>
      <c r="I61" s="1406" t="s">
        <v>4956</v>
      </c>
      <c r="J61" s="1406"/>
      <c r="M61" s="756">
        <v>18.329999999999998</v>
      </c>
      <c r="N61" s="756"/>
    </row>
    <row r="62" spans="1:19">
      <c r="B62" s="742"/>
      <c r="C62" s="745"/>
      <c r="D62" s="797" t="s">
        <v>4887</v>
      </c>
      <c r="E62" s="745"/>
      <c r="F62" s="757"/>
      <c r="G62" s="746"/>
      <c r="H62" s="759">
        <v>0</v>
      </c>
      <c r="I62" s="753"/>
      <c r="J62" s="745"/>
      <c r="M62" s="756"/>
      <c r="N62" s="756"/>
    </row>
    <row r="63" spans="1:19">
      <c r="B63" s="742"/>
      <c r="C63" s="745"/>
      <c r="D63" s="797"/>
      <c r="E63" s="745"/>
      <c r="F63" s="757"/>
      <c r="G63" s="746"/>
      <c r="H63" s="759"/>
      <c r="I63" s="753"/>
      <c r="J63" s="745"/>
      <c r="M63" s="756"/>
      <c r="N63" s="756"/>
    </row>
    <row r="64" spans="1:19">
      <c r="B64" s="760">
        <v>4</v>
      </c>
      <c r="C64" s="769"/>
      <c r="D64" s="758" t="s">
        <v>4957</v>
      </c>
      <c r="E64" s="745"/>
      <c r="F64" s="757"/>
      <c r="G64" s="746"/>
      <c r="H64" s="759"/>
      <c r="I64" s="753"/>
      <c r="J64" s="745"/>
      <c r="M64" s="756"/>
      <c r="N64" s="756"/>
    </row>
    <row r="65" spans="1:14">
      <c r="B65" s="760"/>
      <c r="C65" s="769"/>
      <c r="D65" s="758"/>
      <c r="E65" s="745"/>
      <c r="F65" s="757"/>
      <c r="G65" s="746"/>
      <c r="H65" s="759"/>
      <c r="I65" s="753"/>
      <c r="J65" s="745"/>
      <c r="M65" s="756"/>
      <c r="N65" s="756"/>
    </row>
    <row r="66" spans="1:14">
      <c r="A66" t="s">
        <v>1227</v>
      </c>
      <c r="B66" s="742" t="s">
        <v>138</v>
      </c>
      <c r="C66" s="767">
        <v>20182</v>
      </c>
      <c r="D66" s="782" t="s">
        <v>4958</v>
      </c>
      <c r="E66" s="745" t="s">
        <v>4959</v>
      </c>
      <c r="F66" s="757">
        <v>869.5</v>
      </c>
      <c r="G66" s="746"/>
      <c r="H66" s="752">
        <v>0</v>
      </c>
      <c r="I66" s="753" t="s">
        <v>4872</v>
      </c>
      <c r="J66" s="754">
        <v>20182</v>
      </c>
      <c r="M66" s="756">
        <v>75.547918199999998</v>
      </c>
      <c r="N66" s="756"/>
    </row>
    <row r="67" spans="1:14">
      <c r="A67" t="s">
        <v>1227</v>
      </c>
      <c r="B67" s="742" t="s">
        <v>140</v>
      </c>
      <c r="C67" s="767">
        <v>20184</v>
      </c>
      <c r="D67" s="782" t="s">
        <v>4960</v>
      </c>
      <c r="E67" s="745" t="s">
        <v>4959</v>
      </c>
      <c r="F67" s="757">
        <v>1165.5</v>
      </c>
      <c r="G67" s="746"/>
      <c r="H67" s="752">
        <v>0</v>
      </c>
      <c r="I67" s="753" t="s">
        <v>4872</v>
      </c>
      <c r="J67" s="754">
        <v>20184</v>
      </c>
      <c r="M67" s="756">
        <v>132.63269210000001</v>
      </c>
      <c r="N67" s="756"/>
    </row>
    <row r="68" spans="1:14">
      <c r="A68" t="s">
        <v>1227</v>
      </c>
      <c r="B68" s="742" t="s">
        <v>142</v>
      </c>
      <c r="C68" s="767">
        <v>20185</v>
      </c>
      <c r="D68" s="782" t="s">
        <v>4961</v>
      </c>
      <c r="E68" s="745" t="s">
        <v>4959</v>
      </c>
      <c r="F68" s="757">
        <v>1128.5</v>
      </c>
      <c r="G68" s="746"/>
      <c r="H68" s="752">
        <v>0</v>
      </c>
      <c r="I68" s="753" t="s">
        <v>4872</v>
      </c>
      <c r="J68" s="754">
        <v>20185</v>
      </c>
      <c r="M68" s="756">
        <v>178.32477399999999</v>
      </c>
      <c r="N68" s="756"/>
    </row>
    <row r="69" spans="1:14">
      <c r="A69" t="s">
        <v>1227</v>
      </c>
      <c r="B69" s="742" t="s">
        <v>4962</v>
      </c>
      <c r="C69" s="767">
        <v>72820</v>
      </c>
      <c r="D69" s="782" t="s">
        <v>4963</v>
      </c>
      <c r="E69" s="745" t="s">
        <v>4964</v>
      </c>
      <c r="F69" s="757">
        <v>171</v>
      </c>
      <c r="G69" s="746"/>
      <c r="H69" s="752">
        <v>0</v>
      </c>
      <c r="I69" s="753" t="s">
        <v>4890</v>
      </c>
      <c r="J69" s="745">
        <v>72820</v>
      </c>
      <c r="K69">
        <v>23.72</v>
      </c>
      <c r="M69" s="756">
        <v>23.75</v>
      </c>
      <c r="N69" s="756"/>
    </row>
    <row r="70" spans="1:14" ht="26.4">
      <c r="A70" t="s">
        <v>1227</v>
      </c>
      <c r="B70" s="742" t="s">
        <v>4965</v>
      </c>
      <c r="C70" s="767">
        <v>72875</v>
      </c>
      <c r="D70" s="782" t="s">
        <v>4953</v>
      </c>
      <c r="E70" s="745" t="s">
        <v>4954</v>
      </c>
      <c r="F70" s="757">
        <v>23040</v>
      </c>
      <c r="G70" s="746"/>
      <c r="H70" s="752">
        <v>0</v>
      </c>
      <c r="I70" s="753" t="s">
        <v>4890</v>
      </c>
      <c r="J70" s="745">
        <v>72875</v>
      </c>
      <c r="M70" s="756">
        <v>0.9</v>
      </c>
      <c r="N70" s="756"/>
    </row>
    <row r="71" spans="1:14">
      <c r="B71" s="760"/>
      <c r="C71" s="769"/>
      <c r="D71" s="797" t="s">
        <v>4887</v>
      </c>
      <c r="E71" s="745"/>
      <c r="F71" s="757"/>
      <c r="G71" s="746"/>
      <c r="H71" s="759">
        <v>0</v>
      </c>
      <c r="I71" s="753"/>
      <c r="J71" s="745"/>
      <c r="M71" s="756"/>
      <c r="N71" s="756"/>
    </row>
    <row r="72" spans="1:14">
      <c r="B72" s="760"/>
      <c r="C72" s="769"/>
      <c r="D72" s="758"/>
      <c r="E72" s="745"/>
      <c r="F72" s="757"/>
      <c r="G72" s="746"/>
      <c r="H72" s="757"/>
      <c r="I72" s="753"/>
      <c r="J72" s="745"/>
      <c r="M72" s="756"/>
      <c r="N72" s="756"/>
    </row>
    <row r="73" spans="1:14">
      <c r="B73" s="760">
        <v>5</v>
      </c>
      <c r="C73" s="769"/>
      <c r="D73" s="758" t="s">
        <v>4966</v>
      </c>
      <c r="E73" s="745"/>
      <c r="F73" s="757"/>
      <c r="G73" s="746"/>
      <c r="H73" s="757"/>
      <c r="I73" s="753"/>
      <c r="J73" s="745"/>
      <c r="M73" s="756"/>
      <c r="N73" s="756"/>
    </row>
    <row r="74" spans="1:14">
      <c r="B74" s="760" t="s">
        <v>165</v>
      </c>
      <c r="C74" s="769"/>
      <c r="D74" s="758" t="s">
        <v>4967</v>
      </c>
      <c r="E74" s="745"/>
      <c r="F74" s="757"/>
      <c r="G74" s="746"/>
      <c r="H74" s="757"/>
      <c r="I74" s="753"/>
      <c r="J74" s="745"/>
      <c r="M74" s="756"/>
      <c r="N74" s="756"/>
    </row>
    <row r="75" spans="1:14" ht="26.4">
      <c r="A75" t="s">
        <v>1227</v>
      </c>
      <c r="B75" s="742" t="s">
        <v>168</v>
      </c>
      <c r="C75" s="767">
        <v>6430</v>
      </c>
      <c r="D75" s="782" t="s">
        <v>4968</v>
      </c>
      <c r="E75" s="745" t="s">
        <v>1399</v>
      </c>
      <c r="F75" s="757">
        <v>1120</v>
      </c>
      <c r="G75" s="746"/>
      <c r="H75" s="752">
        <v>0</v>
      </c>
      <c r="I75" s="753" t="s">
        <v>4890</v>
      </c>
      <c r="J75" s="745">
        <v>6430</v>
      </c>
      <c r="K75">
        <v>29.25</v>
      </c>
      <c r="M75" s="756">
        <v>25.43</v>
      </c>
      <c r="N75" s="756"/>
    </row>
    <row r="76" spans="1:14" ht="26.4">
      <c r="A76" t="s">
        <v>1227</v>
      </c>
      <c r="B76" s="742" t="s">
        <v>170</v>
      </c>
      <c r="C76" s="767">
        <v>20210</v>
      </c>
      <c r="D76" s="782" t="s">
        <v>4969</v>
      </c>
      <c r="E76" s="745" t="s">
        <v>1429</v>
      </c>
      <c r="F76" s="757">
        <v>223</v>
      </c>
      <c r="G76" s="746"/>
      <c r="H76" s="752">
        <v>0</v>
      </c>
      <c r="I76" s="753" t="s">
        <v>4908</v>
      </c>
      <c r="J76" s="745">
        <v>73733</v>
      </c>
      <c r="K76">
        <v>2.86</v>
      </c>
      <c r="M76" s="756">
        <v>2.09</v>
      </c>
      <c r="N76" s="756"/>
    </row>
    <row r="77" spans="1:14">
      <c r="A77" t="s">
        <v>1227</v>
      </c>
      <c r="B77" s="742" t="s">
        <v>172</v>
      </c>
      <c r="C77" s="767">
        <v>20216</v>
      </c>
      <c r="D77" s="782" t="s">
        <v>4970</v>
      </c>
      <c r="E77" s="745" t="s">
        <v>1399</v>
      </c>
      <c r="F77" s="757">
        <v>33</v>
      </c>
      <c r="G77" s="746"/>
      <c r="H77" s="752">
        <v>0</v>
      </c>
      <c r="I77" s="753" t="s">
        <v>4908</v>
      </c>
      <c r="J77" s="745">
        <v>5652</v>
      </c>
      <c r="M77" s="756">
        <v>222.42432700000001</v>
      </c>
      <c r="N77" s="756"/>
    </row>
    <row r="78" spans="1:14" ht="26.4">
      <c r="A78" t="s">
        <v>1227</v>
      </c>
      <c r="B78" s="742" t="s">
        <v>174</v>
      </c>
      <c r="C78" s="767">
        <v>20304</v>
      </c>
      <c r="D78" s="782" t="s">
        <v>4971</v>
      </c>
      <c r="E78" s="745" t="s">
        <v>1429</v>
      </c>
      <c r="F78" s="757">
        <v>920</v>
      </c>
      <c r="G78" s="746"/>
      <c r="H78" s="752">
        <v>0</v>
      </c>
      <c r="I78" s="753" t="s">
        <v>4908</v>
      </c>
      <c r="J78" s="745">
        <v>73422</v>
      </c>
      <c r="K78">
        <v>45.07</v>
      </c>
      <c r="M78" s="756">
        <v>41</v>
      </c>
      <c r="N78" s="756"/>
    </row>
    <row r="79" spans="1:14">
      <c r="A79" t="s">
        <v>1227</v>
      </c>
      <c r="B79" s="742" t="s">
        <v>176</v>
      </c>
      <c r="C79" s="767">
        <v>20404</v>
      </c>
      <c r="D79" s="782" t="s">
        <v>4972</v>
      </c>
      <c r="E79" s="745" t="s">
        <v>4973</v>
      </c>
      <c r="F79" s="757">
        <v>16812</v>
      </c>
      <c r="G79" s="746"/>
      <c r="H79" s="752">
        <v>0</v>
      </c>
      <c r="I79" s="753" t="s">
        <v>4908</v>
      </c>
      <c r="J79" s="745" t="s">
        <v>4974</v>
      </c>
      <c r="K79">
        <v>5.72</v>
      </c>
      <c r="M79" s="756">
        <v>5.15</v>
      </c>
      <c r="N79" s="756"/>
    </row>
    <row r="80" spans="1:14">
      <c r="A80" t="s">
        <v>1227</v>
      </c>
      <c r="B80" s="742" t="s">
        <v>178</v>
      </c>
      <c r="C80" s="767">
        <v>20511</v>
      </c>
      <c r="D80" s="782" t="s">
        <v>4975</v>
      </c>
      <c r="E80" s="745" t="s">
        <v>1399</v>
      </c>
      <c r="F80" s="757">
        <v>359</v>
      </c>
      <c r="G80" s="746"/>
      <c r="H80" s="752">
        <v>0</v>
      </c>
      <c r="I80" s="753" t="s">
        <v>4908</v>
      </c>
      <c r="J80" s="745" t="s">
        <v>4976</v>
      </c>
      <c r="K80">
        <v>340.89</v>
      </c>
      <c r="M80" s="756">
        <v>322.26349690000001</v>
      </c>
      <c r="N80" s="756"/>
    </row>
    <row r="81" spans="1:14">
      <c r="A81" t="s">
        <v>1227</v>
      </c>
      <c r="B81" s="742" t="s">
        <v>180</v>
      </c>
      <c r="C81" s="767">
        <v>72920</v>
      </c>
      <c r="D81" s="782" t="s">
        <v>4977</v>
      </c>
      <c r="E81" s="745" t="s">
        <v>1399</v>
      </c>
      <c r="F81" s="757">
        <v>269</v>
      </c>
      <c r="G81" s="746"/>
      <c r="H81" s="752">
        <v>0</v>
      </c>
      <c r="I81" s="753" t="s">
        <v>4908</v>
      </c>
      <c r="J81" s="745" t="s">
        <v>4978</v>
      </c>
      <c r="K81">
        <v>17.8</v>
      </c>
      <c r="M81" s="756">
        <v>11.04</v>
      </c>
      <c r="N81" s="756"/>
    </row>
    <row r="82" spans="1:14">
      <c r="B82" s="742"/>
      <c r="C82" s="745"/>
      <c r="D82" s="798"/>
      <c r="E82" s="745"/>
      <c r="F82" s="757"/>
      <c r="G82" s="746"/>
      <c r="H82" s="759">
        <v>0</v>
      </c>
      <c r="I82" s="753"/>
      <c r="J82" s="745"/>
      <c r="M82" s="756"/>
      <c r="N82" s="756"/>
    </row>
    <row r="83" spans="1:14">
      <c r="B83" s="760">
        <v>6</v>
      </c>
      <c r="C83" s="769"/>
      <c r="D83" s="760" t="s">
        <v>4979</v>
      </c>
      <c r="E83" s="745"/>
      <c r="F83" s="757"/>
      <c r="G83" s="746"/>
      <c r="H83" s="759"/>
      <c r="I83" s="753"/>
      <c r="J83" s="745"/>
      <c r="M83" s="756"/>
      <c r="N83" s="756"/>
    </row>
    <row r="84" spans="1:14">
      <c r="B84" s="760" t="s">
        <v>227</v>
      </c>
      <c r="C84" s="769"/>
      <c r="D84" s="760" t="s">
        <v>4980</v>
      </c>
      <c r="E84" s="745"/>
      <c r="F84" s="757"/>
      <c r="G84" s="746"/>
      <c r="H84" s="759"/>
      <c r="I84" s="753"/>
      <c r="J84" s="745"/>
      <c r="M84" s="756"/>
      <c r="N84" s="756"/>
    </row>
    <row r="85" spans="1:14">
      <c r="A85" t="s">
        <v>1227</v>
      </c>
      <c r="B85" s="742" t="s">
        <v>230</v>
      </c>
      <c r="C85" s="767"/>
      <c r="D85" s="782" t="s">
        <v>4981</v>
      </c>
      <c r="E85" s="745" t="s">
        <v>1429</v>
      </c>
      <c r="F85" s="757">
        <v>18075</v>
      </c>
      <c r="G85" s="746"/>
      <c r="H85" s="752">
        <v>0</v>
      </c>
      <c r="I85" s="753" t="s">
        <v>4872</v>
      </c>
      <c r="J85" s="754">
        <v>30117</v>
      </c>
      <c r="M85" s="756">
        <v>40.909999999999997</v>
      </c>
      <c r="N85" s="756"/>
    </row>
    <row r="86" spans="1:14">
      <c r="A86" t="s">
        <v>1227</v>
      </c>
      <c r="B86" s="742" t="s">
        <v>232</v>
      </c>
      <c r="C86" s="767">
        <v>30204</v>
      </c>
      <c r="D86" s="782" t="s">
        <v>4972</v>
      </c>
      <c r="E86" s="745" t="s">
        <v>4973</v>
      </c>
      <c r="F86" s="757">
        <v>232799</v>
      </c>
      <c r="G86" s="746"/>
      <c r="H86" s="752">
        <v>0</v>
      </c>
      <c r="I86" s="753" t="s">
        <v>4908</v>
      </c>
      <c r="J86" s="745" t="s">
        <v>4974</v>
      </c>
      <c r="K86">
        <v>5.72</v>
      </c>
      <c r="M86" s="756">
        <v>5.15</v>
      </c>
      <c r="N86" s="756"/>
    </row>
    <row r="87" spans="1:14">
      <c r="A87" t="s">
        <v>1227</v>
      </c>
      <c r="B87" s="742" t="s">
        <v>234</v>
      </c>
      <c r="C87" s="767">
        <v>86200</v>
      </c>
      <c r="D87" s="742" t="s">
        <v>4982</v>
      </c>
      <c r="E87" s="745" t="s">
        <v>4973</v>
      </c>
      <c r="F87" s="757">
        <v>90890</v>
      </c>
      <c r="G87" s="746"/>
      <c r="H87" s="752">
        <v>0</v>
      </c>
      <c r="I87" s="753" t="s">
        <v>4875</v>
      </c>
      <c r="J87" s="754">
        <v>86200</v>
      </c>
      <c r="M87" s="756">
        <v>17.739999999999998</v>
      </c>
      <c r="N87" s="756"/>
    </row>
    <row r="88" spans="1:14" ht="26.4">
      <c r="A88" t="s">
        <v>1227</v>
      </c>
      <c r="B88" s="742" t="s">
        <v>236</v>
      </c>
      <c r="C88" s="767"/>
      <c r="D88" s="782" t="s">
        <v>4983</v>
      </c>
      <c r="E88" s="745" t="s">
        <v>1399</v>
      </c>
      <c r="F88" s="757">
        <v>2690</v>
      </c>
      <c r="G88" s="746"/>
      <c r="H88" s="752">
        <v>0</v>
      </c>
      <c r="I88" s="1406" t="s">
        <v>4984</v>
      </c>
      <c r="J88" s="1406"/>
      <c r="M88" s="756">
        <v>445.25</v>
      </c>
      <c r="N88" s="756"/>
    </row>
    <row r="89" spans="1:14">
      <c r="A89" t="s">
        <v>1227</v>
      </c>
      <c r="B89" s="742" t="s">
        <v>240</v>
      </c>
      <c r="C89" s="745"/>
      <c r="D89" s="742" t="s">
        <v>4985</v>
      </c>
      <c r="E89" s="745" t="s">
        <v>1399</v>
      </c>
      <c r="F89" s="757">
        <v>694</v>
      </c>
      <c r="G89" s="746"/>
      <c r="H89" s="752">
        <v>0</v>
      </c>
      <c r="I89" s="753"/>
      <c r="J89" s="745"/>
      <c r="M89" s="756">
        <v>142.69999999999999</v>
      </c>
      <c r="N89" s="756"/>
    </row>
    <row r="90" spans="1:14">
      <c r="A90" t="s">
        <v>1227</v>
      </c>
      <c r="B90" s="742" t="s">
        <v>242</v>
      </c>
      <c r="C90" s="767">
        <v>30130</v>
      </c>
      <c r="D90" s="782" t="s">
        <v>4986</v>
      </c>
      <c r="E90" s="745" t="s">
        <v>1399</v>
      </c>
      <c r="F90" s="757">
        <v>20253</v>
      </c>
      <c r="G90" s="746"/>
      <c r="H90" s="752">
        <v>0</v>
      </c>
      <c r="I90" s="753" t="s">
        <v>4875</v>
      </c>
      <c r="J90" s="754">
        <v>81802</v>
      </c>
      <c r="M90" s="756">
        <v>11.47</v>
      </c>
      <c r="N90" s="756"/>
    </row>
    <row r="91" spans="1:14">
      <c r="B91" s="742"/>
      <c r="C91" s="745"/>
      <c r="D91" s="758" t="s">
        <v>4887</v>
      </c>
      <c r="E91" s="745"/>
      <c r="F91" s="757"/>
      <c r="G91" s="746"/>
      <c r="H91" s="759">
        <v>0</v>
      </c>
      <c r="I91" s="753"/>
      <c r="J91" s="745"/>
      <c r="M91" s="756"/>
      <c r="N91" s="756"/>
    </row>
    <row r="92" spans="1:14">
      <c r="B92" s="742"/>
      <c r="C92" s="745"/>
      <c r="D92" s="798"/>
      <c r="E92" s="745"/>
      <c r="F92" s="757"/>
      <c r="G92" s="746"/>
      <c r="H92" s="759"/>
      <c r="I92" s="753"/>
      <c r="J92" s="745"/>
      <c r="M92" s="756">
        <v>277.66666666666703</v>
      </c>
      <c r="N92" s="756"/>
    </row>
    <row r="93" spans="1:14">
      <c r="B93" s="760">
        <v>7</v>
      </c>
      <c r="C93" s="769"/>
      <c r="D93" s="758" t="s">
        <v>4987</v>
      </c>
      <c r="E93" s="745"/>
      <c r="F93" s="757"/>
      <c r="G93" s="746"/>
      <c r="H93" s="757"/>
      <c r="I93" s="753"/>
      <c r="J93" s="745"/>
      <c r="M93" s="756"/>
      <c r="N93" s="756"/>
    </row>
    <row r="94" spans="1:14">
      <c r="B94" s="760" t="s">
        <v>296</v>
      </c>
      <c r="C94" s="769"/>
      <c r="D94" s="758" t="s">
        <v>4988</v>
      </c>
      <c r="E94" s="745"/>
      <c r="F94" s="757"/>
      <c r="G94" s="746"/>
      <c r="H94" s="757"/>
      <c r="I94" s="753"/>
      <c r="J94" s="745"/>
      <c r="M94" s="756"/>
      <c r="N94" s="756"/>
    </row>
    <row r="95" spans="1:14" ht="26.4">
      <c r="A95" t="s">
        <v>1227</v>
      </c>
      <c r="B95" s="742" t="s">
        <v>1468</v>
      </c>
      <c r="C95" s="767">
        <v>40134</v>
      </c>
      <c r="D95" s="782" t="s">
        <v>4989</v>
      </c>
      <c r="E95" s="745" t="s">
        <v>1429</v>
      </c>
      <c r="F95" s="757">
        <v>75</v>
      </c>
      <c r="G95" s="746"/>
      <c r="H95" s="752">
        <v>0</v>
      </c>
      <c r="I95" s="753" t="s">
        <v>4872</v>
      </c>
      <c r="J95" s="754">
        <v>40134</v>
      </c>
      <c r="M95" s="756">
        <v>61.52</v>
      </c>
      <c r="N95" s="756"/>
    </row>
    <row r="96" spans="1:14">
      <c r="A96" t="s">
        <v>1227</v>
      </c>
      <c r="B96" s="742" t="s">
        <v>1471</v>
      </c>
      <c r="C96" s="767"/>
      <c r="D96" s="782" t="s">
        <v>4990</v>
      </c>
      <c r="E96" s="745" t="s">
        <v>1429</v>
      </c>
      <c r="F96" s="757">
        <v>1094</v>
      </c>
      <c r="G96" s="746"/>
      <c r="H96" s="752">
        <v>0</v>
      </c>
      <c r="I96" s="753" t="s">
        <v>4908</v>
      </c>
      <c r="J96" s="745" t="s">
        <v>4991</v>
      </c>
      <c r="M96" s="756">
        <v>31.16</v>
      </c>
      <c r="N96" s="756"/>
    </row>
    <row r="97" spans="1:14">
      <c r="A97" t="s">
        <v>1227</v>
      </c>
      <c r="B97" s="742" t="s">
        <v>4992</v>
      </c>
      <c r="C97" s="767">
        <v>40101</v>
      </c>
      <c r="D97" s="782" t="s">
        <v>4993</v>
      </c>
      <c r="E97" s="745" t="s">
        <v>1429</v>
      </c>
      <c r="F97" s="757">
        <v>118</v>
      </c>
      <c r="G97" s="746"/>
      <c r="H97" s="752">
        <v>0</v>
      </c>
      <c r="I97" s="753" t="s">
        <v>4872</v>
      </c>
      <c r="J97" s="754">
        <v>40101</v>
      </c>
      <c r="M97" s="756">
        <v>27.42</v>
      </c>
      <c r="N97" s="756"/>
    </row>
    <row r="98" spans="1:14">
      <c r="A98" t="s">
        <v>1227</v>
      </c>
      <c r="B98" s="742" t="s">
        <v>4994</v>
      </c>
      <c r="C98" s="767">
        <v>40198</v>
      </c>
      <c r="D98" s="782" t="s">
        <v>4995</v>
      </c>
      <c r="E98" s="745" t="s">
        <v>1399</v>
      </c>
      <c r="F98" s="757">
        <v>8</v>
      </c>
      <c r="G98" s="746"/>
      <c r="H98" s="752">
        <v>0</v>
      </c>
      <c r="I98" s="753" t="s">
        <v>4872</v>
      </c>
      <c r="J98" s="754">
        <v>40198</v>
      </c>
      <c r="M98" s="756">
        <v>784.67</v>
      </c>
      <c r="N98" s="756"/>
    </row>
    <row r="99" spans="1:14">
      <c r="B99" s="760" t="s">
        <v>301</v>
      </c>
      <c r="C99" s="769"/>
      <c r="D99" s="758" t="s">
        <v>4996</v>
      </c>
      <c r="E99" s="745"/>
      <c r="F99" s="757"/>
      <c r="G99" s="746"/>
      <c r="H99" s="752"/>
      <c r="I99" s="753"/>
      <c r="J99" s="745"/>
      <c r="M99" s="756">
        <v>0</v>
      </c>
      <c r="N99" s="756"/>
    </row>
    <row r="100" spans="1:14">
      <c r="A100" t="s">
        <v>1227</v>
      </c>
      <c r="B100" s="742" t="s">
        <v>303</v>
      </c>
      <c r="C100" s="745"/>
      <c r="D100" s="798" t="s">
        <v>4997</v>
      </c>
      <c r="E100" s="745" t="s">
        <v>1429</v>
      </c>
      <c r="F100" s="757">
        <v>114</v>
      </c>
      <c r="G100" s="746"/>
      <c r="H100" s="752">
        <v>0</v>
      </c>
      <c r="I100" s="753" t="s">
        <v>4998</v>
      </c>
      <c r="J100" s="745" t="s">
        <v>4999</v>
      </c>
      <c r="M100" s="756">
        <v>334.72</v>
      </c>
      <c r="N100" s="756"/>
    </row>
    <row r="101" spans="1:14">
      <c r="A101" t="s">
        <v>1227</v>
      </c>
      <c r="B101" s="742" t="s">
        <v>305</v>
      </c>
      <c r="C101" s="745"/>
      <c r="D101" s="798" t="s">
        <v>5000</v>
      </c>
      <c r="E101" s="745" t="s">
        <v>1429</v>
      </c>
      <c r="F101" s="757">
        <v>198</v>
      </c>
      <c r="G101" s="746"/>
      <c r="H101" s="752">
        <v>0</v>
      </c>
      <c r="I101" s="753"/>
      <c r="J101" s="745"/>
      <c r="M101" s="756">
        <v>295</v>
      </c>
      <c r="N101" s="756"/>
    </row>
    <row r="102" spans="1:14">
      <c r="A102" t="s">
        <v>1227</v>
      </c>
      <c r="B102" s="742" t="s">
        <v>307</v>
      </c>
      <c r="C102" s="745"/>
      <c r="D102" s="798" t="s">
        <v>5001</v>
      </c>
      <c r="E102" s="745" t="s">
        <v>1429</v>
      </c>
      <c r="F102" s="757">
        <v>1356</v>
      </c>
      <c r="G102" s="746"/>
      <c r="H102" s="752">
        <v>0</v>
      </c>
      <c r="I102" s="753" t="s">
        <v>26</v>
      </c>
      <c r="J102" s="745" t="s">
        <v>5002</v>
      </c>
      <c r="M102" s="756">
        <v>63.78</v>
      </c>
      <c r="N102" s="756"/>
    </row>
    <row r="103" spans="1:14">
      <c r="B103" s="742"/>
      <c r="C103" s="745"/>
      <c r="D103" s="758" t="s">
        <v>4887</v>
      </c>
      <c r="E103" s="745"/>
      <c r="F103" s="757"/>
      <c r="G103" s="746"/>
      <c r="H103" s="759">
        <v>0</v>
      </c>
      <c r="I103" s="753"/>
      <c r="J103" s="745"/>
      <c r="M103" s="756"/>
      <c r="N103" s="756"/>
    </row>
    <row r="104" spans="1:14">
      <c r="B104" s="742"/>
      <c r="C104" s="745"/>
      <c r="D104" s="798"/>
      <c r="E104" s="745"/>
      <c r="F104" s="757"/>
      <c r="G104" s="746"/>
      <c r="H104" s="759"/>
      <c r="I104" s="753"/>
      <c r="J104" s="745"/>
      <c r="M104" s="756"/>
      <c r="N104" s="756"/>
    </row>
    <row r="105" spans="1:14">
      <c r="B105" s="760">
        <v>8</v>
      </c>
      <c r="C105" s="769"/>
      <c r="D105" s="758" t="s">
        <v>5003</v>
      </c>
      <c r="E105" s="745"/>
      <c r="F105" s="757"/>
      <c r="G105" s="746"/>
      <c r="H105" s="757"/>
      <c r="I105" s="753"/>
      <c r="J105" s="745"/>
      <c r="M105" s="756"/>
      <c r="N105" s="756"/>
    </row>
    <row r="106" spans="1:14" ht="26.4">
      <c r="A106" t="s">
        <v>1227</v>
      </c>
      <c r="B106" s="742" t="s">
        <v>325</v>
      </c>
      <c r="C106" s="767"/>
      <c r="D106" s="782" t="s">
        <v>5004</v>
      </c>
      <c r="E106" s="745" t="s">
        <v>1429</v>
      </c>
      <c r="F106" s="757">
        <v>1728</v>
      </c>
      <c r="G106" s="746"/>
      <c r="H106" s="752">
        <v>0</v>
      </c>
      <c r="I106" s="753" t="s">
        <v>4908</v>
      </c>
      <c r="J106" s="745" t="s">
        <v>5005</v>
      </c>
      <c r="M106" s="756">
        <v>16.04</v>
      </c>
      <c r="N106" s="756"/>
    </row>
    <row r="107" spans="1:14" ht="39.6">
      <c r="A107" t="s">
        <v>1227</v>
      </c>
      <c r="B107" s="742" t="s">
        <v>330</v>
      </c>
      <c r="C107" s="767">
        <v>50313</v>
      </c>
      <c r="D107" s="782" t="s">
        <v>5006</v>
      </c>
      <c r="E107" s="745" t="s">
        <v>1429</v>
      </c>
      <c r="F107" s="757">
        <v>1728</v>
      </c>
      <c r="G107" s="746"/>
      <c r="H107" s="752">
        <v>0</v>
      </c>
      <c r="I107" s="753" t="s">
        <v>4872</v>
      </c>
      <c r="J107" s="754">
        <v>50313</v>
      </c>
      <c r="M107" s="756">
        <v>78.739999999999995</v>
      </c>
      <c r="N107" s="756"/>
    </row>
    <row r="108" spans="1:14" ht="26.4">
      <c r="A108" t="s">
        <v>1227</v>
      </c>
      <c r="B108" s="742" t="s">
        <v>341</v>
      </c>
      <c r="C108" s="767">
        <v>50373</v>
      </c>
      <c r="D108" s="782" t="s">
        <v>5007</v>
      </c>
      <c r="E108" s="745" t="s">
        <v>1429</v>
      </c>
      <c r="F108" s="757">
        <v>1320</v>
      </c>
      <c r="G108" s="746"/>
      <c r="H108" s="752">
        <v>0</v>
      </c>
      <c r="I108" s="753" t="s">
        <v>4872</v>
      </c>
      <c r="J108" s="754">
        <v>50373</v>
      </c>
      <c r="M108" s="756">
        <v>16.09</v>
      </c>
      <c r="N108" s="756"/>
    </row>
    <row r="109" spans="1:14">
      <c r="A109" t="s">
        <v>1227</v>
      </c>
      <c r="B109" s="742" t="s">
        <v>364</v>
      </c>
      <c r="C109" s="767">
        <v>10475</v>
      </c>
      <c r="D109" s="782" t="s">
        <v>5008</v>
      </c>
      <c r="E109" s="745" t="s">
        <v>1429</v>
      </c>
      <c r="F109" s="757">
        <v>1542</v>
      </c>
      <c r="G109" s="746"/>
      <c r="H109" s="752">
        <v>0</v>
      </c>
      <c r="I109" s="753" t="s">
        <v>4872</v>
      </c>
      <c r="J109" s="754">
        <v>10475</v>
      </c>
      <c r="M109" s="756">
        <v>4.54</v>
      </c>
      <c r="N109" s="756"/>
    </row>
    <row r="110" spans="1:14">
      <c r="A110" t="s">
        <v>1227</v>
      </c>
      <c r="B110" s="742" t="s">
        <v>383</v>
      </c>
      <c r="C110" s="767">
        <v>181551</v>
      </c>
      <c r="D110" s="782" t="s">
        <v>5009</v>
      </c>
      <c r="E110" s="745" t="s">
        <v>1399</v>
      </c>
      <c r="F110" s="757">
        <v>132</v>
      </c>
      <c r="G110" s="746"/>
      <c r="H110" s="752">
        <v>0</v>
      </c>
      <c r="I110" s="753" t="s">
        <v>4872</v>
      </c>
      <c r="J110" s="754">
        <v>181551</v>
      </c>
      <c r="M110" s="756">
        <v>93.016050899999996</v>
      </c>
      <c r="N110" s="756"/>
    </row>
    <row r="111" spans="1:14" ht="26.4">
      <c r="A111" t="s">
        <v>1227</v>
      </c>
      <c r="B111" s="742" t="s">
        <v>392</v>
      </c>
      <c r="C111" s="767">
        <v>50130</v>
      </c>
      <c r="D111" s="782" t="s">
        <v>5010</v>
      </c>
      <c r="E111" s="745" t="s">
        <v>1429</v>
      </c>
      <c r="F111" s="757">
        <v>362</v>
      </c>
      <c r="G111" s="746"/>
      <c r="H111" s="752">
        <v>0</v>
      </c>
      <c r="I111" s="753" t="s">
        <v>4890</v>
      </c>
      <c r="J111" s="745" t="s">
        <v>5011</v>
      </c>
      <c r="M111" s="756">
        <v>38.61</v>
      </c>
      <c r="N111" s="756"/>
    </row>
    <row r="112" spans="1:14">
      <c r="B112" s="742"/>
      <c r="C112" s="745"/>
      <c r="D112" s="758" t="s">
        <v>4887</v>
      </c>
      <c r="E112" s="745"/>
      <c r="F112" s="757"/>
      <c r="G112" s="746"/>
      <c r="H112" s="759">
        <v>0</v>
      </c>
      <c r="I112" s="753"/>
      <c r="J112" s="745"/>
      <c r="M112" s="756"/>
      <c r="N112" s="756"/>
    </row>
    <row r="113" spans="1:14 16149:16384">
      <c r="B113" s="742"/>
      <c r="C113" s="745"/>
      <c r="D113" s="798"/>
      <c r="E113" s="745"/>
      <c r="F113" s="757"/>
      <c r="G113" s="746"/>
      <c r="H113" s="759"/>
      <c r="I113" s="753"/>
      <c r="J113" s="745"/>
      <c r="M113" s="756"/>
      <c r="N113" s="756"/>
    </row>
    <row r="114" spans="1:14 16149:16384">
      <c r="B114" s="760">
        <v>9</v>
      </c>
      <c r="C114" s="769"/>
      <c r="D114" s="758" t="s">
        <v>5012</v>
      </c>
      <c r="E114" s="745"/>
      <c r="F114" s="757"/>
      <c r="G114" s="746"/>
      <c r="H114" s="757"/>
      <c r="I114" s="753"/>
      <c r="J114" s="745"/>
      <c r="M114" s="756"/>
      <c r="N114" s="756"/>
      <c r="WWC114" s="785"/>
      <c r="WWD114" s="785"/>
      <c r="WWE114" s="785"/>
      <c r="WWF114" s="785"/>
      <c r="WWG114" s="785"/>
      <c r="WWH114" s="785"/>
      <c r="WWI114" s="785"/>
      <c r="WWJ114" s="785"/>
      <c r="WWK114" s="785"/>
      <c r="WWL114" s="785"/>
      <c r="WWM114" s="785"/>
      <c r="WWN114" s="785"/>
      <c r="WWO114" s="785"/>
      <c r="WWP114" s="785"/>
      <c r="WWQ114" s="785"/>
      <c r="WWR114" s="785"/>
      <c r="WWS114" s="785"/>
      <c r="WWT114" s="785"/>
      <c r="WWU114" s="785"/>
      <c r="WWV114" s="785"/>
      <c r="WWW114" s="785"/>
      <c r="WWX114" s="785"/>
      <c r="WWY114" s="785"/>
      <c r="WWZ114" s="785"/>
      <c r="WXA114" s="785"/>
      <c r="WXB114" s="785"/>
      <c r="WXC114" s="785"/>
      <c r="WXD114" s="785"/>
      <c r="WXE114" s="785"/>
      <c r="WXF114" s="785"/>
      <c r="WXG114" s="785"/>
      <c r="WXH114" s="785"/>
      <c r="WXI114" s="785"/>
      <c r="WXJ114" s="785"/>
      <c r="WXK114" s="785"/>
      <c r="WXL114" s="785"/>
      <c r="WXM114" s="785"/>
      <c r="WXN114" s="785"/>
      <c r="WXO114" s="785"/>
      <c r="WXP114" s="785"/>
      <c r="WXQ114" s="785"/>
      <c r="WXR114" s="785"/>
      <c r="WXS114" s="785"/>
      <c r="WXT114" s="785"/>
      <c r="WXU114" s="785"/>
      <c r="WXV114" s="785"/>
      <c r="WXW114" s="785"/>
      <c r="WXX114" s="785"/>
      <c r="WXY114" s="785"/>
      <c r="WXZ114" s="785"/>
      <c r="WYA114" s="785"/>
      <c r="WYB114" s="785"/>
      <c r="WYC114" s="785"/>
      <c r="WYD114" s="785"/>
      <c r="WYE114" s="785"/>
      <c r="WYF114" s="785"/>
      <c r="WYG114" s="785"/>
      <c r="WYH114" s="785"/>
      <c r="WYI114" s="785"/>
      <c r="WYJ114" s="785"/>
      <c r="WYK114" s="785"/>
      <c r="WYL114" s="785"/>
      <c r="WYM114" s="785"/>
      <c r="WYN114" s="785"/>
      <c r="WYO114" s="785"/>
      <c r="WYP114" s="785"/>
      <c r="WYQ114" s="785"/>
      <c r="WYR114" s="785"/>
      <c r="WYS114" s="785"/>
      <c r="WYT114" s="785"/>
      <c r="WYU114" s="785"/>
      <c r="WYV114" s="785"/>
      <c r="WYW114" s="785"/>
      <c r="WYX114" s="785"/>
      <c r="WYY114" s="785"/>
      <c r="WYZ114" s="785"/>
      <c r="WZA114" s="785"/>
      <c r="WZB114" s="785"/>
      <c r="WZC114" s="785"/>
      <c r="WZD114" s="785"/>
      <c r="WZE114" s="785"/>
      <c r="WZF114" s="785"/>
      <c r="WZG114" s="785"/>
      <c r="WZH114" s="785"/>
      <c r="WZI114" s="785"/>
      <c r="WZJ114" s="785"/>
      <c r="WZK114" s="785"/>
      <c r="WZL114" s="785"/>
      <c r="WZM114" s="785"/>
      <c r="WZN114" s="785"/>
      <c r="WZO114" s="785"/>
      <c r="WZP114" s="785"/>
      <c r="WZQ114" s="785"/>
      <c r="WZR114" s="785"/>
      <c r="WZS114" s="785"/>
      <c r="WZT114" s="785"/>
      <c r="WZU114" s="785"/>
      <c r="WZV114" s="785"/>
      <c r="WZW114" s="785"/>
      <c r="WZX114" s="785"/>
      <c r="WZY114" s="785"/>
      <c r="WZZ114" s="785"/>
      <c r="XAA114" s="785"/>
      <c r="XAB114" s="785"/>
      <c r="XAC114" s="785"/>
      <c r="XAD114" s="785"/>
      <c r="XAE114" s="785"/>
      <c r="XAF114" s="785"/>
      <c r="XAG114" s="785"/>
      <c r="XAH114" s="785"/>
      <c r="XAI114" s="785"/>
      <c r="XAJ114" s="785"/>
      <c r="XAK114" s="785"/>
      <c r="XAL114" s="785"/>
      <c r="XAM114" s="785"/>
      <c r="XAN114" s="785"/>
      <c r="XAO114" s="785"/>
      <c r="XAP114" s="785"/>
      <c r="XAQ114" s="785"/>
      <c r="XAR114" s="785"/>
      <c r="XAS114" s="785"/>
      <c r="XAT114" s="785"/>
      <c r="XAU114" s="785"/>
      <c r="XAV114" s="785"/>
      <c r="XAW114" s="785"/>
      <c r="XAX114" s="785"/>
      <c r="XAY114" s="785"/>
      <c r="XAZ114" s="785"/>
      <c r="XBA114" s="785"/>
      <c r="XBB114" s="785"/>
      <c r="XBC114" s="785"/>
      <c r="XBD114" s="785"/>
      <c r="XBE114" s="785"/>
      <c r="XBF114" s="785"/>
      <c r="XBG114" s="785"/>
      <c r="XBH114" s="785"/>
      <c r="XBI114" s="785"/>
      <c r="XBJ114" s="785"/>
      <c r="XBK114" s="785"/>
      <c r="XBL114" s="785"/>
      <c r="XBM114" s="785"/>
      <c r="XBN114" s="785"/>
      <c r="XBO114" s="785"/>
      <c r="XBP114" s="785"/>
      <c r="XBQ114" s="785"/>
      <c r="XBR114" s="785"/>
      <c r="XBS114" s="785"/>
      <c r="XBT114" s="785"/>
      <c r="XBU114" s="785"/>
      <c r="XBV114" s="785"/>
      <c r="XBW114" s="785"/>
      <c r="XBX114" s="785"/>
      <c r="XBY114" s="785"/>
      <c r="XBZ114" s="785"/>
      <c r="XCA114" s="785"/>
      <c r="XCB114" s="785"/>
      <c r="XCC114" s="785"/>
      <c r="XCD114" s="785"/>
      <c r="XCE114" s="785"/>
      <c r="XCF114" s="785"/>
      <c r="XCG114" s="785"/>
      <c r="XCH114" s="785"/>
      <c r="XCI114" s="785"/>
      <c r="XCJ114" s="785"/>
      <c r="XCK114" s="785"/>
      <c r="XCL114" s="785"/>
      <c r="XCM114" s="785"/>
      <c r="XCN114" s="785"/>
      <c r="XCO114" s="785"/>
      <c r="XCP114" s="785"/>
      <c r="XCQ114" s="785"/>
      <c r="XCR114" s="785"/>
      <c r="XCS114" s="785"/>
      <c r="XCT114" s="785"/>
      <c r="XCU114" s="785"/>
      <c r="XCV114" s="785"/>
      <c r="XCW114" s="785"/>
      <c r="XCX114" s="785"/>
      <c r="XCY114" s="785"/>
      <c r="XCZ114" s="785"/>
      <c r="XDA114" s="785"/>
      <c r="XDB114" s="785"/>
      <c r="XDC114" s="785"/>
      <c r="XDD114" s="785"/>
      <c r="XDE114" s="785"/>
      <c r="XDF114" s="785"/>
      <c r="XDG114" s="785"/>
      <c r="XDH114" s="785"/>
      <c r="XDI114" s="785"/>
      <c r="XDJ114" s="785"/>
      <c r="XDK114" s="785"/>
      <c r="XDL114" s="785"/>
      <c r="XDM114" s="785"/>
      <c r="XDN114" s="785"/>
      <c r="XDO114" s="785"/>
      <c r="XDP114" s="785"/>
      <c r="XDQ114" s="785"/>
      <c r="XDR114" s="785"/>
      <c r="XDS114" s="785"/>
      <c r="XDT114" s="785"/>
      <c r="XDU114" s="785"/>
      <c r="XDV114" s="785"/>
      <c r="XDW114" s="785"/>
      <c r="XDX114" s="785"/>
      <c r="XDY114" s="785"/>
      <c r="XDZ114" s="785"/>
      <c r="XEA114" s="785"/>
      <c r="XEB114" s="785"/>
      <c r="XEC114" s="785"/>
      <c r="XED114" s="785"/>
      <c r="XEE114" s="785"/>
      <c r="XEF114" s="785"/>
      <c r="XEG114" s="785"/>
      <c r="XEH114" s="785"/>
      <c r="XEI114" s="785"/>
      <c r="XEJ114" s="785"/>
      <c r="XEK114" s="785"/>
      <c r="XEL114" s="785"/>
      <c r="XEM114" s="785"/>
      <c r="XEN114" s="785"/>
      <c r="XEO114" s="785"/>
      <c r="XEP114" s="785"/>
      <c r="XEQ114" s="785"/>
      <c r="XER114" s="785"/>
      <c r="XES114" s="785"/>
      <c r="XET114" s="785"/>
      <c r="XEU114" s="785"/>
      <c r="XEV114" s="785"/>
      <c r="XEW114" s="785"/>
      <c r="XEX114" s="785"/>
      <c r="XEY114" s="785"/>
      <c r="XEZ114" s="785"/>
      <c r="XFA114" s="785"/>
      <c r="XFB114" s="785"/>
      <c r="XFC114" s="785"/>
      <c r="XFD114" s="785"/>
    </row>
    <row r="115" spans="1:14 16149:16384" ht="39.6">
      <c r="A115" t="s">
        <v>1227</v>
      </c>
      <c r="B115" s="742" t="s">
        <v>576</v>
      </c>
      <c r="C115" s="767">
        <v>70118</v>
      </c>
      <c r="D115" s="782" t="s">
        <v>5013</v>
      </c>
      <c r="E115" s="745" t="s">
        <v>4895</v>
      </c>
      <c r="F115" s="757">
        <v>23</v>
      </c>
      <c r="G115" s="746"/>
      <c r="H115" s="757">
        <v>0</v>
      </c>
      <c r="I115" s="753" t="s">
        <v>4872</v>
      </c>
      <c r="J115" s="754">
        <v>70118</v>
      </c>
      <c r="M115" s="799">
        <v>263.08999999999997</v>
      </c>
      <c r="N115" s="799"/>
    </row>
    <row r="116" spans="1:14 16149:16384" ht="26.4">
      <c r="A116" t="s">
        <v>1227</v>
      </c>
      <c r="B116" s="742" t="s">
        <v>593</v>
      </c>
      <c r="C116" s="767">
        <v>70150</v>
      </c>
      <c r="D116" s="782" t="s">
        <v>5014</v>
      </c>
      <c r="E116" s="745" t="s">
        <v>4895</v>
      </c>
      <c r="F116" s="757">
        <v>23</v>
      </c>
      <c r="G116" s="746"/>
      <c r="H116" s="757">
        <v>0</v>
      </c>
      <c r="I116" s="753" t="s">
        <v>4872</v>
      </c>
      <c r="J116" s="754">
        <v>70150</v>
      </c>
      <c r="M116" s="799">
        <v>163.27000000000001</v>
      </c>
      <c r="N116" s="799"/>
    </row>
    <row r="117" spans="1:14 16149:16384" ht="39.6">
      <c r="A117" t="s">
        <v>1227</v>
      </c>
      <c r="B117" s="742" t="s">
        <v>612</v>
      </c>
      <c r="C117" s="767">
        <v>70302</v>
      </c>
      <c r="D117" s="782" t="s">
        <v>5015</v>
      </c>
      <c r="E117" s="745" t="s">
        <v>4895</v>
      </c>
      <c r="F117" s="757">
        <v>2</v>
      </c>
      <c r="G117" s="746"/>
      <c r="H117" s="757">
        <v>0</v>
      </c>
      <c r="I117" s="753" t="s">
        <v>4872</v>
      </c>
      <c r="J117" s="754">
        <v>70302</v>
      </c>
      <c r="M117" s="799">
        <v>458.6</v>
      </c>
      <c r="N117" s="799"/>
    </row>
    <row r="118" spans="1:14 16149:16384" ht="26.4">
      <c r="A118" t="s">
        <v>1227</v>
      </c>
      <c r="B118" s="742" t="s">
        <v>631</v>
      </c>
      <c r="C118" s="767">
        <v>70155</v>
      </c>
      <c r="D118" s="782" t="s">
        <v>5016</v>
      </c>
      <c r="E118" s="745" t="s">
        <v>4895</v>
      </c>
      <c r="F118" s="757">
        <v>2</v>
      </c>
      <c r="G118" s="746"/>
      <c r="H118" s="757">
        <v>0</v>
      </c>
      <c r="I118" s="753" t="s">
        <v>4872</v>
      </c>
      <c r="J118" s="754">
        <v>70155</v>
      </c>
      <c r="M118" s="799">
        <v>287.56</v>
      </c>
      <c r="N118" s="799"/>
    </row>
    <row r="119" spans="1:14 16149:16384" ht="26.4">
      <c r="A119" t="s">
        <v>1227</v>
      </c>
      <c r="B119" s="742" t="s">
        <v>678</v>
      </c>
      <c r="C119" s="767"/>
      <c r="D119" s="782" t="s">
        <v>5017</v>
      </c>
      <c r="E119" s="745" t="s">
        <v>4895</v>
      </c>
      <c r="F119" s="757">
        <v>25</v>
      </c>
      <c r="G119" s="746"/>
      <c r="H119" s="757">
        <v>0</v>
      </c>
      <c r="I119" s="800" t="s">
        <v>4908</v>
      </c>
      <c r="J119" s="745" t="s">
        <v>5018</v>
      </c>
      <c r="M119" s="799">
        <v>87.46</v>
      </c>
      <c r="N119" s="799"/>
    </row>
    <row r="120" spans="1:14 16149:16384">
      <c r="B120" s="742"/>
      <c r="C120" s="745"/>
      <c r="D120" s="758" t="s">
        <v>4887</v>
      </c>
      <c r="E120" s="745"/>
      <c r="F120" s="757"/>
      <c r="G120" s="746"/>
      <c r="H120" s="759">
        <v>0</v>
      </c>
      <c r="I120" s="801"/>
      <c r="J120" s="745"/>
      <c r="M120" s="756"/>
      <c r="N120" s="756"/>
    </row>
    <row r="121" spans="1:14 16149:16384">
      <c r="B121" s="742"/>
      <c r="C121" s="745"/>
      <c r="D121" s="798"/>
      <c r="E121" s="745"/>
      <c r="F121" s="757"/>
      <c r="G121" s="746"/>
      <c r="H121" s="759"/>
      <c r="I121" s="753"/>
      <c r="J121" s="745"/>
      <c r="M121" s="756"/>
      <c r="N121" s="756"/>
    </row>
    <row r="122" spans="1:14 16149:16384">
      <c r="B122" s="760">
        <v>10</v>
      </c>
      <c r="C122" s="769"/>
      <c r="D122" s="760" t="s">
        <v>5019</v>
      </c>
      <c r="E122" s="745"/>
      <c r="F122" s="757"/>
      <c r="G122" s="746"/>
      <c r="H122" s="757"/>
      <c r="I122" s="753"/>
      <c r="J122" s="745"/>
      <c r="M122" s="756"/>
      <c r="N122" s="756"/>
    </row>
    <row r="123" spans="1:14 16149:16384">
      <c r="B123" s="760" t="s">
        <v>803</v>
      </c>
      <c r="C123" s="769"/>
      <c r="D123" s="760" t="s">
        <v>5020</v>
      </c>
      <c r="E123" s="745"/>
      <c r="F123" s="757"/>
      <c r="G123" s="746"/>
      <c r="H123" s="757"/>
      <c r="I123" s="753"/>
      <c r="J123" s="745"/>
      <c r="M123" s="756"/>
      <c r="N123" s="756"/>
    </row>
    <row r="124" spans="1:14 16149:16384">
      <c r="A124" t="s">
        <v>1227</v>
      </c>
      <c r="B124" s="742" t="s">
        <v>805</v>
      </c>
      <c r="C124" s="745"/>
      <c r="D124" s="742" t="s">
        <v>5021</v>
      </c>
      <c r="E124" s="745" t="s">
        <v>1429</v>
      </c>
      <c r="F124" s="757">
        <v>390</v>
      </c>
      <c r="G124" s="746"/>
      <c r="H124" s="752">
        <v>0</v>
      </c>
      <c r="I124" s="1406" t="s">
        <v>5022</v>
      </c>
      <c r="J124" s="1406"/>
      <c r="M124" s="756">
        <v>3655.8461538461502</v>
      </c>
      <c r="N124" s="756"/>
    </row>
    <row r="125" spans="1:14 16149:16384">
      <c r="A125" t="s">
        <v>1227</v>
      </c>
      <c r="B125" s="742" t="s">
        <v>5023</v>
      </c>
      <c r="C125" s="745"/>
      <c r="D125" s="742" t="s">
        <v>5024</v>
      </c>
      <c r="E125" s="745" t="s">
        <v>4906</v>
      </c>
      <c r="F125" s="757">
        <v>2</v>
      </c>
      <c r="G125" s="746"/>
      <c r="H125" s="752">
        <v>0</v>
      </c>
      <c r="I125" s="753"/>
      <c r="J125" s="745"/>
      <c r="M125" s="756">
        <v>8100</v>
      </c>
      <c r="N125" s="756"/>
    </row>
    <row r="126" spans="1:14 16149:16384">
      <c r="A126" t="s">
        <v>1227</v>
      </c>
      <c r="B126" s="742" t="s">
        <v>5025</v>
      </c>
      <c r="C126" s="745"/>
      <c r="D126" s="742" t="s">
        <v>5026</v>
      </c>
      <c r="E126" s="745" t="s">
        <v>1429</v>
      </c>
      <c r="F126" s="757">
        <v>250</v>
      </c>
      <c r="G126" s="746"/>
      <c r="H126" s="802">
        <v>0</v>
      </c>
      <c r="I126" s="1406" t="s">
        <v>5022</v>
      </c>
      <c r="J126" s="1406"/>
      <c r="M126" s="756">
        <v>2613.2183908045999</v>
      </c>
      <c r="N126" s="756"/>
    </row>
    <row r="127" spans="1:14 16149:16384">
      <c r="A127" t="s">
        <v>1227</v>
      </c>
      <c r="B127" s="742" t="s">
        <v>5027</v>
      </c>
      <c r="C127" s="745"/>
      <c r="D127" s="742" t="s">
        <v>5028</v>
      </c>
      <c r="E127" s="745" t="s">
        <v>1429</v>
      </c>
      <c r="F127" s="757">
        <v>105</v>
      </c>
      <c r="G127" s="746"/>
      <c r="H127" s="752">
        <v>0</v>
      </c>
      <c r="I127" s="1406" t="s">
        <v>5022</v>
      </c>
      <c r="J127" s="1406"/>
      <c r="M127" s="756">
        <v>1276.17777777778</v>
      </c>
      <c r="N127" s="756"/>
    </row>
    <row r="128" spans="1:14 16149:16384" ht="26.4">
      <c r="A128" t="s">
        <v>1227</v>
      </c>
      <c r="B128" s="742" t="s">
        <v>5029</v>
      </c>
      <c r="C128" s="745"/>
      <c r="D128" s="782" t="s">
        <v>5030</v>
      </c>
      <c r="E128" s="745" t="s">
        <v>4906</v>
      </c>
      <c r="F128" s="757">
        <v>38</v>
      </c>
      <c r="G128" s="746"/>
      <c r="H128" s="752">
        <v>0</v>
      </c>
      <c r="I128" s="753"/>
      <c r="J128" s="745"/>
      <c r="M128" s="756">
        <v>1225</v>
      </c>
      <c r="N128" s="756"/>
    </row>
    <row r="129" spans="1:19 16149:16384">
      <c r="A129" t="s">
        <v>1227</v>
      </c>
      <c r="B129" s="742" t="s">
        <v>5031</v>
      </c>
      <c r="C129" s="745"/>
      <c r="D129" s="782" t="s">
        <v>5032</v>
      </c>
      <c r="E129" s="745" t="s">
        <v>4906</v>
      </c>
      <c r="F129" s="757">
        <v>4</v>
      </c>
      <c r="G129" s="746"/>
      <c r="H129" s="752">
        <v>0</v>
      </c>
      <c r="I129" s="753"/>
      <c r="J129" s="745"/>
      <c r="M129" s="756">
        <v>17350</v>
      </c>
      <c r="N129" s="756"/>
    </row>
    <row r="130" spans="1:19 16149:16384" ht="26.4">
      <c r="A130" t="s">
        <v>1227</v>
      </c>
      <c r="B130" s="742" t="s">
        <v>5033</v>
      </c>
      <c r="C130" s="767">
        <v>170525</v>
      </c>
      <c r="D130" s="782" t="s">
        <v>5034</v>
      </c>
      <c r="E130" s="745" t="s">
        <v>4959</v>
      </c>
      <c r="F130" s="757">
        <v>180</v>
      </c>
      <c r="G130" s="746"/>
      <c r="H130" s="752">
        <v>0</v>
      </c>
      <c r="I130" s="753" t="s">
        <v>4872</v>
      </c>
      <c r="J130" s="754">
        <v>170525</v>
      </c>
      <c r="M130" s="756">
        <v>168.88942929999999</v>
      </c>
      <c r="N130" s="756"/>
    </row>
    <row r="131" spans="1:19 16149:16384">
      <c r="A131" t="s">
        <v>1227</v>
      </c>
      <c r="B131" s="742" t="s">
        <v>5035</v>
      </c>
      <c r="C131" s="745"/>
      <c r="D131" s="742" t="s">
        <v>5036</v>
      </c>
      <c r="E131" s="745" t="s">
        <v>4959</v>
      </c>
      <c r="F131" s="757">
        <v>415</v>
      </c>
      <c r="G131" s="746"/>
      <c r="H131" s="752">
        <v>0</v>
      </c>
      <c r="I131" s="1406" t="s">
        <v>5022</v>
      </c>
      <c r="J131" s="1406"/>
      <c r="M131" s="756">
        <v>1604.5204819277101</v>
      </c>
      <c r="N131" s="756"/>
    </row>
    <row r="132" spans="1:19 16149:16384" ht="26.4">
      <c r="A132" t="s">
        <v>1227</v>
      </c>
      <c r="B132" s="742" t="s">
        <v>5037</v>
      </c>
      <c r="C132" s="745"/>
      <c r="D132" s="782" t="s">
        <v>5038</v>
      </c>
      <c r="E132" s="745" t="s">
        <v>4959</v>
      </c>
      <c r="F132" s="757">
        <v>90</v>
      </c>
      <c r="G132" s="746"/>
      <c r="H132" s="752">
        <v>0</v>
      </c>
      <c r="I132" s="753"/>
      <c r="J132" s="745"/>
      <c r="M132" s="756">
        <v>170</v>
      </c>
      <c r="N132" s="756"/>
    </row>
    <row r="133" spans="1:19 16149:16384">
      <c r="B133" s="760" t="s">
        <v>1491</v>
      </c>
      <c r="C133" s="769"/>
      <c r="D133" s="758" t="s">
        <v>5039</v>
      </c>
      <c r="E133" s="745"/>
      <c r="F133" s="757"/>
      <c r="G133" s="746"/>
      <c r="H133" s="752"/>
      <c r="I133" s="753"/>
      <c r="J133" s="745"/>
      <c r="M133" s="756"/>
      <c r="N133" s="756"/>
    </row>
    <row r="134" spans="1:19 16149:16384" ht="26.4">
      <c r="A134" t="s">
        <v>1227</v>
      </c>
      <c r="B134" s="742" t="s">
        <v>5040</v>
      </c>
      <c r="C134" s="767">
        <v>170591</v>
      </c>
      <c r="D134" s="782" t="s">
        <v>5041</v>
      </c>
      <c r="E134" s="745" t="s">
        <v>4906</v>
      </c>
      <c r="F134" s="757">
        <v>14</v>
      </c>
      <c r="G134" s="746"/>
      <c r="H134" s="752">
        <v>0</v>
      </c>
      <c r="I134" s="753" t="s">
        <v>4872</v>
      </c>
      <c r="J134" s="754">
        <v>170591</v>
      </c>
      <c r="M134" s="756">
        <v>650.83000000000004</v>
      </c>
      <c r="N134" s="756"/>
    </row>
    <row r="135" spans="1:19 16149:16384" ht="39.6">
      <c r="A135" t="s">
        <v>1227</v>
      </c>
      <c r="B135" s="742" t="s">
        <v>5042</v>
      </c>
      <c r="C135" s="745"/>
      <c r="D135" s="782" t="s">
        <v>5043</v>
      </c>
      <c r="E135" s="745" t="s">
        <v>4895</v>
      </c>
      <c r="F135" s="757">
        <v>1</v>
      </c>
      <c r="G135" s="746"/>
      <c r="H135" s="752">
        <v>0</v>
      </c>
      <c r="I135" s="753"/>
      <c r="J135" s="745"/>
      <c r="M135" s="756">
        <v>6737</v>
      </c>
      <c r="N135" s="756"/>
    </row>
    <row r="136" spans="1:19 16149:16384" ht="39.6">
      <c r="A136" t="s">
        <v>1227</v>
      </c>
      <c r="B136" s="742" t="s">
        <v>5044</v>
      </c>
      <c r="C136" s="745"/>
      <c r="D136" s="782" t="s">
        <v>5045</v>
      </c>
      <c r="E136" s="745" t="s">
        <v>4895</v>
      </c>
      <c r="F136" s="757">
        <v>2</v>
      </c>
      <c r="G136" s="746"/>
      <c r="H136" s="752">
        <v>0</v>
      </c>
      <c r="I136" s="753"/>
      <c r="J136" s="745"/>
      <c r="M136" s="756">
        <v>3305</v>
      </c>
      <c r="N136" s="756"/>
    </row>
    <row r="137" spans="1:19 16149:16384" s="785" customFormat="1" ht="26.4">
      <c r="A137" s="785" t="s">
        <v>1227</v>
      </c>
      <c r="B137" s="787" t="s">
        <v>5046</v>
      </c>
      <c r="C137" s="790"/>
      <c r="D137" s="803" t="s">
        <v>5047</v>
      </c>
      <c r="E137" s="790" t="s">
        <v>1429</v>
      </c>
      <c r="F137" s="791">
        <v>0</v>
      </c>
      <c r="G137" s="746"/>
      <c r="H137" s="792">
        <v>0</v>
      </c>
      <c r="I137" s="793" t="s">
        <v>4872</v>
      </c>
      <c r="J137" s="794">
        <v>170191</v>
      </c>
      <c r="M137" s="795">
        <v>125.41</v>
      </c>
      <c r="N137" s="795"/>
      <c r="S137" s="796"/>
    </row>
    <row r="138" spans="1:19 16149:16384">
      <c r="B138" s="742"/>
      <c r="C138" s="745"/>
      <c r="D138" s="758" t="s">
        <v>4887</v>
      </c>
      <c r="E138" s="745"/>
      <c r="F138" s="757"/>
      <c r="G138" s="746"/>
      <c r="H138" s="759">
        <v>0</v>
      </c>
      <c r="I138" s="753"/>
      <c r="J138" s="745"/>
      <c r="M138" s="756"/>
      <c r="N138" s="756"/>
    </row>
    <row r="139" spans="1:19 16149:16384">
      <c r="B139" s="742"/>
      <c r="C139" s="745"/>
      <c r="D139" s="798"/>
      <c r="E139" s="745"/>
      <c r="F139" s="757"/>
      <c r="G139" s="746"/>
      <c r="H139" s="759"/>
      <c r="I139" s="753"/>
      <c r="J139" s="745"/>
      <c r="M139" s="756"/>
      <c r="N139" s="756"/>
    </row>
    <row r="140" spans="1:19 16149:16384">
      <c r="B140" s="760">
        <v>11</v>
      </c>
      <c r="C140" s="769"/>
      <c r="D140" s="758" t="s">
        <v>5048</v>
      </c>
      <c r="E140" s="745"/>
      <c r="F140" s="757"/>
      <c r="G140" s="746"/>
      <c r="H140" s="757"/>
      <c r="I140" s="753"/>
      <c r="J140" s="745"/>
      <c r="M140" s="756"/>
      <c r="N140" s="756"/>
    </row>
    <row r="141" spans="1:19 16149:16384">
      <c r="A141" t="s">
        <v>1227</v>
      </c>
      <c r="B141" s="742" t="s">
        <v>809</v>
      </c>
      <c r="C141" s="767"/>
      <c r="D141" s="782" t="s">
        <v>5049</v>
      </c>
      <c r="E141" s="745" t="s">
        <v>1429</v>
      </c>
      <c r="F141" s="757">
        <v>1944</v>
      </c>
      <c r="G141" s="746"/>
      <c r="H141" s="752">
        <v>0</v>
      </c>
      <c r="I141" s="753" t="s">
        <v>4890</v>
      </c>
      <c r="J141" s="745" t="s">
        <v>5050</v>
      </c>
      <c r="M141" s="756">
        <v>3.76</v>
      </c>
      <c r="N141" s="756"/>
      <c r="WWC141" s="785"/>
      <c r="WWD141" s="785"/>
      <c r="WWE141" s="785"/>
      <c r="WWF141" s="785"/>
      <c r="WWG141" s="785"/>
      <c r="WWH141" s="785"/>
      <c r="WWI141" s="785"/>
      <c r="WWJ141" s="785"/>
      <c r="WWK141" s="785"/>
      <c r="WWL141" s="785"/>
      <c r="WWM141" s="785"/>
      <c r="WWN141" s="785"/>
      <c r="WWO141" s="785"/>
      <c r="WWP141" s="785"/>
      <c r="WWQ141" s="785"/>
      <c r="WWR141" s="785"/>
      <c r="WWS141" s="785"/>
      <c r="WWT141" s="785"/>
      <c r="WWU141" s="785"/>
      <c r="WWV141" s="785"/>
      <c r="WWW141" s="785"/>
      <c r="WWX141" s="785"/>
      <c r="WWY141" s="785"/>
      <c r="WWZ141" s="785"/>
      <c r="WXA141" s="785"/>
      <c r="WXB141" s="785"/>
      <c r="WXC141" s="785"/>
      <c r="WXD141" s="785"/>
      <c r="WXE141" s="785"/>
      <c r="WXF141" s="785"/>
      <c r="WXG141" s="785"/>
      <c r="WXH141" s="785"/>
      <c r="WXI141" s="785"/>
      <c r="WXJ141" s="785"/>
      <c r="WXK141" s="785"/>
      <c r="WXL141" s="785"/>
      <c r="WXM141" s="785"/>
      <c r="WXN141" s="785"/>
      <c r="WXO141" s="785"/>
      <c r="WXP141" s="785"/>
      <c r="WXQ141" s="785"/>
      <c r="WXR141" s="785"/>
      <c r="WXS141" s="785"/>
      <c r="WXT141" s="785"/>
      <c r="WXU141" s="785"/>
      <c r="WXV141" s="785"/>
      <c r="WXW141" s="785"/>
      <c r="WXX141" s="785"/>
      <c r="WXY141" s="785"/>
      <c r="WXZ141" s="785"/>
      <c r="WYA141" s="785"/>
      <c r="WYB141" s="785"/>
      <c r="WYC141" s="785"/>
      <c r="WYD141" s="785"/>
      <c r="WYE141" s="785"/>
      <c r="WYF141" s="785"/>
      <c r="WYG141" s="785"/>
      <c r="WYH141" s="785"/>
      <c r="WYI141" s="785"/>
      <c r="WYJ141" s="785"/>
      <c r="WYK141" s="785"/>
      <c r="WYL141" s="785"/>
      <c r="WYM141" s="785"/>
      <c r="WYN141" s="785"/>
      <c r="WYO141" s="785"/>
      <c r="WYP141" s="785"/>
      <c r="WYQ141" s="785"/>
      <c r="WYR141" s="785"/>
      <c r="WYS141" s="785"/>
      <c r="WYT141" s="785"/>
      <c r="WYU141" s="785"/>
      <c r="WYV141" s="785"/>
      <c r="WYW141" s="785"/>
      <c r="WYX141" s="785"/>
      <c r="WYY141" s="785"/>
      <c r="WYZ141" s="785"/>
      <c r="WZA141" s="785"/>
      <c r="WZB141" s="785"/>
      <c r="WZC141" s="785"/>
      <c r="WZD141" s="785"/>
      <c r="WZE141" s="785"/>
      <c r="WZF141" s="785"/>
      <c r="WZG141" s="785"/>
      <c r="WZH141" s="785"/>
      <c r="WZI141" s="785"/>
      <c r="WZJ141" s="785"/>
      <c r="WZK141" s="785"/>
      <c r="WZL141" s="785"/>
      <c r="WZM141" s="785"/>
      <c r="WZN141" s="785"/>
      <c r="WZO141" s="785"/>
      <c r="WZP141" s="785"/>
      <c r="WZQ141" s="785"/>
      <c r="WZR141" s="785"/>
      <c r="WZS141" s="785"/>
      <c r="WZT141" s="785"/>
      <c r="WZU141" s="785"/>
      <c r="WZV141" s="785"/>
      <c r="WZW141" s="785"/>
      <c r="WZX141" s="785"/>
      <c r="WZY141" s="785"/>
      <c r="WZZ141" s="785"/>
      <c r="XAA141" s="785"/>
      <c r="XAB141" s="785"/>
      <c r="XAC141" s="785"/>
      <c r="XAD141" s="785"/>
      <c r="XAE141" s="785"/>
      <c r="XAF141" s="785"/>
      <c r="XAG141" s="785"/>
      <c r="XAH141" s="785"/>
      <c r="XAI141" s="785"/>
      <c r="XAJ141" s="785"/>
      <c r="XAK141" s="785"/>
      <c r="XAL141" s="785"/>
      <c r="XAM141" s="785"/>
      <c r="XAN141" s="785"/>
      <c r="XAO141" s="785"/>
      <c r="XAP141" s="785"/>
      <c r="XAQ141" s="785"/>
      <c r="XAR141" s="785"/>
      <c r="XAS141" s="785"/>
      <c r="XAT141" s="785"/>
      <c r="XAU141" s="785"/>
      <c r="XAV141" s="785"/>
      <c r="XAW141" s="785"/>
      <c r="XAX141" s="785"/>
      <c r="XAY141" s="785"/>
      <c r="XAZ141" s="785"/>
      <c r="XBA141" s="785"/>
      <c r="XBB141" s="785"/>
      <c r="XBC141" s="785"/>
      <c r="XBD141" s="785"/>
      <c r="XBE141" s="785"/>
      <c r="XBF141" s="785"/>
      <c r="XBG141" s="785"/>
      <c r="XBH141" s="785"/>
      <c r="XBI141" s="785"/>
      <c r="XBJ141" s="785"/>
      <c r="XBK141" s="785"/>
      <c r="XBL141" s="785"/>
      <c r="XBM141" s="785"/>
      <c r="XBN141" s="785"/>
      <c r="XBO141" s="785"/>
      <c r="XBP141" s="785"/>
      <c r="XBQ141" s="785"/>
      <c r="XBR141" s="785"/>
      <c r="XBS141" s="785"/>
      <c r="XBT141" s="785"/>
      <c r="XBU141" s="785"/>
      <c r="XBV141" s="785"/>
      <c r="XBW141" s="785"/>
      <c r="XBX141" s="785"/>
      <c r="XBY141" s="785"/>
      <c r="XBZ141" s="785"/>
      <c r="XCA141" s="785"/>
      <c r="XCB141" s="785"/>
      <c r="XCC141" s="785"/>
      <c r="XCD141" s="785"/>
      <c r="XCE141" s="785"/>
      <c r="XCF141" s="785"/>
      <c r="XCG141" s="785"/>
      <c r="XCH141" s="785"/>
      <c r="XCI141" s="785"/>
      <c r="XCJ141" s="785"/>
      <c r="XCK141" s="785"/>
      <c r="XCL141" s="785"/>
      <c r="XCM141" s="785"/>
      <c r="XCN141" s="785"/>
      <c r="XCO141" s="785"/>
      <c r="XCP141" s="785"/>
      <c r="XCQ141" s="785"/>
      <c r="XCR141" s="785"/>
      <c r="XCS141" s="785"/>
      <c r="XCT141" s="785"/>
      <c r="XCU141" s="785"/>
      <c r="XCV141" s="785"/>
      <c r="XCW141" s="785"/>
      <c r="XCX141" s="785"/>
      <c r="XCY141" s="785"/>
      <c r="XCZ141" s="785"/>
      <c r="XDA141" s="785"/>
      <c r="XDB141" s="785"/>
      <c r="XDC141" s="785"/>
      <c r="XDD141" s="785"/>
      <c r="XDE141" s="785"/>
      <c r="XDF141" s="785"/>
      <c r="XDG141" s="785"/>
      <c r="XDH141" s="785"/>
      <c r="XDI141" s="785"/>
      <c r="XDJ141" s="785"/>
      <c r="XDK141" s="785"/>
      <c r="XDL141" s="785"/>
      <c r="XDM141" s="785"/>
      <c r="XDN141" s="785"/>
      <c r="XDO141" s="785"/>
      <c r="XDP141" s="785"/>
      <c r="XDQ141" s="785"/>
      <c r="XDR141" s="785"/>
      <c r="XDS141" s="785"/>
      <c r="XDT141" s="785"/>
      <c r="XDU141" s="785"/>
      <c r="XDV141" s="785"/>
      <c r="XDW141" s="785"/>
      <c r="XDX141" s="785"/>
      <c r="XDY141" s="785"/>
      <c r="XDZ141" s="785"/>
      <c r="XEA141" s="785"/>
      <c r="XEB141" s="785"/>
      <c r="XEC141" s="785"/>
      <c r="XED141" s="785"/>
      <c r="XEE141" s="785"/>
      <c r="XEF141" s="785"/>
      <c r="XEG141" s="785"/>
      <c r="XEH141" s="785"/>
      <c r="XEI141" s="785"/>
      <c r="XEJ141" s="785"/>
      <c r="XEK141" s="785"/>
      <c r="XEL141" s="785"/>
      <c r="XEM141" s="785"/>
      <c r="XEN141" s="785"/>
      <c r="XEO141" s="785"/>
      <c r="XEP141" s="785"/>
      <c r="XEQ141" s="785"/>
      <c r="XER141" s="785"/>
      <c r="XES141" s="785"/>
      <c r="XET141" s="785"/>
      <c r="XEU141" s="785"/>
      <c r="XEV141" s="785"/>
      <c r="XEW141" s="785"/>
      <c r="XEX141" s="785"/>
      <c r="XEY141" s="785"/>
      <c r="XEZ141" s="785"/>
      <c r="XFA141" s="785"/>
      <c r="XFB141" s="785"/>
      <c r="XFC141" s="785"/>
      <c r="XFD141" s="785"/>
    </row>
    <row r="142" spans="1:19 16149:16384" ht="26.4">
      <c r="A142" t="s">
        <v>1227</v>
      </c>
      <c r="B142" s="742" t="s">
        <v>818</v>
      </c>
      <c r="C142" s="767">
        <v>110208</v>
      </c>
      <c r="D142" s="782" t="s">
        <v>5051</v>
      </c>
      <c r="E142" s="745" t="s">
        <v>1429</v>
      </c>
      <c r="F142" s="757">
        <v>1944</v>
      </c>
      <c r="G142" s="746"/>
      <c r="H142" s="752">
        <v>0</v>
      </c>
      <c r="I142" s="753" t="s">
        <v>4872</v>
      </c>
      <c r="J142" s="754">
        <v>110208</v>
      </c>
      <c r="M142" s="756">
        <v>17.190000000000001</v>
      </c>
      <c r="N142" s="756"/>
    </row>
    <row r="143" spans="1:19 16149:16384">
      <c r="A143" t="s">
        <v>1227</v>
      </c>
      <c r="B143" s="742"/>
      <c r="C143" s="767"/>
      <c r="D143" s="782" t="s">
        <v>5052</v>
      </c>
      <c r="E143" s="745" t="s">
        <v>1429</v>
      </c>
      <c r="F143" s="757">
        <v>1519</v>
      </c>
      <c r="G143" s="746"/>
      <c r="H143" s="752">
        <v>0</v>
      </c>
      <c r="I143" s="753" t="s">
        <v>4890</v>
      </c>
      <c r="J143" s="745" t="s">
        <v>5053</v>
      </c>
      <c r="M143" s="756">
        <v>12.13</v>
      </c>
      <c r="N143" s="756"/>
    </row>
    <row r="144" spans="1:19 16149:16384">
      <c r="A144" t="s">
        <v>1227</v>
      </c>
      <c r="B144" s="742" t="s">
        <v>825</v>
      </c>
      <c r="C144" s="745"/>
      <c r="D144" s="742" t="s">
        <v>5054</v>
      </c>
      <c r="E144" s="745" t="s">
        <v>1429</v>
      </c>
      <c r="F144" s="757">
        <v>425</v>
      </c>
      <c r="G144" s="746"/>
      <c r="H144" s="752">
        <v>0</v>
      </c>
      <c r="I144" s="753" t="s">
        <v>4908</v>
      </c>
      <c r="J144" s="745">
        <v>73667</v>
      </c>
      <c r="M144" s="756">
        <v>89.65</v>
      </c>
      <c r="N144" s="756"/>
    </row>
    <row r="145" spans="1:14 16149:16384" ht="39.6">
      <c r="A145" t="s">
        <v>1227</v>
      </c>
      <c r="B145" s="742" t="s">
        <v>5055</v>
      </c>
      <c r="C145" s="745"/>
      <c r="D145" s="782" t="s">
        <v>5056</v>
      </c>
      <c r="E145" s="745" t="s">
        <v>1429</v>
      </c>
      <c r="F145" s="757">
        <v>240</v>
      </c>
      <c r="G145" s="746"/>
      <c r="H145" s="752">
        <v>0</v>
      </c>
      <c r="I145" s="753"/>
      <c r="J145" s="745"/>
      <c r="M145" s="756">
        <v>260</v>
      </c>
      <c r="N145" s="756"/>
    </row>
    <row r="146" spans="1:14 16149:16384">
      <c r="B146" s="742"/>
      <c r="C146" s="745"/>
      <c r="D146" s="758" t="s">
        <v>4887</v>
      </c>
      <c r="E146" s="745"/>
      <c r="F146" s="757"/>
      <c r="G146" s="746"/>
      <c r="H146" s="759">
        <v>0</v>
      </c>
      <c r="I146" s="753"/>
      <c r="J146" s="745"/>
      <c r="M146" s="756"/>
      <c r="N146" s="756"/>
    </row>
    <row r="147" spans="1:14 16149:16384">
      <c r="B147" s="742"/>
      <c r="C147" s="745"/>
      <c r="D147" s="798"/>
      <c r="E147" s="745"/>
      <c r="F147" s="757"/>
      <c r="G147" s="746"/>
      <c r="H147" s="759"/>
      <c r="I147" s="753"/>
      <c r="J147" s="745"/>
      <c r="M147" s="756"/>
      <c r="N147" s="756"/>
    </row>
    <row r="148" spans="1:14 16149:16384">
      <c r="B148" s="760">
        <v>12</v>
      </c>
      <c r="C148" s="769"/>
      <c r="D148" s="758" t="s">
        <v>3826</v>
      </c>
      <c r="E148" s="745"/>
      <c r="F148" s="757"/>
      <c r="G148" s="746"/>
      <c r="H148" s="757"/>
      <c r="I148" s="753"/>
      <c r="J148" s="745"/>
      <c r="M148" s="756"/>
      <c r="N148" s="756"/>
    </row>
    <row r="149" spans="1:14 16149:16384" ht="26.4">
      <c r="A149" t="s">
        <v>1227</v>
      </c>
      <c r="B149" s="742" t="s">
        <v>832</v>
      </c>
      <c r="C149" s="767">
        <v>120143</v>
      </c>
      <c r="D149" s="782" t="s">
        <v>5057</v>
      </c>
      <c r="E149" s="745" t="s">
        <v>1429</v>
      </c>
      <c r="F149" s="757">
        <v>2006</v>
      </c>
      <c r="G149" s="746"/>
      <c r="H149" s="752">
        <v>0</v>
      </c>
      <c r="I149" s="753" t="s">
        <v>4872</v>
      </c>
      <c r="J149" s="754">
        <v>120143</v>
      </c>
      <c r="M149" s="756">
        <v>40.6</v>
      </c>
      <c r="N149" s="756"/>
    </row>
    <row r="150" spans="1:14 16149:16384" ht="39.6">
      <c r="A150" t="s">
        <v>1227</v>
      </c>
      <c r="B150" s="742" t="s">
        <v>839</v>
      </c>
      <c r="C150" s="745"/>
      <c r="D150" s="782" t="s">
        <v>5058</v>
      </c>
      <c r="E150" s="745" t="s">
        <v>1429</v>
      </c>
      <c r="F150" s="757">
        <v>150</v>
      </c>
      <c r="G150" s="746"/>
      <c r="H150" s="752">
        <v>0</v>
      </c>
      <c r="I150" s="753"/>
      <c r="J150" s="745"/>
      <c r="M150" s="756">
        <v>575</v>
      </c>
      <c r="N150" s="756"/>
    </row>
    <row r="151" spans="1:14 16149:16384">
      <c r="B151" s="742"/>
      <c r="C151" s="745"/>
      <c r="D151" s="758" t="s">
        <v>4887</v>
      </c>
      <c r="E151" s="745"/>
      <c r="F151" s="757"/>
      <c r="G151" s="746"/>
      <c r="H151" s="759">
        <v>0</v>
      </c>
      <c r="I151" s="753"/>
      <c r="J151" s="745"/>
      <c r="M151" s="756"/>
      <c r="N151" s="756"/>
    </row>
    <row r="152" spans="1:14 16149:16384">
      <c r="B152" s="742"/>
      <c r="C152" s="745"/>
      <c r="D152" s="758"/>
      <c r="E152" s="745"/>
      <c r="F152" s="757"/>
      <c r="G152" s="746"/>
      <c r="H152" s="757"/>
      <c r="I152" s="753"/>
      <c r="J152" s="745"/>
      <c r="M152" s="756"/>
      <c r="N152" s="756"/>
    </row>
    <row r="153" spans="1:14 16149:16384">
      <c r="B153" s="760">
        <v>13</v>
      </c>
      <c r="C153" s="769"/>
      <c r="D153" s="760" t="s">
        <v>5059</v>
      </c>
      <c r="E153" s="745"/>
      <c r="F153" s="757"/>
      <c r="G153" s="746"/>
      <c r="H153" s="757"/>
      <c r="I153" s="753"/>
      <c r="J153" s="745"/>
      <c r="M153" s="756"/>
      <c r="N153" s="756"/>
    </row>
    <row r="154" spans="1:14 16149:16384">
      <c r="B154" s="760" t="s">
        <v>863</v>
      </c>
      <c r="C154" s="769"/>
      <c r="D154" s="760" t="s">
        <v>5060</v>
      </c>
      <c r="E154" s="745"/>
      <c r="F154" s="757"/>
      <c r="G154" s="746"/>
      <c r="H154" s="757"/>
      <c r="I154" s="753"/>
      <c r="J154" s="745"/>
      <c r="M154" s="756"/>
      <c r="N154" s="756"/>
    </row>
    <row r="155" spans="1:14 16149:16384">
      <c r="A155" t="s">
        <v>1227</v>
      </c>
      <c r="B155" s="742" t="s">
        <v>866</v>
      </c>
      <c r="C155" s="767">
        <v>130211</v>
      </c>
      <c r="D155" s="782" t="s">
        <v>5061</v>
      </c>
      <c r="E155" s="745" t="s">
        <v>1429</v>
      </c>
      <c r="F155" s="757">
        <v>1079</v>
      </c>
      <c r="G155" s="746"/>
      <c r="H155" s="752">
        <v>0</v>
      </c>
      <c r="I155" s="753" t="s">
        <v>4872</v>
      </c>
      <c r="J155" s="754">
        <v>130211</v>
      </c>
      <c r="M155" s="756">
        <v>44.84</v>
      </c>
      <c r="N155" s="756"/>
    </row>
    <row r="156" spans="1:14 16149:16384">
      <c r="A156" t="s">
        <v>1227</v>
      </c>
      <c r="B156" s="742" t="s">
        <v>868</v>
      </c>
      <c r="C156" s="767">
        <v>130205</v>
      </c>
      <c r="D156" s="782" t="s">
        <v>5062</v>
      </c>
      <c r="E156" s="745" t="s">
        <v>1429</v>
      </c>
      <c r="F156" s="757">
        <v>3536</v>
      </c>
      <c r="G156" s="746"/>
      <c r="H156" s="752">
        <v>0</v>
      </c>
      <c r="I156" s="753" t="s">
        <v>4872</v>
      </c>
      <c r="J156" s="754">
        <v>130205</v>
      </c>
      <c r="M156" s="756">
        <v>48.86</v>
      </c>
      <c r="N156" s="756"/>
      <c r="WWC156" s="804"/>
      <c r="WWD156" s="804"/>
      <c r="WWE156" s="804"/>
      <c r="WWF156" s="804"/>
      <c r="WWG156" s="804"/>
      <c r="WWH156" s="804"/>
      <c r="WWI156" s="804"/>
      <c r="WWJ156" s="804"/>
      <c r="WWK156" s="804"/>
      <c r="WWL156" s="804"/>
      <c r="WWM156" s="804"/>
      <c r="WWN156" s="804"/>
      <c r="WWO156" s="804"/>
      <c r="WWP156" s="804"/>
      <c r="WWQ156" s="804"/>
      <c r="WWR156" s="804"/>
      <c r="WWS156" s="804"/>
      <c r="WWT156" s="804"/>
      <c r="WWU156" s="804"/>
      <c r="WWV156" s="804"/>
      <c r="WWW156" s="804"/>
      <c r="WWX156" s="804"/>
      <c r="WWY156" s="804"/>
      <c r="WWZ156" s="804"/>
      <c r="WXA156" s="804"/>
      <c r="WXB156" s="804"/>
      <c r="WXC156" s="804"/>
      <c r="WXD156" s="804"/>
      <c r="WXE156" s="804"/>
      <c r="WXF156" s="804"/>
      <c r="WXG156" s="804"/>
      <c r="WXH156" s="804"/>
      <c r="WXI156" s="804"/>
      <c r="WXJ156" s="804"/>
      <c r="WXK156" s="804"/>
      <c r="WXL156" s="804"/>
      <c r="WXM156" s="804"/>
      <c r="WXN156" s="804"/>
      <c r="WXO156" s="804"/>
      <c r="WXP156" s="804"/>
      <c r="WXQ156" s="804"/>
      <c r="WXR156" s="804"/>
      <c r="WXS156" s="804"/>
      <c r="WXT156" s="804"/>
      <c r="WXU156" s="804"/>
      <c r="WXV156" s="804"/>
      <c r="WXW156" s="804"/>
      <c r="WXX156" s="804"/>
      <c r="WXY156" s="804"/>
      <c r="WXZ156" s="804"/>
      <c r="WYA156" s="804"/>
      <c r="WYB156" s="804"/>
      <c r="WYC156" s="804"/>
      <c r="WYD156" s="804"/>
      <c r="WYE156" s="804"/>
      <c r="WYF156" s="804"/>
      <c r="WYG156" s="804"/>
      <c r="WYH156" s="804"/>
      <c r="WYI156" s="804"/>
      <c r="WYJ156" s="804"/>
      <c r="WYK156" s="804"/>
      <c r="WYL156" s="804"/>
      <c r="WYM156" s="804"/>
      <c r="WYN156" s="804"/>
      <c r="WYO156" s="804"/>
      <c r="WYP156" s="804"/>
      <c r="WYQ156" s="804"/>
      <c r="WYR156" s="804"/>
      <c r="WYS156" s="804"/>
      <c r="WYT156" s="804"/>
      <c r="WYU156" s="804"/>
      <c r="WYV156" s="804"/>
      <c r="WYW156" s="804"/>
      <c r="WYX156" s="804"/>
      <c r="WYY156" s="804"/>
      <c r="WYZ156" s="804"/>
      <c r="WZA156" s="804"/>
      <c r="WZB156" s="804"/>
      <c r="WZC156" s="804"/>
      <c r="WZD156" s="804"/>
      <c r="WZE156" s="804"/>
      <c r="WZF156" s="804"/>
      <c r="WZG156" s="804"/>
      <c r="WZH156" s="804"/>
      <c r="WZI156" s="804"/>
      <c r="WZJ156" s="804"/>
      <c r="WZK156" s="804"/>
      <c r="WZL156" s="804"/>
      <c r="WZM156" s="804"/>
      <c r="WZN156" s="804"/>
      <c r="WZO156" s="804"/>
      <c r="WZP156" s="804"/>
      <c r="WZQ156" s="804"/>
      <c r="WZR156" s="804"/>
      <c r="WZS156" s="804"/>
      <c r="WZT156" s="804"/>
      <c r="WZU156" s="804"/>
      <c r="WZV156" s="804"/>
      <c r="WZW156" s="804"/>
      <c r="WZX156" s="804"/>
      <c r="WZY156" s="804"/>
      <c r="WZZ156" s="804"/>
      <c r="XAA156" s="804"/>
      <c r="XAB156" s="804"/>
      <c r="XAC156" s="804"/>
      <c r="XAD156" s="804"/>
      <c r="XAE156" s="804"/>
      <c r="XAF156" s="804"/>
      <c r="XAG156" s="804"/>
      <c r="XAH156" s="804"/>
      <c r="XAI156" s="804"/>
      <c r="XAJ156" s="804"/>
      <c r="XAK156" s="804"/>
      <c r="XAL156" s="804"/>
      <c r="XAM156" s="804"/>
      <c r="XAN156" s="804"/>
      <c r="XAO156" s="804"/>
      <c r="XAP156" s="804"/>
      <c r="XAQ156" s="804"/>
      <c r="XAR156" s="804"/>
      <c r="XAS156" s="804"/>
      <c r="XAT156" s="804"/>
      <c r="XAU156" s="804"/>
      <c r="XAV156" s="804"/>
      <c r="XAW156" s="804"/>
      <c r="XAX156" s="804"/>
      <c r="XAY156" s="804"/>
      <c r="XAZ156" s="804"/>
      <c r="XBA156" s="804"/>
      <c r="XBB156" s="804"/>
      <c r="XBC156" s="804"/>
      <c r="XBD156" s="804"/>
      <c r="XBE156" s="804"/>
      <c r="XBF156" s="804"/>
      <c r="XBG156" s="804"/>
      <c r="XBH156" s="804"/>
      <c r="XBI156" s="804"/>
      <c r="XBJ156" s="804"/>
      <c r="XBK156" s="804"/>
      <c r="XBL156" s="804"/>
      <c r="XBM156" s="804"/>
      <c r="XBN156" s="804"/>
      <c r="XBO156" s="804"/>
      <c r="XBP156" s="804"/>
      <c r="XBQ156" s="804"/>
      <c r="XBR156" s="804"/>
      <c r="XBS156" s="804"/>
      <c r="XBT156" s="804"/>
      <c r="XBU156" s="804"/>
      <c r="XBV156" s="804"/>
      <c r="XBW156" s="804"/>
      <c r="XBX156" s="804"/>
      <c r="XBY156" s="804"/>
      <c r="XBZ156" s="804"/>
      <c r="XCA156" s="804"/>
      <c r="XCB156" s="804"/>
      <c r="XCC156" s="804"/>
      <c r="XCD156" s="804"/>
      <c r="XCE156" s="804"/>
      <c r="XCF156" s="804"/>
      <c r="XCG156" s="804"/>
      <c r="XCH156" s="804"/>
      <c r="XCI156" s="804"/>
      <c r="XCJ156" s="804"/>
      <c r="XCK156" s="804"/>
      <c r="XCL156" s="804"/>
      <c r="XCM156" s="804"/>
      <c r="XCN156" s="804"/>
      <c r="XCO156" s="804"/>
      <c r="XCP156" s="804"/>
      <c r="XCQ156" s="804"/>
      <c r="XCR156" s="804"/>
      <c r="XCS156" s="804"/>
      <c r="XCT156" s="804"/>
      <c r="XCU156" s="804"/>
      <c r="XCV156" s="804"/>
      <c r="XCW156" s="804"/>
      <c r="XCX156" s="804"/>
      <c r="XCY156" s="804"/>
      <c r="XCZ156" s="804"/>
      <c r="XDA156" s="804"/>
      <c r="XDB156" s="804"/>
      <c r="XDC156" s="804"/>
      <c r="XDD156" s="804"/>
      <c r="XDE156" s="804"/>
      <c r="XDF156" s="804"/>
      <c r="XDG156" s="804"/>
      <c r="XDH156" s="804"/>
      <c r="XDI156" s="804"/>
      <c r="XDJ156" s="804"/>
      <c r="XDK156" s="804"/>
      <c r="XDL156" s="804"/>
      <c r="XDM156" s="804"/>
      <c r="XDN156" s="804"/>
      <c r="XDO156" s="804"/>
      <c r="XDP156" s="804"/>
      <c r="XDQ156" s="804"/>
      <c r="XDR156" s="804"/>
      <c r="XDS156" s="804"/>
      <c r="XDT156" s="804"/>
      <c r="XDU156" s="804"/>
      <c r="XDV156" s="804"/>
      <c r="XDW156" s="804"/>
      <c r="XDX156" s="804"/>
      <c r="XDY156" s="804"/>
      <c r="XDZ156" s="804"/>
      <c r="XEA156" s="804"/>
      <c r="XEB156" s="804"/>
      <c r="XEC156" s="804"/>
      <c r="XED156" s="804"/>
      <c r="XEE156" s="804"/>
      <c r="XEF156" s="804"/>
      <c r="XEG156" s="804"/>
      <c r="XEH156" s="804"/>
      <c r="XEI156" s="804"/>
      <c r="XEJ156" s="804"/>
      <c r="XEK156" s="804"/>
      <c r="XEL156" s="804"/>
      <c r="XEM156" s="804"/>
      <c r="XEN156" s="804"/>
      <c r="XEO156" s="804"/>
      <c r="XEP156" s="804"/>
      <c r="XEQ156" s="804"/>
      <c r="XER156" s="804"/>
      <c r="XES156" s="804"/>
      <c r="XET156" s="804"/>
      <c r="XEU156" s="804"/>
      <c r="XEV156" s="804"/>
      <c r="XEW156" s="804"/>
      <c r="XEX156" s="804"/>
      <c r="XEY156" s="804"/>
      <c r="XEZ156" s="804"/>
      <c r="XFA156" s="804"/>
      <c r="XFB156" s="804"/>
      <c r="XFC156" s="804"/>
      <c r="XFD156" s="804"/>
    </row>
    <row r="157" spans="1:14 16149:16384" ht="26.4">
      <c r="A157" t="s">
        <v>1227</v>
      </c>
      <c r="B157" s="742" t="s">
        <v>870</v>
      </c>
      <c r="C157" s="767">
        <v>130258</v>
      </c>
      <c r="D157" s="782" t="s">
        <v>5063</v>
      </c>
      <c r="E157" s="745" t="s">
        <v>1429</v>
      </c>
      <c r="F157" s="757">
        <v>762</v>
      </c>
      <c r="G157" s="746"/>
      <c r="H157" s="752">
        <v>0</v>
      </c>
      <c r="I157" s="753" t="s">
        <v>4872</v>
      </c>
      <c r="J157" s="754">
        <v>130258</v>
      </c>
      <c r="M157" s="756">
        <v>203.28</v>
      </c>
      <c r="N157" s="756"/>
    </row>
    <row r="158" spans="1:14 16149:16384" ht="26.4">
      <c r="A158" t="s">
        <v>1227</v>
      </c>
      <c r="B158" s="742" t="s">
        <v>5064</v>
      </c>
      <c r="C158" s="767"/>
      <c r="D158" s="782" t="s">
        <v>5065</v>
      </c>
      <c r="E158" s="745" t="s">
        <v>1429</v>
      </c>
      <c r="F158" s="757">
        <v>160</v>
      </c>
      <c r="G158" s="746"/>
      <c r="H158" s="752">
        <v>0</v>
      </c>
      <c r="I158" s="753" t="s">
        <v>4908</v>
      </c>
      <c r="J158" s="745" t="s">
        <v>5066</v>
      </c>
      <c r="M158" s="756">
        <v>60.19</v>
      </c>
      <c r="N158" s="756"/>
    </row>
    <row r="159" spans="1:14 16149:16384">
      <c r="A159" t="s">
        <v>1227</v>
      </c>
      <c r="B159" s="742" t="s">
        <v>5067</v>
      </c>
      <c r="C159" s="767">
        <v>130367</v>
      </c>
      <c r="D159" s="782" t="s">
        <v>5068</v>
      </c>
      <c r="E159" s="745" t="s">
        <v>4959</v>
      </c>
      <c r="F159" s="781">
        <v>317</v>
      </c>
      <c r="G159" s="746"/>
      <c r="H159" s="752">
        <v>0</v>
      </c>
      <c r="I159" s="753"/>
      <c r="J159" s="745"/>
      <c r="M159" s="756">
        <v>36</v>
      </c>
      <c r="N159" s="756"/>
    </row>
    <row r="160" spans="1:14 16149:16384">
      <c r="A160" t="s">
        <v>1227</v>
      </c>
      <c r="B160" s="742" t="s">
        <v>5069</v>
      </c>
      <c r="C160" s="745"/>
      <c r="D160" s="805" t="s">
        <v>5070</v>
      </c>
      <c r="E160" s="745" t="s">
        <v>4959</v>
      </c>
      <c r="F160" s="757">
        <v>39</v>
      </c>
      <c r="G160" s="746"/>
      <c r="H160" s="752">
        <v>0</v>
      </c>
      <c r="I160" s="753" t="s">
        <v>4998</v>
      </c>
      <c r="J160" s="745" t="s">
        <v>5071</v>
      </c>
      <c r="M160" s="756">
        <v>169.37</v>
      </c>
      <c r="N160" s="756"/>
    </row>
    <row r="161" spans="1:19" ht="26.4">
      <c r="A161" t="s">
        <v>1227</v>
      </c>
      <c r="B161" s="742" t="s">
        <v>5072</v>
      </c>
      <c r="C161" s="767">
        <v>130254</v>
      </c>
      <c r="D161" s="782" t="s">
        <v>5073</v>
      </c>
      <c r="E161" s="745" t="s">
        <v>1429</v>
      </c>
      <c r="F161" s="757">
        <v>12</v>
      </c>
      <c r="G161" s="746"/>
      <c r="H161" s="752">
        <v>0</v>
      </c>
      <c r="I161" s="753" t="s">
        <v>4872</v>
      </c>
      <c r="J161" s="754">
        <v>130254</v>
      </c>
      <c r="M161" s="756">
        <v>119.91</v>
      </c>
      <c r="N161" s="756"/>
    </row>
    <row r="162" spans="1:19">
      <c r="B162" s="760" t="s">
        <v>872</v>
      </c>
      <c r="C162" s="769"/>
      <c r="D162" s="760" t="s">
        <v>5074</v>
      </c>
      <c r="E162" s="745"/>
      <c r="F162" s="757"/>
      <c r="G162" s="746"/>
      <c r="H162" s="752"/>
      <c r="I162" s="753"/>
      <c r="J162" s="745"/>
      <c r="M162" s="756"/>
      <c r="N162" s="756"/>
    </row>
    <row r="163" spans="1:19" ht="26.4">
      <c r="A163" t="s">
        <v>1227</v>
      </c>
      <c r="B163" s="742" t="s">
        <v>875</v>
      </c>
      <c r="C163" s="745"/>
      <c r="D163" s="782" t="s">
        <v>5063</v>
      </c>
      <c r="E163" s="745" t="s">
        <v>1429</v>
      </c>
      <c r="F163" s="757">
        <v>581</v>
      </c>
      <c r="G163" s="746"/>
      <c r="H163" s="752">
        <v>0</v>
      </c>
      <c r="I163" s="753"/>
      <c r="J163" s="745"/>
      <c r="M163" s="756">
        <v>256</v>
      </c>
      <c r="N163" s="756"/>
    </row>
    <row r="164" spans="1:19" s="785" customFormat="1">
      <c r="A164" s="785" t="s">
        <v>1227</v>
      </c>
      <c r="B164" s="787" t="s">
        <v>877</v>
      </c>
      <c r="C164" s="788"/>
      <c r="D164" s="806" t="s">
        <v>5075</v>
      </c>
      <c r="E164" s="790" t="s">
        <v>1429</v>
      </c>
      <c r="F164" s="791">
        <v>0</v>
      </c>
      <c r="G164" s="746"/>
      <c r="H164" s="792">
        <v>0</v>
      </c>
      <c r="I164" s="793" t="s">
        <v>4908</v>
      </c>
      <c r="J164" s="790">
        <v>72799</v>
      </c>
      <c r="M164" s="795">
        <v>58.96</v>
      </c>
      <c r="N164" s="795"/>
      <c r="S164" s="796"/>
    </row>
    <row r="165" spans="1:19" ht="26.4">
      <c r="A165" t="s">
        <v>1227</v>
      </c>
      <c r="B165" s="742"/>
      <c r="C165" s="767">
        <v>170245</v>
      </c>
      <c r="D165" s="782" t="s">
        <v>5076</v>
      </c>
      <c r="E165" s="745" t="s">
        <v>1399</v>
      </c>
      <c r="F165" s="757">
        <v>104.3</v>
      </c>
      <c r="G165" s="746"/>
      <c r="H165" s="752">
        <v>0</v>
      </c>
      <c r="I165" s="753" t="s">
        <v>4908</v>
      </c>
      <c r="J165" s="745" t="s">
        <v>5077</v>
      </c>
      <c r="M165" s="756">
        <v>377.15</v>
      </c>
      <c r="N165" s="756"/>
    </row>
    <row r="166" spans="1:19">
      <c r="A166" t="s">
        <v>1227</v>
      </c>
      <c r="B166" s="742" t="s">
        <v>881</v>
      </c>
      <c r="C166" s="767"/>
      <c r="D166" s="782" t="s">
        <v>5078</v>
      </c>
      <c r="E166" s="745" t="s">
        <v>4959</v>
      </c>
      <c r="F166" s="757">
        <v>195</v>
      </c>
      <c r="G166" s="746"/>
      <c r="H166" s="752">
        <v>0</v>
      </c>
      <c r="I166" s="753" t="s">
        <v>4908</v>
      </c>
      <c r="J166" s="745" t="s">
        <v>5079</v>
      </c>
      <c r="M166" s="756">
        <v>28.79</v>
      </c>
      <c r="N166" s="756"/>
    </row>
    <row r="167" spans="1:19">
      <c r="A167" t="s">
        <v>1227</v>
      </c>
      <c r="B167" s="742" t="s">
        <v>5080</v>
      </c>
      <c r="C167" s="767">
        <v>170252</v>
      </c>
      <c r="D167" s="782" t="s">
        <v>5081</v>
      </c>
      <c r="E167" s="745" t="s">
        <v>1399</v>
      </c>
      <c r="F167" s="757">
        <v>36</v>
      </c>
      <c r="G167" s="746"/>
      <c r="H167" s="752">
        <v>0</v>
      </c>
      <c r="I167" s="753" t="s">
        <v>4872</v>
      </c>
      <c r="J167" s="754">
        <v>170252</v>
      </c>
      <c r="M167" s="756">
        <v>341.93</v>
      </c>
      <c r="N167" s="756"/>
    </row>
    <row r="168" spans="1:19">
      <c r="B168" s="742"/>
      <c r="C168" s="745"/>
      <c r="D168" s="758" t="s">
        <v>4887</v>
      </c>
      <c r="E168" s="745"/>
      <c r="F168" s="757"/>
      <c r="G168" s="746"/>
      <c r="H168" s="759">
        <v>0</v>
      </c>
      <c r="I168" s="753"/>
      <c r="J168" s="745"/>
      <c r="M168" s="756"/>
      <c r="N168" s="756"/>
    </row>
    <row r="169" spans="1:19">
      <c r="B169" s="742"/>
      <c r="C169" s="745"/>
      <c r="D169" s="798"/>
      <c r="E169" s="745"/>
      <c r="F169" s="757"/>
      <c r="G169" s="746"/>
      <c r="H169" s="759"/>
      <c r="I169" s="753"/>
      <c r="J169" s="745"/>
      <c r="M169" s="756"/>
      <c r="N169" s="756"/>
    </row>
    <row r="170" spans="1:19">
      <c r="B170" s="760">
        <v>14</v>
      </c>
      <c r="C170" s="769"/>
      <c r="D170" s="758" t="s">
        <v>5082</v>
      </c>
      <c r="E170" s="745"/>
      <c r="F170" s="757"/>
      <c r="G170" s="746"/>
      <c r="H170" s="757"/>
      <c r="I170" s="753"/>
      <c r="J170" s="745"/>
      <c r="M170" s="756"/>
      <c r="N170" s="756"/>
    </row>
    <row r="171" spans="1:19">
      <c r="B171" s="760" t="s">
        <v>911</v>
      </c>
      <c r="C171" s="769"/>
      <c r="D171" s="758" t="s">
        <v>5083</v>
      </c>
      <c r="E171" s="745"/>
      <c r="F171" s="757"/>
      <c r="G171" s="746"/>
      <c r="H171" s="757"/>
      <c r="I171" s="753"/>
      <c r="J171" s="745"/>
      <c r="M171" s="756"/>
      <c r="N171" s="756"/>
    </row>
    <row r="172" spans="1:19" ht="40.200000000000003">
      <c r="B172" s="807" t="s">
        <v>913</v>
      </c>
      <c r="C172" s="808"/>
      <c r="D172" s="809" t="s">
        <v>5084</v>
      </c>
      <c r="E172" s="810"/>
      <c r="F172" s="752"/>
      <c r="G172" s="746"/>
      <c r="H172" s="752"/>
      <c r="I172" s="753"/>
      <c r="J172" s="745"/>
      <c r="M172" s="811"/>
      <c r="N172" s="811"/>
    </row>
    <row r="173" spans="1:19" ht="13.8">
      <c r="A173" t="s">
        <v>1227</v>
      </c>
      <c r="B173" s="807" t="s">
        <v>5085</v>
      </c>
      <c r="C173" s="808"/>
      <c r="D173" s="807" t="s">
        <v>5086</v>
      </c>
      <c r="E173" s="808" t="s">
        <v>1450</v>
      </c>
      <c r="F173" s="761">
        <v>32</v>
      </c>
      <c r="G173" s="746"/>
      <c r="H173" s="752">
        <v>0</v>
      </c>
      <c r="I173" s="753" t="s">
        <v>4908</v>
      </c>
      <c r="J173" s="745" t="s">
        <v>5087</v>
      </c>
      <c r="M173" s="812">
        <v>48.08</v>
      </c>
      <c r="N173" s="812"/>
    </row>
    <row r="174" spans="1:19" ht="13.8">
      <c r="A174" t="s">
        <v>1227</v>
      </c>
      <c r="B174" s="807" t="s">
        <v>5088</v>
      </c>
      <c r="C174" s="808"/>
      <c r="D174" s="807" t="s">
        <v>5089</v>
      </c>
      <c r="E174" s="808" t="s">
        <v>1450</v>
      </c>
      <c r="F174" s="761">
        <v>4</v>
      </c>
      <c r="G174" s="746"/>
      <c r="H174" s="752">
        <v>0</v>
      </c>
      <c r="I174" s="753" t="s">
        <v>4908</v>
      </c>
      <c r="J174" s="745" t="s">
        <v>5090</v>
      </c>
      <c r="M174" s="812">
        <v>57.17</v>
      </c>
      <c r="N174" s="812"/>
    </row>
    <row r="175" spans="1:19" ht="13.8">
      <c r="A175" t="s">
        <v>1227</v>
      </c>
      <c r="B175" s="807" t="s">
        <v>5091</v>
      </c>
      <c r="C175" s="748"/>
      <c r="D175" s="807" t="s">
        <v>5092</v>
      </c>
      <c r="E175" s="808" t="s">
        <v>5093</v>
      </c>
      <c r="F175" s="813">
        <v>1</v>
      </c>
      <c r="G175" s="746"/>
      <c r="H175" s="752">
        <v>0</v>
      </c>
      <c r="I175" s="753"/>
      <c r="J175" s="745"/>
      <c r="M175" s="814">
        <v>510</v>
      </c>
      <c r="N175" s="814">
        <v>185</v>
      </c>
    </row>
    <row r="176" spans="1:19" ht="13.8">
      <c r="A176" t="s">
        <v>1227</v>
      </c>
      <c r="B176" s="807" t="s">
        <v>5094</v>
      </c>
      <c r="C176" s="748"/>
      <c r="D176" s="807" t="s">
        <v>5095</v>
      </c>
      <c r="E176" s="808" t="s">
        <v>5093</v>
      </c>
      <c r="F176" s="813">
        <v>2</v>
      </c>
      <c r="G176" s="746"/>
      <c r="H176" s="752">
        <v>0</v>
      </c>
      <c r="I176" s="815" t="s">
        <v>5096</v>
      </c>
      <c r="J176" s="754">
        <v>100307</v>
      </c>
      <c r="M176" s="814">
        <v>1073.97</v>
      </c>
      <c r="N176" s="814"/>
    </row>
    <row r="177" spans="1:19" ht="13.8">
      <c r="B177" s="816"/>
      <c r="C177" s="748"/>
      <c r="D177" s="807" t="s">
        <v>5097</v>
      </c>
      <c r="E177" s="808"/>
      <c r="F177" s="813"/>
      <c r="G177" s="746"/>
      <c r="H177" s="813"/>
      <c r="I177" s="753"/>
      <c r="J177" s="745"/>
      <c r="M177" s="814"/>
      <c r="N177" s="814"/>
    </row>
    <row r="178" spans="1:19" ht="13.8">
      <c r="B178" s="816"/>
      <c r="C178" s="748"/>
      <c r="D178" s="807" t="s">
        <v>5098</v>
      </c>
      <c r="E178" s="808"/>
      <c r="F178" s="813"/>
      <c r="G178" s="746"/>
      <c r="H178" s="813"/>
      <c r="I178" s="753"/>
      <c r="J178" s="745"/>
      <c r="M178" s="814"/>
      <c r="N178" s="814"/>
    </row>
    <row r="179" spans="1:19" ht="13.8">
      <c r="B179" s="816"/>
      <c r="C179" s="748"/>
      <c r="D179" s="807" t="s">
        <v>5099</v>
      </c>
      <c r="E179" s="808"/>
      <c r="F179" s="813"/>
      <c r="G179" s="746"/>
      <c r="H179" s="813"/>
      <c r="I179" s="753"/>
      <c r="J179" s="745"/>
      <c r="M179" s="814"/>
      <c r="N179" s="814"/>
    </row>
    <row r="180" spans="1:19" ht="13.8">
      <c r="B180" s="816"/>
      <c r="C180" s="748"/>
      <c r="D180" s="807" t="s">
        <v>5100</v>
      </c>
      <c r="E180" s="808"/>
      <c r="F180" s="813"/>
      <c r="G180" s="746"/>
      <c r="H180" s="813"/>
      <c r="I180" s="753"/>
      <c r="J180" s="745"/>
      <c r="M180" s="814"/>
      <c r="N180" s="814"/>
    </row>
    <row r="181" spans="1:19" s="804" customFormat="1" ht="13.8">
      <c r="B181" s="817" t="s">
        <v>915</v>
      </c>
      <c r="C181" s="818"/>
      <c r="D181" s="817" t="s">
        <v>5101</v>
      </c>
      <c r="E181" s="818"/>
      <c r="F181" s="819"/>
      <c r="G181" s="746"/>
      <c r="H181" s="819"/>
      <c r="I181" s="753"/>
      <c r="J181" s="769"/>
      <c r="M181" s="820"/>
      <c r="N181" s="820"/>
      <c r="S181" s="821"/>
    </row>
    <row r="182" spans="1:19" ht="40.200000000000003">
      <c r="A182" t="s">
        <v>1227</v>
      </c>
      <c r="B182" s="807" t="s">
        <v>5102</v>
      </c>
      <c r="C182" s="808"/>
      <c r="D182" s="809" t="s">
        <v>5103</v>
      </c>
      <c r="E182" s="810"/>
      <c r="F182" s="752"/>
      <c r="G182" s="746"/>
      <c r="H182" s="752"/>
      <c r="I182" s="753"/>
      <c r="J182" s="745"/>
      <c r="M182" s="822"/>
      <c r="N182" s="822"/>
    </row>
    <row r="183" spans="1:19" ht="13.8">
      <c r="B183" s="807"/>
      <c r="C183" s="808"/>
      <c r="D183" s="807" t="s">
        <v>5104</v>
      </c>
      <c r="E183" s="808" t="s">
        <v>1450</v>
      </c>
      <c r="F183" s="761">
        <v>109</v>
      </c>
      <c r="G183" s="746"/>
      <c r="H183" s="752">
        <v>0</v>
      </c>
      <c r="I183" s="753" t="s">
        <v>4890</v>
      </c>
      <c r="J183" s="745" t="s">
        <v>5105</v>
      </c>
      <c r="M183" s="812">
        <v>33.630000000000003</v>
      </c>
      <c r="N183" s="812"/>
    </row>
    <row r="184" spans="1:19" ht="13.8">
      <c r="B184" s="807"/>
      <c r="C184" s="808"/>
      <c r="D184" s="807" t="s">
        <v>5106</v>
      </c>
      <c r="E184" s="808" t="s">
        <v>1450</v>
      </c>
      <c r="F184" s="761">
        <v>6.72</v>
      </c>
      <c r="G184" s="746"/>
      <c r="H184" s="752">
        <v>0</v>
      </c>
      <c r="I184" s="753" t="s">
        <v>4890</v>
      </c>
      <c r="J184" s="745" t="s">
        <v>5087</v>
      </c>
      <c r="M184" s="812">
        <v>48.08</v>
      </c>
      <c r="N184" s="812"/>
    </row>
    <row r="185" spans="1:19" ht="13.8">
      <c r="B185" s="807"/>
      <c r="C185" s="808"/>
      <c r="D185" s="807" t="s">
        <v>5107</v>
      </c>
      <c r="E185" s="808" t="s">
        <v>1450</v>
      </c>
      <c r="F185" s="761">
        <v>78.38</v>
      </c>
      <c r="G185" s="746"/>
      <c r="H185" s="752">
        <v>0</v>
      </c>
      <c r="I185" s="753" t="s">
        <v>4890</v>
      </c>
      <c r="J185" s="745" t="s">
        <v>5090</v>
      </c>
      <c r="M185" s="812">
        <v>57.17</v>
      </c>
      <c r="N185" s="812"/>
    </row>
    <row r="186" spans="1:19" ht="13.8">
      <c r="A186" t="s">
        <v>1227</v>
      </c>
      <c r="B186" s="807" t="s">
        <v>5108</v>
      </c>
      <c r="C186" s="808"/>
      <c r="D186" s="807" t="s">
        <v>5109</v>
      </c>
      <c r="E186" s="808"/>
      <c r="F186" s="752"/>
      <c r="G186" s="746"/>
      <c r="H186" s="752"/>
      <c r="I186" s="753"/>
      <c r="J186" s="745"/>
      <c r="M186" s="823"/>
      <c r="N186" s="823"/>
    </row>
    <row r="187" spans="1:19" ht="13.8">
      <c r="B187" s="807"/>
      <c r="C187" s="808"/>
      <c r="D187" s="807" t="s">
        <v>5110</v>
      </c>
      <c r="E187" s="808" t="s">
        <v>5093</v>
      </c>
      <c r="F187" s="761">
        <v>2</v>
      </c>
      <c r="G187" s="746"/>
      <c r="H187" s="752">
        <v>0</v>
      </c>
      <c r="I187" s="753" t="s">
        <v>4890</v>
      </c>
      <c r="J187" s="745" t="s">
        <v>5111</v>
      </c>
      <c r="M187" s="812">
        <v>84.52</v>
      </c>
      <c r="N187" s="812"/>
    </row>
    <row r="188" spans="1:19" ht="13.8">
      <c r="B188" s="807"/>
      <c r="C188" s="808"/>
      <c r="D188" s="807" t="s">
        <v>5112</v>
      </c>
      <c r="E188" s="808" t="s">
        <v>5093</v>
      </c>
      <c r="F188" s="761">
        <v>2</v>
      </c>
      <c r="G188" s="746"/>
      <c r="H188" s="752">
        <v>0</v>
      </c>
      <c r="I188" s="753" t="s">
        <v>4890</v>
      </c>
      <c r="J188" s="745" t="s">
        <v>5113</v>
      </c>
      <c r="M188" s="814">
        <v>277.57</v>
      </c>
      <c r="N188" s="814"/>
    </row>
    <row r="189" spans="1:19" ht="13.8">
      <c r="A189" t="s">
        <v>1227</v>
      </c>
      <c r="B189" s="816" t="s">
        <v>5114</v>
      </c>
      <c r="C189" s="748"/>
      <c r="D189" s="816" t="s">
        <v>5115</v>
      </c>
      <c r="E189" s="748" t="s">
        <v>5093</v>
      </c>
      <c r="F189" s="761">
        <v>1</v>
      </c>
      <c r="G189" s="746"/>
      <c r="H189" s="752">
        <v>0</v>
      </c>
      <c r="I189" s="753"/>
      <c r="J189" s="745"/>
      <c r="M189" s="812">
        <v>850</v>
      </c>
      <c r="N189" s="812">
        <v>220</v>
      </c>
    </row>
    <row r="190" spans="1:19" ht="13.8">
      <c r="A190" t="s">
        <v>1227</v>
      </c>
      <c r="B190" s="816" t="s">
        <v>5091</v>
      </c>
      <c r="C190" s="748"/>
      <c r="D190" s="816" t="s">
        <v>5116</v>
      </c>
      <c r="E190" s="748" t="s">
        <v>5093</v>
      </c>
      <c r="F190" s="761">
        <v>1</v>
      </c>
      <c r="G190" s="746"/>
      <c r="H190" s="752">
        <v>0</v>
      </c>
      <c r="I190" s="753" t="s">
        <v>5096</v>
      </c>
      <c r="J190" s="754">
        <v>100309</v>
      </c>
      <c r="M190" s="812">
        <v>1873.21</v>
      </c>
      <c r="N190" s="812"/>
    </row>
    <row r="191" spans="1:19" ht="13.8">
      <c r="B191" s="816"/>
      <c r="C191" s="748"/>
      <c r="D191" s="816" t="s">
        <v>5117</v>
      </c>
      <c r="E191" s="748"/>
      <c r="F191" s="761"/>
      <c r="G191" s="746"/>
      <c r="H191" s="761"/>
      <c r="I191" s="753"/>
      <c r="J191" s="745"/>
      <c r="M191" s="812"/>
      <c r="N191" s="812"/>
    </row>
    <row r="192" spans="1:19" ht="13.8">
      <c r="B192" s="816"/>
      <c r="C192" s="748"/>
      <c r="D192" s="816" t="s">
        <v>5118</v>
      </c>
      <c r="E192" s="748"/>
      <c r="F192" s="761"/>
      <c r="G192" s="746"/>
      <c r="H192" s="761"/>
      <c r="I192" s="753"/>
      <c r="J192" s="745"/>
      <c r="M192" s="812"/>
      <c r="N192" s="812"/>
    </row>
    <row r="193" spans="1:14 16149:16384" ht="13.8">
      <c r="B193" s="816"/>
      <c r="C193" s="748"/>
      <c r="D193" s="816" t="s">
        <v>5119</v>
      </c>
      <c r="E193" s="748"/>
      <c r="F193" s="761"/>
      <c r="G193" s="746"/>
      <c r="H193" s="761"/>
      <c r="I193" s="753"/>
      <c r="J193" s="745"/>
      <c r="M193" s="812"/>
      <c r="N193" s="812"/>
    </row>
    <row r="194" spans="1:14 16149:16384" ht="13.8">
      <c r="B194" s="816"/>
      <c r="C194" s="748"/>
      <c r="D194" s="816" t="s">
        <v>5100</v>
      </c>
      <c r="E194" s="748"/>
      <c r="F194" s="761"/>
      <c r="G194" s="746"/>
      <c r="H194" s="761"/>
      <c r="I194" s="753"/>
      <c r="J194" s="745"/>
      <c r="M194" s="812"/>
      <c r="N194" s="812"/>
    </row>
    <row r="195" spans="1:14 16149:16384" ht="13.8">
      <c r="A195" t="s">
        <v>1227</v>
      </c>
      <c r="B195" s="816" t="s">
        <v>5094</v>
      </c>
      <c r="C195" s="748"/>
      <c r="D195" s="816" t="s">
        <v>5120</v>
      </c>
      <c r="E195" s="748" t="s">
        <v>5093</v>
      </c>
      <c r="F195" s="761">
        <v>2</v>
      </c>
      <c r="G195" s="746"/>
      <c r="H195" s="752">
        <v>0</v>
      </c>
      <c r="I195" s="1406" t="s">
        <v>5022</v>
      </c>
      <c r="J195" s="1406"/>
      <c r="M195" s="812">
        <v>6129</v>
      </c>
      <c r="N195" s="812">
        <v>450</v>
      </c>
    </row>
    <row r="196" spans="1:14 16149:16384" ht="13.8">
      <c r="B196" s="816"/>
      <c r="C196" s="748"/>
      <c r="D196" s="816" t="s">
        <v>5121</v>
      </c>
      <c r="E196" s="748"/>
      <c r="F196" s="761"/>
      <c r="G196" s="746"/>
      <c r="H196" s="761"/>
      <c r="I196" s="753"/>
      <c r="J196" s="745"/>
      <c r="M196" s="812"/>
      <c r="N196" s="812"/>
    </row>
    <row r="197" spans="1:14 16149:16384">
      <c r="B197" s="742" t="s">
        <v>917</v>
      </c>
      <c r="C197" s="745"/>
      <c r="D197" s="805" t="s">
        <v>5122</v>
      </c>
      <c r="E197" s="824"/>
      <c r="F197" s="825"/>
      <c r="G197" s="746"/>
      <c r="H197" s="752"/>
      <c r="I197" s="753"/>
      <c r="J197" s="745"/>
      <c r="M197" s="756"/>
      <c r="N197" s="756"/>
    </row>
    <row r="198" spans="1:14 16149:16384" ht="39.6">
      <c r="B198" s="816" t="s">
        <v>920</v>
      </c>
      <c r="C198" s="748"/>
      <c r="D198" s="826" t="s">
        <v>5123</v>
      </c>
      <c r="E198" s="827"/>
      <c r="F198" s="828"/>
      <c r="G198" s="746"/>
      <c r="H198" s="828"/>
      <c r="I198" s="753"/>
      <c r="J198" s="745"/>
      <c r="M198" s="829"/>
      <c r="N198" s="829"/>
    </row>
    <row r="199" spans="1:14 16149:16384" ht="13.8">
      <c r="A199" t="s">
        <v>1227</v>
      </c>
      <c r="B199" s="816"/>
      <c r="C199" s="748"/>
      <c r="D199" s="816" t="s">
        <v>5124</v>
      </c>
      <c r="E199" s="748" t="s">
        <v>1450</v>
      </c>
      <c r="F199" s="813">
        <v>156</v>
      </c>
      <c r="G199" s="746"/>
      <c r="H199" s="752">
        <v>0</v>
      </c>
      <c r="I199" s="815" t="s">
        <v>4890</v>
      </c>
      <c r="J199" s="745" t="s">
        <v>5125</v>
      </c>
      <c r="M199" s="814">
        <v>95.39</v>
      </c>
      <c r="N199" s="814"/>
      <c r="WWC199" s="581"/>
      <c r="WWD199" s="581"/>
      <c r="WWE199" s="581"/>
      <c r="WWF199" s="581"/>
      <c r="WWG199" s="581"/>
      <c r="WWH199" s="581"/>
      <c r="WWI199" s="581"/>
      <c r="WWJ199" s="581"/>
      <c r="WWK199" s="581"/>
      <c r="WWL199" s="581"/>
      <c r="WWM199" s="581"/>
      <c r="WWN199" s="581"/>
      <c r="WWO199" s="581"/>
      <c r="WWP199" s="581"/>
      <c r="WWQ199" s="581"/>
      <c r="WWR199" s="581"/>
      <c r="WWS199" s="581"/>
      <c r="WWT199" s="581"/>
      <c r="WWU199" s="581"/>
      <c r="WWV199" s="581"/>
      <c r="WWW199" s="581"/>
      <c r="WWX199" s="581"/>
      <c r="WWY199" s="581"/>
      <c r="WWZ199" s="581"/>
      <c r="WXA199" s="581"/>
      <c r="WXB199" s="581"/>
      <c r="WXC199" s="581"/>
      <c r="WXD199" s="581"/>
      <c r="WXE199" s="581"/>
      <c r="WXF199" s="581"/>
      <c r="WXG199" s="581"/>
      <c r="WXH199" s="581"/>
      <c r="WXI199" s="581"/>
      <c r="WXJ199" s="581"/>
      <c r="WXK199" s="581"/>
      <c r="WXL199" s="581"/>
      <c r="WXM199" s="581"/>
      <c r="WXN199" s="581"/>
      <c r="WXO199" s="581"/>
      <c r="WXP199" s="581"/>
      <c r="WXQ199" s="581"/>
      <c r="WXR199" s="581"/>
      <c r="WXS199" s="581"/>
      <c r="WXT199" s="581"/>
      <c r="WXU199" s="581"/>
      <c r="WXV199" s="581"/>
      <c r="WXW199" s="581"/>
      <c r="WXX199" s="581"/>
      <c r="WXY199" s="581"/>
      <c r="WXZ199" s="581"/>
      <c r="WYA199" s="581"/>
      <c r="WYB199" s="581"/>
      <c r="WYC199" s="581"/>
      <c r="WYD199" s="581"/>
      <c r="WYE199" s="581"/>
      <c r="WYF199" s="581"/>
      <c r="WYG199" s="581"/>
      <c r="WYH199" s="581"/>
      <c r="WYI199" s="581"/>
      <c r="WYJ199" s="581"/>
      <c r="WYK199" s="581"/>
      <c r="WYL199" s="581"/>
      <c r="WYM199" s="581"/>
      <c r="WYN199" s="581"/>
      <c r="WYO199" s="581"/>
      <c r="WYP199" s="581"/>
      <c r="WYQ199" s="581"/>
      <c r="WYR199" s="581"/>
      <c r="WYS199" s="581"/>
      <c r="WYT199" s="581"/>
      <c r="WYU199" s="581"/>
      <c r="WYV199" s="581"/>
      <c r="WYW199" s="581"/>
      <c r="WYX199" s="581"/>
      <c r="WYY199" s="581"/>
      <c r="WYZ199" s="581"/>
      <c r="WZA199" s="581"/>
      <c r="WZB199" s="581"/>
      <c r="WZC199" s="581"/>
      <c r="WZD199" s="581"/>
      <c r="WZE199" s="581"/>
      <c r="WZF199" s="581"/>
      <c r="WZG199" s="581"/>
      <c r="WZH199" s="581"/>
      <c r="WZI199" s="581"/>
      <c r="WZJ199" s="581"/>
      <c r="WZK199" s="581"/>
      <c r="WZL199" s="581"/>
      <c r="WZM199" s="581"/>
      <c r="WZN199" s="581"/>
      <c r="WZO199" s="581"/>
      <c r="WZP199" s="581"/>
      <c r="WZQ199" s="581"/>
      <c r="WZR199" s="581"/>
      <c r="WZS199" s="581"/>
      <c r="WZT199" s="581"/>
      <c r="WZU199" s="581"/>
      <c r="WZV199" s="581"/>
      <c r="WZW199" s="581"/>
      <c r="WZX199" s="581"/>
      <c r="WZY199" s="581"/>
      <c r="WZZ199" s="581"/>
      <c r="XAA199" s="581"/>
      <c r="XAB199" s="581"/>
      <c r="XAC199" s="581"/>
      <c r="XAD199" s="581"/>
      <c r="XAE199" s="581"/>
      <c r="XAF199" s="581"/>
      <c r="XAG199" s="581"/>
      <c r="XAH199" s="581"/>
      <c r="XAI199" s="581"/>
      <c r="XAJ199" s="581"/>
      <c r="XAK199" s="581"/>
      <c r="XAL199" s="581"/>
      <c r="XAM199" s="581"/>
      <c r="XAN199" s="581"/>
      <c r="XAO199" s="581"/>
      <c r="XAP199" s="581"/>
      <c r="XAQ199" s="581"/>
      <c r="XAR199" s="581"/>
      <c r="XAS199" s="581"/>
      <c r="XAT199" s="581"/>
      <c r="XAU199" s="581"/>
      <c r="XAV199" s="581"/>
      <c r="XAW199" s="581"/>
      <c r="XAX199" s="581"/>
      <c r="XAY199" s="581"/>
      <c r="XAZ199" s="581"/>
      <c r="XBA199" s="581"/>
      <c r="XBB199" s="581"/>
      <c r="XBC199" s="581"/>
      <c r="XBD199" s="581"/>
      <c r="XBE199" s="581"/>
      <c r="XBF199" s="581"/>
      <c r="XBG199" s="581"/>
      <c r="XBH199" s="581"/>
      <c r="XBI199" s="581"/>
      <c r="XBJ199" s="581"/>
      <c r="XBK199" s="581"/>
      <c r="XBL199" s="581"/>
      <c r="XBM199" s="581"/>
      <c r="XBN199" s="581"/>
      <c r="XBO199" s="581"/>
      <c r="XBP199" s="581"/>
      <c r="XBQ199" s="581"/>
      <c r="XBR199" s="581"/>
      <c r="XBS199" s="581"/>
      <c r="XBT199" s="581"/>
      <c r="XBU199" s="581"/>
      <c r="XBV199" s="581"/>
      <c r="XBW199" s="581"/>
      <c r="XBX199" s="581"/>
      <c r="XBY199" s="581"/>
      <c r="XBZ199" s="581"/>
      <c r="XCA199" s="581"/>
      <c r="XCB199" s="581"/>
      <c r="XCC199" s="581"/>
      <c r="XCD199" s="581"/>
      <c r="XCE199" s="581"/>
      <c r="XCF199" s="581"/>
      <c r="XCG199" s="581"/>
      <c r="XCH199" s="581"/>
      <c r="XCI199" s="581"/>
      <c r="XCJ199" s="581"/>
      <c r="XCK199" s="581"/>
      <c r="XCL199" s="581"/>
      <c r="XCM199" s="581"/>
      <c r="XCN199" s="581"/>
      <c r="XCO199" s="581"/>
      <c r="XCP199" s="581"/>
      <c r="XCQ199" s="581"/>
      <c r="XCR199" s="581"/>
      <c r="XCS199" s="581"/>
      <c r="XCT199" s="581"/>
      <c r="XCU199" s="581"/>
      <c r="XCV199" s="581"/>
      <c r="XCW199" s="581"/>
      <c r="XCX199" s="581"/>
      <c r="XCY199" s="581"/>
      <c r="XCZ199" s="581"/>
      <c r="XDA199" s="581"/>
      <c r="XDB199" s="581"/>
      <c r="XDC199" s="581"/>
      <c r="XDD199" s="581"/>
      <c r="XDE199" s="581"/>
      <c r="XDF199" s="581"/>
      <c r="XDG199" s="581"/>
      <c r="XDH199" s="581"/>
      <c r="XDI199" s="581"/>
      <c r="XDJ199" s="581"/>
      <c r="XDK199" s="581"/>
      <c r="XDL199" s="581"/>
      <c r="XDM199" s="581"/>
      <c r="XDN199" s="581"/>
      <c r="XDO199" s="581"/>
      <c r="XDP199" s="581"/>
      <c r="XDQ199" s="581"/>
      <c r="XDR199" s="581"/>
      <c r="XDS199" s="581"/>
      <c r="XDT199" s="581"/>
      <c r="XDU199" s="581"/>
      <c r="XDV199" s="581"/>
      <c r="XDW199" s="581"/>
      <c r="XDX199" s="581"/>
      <c r="XDY199" s="581"/>
      <c r="XDZ199" s="581"/>
      <c r="XEA199" s="581"/>
      <c r="XEB199" s="581"/>
      <c r="XEC199" s="581"/>
      <c r="XED199" s="581"/>
      <c r="XEE199" s="581"/>
      <c r="XEF199" s="581"/>
      <c r="XEG199" s="581"/>
      <c r="XEH199" s="581"/>
      <c r="XEI199" s="581"/>
      <c r="XEJ199" s="581"/>
      <c r="XEK199" s="581"/>
      <c r="XEL199" s="581"/>
      <c r="XEM199" s="581"/>
      <c r="XEN199" s="581"/>
      <c r="XEO199" s="581"/>
      <c r="XEP199" s="581"/>
      <c r="XEQ199" s="581"/>
      <c r="XER199" s="581"/>
      <c r="XES199" s="581"/>
      <c r="XET199" s="581"/>
      <c r="XEU199" s="581"/>
      <c r="XEV199" s="581"/>
      <c r="XEW199" s="581"/>
      <c r="XEX199" s="581"/>
      <c r="XEY199" s="581"/>
      <c r="XEZ199" s="581"/>
      <c r="XFA199" s="581"/>
      <c r="XFB199" s="581"/>
      <c r="XFC199" s="581"/>
      <c r="XFD199" s="581"/>
    </row>
    <row r="200" spans="1:14 16149:16384" ht="13.8">
      <c r="B200" s="816"/>
      <c r="C200" s="748"/>
      <c r="D200" s="816"/>
      <c r="E200" s="748"/>
      <c r="F200" s="813"/>
      <c r="G200" s="746"/>
      <c r="H200" s="752"/>
      <c r="I200" s="815"/>
      <c r="J200" s="745"/>
      <c r="M200" s="814"/>
      <c r="N200" s="814"/>
    </row>
    <row r="201" spans="1:14 16149:16384" ht="13.8">
      <c r="A201" t="s">
        <v>1227</v>
      </c>
      <c r="B201" s="816" t="s">
        <v>5126</v>
      </c>
      <c r="C201" s="748"/>
      <c r="D201" s="816" t="s">
        <v>5127</v>
      </c>
      <c r="E201" s="748"/>
      <c r="F201" s="813"/>
      <c r="G201" s="746"/>
      <c r="H201" s="813"/>
      <c r="I201" s="815"/>
      <c r="J201" s="745"/>
      <c r="M201" s="814"/>
      <c r="N201" s="814"/>
    </row>
    <row r="202" spans="1:14 16149:16384" ht="13.8">
      <c r="A202" t="s">
        <v>1227</v>
      </c>
      <c r="B202" s="816" t="s">
        <v>5128</v>
      </c>
      <c r="C202" s="748"/>
      <c r="D202" s="816" t="s">
        <v>5129</v>
      </c>
      <c r="E202" s="748" t="s">
        <v>4895</v>
      </c>
      <c r="F202" s="813">
        <v>6</v>
      </c>
      <c r="G202" s="746"/>
      <c r="H202" s="752">
        <v>0</v>
      </c>
      <c r="I202" s="815" t="s">
        <v>4890</v>
      </c>
      <c r="J202" s="745" t="s">
        <v>5130</v>
      </c>
      <c r="M202" s="814">
        <v>76.34</v>
      </c>
      <c r="N202" s="814"/>
    </row>
    <row r="203" spans="1:14 16149:16384" ht="13.8">
      <c r="A203" t="s">
        <v>1227</v>
      </c>
      <c r="B203" s="816" t="s">
        <v>5131</v>
      </c>
      <c r="C203" s="748"/>
      <c r="D203" s="816" t="s">
        <v>5132</v>
      </c>
      <c r="E203" s="748" t="s">
        <v>4895</v>
      </c>
      <c r="F203" s="813">
        <v>2</v>
      </c>
      <c r="G203" s="746"/>
      <c r="H203" s="752">
        <v>0</v>
      </c>
      <c r="I203" s="815" t="s">
        <v>4890</v>
      </c>
      <c r="J203" s="745" t="s">
        <v>5133</v>
      </c>
      <c r="M203" s="814">
        <v>67.73</v>
      </c>
      <c r="N203" s="814"/>
    </row>
    <row r="204" spans="1:14 16149:16384" ht="13.8">
      <c r="A204" t="s">
        <v>1227</v>
      </c>
      <c r="B204" s="816" t="s">
        <v>5134</v>
      </c>
      <c r="C204" s="748"/>
      <c r="D204" s="816" t="s">
        <v>5135</v>
      </c>
      <c r="E204" s="748" t="s">
        <v>4895</v>
      </c>
      <c r="F204" s="813">
        <v>16</v>
      </c>
      <c r="G204" s="746"/>
      <c r="H204" s="752">
        <v>0</v>
      </c>
      <c r="I204" s="815" t="s">
        <v>4890</v>
      </c>
      <c r="J204" s="745">
        <v>72284</v>
      </c>
      <c r="M204" s="814">
        <v>606.98</v>
      </c>
      <c r="N204" s="814"/>
    </row>
    <row r="205" spans="1:14 16149:16384" ht="13.8">
      <c r="A205" t="s">
        <v>1227</v>
      </c>
      <c r="B205" s="816" t="s">
        <v>5136</v>
      </c>
      <c r="C205" s="748"/>
      <c r="D205" s="816" t="s">
        <v>5137</v>
      </c>
      <c r="E205" s="748" t="s">
        <v>4895</v>
      </c>
      <c r="F205" s="813">
        <v>1</v>
      </c>
      <c r="G205" s="746"/>
      <c r="H205" s="752">
        <v>0</v>
      </c>
      <c r="I205" s="815" t="s">
        <v>5096</v>
      </c>
      <c r="J205" s="754">
        <v>100307</v>
      </c>
      <c r="M205" s="814">
        <v>1073.97</v>
      </c>
      <c r="N205" s="814"/>
      <c r="WWC205" s="830"/>
      <c r="WWD205" s="830"/>
      <c r="WWE205" s="830"/>
      <c r="WWF205" s="830"/>
      <c r="WWG205" s="830"/>
      <c r="WWH205" s="830"/>
      <c r="WWI205" s="830"/>
      <c r="WWJ205" s="830"/>
      <c r="WWK205" s="830"/>
      <c r="WWL205" s="830"/>
      <c r="WWM205" s="830"/>
      <c r="WWN205" s="830"/>
      <c r="WWO205" s="830"/>
      <c r="WWP205" s="830"/>
      <c r="WWQ205" s="830"/>
      <c r="WWR205" s="830"/>
      <c r="WWS205" s="830"/>
      <c r="WWT205" s="830"/>
      <c r="WWU205" s="830"/>
      <c r="WWV205" s="830"/>
      <c r="WWW205" s="830"/>
      <c r="WWX205" s="830"/>
      <c r="WWY205" s="830"/>
      <c r="WWZ205" s="830"/>
      <c r="WXA205" s="830"/>
      <c r="WXB205" s="830"/>
      <c r="WXC205" s="830"/>
      <c r="WXD205" s="830"/>
      <c r="WXE205" s="830"/>
      <c r="WXF205" s="830"/>
      <c r="WXG205" s="830"/>
      <c r="WXH205" s="830"/>
      <c r="WXI205" s="830"/>
      <c r="WXJ205" s="830"/>
      <c r="WXK205" s="830"/>
      <c r="WXL205" s="830"/>
      <c r="WXM205" s="830"/>
      <c r="WXN205" s="830"/>
      <c r="WXO205" s="830"/>
      <c r="WXP205" s="830"/>
      <c r="WXQ205" s="830"/>
      <c r="WXR205" s="830"/>
      <c r="WXS205" s="830"/>
      <c r="WXT205" s="830"/>
      <c r="WXU205" s="830"/>
      <c r="WXV205" s="830"/>
      <c r="WXW205" s="830"/>
      <c r="WXX205" s="830"/>
      <c r="WXY205" s="830"/>
      <c r="WXZ205" s="830"/>
      <c r="WYA205" s="830"/>
      <c r="WYB205" s="830"/>
      <c r="WYC205" s="830"/>
      <c r="WYD205" s="830"/>
      <c r="WYE205" s="830"/>
      <c r="WYF205" s="830"/>
      <c r="WYG205" s="830"/>
      <c r="WYH205" s="830"/>
      <c r="WYI205" s="830"/>
      <c r="WYJ205" s="830"/>
      <c r="WYK205" s="830"/>
      <c r="WYL205" s="830"/>
      <c r="WYM205" s="830"/>
      <c r="WYN205" s="830"/>
      <c r="WYO205" s="830"/>
      <c r="WYP205" s="830"/>
      <c r="WYQ205" s="830"/>
      <c r="WYR205" s="830"/>
      <c r="WYS205" s="830"/>
      <c r="WYT205" s="830"/>
      <c r="WYU205" s="830"/>
      <c r="WYV205" s="830"/>
      <c r="WYW205" s="830"/>
      <c r="WYX205" s="830"/>
      <c r="WYY205" s="830"/>
      <c r="WYZ205" s="830"/>
      <c r="WZA205" s="830"/>
      <c r="WZB205" s="830"/>
      <c r="WZC205" s="830"/>
      <c r="WZD205" s="830"/>
      <c r="WZE205" s="830"/>
      <c r="WZF205" s="830"/>
      <c r="WZG205" s="830"/>
      <c r="WZH205" s="830"/>
      <c r="WZI205" s="830"/>
      <c r="WZJ205" s="830"/>
      <c r="WZK205" s="830"/>
      <c r="WZL205" s="830"/>
      <c r="WZM205" s="830"/>
      <c r="WZN205" s="830"/>
      <c r="WZO205" s="830"/>
      <c r="WZP205" s="830"/>
      <c r="WZQ205" s="830"/>
      <c r="WZR205" s="830"/>
      <c r="WZS205" s="830"/>
      <c r="WZT205" s="830"/>
      <c r="WZU205" s="830"/>
      <c r="WZV205" s="830"/>
      <c r="WZW205" s="830"/>
      <c r="WZX205" s="830"/>
      <c r="WZY205" s="830"/>
      <c r="WZZ205" s="830"/>
      <c r="XAA205" s="830"/>
      <c r="XAB205" s="830"/>
      <c r="XAC205" s="830"/>
      <c r="XAD205" s="830"/>
      <c r="XAE205" s="830"/>
      <c r="XAF205" s="830"/>
      <c r="XAG205" s="830"/>
      <c r="XAH205" s="830"/>
      <c r="XAI205" s="830"/>
      <c r="XAJ205" s="830"/>
      <c r="XAK205" s="830"/>
      <c r="XAL205" s="830"/>
      <c r="XAM205" s="830"/>
      <c r="XAN205" s="830"/>
      <c r="XAO205" s="830"/>
      <c r="XAP205" s="830"/>
      <c r="XAQ205" s="830"/>
      <c r="XAR205" s="830"/>
      <c r="XAS205" s="830"/>
      <c r="XAT205" s="830"/>
      <c r="XAU205" s="830"/>
      <c r="XAV205" s="830"/>
      <c r="XAW205" s="830"/>
      <c r="XAX205" s="830"/>
      <c r="XAY205" s="830"/>
      <c r="XAZ205" s="830"/>
      <c r="XBA205" s="830"/>
      <c r="XBB205" s="830"/>
      <c r="XBC205" s="830"/>
      <c r="XBD205" s="830"/>
      <c r="XBE205" s="830"/>
      <c r="XBF205" s="830"/>
      <c r="XBG205" s="830"/>
      <c r="XBH205" s="830"/>
      <c r="XBI205" s="830"/>
      <c r="XBJ205" s="830"/>
      <c r="XBK205" s="830"/>
      <c r="XBL205" s="830"/>
      <c r="XBM205" s="830"/>
      <c r="XBN205" s="830"/>
      <c r="XBO205" s="830"/>
      <c r="XBP205" s="830"/>
      <c r="XBQ205" s="830"/>
      <c r="XBR205" s="830"/>
      <c r="XBS205" s="830"/>
      <c r="XBT205" s="830"/>
      <c r="XBU205" s="830"/>
      <c r="XBV205" s="830"/>
      <c r="XBW205" s="830"/>
      <c r="XBX205" s="830"/>
      <c r="XBY205" s="830"/>
      <c r="XBZ205" s="830"/>
      <c r="XCA205" s="830"/>
      <c r="XCB205" s="830"/>
      <c r="XCC205" s="830"/>
      <c r="XCD205" s="830"/>
      <c r="XCE205" s="830"/>
      <c r="XCF205" s="830"/>
      <c r="XCG205" s="830"/>
      <c r="XCH205" s="830"/>
      <c r="XCI205" s="830"/>
      <c r="XCJ205" s="830"/>
      <c r="XCK205" s="830"/>
      <c r="XCL205" s="830"/>
      <c r="XCM205" s="830"/>
      <c r="XCN205" s="830"/>
      <c r="XCO205" s="830"/>
      <c r="XCP205" s="830"/>
      <c r="XCQ205" s="830"/>
      <c r="XCR205" s="830"/>
      <c r="XCS205" s="830"/>
      <c r="XCT205" s="830"/>
      <c r="XCU205" s="830"/>
      <c r="XCV205" s="830"/>
      <c r="XCW205" s="830"/>
      <c r="XCX205" s="830"/>
      <c r="XCY205" s="830"/>
      <c r="XCZ205" s="830"/>
      <c r="XDA205" s="830"/>
      <c r="XDB205" s="830"/>
      <c r="XDC205" s="830"/>
      <c r="XDD205" s="830"/>
      <c r="XDE205" s="830"/>
      <c r="XDF205" s="830"/>
      <c r="XDG205" s="830"/>
      <c r="XDH205" s="830"/>
      <c r="XDI205" s="830"/>
      <c r="XDJ205" s="830"/>
      <c r="XDK205" s="830"/>
      <c r="XDL205" s="830"/>
      <c r="XDM205" s="830"/>
      <c r="XDN205" s="830"/>
      <c r="XDO205" s="830"/>
      <c r="XDP205" s="830"/>
      <c r="XDQ205" s="830"/>
      <c r="XDR205" s="830"/>
      <c r="XDS205" s="830"/>
      <c r="XDT205" s="830"/>
      <c r="XDU205" s="830"/>
      <c r="XDV205" s="830"/>
      <c r="XDW205" s="830"/>
      <c r="XDX205" s="830"/>
      <c r="XDY205" s="830"/>
      <c r="XDZ205" s="830"/>
      <c r="XEA205" s="830"/>
      <c r="XEB205" s="830"/>
      <c r="XEC205" s="830"/>
      <c r="XED205" s="830"/>
      <c r="XEE205" s="830"/>
      <c r="XEF205" s="830"/>
      <c r="XEG205" s="830"/>
      <c r="XEH205" s="830"/>
      <c r="XEI205" s="830"/>
      <c r="XEJ205" s="830"/>
      <c r="XEK205" s="830"/>
      <c r="XEL205" s="830"/>
      <c r="XEM205" s="830"/>
      <c r="XEN205" s="830"/>
      <c r="XEO205" s="830"/>
      <c r="XEP205" s="830"/>
      <c r="XEQ205" s="830"/>
      <c r="XER205" s="830"/>
      <c r="XES205" s="830"/>
      <c r="XET205" s="830"/>
      <c r="XEU205" s="830"/>
      <c r="XEV205" s="830"/>
      <c r="XEW205" s="830"/>
      <c r="XEX205" s="830"/>
      <c r="XEY205" s="830"/>
      <c r="XEZ205" s="830"/>
      <c r="XFA205" s="830"/>
      <c r="XFB205" s="830"/>
      <c r="XFC205" s="830"/>
      <c r="XFD205" s="830"/>
    </row>
    <row r="206" spans="1:14 16149:16384" ht="13.8">
      <c r="B206" s="816"/>
      <c r="C206" s="748"/>
      <c r="D206" s="816" t="s">
        <v>5138</v>
      </c>
      <c r="E206" s="748"/>
      <c r="F206" s="813"/>
      <c r="G206" s="746"/>
      <c r="H206" s="813"/>
      <c r="I206" s="815"/>
      <c r="J206" s="745"/>
      <c r="M206" s="814"/>
      <c r="N206" s="814"/>
      <c r="WWC206" s="830"/>
      <c r="WWD206" s="830"/>
      <c r="WWE206" s="830"/>
      <c r="WWF206" s="830"/>
      <c r="WWG206" s="830"/>
      <c r="WWH206" s="830"/>
      <c r="WWI206" s="830"/>
      <c r="WWJ206" s="830"/>
      <c r="WWK206" s="830"/>
      <c r="WWL206" s="830"/>
      <c r="WWM206" s="830"/>
      <c r="WWN206" s="830"/>
      <c r="WWO206" s="830"/>
      <c r="WWP206" s="830"/>
      <c r="WWQ206" s="830"/>
      <c r="WWR206" s="830"/>
      <c r="WWS206" s="830"/>
      <c r="WWT206" s="830"/>
      <c r="WWU206" s="830"/>
      <c r="WWV206" s="830"/>
      <c r="WWW206" s="830"/>
      <c r="WWX206" s="830"/>
      <c r="WWY206" s="830"/>
      <c r="WWZ206" s="830"/>
      <c r="WXA206" s="830"/>
      <c r="WXB206" s="830"/>
      <c r="WXC206" s="830"/>
      <c r="WXD206" s="830"/>
      <c r="WXE206" s="830"/>
      <c r="WXF206" s="830"/>
      <c r="WXG206" s="830"/>
      <c r="WXH206" s="830"/>
      <c r="WXI206" s="830"/>
      <c r="WXJ206" s="830"/>
      <c r="WXK206" s="830"/>
      <c r="WXL206" s="830"/>
      <c r="WXM206" s="830"/>
      <c r="WXN206" s="830"/>
      <c r="WXO206" s="830"/>
      <c r="WXP206" s="830"/>
      <c r="WXQ206" s="830"/>
      <c r="WXR206" s="830"/>
      <c r="WXS206" s="830"/>
      <c r="WXT206" s="830"/>
      <c r="WXU206" s="830"/>
      <c r="WXV206" s="830"/>
      <c r="WXW206" s="830"/>
      <c r="WXX206" s="830"/>
      <c r="WXY206" s="830"/>
      <c r="WXZ206" s="830"/>
      <c r="WYA206" s="830"/>
      <c r="WYB206" s="830"/>
      <c r="WYC206" s="830"/>
      <c r="WYD206" s="830"/>
      <c r="WYE206" s="830"/>
      <c r="WYF206" s="830"/>
      <c r="WYG206" s="830"/>
      <c r="WYH206" s="830"/>
      <c r="WYI206" s="830"/>
      <c r="WYJ206" s="830"/>
      <c r="WYK206" s="830"/>
      <c r="WYL206" s="830"/>
      <c r="WYM206" s="830"/>
      <c r="WYN206" s="830"/>
      <c r="WYO206" s="830"/>
      <c r="WYP206" s="830"/>
      <c r="WYQ206" s="830"/>
      <c r="WYR206" s="830"/>
      <c r="WYS206" s="830"/>
      <c r="WYT206" s="830"/>
      <c r="WYU206" s="830"/>
      <c r="WYV206" s="830"/>
      <c r="WYW206" s="830"/>
      <c r="WYX206" s="830"/>
      <c r="WYY206" s="830"/>
      <c r="WYZ206" s="830"/>
      <c r="WZA206" s="830"/>
      <c r="WZB206" s="830"/>
      <c r="WZC206" s="830"/>
      <c r="WZD206" s="830"/>
      <c r="WZE206" s="830"/>
      <c r="WZF206" s="830"/>
      <c r="WZG206" s="830"/>
      <c r="WZH206" s="830"/>
      <c r="WZI206" s="830"/>
      <c r="WZJ206" s="830"/>
      <c r="WZK206" s="830"/>
      <c r="WZL206" s="830"/>
      <c r="WZM206" s="830"/>
      <c r="WZN206" s="830"/>
      <c r="WZO206" s="830"/>
      <c r="WZP206" s="830"/>
      <c r="WZQ206" s="830"/>
      <c r="WZR206" s="830"/>
      <c r="WZS206" s="830"/>
      <c r="WZT206" s="830"/>
      <c r="WZU206" s="830"/>
      <c r="WZV206" s="830"/>
      <c r="WZW206" s="830"/>
      <c r="WZX206" s="830"/>
      <c r="WZY206" s="830"/>
      <c r="WZZ206" s="830"/>
      <c r="XAA206" s="830"/>
      <c r="XAB206" s="830"/>
      <c r="XAC206" s="830"/>
      <c r="XAD206" s="830"/>
      <c r="XAE206" s="830"/>
      <c r="XAF206" s="830"/>
      <c r="XAG206" s="830"/>
      <c r="XAH206" s="830"/>
      <c r="XAI206" s="830"/>
      <c r="XAJ206" s="830"/>
      <c r="XAK206" s="830"/>
      <c r="XAL206" s="830"/>
      <c r="XAM206" s="830"/>
      <c r="XAN206" s="830"/>
      <c r="XAO206" s="830"/>
      <c r="XAP206" s="830"/>
      <c r="XAQ206" s="830"/>
      <c r="XAR206" s="830"/>
      <c r="XAS206" s="830"/>
      <c r="XAT206" s="830"/>
      <c r="XAU206" s="830"/>
      <c r="XAV206" s="830"/>
      <c r="XAW206" s="830"/>
      <c r="XAX206" s="830"/>
      <c r="XAY206" s="830"/>
      <c r="XAZ206" s="830"/>
      <c r="XBA206" s="830"/>
      <c r="XBB206" s="830"/>
      <c r="XBC206" s="830"/>
      <c r="XBD206" s="830"/>
      <c r="XBE206" s="830"/>
      <c r="XBF206" s="830"/>
      <c r="XBG206" s="830"/>
      <c r="XBH206" s="830"/>
      <c r="XBI206" s="830"/>
      <c r="XBJ206" s="830"/>
      <c r="XBK206" s="830"/>
      <c r="XBL206" s="830"/>
      <c r="XBM206" s="830"/>
      <c r="XBN206" s="830"/>
      <c r="XBO206" s="830"/>
      <c r="XBP206" s="830"/>
      <c r="XBQ206" s="830"/>
      <c r="XBR206" s="830"/>
      <c r="XBS206" s="830"/>
      <c r="XBT206" s="830"/>
      <c r="XBU206" s="830"/>
      <c r="XBV206" s="830"/>
      <c r="XBW206" s="830"/>
      <c r="XBX206" s="830"/>
      <c r="XBY206" s="830"/>
      <c r="XBZ206" s="830"/>
      <c r="XCA206" s="830"/>
      <c r="XCB206" s="830"/>
      <c r="XCC206" s="830"/>
      <c r="XCD206" s="830"/>
      <c r="XCE206" s="830"/>
      <c r="XCF206" s="830"/>
      <c r="XCG206" s="830"/>
      <c r="XCH206" s="830"/>
      <c r="XCI206" s="830"/>
      <c r="XCJ206" s="830"/>
      <c r="XCK206" s="830"/>
      <c r="XCL206" s="830"/>
      <c r="XCM206" s="830"/>
      <c r="XCN206" s="830"/>
      <c r="XCO206" s="830"/>
      <c r="XCP206" s="830"/>
      <c r="XCQ206" s="830"/>
      <c r="XCR206" s="830"/>
      <c r="XCS206" s="830"/>
      <c r="XCT206" s="830"/>
      <c r="XCU206" s="830"/>
      <c r="XCV206" s="830"/>
      <c r="XCW206" s="830"/>
      <c r="XCX206" s="830"/>
      <c r="XCY206" s="830"/>
      <c r="XCZ206" s="830"/>
      <c r="XDA206" s="830"/>
      <c r="XDB206" s="830"/>
      <c r="XDC206" s="830"/>
      <c r="XDD206" s="830"/>
      <c r="XDE206" s="830"/>
      <c r="XDF206" s="830"/>
      <c r="XDG206" s="830"/>
      <c r="XDH206" s="830"/>
      <c r="XDI206" s="830"/>
      <c r="XDJ206" s="830"/>
      <c r="XDK206" s="830"/>
      <c r="XDL206" s="830"/>
      <c r="XDM206" s="830"/>
      <c r="XDN206" s="830"/>
      <c r="XDO206" s="830"/>
      <c r="XDP206" s="830"/>
      <c r="XDQ206" s="830"/>
      <c r="XDR206" s="830"/>
      <c r="XDS206" s="830"/>
      <c r="XDT206" s="830"/>
      <c r="XDU206" s="830"/>
      <c r="XDV206" s="830"/>
      <c r="XDW206" s="830"/>
      <c r="XDX206" s="830"/>
      <c r="XDY206" s="830"/>
      <c r="XDZ206" s="830"/>
      <c r="XEA206" s="830"/>
      <c r="XEB206" s="830"/>
      <c r="XEC206" s="830"/>
      <c r="XED206" s="830"/>
      <c r="XEE206" s="830"/>
      <c r="XEF206" s="830"/>
      <c r="XEG206" s="830"/>
      <c r="XEH206" s="830"/>
      <c r="XEI206" s="830"/>
      <c r="XEJ206" s="830"/>
      <c r="XEK206" s="830"/>
      <c r="XEL206" s="830"/>
      <c r="XEM206" s="830"/>
      <c r="XEN206" s="830"/>
      <c r="XEO206" s="830"/>
      <c r="XEP206" s="830"/>
      <c r="XEQ206" s="830"/>
      <c r="XER206" s="830"/>
      <c r="XES206" s="830"/>
      <c r="XET206" s="830"/>
      <c r="XEU206" s="830"/>
      <c r="XEV206" s="830"/>
      <c r="XEW206" s="830"/>
      <c r="XEX206" s="830"/>
      <c r="XEY206" s="830"/>
      <c r="XEZ206" s="830"/>
      <c r="XFA206" s="830"/>
      <c r="XFB206" s="830"/>
      <c r="XFC206" s="830"/>
      <c r="XFD206" s="830"/>
    </row>
    <row r="207" spans="1:14 16149:16384" ht="13.8">
      <c r="B207" s="816"/>
      <c r="C207" s="748"/>
      <c r="D207" s="816" t="s">
        <v>5139</v>
      </c>
      <c r="E207" s="748"/>
      <c r="F207" s="813"/>
      <c r="G207" s="746"/>
      <c r="H207" s="813"/>
      <c r="I207" s="815"/>
      <c r="J207" s="745"/>
      <c r="M207" s="814"/>
      <c r="N207" s="814"/>
      <c r="WWC207" s="830"/>
      <c r="WWD207" s="830"/>
      <c r="WWE207" s="830"/>
      <c r="WWF207" s="830"/>
      <c r="WWG207" s="830"/>
      <c r="WWH207" s="830"/>
      <c r="WWI207" s="830"/>
      <c r="WWJ207" s="830"/>
      <c r="WWK207" s="830"/>
      <c r="WWL207" s="830"/>
      <c r="WWM207" s="830"/>
      <c r="WWN207" s="830"/>
      <c r="WWO207" s="830"/>
      <c r="WWP207" s="830"/>
      <c r="WWQ207" s="830"/>
      <c r="WWR207" s="830"/>
      <c r="WWS207" s="830"/>
      <c r="WWT207" s="830"/>
      <c r="WWU207" s="830"/>
      <c r="WWV207" s="830"/>
      <c r="WWW207" s="830"/>
      <c r="WWX207" s="830"/>
      <c r="WWY207" s="830"/>
      <c r="WWZ207" s="830"/>
      <c r="WXA207" s="830"/>
      <c r="WXB207" s="830"/>
      <c r="WXC207" s="830"/>
      <c r="WXD207" s="830"/>
      <c r="WXE207" s="830"/>
      <c r="WXF207" s="830"/>
      <c r="WXG207" s="830"/>
      <c r="WXH207" s="830"/>
      <c r="WXI207" s="830"/>
      <c r="WXJ207" s="830"/>
      <c r="WXK207" s="830"/>
      <c r="WXL207" s="830"/>
      <c r="WXM207" s="830"/>
      <c r="WXN207" s="830"/>
      <c r="WXO207" s="830"/>
      <c r="WXP207" s="830"/>
      <c r="WXQ207" s="830"/>
      <c r="WXR207" s="830"/>
      <c r="WXS207" s="830"/>
      <c r="WXT207" s="830"/>
      <c r="WXU207" s="830"/>
      <c r="WXV207" s="830"/>
      <c r="WXW207" s="830"/>
      <c r="WXX207" s="830"/>
      <c r="WXY207" s="830"/>
      <c r="WXZ207" s="830"/>
      <c r="WYA207" s="830"/>
      <c r="WYB207" s="830"/>
      <c r="WYC207" s="830"/>
      <c r="WYD207" s="830"/>
      <c r="WYE207" s="830"/>
      <c r="WYF207" s="830"/>
      <c r="WYG207" s="830"/>
      <c r="WYH207" s="830"/>
      <c r="WYI207" s="830"/>
      <c r="WYJ207" s="830"/>
      <c r="WYK207" s="830"/>
      <c r="WYL207" s="830"/>
      <c r="WYM207" s="830"/>
      <c r="WYN207" s="830"/>
      <c r="WYO207" s="830"/>
      <c r="WYP207" s="830"/>
      <c r="WYQ207" s="830"/>
      <c r="WYR207" s="830"/>
      <c r="WYS207" s="830"/>
      <c r="WYT207" s="830"/>
      <c r="WYU207" s="830"/>
      <c r="WYV207" s="830"/>
      <c r="WYW207" s="830"/>
      <c r="WYX207" s="830"/>
      <c r="WYY207" s="830"/>
      <c r="WYZ207" s="830"/>
      <c r="WZA207" s="830"/>
      <c r="WZB207" s="830"/>
      <c r="WZC207" s="830"/>
      <c r="WZD207" s="830"/>
      <c r="WZE207" s="830"/>
      <c r="WZF207" s="830"/>
      <c r="WZG207" s="830"/>
      <c r="WZH207" s="830"/>
      <c r="WZI207" s="830"/>
      <c r="WZJ207" s="830"/>
      <c r="WZK207" s="830"/>
      <c r="WZL207" s="830"/>
      <c r="WZM207" s="830"/>
      <c r="WZN207" s="830"/>
      <c r="WZO207" s="830"/>
      <c r="WZP207" s="830"/>
      <c r="WZQ207" s="830"/>
      <c r="WZR207" s="830"/>
      <c r="WZS207" s="830"/>
      <c r="WZT207" s="830"/>
      <c r="WZU207" s="830"/>
      <c r="WZV207" s="830"/>
      <c r="WZW207" s="830"/>
      <c r="WZX207" s="830"/>
      <c r="WZY207" s="830"/>
      <c r="WZZ207" s="830"/>
      <c r="XAA207" s="830"/>
      <c r="XAB207" s="830"/>
      <c r="XAC207" s="830"/>
      <c r="XAD207" s="830"/>
      <c r="XAE207" s="830"/>
      <c r="XAF207" s="830"/>
      <c r="XAG207" s="830"/>
      <c r="XAH207" s="830"/>
      <c r="XAI207" s="830"/>
      <c r="XAJ207" s="830"/>
      <c r="XAK207" s="830"/>
      <c r="XAL207" s="830"/>
      <c r="XAM207" s="830"/>
      <c r="XAN207" s="830"/>
      <c r="XAO207" s="830"/>
      <c r="XAP207" s="830"/>
      <c r="XAQ207" s="830"/>
      <c r="XAR207" s="830"/>
      <c r="XAS207" s="830"/>
      <c r="XAT207" s="830"/>
      <c r="XAU207" s="830"/>
      <c r="XAV207" s="830"/>
      <c r="XAW207" s="830"/>
      <c r="XAX207" s="830"/>
      <c r="XAY207" s="830"/>
      <c r="XAZ207" s="830"/>
      <c r="XBA207" s="830"/>
      <c r="XBB207" s="830"/>
      <c r="XBC207" s="830"/>
      <c r="XBD207" s="830"/>
      <c r="XBE207" s="830"/>
      <c r="XBF207" s="830"/>
      <c r="XBG207" s="830"/>
      <c r="XBH207" s="830"/>
      <c r="XBI207" s="830"/>
      <c r="XBJ207" s="830"/>
      <c r="XBK207" s="830"/>
      <c r="XBL207" s="830"/>
      <c r="XBM207" s="830"/>
      <c r="XBN207" s="830"/>
      <c r="XBO207" s="830"/>
      <c r="XBP207" s="830"/>
      <c r="XBQ207" s="830"/>
      <c r="XBR207" s="830"/>
      <c r="XBS207" s="830"/>
      <c r="XBT207" s="830"/>
      <c r="XBU207" s="830"/>
      <c r="XBV207" s="830"/>
      <c r="XBW207" s="830"/>
      <c r="XBX207" s="830"/>
      <c r="XBY207" s="830"/>
      <c r="XBZ207" s="830"/>
      <c r="XCA207" s="830"/>
      <c r="XCB207" s="830"/>
      <c r="XCC207" s="830"/>
      <c r="XCD207" s="830"/>
      <c r="XCE207" s="830"/>
      <c r="XCF207" s="830"/>
      <c r="XCG207" s="830"/>
      <c r="XCH207" s="830"/>
      <c r="XCI207" s="830"/>
      <c r="XCJ207" s="830"/>
      <c r="XCK207" s="830"/>
      <c r="XCL207" s="830"/>
      <c r="XCM207" s="830"/>
      <c r="XCN207" s="830"/>
      <c r="XCO207" s="830"/>
      <c r="XCP207" s="830"/>
      <c r="XCQ207" s="830"/>
      <c r="XCR207" s="830"/>
      <c r="XCS207" s="830"/>
      <c r="XCT207" s="830"/>
      <c r="XCU207" s="830"/>
      <c r="XCV207" s="830"/>
      <c r="XCW207" s="830"/>
      <c r="XCX207" s="830"/>
      <c r="XCY207" s="830"/>
      <c r="XCZ207" s="830"/>
      <c r="XDA207" s="830"/>
      <c r="XDB207" s="830"/>
      <c r="XDC207" s="830"/>
      <c r="XDD207" s="830"/>
      <c r="XDE207" s="830"/>
      <c r="XDF207" s="830"/>
      <c r="XDG207" s="830"/>
      <c r="XDH207" s="830"/>
      <c r="XDI207" s="830"/>
      <c r="XDJ207" s="830"/>
      <c r="XDK207" s="830"/>
      <c r="XDL207" s="830"/>
      <c r="XDM207" s="830"/>
      <c r="XDN207" s="830"/>
      <c r="XDO207" s="830"/>
      <c r="XDP207" s="830"/>
      <c r="XDQ207" s="830"/>
      <c r="XDR207" s="830"/>
      <c r="XDS207" s="830"/>
      <c r="XDT207" s="830"/>
      <c r="XDU207" s="830"/>
      <c r="XDV207" s="830"/>
      <c r="XDW207" s="830"/>
      <c r="XDX207" s="830"/>
      <c r="XDY207" s="830"/>
      <c r="XDZ207" s="830"/>
      <c r="XEA207" s="830"/>
      <c r="XEB207" s="830"/>
      <c r="XEC207" s="830"/>
      <c r="XED207" s="830"/>
      <c r="XEE207" s="830"/>
      <c r="XEF207" s="830"/>
      <c r="XEG207" s="830"/>
      <c r="XEH207" s="830"/>
      <c r="XEI207" s="830"/>
      <c r="XEJ207" s="830"/>
      <c r="XEK207" s="830"/>
      <c r="XEL207" s="830"/>
      <c r="XEM207" s="830"/>
      <c r="XEN207" s="830"/>
      <c r="XEO207" s="830"/>
      <c r="XEP207" s="830"/>
      <c r="XEQ207" s="830"/>
      <c r="XER207" s="830"/>
      <c r="XES207" s="830"/>
      <c r="XET207" s="830"/>
      <c r="XEU207" s="830"/>
      <c r="XEV207" s="830"/>
      <c r="XEW207" s="830"/>
      <c r="XEX207" s="830"/>
      <c r="XEY207" s="830"/>
      <c r="XEZ207" s="830"/>
      <c r="XFA207" s="830"/>
      <c r="XFB207" s="830"/>
      <c r="XFC207" s="830"/>
      <c r="XFD207" s="830"/>
    </row>
    <row r="208" spans="1:14 16149:16384" ht="13.8">
      <c r="B208" s="816"/>
      <c r="C208" s="748"/>
      <c r="D208" s="816" t="s">
        <v>5140</v>
      </c>
      <c r="E208" s="748"/>
      <c r="F208" s="813"/>
      <c r="G208" s="746"/>
      <c r="H208" s="813"/>
      <c r="I208" s="815"/>
      <c r="J208" s="745"/>
      <c r="M208" s="814"/>
      <c r="N208" s="814"/>
      <c r="WWC208" s="830"/>
      <c r="WWD208" s="830"/>
      <c r="WWE208" s="830"/>
      <c r="WWF208" s="830"/>
      <c r="WWG208" s="830"/>
      <c r="WWH208" s="830"/>
      <c r="WWI208" s="830"/>
      <c r="WWJ208" s="830"/>
      <c r="WWK208" s="830"/>
      <c r="WWL208" s="830"/>
      <c r="WWM208" s="830"/>
      <c r="WWN208" s="830"/>
      <c r="WWO208" s="830"/>
      <c r="WWP208" s="830"/>
      <c r="WWQ208" s="830"/>
      <c r="WWR208" s="830"/>
      <c r="WWS208" s="830"/>
      <c r="WWT208" s="830"/>
      <c r="WWU208" s="830"/>
      <c r="WWV208" s="830"/>
      <c r="WWW208" s="830"/>
      <c r="WWX208" s="830"/>
      <c r="WWY208" s="830"/>
      <c r="WWZ208" s="830"/>
      <c r="WXA208" s="830"/>
      <c r="WXB208" s="830"/>
      <c r="WXC208" s="830"/>
      <c r="WXD208" s="830"/>
      <c r="WXE208" s="830"/>
      <c r="WXF208" s="830"/>
      <c r="WXG208" s="830"/>
      <c r="WXH208" s="830"/>
      <c r="WXI208" s="830"/>
      <c r="WXJ208" s="830"/>
      <c r="WXK208" s="830"/>
      <c r="WXL208" s="830"/>
      <c r="WXM208" s="830"/>
      <c r="WXN208" s="830"/>
      <c r="WXO208" s="830"/>
      <c r="WXP208" s="830"/>
      <c r="WXQ208" s="830"/>
      <c r="WXR208" s="830"/>
      <c r="WXS208" s="830"/>
      <c r="WXT208" s="830"/>
      <c r="WXU208" s="830"/>
      <c r="WXV208" s="830"/>
      <c r="WXW208" s="830"/>
      <c r="WXX208" s="830"/>
      <c r="WXY208" s="830"/>
      <c r="WXZ208" s="830"/>
      <c r="WYA208" s="830"/>
      <c r="WYB208" s="830"/>
      <c r="WYC208" s="830"/>
      <c r="WYD208" s="830"/>
      <c r="WYE208" s="830"/>
      <c r="WYF208" s="830"/>
      <c r="WYG208" s="830"/>
      <c r="WYH208" s="830"/>
      <c r="WYI208" s="830"/>
      <c r="WYJ208" s="830"/>
      <c r="WYK208" s="830"/>
      <c r="WYL208" s="830"/>
      <c r="WYM208" s="830"/>
      <c r="WYN208" s="830"/>
      <c r="WYO208" s="830"/>
      <c r="WYP208" s="830"/>
      <c r="WYQ208" s="830"/>
      <c r="WYR208" s="830"/>
      <c r="WYS208" s="830"/>
      <c r="WYT208" s="830"/>
      <c r="WYU208" s="830"/>
      <c r="WYV208" s="830"/>
      <c r="WYW208" s="830"/>
      <c r="WYX208" s="830"/>
      <c r="WYY208" s="830"/>
      <c r="WYZ208" s="830"/>
      <c r="WZA208" s="830"/>
      <c r="WZB208" s="830"/>
      <c r="WZC208" s="830"/>
      <c r="WZD208" s="830"/>
      <c r="WZE208" s="830"/>
      <c r="WZF208" s="830"/>
      <c r="WZG208" s="830"/>
      <c r="WZH208" s="830"/>
      <c r="WZI208" s="830"/>
      <c r="WZJ208" s="830"/>
      <c r="WZK208" s="830"/>
      <c r="WZL208" s="830"/>
      <c r="WZM208" s="830"/>
      <c r="WZN208" s="830"/>
      <c r="WZO208" s="830"/>
      <c r="WZP208" s="830"/>
      <c r="WZQ208" s="830"/>
      <c r="WZR208" s="830"/>
      <c r="WZS208" s="830"/>
      <c r="WZT208" s="830"/>
      <c r="WZU208" s="830"/>
      <c r="WZV208" s="830"/>
      <c r="WZW208" s="830"/>
      <c r="WZX208" s="830"/>
      <c r="WZY208" s="830"/>
      <c r="WZZ208" s="830"/>
      <c r="XAA208" s="830"/>
      <c r="XAB208" s="830"/>
      <c r="XAC208" s="830"/>
      <c r="XAD208" s="830"/>
      <c r="XAE208" s="830"/>
      <c r="XAF208" s="830"/>
      <c r="XAG208" s="830"/>
      <c r="XAH208" s="830"/>
      <c r="XAI208" s="830"/>
      <c r="XAJ208" s="830"/>
      <c r="XAK208" s="830"/>
      <c r="XAL208" s="830"/>
      <c r="XAM208" s="830"/>
      <c r="XAN208" s="830"/>
      <c r="XAO208" s="830"/>
      <c r="XAP208" s="830"/>
      <c r="XAQ208" s="830"/>
      <c r="XAR208" s="830"/>
      <c r="XAS208" s="830"/>
      <c r="XAT208" s="830"/>
      <c r="XAU208" s="830"/>
      <c r="XAV208" s="830"/>
      <c r="XAW208" s="830"/>
      <c r="XAX208" s="830"/>
      <c r="XAY208" s="830"/>
      <c r="XAZ208" s="830"/>
      <c r="XBA208" s="830"/>
      <c r="XBB208" s="830"/>
      <c r="XBC208" s="830"/>
      <c r="XBD208" s="830"/>
      <c r="XBE208" s="830"/>
      <c r="XBF208" s="830"/>
      <c r="XBG208" s="830"/>
      <c r="XBH208" s="830"/>
      <c r="XBI208" s="830"/>
      <c r="XBJ208" s="830"/>
      <c r="XBK208" s="830"/>
      <c r="XBL208" s="830"/>
      <c r="XBM208" s="830"/>
      <c r="XBN208" s="830"/>
      <c r="XBO208" s="830"/>
      <c r="XBP208" s="830"/>
      <c r="XBQ208" s="830"/>
      <c r="XBR208" s="830"/>
      <c r="XBS208" s="830"/>
      <c r="XBT208" s="830"/>
      <c r="XBU208" s="830"/>
      <c r="XBV208" s="830"/>
      <c r="XBW208" s="830"/>
      <c r="XBX208" s="830"/>
      <c r="XBY208" s="830"/>
      <c r="XBZ208" s="830"/>
      <c r="XCA208" s="830"/>
      <c r="XCB208" s="830"/>
      <c r="XCC208" s="830"/>
      <c r="XCD208" s="830"/>
      <c r="XCE208" s="830"/>
      <c r="XCF208" s="830"/>
      <c r="XCG208" s="830"/>
      <c r="XCH208" s="830"/>
      <c r="XCI208" s="830"/>
      <c r="XCJ208" s="830"/>
      <c r="XCK208" s="830"/>
      <c r="XCL208" s="830"/>
      <c r="XCM208" s="830"/>
      <c r="XCN208" s="830"/>
      <c r="XCO208" s="830"/>
      <c r="XCP208" s="830"/>
      <c r="XCQ208" s="830"/>
      <c r="XCR208" s="830"/>
      <c r="XCS208" s="830"/>
      <c r="XCT208" s="830"/>
      <c r="XCU208" s="830"/>
      <c r="XCV208" s="830"/>
      <c r="XCW208" s="830"/>
      <c r="XCX208" s="830"/>
      <c r="XCY208" s="830"/>
      <c r="XCZ208" s="830"/>
      <c r="XDA208" s="830"/>
      <c r="XDB208" s="830"/>
      <c r="XDC208" s="830"/>
      <c r="XDD208" s="830"/>
      <c r="XDE208" s="830"/>
      <c r="XDF208" s="830"/>
      <c r="XDG208" s="830"/>
      <c r="XDH208" s="830"/>
      <c r="XDI208" s="830"/>
      <c r="XDJ208" s="830"/>
      <c r="XDK208" s="830"/>
      <c r="XDL208" s="830"/>
      <c r="XDM208" s="830"/>
      <c r="XDN208" s="830"/>
      <c r="XDO208" s="830"/>
      <c r="XDP208" s="830"/>
      <c r="XDQ208" s="830"/>
      <c r="XDR208" s="830"/>
      <c r="XDS208" s="830"/>
      <c r="XDT208" s="830"/>
      <c r="XDU208" s="830"/>
      <c r="XDV208" s="830"/>
      <c r="XDW208" s="830"/>
      <c r="XDX208" s="830"/>
      <c r="XDY208" s="830"/>
      <c r="XDZ208" s="830"/>
      <c r="XEA208" s="830"/>
      <c r="XEB208" s="830"/>
      <c r="XEC208" s="830"/>
      <c r="XED208" s="830"/>
      <c r="XEE208" s="830"/>
      <c r="XEF208" s="830"/>
      <c r="XEG208" s="830"/>
      <c r="XEH208" s="830"/>
      <c r="XEI208" s="830"/>
      <c r="XEJ208" s="830"/>
      <c r="XEK208" s="830"/>
      <c r="XEL208" s="830"/>
      <c r="XEM208" s="830"/>
      <c r="XEN208" s="830"/>
      <c r="XEO208" s="830"/>
      <c r="XEP208" s="830"/>
      <c r="XEQ208" s="830"/>
      <c r="XER208" s="830"/>
      <c r="XES208" s="830"/>
      <c r="XET208" s="830"/>
      <c r="XEU208" s="830"/>
      <c r="XEV208" s="830"/>
      <c r="XEW208" s="830"/>
      <c r="XEX208" s="830"/>
      <c r="XEY208" s="830"/>
      <c r="XEZ208" s="830"/>
      <c r="XFA208" s="830"/>
      <c r="XFB208" s="830"/>
      <c r="XFC208" s="830"/>
      <c r="XFD208" s="830"/>
    </row>
    <row r="209" spans="1:14 16149:16384" ht="13.8">
      <c r="B209" s="816"/>
      <c r="C209" s="748"/>
      <c r="D209" s="816" t="s">
        <v>5100</v>
      </c>
      <c r="E209" s="748"/>
      <c r="F209" s="813"/>
      <c r="G209" s="746"/>
      <c r="H209" s="813"/>
      <c r="I209" s="815"/>
      <c r="J209" s="745"/>
      <c r="M209" s="814"/>
      <c r="N209" s="814"/>
      <c r="WWC209" s="830"/>
      <c r="WWD209" s="830"/>
      <c r="WWE209" s="830"/>
      <c r="WWF209" s="830"/>
      <c r="WWG209" s="830"/>
      <c r="WWH209" s="830"/>
      <c r="WWI209" s="830"/>
      <c r="WWJ209" s="830"/>
      <c r="WWK209" s="830"/>
      <c r="WWL209" s="830"/>
      <c r="WWM209" s="830"/>
      <c r="WWN209" s="830"/>
      <c r="WWO209" s="830"/>
      <c r="WWP209" s="830"/>
      <c r="WWQ209" s="830"/>
      <c r="WWR209" s="830"/>
      <c r="WWS209" s="830"/>
      <c r="WWT209" s="830"/>
      <c r="WWU209" s="830"/>
      <c r="WWV209" s="830"/>
      <c r="WWW209" s="830"/>
      <c r="WWX209" s="830"/>
      <c r="WWY209" s="830"/>
      <c r="WWZ209" s="830"/>
      <c r="WXA209" s="830"/>
      <c r="WXB209" s="830"/>
      <c r="WXC209" s="830"/>
      <c r="WXD209" s="830"/>
      <c r="WXE209" s="830"/>
      <c r="WXF209" s="830"/>
      <c r="WXG209" s="830"/>
      <c r="WXH209" s="830"/>
      <c r="WXI209" s="830"/>
      <c r="WXJ209" s="830"/>
      <c r="WXK209" s="830"/>
      <c r="WXL209" s="830"/>
      <c r="WXM209" s="830"/>
      <c r="WXN209" s="830"/>
      <c r="WXO209" s="830"/>
      <c r="WXP209" s="830"/>
      <c r="WXQ209" s="830"/>
      <c r="WXR209" s="830"/>
      <c r="WXS209" s="830"/>
      <c r="WXT209" s="830"/>
      <c r="WXU209" s="830"/>
      <c r="WXV209" s="830"/>
      <c r="WXW209" s="830"/>
      <c r="WXX209" s="830"/>
      <c r="WXY209" s="830"/>
      <c r="WXZ209" s="830"/>
      <c r="WYA209" s="830"/>
      <c r="WYB209" s="830"/>
      <c r="WYC209" s="830"/>
      <c r="WYD209" s="830"/>
      <c r="WYE209" s="830"/>
      <c r="WYF209" s="830"/>
      <c r="WYG209" s="830"/>
      <c r="WYH209" s="830"/>
      <c r="WYI209" s="830"/>
      <c r="WYJ209" s="830"/>
      <c r="WYK209" s="830"/>
      <c r="WYL209" s="830"/>
      <c r="WYM209" s="830"/>
      <c r="WYN209" s="830"/>
      <c r="WYO209" s="830"/>
      <c r="WYP209" s="830"/>
      <c r="WYQ209" s="830"/>
      <c r="WYR209" s="830"/>
      <c r="WYS209" s="830"/>
      <c r="WYT209" s="830"/>
      <c r="WYU209" s="830"/>
      <c r="WYV209" s="830"/>
      <c r="WYW209" s="830"/>
      <c r="WYX209" s="830"/>
      <c r="WYY209" s="830"/>
      <c r="WYZ209" s="830"/>
      <c r="WZA209" s="830"/>
      <c r="WZB209" s="830"/>
      <c r="WZC209" s="830"/>
      <c r="WZD209" s="830"/>
      <c r="WZE209" s="830"/>
      <c r="WZF209" s="830"/>
      <c r="WZG209" s="830"/>
      <c r="WZH209" s="830"/>
      <c r="WZI209" s="830"/>
      <c r="WZJ209" s="830"/>
      <c r="WZK209" s="830"/>
      <c r="WZL209" s="830"/>
      <c r="WZM209" s="830"/>
      <c r="WZN209" s="830"/>
      <c r="WZO209" s="830"/>
      <c r="WZP209" s="830"/>
      <c r="WZQ209" s="830"/>
      <c r="WZR209" s="830"/>
      <c r="WZS209" s="830"/>
      <c r="WZT209" s="830"/>
      <c r="WZU209" s="830"/>
      <c r="WZV209" s="830"/>
      <c r="WZW209" s="830"/>
      <c r="WZX209" s="830"/>
      <c r="WZY209" s="830"/>
      <c r="WZZ209" s="830"/>
      <c r="XAA209" s="830"/>
      <c r="XAB209" s="830"/>
      <c r="XAC209" s="830"/>
      <c r="XAD209" s="830"/>
      <c r="XAE209" s="830"/>
      <c r="XAF209" s="830"/>
      <c r="XAG209" s="830"/>
      <c r="XAH209" s="830"/>
      <c r="XAI209" s="830"/>
      <c r="XAJ209" s="830"/>
      <c r="XAK209" s="830"/>
      <c r="XAL209" s="830"/>
      <c r="XAM209" s="830"/>
      <c r="XAN209" s="830"/>
      <c r="XAO209" s="830"/>
      <c r="XAP209" s="830"/>
      <c r="XAQ209" s="830"/>
      <c r="XAR209" s="830"/>
      <c r="XAS209" s="830"/>
      <c r="XAT209" s="830"/>
      <c r="XAU209" s="830"/>
      <c r="XAV209" s="830"/>
      <c r="XAW209" s="830"/>
      <c r="XAX209" s="830"/>
      <c r="XAY209" s="830"/>
      <c r="XAZ209" s="830"/>
      <c r="XBA209" s="830"/>
      <c r="XBB209" s="830"/>
      <c r="XBC209" s="830"/>
      <c r="XBD209" s="830"/>
      <c r="XBE209" s="830"/>
      <c r="XBF209" s="830"/>
      <c r="XBG209" s="830"/>
      <c r="XBH209" s="830"/>
      <c r="XBI209" s="830"/>
      <c r="XBJ209" s="830"/>
      <c r="XBK209" s="830"/>
      <c r="XBL209" s="830"/>
      <c r="XBM209" s="830"/>
      <c r="XBN209" s="830"/>
      <c r="XBO209" s="830"/>
      <c r="XBP209" s="830"/>
      <c r="XBQ209" s="830"/>
      <c r="XBR209" s="830"/>
      <c r="XBS209" s="830"/>
      <c r="XBT209" s="830"/>
      <c r="XBU209" s="830"/>
      <c r="XBV209" s="830"/>
      <c r="XBW209" s="830"/>
      <c r="XBX209" s="830"/>
      <c r="XBY209" s="830"/>
      <c r="XBZ209" s="830"/>
      <c r="XCA209" s="830"/>
      <c r="XCB209" s="830"/>
      <c r="XCC209" s="830"/>
      <c r="XCD209" s="830"/>
      <c r="XCE209" s="830"/>
      <c r="XCF209" s="830"/>
      <c r="XCG209" s="830"/>
      <c r="XCH209" s="830"/>
      <c r="XCI209" s="830"/>
      <c r="XCJ209" s="830"/>
      <c r="XCK209" s="830"/>
      <c r="XCL209" s="830"/>
      <c r="XCM209" s="830"/>
      <c r="XCN209" s="830"/>
      <c r="XCO209" s="830"/>
      <c r="XCP209" s="830"/>
      <c r="XCQ209" s="830"/>
      <c r="XCR209" s="830"/>
      <c r="XCS209" s="830"/>
      <c r="XCT209" s="830"/>
      <c r="XCU209" s="830"/>
      <c r="XCV209" s="830"/>
      <c r="XCW209" s="830"/>
      <c r="XCX209" s="830"/>
      <c r="XCY209" s="830"/>
      <c r="XCZ209" s="830"/>
      <c r="XDA209" s="830"/>
      <c r="XDB209" s="830"/>
      <c r="XDC209" s="830"/>
      <c r="XDD209" s="830"/>
      <c r="XDE209" s="830"/>
      <c r="XDF209" s="830"/>
      <c r="XDG209" s="830"/>
      <c r="XDH209" s="830"/>
      <c r="XDI209" s="830"/>
      <c r="XDJ209" s="830"/>
      <c r="XDK209" s="830"/>
      <c r="XDL209" s="830"/>
      <c r="XDM209" s="830"/>
      <c r="XDN209" s="830"/>
      <c r="XDO209" s="830"/>
      <c r="XDP209" s="830"/>
      <c r="XDQ209" s="830"/>
      <c r="XDR209" s="830"/>
      <c r="XDS209" s="830"/>
      <c r="XDT209" s="830"/>
      <c r="XDU209" s="830"/>
      <c r="XDV209" s="830"/>
      <c r="XDW209" s="830"/>
      <c r="XDX209" s="830"/>
      <c r="XDY209" s="830"/>
      <c r="XDZ209" s="830"/>
      <c r="XEA209" s="830"/>
      <c r="XEB209" s="830"/>
      <c r="XEC209" s="830"/>
      <c r="XED209" s="830"/>
      <c r="XEE209" s="830"/>
      <c r="XEF209" s="830"/>
      <c r="XEG209" s="830"/>
      <c r="XEH209" s="830"/>
      <c r="XEI209" s="830"/>
      <c r="XEJ209" s="830"/>
      <c r="XEK209" s="830"/>
      <c r="XEL209" s="830"/>
      <c r="XEM209" s="830"/>
      <c r="XEN209" s="830"/>
      <c r="XEO209" s="830"/>
      <c r="XEP209" s="830"/>
      <c r="XEQ209" s="830"/>
      <c r="XER209" s="830"/>
      <c r="XES209" s="830"/>
      <c r="XET209" s="830"/>
      <c r="XEU209" s="830"/>
      <c r="XEV209" s="830"/>
      <c r="XEW209" s="830"/>
      <c r="XEX209" s="830"/>
      <c r="XEY209" s="830"/>
      <c r="XEZ209" s="830"/>
      <c r="XFA209" s="830"/>
      <c r="XFB209" s="830"/>
      <c r="XFC209" s="830"/>
      <c r="XFD209" s="830"/>
    </row>
    <row r="210" spans="1:14 16149:16384" ht="13.8">
      <c r="B210" s="742" t="s">
        <v>5141</v>
      </c>
      <c r="C210" s="745"/>
      <c r="D210" s="805" t="s">
        <v>5142</v>
      </c>
      <c r="E210" s="824" t="s">
        <v>5143</v>
      </c>
      <c r="F210" s="825">
        <v>1</v>
      </c>
      <c r="G210" s="746"/>
      <c r="H210" s="752">
        <v>0</v>
      </c>
      <c r="I210" s="753"/>
      <c r="J210" s="745"/>
      <c r="M210" s="756">
        <v>2428</v>
      </c>
      <c r="N210" s="756"/>
      <c r="WWC210" s="830"/>
      <c r="WWD210" s="830"/>
      <c r="WWE210" s="830"/>
      <c r="WWF210" s="830"/>
      <c r="WWG210" s="830"/>
      <c r="WWH210" s="830"/>
      <c r="WWI210" s="830"/>
      <c r="WWJ210" s="830"/>
      <c r="WWK210" s="830"/>
      <c r="WWL210" s="830"/>
      <c r="WWM210" s="830"/>
      <c r="WWN210" s="830"/>
      <c r="WWO210" s="830"/>
      <c r="WWP210" s="830"/>
      <c r="WWQ210" s="830"/>
      <c r="WWR210" s="830"/>
      <c r="WWS210" s="830"/>
      <c r="WWT210" s="830"/>
      <c r="WWU210" s="830"/>
      <c r="WWV210" s="830"/>
      <c r="WWW210" s="830"/>
      <c r="WWX210" s="830"/>
      <c r="WWY210" s="830"/>
      <c r="WWZ210" s="830"/>
      <c r="WXA210" s="830"/>
      <c r="WXB210" s="830"/>
      <c r="WXC210" s="830"/>
      <c r="WXD210" s="830"/>
      <c r="WXE210" s="830"/>
      <c r="WXF210" s="830"/>
      <c r="WXG210" s="830"/>
      <c r="WXH210" s="830"/>
      <c r="WXI210" s="830"/>
      <c r="WXJ210" s="830"/>
      <c r="WXK210" s="830"/>
      <c r="WXL210" s="830"/>
      <c r="WXM210" s="830"/>
      <c r="WXN210" s="830"/>
      <c r="WXO210" s="830"/>
      <c r="WXP210" s="830"/>
      <c r="WXQ210" s="830"/>
      <c r="WXR210" s="830"/>
      <c r="WXS210" s="830"/>
      <c r="WXT210" s="830"/>
      <c r="WXU210" s="830"/>
      <c r="WXV210" s="830"/>
      <c r="WXW210" s="830"/>
      <c r="WXX210" s="830"/>
      <c r="WXY210" s="830"/>
      <c r="WXZ210" s="830"/>
      <c r="WYA210" s="830"/>
      <c r="WYB210" s="830"/>
      <c r="WYC210" s="830"/>
      <c r="WYD210" s="830"/>
      <c r="WYE210" s="830"/>
      <c r="WYF210" s="830"/>
      <c r="WYG210" s="830"/>
      <c r="WYH210" s="830"/>
      <c r="WYI210" s="830"/>
      <c r="WYJ210" s="830"/>
      <c r="WYK210" s="830"/>
      <c r="WYL210" s="830"/>
      <c r="WYM210" s="830"/>
      <c r="WYN210" s="830"/>
      <c r="WYO210" s="830"/>
      <c r="WYP210" s="830"/>
      <c r="WYQ210" s="830"/>
      <c r="WYR210" s="830"/>
      <c r="WYS210" s="830"/>
      <c r="WYT210" s="830"/>
      <c r="WYU210" s="830"/>
      <c r="WYV210" s="830"/>
      <c r="WYW210" s="830"/>
      <c r="WYX210" s="830"/>
      <c r="WYY210" s="830"/>
      <c r="WYZ210" s="830"/>
      <c r="WZA210" s="830"/>
      <c r="WZB210" s="830"/>
      <c r="WZC210" s="830"/>
      <c r="WZD210" s="830"/>
      <c r="WZE210" s="830"/>
      <c r="WZF210" s="830"/>
      <c r="WZG210" s="830"/>
      <c r="WZH210" s="830"/>
      <c r="WZI210" s="830"/>
      <c r="WZJ210" s="830"/>
      <c r="WZK210" s="830"/>
      <c r="WZL210" s="830"/>
      <c r="WZM210" s="830"/>
      <c r="WZN210" s="830"/>
      <c r="WZO210" s="830"/>
      <c r="WZP210" s="830"/>
      <c r="WZQ210" s="830"/>
      <c r="WZR210" s="830"/>
      <c r="WZS210" s="830"/>
      <c r="WZT210" s="830"/>
      <c r="WZU210" s="830"/>
      <c r="WZV210" s="830"/>
      <c r="WZW210" s="830"/>
      <c r="WZX210" s="830"/>
      <c r="WZY210" s="830"/>
      <c r="WZZ210" s="830"/>
      <c r="XAA210" s="830"/>
      <c r="XAB210" s="830"/>
      <c r="XAC210" s="830"/>
      <c r="XAD210" s="830"/>
      <c r="XAE210" s="830"/>
      <c r="XAF210" s="830"/>
      <c r="XAG210" s="830"/>
      <c r="XAH210" s="830"/>
      <c r="XAI210" s="830"/>
      <c r="XAJ210" s="830"/>
      <c r="XAK210" s="830"/>
      <c r="XAL210" s="830"/>
      <c r="XAM210" s="830"/>
      <c r="XAN210" s="830"/>
      <c r="XAO210" s="830"/>
      <c r="XAP210" s="830"/>
      <c r="XAQ210" s="830"/>
      <c r="XAR210" s="830"/>
      <c r="XAS210" s="830"/>
      <c r="XAT210" s="830"/>
      <c r="XAU210" s="830"/>
      <c r="XAV210" s="830"/>
      <c r="XAW210" s="830"/>
      <c r="XAX210" s="830"/>
      <c r="XAY210" s="830"/>
      <c r="XAZ210" s="830"/>
      <c r="XBA210" s="830"/>
      <c r="XBB210" s="830"/>
      <c r="XBC210" s="830"/>
      <c r="XBD210" s="830"/>
      <c r="XBE210" s="830"/>
      <c r="XBF210" s="830"/>
      <c r="XBG210" s="830"/>
      <c r="XBH210" s="830"/>
      <c r="XBI210" s="830"/>
      <c r="XBJ210" s="830"/>
      <c r="XBK210" s="830"/>
      <c r="XBL210" s="830"/>
      <c r="XBM210" s="830"/>
      <c r="XBN210" s="830"/>
      <c r="XBO210" s="830"/>
      <c r="XBP210" s="830"/>
      <c r="XBQ210" s="830"/>
      <c r="XBR210" s="830"/>
      <c r="XBS210" s="830"/>
      <c r="XBT210" s="830"/>
      <c r="XBU210" s="830"/>
      <c r="XBV210" s="830"/>
      <c r="XBW210" s="830"/>
      <c r="XBX210" s="830"/>
      <c r="XBY210" s="830"/>
      <c r="XBZ210" s="830"/>
      <c r="XCA210" s="830"/>
      <c r="XCB210" s="830"/>
      <c r="XCC210" s="830"/>
      <c r="XCD210" s="830"/>
      <c r="XCE210" s="830"/>
      <c r="XCF210" s="830"/>
      <c r="XCG210" s="830"/>
      <c r="XCH210" s="830"/>
      <c r="XCI210" s="830"/>
      <c r="XCJ210" s="830"/>
      <c r="XCK210" s="830"/>
      <c r="XCL210" s="830"/>
      <c r="XCM210" s="830"/>
      <c r="XCN210" s="830"/>
      <c r="XCO210" s="830"/>
      <c r="XCP210" s="830"/>
      <c r="XCQ210" s="830"/>
      <c r="XCR210" s="830"/>
      <c r="XCS210" s="830"/>
      <c r="XCT210" s="830"/>
      <c r="XCU210" s="830"/>
      <c r="XCV210" s="830"/>
      <c r="XCW210" s="830"/>
      <c r="XCX210" s="830"/>
      <c r="XCY210" s="830"/>
      <c r="XCZ210" s="830"/>
      <c r="XDA210" s="830"/>
      <c r="XDB210" s="830"/>
      <c r="XDC210" s="830"/>
      <c r="XDD210" s="830"/>
      <c r="XDE210" s="830"/>
      <c r="XDF210" s="830"/>
      <c r="XDG210" s="830"/>
      <c r="XDH210" s="830"/>
      <c r="XDI210" s="830"/>
      <c r="XDJ210" s="830"/>
      <c r="XDK210" s="830"/>
      <c r="XDL210" s="830"/>
      <c r="XDM210" s="830"/>
      <c r="XDN210" s="830"/>
      <c r="XDO210" s="830"/>
      <c r="XDP210" s="830"/>
      <c r="XDQ210" s="830"/>
      <c r="XDR210" s="830"/>
      <c r="XDS210" s="830"/>
      <c r="XDT210" s="830"/>
      <c r="XDU210" s="830"/>
      <c r="XDV210" s="830"/>
      <c r="XDW210" s="830"/>
      <c r="XDX210" s="830"/>
      <c r="XDY210" s="830"/>
      <c r="XDZ210" s="830"/>
      <c r="XEA210" s="830"/>
      <c r="XEB210" s="830"/>
      <c r="XEC210" s="830"/>
      <c r="XED210" s="830"/>
      <c r="XEE210" s="830"/>
      <c r="XEF210" s="830"/>
      <c r="XEG210" s="830"/>
      <c r="XEH210" s="830"/>
      <c r="XEI210" s="830"/>
      <c r="XEJ210" s="830"/>
      <c r="XEK210" s="830"/>
      <c r="XEL210" s="830"/>
      <c r="XEM210" s="830"/>
      <c r="XEN210" s="830"/>
      <c r="XEO210" s="830"/>
      <c r="XEP210" s="830"/>
      <c r="XEQ210" s="830"/>
      <c r="XER210" s="830"/>
      <c r="XES210" s="830"/>
      <c r="XET210" s="830"/>
      <c r="XEU210" s="830"/>
      <c r="XEV210" s="830"/>
      <c r="XEW210" s="830"/>
      <c r="XEX210" s="830"/>
      <c r="XEY210" s="830"/>
      <c r="XEZ210" s="830"/>
      <c r="XFA210" s="830"/>
      <c r="XFB210" s="830"/>
      <c r="XFC210" s="830"/>
      <c r="XFD210" s="830"/>
    </row>
    <row r="211" spans="1:14 16149:16384" ht="13.8">
      <c r="B211" s="816" t="s">
        <v>5144</v>
      </c>
      <c r="C211" s="748"/>
      <c r="D211" s="816" t="s">
        <v>5145</v>
      </c>
      <c r="E211" s="827"/>
      <c r="F211" s="813"/>
      <c r="G211" s="746"/>
      <c r="H211" s="813"/>
      <c r="I211" s="753"/>
      <c r="J211" s="745"/>
      <c r="M211" s="831"/>
      <c r="N211" s="831"/>
      <c r="WWC211" s="830"/>
      <c r="WWD211" s="830"/>
      <c r="WWE211" s="830"/>
      <c r="WWF211" s="830"/>
      <c r="WWG211" s="830"/>
      <c r="WWH211" s="830"/>
      <c r="WWI211" s="830"/>
      <c r="WWJ211" s="830"/>
      <c r="WWK211" s="830"/>
      <c r="WWL211" s="830"/>
      <c r="WWM211" s="830"/>
      <c r="WWN211" s="830"/>
      <c r="WWO211" s="830"/>
      <c r="WWP211" s="830"/>
      <c r="WWQ211" s="830"/>
      <c r="WWR211" s="830"/>
      <c r="WWS211" s="830"/>
      <c r="WWT211" s="830"/>
      <c r="WWU211" s="830"/>
      <c r="WWV211" s="830"/>
      <c r="WWW211" s="830"/>
      <c r="WWX211" s="830"/>
      <c r="WWY211" s="830"/>
      <c r="WWZ211" s="830"/>
      <c r="WXA211" s="830"/>
      <c r="WXB211" s="830"/>
      <c r="WXC211" s="830"/>
      <c r="WXD211" s="830"/>
      <c r="WXE211" s="830"/>
      <c r="WXF211" s="830"/>
      <c r="WXG211" s="830"/>
      <c r="WXH211" s="830"/>
      <c r="WXI211" s="830"/>
      <c r="WXJ211" s="830"/>
      <c r="WXK211" s="830"/>
      <c r="WXL211" s="830"/>
      <c r="WXM211" s="830"/>
      <c r="WXN211" s="830"/>
      <c r="WXO211" s="830"/>
      <c r="WXP211" s="830"/>
      <c r="WXQ211" s="830"/>
      <c r="WXR211" s="830"/>
      <c r="WXS211" s="830"/>
      <c r="WXT211" s="830"/>
      <c r="WXU211" s="830"/>
      <c r="WXV211" s="830"/>
      <c r="WXW211" s="830"/>
      <c r="WXX211" s="830"/>
      <c r="WXY211" s="830"/>
      <c r="WXZ211" s="830"/>
      <c r="WYA211" s="830"/>
      <c r="WYB211" s="830"/>
      <c r="WYC211" s="830"/>
      <c r="WYD211" s="830"/>
      <c r="WYE211" s="830"/>
      <c r="WYF211" s="830"/>
      <c r="WYG211" s="830"/>
      <c r="WYH211" s="830"/>
      <c r="WYI211" s="830"/>
      <c r="WYJ211" s="830"/>
      <c r="WYK211" s="830"/>
      <c r="WYL211" s="830"/>
      <c r="WYM211" s="830"/>
      <c r="WYN211" s="830"/>
      <c r="WYO211" s="830"/>
      <c r="WYP211" s="830"/>
      <c r="WYQ211" s="830"/>
      <c r="WYR211" s="830"/>
      <c r="WYS211" s="830"/>
      <c r="WYT211" s="830"/>
      <c r="WYU211" s="830"/>
      <c r="WYV211" s="830"/>
      <c r="WYW211" s="830"/>
      <c r="WYX211" s="830"/>
      <c r="WYY211" s="830"/>
      <c r="WYZ211" s="830"/>
      <c r="WZA211" s="830"/>
      <c r="WZB211" s="830"/>
      <c r="WZC211" s="830"/>
      <c r="WZD211" s="830"/>
      <c r="WZE211" s="830"/>
      <c r="WZF211" s="830"/>
      <c r="WZG211" s="830"/>
      <c r="WZH211" s="830"/>
      <c r="WZI211" s="830"/>
      <c r="WZJ211" s="830"/>
      <c r="WZK211" s="830"/>
      <c r="WZL211" s="830"/>
      <c r="WZM211" s="830"/>
      <c r="WZN211" s="830"/>
      <c r="WZO211" s="830"/>
      <c r="WZP211" s="830"/>
      <c r="WZQ211" s="830"/>
      <c r="WZR211" s="830"/>
      <c r="WZS211" s="830"/>
      <c r="WZT211" s="830"/>
      <c r="WZU211" s="830"/>
      <c r="WZV211" s="830"/>
      <c r="WZW211" s="830"/>
      <c r="WZX211" s="830"/>
      <c r="WZY211" s="830"/>
      <c r="WZZ211" s="830"/>
      <c r="XAA211" s="830"/>
      <c r="XAB211" s="830"/>
      <c r="XAC211" s="830"/>
      <c r="XAD211" s="830"/>
      <c r="XAE211" s="830"/>
      <c r="XAF211" s="830"/>
      <c r="XAG211" s="830"/>
      <c r="XAH211" s="830"/>
      <c r="XAI211" s="830"/>
      <c r="XAJ211" s="830"/>
      <c r="XAK211" s="830"/>
      <c r="XAL211" s="830"/>
      <c r="XAM211" s="830"/>
      <c r="XAN211" s="830"/>
      <c r="XAO211" s="830"/>
      <c r="XAP211" s="830"/>
      <c r="XAQ211" s="830"/>
      <c r="XAR211" s="830"/>
      <c r="XAS211" s="830"/>
      <c r="XAT211" s="830"/>
      <c r="XAU211" s="830"/>
      <c r="XAV211" s="830"/>
      <c r="XAW211" s="830"/>
      <c r="XAX211" s="830"/>
      <c r="XAY211" s="830"/>
      <c r="XAZ211" s="830"/>
      <c r="XBA211" s="830"/>
      <c r="XBB211" s="830"/>
      <c r="XBC211" s="830"/>
      <c r="XBD211" s="830"/>
      <c r="XBE211" s="830"/>
      <c r="XBF211" s="830"/>
      <c r="XBG211" s="830"/>
      <c r="XBH211" s="830"/>
      <c r="XBI211" s="830"/>
      <c r="XBJ211" s="830"/>
      <c r="XBK211" s="830"/>
      <c r="XBL211" s="830"/>
      <c r="XBM211" s="830"/>
      <c r="XBN211" s="830"/>
      <c r="XBO211" s="830"/>
      <c r="XBP211" s="830"/>
      <c r="XBQ211" s="830"/>
      <c r="XBR211" s="830"/>
      <c r="XBS211" s="830"/>
      <c r="XBT211" s="830"/>
      <c r="XBU211" s="830"/>
      <c r="XBV211" s="830"/>
      <c r="XBW211" s="830"/>
      <c r="XBX211" s="830"/>
      <c r="XBY211" s="830"/>
      <c r="XBZ211" s="830"/>
      <c r="XCA211" s="830"/>
      <c r="XCB211" s="830"/>
      <c r="XCC211" s="830"/>
      <c r="XCD211" s="830"/>
      <c r="XCE211" s="830"/>
      <c r="XCF211" s="830"/>
      <c r="XCG211" s="830"/>
      <c r="XCH211" s="830"/>
      <c r="XCI211" s="830"/>
      <c r="XCJ211" s="830"/>
      <c r="XCK211" s="830"/>
      <c r="XCL211" s="830"/>
      <c r="XCM211" s="830"/>
      <c r="XCN211" s="830"/>
      <c r="XCO211" s="830"/>
      <c r="XCP211" s="830"/>
      <c r="XCQ211" s="830"/>
      <c r="XCR211" s="830"/>
      <c r="XCS211" s="830"/>
      <c r="XCT211" s="830"/>
      <c r="XCU211" s="830"/>
      <c r="XCV211" s="830"/>
      <c r="XCW211" s="830"/>
      <c r="XCX211" s="830"/>
      <c r="XCY211" s="830"/>
      <c r="XCZ211" s="830"/>
      <c r="XDA211" s="830"/>
      <c r="XDB211" s="830"/>
      <c r="XDC211" s="830"/>
      <c r="XDD211" s="830"/>
      <c r="XDE211" s="830"/>
      <c r="XDF211" s="830"/>
      <c r="XDG211" s="830"/>
      <c r="XDH211" s="830"/>
      <c r="XDI211" s="830"/>
      <c r="XDJ211" s="830"/>
      <c r="XDK211" s="830"/>
      <c r="XDL211" s="830"/>
      <c r="XDM211" s="830"/>
      <c r="XDN211" s="830"/>
      <c r="XDO211" s="830"/>
      <c r="XDP211" s="830"/>
      <c r="XDQ211" s="830"/>
      <c r="XDR211" s="830"/>
      <c r="XDS211" s="830"/>
      <c r="XDT211" s="830"/>
      <c r="XDU211" s="830"/>
      <c r="XDV211" s="830"/>
      <c r="XDW211" s="830"/>
      <c r="XDX211" s="830"/>
      <c r="XDY211" s="830"/>
      <c r="XDZ211" s="830"/>
      <c r="XEA211" s="830"/>
      <c r="XEB211" s="830"/>
      <c r="XEC211" s="830"/>
      <c r="XED211" s="830"/>
      <c r="XEE211" s="830"/>
      <c r="XEF211" s="830"/>
      <c r="XEG211" s="830"/>
      <c r="XEH211" s="830"/>
      <c r="XEI211" s="830"/>
      <c r="XEJ211" s="830"/>
      <c r="XEK211" s="830"/>
      <c r="XEL211" s="830"/>
      <c r="XEM211" s="830"/>
      <c r="XEN211" s="830"/>
      <c r="XEO211" s="830"/>
      <c r="XEP211" s="830"/>
      <c r="XEQ211" s="830"/>
      <c r="XER211" s="830"/>
      <c r="XES211" s="830"/>
      <c r="XET211" s="830"/>
      <c r="XEU211" s="830"/>
      <c r="XEV211" s="830"/>
      <c r="XEW211" s="830"/>
      <c r="XEX211" s="830"/>
      <c r="XEY211" s="830"/>
      <c r="XEZ211" s="830"/>
      <c r="XFA211" s="830"/>
      <c r="XFB211" s="830"/>
      <c r="XFC211" s="830"/>
      <c r="XFD211" s="830"/>
    </row>
    <row r="212" spans="1:14 16149:16384" ht="13.8">
      <c r="A212" t="s">
        <v>1227</v>
      </c>
      <c r="B212" s="816"/>
      <c r="C212" s="748"/>
      <c r="D212" s="816" t="s">
        <v>5146</v>
      </c>
      <c r="E212" s="748" t="s">
        <v>1450</v>
      </c>
      <c r="F212" s="813">
        <v>6</v>
      </c>
      <c r="G212" s="746"/>
      <c r="H212" s="752">
        <v>0</v>
      </c>
      <c r="I212" s="832" t="s">
        <v>4872</v>
      </c>
      <c r="J212" s="754">
        <v>100622</v>
      </c>
      <c r="M212" s="833">
        <v>35.700000000000003</v>
      </c>
      <c r="N212" s="833"/>
      <c r="WWC212" s="830"/>
      <c r="WWD212" s="830"/>
      <c r="WWE212" s="830"/>
      <c r="WWF212" s="830"/>
      <c r="WWG212" s="830"/>
      <c r="WWH212" s="830"/>
      <c r="WWI212" s="830"/>
      <c r="WWJ212" s="830"/>
      <c r="WWK212" s="830"/>
      <c r="WWL212" s="830"/>
      <c r="WWM212" s="830"/>
      <c r="WWN212" s="830"/>
      <c r="WWO212" s="830"/>
      <c r="WWP212" s="830"/>
      <c r="WWQ212" s="830"/>
      <c r="WWR212" s="830"/>
      <c r="WWS212" s="830"/>
      <c r="WWT212" s="830"/>
      <c r="WWU212" s="830"/>
      <c r="WWV212" s="830"/>
      <c r="WWW212" s="830"/>
      <c r="WWX212" s="830"/>
      <c r="WWY212" s="830"/>
      <c r="WWZ212" s="830"/>
      <c r="WXA212" s="830"/>
      <c r="WXB212" s="830"/>
      <c r="WXC212" s="830"/>
      <c r="WXD212" s="830"/>
      <c r="WXE212" s="830"/>
      <c r="WXF212" s="830"/>
      <c r="WXG212" s="830"/>
      <c r="WXH212" s="830"/>
      <c r="WXI212" s="830"/>
      <c r="WXJ212" s="830"/>
      <c r="WXK212" s="830"/>
      <c r="WXL212" s="830"/>
      <c r="WXM212" s="830"/>
      <c r="WXN212" s="830"/>
      <c r="WXO212" s="830"/>
      <c r="WXP212" s="830"/>
      <c r="WXQ212" s="830"/>
      <c r="WXR212" s="830"/>
      <c r="WXS212" s="830"/>
      <c r="WXT212" s="830"/>
      <c r="WXU212" s="830"/>
      <c r="WXV212" s="830"/>
      <c r="WXW212" s="830"/>
      <c r="WXX212" s="830"/>
      <c r="WXY212" s="830"/>
      <c r="WXZ212" s="830"/>
      <c r="WYA212" s="830"/>
      <c r="WYB212" s="830"/>
      <c r="WYC212" s="830"/>
      <c r="WYD212" s="830"/>
      <c r="WYE212" s="830"/>
      <c r="WYF212" s="830"/>
      <c r="WYG212" s="830"/>
      <c r="WYH212" s="830"/>
      <c r="WYI212" s="830"/>
      <c r="WYJ212" s="830"/>
      <c r="WYK212" s="830"/>
      <c r="WYL212" s="830"/>
      <c r="WYM212" s="830"/>
      <c r="WYN212" s="830"/>
      <c r="WYO212" s="830"/>
      <c r="WYP212" s="830"/>
      <c r="WYQ212" s="830"/>
      <c r="WYR212" s="830"/>
      <c r="WYS212" s="830"/>
      <c r="WYT212" s="830"/>
      <c r="WYU212" s="830"/>
      <c r="WYV212" s="830"/>
      <c r="WYW212" s="830"/>
      <c r="WYX212" s="830"/>
      <c r="WYY212" s="830"/>
      <c r="WYZ212" s="830"/>
      <c r="WZA212" s="830"/>
      <c r="WZB212" s="830"/>
      <c r="WZC212" s="830"/>
      <c r="WZD212" s="830"/>
      <c r="WZE212" s="830"/>
      <c r="WZF212" s="830"/>
      <c r="WZG212" s="830"/>
      <c r="WZH212" s="830"/>
      <c r="WZI212" s="830"/>
      <c r="WZJ212" s="830"/>
      <c r="WZK212" s="830"/>
      <c r="WZL212" s="830"/>
      <c r="WZM212" s="830"/>
      <c r="WZN212" s="830"/>
      <c r="WZO212" s="830"/>
      <c r="WZP212" s="830"/>
      <c r="WZQ212" s="830"/>
      <c r="WZR212" s="830"/>
      <c r="WZS212" s="830"/>
      <c r="WZT212" s="830"/>
      <c r="WZU212" s="830"/>
      <c r="WZV212" s="830"/>
      <c r="WZW212" s="830"/>
      <c r="WZX212" s="830"/>
      <c r="WZY212" s="830"/>
      <c r="WZZ212" s="830"/>
      <c r="XAA212" s="830"/>
      <c r="XAB212" s="830"/>
      <c r="XAC212" s="830"/>
      <c r="XAD212" s="830"/>
      <c r="XAE212" s="830"/>
      <c r="XAF212" s="830"/>
      <c r="XAG212" s="830"/>
      <c r="XAH212" s="830"/>
      <c r="XAI212" s="830"/>
      <c r="XAJ212" s="830"/>
      <c r="XAK212" s="830"/>
      <c r="XAL212" s="830"/>
      <c r="XAM212" s="830"/>
      <c r="XAN212" s="830"/>
      <c r="XAO212" s="830"/>
      <c r="XAP212" s="830"/>
      <c r="XAQ212" s="830"/>
      <c r="XAR212" s="830"/>
      <c r="XAS212" s="830"/>
      <c r="XAT212" s="830"/>
      <c r="XAU212" s="830"/>
      <c r="XAV212" s="830"/>
      <c r="XAW212" s="830"/>
      <c r="XAX212" s="830"/>
      <c r="XAY212" s="830"/>
      <c r="XAZ212" s="830"/>
      <c r="XBA212" s="830"/>
      <c r="XBB212" s="830"/>
      <c r="XBC212" s="830"/>
      <c r="XBD212" s="830"/>
      <c r="XBE212" s="830"/>
      <c r="XBF212" s="830"/>
      <c r="XBG212" s="830"/>
      <c r="XBH212" s="830"/>
      <c r="XBI212" s="830"/>
      <c r="XBJ212" s="830"/>
      <c r="XBK212" s="830"/>
      <c r="XBL212" s="830"/>
      <c r="XBM212" s="830"/>
      <c r="XBN212" s="830"/>
      <c r="XBO212" s="830"/>
      <c r="XBP212" s="830"/>
      <c r="XBQ212" s="830"/>
      <c r="XBR212" s="830"/>
      <c r="XBS212" s="830"/>
      <c r="XBT212" s="830"/>
      <c r="XBU212" s="830"/>
      <c r="XBV212" s="830"/>
      <c r="XBW212" s="830"/>
      <c r="XBX212" s="830"/>
      <c r="XBY212" s="830"/>
      <c r="XBZ212" s="830"/>
      <c r="XCA212" s="830"/>
      <c r="XCB212" s="830"/>
      <c r="XCC212" s="830"/>
      <c r="XCD212" s="830"/>
      <c r="XCE212" s="830"/>
      <c r="XCF212" s="830"/>
      <c r="XCG212" s="830"/>
      <c r="XCH212" s="830"/>
      <c r="XCI212" s="830"/>
      <c r="XCJ212" s="830"/>
      <c r="XCK212" s="830"/>
      <c r="XCL212" s="830"/>
      <c r="XCM212" s="830"/>
      <c r="XCN212" s="830"/>
      <c r="XCO212" s="830"/>
      <c r="XCP212" s="830"/>
      <c r="XCQ212" s="830"/>
      <c r="XCR212" s="830"/>
      <c r="XCS212" s="830"/>
      <c r="XCT212" s="830"/>
      <c r="XCU212" s="830"/>
      <c r="XCV212" s="830"/>
      <c r="XCW212" s="830"/>
      <c r="XCX212" s="830"/>
      <c r="XCY212" s="830"/>
      <c r="XCZ212" s="830"/>
      <c r="XDA212" s="830"/>
      <c r="XDB212" s="830"/>
      <c r="XDC212" s="830"/>
      <c r="XDD212" s="830"/>
      <c r="XDE212" s="830"/>
      <c r="XDF212" s="830"/>
      <c r="XDG212" s="830"/>
      <c r="XDH212" s="830"/>
      <c r="XDI212" s="830"/>
      <c r="XDJ212" s="830"/>
      <c r="XDK212" s="830"/>
      <c r="XDL212" s="830"/>
      <c r="XDM212" s="830"/>
      <c r="XDN212" s="830"/>
      <c r="XDO212" s="830"/>
      <c r="XDP212" s="830"/>
      <c r="XDQ212" s="830"/>
      <c r="XDR212" s="830"/>
      <c r="XDS212" s="830"/>
      <c r="XDT212" s="830"/>
      <c r="XDU212" s="830"/>
      <c r="XDV212" s="830"/>
      <c r="XDW212" s="830"/>
      <c r="XDX212" s="830"/>
      <c r="XDY212" s="830"/>
      <c r="XDZ212" s="830"/>
      <c r="XEA212" s="830"/>
      <c r="XEB212" s="830"/>
      <c r="XEC212" s="830"/>
      <c r="XED212" s="830"/>
      <c r="XEE212" s="830"/>
      <c r="XEF212" s="830"/>
      <c r="XEG212" s="830"/>
      <c r="XEH212" s="830"/>
      <c r="XEI212" s="830"/>
      <c r="XEJ212" s="830"/>
      <c r="XEK212" s="830"/>
      <c r="XEL212" s="830"/>
      <c r="XEM212" s="830"/>
      <c r="XEN212" s="830"/>
      <c r="XEO212" s="830"/>
      <c r="XEP212" s="830"/>
      <c r="XEQ212" s="830"/>
      <c r="XER212" s="830"/>
      <c r="XES212" s="830"/>
      <c r="XET212" s="830"/>
      <c r="XEU212" s="830"/>
      <c r="XEV212" s="830"/>
      <c r="XEW212" s="830"/>
      <c r="XEX212" s="830"/>
      <c r="XEY212" s="830"/>
      <c r="XEZ212" s="830"/>
      <c r="XFA212" s="830"/>
      <c r="XFB212" s="830"/>
      <c r="XFC212" s="830"/>
      <c r="XFD212" s="830"/>
    </row>
    <row r="213" spans="1:14 16149:16384" ht="13.8">
      <c r="B213" s="816"/>
      <c r="C213" s="748"/>
      <c r="D213" s="827"/>
      <c r="E213" s="748"/>
      <c r="F213" s="813"/>
      <c r="G213" s="746"/>
      <c r="H213" s="813"/>
      <c r="I213" s="753"/>
      <c r="J213" s="745"/>
      <c r="M213" s="831"/>
      <c r="N213" s="831"/>
      <c r="WWC213" s="830"/>
      <c r="WWD213" s="830"/>
      <c r="WWE213" s="830"/>
      <c r="WWF213" s="830"/>
      <c r="WWG213" s="830"/>
      <c r="WWH213" s="830"/>
      <c r="WWI213" s="830"/>
      <c r="WWJ213" s="830"/>
      <c r="WWK213" s="830"/>
      <c r="WWL213" s="830"/>
      <c r="WWM213" s="830"/>
      <c r="WWN213" s="830"/>
      <c r="WWO213" s="830"/>
      <c r="WWP213" s="830"/>
      <c r="WWQ213" s="830"/>
      <c r="WWR213" s="830"/>
      <c r="WWS213" s="830"/>
      <c r="WWT213" s="830"/>
      <c r="WWU213" s="830"/>
      <c r="WWV213" s="830"/>
      <c r="WWW213" s="830"/>
      <c r="WWX213" s="830"/>
      <c r="WWY213" s="830"/>
      <c r="WWZ213" s="830"/>
      <c r="WXA213" s="830"/>
      <c r="WXB213" s="830"/>
      <c r="WXC213" s="830"/>
      <c r="WXD213" s="830"/>
      <c r="WXE213" s="830"/>
      <c r="WXF213" s="830"/>
      <c r="WXG213" s="830"/>
      <c r="WXH213" s="830"/>
      <c r="WXI213" s="830"/>
      <c r="WXJ213" s="830"/>
      <c r="WXK213" s="830"/>
      <c r="WXL213" s="830"/>
      <c r="WXM213" s="830"/>
      <c r="WXN213" s="830"/>
      <c r="WXO213" s="830"/>
      <c r="WXP213" s="830"/>
      <c r="WXQ213" s="830"/>
      <c r="WXR213" s="830"/>
      <c r="WXS213" s="830"/>
      <c r="WXT213" s="830"/>
      <c r="WXU213" s="830"/>
      <c r="WXV213" s="830"/>
      <c r="WXW213" s="830"/>
      <c r="WXX213" s="830"/>
      <c r="WXY213" s="830"/>
      <c r="WXZ213" s="830"/>
      <c r="WYA213" s="830"/>
      <c r="WYB213" s="830"/>
      <c r="WYC213" s="830"/>
      <c r="WYD213" s="830"/>
      <c r="WYE213" s="830"/>
      <c r="WYF213" s="830"/>
      <c r="WYG213" s="830"/>
      <c r="WYH213" s="830"/>
      <c r="WYI213" s="830"/>
      <c r="WYJ213" s="830"/>
      <c r="WYK213" s="830"/>
      <c r="WYL213" s="830"/>
      <c r="WYM213" s="830"/>
      <c r="WYN213" s="830"/>
      <c r="WYO213" s="830"/>
      <c r="WYP213" s="830"/>
      <c r="WYQ213" s="830"/>
      <c r="WYR213" s="830"/>
      <c r="WYS213" s="830"/>
      <c r="WYT213" s="830"/>
      <c r="WYU213" s="830"/>
      <c r="WYV213" s="830"/>
      <c r="WYW213" s="830"/>
      <c r="WYX213" s="830"/>
      <c r="WYY213" s="830"/>
      <c r="WYZ213" s="830"/>
      <c r="WZA213" s="830"/>
      <c r="WZB213" s="830"/>
      <c r="WZC213" s="830"/>
      <c r="WZD213" s="830"/>
      <c r="WZE213" s="830"/>
      <c r="WZF213" s="830"/>
      <c r="WZG213" s="830"/>
      <c r="WZH213" s="830"/>
      <c r="WZI213" s="830"/>
      <c r="WZJ213" s="830"/>
      <c r="WZK213" s="830"/>
      <c r="WZL213" s="830"/>
      <c r="WZM213" s="830"/>
      <c r="WZN213" s="830"/>
      <c r="WZO213" s="830"/>
      <c r="WZP213" s="830"/>
      <c r="WZQ213" s="830"/>
      <c r="WZR213" s="830"/>
      <c r="WZS213" s="830"/>
      <c r="WZT213" s="830"/>
      <c r="WZU213" s="830"/>
      <c r="WZV213" s="830"/>
      <c r="WZW213" s="830"/>
      <c r="WZX213" s="830"/>
      <c r="WZY213" s="830"/>
      <c r="WZZ213" s="830"/>
      <c r="XAA213" s="830"/>
      <c r="XAB213" s="830"/>
      <c r="XAC213" s="830"/>
      <c r="XAD213" s="830"/>
      <c r="XAE213" s="830"/>
      <c r="XAF213" s="830"/>
      <c r="XAG213" s="830"/>
      <c r="XAH213" s="830"/>
      <c r="XAI213" s="830"/>
      <c r="XAJ213" s="830"/>
      <c r="XAK213" s="830"/>
      <c r="XAL213" s="830"/>
      <c r="XAM213" s="830"/>
      <c r="XAN213" s="830"/>
      <c r="XAO213" s="830"/>
      <c r="XAP213" s="830"/>
      <c r="XAQ213" s="830"/>
      <c r="XAR213" s="830"/>
      <c r="XAS213" s="830"/>
      <c r="XAT213" s="830"/>
      <c r="XAU213" s="830"/>
      <c r="XAV213" s="830"/>
      <c r="XAW213" s="830"/>
      <c r="XAX213" s="830"/>
      <c r="XAY213" s="830"/>
      <c r="XAZ213" s="830"/>
      <c r="XBA213" s="830"/>
      <c r="XBB213" s="830"/>
      <c r="XBC213" s="830"/>
      <c r="XBD213" s="830"/>
      <c r="XBE213" s="830"/>
      <c r="XBF213" s="830"/>
      <c r="XBG213" s="830"/>
      <c r="XBH213" s="830"/>
      <c r="XBI213" s="830"/>
      <c r="XBJ213" s="830"/>
      <c r="XBK213" s="830"/>
      <c r="XBL213" s="830"/>
      <c r="XBM213" s="830"/>
      <c r="XBN213" s="830"/>
      <c r="XBO213" s="830"/>
      <c r="XBP213" s="830"/>
      <c r="XBQ213" s="830"/>
      <c r="XBR213" s="830"/>
      <c r="XBS213" s="830"/>
      <c r="XBT213" s="830"/>
      <c r="XBU213" s="830"/>
      <c r="XBV213" s="830"/>
      <c r="XBW213" s="830"/>
      <c r="XBX213" s="830"/>
      <c r="XBY213" s="830"/>
      <c r="XBZ213" s="830"/>
      <c r="XCA213" s="830"/>
      <c r="XCB213" s="830"/>
      <c r="XCC213" s="830"/>
      <c r="XCD213" s="830"/>
      <c r="XCE213" s="830"/>
      <c r="XCF213" s="830"/>
      <c r="XCG213" s="830"/>
      <c r="XCH213" s="830"/>
      <c r="XCI213" s="830"/>
      <c r="XCJ213" s="830"/>
      <c r="XCK213" s="830"/>
      <c r="XCL213" s="830"/>
      <c r="XCM213" s="830"/>
      <c r="XCN213" s="830"/>
      <c r="XCO213" s="830"/>
      <c r="XCP213" s="830"/>
      <c r="XCQ213" s="830"/>
      <c r="XCR213" s="830"/>
      <c r="XCS213" s="830"/>
      <c r="XCT213" s="830"/>
      <c r="XCU213" s="830"/>
      <c r="XCV213" s="830"/>
      <c r="XCW213" s="830"/>
      <c r="XCX213" s="830"/>
      <c r="XCY213" s="830"/>
      <c r="XCZ213" s="830"/>
      <c r="XDA213" s="830"/>
      <c r="XDB213" s="830"/>
      <c r="XDC213" s="830"/>
      <c r="XDD213" s="830"/>
      <c r="XDE213" s="830"/>
      <c r="XDF213" s="830"/>
      <c r="XDG213" s="830"/>
      <c r="XDH213" s="830"/>
      <c r="XDI213" s="830"/>
      <c r="XDJ213" s="830"/>
      <c r="XDK213" s="830"/>
      <c r="XDL213" s="830"/>
      <c r="XDM213" s="830"/>
      <c r="XDN213" s="830"/>
      <c r="XDO213" s="830"/>
      <c r="XDP213" s="830"/>
      <c r="XDQ213" s="830"/>
      <c r="XDR213" s="830"/>
      <c r="XDS213" s="830"/>
      <c r="XDT213" s="830"/>
      <c r="XDU213" s="830"/>
      <c r="XDV213" s="830"/>
      <c r="XDW213" s="830"/>
      <c r="XDX213" s="830"/>
      <c r="XDY213" s="830"/>
      <c r="XDZ213" s="830"/>
      <c r="XEA213" s="830"/>
      <c r="XEB213" s="830"/>
      <c r="XEC213" s="830"/>
      <c r="XED213" s="830"/>
      <c r="XEE213" s="830"/>
      <c r="XEF213" s="830"/>
      <c r="XEG213" s="830"/>
      <c r="XEH213" s="830"/>
      <c r="XEI213" s="830"/>
      <c r="XEJ213" s="830"/>
      <c r="XEK213" s="830"/>
      <c r="XEL213" s="830"/>
      <c r="XEM213" s="830"/>
      <c r="XEN213" s="830"/>
      <c r="XEO213" s="830"/>
      <c r="XEP213" s="830"/>
      <c r="XEQ213" s="830"/>
      <c r="XER213" s="830"/>
      <c r="XES213" s="830"/>
      <c r="XET213" s="830"/>
      <c r="XEU213" s="830"/>
      <c r="XEV213" s="830"/>
      <c r="XEW213" s="830"/>
      <c r="XEX213" s="830"/>
      <c r="XEY213" s="830"/>
      <c r="XEZ213" s="830"/>
      <c r="XFA213" s="830"/>
      <c r="XFB213" s="830"/>
      <c r="XFC213" s="830"/>
      <c r="XFD213" s="830"/>
    </row>
    <row r="214" spans="1:14 16149:16384" ht="13.8">
      <c r="B214" s="816" t="s">
        <v>5147</v>
      </c>
      <c r="C214" s="748"/>
      <c r="D214" s="827" t="s">
        <v>5148</v>
      </c>
      <c r="E214" s="827"/>
      <c r="F214" s="813"/>
      <c r="G214" s="746"/>
      <c r="H214" s="813"/>
      <c r="I214" s="753"/>
      <c r="J214" s="745"/>
      <c r="M214" s="831"/>
      <c r="N214" s="831"/>
      <c r="WWC214" s="830"/>
      <c r="WWD214" s="830"/>
      <c r="WWE214" s="830"/>
      <c r="WWF214" s="830"/>
      <c r="WWG214" s="830"/>
      <c r="WWH214" s="830"/>
      <c r="WWI214" s="830"/>
      <c r="WWJ214" s="830"/>
      <c r="WWK214" s="830"/>
      <c r="WWL214" s="830"/>
      <c r="WWM214" s="830"/>
      <c r="WWN214" s="830"/>
      <c r="WWO214" s="830"/>
      <c r="WWP214" s="830"/>
      <c r="WWQ214" s="830"/>
      <c r="WWR214" s="830"/>
      <c r="WWS214" s="830"/>
      <c r="WWT214" s="830"/>
      <c r="WWU214" s="830"/>
      <c r="WWV214" s="830"/>
      <c r="WWW214" s="830"/>
      <c r="WWX214" s="830"/>
      <c r="WWY214" s="830"/>
      <c r="WWZ214" s="830"/>
      <c r="WXA214" s="830"/>
      <c r="WXB214" s="830"/>
      <c r="WXC214" s="830"/>
      <c r="WXD214" s="830"/>
      <c r="WXE214" s="830"/>
      <c r="WXF214" s="830"/>
      <c r="WXG214" s="830"/>
      <c r="WXH214" s="830"/>
      <c r="WXI214" s="830"/>
      <c r="WXJ214" s="830"/>
      <c r="WXK214" s="830"/>
      <c r="WXL214" s="830"/>
      <c r="WXM214" s="830"/>
      <c r="WXN214" s="830"/>
      <c r="WXO214" s="830"/>
      <c r="WXP214" s="830"/>
      <c r="WXQ214" s="830"/>
      <c r="WXR214" s="830"/>
      <c r="WXS214" s="830"/>
      <c r="WXT214" s="830"/>
      <c r="WXU214" s="830"/>
      <c r="WXV214" s="830"/>
      <c r="WXW214" s="830"/>
      <c r="WXX214" s="830"/>
      <c r="WXY214" s="830"/>
      <c r="WXZ214" s="830"/>
      <c r="WYA214" s="830"/>
      <c r="WYB214" s="830"/>
      <c r="WYC214" s="830"/>
      <c r="WYD214" s="830"/>
      <c r="WYE214" s="830"/>
      <c r="WYF214" s="830"/>
      <c r="WYG214" s="830"/>
      <c r="WYH214" s="830"/>
      <c r="WYI214" s="830"/>
      <c r="WYJ214" s="830"/>
      <c r="WYK214" s="830"/>
      <c r="WYL214" s="830"/>
      <c r="WYM214" s="830"/>
      <c r="WYN214" s="830"/>
      <c r="WYO214" s="830"/>
      <c r="WYP214" s="830"/>
      <c r="WYQ214" s="830"/>
      <c r="WYR214" s="830"/>
      <c r="WYS214" s="830"/>
      <c r="WYT214" s="830"/>
      <c r="WYU214" s="830"/>
      <c r="WYV214" s="830"/>
      <c r="WYW214" s="830"/>
      <c r="WYX214" s="830"/>
      <c r="WYY214" s="830"/>
      <c r="WYZ214" s="830"/>
      <c r="WZA214" s="830"/>
      <c r="WZB214" s="830"/>
      <c r="WZC214" s="830"/>
      <c r="WZD214" s="830"/>
      <c r="WZE214" s="830"/>
      <c r="WZF214" s="830"/>
      <c r="WZG214" s="830"/>
      <c r="WZH214" s="830"/>
      <c r="WZI214" s="830"/>
      <c r="WZJ214" s="830"/>
      <c r="WZK214" s="830"/>
      <c r="WZL214" s="830"/>
      <c r="WZM214" s="830"/>
      <c r="WZN214" s="830"/>
      <c r="WZO214" s="830"/>
      <c r="WZP214" s="830"/>
      <c r="WZQ214" s="830"/>
      <c r="WZR214" s="830"/>
      <c r="WZS214" s="830"/>
      <c r="WZT214" s="830"/>
      <c r="WZU214" s="830"/>
      <c r="WZV214" s="830"/>
      <c r="WZW214" s="830"/>
      <c r="WZX214" s="830"/>
      <c r="WZY214" s="830"/>
      <c r="WZZ214" s="830"/>
      <c r="XAA214" s="830"/>
      <c r="XAB214" s="830"/>
      <c r="XAC214" s="830"/>
      <c r="XAD214" s="830"/>
      <c r="XAE214" s="830"/>
      <c r="XAF214" s="830"/>
      <c r="XAG214" s="830"/>
      <c r="XAH214" s="830"/>
      <c r="XAI214" s="830"/>
      <c r="XAJ214" s="830"/>
      <c r="XAK214" s="830"/>
      <c r="XAL214" s="830"/>
      <c r="XAM214" s="830"/>
      <c r="XAN214" s="830"/>
      <c r="XAO214" s="830"/>
      <c r="XAP214" s="830"/>
      <c r="XAQ214" s="830"/>
      <c r="XAR214" s="830"/>
      <c r="XAS214" s="830"/>
      <c r="XAT214" s="830"/>
      <c r="XAU214" s="830"/>
      <c r="XAV214" s="830"/>
      <c r="XAW214" s="830"/>
      <c r="XAX214" s="830"/>
      <c r="XAY214" s="830"/>
      <c r="XAZ214" s="830"/>
      <c r="XBA214" s="830"/>
      <c r="XBB214" s="830"/>
      <c r="XBC214" s="830"/>
      <c r="XBD214" s="830"/>
      <c r="XBE214" s="830"/>
      <c r="XBF214" s="830"/>
      <c r="XBG214" s="830"/>
      <c r="XBH214" s="830"/>
      <c r="XBI214" s="830"/>
      <c r="XBJ214" s="830"/>
      <c r="XBK214" s="830"/>
      <c r="XBL214" s="830"/>
      <c r="XBM214" s="830"/>
      <c r="XBN214" s="830"/>
      <c r="XBO214" s="830"/>
      <c r="XBP214" s="830"/>
      <c r="XBQ214" s="830"/>
      <c r="XBR214" s="830"/>
      <c r="XBS214" s="830"/>
      <c r="XBT214" s="830"/>
      <c r="XBU214" s="830"/>
      <c r="XBV214" s="830"/>
      <c r="XBW214" s="830"/>
      <c r="XBX214" s="830"/>
      <c r="XBY214" s="830"/>
      <c r="XBZ214" s="830"/>
      <c r="XCA214" s="830"/>
      <c r="XCB214" s="830"/>
      <c r="XCC214" s="830"/>
      <c r="XCD214" s="830"/>
      <c r="XCE214" s="830"/>
      <c r="XCF214" s="830"/>
      <c r="XCG214" s="830"/>
      <c r="XCH214" s="830"/>
      <c r="XCI214" s="830"/>
      <c r="XCJ214" s="830"/>
      <c r="XCK214" s="830"/>
      <c r="XCL214" s="830"/>
      <c r="XCM214" s="830"/>
      <c r="XCN214" s="830"/>
      <c r="XCO214" s="830"/>
      <c r="XCP214" s="830"/>
      <c r="XCQ214" s="830"/>
      <c r="XCR214" s="830"/>
      <c r="XCS214" s="830"/>
      <c r="XCT214" s="830"/>
      <c r="XCU214" s="830"/>
      <c r="XCV214" s="830"/>
      <c r="XCW214" s="830"/>
      <c r="XCX214" s="830"/>
      <c r="XCY214" s="830"/>
      <c r="XCZ214" s="830"/>
      <c r="XDA214" s="830"/>
      <c r="XDB214" s="830"/>
      <c r="XDC214" s="830"/>
      <c r="XDD214" s="830"/>
      <c r="XDE214" s="830"/>
      <c r="XDF214" s="830"/>
      <c r="XDG214" s="830"/>
      <c r="XDH214" s="830"/>
      <c r="XDI214" s="830"/>
      <c r="XDJ214" s="830"/>
      <c r="XDK214" s="830"/>
      <c r="XDL214" s="830"/>
      <c r="XDM214" s="830"/>
      <c r="XDN214" s="830"/>
      <c r="XDO214" s="830"/>
      <c r="XDP214" s="830"/>
      <c r="XDQ214" s="830"/>
      <c r="XDR214" s="830"/>
      <c r="XDS214" s="830"/>
      <c r="XDT214" s="830"/>
      <c r="XDU214" s="830"/>
      <c r="XDV214" s="830"/>
      <c r="XDW214" s="830"/>
      <c r="XDX214" s="830"/>
      <c r="XDY214" s="830"/>
      <c r="XDZ214" s="830"/>
      <c r="XEA214" s="830"/>
      <c r="XEB214" s="830"/>
      <c r="XEC214" s="830"/>
      <c r="XED214" s="830"/>
      <c r="XEE214" s="830"/>
      <c r="XEF214" s="830"/>
      <c r="XEG214" s="830"/>
      <c r="XEH214" s="830"/>
      <c r="XEI214" s="830"/>
      <c r="XEJ214" s="830"/>
      <c r="XEK214" s="830"/>
      <c r="XEL214" s="830"/>
      <c r="XEM214" s="830"/>
      <c r="XEN214" s="830"/>
      <c r="XEO214" s="830"/>
      <c r="XEP214" s="830"/>
      <c r="XEQ214" s="830"/>
      <c r="XER214" s="830"/>
      <c r="XES214" s="830"/>
      <c r="XET214" s="830"/>
      <c r="XEU214" s="830"/>
      <c r="XEV214" s="830"/>
      <c r="XEW214" s="830"/>
      <c r="XEX214" s="830"/>
      <c r="XEY214" s="830"/>
      <c r="XEZ214" s="830"/>
      <c r="XFA214" s="830"/>
      <c r="XFB214" s="830"/>
      <c r="XFC214" s="830"/>
      <c r="XFD214" s="830"/>
    </row>
    <row r="215" spans="1:14 16149:16384" ht="13.8">
      <c r="A215" t="s">
        <v>1227</v>
      </c>
      <c r="B215" s="816"/>
      <c r="C215" s="748"/>
      <c r="D215" s="827" t="s">
        <v>5149</v>
      </c>
      <c r="E215" s="748" t="s">
        <v>5093</v>
      </c>
      <c r="F215" s="813">
        <v>2</v>
      </c>
      <c r="G215" s="746"/>
      <c r="H215" s="752">
        <v>0</v>
      </c>
      <c r="I215" s="753"/>
      <c r="J215" s="745"/>
      <c r="M215" s="831">
        <v>18.32</v>
      </c>
      <c r="N215" s="831">
        <v>5.69</v>
      </c>
      <c r="WWC215" s="830"/>
      <c r="WWD215" s="830"/>
      <c r="WWE215" s="830"/>
      <c r="WWF215" s="830"/>
      <c r="WWG215" s="830"/>
      <c r="WWH215" s="830"/>
      <c r="WWI215" s="830"/>
      <c r="WWJ215" s="830"/>
      <c r="WWK215" s="830"/>
      <c r="WWL215" s="830"/>
      <c r="WWM215" s="830"/>
      <c r="WWN215" s="830"/>
      <c r="WWO215" s="830"/>
      <c r="WWP215" s="830"/>
      <c r="WWQ215" s="830"/>
      <c r="WWR215" s="830"/>
      <c r="WWS215" s="830"/>
      <c r="WWT215" s="830"/>
      <c r="WWU215" s="830"/>
      <c r="WWV215" s="830"/>
      <c r="WWW215" s="830"/>
      <c r="WWX215" s="830"/>
      <c r="WWY215" s="830"/>
      <c r="WWZ215" s="830"/>
      <c r="WXA215" s="830"/>
      <c r="WXB215" s="830"/>
      <c r="WXC215" s="830"/>
      <c r="WXD215" s="830"/>
      <c r="WXE215" s="830"/>
      <c r="WXF215" s="830"/>
      <c r="WXG215" s="830"/>
      <c r="WXH215" s="830"/>
      <c r="WXI215" s="830"/>
      <c r="WXJ215" s="830"/>
      <c r="WXK215" s="830"/>
      <c r="WXL215" s="830"/>
      <c r="WXM215" s="830"/>
      <c r="WXN215" s="830"/>
      <c r="WXO215" s="830"/>
      <c r="WXP215" s="830"/>
      <c r="WXQ215" s="830"/>
      <c r="WXR215" s="830"/>
      <c r="WXS215" s="830"/>
      <c r="WXT215" s="830"/>
      <c r="WXU215" s="830"/>
      <c r="WXV215" s="830"/>
      <c r="WXW215" s="830"/>
      <c r="WXX215" s="830"/>
      <c r="WXY215" s="830"/>
      <c r="WXZ215" s="830"/>
      <c r="WYA215" s="830"/>
      <c r="WYB215" s="830"/>
      <c r="WYC215" s="830"/>
      <c r="WYD215" s="830"/>
      <c r="WYE215" s="830"/>
      <c r="WYF215" s="830"/>
      <c r="WYG215" s="830"/>
      <c r="WYH215" s="830"/>
      <c r="WYI215" s="830"/>
      <c r="WYJ215" s="830"/>
      <c r="WYK215" s="830"/>
      <c r="WYL215" s="830"/>
      <c r="WYM215" s="830"/>
      <c r="WYN215" s="830"/>
      <c r="WYO215" s="830"/>
      <c r="WYP215" s="830"/>
      <c r="WYQ215" s="830"/>
      <c r="WYR215" s="830"/>
      <c r="WYS215" s="830"/>
      <c r="WYT215" s="830"/>
      <c r="WYU215" s="830"/>
      <c r="WYV215" s="830"/>
      <c r="WYW215" s="830"/>
      <c r="WYX215" s="830"/>
      <c r="WYY215" s="830"/>
      <c r="WYZ215" s="830"/>
      <c r="WZA215" s="830"/>
      <c r="WZB215" s="830"/>
      <c r="WZC215" s="830"/>
      <c r="WZD215" s="830"/>
      <c r="WZE215" s="830"/>
      <c r="WZF215" s="830"/>
      <c r="WZG215" s="830"/>
      <c r="WZH215" s="830"/>
      <c r="WZI215" s="830"/>
      <c r="WZJ215" s="830"/>
      <c r="WZK215" s="830"/>
      <c r="WZL215" s="830"/>
      <c r="WZM215" s="830"/>
      <c r="WZN215" s="830"/>
      <c r="WZO215" s="830"/>
      <c r="WZP215" s="830"/>
      <c r="WZQ215" s="830"/>
      <c r="WZR215" s="830"/>
      <c r="WZS215" s="830"/>
      <c r="WZT215" s="830"/>
      <c r="WZU215" s="830"/>
      <c r="WZV215" s="830"/>
      <c r="WZW215" s="830"/>
      <c r="WZX215" s="830"/>
      <c r="WZY215" s="830"/>
      <c r="WZZ215" s="830"/>
      <c r="XAA215" s="830"/>
      <c r="XAB215" s="830"/>
      <c r="XAC215" s="830"/>
      <c r="XAD215" s="830"/>
      <c r="XAE215" s="830"/>
      <c r="XAF215" s="830"/>
      <c r="XAG215" s="830"/>
      <c r="XAH215" s="830"/>
      <c r="XAI215" s="830"/>
      <c r="XAJ215" s="830"/>
      <c r="XAK215" s="830"/>
      <c r="XAL215" s="830"/>
      <c r="XAM215" s="830"/>
      <c r="XAN215" s="830"/>
      <c r="XAO215" s="830"/>
      <c r="XAP215" s="830"/>
      <c r="XAQ215" s="830"/>
      <c r="XAR215" s="830"/>
      <c r="XAS215" s="830"/>
      <c r="XAT215" s="830"/>
      <c r="XAU215" s="830"/>
      <c r="XAV215" s="830"/>
      <c r="XAW215" s="830"/>
      <c r="XAX215" s="830"/>
      <c r="XAY215" s="830"/>
      <c r="XAZ215" s="830"/>
      <c r="XBA215" s="830"/>
      <c r="XBB215" s="830"/>
      <c r="XBC215" s="830"/>
      <c r="XBD215" s="830"/>
      <c r="XBE215" s="830"/>
      <c r="XBF215" s="830"/>
      <c r="XBG215" s="830"/>
      <c r="XBH215" s="830"/>
      <c r="XBI215" s="830"/>
      <c r="XBJ215" s="830"/>
      <c r="XBK215" s="830"/>
      <c r="XBL215" s="830"/>
      <c r="XBM215" s="830"/>
      <c r="XBN215" s="830"/>
      <c r="XBO215" s="830"/>
      <c r="XBP215" s="830"/>
      <c r="XBQ215" s="830"/>
      <c r="XBR215" s="830"/>
      <c r="XBS215" s="830"/>
      <c r="XBT215" s="830"/>
      <c r="XBU215" s="830"/>
      <c r="XBV215" s="830"/>
      <c r="XBW215" s="830"/>
      <c r="XBX215" s="830"/>
      <c r="XBY215" s="830"/>
      <c r="XBZ215" s="830"/>
      <c r="XCA215" s="830"/>
      <c r="XCB215" s="830"/>
      <c r="XCC215" s="830"/>
      <c r="XCD215" s="830"/>
      <c r="XCE215" s="830"/>
      <c r="XCF215" s="830"/>
      <c r="XCG215" s="830"/>
      <c r="XCH215" s="830"/>
      <c r="XCI215" s="830"/>
      <c r="XCJ215" s="830"/>
      <c r="XCK215" s="830"/>
      <c r="XCL215" s="830"/>
      <c r="XCM215" s="830"/>
      <c r="XCN215" s="830"/>
      <c r="XCO215" s="830"/>
      <c r="XCP215" s="830"/>
      <c r="XCQ215" s="830"/>
      <c r="XCR215" s="830"/>
      <c r="XCS215" s="830"/>
      <c r="XCT215" s="830"/>
      <c r="XCU215" s="830"/>
      <c r="XCV215" s="830"/>
      <c r="XCW215" s="830"/>
      <c r="XCX215" s="830"/>
      <c r="XCY215" s="830"/>
      <c r="XCZ215" s="830"/>
      <c r="XDA215" s="830"/>
      <c r="XDB215" s="830"/>
      <c r="XDC215" s="830"/>
      <c r="XDD215" s="830"/>
      <c r="XDE215" s="830"/>
      <c r="XDF215" s="830"/>
      <c r="XDG215" s="830"/>
      <c r="XDH215" s="830"/>
      <c r="XDI215" s="830"/>
      <c r="XDJ215" s="830"/>
      <c r="XDK215" s="830"/>
      <c r="XDL215" s="830"/>
      <c r="XDM215" s="830"/>
      <c r="XDN215" s="830"/>
      <c r="XDO215" s="830"/>
      <c r="XDP215" s="830"/>
      <c r="XDQ215" s="830"/>
      <c r="XDR215" s="830"/>
      <c r="XDS215" s="830"/>
      <c r="XDT215" s="830"/>
      <c r="XDU215" s="830"/>
      <c r="XDV215" s="830"/>
      <c r="XDW215" s="830"/>
      <c r="XDX215" s="830"/>
      <c r="XDY215" s="830"/>
      <c r="XDZ215" s="830"/>
      <c r="XEA215" s="830"/>
      <c r="XEB215" s="830"/>
      <c r="XEC215" s="830"/>
      <c r="XED215" s="830"/>
      <c r="XEE215" s="830"/>
      <c r="XEF215" s="830"/>
      <c r="XEG215" s="830"/>
      <c r="XEH215" s="830"/>
      <c r="XEI215" s="830"/>
      <c r="XEJ215" s="830"/>
      <c r="XEK215" s="830"/>
      <c r="XEL215" s="830"/>
      <c r="XEM215" s="830"/>
      <c r="XEN215" s="830"/>
      <c r="XEO215" s="830"/>
      <c r="XEP215" s="830"/>
      <c r="XEQ215" s="830"/>
      <c r="XER215" s="830"/>
      <c r="XES215" s="830"/>
      <c r="XET215" s="830"/>
      <c r="XEU215" s="830"/>
      <c r="XEV215" s="830"/>
      <c r="XEW215" s="830"/>
      <c r="XEX215" s="830"/>
      <c r="XEY215" s="830"/>
      <c r="XEZ215" s="830"/>
      <c r="XFA215" s="830"/>
      <c r="XFB215" s="830"/>
      <c r="XFC215" s="830"/>
      <c r="XFD215" s="830"/>
    </row>
    <row r="216" spans="1:14 16149:16384" ht="13.8">
      <c r="B216" s="816"/>
      <c r="C216" s="748"/>
      <c r="D216" s="827"/>
      <c r="E216" s="748"/>
      <c r="F216" s="813"/>
      <c r="G216" s="746"/>
      <c r="H216" s="813"/>
      <c r="I216" s="753"/>
      <c r="J216" s="745"/>
      <c r="M216" s="831"/>
      <c r="N216" s="831"/>
      <c r="WWC216" s="830"/>
      <c r="WWD216" s="830"/>
      <c r="WWE216" s="830"/>
      <c r="WWF216" s="830"/>
      <c r="WWG216" s="830"/>
      <c r="WWH216" s="830"/>
      <c r="WWI216" s="830"/>
      <c r="WWJ216" s="830"/>
      <c r="WWK216" s="830"/>
      <c r="WWL216" s="830"/>
      <c r="WWM216" s="830"/>
      <c r="WWN216" s="830"/>
      <c r="WWO216" s="830"/>
      <c r="WWP216" s="830"/>
      <c r="WWQ216" s="830"/>
      <c r="WWR216" s="830"/>
      <c r="WWS216" s="830"/>
      <c r="WWT216" s="830"/>
      <c r="WWU216" s="830"/>
      <c r="WWV216" s="830"/>
      <c r="WWW216" s="830"/>
      <c r="WWX216" s="830"/>
      <c r="WWY216" s="830"/>
      <c r="WWZ216" s="830"/>
      <c r="WXA216" s="830"/>
      <c r="WXB216" s="830"/>
      <c r="WXC216" s="830"/>
      <c r="WXD216" s="830"/>
      <c r="WXE216" s="830"/>
      <c r="WXF216" s="830"/>
      <c r="WXG216" s="830"/>
      <c r="WXH216" s="830"/>
      <c r="WXI216" s="830"/>
      <c r="WXJ216" s="830"/>
      <c r="WXK216" s="830"/>
      <c r="WXL216" s="830"/>
      <c r="WXM216" s="830"/>
      <c r="WXN216" s="830"/>
      <c r="WXO216" s="830"/>
      <c r="WXP216" s="830"/>
      <c r="WXQ216" s="830"/>
      <c r="WXR216" s="830"/>
      <c r="WXS216" s="830"/>
      <c r="WXT216" s="830"/>
      <c r="WXU216" s="830"/>
      <c r="WXV216" s="830"/>
      <c r="WXW216" s="830"/>
      <c r="WXX216" s="830"/>
      <c r="WXY216" s="830"/>
      <c r="WXZ216" s="830"/>
      <c r="WYA216" s="830"/>
      <c r="WYB216" s="830"/>
      <c r="WYC216" s="830"/>
      <c r="WYD216" s="830"/>
      <c r="WYE216" s="830"/>
      <c r="WYF216" s="830"/>
      <c r="WYG216" s="830"/>
      <c r="WYH216" s="830"/>
      <c r="WYI216" s="830"/>
      <c r="WYJ216" s="830"/>
      <c r="WYK216" s="830"/>
      <c r="WYL216" s="830"/>
      <c r="WYM216" s="830"/>
      <c r="WYN216" s="830"/>
      <c r="WYO216" s="830"/>
      <c r="WYP216" s="830"/>
      <c r="WYQ216" s="830"/>
      <c r="WYR216" s="830"/>
      <c r="WYS216" s="830"/>
      <c r="WYT216" s="830"/>
      <c r="WYU216" s="830"/>
      <c r="WYV216" s="830"/>
      <c r="WYW216" s="830"/>
      <c r="WYX216" s="830"/>
      <c r="WYY216" s="830"/>
      <c r="WYZ216" s="830"/>
      <c r="WZA216" s="830"/>
      <c r="WZB216" s="830"/>
      <c r="WZC216" s="830"/>
      <c r="WZD216" s="830"/>
      <c r="WZE216" s="830"/>
      <c r="WZF216" s="830"/>
      <c r="WZG216" s="830"/>
      <c r="WZH216" s="830"/>
      <c r="WZI216" s="830"/>
      <c r="WZJ216" s="830"/>
      <c r="WZK216" s="830"/>
      <c r="WZL216" s="830"/>
      <c r="WZM216" s="830"/>
      <c r="WZN216" s="830"/>
      <c r="WZO216" s="830"/>
      <c r="WZP216" s="830"/>
      <c r="WZQ216" s="830"/>
      <c r="WZR216" s="830"/>
      <c r="WZS216" s="830"/>
      <c r="WZT216" s="830"/>
      <c r="WZU216" s="830"/>
      <c r="WZV216" s="830"/>
      <c r="WZW216" s="830"/>
      <c r="WZX216" s="830"/>
      <c r="WZY216" s="830"/>
      <c r="WZZ216" s="830"/>
      <c r="XAA216" s="830"/>
      <c r="XAB216" s="830"/>
      <c r="XAC216" s="830"/>
      <c r="XAD216" s="830"/>
      <c r="XAE216" s="830"/>
      <c r="XAF216" s="830"/>
      <c r="XAG216" s="830"/>
      <c r="XAH216" s="830"/>
      <c r="XAI216" s="830"/>
      <c r="XAJ216" s="830"/>
      <c r="XAK216" s="830"/>
      <c r="XAL216" s="830"/>
      <c r="XAM216" s="830"/>
      <c r="XAN216" s="830"/>
      <c r="XAO216" s="830"/>
      <c r="XAP216" s="830"/>
      <c r="XAQ216" s="830"/>
      <c r="XAR216" s="830"/>
      <c r="XAS216" s="830"/>
      <c r="XAT216" s="830"/>
      <c r="XAU216" s="830"/>
      <c r="XAV216" s="830"/>
      <c r="XAW216" s="830"/>
      <c r="XAX216" s="830"/>
      <c r="XAY216" s="830"/>
      <c r="XAZ216" s="830"/>
      <c r="XBA216" s="830"/>
      <c r="XBB216" s="830"/>
      <c r="XBC216" s="830"/>
      <c r="XBD216" s="830"/>
      <c r="XBE216" s="830"/>
      <c r="XBF216" s="830"/>
      <c r="XBG216" s="830"/>
      <c r="XBH216" s="830"/>
      <c r="XBI216" s="830"/>
      <c r="XBJ216" s="830"/>
      <c r="XBK216" s="830"/>
      <c r="XBL216" s="830"/>
      <c r="XBM216" s="830"/>
      <c r="XBN216" s="830"/>
      <c r="XBO216" s="830"/>
      <c r="XBP216" s="830"/>
      <c r="XBQ216" s="830"/>
      <c r="XBR216" s="830"/>
      <c r="XBS216" s="830"/>
      <c r="XBT216" s="830"/>
      <c r="XBU216" s="830"/>
      <c r="XBV216" s="830"/>
      <c r="XBW216" s="830"/>
      <c r="XBX216" s="830"/>
      <c r="XBY216" s="830"/>
      <c r="XBZ216" s="830"/>
      <c r="XCA216" s="830"/>
      <c r="XCB216" s="830"/>
      <c r="XCC216" s="830"/>
      <c r="XCD216" s="830"/>
      <c r="XCE216" s="830"/>
      <c r="XCF216" s="830"/>
      <c r="XCG216" s="830"/>
      <c r="XCH216" s="830"/>
      <c r="XCI216" s="830"/>
      <c r="XCJ216" s="830"/>
      <c r="XCK216" s="830"/>
      <c r="XCL216" s="830"/>
      <c r="XCM216" s="830"/>
      <c r="XCN216" s="830"/>
      <c r="XCO216" s="830"/>
      <c r="XCP216" s="830"/>
      <c r="XCQ216" s="830"/>
      <c r="XCR216" s="830"/>
      <c r="XCS216" s="830"/>
      <c r="XCT216" s="830"/>
      <c r="XCU216" s="830"/>
      <c r="XCV216" s="830"/>
      <c r="XCW216" s="830"/>
      <c r="XCX216" s="830"/>
      <c r="XCY216" s="830"/>
      <c r="XCZ216" s="830"/>
      <c r="XDA216" s="830"/>
      <c r="XDB216" s="830"/>
      <c r="XDC216" s="830"/>
      <c r="XDD216" s="830"/>
      <c r="XDE216" s="830"/>
      <c r="XDF216" s="830"/>
      <c r="XDG216" s="830"/>
      <c r="XDH216" s="830"/>
      <c r="XDI216" s="830"/>
      <c r="XDJ216" s="830"/>
      <c r="XDK216" s="830"/>
      <c r="XDL216" s="830"/>
      <c r="XDM216" s="830"/>
      <c r="XDN216" s="830"/>
      <c r="XDO216" s="830"/>
      <c r="XDP216" s="830"/>
      <c r="XDQ216" s="830"/>
      <c r="XDR216" s="830"/>
      <c r="XDS216" s="830"/>
      <c r="XDT216" s="830"/>
      <c r="XDU216" s="830"/>
      <c r="XDV216" s="830"/>
      <c r="XDW216" s="830"/>
      <c r="XDX216" s="830"/>
      <c r="XDY216" s="830"/>
      <c r="XDZ216" s="830"/>
      <c r="XEA216" s="830"/>
      <c r="XEB216" s="830"/>
      <c r="XEC216" s="830"/>
      <c r="XED216" s="830"/>
      <c r="XEE216" s="830"/>
      <c r="XEF216" s="830"/>
      <c r="XEG216" s="830"/>
      <c r="XEH216" s="830"/>
      <c r="XEI216" s="830"/>
      <c r="XEJ216" s="830"/>
      <c r="XEK216" s="830"/>
      <c r="XEL216" s="830"/>
      <c r="XEM216" s="830"/>
      <c r="XEN216" s="830"/>
      <c r="XEO216" s="830"/>
      <c r="XEP216" s="830"/>
      <c r="XEQ216" s="830"/>
      <c r="XER216" s="830"/>
      <c r="XES216" s="830"/>
      <c r="XET216" s="830"/>
      <c r="XEU216" s="830"/>
      <c r="XEV216" s="830"/>
      <c r="XEW216" s="830"/>
      <c r="XEX216" s="830"/>
      <c r="XEY216" s="830"/>
      <c r="XEZ216" s="830"/>
      <c r="XFA216" s="830"/>
      <c r="XFB216" s="830"/>
      <c r="XFC216" s="830"/>
      <c r="XFD216" s="830"/>
    </row>
    <row r="217" spans="1:14 16149:16384" ht="13.8">
      <c r="B217" s="816" t="s">
        <v>5150</v>
      </c>
      <c r="C217" s="748"/>
      <c r="D217" s="827" t="s">
        <v>5151</v>
      </c>
      <c r="E217" s="748" t="s">
        <v>5152</v>
      </c>
      <c r="F217" s="813">
        <v>1</v>
      </c>
      <c r="G217" s="746"/>
      <c r="H217" s="752">
        <v>0</v>
      </c>
      <c r="I217" s="753" t="s">
        <v>4872</v>
      </c>
      <c r="J217" s="745" t="s">
        <v>5153</v>
      </c>
      <c r="M217" s="831">
        <v>1849.09</v>
      </c>
      <c r="N217" s="831"/>
      <c r="WWC217" s="830"/>
      <c r="WWD217" s="830"/>
      <c r="WWE217" s="830"/>
      <c r="WWF217" s="830"/>
      <c r="WWG217" s="830"/>
      <c r="WWH217" s="830"/>
      <c r="WWI217" s="830"/>
      <c r="WWJ217" s="830"/>
      <c r="WWK217" s="830"/>
      <c r="WWL217" s="830"/>
      <c r="WWM217" s="830"/>
      <c r="WWN217" s="830"/>
      <c r="WWO217" s="830"/>
      <c r="WWP217" s="830"/>
      <c r="WWQ217" s="830"/>
      <c r="WWR217" s="830"/>
      <c r="WWS217" s="830"/>
      <c r="WWT217" s="830"/>
      <c r="WWU217" s="830"/>
      <c r="WWV217" s="830"/>
      <c r="WWW217" s="830"/>
      <c r="WWX217" s="830"/>
      <c r="WWY217" s="830"/>
      <c r="WWZ217" s="830"/>
      <c r="WXA217" s="830"/>
      <c r="WXB217" s="830"/>
      <c r="WXC217" s="830"/>
      <c r="WXD217" s="830"/>
      <c r="WXE217" s="830"/>
      <c r="WXF217" s="830"/>
      <c r="WXG217" s="830"/>
      <c r="WXH217" s="830"/>
      <c r="WXI217" s="830"/>
      <c r="WXJ217" s="830"/>
      <c r="WXK217" s="830"/>
      <c r="WXL217" s="830"/>
      <c r="WXM217" s="830"/>
      <c r="WXN217" s="830"/>
      <c r="WXO217" s="830"/>
      <c r="WXP217" s="830"/>
      <c r="WXQ217" s="830"/>
      <c r="WXR217" s="830"/>
      <c r="WXS217" s="830"/>
      <c r="WXT217" s="830"/>
      <c r="WXU217" s="830"/>
      <c r="WXV217" s="830"/>
      <c r="WXW217" s="830"/>
      <c r="WXX217" s="830"/>
      <c r="WXY217" s="830"/>
      <c r="WXZ217" s="830"/>
      <c r="WYA217" s="830"/>
      <c r="WYB217" s="830"/>
      <c r="WYC217" s="830"/>
      <c r="WYD217" s="830"/>
      <c r="WYE217" s="830"/>
      <c r="WYF217" s="830"/>
      <c r="WYG217" s="830"/>
      <c r="WYH217" s="830"/>
      <c r="WYI217" s="830"/>
      <c r="WYJ217" s="830"/>
      <c r="WYK217" s="830"/>
      <c r="WYL217" s="830"/>
      <c r="WYM217" s="830"/>
      <c r="WYN217" s="830"/>
      <c r="WYO217" s="830"/>
      <c r="WYP217" s="830"/>
      <c r="WYQ217" s="830"/>
      <c r="WYR217" s="830"/>
      <c r="WYS217" s="830"/>
      <c r="WYT217" s="830"/>
      <c r="WYU217" s="830"/>
      <c r="WYV217" s="830"/>
      <c r="WYW217" s="830"/>
      <c r="WYX217" s="830"/>
      <c r="WYY217" s="830"/>
      <c r="WYZ217" s="830"/>
      <c r="WZA217" s="830"/>
      <c r="WZB217" s="830"/>
      <c r="WZC217" s="830"/>
      <c r="WZD217" s="830"/>
      <c r="WZE217" s="830"/>
      <c r="WZF217" s="830"/>
      <c r="WZG217" s="830"/>
      <c r="WZH217" s="830"/>
      <c r="WZI217" s="830"/>
      <c r="WZJ217" s="830"/>
      <c r="WZK217" s="830"/>
      <c r="WZL217" s="830"/>
      <c r="WZM217" s="830"/>
      <c r="WZN217" s="830"/>
      <c r="WZO217" s="830"/>
      <c r="WZP217" s="830"/>
      <c r="WZQ217" s="830"/>
      <c r="WZR217" s="830"/>
      <c r="WZS217" s="830"/>
      <c r="WZT217" s="830"/>
      <c r="WZU217" s="830"/>
      <c r="WZV217" s="830"/>
      <c r="WZW217" s="830"/>
      <c r="WZX217" s="830"/>
      <c r="WZY217" s="830"/>
      <c r="WZZ217" s="830"/>
      <c r="XAA217" s="830"/>
      <c r="XAB217" s="830"/>
      <c r="XAC217" s="830"/>
      <c r="XAD217" s="830"/>
      <c r="XAE217" s="830"/>
      <c r="XAF217" s="830"/>
      <c r="XAG217" s="830"/>
      <c r="XAH217" s="830"/>
      <c r="XAI217" s="830"/>
      <c r="XAJ217" s="830"/>
      <c r="XAK217" s="830"/>
      <c r="XAL217" s="830"/>
      <c r="XAM217" s="830"/>
      <c r="XAN217" s="830"/>
      <c r="XAO217" s="830"/>
      <c r="XAP217" s="830"/>
      <c r="XAQ217" s="830"/>
      <c r="XAR217" s="830"/>
      <c r="XAS217" s="830"/>
      <c r="XAT217" s="830"/>
      <c r="XAU217" s="830"/>
      <c r="XAV217" s="830"/>
      <c r="XAW217" s="830"/>
      <c r="XAX217" s="830"/>
      <c r="XAY217" s="830"/>
      <c r="XAZ217" s="830"/>
      <c r="XBA217" s="830"/>
      <c r="XBB217" s="830"/>
      <c r="XBC217" s="830"/>
      <c r="XBD217" s="830"/>
      <c r="XBE217" s="830"/>
      <c r="XBF217" s="830"/>
      <c r="XBG217" s="830"/>
      <c r="XBH217" s="830"/>
      <c r="XBI217" s="830"/>
      <c r="XBJ217" s="830"/>
      <c r="XBK217" s="830"/>
      <c r="XBL217" s="830"/>
      <c r="XBM217" s="830"/>
      <c r="XBN217" s="830"/>
      <c r="XBO217" s="830"/>
      <c r="XBP217" s="830"/>
      <c r="XBQ217" s="830"/>
      <c r="XBR217" s="830"/>
      <c r="XBS217" s="830"/>
      <c r="XBT217" s="830"/>
      <c r="XBU217" s="830"/>
      <c r="XBV217" s="830"/>
      <c r="XBW217" s="830"/>
      <c r="XBX217" s="830"/>
      <c r="XBY217" s="830"/>
      <c r="XBZ217" s="830"/>
      <c r="XCA217" s="830"/>
      <c r="XCB217" s="830"/>
      <c r="XCC217" s="830"/>
      <c r="XCD217" s="830"/>
      <c r="XCE217" s="830"/>
      <c r="XCF217" s="830"/>
      <c r="XCG217" s="830"/>
      <c r="XCH217" s="830"/>
      <c r="XCI217" s="830"/>
      <c r="XCJ217" s="830"/>
      <c r="XCK217" s="830"/>
      <c r="XCL217" s="830"/>
      <c r="XCM217" s="830"/>
      <c r="XCN217" s="830"/>
      <c r="XCO217" s="830"/>
      <c r="XCP217" s="830"/>
      <c r="XCQ217" s="830"/>
      <c r="XCR217" s="830"/>
      <c r="XCS217" s="830"/>
      <c r="XCT217" s="830"/>
      <c r="XCU217" s="830"/>
      <c r="XCV217" s="830"/>
      <c r="XCW217" s="830"/>
      <c r="XCX217" s="830"/>
      <c r="XCY217" s="830"/>
      <c r="XCZ217" s="830"/>
      <c r="XDA217" s="830"/>
      <c r="XDB217" s="830"/>
      <c r="XDC217" s="830"/>
      <c r="XDD217" s="830"/>
      <c r="XDE217" s="830"/>
      <c r="XDF217" s="830"/>
      <c r="XDG217" s="830"/>
      <c r="XDH217" s="830"/>
      <c r="XDI217" s="830"/>
      <c r="XDJ217" s="830"/>
      <c r="XDK217" s="830"/>
      <c r="XDL217" s="830"/>
      <c r="XDM217" s="830"/>
      <c r="XDN217" s="830"/>
      <c r="XDO217" s="830"/>
      <c r="XDP217" s="830"/>
      <c r="XDQ217" s="830"/>
      <c r="XDR217" s="830"/>
      <c r="XDS217" s="830"/>
      <c r="XDT217" s="830"/>
      <c r="XDU217" s="830"/>
      <c r="XDV217" s="830"/>
      <c r="XDW217" s="830"/>
      <c r="XDX217" s="830"/>
      <c r="XDY217" s="830"/>
      <c r="XDZ217" s="830"/>
      <c r="XEA217" s="830"/>
      <c r="XEB217" s="830"/>
      <c r="XEC217" s="830"/>
      <c r="XED217" s="830"/>
      <c r="XEE217" s="830"/>
      <c r="XEF217" s="830"/>
      <c r="XEG217" s="830"/>
      <c r="XEH217" s="830"/>
      <c r="XEI217" s="830"/>
      <c r="XEJ217" s="830"/>
      <c r="XEK217" s="830"/>
      <c r="XEL217" s="830"/>
      <c r="XEM217" s="830"/>
      <c r="XEN217" s="830"/>
      <c r="XEO217" s="830"/>
      <c r="XEP217" s="830"/>
      <c r="XEQ217" s="830"/>
      <c r="XER217" s="830"/>
      <c r="XES217" s="830"/>
      <c r="XET217" s="830"/>
      <c r="XEU217" s="830"/>
      <c r="XEV217" s="830"/>
      <c r="XEW217" s="830"/>
      <c r="XEX217" s="830"/>
      <c r="XEY217" s="830"/>
      <c r="XEZ217" s="830"/>
      <c r="XFA217" s="830"/>
      <c r="XFB217" s="830"/>
      <c r="XFC217" s="830"/>
      <c r="XFD217" s="830"/>
    </row>
    <row r="218" spans="1:14 16149:16384" ht="13.8">
      <c r="A218" t="s">
        <v>1227</v>
      </c>
      <c r="B218" s="816"/>
      <c r="C218" s="748"/>
      <c r="D218" s="827" t="s">
        <v>5154</v>
      </c>
      <c r="E218" s="748"/>
      <c r="F218" s="757"/>
      <c r="G218" s="746"/>
      <c r="H218" s="757"/>
      <c r="I218" s="753"/>
      <c r="J218" s="745"/>
      <c r="M218" s="834"/>
      <c r="N218" s="834"/>
      <c r="WWC218" s="830"/>
      <c r="WWD218" s="830"/>
      <c r="WWE218" s="830"/>
      <c r="WWF218" s="830"/>
      <c r="WWG218" s="830"/>
      <c r="WWH218" s="830"/>
      <c r="WWI218" s="830"/>
      <c r="WWJ218" s="830"/>
      <c r="WWK218" s="830"/>
      <c r="WWL218" s="830"/>
      <c r="WWM218" s="830"/>
      <c r="WWN218" s="830"/>
      <c r="WWO218" s="830"/>
      <c r="WWP218" s="830"/>
      <c r="WWQ218" s="830"/>
      <c r="WWR218" s="830"/>
      <c r="WWS218" s="830"/>
      <c r="WWT218" s="830"/>
      <c r="WWU218" s="830"/>
      <c r="WWV218" s="830"/>
      <c r="WWW218" s="830"/>
      <c r="WWX218" s="830"/>
      <c r="WWY218" s="830"/>
      <c r="WWZ218" s="830"/>
      <c r="WXA218" s="830"/>
      <c r="WXB218" s="830"/>
      <c r="WXC218" s="830"/>
      <c r="WXD218" s="830"/>
      <c r="WXE218" s="830"/>
      <c r="WXF218" s="830"/>
      <c r="WXG218" s="830"/>
      <c r="WXH218" s="830"/>
      <c r="WXI218" s="830"/>
      <c r="WXJ218" s="830"/>
      <c r="WXK218" s="830"/>
      <c r="WXL218" s="830"/>
      <c r="WXM218" s="830"/>
      <c r="WXN218" s="830"/>
      <c r="WXO218" s="830"/>
      <c r="WXP218" s="830"/>
      <c r="WXQ218" s="830"/>
      <c r="WXR218" s="830"/>
      <c r="WXS218" s="830"/>
      <c r="WXT218" s="830"/>
      <c r="WXU218" s="830"/>
      <c r="WXV218" s="830"/>
      <c r="WXW218" s="830"/>
      <c r="WXX218" s="830"/>
      <c r="WXY218" s="830"/>
      <c r="WXZ218" s="830"/>
      <c r="WYA218" s="830"/>
      <c r="WYB218" s="830"/>
      <c r="WYC218" s="830"/>
      <c r="WYD218" s="830"/>
      <c r="WYE218" s="830"/>
      <c r="WYF218" s="830"/>
      <c r="WYG218" s="830"/>
      <c r="WYH218" s="830"/>
      <c r="WYI218" s="830"/>
      <c r="WYJ218" s="830"/>
      <c r="WYK218" s="830"/>
      <c r="WYL218" s="830"/>
      <c r="WYM218" s="830"/>
      <c r="WYN218" s="830"/>
      <c r="WYO218" s="830"/>
      <c r="WYP218" s="830"/>
      <c r="WYQ218" s="830"/>
      <c r="WYR218" s="830"/>
      <c r="WYS218" s="830"/>
      <c r="WYT218" s="830"/>
      <c r="WYU218" s="830"/>
      <c r="WYV218" s="830"/>
      <c r="WYW218" s="830"/>
      <c r="WYX218" s="830"/>
      <c r="WYY218" s="830"/>
      <c r="WYZ218" s="830"/>
      <c r="WZA218" s="830"/>
      <c r="WZB218" s="830"/>
      <c r="WZC218" s="830"/>
      <c r="WZD218" s="830"/>
      <c r="WZE218" s="830"/>
      <c r="WZF218" s="830"/>
      <c r="WZG218" s="830"/>
      <c r="WZH218" s="830"/>
      <c r="WZI218" s="830"/>
      <c r="WZJ218" s="830"/>
      <c r="WZK218" s="830"/>
      <c r="WZL218" s="830"/>
      <c r="WZM218" s="830"/>
      <c r="WZN218" s="830"/>
      <c r="WZO218" s="830"/>
      <c r="WZP218" s="830"/>
      <c r="WZQ218" s="830"/>
      <c r="WZR218" s="830"/>
      <c r="WZS218" s="830"/>
      <c r="WZT218" s="830"/>
      <c r="WZU218" s="830"/>
      <c r="WZV218" s="830"/>
      <c r="WZW218" s="830"/>
      <c r="WZX218" s="830"/>
      <c r="WZY218" s="830"/>
      <c r="WZZ218" s="830"/>
      <c r="XAA218" s="830"/>
      <c r="XAB218" s="830"/>
      <c r="XAC218" s="830"/>
      <c r="XAD218" s="830"/>
      <c r="XAE218" s="830"/>
      <c r="XAF218" s="830"/>
      <c r="XAG218" s="830"/>
      <c r="XAH218" s="830"/>
      <c r="XAI218" s="830"/>
      <c r="XAJ218" s="830"/>
      <c r="XAK218" s="830"/>
      <c r="XAL218" s="830"/>
      <c r="XAM218" s="830"/>
      <c r="XAN218" s="830"/>
      <c r="XAO218" s="830"/>
      <c r="XAP218" s="830"/>
      <c r="XAQ218" s="830"/>
      <c r="XAR218" s="830"/>
      <c r="XAS218" s="830"/>
      <c r="XAT218" s="830"/>
      <c r="XAU218" s="830"/>
      <c r="XAV218" s="830"/>
      <c r="XAW218" s="830"/>
      <c r="XAX218" s="830"/>
      <c r="XAY218" s="830"/>
      <c r="XAZ218" s="830"/>
      <c r="XBA218" s="830"/>
      <c r="XBB218" s="830"/>
      <c r="XBC218" s="830"/>
      <c r="XBD218" s="830"/>
      <c r="XBE218" s="830"/>
      <c r="XBF218" s="830"/>
      <c r="XBG218" s="830"/>
      <c r="XBH218" s="830"/>
      <c r="XBI218" s="830"/>
      <c r="XBJ218" s="830"/>
      <c r="XBK218" s="830"/>
      <c r="XBL218" s="830"/>
      <c r="XBM218" s="830"/>
      <c r="XBN218" s="830"/>
      <c r="XBO218" s="830"/>
      <c r="XBP218" s="830"/>
      <c r="XBQ218" s="830"/>
      <c r="XBR218" s="830"/>
      <c r="XBS218" s="830"/>
      <c r="XBT218" s="830"/>
      <c r="XBU218" s="830"/>
      <c r="XBV218" s="830"/>
      <c r="XBW218" s="830"/>
      <c r="XBX218" s="830"/>
      <c r="XBY218" s="830"/>
      <c r="XBZ218" s="830"/>
      <c r="XCA218" s="830"/>
      <c r="XCB218" s="830"/>
      <c r="XCC218" s="830"/>
      <c r="XCD218" s="830"/>
      <c r="XCE218" s="830"/>
      <c r="XCF218" s="830"/>
      <c r="XCG218" s="830"/>
      <c r="XCH218" s="830"/>
      <c r="XCI218" s="830"/>
      <c r="XCJ218" s="830"/>
      <c r="XCK218" s="830"/>
      <c r="XCL218" s="830"/>
      <c r="XCM218" s="830"/>
      <c r="XCN218" s="830"/>
      <c r="XCO218" s="830"/>
      <c r="XCP218" s="830"/>
      <c r="XCQ218" s="830"/>
      <c r="XCR218" s="830"/>
      <c r="XCS218" s="830"/>
      <c r="XCT218" s="830"/>
      <c r="XCU218" s="830"/>
      <c r="XCV218" s="830"/>
      <c r="XCW218" s="830"/>
      <c r="XCX218" s="830"/>
      <c r="XCY218" s="830"/>
      <c r="XCZ218" s="830"/>
      <c r="XDA218" s="830"/>
      <c r="XDB218" s="830"/>
      <c r="XDC218" s="830"/>
      <c r="XDD218" s="830"/>
      <c r="XDE218" s="830"/>
      <c r="XDF218" s="830"/>
      <c r="XDG218" s="830"/>
      <c r="XDH218" s="830"/>
      <c r="XDI218" s="830"/>
      <c r="XDJ218" s="830"/>
      <c r="XDK218" s="830"/>
      <c r="XDL218" s="830"/>
      <c r="XDM218" s="830"/>
      <c r="XDN218" s="830"/>
      <c r="XDO218" s="830"/>
      <c r="XDP218" s="830"/>
      <c r="XDQ218" s="830"/>
      <c r="XDR218" s="830"/>
      <c r="XDS218" s="830"/>
      <c r="XDT218" s="830"/>
      <c r="XDU218" s="830"/>
      <c r="XDV218" s="830"/>
      <c r="XDW218" s="830"/>
      <c r="XDX218" s="830"/>
      <c r="XDY218" s="830"/>
      <c r="XDZ218" s="830"/>
      <c r="XEA218" s="830"/>
      <c r="XEB218" s="830"/>
      <c r="XEC218" s="830"/>
      <c r="XED218" s="830"/>
      <c r="XEE218" s="830"/>
      <c r="XEF218" s="830"/>
      <c r="XEG218" s="830"/>
      <c r="XEH218" s="830"/>
      <c r="XEI218" s="830"/>
      <c r="XEJ218" s="830"/>
      <c r="XEK218" s="830"/>
      <c r="XEL218" s="830"/>
      <c r="XEM218" s="830"/>
      <c r="XEN218" s="830"/>
      <c r="XEO218" s="830"/>
      <c r="XEP218" s="830"/>
      <c r="XEQ218" s="830"/>
      <c r="XER218" s="830"/>
      <c r="XES218" s="830"/>
      <c r="XET218" s="830"/>
      <c r="XEU218" s="830"/>
      <c r="XEV218" s="830"/>
      <c r="XEW218" s="830"/>
      <c r="XEX218" s="830"/>
      <c r="XEY218" s="830"/>
      <c r="XEZ218" s="830"/>
      <c r="XFA218" s="830"/>
      <c r="XFB218" s="830"/>
      <c r="XFC218" s="830"/>
      <c r="XFD218" s="830"/>
    </row>
    <row r="219" spans="1:14 16149:16384" ht="13.8">
      <c r="B219" s="742" t="s">
        <v>5155</v>
      </c>
      <c r="C219" s="745"/>
      <c r="D219" s="805" t="s">
        <v>5156</v>
      </c>
      <c r="E219" s="824"/>
      <c r="F219" s="825"/>
      <c r="G219" s="746"/>
      <c r="H219" s="752"/>
      <c r="I219" s="753"/>
      <c r="J219" s="745"/>
      <c r="M219" s="756"/>
      <c r="N219" s="756"/>
      <c r="WWC219" s="830"/>
      <c r="WWD219" s="830"/>
      <c r="WWE219" s="830"/>
      <c r="WWF219" s="830"/>
      <c r="WWG219" s="830"/>
      <c r="WWH219" s="830"/>
      <c r="WWI219" s="830"/>
      <c r="WWJ219" s="830"/>
      <c r="WWK219" s="830"/>
      <c r="WWL219" s="830"/>
      <c r="WWM219" s="830"/>
      <c r="WWN219" s="830"/>
      <c r="WWO219" s="830"/>
      <c r="WWP219" s="830"/>
      <c r="WWQ219" s="830"/>
      <c r="WWR219" s="830"/>
      <c r="WWS219" s="830"/>
      <c r="WWT219" s="830"/>
      <c r="WWU219" s="830"/>
      <c r="WWV219" s="830"/>
      <c r="WWW219" s="830"/>
      <c r="WWX219" s="830"/>
      <c r="WWY219" s="830"/>
      <c r="WWZ219" s="830"/>
      <c r="WXA219" s="830"/>
      <c r="WXB219" s="830"/>
      <c r="WXC219" s="830"/>
      <c r="WXD219" s="830"/>
      <c r="WXE219" s="830"/>
      <c r="WXF219" s="830"/>
      <c r="WXG219" s="830"/>
      <c r="WXH219" s="830"/>
      <c r="WXI219" s="830"/>
      <c r="WXJ219" s="830"/>
      <c r="WXK219" s="830"/>
      <c r="WXL219" s="830"/>
      <c r="WXM219" s="830"/>
      <c r="WXN219" s="830"/>
      <c r="WXO219" s="830"/>
      <c r="WXP219" s="830"/>
      <c r="WXQ219" s="830"/>
      <c r="WXR219" s="830"/>
      <c r="WXS219" s="830"/>
      <c r="WXT219" s="830"/>
      <c r="WXU219" s="830"/>
      <c r="WXV219" s="830"/>
      <c r="WXW219" s="830"/>
      <c r="WXX219" s="830"/>
      <c r="WXY219" s="830"/>
      <c r="WXZ219" s="830"/>
      <c r="WYA219" s="830"/>
      <c r="WYB219" s="830"/>
      <c r="WYC219" s="830"/>
      <c r="WYD219" s="830"/>
      <c r="WYE219" s="830"/>
      <c r="WYF219" s="830"/>
      <c r="WYG219" s="830"/>
      <c r="WYH219" s="830"/>
      <c r="WYI219" s="830"/>
      <c r="WYJ219" s="830"/>
      <c r="WYK219" s="830"/>
      <c r="WYL219" s="830"/>
      <c r="WYM219" s="830"/>
      <c r="WYN219" s="830"/>
      <c r="WYO219" s="830"/>
      <c r="WYP219" s="830"/>
      <c r="WYQ219" s="830"/>
      <c r="WYR219" s="830"/>
      <c r="WYS219" s="830"/>
      <c r="WYT219" s="830"/>
      <c r="WYU219" s="830"/>
      <c r="WYV219" s="830"/>
      <c r="WYW219" s="830"/>
      <c r="WYX219" s="830"/>
      <c r="WYY219" s="830"/>
      <c r="WYZ219" s="830"/>
      <c r="WZA219" s="830"/>
      <c r="WZB219" s="830"/>
      <c r="WZC219" s="830"/>
      <c r="WZD219" s="830"/>
      <c r="WZE219" s="830"/>
      <c r="WZF219" s="830"/>
      <c r="WZG219" s="830"/>
      <c r="WZH219" s="830"/>
      <c r="WZI219" s="830"/>
      <c r="WZJ219" s="830"/>
      <c r="WZK219" s="830"/>
      <c r="WZL219" s="830"/>
      <c r="WZM219" s="830"/>
      <c r="WZN219" s="830"/>
      <c r="WZO219" s="830"/>
      <c r="WZP219" s="830"/>
      <c r="WZQ219" s="830"/>
      <c r="WZR219" s="830"/>
      <c r="WZS219" s="830"/>
      <c r="WZT219" s="830"/>
      <c r="WZU219" s="830"/>
      <c r="WZV219" s="830"/>
      <c r="WZW219" s="830"/>
      <c r="WZX219" s="830"/>
      <c r="WZY219" s="830"/>
      <c r="WZZ219" s="830"/>
      <c r="XAA219" s="830"/>
      <c r="XAB219" s="830"/>
      <c r="XAC219" s="830"/>
      <c r="XAD219" s="830"/>
      <c r="XAE219" s="830"/>
      <c r="XAF219" s="830"/>
      <c r="XAG219" s="830"/>
      <c r="XAH219" s="830"/>
      <c r="XAI219" s="830"/>
      <c r="XAJ219" s="830"/>
      <c r="XAK219" s="830"/>
      <c r="XAL219" s="830"/>
      <c r="XAM219" s="830"/>
      <c r="XAN219" s="830"/>
      <c r="XAO219" s="830"/>
      <c r="XAP219" s="830"/>
      <c r="XAQ219" s="830"/>
      <c r="XAR219" s="830"/>
      <c r="XAS219" s="830"/>
      <c r="XAT219" s="830"/>
      <c r="XAU219" s="830"/>
      <c r="XAV219" s="830"/>
      <c r="XAW219" s="830"/>
      <c r="XAX219" s="830"/>
      <c r="XAY219" s="830"/>
      <c r="XAZ219" s="830"/>
      <c r="XBA219" s="830"/>
      <c r="XBB219" s="830"/>
      <c r="XBC219" s="830"/>
      <c r="XBD219" s="830"/>
      <c r="XBE219" s="830"/>
      <c r="XBF219" s="830"/>
      <c r="XBG219" s="830"/>
      <c r="XBH219" s="830"/>
      <c r="XBI219" s="830"/>
      <c r="XBJ219" s="830"/>
      <c r="XBK219" s="830"/>
      <c r="XBL219" s="830"/>
      <c r="XBM219" s="830"/>
      <c r="XBN219" s="830"/>
      <c r="XBO219" s="830"/>
      <c r="XBP219" s="830"/>
      <c r="XBQ219" s="830"/>
      <c r="XBR219" s="830"/>
      <c r="XBS219" s="830"/>
      <c r="XBT219" s="830"/>
      <c r="XBU219" s="830"/>
      <c r="XBV219" s="830"/>
      <c r="XBW219" s="830"/>
      <c r="XBX219" s="830"/>
      <c r="XBY219" s="830"/>
      <c r="XBZ219" s="830"/>
      <c r="XCA219" s="830"/>
      <c r="XCB219" s="830"/>
      <c r="XCC219" s="830"/>
      <c r="XCD219" s="830"/>
      <c r="XCE219" s="830"/>
      <c r="XCF219" s="830"/>
      <c r="XCG219" s="830"/>
      <c r="XCH219" s="830"/>
      <c r="XCI219" s="830"/>
      <c r="XCJ219" s="830"/>
      <c r="XCK219" s="830"/>
      <c r="XCL219" s="830"/>
      <c r="XCM219" s="830"/>
      <c r="XCN219" s="830"/>
      <c r="XCO219" s="830"/>
      <c r="XCP219" s="830"/>
      <c r="XCQ219" s="830"/>
      <c r="XCR219" s="830"/>
      <c r="XCS219" s="830"/>
      <c r="XCT219" s="830"/>
      <c r="XCU219" s="830"/>
      <c r="XCV219" s="830"/>
      <c r="XCW219" s="830"/>
      <c r="XCX219" s="830"/>
      <c r="XCY219" s="830"/>
      <c r="XCZ219" s="830"/>
      <c r="XDA219" s="830"/>
      <c r="XDB219" s="830"/>
      <c r="XDC219" s="830"/>
      <c r="XDD219" s="830"/>
      <c r="XDE219" s="830"/>
      <c r="XDF219" s="830"/>
      <c r="XDG219" s="830"/>
      <c r="XDH219" s="830"/>
      <c r="XDI219" s="830"/>
      <c r="XDJ219" s="830"/>
      <c r="XDK219" s="830"/>
      <c r="XDL219" s="830"/>
      <c r="XDM219" s="830"/>
      <c r="XDN219" s="830"/>
      <c r="XDO219" s="830"/>
      <c r="XDP219" s="830"/>
      <c r="XDQ219" s="830"/>
      <c r="XDR219" s="830"/>
      <c r="XDS219" s="830"/>
      <c r="XDT219" s="830"/>
      <c r="XDU219" s="830"/>
      <c r="XDV219" s="830"/>
      <c r="XDW219" s="830"/>
      <c r="XDX219" s="830"/>
      <c r="XDY219" s="830"/>
      <c r="XDZ219" s="830"/>
      <c r="XEA219" s="830"/>
      <c r="XEB219" s="830"/>
      <c r="XEC219" s="830"/>
      <c r="XED219" s="830"/>
      <c r="XEE219" s="830"/>
      <c r="XEF219" s="830"/>
      <c r="XEG219" s="830"/>
      <c r="XEH219" s="830"/>
      <c r="XEI219" s="830"/>
      <c r="XEJ219" s="830"/>
      <c r="XEK219" s="830"/>
      <c r="XEL219" s="830"/>
      <c r="XEM219" s="830"/>
      <c r="XEN219" s="830"/>
      <c r="XEO219" s="830"/>
      <c r="XEP219" s="830"/>
      <c r="XEQ219" s="830"/>
      <c r="XER219" s="830"/>
      <c r="XES219" s="830"/>
      <c r="XET219" s="830"/>
      <c r="XEU219" s="830"/>
      <c r="XEV219" s="830"/>
      <c r="XEW219" s="830"/>
      <c r="XEX219" s="830"/>
      <c r="XEY219" s="830"/>
      <c r="XEZ219" s="830"/>
      <c r="XFA219" s="830"/>
      <c r="XFB219" s="830"/>
      <c r="XFC219" s="830"/>
      <c r="XFD219" s="830"/>
    </row>
    <row r="220" spans="1:14 16149:16384" ht="40.200000000000003">
      <c r="B220" s="835" t="s">
        <v>5157</v>
      </c>
      <c r="C220" s="836"/>
      <c r="D220" s="837" t="s">
        <v>5158</v>
      </c>
      <c r="E220" s="810"/>
      <c r="F220" s="752"/>
      <c r="G220" s="746"/>
      <c r="H220" s="752"/>
      <c r="I220" s="753"/>
      <c r="J220" s="745"/>
      <c r="M220" s="811"/>
      <c r="N220" s="811"/>
      <c r="WWC220" s="830"/>
      <c r="WWD220" s="830"/>
      <c r="WWE220" s="830"/>
      <c r="WWF220" s="830"/>
      <c r="WWG220" s="830"/>
      <c r="WWH220" s="830"/>
      <c r="WWI220" s="830"/>
      <c r="WWJ220" s="830"/>
      <c r="WWK220" s="830"/>
      <c r="WWL220" s="830"/>
      <c r="WWM220" s="830"/>
      <c r="WWN220" s="830"/>
      <c r="WWO220" s="830"/>
      <c r="WWP220" s="830"/>
      <c r="WWQ220" s="830"/>
      <c r="WWR220" s="830"/>
      <c r="WWS220" s="830"/>
      <c r="WWT220" s="830"/>
      <c r="WWU220" s="830"/>
      <c r="WWV220" s="830"/>
      <c r="WWW220" s="830"/>
      <c r="WWX220" s="830"/>
      <c r="WWY220" s="830"/>
      <c r="WWZ220" s="830"/>
      <c r="WXA220" s="830"/>
      <c r="WXB220" s="830"/>
      <c r="WXC220" s="830"/>
      <c r="WXD220" s="830"/>
      <c r="WXE220" s="830"/>
      <c r="WXF220" s="830"/>
      <c r="WXG220" s="830"/>
      <c r="WXH220" s="830"/>
      <c r="WXI220" s="830"/>
      <c r="WXJ220" s="830"/>
      <c r="WXK220" s="830"/>
      <c r="WXL220" s="830"/>
      <c r="WXM220" s="830"/>
      <c r="WXN220" s="830"/>
      <c r="WXO220" s="830"/>
      <c r="WXP220" s="830"/>
      <c r="WXQ220" s="830"/>
      <c r="WXR220" s="830"/>
      <c r="WXS220" s="830"/>
      <c r="WXT220" s="830"/>
      <c r="WXU220" s="830"/>
      <c r="WXV220" s="830"/>
      <c r="WXW220" s="830"/>
      <c r="WXX220" s="830"/>
      <c r="WXY220" s="830"/>
      <c r="WXZ220" s="830"/>
      <c r="WYA220" s="830"/>
      <c r="WYB220" s="830"/>
      <c r="WYC220" s="830"/>
      <c r="WYD220" s="830"/>
      <c r="WYE220" s="830"/>
      <c r="WYF220" s="830"/>
      <c r="WYG220" s="830"/>
      <c r="WYH220" s="830"/>
      <c r="WYI220" s="830"/>
      <c r="WYJ220" s="830"/>
      <c r="WYK220" s="830"/>
      <c r="WYL220" s="830"/>
      <c r="WYM220" s="830"/>
      <c r="WYN220" s="830"/>
      <c r="WYO220" s="830"/>
      <c r="WYP220" s="830"/>
      <c r="WYQ220" s="830"/>
      <c r="WYR220" s="830"/>
      <c r="WYS220" s="830"/>
      <c r="WYT220" s="830"/>
      <c r="WYU220" s="830"/>
      <c r="WYV220" s="830"/>
      <c r="WYW220" s="830"/>
      <c r="WYX220" s="830"/>
      <c r="WYY220" s="830"/>
      <c r="WYZ220" s="830"/>
      <c r="WZA220" s="830"/>
      <c r="WZB220" s="830"/>
      <c r="WZC220" s="830"/>
      <c r="WZD220" s="830"/>
      <c r="WZE220" s="830"/>
      <c r="WZF220" s="830"/>
      <c r="WZG220" s="830"/>
      <c r="WZH220" s="830"/>
      <c r="WZI220" s="830"/>
      <c r="WZJ220" s="830"/>
      <c r="WZK220" s="830"/>
      <c r="WZL220" s="830"/>
      <c r="WZM220" s="830"/>
      <c r="WZN220" s="830"/>
      <c r="WZO220" s="830"/>
      <c r="WZP220" s="830"/>
      <c r="WZQ220" s="830"/>
      <c r="WZR220" s="830"/>
      <c r="WZS220" s="830"/>
      <c r="WZT220" s="830"/>
      <c r="WZU220" s="830"/>
      <c r="WZV220" s="830"/>
      <c r="WZW220" s="830"/>
      <c r="WZX220" s="830"/>
      <c r="WZY220" s="830"/>
      <c r="WZZ220" s="830"/>
      <c r="XAA220" s="830"/>
      <c r="XAB220" s="830"/>
      <c r="XAC220" s="830"/>
      <c r="XAD220" s="830"/>
      <c r="XAE220" s="830"/>
      <c r="XAF220" s="830"/>
      <c r="XAG220" s="830"/>
      <c r="XAH220" s="830"/>
      <c r="XAI220" s="830"/>
      <c r="XAJ220" s="830"/>
      <c r="XAK220" s="830"/>
      <c r="XAL220" s="830"/>
      <c r="XAM220" s="830"/>
      <c r="XAN220" s="830"/>
      <c r="XAO220" s="830"/>
      <c r="XAP220" s="830"/>
      <c r="XAQ220" s="830"/>
      <c r="XAR220" s="830"/>
      <c r="XAS220" s="830"/>
      <c r="XAT220" s="830"/>
      <c r="XAU220" s="830"/>
      <c r="XAV220" s="830"/>
      <c r="XAW220" s="830"/>
      <c r="XAX220" s="830"/>
      <c r="XAY220" s="830"/>
      <c r="XAZ220" s="830"/>
      <c r="XBA220" s="830"/>
      <c r="XBB220" s="830"/>
      <c r="XBC220" s="830"/>
      <c r="XBD220" s="830"/>
      <c r="XBE220" s="830"/>
      <c r="XBF220" s="830"/>
      <c r="XBG220" s="830"/>
      <c r="XBH220" s="830"/>
      <c r="XBI220" s="830"/>
      <c r="XBJ220" s="830"/>
      <c r="XBK220" s="830"/>
      <c r="XBL220" s="830"/>
      <c r="XBM220" s="830"/>
      <c r="XBN220" s="830"/>
      <c r="XBO220" s="830"/>
      <c r="XBP220" s="830"/>
      <c r="XBQ220" s="830"/>
      <c r="XBR220" s="830"/>
      <c r="XBS220" s="830"/>
      <c r="XBT220" s="830"/>
      <c r="XBU220" s="830"/>
      <c r="XBV220" s="830"/>
      <c r="XBW220" s="830"/>
      <c r="XBX220" s="830"/>
      <c r="XBY220" s="830"/>
      <c r="XBZ220" s="830"/>
      <c r="XCA220" s="830"/>
      <c r="XCB220" s="830"/>
      <c r="XCC220" s="830"/>
      <c r="XCD220" s="830"/>
      <c r="XCE220" s="830"/>
      <c r="XCF220" s="830"/>
      <c r="XCG220" s="830"/>
      <c r="XCH220" s="830"/>
      <c r="XCI220" s="830"/>
      <c r="XCJ220" s="830"/>
      <c r="XCK220" s="830"/>
      <c r="XCL220" s="830"/>
      <c r="XCM220" s="830"/>
      <c r="XCN220" s="830"/>
      <c r="XCO220" s="830"/>
      <c r="XCP220" s="830"/>
      <c r="XCQ220" s="830"/>
      <c r="XCR220" s="830"/>
      <c r="XCS220" s="830"/>
      <c r="XCT220" s="830"/>
      <c r="XCU220" s="830"/>
      <c r="XCV220" s="830"/>
      <c r="XCW220" s="830"/>
      <c r="XCX220" s="830"/>
      <c r="XCY220" s="830"/>
      <c r="XCZ220" s="830"/>
      <c r="XDA220" s="830"/>
      <c r="XDB220" s="830"/>
      <c r="XDC220" s="830"/>
      <c r="XDD220" s="830"/>
      <c r="XDE220" s="830"/>
      <c r="XDF220" s="830"/>
      <c r="XDG220" s="830"/>
      <c r="XDH220" s="830"/>
      <c r="XDI220" s="830"/>
      <c r="XDJ220" s="830"/>
      <c r="XDK220" s="830"/>
      <c r="XDL220" s="830"/>
      <c r="XDM220" s="830"/>
      <c r="XDN220" s="830"/>
      <c r="XDO220" s="830"/>
      <c r="XDP220" s="830"/>
      <c r="XDQ220" s="830"/>
      <c r="XDR220" s="830"/>
      <c r="XDS220" s="830"/>
      <c r="XDT220" s="830"/>
      <c r="XDU220" s="830"/>
      <c r="XDV220" s="830"/>
      <c r="XDW220" s="830"/>
      <c r="XDX220" s="830"/>
      <c r="XDY220" s="830"/>
      <c r="XDZ220" s="830"/>
      <c r="XEA220" s="830"/>
      <c r="XEB220" s="830"/>
      <c r="XEC220" s="830"/>
      <c r="XED220" s="830"/>
      <c r="XEE220" s="830"/>
      <c r="XEF220" s="830"/>
      <c r="XEG220" s="830"/>
      <c r="XEH220" s="830"/>
      <c r="XEI220" s="830"/>
      <c r="XEJ220" s="830"/>
      <c r="XEK220" s="830"/>
      <c r="XEL220" s="830"/>
      <c r="XEM220" s="830"/>
      <c r="XEN220" s="830"/>
      <c r="XEO220" s="830"/>
      <c r="XEP220" s="830"/>
      <c r="XEQ220" s="830"/>
      <c r="XER220" s="830"/>
      <c r="XES220" s="830"/>
      <c r="XET220" s="830"/>
      <c r="XEU220" s="830"/>
      <c r="XEV220" s="830"/>
      <c r="XEW220" s="830"/>
      <c r="XEX220" s="830"/>
      <c r="XEY220" s="830"/>
      <c r="XEZ220" s="830"/>
      <c r="XFA220" s="830"/>
      <c r="XFB220" s="830"/>
      <c r="XFC220" s="830"/>
      <c r="XFD220" s="830"/>
    </row>
    <row r="221" spans="1:14 16149:16384" ht="13.8">
      <c r="A221" t="s">
        <v>1227</v>
      </c>
      <c r="B221" s="807"/>
      <c r="C221" s="808"/>
      <c r="D221" s="807" t="s">
        <v>5106</v>
      </c>
      <c r="E221" s="808" t="s">
        <v>1450</v>
      </c>
      <c r="F221" s="813">
        <v>73</v>
      </c>
      <c r="G221" s="746"/>
      <c r="H221" s="752">
        <v>0</v>
      </c>
      <c r="I221" s="753" t="s">
        <v>4908</v>
      </c>
      <c r="J221" s="745" t="s">
        <v>5159</v>
      </c>
      <c r="M221" s="814">
        <v>30.89</v>
      </c>
      <c r="N221" s="814"/>
      <c r="WWC221" s="830"/>
      <c r="WWD221" s="830"/>
      <c r="WWE221" s="830"/>
      <c r="WWF221" s="830"/>
      <c r="WWG221" s="830"/>
      <c r="WWH221" s="830"/>
      <c r="WWI221" s="830"/>
      <c r="WWJ221" s="830"/>
      <c r="WWK221" s="830"/>
      <c r="WWL221" s="830"/>
      <c r="WWM221" s="830"/>
      <c r="WWN221" s="830"/>
      <c r="WWO221" s="830"/>
      <c r="WWP221" s="830"/>
      <c r="WWQ221" s="830"/>
      <c r="WWR221" s="830"/>
      <c r="WWS221" s="830"/>
      <c r="WWT221" s="830"/>
      <c r="WWU221" s="830"/>
      <c r="WWV221" s="830"/>
      <c r="WWW221" s="830"/>
      <c r="WWX221" s="830"/>
      <c r="WWY221" s="830"/>
      <c r="WWZ221" s="830"/>
      <c r="WXA221" s="830"/>
      <c r="WXB221" s="830"/>
      <c r="WXC221" s="830"/>
      <c r="WXD221" s="830"/>
      <c r="WXE221" s="830"/>
      <c r="WXF221" s="830"/>
      <c r="WXG221" s="830"/>
      <c r="WXH221" s="830"/>
      <c r="WXI221" s="830"/>
      <c r="WXJ221" s="830"/>
      <c r="WXK221" s="830"/>
      <c r="WXL221" s="830"/>
      <c r="WXM221" s="830"/>
      <c r="WXN221" s="830"/>
      <c r="WXO221" s="830"/>
      <c r="WXP221" s="830"/>
      <c r="WXQ221" s="830"/>
      <c r="WXR221" s="830"/>
      <c r="WXS221" s="830"/>
      <c r="WXT221" s="830"/>
      <c r="WXU221" s="830"/>
      <c r="WXV221" s="830"/>
      <c r="WXW221" s="830"/>
      <c r="WXX221" s="830"/>
      <c r="WXY221" s="830"/>
      <c r="WXZ221" s="830"/>
      <c r="WYA221" s="830"/>
      <c r="WYB221" s="830"/>
      <c r="WYC221" s="830"/>
      <c r="WYD221" s="830"/>
      <c r="WYE221" s="830"/>
      <c r="WYF221" s="830"/>
      <c r="WYG221" s="830"/>
      <c r="WYH221" s="830"/>
      <c r="WYI221" s="830"/>
      <c r="WYJ221" s="830"/>
      <c r="WYK221" s="830"/>
      <c r="WYL221" s="830"/>
      <c r="WYM221" s="830"/>
      <c r="WYN221" s="830"/>
      <c r="WYO221" s="830"/>
      <c r="WYP221" s="830"/>
      <c r="WYQ221" s="830"/>
      <c r="WYR221" s="830"/>
      <c r="WYS221" s="830"/>
      <c r="WYT221" s="830"/>
      <c r="WYU221" s="830"/>
      <c r="WYV221" s="830"/>
      <c r="WYW221" s="830"/>
      <c r="WYX221" s="830"/>
      <c r="WYY221" s="830"/>
      <c r="WYZ221" s="830"/>
      <c r="WZA221" s="830"/>
      <c r="WZB221" s="830"/>
      <c r="WZC221" s="830"/>
      <c r="WZD221" s="830"/>
      <c r="WZE221" s="830"/>
      <c r="WZF221" s="830"/>
      <c r="WZG221" s="830"/>
      <c r="WZH221" s="830"/>
      <c r="WZI221" s="830"/>
      <c r="WZJ221" s="830"/>
      <c r="WZK221" s="830"/>
      <c r="WZL221" s="830"/>
      <c r="WZM221" s="830"/>
      <c r="WZN221" s="830"/>
      <c r="WZO221" s="830"/>
      <c r="WZP221" s="830"/>
      <c r="WZQ221" s="830"/>
      <c r="WZR221" s="830"/>
      <c r="WZS221" s="830"/>
      <c r="WZT221" s="830"/>
      <c r="WZU221" s="830"/>
      <c r="WZV221" s="830"/>
      <c r="WZW221" s="830"/>
      <c r="WZX221" s="830"/>
      <c r="WZY221" s="830"/>
      <c r="WZZ221" s="830"/>
      <c r="XAA221" s="830"/>
      <c r="XAB221" s="830"/>
      <c r="XAC221" s="830"/>
      <c r="XAD221" s="830"/>
      <c r="XAE221" s="830"/>
      <c r="XAF221" s="830"/>
      <c r="XAG221" s="830"/>
      <c r="XAH221" s="830"/>
      <c r="XAI221" s="830"/>
      <c r="XAJ221" s="830"/>
      <c r="XAK221" s="830"/>
      <c r="XAL221" s="830"/>
      <c r="XAM221" s="830"/>
      <c r="XAN221" s="830"/>
      <c r="XAO221" s="830"/>
      <c r="XAP221" s="830"/>
      <c r="XAQ221" s="830"/>
      <c r="XAR221" s="830"/>
      <c r="XAS221" s="830"/>
      <c r="XAT221" s="830"/>
      <c r="XAU221" s="830"/>
      <c r="XAV221" s="830"/>
      <c r="XAW221" s="830"/>
      <c r="XAX221" s="830"/>
      <c r="XAY221" s="830"/>
      <c r="XAZ221" s="830"/>
      <c r="XBA221" s="830"/>
      <c r="XBB221" s="830"/>
      <c r="XBC221" s="830"/>
      <c r="XBD221" s="830"/>
      <c r="XBE221" s="830"/>
      <c r="XBF221" s="830"/>
      <c r="XBG221" s="830"/>
      <c r="XBH221" s="830"/>
      <c r="XBI221" s="830"/>
      <c r="XBJ221" s="830"/>
      <c r="XBK221" s="830"/>
      <c r="XBL221" s="830"/>
      <c r="XBM221" s="830"/>
      <c r="XBN221" s="830"/>
      <c r="XBO221" s="830"/>
      <c r="XBP221" s="830"/>
      <c r="XBQ221" s="830"/>
      <c r="XBR221" s="830"/>
      <c r="XBS221" s="830"/>
      <c r="XBT221" s="830"/>
      <c r="XBU221" s="830"/>
      <c r="XBV221" s="830"/>
      <c r="XBW221" s="830"/>
      <c r="XBX221" s="830"/>
      <c r="XBY221" s="830"/>
      <c r="XBZ221" s="830"/>
      <c r="XCA221" s="830"/>
      <c r="XCB221" s="830"/>
      <c r="XCC221" s="830"/>
      <c r="XCD221" s="830"/>
      <c r="XCE221" s="830"/>
      <c r="XCF221" s="830"/>
      <c r="XCG221" s="830"/>
      <c r="XCH221" s="830"/>
      <c r="XCI221" s="830"/>
      <c r="XCJ221" s="830"/>
      <c r="XCK221" s="830"/>
      <c r="XCL221" s="830"/>
      <c r="XCM221" s="830"/>
      <c r="XCN221" s="830"/>
      <c r="XCO221" s="830"/>
      <c r="XCP221" s="830"/>
      <c r="XCQ221" s="830"/>
      <c r="XCR221" s="830"/>
      <c r="XCS221" s="830"/>
      <c r="XCT221" s="830"/>
      <c r="XCU221" s="830"/>
      <c r="XCV221" s="830"/>
      <c r="XCW221" s="830"/>
      <c r="XCX221" s="830"/>
      <c r="XCY221" s="830"/>
      <c r="XCZ221" s="830"/>
      <c r="XDA221" s="830"/>
      <c r="XDB221" s="830"/>
      <c r="XDC221" s="830"/>
      <c r="XDD221" s="830"/>
      <c r="XDE221" s="830"/>
      <c r="XDF221" s="830"/>
      <c r="XDG221" s="830"/>
      <c r="XDH221" s="830"/>
      <c r="XDI221" s="830"/>
      <c r="XDJ221" s="830"/>
      <c r="XDK221" s="830"/>
      <c r="XDL221" s="830"/>
      <c r="XDM221" s="830"/>
      <c r="XDN221" s="830"/>
      <c r="XDO221" s="830"/>
      <c r="XDP221" s="830"/>
      <c r="XDQ221" s="830"/>
      <c r="XDR221" s="830"/>
      <c r="XDS221" s="830"/>
      <c r="XDT221" s="830"/>
      <c r="XDU221" s="830"/>
      <c r="XDV221" s="830"/>
      <c r="XDW221" s="830"/>
      <c r="XDX221" s="830"/>
      <c r="XDY221" s="830"/>
      <c r="XDZ221" s="830"/>
      <c r="XEA221" s="830"/>
      <c r="XEB221" s="830"/>
      <c r="XEC221" s="830"/>
      <c r="XED221" s="830"/>
      <c r="XEE221" s="830"/>
      <c r="XEF221" s="830"/>
      <c r="XEG221" s="830"/>
      <c r="XEH221" s="830"/>
      <c r="XEI221" s="830"/>
      <c r="XEJ221" s="830"/>
      <c r="XEK221" s="830"/>
      <c r="XEL221" s="830"/>
      <c r="XEM221" s="830"/>
      <c r="XEN221" s="830"/>
      <c r="XEO221" s="830"/>
      <c r="XEP221" s="830"/>
      <c r="XEQ221" s="830"/>
      <c r="XER221" s="830"/>
      <c r="XES221" s="830"/>
      <c r="XET221" s="830"/>
      <c r="XEU221" s="830"/>
      <c r="XEV221" s="830"/>
      <c r="XEW221" s="830"/>
      <c r="XEX221" s="830"/>
      <c r="XEY221" s="830"/>
      <c r="XEZ221" s="830"/>
      <c r="XFA221" s="830"/>
      <c r="XFB221" s="830"/>
      <c r="XFC221" s="830"/>
      <c r="XFD221" s="830"/>
    </row>
    <row r="222" spans="1:14 16149:16384" ht="13.8">
      <c r="A222" t="s">
        <v>1227</v>
      </c>
      <c r="B222" s="807"/>
      <c r="C222" s="808"/>
      <c r="D222" s="807" t="s">
        <v>5160</v>
      </c>
      <c r="E222" s="808" t="s">
        <v>1450</v>
      </c>
      <c r="F222" s="813">
        <v>26</v>
      </c>
      <c r="G222" s="746"/>
      <c r="H222" s="752">
        <v>0</v>
      </c>
      <c r="I222" s="753" t="s">
        <v>4908</v>
      </c>
      <c r="J222" s="745" t="s">
        <v>5161</v>
      </c>
      <c r="M222" s="814">
        <v>32.93</v>
      </c>
      <c r="N222" s="814"/>
      <c r="WWC222" s="830"/>
      <c r="WWD222" s="830"/>
      <c r="WWE222" s="830"/>
      <c r="WWF222" s="830"/>
      <c r="WWG222" s="830"/>
      <c r="WWH222" s="830"/>
      <c r="WWI222" s="830"/>
      <c r="WWJ222" s="830"/>
      <c r="WWK222" s="830"/>
      <c r="WWL222" s="830"/>
      <c r="WWM222" s="830"/>
      <c r="WWN222" s="830"/>
      <c r="WWO222" s="830"/>
      <c r="WWP222" s="830"/>
      <c r="WWQ222" s="830"/>
      <c r="WWR222" s="830"/>
      <c r="WWS222" s="830"/>
      <c r="WWT222" s="830"/>
      <c r="WWU222" s="830"/>
      <c r="WWV222" s="830"/>
      <c r="WWW222" s="830"/>
      <c r="WWX222" s="830"/>
      <c r="WWY222" s="830"/>
      <c r="WWZ222" s="830"/>
      <c r="WXA222" s="830"/>
      <c r="WXB222" s="830"/>
      <c r="WXC222" s="830"/>
      <c r="WXD222" s="830"/>
      <c r="WXE222" s="830"/>
      <c r="WXF222" s="830"/>
      <c r="WXG222" s="830"/>
      <c r="WXH222" s="830"/>
      <c r="WXI222" s="830"/>
      <c r="WXJ222" s="830"/>
      <c r="WXK222" s="830"/>
      <c r="WXL222" s="830"/>
      <c r="WXM222" s="830"/>
      <c r="WXN222" s="830"/>
      <c r="WXO222" s="830"/>
      <c r="WXP222" s="830"/>
      <c r="WXQ222" s="830"/>
      <c r="WXR222" s="830"/>
      <c r="WXS222" s="830"/>
      <c r="WXT222" s="830"/>
      <c r="WXU222" s="830"/>
      <c r="WXV222" s="830"/>
      <c r="WXW222" s="830"/>
      <c r="WXX222" s="830"/>
      <c r="WXY222" s="830"/>
      <c r="WXZ222" s="830"/>
      <c r="WYA222" s="830"/>
      <c r="WYB222" s="830"/>
      <c r="WYC222" s="830"/>
      <c r="WYD222" s="830"/>
      <c r="WYE222" s="830"/>
      <c r="WYF222" s="830"/>
      <c r="WYG222" s="830"/>
      <c r="WYH222" s="830"/>
      <c r="WYI222" s="830"/>
      <c r="WYJ222" s="830"/>
      <c r="WYK222" s="830"/>
      <c r="WYL222" s="830"/>
      <c r="WYM222" s="830"/>
      <c r="WYN222" s="830"/>
      <c r="WYO222" s="830"/>
      <c r="WYP222" s="830"/>
      <c r="WYQ222" s="830"/>
      <c r="WYR222" s="830"/>
      <c r="WYS222" s="830"/>
      <c r="WYT222" s="830"/>
      <c r="WYU222" s="830"/>
      <c r="WYV222" s="830"/>
      <c r="WYW222" s="830"/>
      <c r="WYX222" s="830"/>
      <c r="WYY222" s="830"/>
      <c r="WYZ222" s="830"/>
      <c r="WZA222" s="830"/>
      <c r="WZB222" s="830"/>
      <c r="WZC222" s="830"/>
      <c r="WZD222" s="830"/>
      <c r="WZE222" s="830"/>
      <c r="WZF222" s="830"/>
      <c r="WZG222" s="830"/>
      <c r="WZH222" s="830"/>
      <c r="WZI222" s="830"/>
      <c r="WZJ222" s="830"/>
      <c r="WZK222" s="830"/>
      <c r="WZL222" s="830"/>
      <c r="WZM222" s="830"/>
      <c r="WZN222" s="830"/>
      <c r="WZO222" s="830"/>
      <c r="WZP222" s="830"/>
      <c r="WZQ222" s="830"/>
      <c r="WZR222" s="830"/>
      <c r="WZS222" s="830"/>
      <c r="WZT222" s="830"/>
      <c r="WZU222" s="830"/>
      <c r="WZV222" s="830"/>
      <c r="WZW222" s="830"/>
      <c r="WZX222" s="830"/>
      <c r="WZY222" s="830"/>
      <c r="WZZ222" s="830"/>
      <c r="XAA222" s="830"/>
      <c r="XAB222" s="830"/>
      <c r="XAC222" s="830"/>
      <c r="XAD222" s="830"/>
      <c r="XAE222" s="830"/>
      <c r="XAF222" s="830"/>
      <c r="XAG222" s="830"/>
      <c r="XAH222" s="830"/>
      <c r="XAI222" s="830"/>
      <c r="XAJ222" s="830"/>
      <c r="XAK222" s="830"/>
      <c r="XAL222" s="830"/>
      <c r="XAM222" s="830"/>
      <c r="XAN222" s="830"/>
      <c r="XAO222" s="830"/>
      <c r="XAP222" s="830"/>
      <c r="XAQ222" s="830"/>
      <c r="XAR222" s="830"/>
      <c r="XAS222" s="830"/>
      <c r="XAT222" s="830"/>
      <c r="XAU222" s="830"/>
      <c r="XAV222" s="830"/>
      <c r="XAW222" s="830"/>
      <c r="XAX222" s="830"/>
      <c r="XAY222" s="830"/>
      <c r="XAZ222" s="830"/>
      <c r="XBA222" s="830"/>
      <c r="XBB222" s="830"/>
      <c r="XBC222" s="830"/>
      <c r="XBD222" s="830"/>
      <c r="XBE222" s="830"/>
      <c r="XBF222" s="830"/>
      <c r="XBG222" s="830"/>
      <c r="XBH222" s="830"/>
      <c r="XBI222" s="830"/>
      <c r="XBJ222" s="830"/>
      <c r="XBK222" s="830"/>
      <c r="XBL222" s="830"/>
      <c r="XBM222" s="830"/>
      <c r="XBN222" s="830"/>
      <c r="XBO222" s="830"/>
      <c r="XBP222" s="830"/>
      <c r="XBQ222" s="830"/>
      <c r="XBR222" s="830"/>
      <c r="XBS222" s="830"/>
      <c r="XBT222" s="830"/>
      <c r="XBU222" s="830"/>
      <c r="XBV222" s="830"/>
      <c r="XBW222" s="830"/>
      <c r="XBX222" s="830"/>
      <c r="XBY222" s="830"/>
      <c r="XBZ222" s="830"/>
      <c r="XCA222" s="830"/>
      <c r="XCB222" s="830"/>
      <c r="XCC222" s="830"/>
      <c r="XCD222" s="830"/>
      <c r="XCE222" s="830"/>
      <c r="XCF222" s="830"/>
      <c r="XCG222" s="830"/>
      <c r="XCH222" s="830"/>
      <c r="XCI222" s="830"/>
      <c r="XCJ222" s="830"/>
      <c r="XCK222" s="830"/>
      <c r="XCL222" s="830"/>
      <c r="XCM222" s="830"/>
      <c r="XCN222" s="830"/>
      <c r="XCO222" s="830"/>
      <c r="XCP222" s="830"/>
      <c r="XCQ222" s="830"/>
      <c r="XCR222" s="830"/>
      <c r="XCS222" s="830"/>
      <c r="XCT222" s="830"/>
      <c r="XCU222" s="830"/>
      <c r="XCV222" s="830"/>
      <c r="XCW222" s="830"/>
      <c r="XCX222" s="830"/>
      <c r="XCY222" s="830"/>
      <c r="XCZ222" s="830"/>
      <c r="XDA222" s="830"/>
      <c r="XDB222" s="830"/>
      <c r="XDC222" s="830"/>
      <c r="XDD222" s="830"/>
      <c r="XDE222" s="830"/>
      <c r="XDF222" s="830"/>
      <c r="XDG222" s="830"/>
      <c r="XDH222" s="830"/>
      <c r="XDI222" s="830"/>
      <c r="XDJ222" s="830"/>
      <c r="XDK222" s="830"/>
      <c r="XDL222" s="830"/>
      <c r="XDM222" s="830"/>
      <c r="XDN222" s="830"/>
      <c r="XDO222" s="830"/>
      <c r="XDP222" s="830"/>
      <c r="XDQ222" s="830"/>
      <c r="XDR222" s="830"/>
      <c r="XDS222" s="830"/>
      <c r="XDT222" s="830"/>
      <c r="XDU222" s="830"/>
      <c r="XDV222" s="830"/>
      <c r="XDW222" s="830"/>
      <c r="XDX222" s="830"/>
      <c r="XDY222" s="830"/>
      <c r="XDZ222" s="830"/>
      <c r="XEA222" s="830"/>
      <c r="XEB222" s="830"/>
      <c r="XEC222" s="830"/>
      <c r="XED222" s="830"/>
      <c r="XEE222" s="830"/>
      <c r="XEF222" s="830"/>
      <c r="XEG222" s="830"/>
      <c r="XEH222" s="830"/>
      <c r="XEI222" s="830"/>
      <c r="XEJ222" s="830"/>
      <c r="XEK222" s="830"/>
      <c r="XEL222" s="830"/>
      <c r="XEM222" s="830"/>
      <c r="XEN222" s="830"/>
      <c r="XEO222" s="830"/>
      <c r="XEP222" s="830"/>
      <c r="XEQ222" s="830"/>
      <c r="XER222" s="830"/>
      <c r="XES222" s="830"/>
      <c r="XET222" s="830"/>
      <c r="XEU222" s="830"/>
      <c r="XEV222" s="830"/>
      <c r="XEW222" s="830"/>
      <c r="XEX222" s="830"/>
      <c r="XEY222" s="830"/>
      <c r="XEZ222" s="830"/>
      <c r="XFA222" s="830"/>
      <c r="XFB222" s="830"/>
      <c r="XFC222" s="830"/>
      <c r="XFD222" s="830"/>
    </row>
    <row r="223" spans="1:14 16149:16384" ht="13.8">
      <c r="A223" t="s">
        <v>1227</v>
      </c>
      <c r="B223" s="807"/>
      <c r="C223" s="808"/>
      <c r="D223" s="807" t="s">
        <v>5162</v>
      </c>
      <c r="E223" s="808" t="s">
        <v>1450</v>
      </c>
      <c r="F223" s="813">
        <v>63</v>
      </c>
      <c r="G223" s="746"/>
      <c r="H223" s="752">
        <v>0</v>
      </c>
      <c r="I223" s="753" t="s">
        <v>4908</v>
      </c>
      <c r="J223" s="745" t="s">
        <v>5163</v>
      </c>
      <c r="M223" s="814">
        <v>45.48</v>
      </c>
      <c r="N223" s="814"/>
      <c r="WWC223" s="830"/>
      <c r="WWD223" s="830"/>
      <c r="WWE223" s="830"/>
      <c r="WWF223" s="830"/>
      <c r="WWG223" s="830"/>
      <c r="WWH223" s="830"/>
      <c r="WWI223" s="830"/>
      <c r="WWJ223" s="830"/>
      <c r="WWK223" s="830"/>
      <c r="WWL223" s="830"/>
      <c r="WWM223" s="830"/>
      <c r="WWN223" s="830"/>
      <c r="WWO223" s="830"/>
      <c r="WWP223" s="830"/>
      <c r="WWQ223" s="830"/>
      <c r="WWR223" s="830"/>
      <c r="WWS223" s="830"/>
      <c r="WWT223" s="830"/>
      <c r="WWU223" s="830"/>
      <c r="WWV223" s="830"/>
      <c r="WWW223" s="830"/>
      <c r="WWX223" s="830"/>
      <c r="WWY223" s="830"/>
      <c r="WWZ223" s="830"/>
      <c r="WXA223" s="830"/>
      <c r="WXB223" s="830"/>
      <c r="WXC223" s="830"/>
      <c r="WXD223" s="830"/>
      <c r="WXE223" s="830"/>
      <c r="WXF223" s="830"/>
      <c r="WXG223" s="830"/>
      <c r="WXH223" s="830"/>
      <c r="WXI223" s="830"/>
      <c r="WXJ223" s="830"/>
      <c r="WXK223" s="830"/>
      <c r="WXL223" s="830"/>
      <c r="WXM223" s="830"/>
      <c r="WXN223" s="830"/>
      <c r="WXO223" s="830"/>
      <c r="WXP223" s="830"/>
      <c r="WXQ223" s="830"/>
      <c r="WXR223" s="830"/>
      <c r="WXS223" s="830"/>
      <c r="WXT223" s="830"/>
      <c r="WXU223" s="830"/>
      <c r="WXV223" s="830"/>
      <c r="WXW223" s="830"/>
      <c r="WXX223" s="830"/>
      <c r="WXY223" s="830"/>
      <c r="WXZ223" s="830"/>
      <c r="WYA223" s="830"/>
      <c r="WYB223" s="830"/>
      <c r="WYC223" s="830"/>
      <c r="WYD223" s="830"/>
      <c r="WYE223" s="830"/>
      <c r="WYF223" s="830"/>
      <c r="WYG223" s="830"/>
      <c r="WYH223" s="830"/>
      <c r="WYI223" s="830"/>
      <c r="WYJ223" s="830"/>
      <c r="WYK223" s="830"/>
      <c r="WYL223" s="830"/>
      <c r="WYM223" s="830"/>
      <c r="WYN223" s="830"/>
      <c r="WYO223" s="830"/>
      <c r="WYP223" s="830"/>
      <c r="WYQ223" s="830"/>
      <c r="WYR223" s="830"/>
      <c r="WYS223" s="830"/>
      <c r="WYT223" s="830"/>
      <c r="WYU223" s="830"/>
      <c r="WYV223" s="830"/>
      <c r="WYW223" s="830"/>
      <c r="WYX223" s="830"/>
      <c r="WYY223" s="830"/>
      <c r="WYZ223" s="830"/>
      <c r="WZA223" s="830"/>
      <c r="WZB223" s="830"/>
      <c r="WZC223" s="830"/>
      <c r="WZD223" s="830"/>
      <c r="WZE223" s="830"/>
      <c r="WZF223" s="830"/>
      <c r="WZG223" s="830"/>
      <c r="WZH223" s="830"/>
      <c r="WZI223" s="830"/>
      <c r="WZJ223" s="830"/>
      <c r="WZK223" s="830"/>
      <c r="WZL223" s="830"/>
      <c r="WZM223" s="830"/>
      <c r="WZN223" s="830"/>
      <c r="WZO223" s="830"/>
      <c r="WZP223" s="830"/>
      <c r="WZQ223" s="830"/>
      <c r="WZR223" s="830"/>
      <c r="WZS223" s="830"/>
      <c r="WZT223" s="830"/>
      <c r="WZU223" s="830"/>
      <c r="WZV223" s="830"/>
      <c r="WZW223" s="830"/>
      <c r="WZX223" s="830"/>
      <c r="WZY223" s="830"/>
      <c r="WZZ223" s="830"/>
      <c r="XAA223" s="830"/>
      <c r="XAB223" s="830"/>
      <c r="XAC223" s="830"/>
      <c r="XAD223" s="830"/>
      <c r="XAE223" s="830"/>
      <c r="XAF223" s="830"/>
      <c r="XAG223" s="830"/>
      <c r="XAH223" s="830"/>
      <c r="XAI223" s="830"/>
      <c r="XAJ223" s="830"/>
      <c r="XAK223" s="830"/>
      <c r="XAL223" s="830"/>
      <c r="XAM223" s="830"/>
      <c r="XAN223" s="830"/>
      <c r="XAO223" s="830"/>
      <c r="XAP223" s="830"/>
      <c r="XAQ223" s="830"/>
      <c r="XAR223" s="830"/>
      <c r="XAS223" s="830"/>
      <c r="XAT223" s="830"/>
      <c r="XAU223" s="830"/>
      <c r="XAV223" s="830"/>
      <c r="XAW223" s="830"/>
      <c r="XAX223" s="830"/>
      <c r="XAY223" s="830"/>
      <c r="XAZ223" s="830"/>
      <c r="XBA223" s="830"/>
      <c r="XBB223" s="830"/>
      <c r="XBC223" s="830"/>
      <c r="XBD223" s="830"/>
      <c r="XBE223" s="830"/>
      <c r="XBF223" s="830"/>
      <c r="XBG223" s="830"/>
      <c r="XBH223" s="830"/>
      <c r="XBI223" s="830"/>
      <c r="XBJ223" s="830"/>
      <c r="XBK223" s="830"/>
      <c r="XBL223" s="830"/>
      <c r="XBM223" s="830"/>
      <c r="XBN223" s="830"/>
      <c r="XBO223" s="830"/>
      <c r="XBP223" s="830"/>
      <c r="XBQ223" s="830"/>
      <c r="XBR223" s="830"/>
      <c r="XBS223" s="830"/>
      <c r="XBT223" s="830"/>
      <c r="XBU223" s="830"/>
      <c r="XBV223" s="830"/>
      <c r="XBW223" s="830"/>
      <c r="XBX223" s="830"/>
      <c r="XBY223" s="830"/>
      <c r="XBZ223" s="830"/>
      <c r="XCA223" s="830"/>
      <c r="XCB223" s="830"/>
      <c r="XCC223" s="830"/>
      <c r="XCD223" s="830"/>
      <c r="XCE223" s="830"/>
      <c r="XCF223" s="830"/>
      <c r="XCG223" s="830"/>
      <c r="XCH223" s="830"/>
      <c r="XCI223" s="830"/>
      <c r="XCJ223" s="830"/>
      <c r="XCK223" s="830"/>
      <c r="XCL223" s="830"/>
      <c r="XCM223" s="830"/>
      <c r="XCN223" s="830"/>
      <c r="XCO223" s="830"/>
      <c r="XCP223" s="830"/>
      <c r="XCQ223" s="830"/>
      <c r="XCR223" s="830"/>
      <c r="XCS223" s="830"/>
      <c r="XCT223" s="830"/>
      <c r="XCU223" s="830"/>
      <c r="XCV223" s="830"/>
      <c r="XCW223" s="830"/>
      <c r="XCX223" s="830"/>
      <c r="XCY223" s="830"/>
      <c r="XCZ223" s="830"/>
      <c r="XDA223" s="830"/>
      <c r="XDB223" s="830"/>
      <c r="XDC223" s="830"/>
      <c r="XDD223" s="830"/>
      <c r="XDE223" s="830"/>
      <c r="XDF223" s="830"/>
      <c r="XDG223" s="830"/>
      <c r="XDH223" s="830"/>
      <c r="XDI223" s="830"/>
      <c r="XDJ223" s="830"/>
      <c r="XDK223" s="830"/>
      <c r="XDL223" s="830"/>
      <c r="XDM223" s="830"/>
      <c r="XDN223" s="830"/>
      <c r="XDO223" s="830"/>
      <c r="XDP223" s="830"/>
      <c r="XDQ223" s="830"/>
      <c r="XDR223" s="830"/>
      <c r="XDS223" s="830"/>
      <c r="XDT223" s="830"/>
      <c r="XDU223" s="830"/>
      <c r="XDV223" s="830"/>
      <c r="XDW223" s="830"/>
      <c r="XDX223" s="830"/>
      <c r="XDY223" s="830"/>
      <c r="XDZ223" s="830"/>
      <c r="XEA223" s="830"/>
      <c r="XEB223" s="830"/>
      <c r="XEC223" s="830"/>
      <c r="XED223" s="830"/>
      <c r="XEE223" s="830"/>
      <c r="XEF223" s="830"/>
      <c r="XEG223" s="830"/>
      <c r="XEH223" s="830"/>
      <c r="XEI223" s="830"/>
      <c r="XEJ223" s="830"/>
      <c r="XEK223" s="830"/>
      <c r="XEL223" s="830"/>
      <c r="XEM223" s="830"/>
      <c r="XEN223" s="830"/>
      <c r="XEO223" s="830"/>
      <c r="XEP223" s="830"/>
      <c r="XEQ223" s="830"/>
      <c r="XER223" s="830"/>
      <c r="XES223" s="830"/>
      <c r="XET223" s="830"/>
      <c r="XEU223" s="830"/>
      <c r="XEV223" s="830"/>
      <c r="XEW223" s="830"/>
      <c r="XEX223" s="830"/>
      <c r="XEY223" s="830"/>
      <c r="XEZ223" s="830"/>
      <c r="XFA223" s="830"/>
      <c r="XFB223" s="830"/>
      <c r="XFC223" s="830"/>
      <c r="XFD223" s="830"/>
    </row>
    <row r="224" spans="1:14 16149:16384" ht="13.8">
      <c r="A224" t="s">
        <v>1227</v>
      </c>
      <c r="B224" s="807"/>
      <c r="C224" s="808"/>
      <c r="D224" s="807" t="s">
        <v>5164</v>
      </c>
      <c r="E224" s="808" t="s">
        <v>1450</v>
      </c>
      <c r="F224" s="813">
        <v>18</v>
      </c>
      <c r="G224" s="746"/>
      <c r="H224" s="752">
        <v>0</v>
      </c>
      <c r="I224" s="753" t="s">
        <v>26</v>
      </c>
      <c r="J224" s="745" t="s">
        <v>5165</v>
      </c>
      <c r="M224" s="814">
        <v>73.180000000000007</v>
      </c>
      <c r="N224" s="814"/>
      <c r="WWC224" s="830"/>
      <c r="WWD224" s="830"/>
      <c r="WWE224" s="830"/>
      <c r="WWF224" s="830"/>
      <c r="WWG224" s="830"/>
      <c r="WWH224" s="830"/>
      <c r="WWI224" s="830"/>
      <c r="WWJ224" s="830"/>
      <c r="WWK224" s="830"/>
      <c r="WWL224" s="830"/>
      <c r="WWM224" s="830"/>
      <c r="WWN224" s="830"/>
      <c r="WWO224" s="830"/>
      <c r="WWP224" s="830"/>
      <c r="WWQ224" s="830"/>
      <c r="WWR224" s="830"/>
      <c r="WWS224" s="830"/>
      <c r="WWT224" s="830"/>
      <c r="WWU224" s="830"/>
      <c r="WWV224" s="830"/>
      <c r="WWW224" s="830"/>
      <c r="WWX224" s="830"/>
      <c r="WWY224" s="830"/>
      <c r="WWZ224" s="830"/>
      <c r="WXA224" s="830"/>
      <c r="WXB224" s="830"/>
      <c r="WXC224" s="830"/>
      <c r="WXD224" s="830"/>
      <c r="WXE224" s="830"/>
      <c r="WXF224" s="830"/>
      <c r="WXG224" s="830"/>
      <c r="WXH224" s="830"/>
      <c r="WXI224" s="830"/>
      <c r="WXJ224" s="830"/>
      <c r="WXK224" s="830"/>
      <c r="WXL224" s="830"/>
      <c r="WXM224" s="830"/>
      <c r="WXN224" s="830"/>
      <c r="WXO224" s="830"/>
      <c r="WXP224" s="830"/>
      <c r="WXQ224" s="830"/>
      <c r="WXR224" s="830"/>
      <c r="WXS224" s="830"/>
      <c r="WXT224" s="830"/>
      <c r="WXU224" s="830"/>
      <c r="WXV224" s="830"/>
      <c r="WXW224" s="830"/>
      <c r="WXX224" s="830"/>
      <c r="WXY224" s="830"/>
      <c r="WXZ224" s="830"/>
      <c r="WYA224" s="830"/>
      <c r="WYB224" s="830"/>
      <c r="WYC224" s="830"/>
      <c r="WYD224" s="830"/>
      <c r="WYE224" s="830"/>
      <c r="WYF224" s="830"/>
      <c r="WYG224" s="830"/>
      <c r="WYH224" s="830"/>
      <c r="WYI224" s="830"/>
      <c r="WYJ224" s="830"/>
      <c r="WYK224" s="830"/>
      <c r="WYL224" s="830"/>
      <c r="WYM224" s="830"/>
      <c r="WYN224" s="830"/>
      <c r="WYO224" s="830"/>
      <c r="WYP224" s="830"/>
      <c r="WYQ224" s="830"/>
      <c r="WYR224" s="830"/>
      <c r="WYS224" s="830"/>
      <c r="WYT224" s="830"/>
      <c r="WYU224" s="830"/>
      <c r="WYV224" s="830"/>
      <c r="WYW224" s="830"/>
      <c r="WYX224" s="830"/>
      <c r="WYY224" s="830"/>
      <c r="WYZ224" s="830"/>
      <c r="WZA224" s="830"/>
      <c r="WZB224" s="830"/>
      <c r="WZC224" s="830"/>
      <c r="WZD224" s="830"/>
      <c r="WZE224" s="830"/>
      <c r="WZF224" s="830"/>
      <c r="WZG224" s="830"/>
      <c r="WZH224" s="830"/>
      <c r="WZI224" s="830"/>
      <c r="WZJ224" s="830"/>
      <c r="WZK224" s="830"/>
      <c r="WZL224" s="830"/>
      <c r="WZM224" s="830"/>
      <c r="WZN224" s="830"/>
      <c r="WZO224" s="830"/>
      <c r="WZP224" s="830"/>
      <c r="WZQ224" s="830"/>
      <c r="WZR224" s="830"/>
      <c r="WZS224" s="830"/>
      <c r="WZT224" s="830"/>
      <c r="WZU224" s="830"/>
      <c r="WZV224" s="830"/>
      <c r="WZW224" s="830"/>
      <c r="WZX224" s="830"/>
      <c r="WZY224" s="830"/>
      <c r="WZZ224" s="830"/>
      <c r="XAA224" s="830"/>
      <c r="XAB224" s="830"/>
      <c r="XAC224" s="830"/>
      <c r="XAD224" s="830"/>
      <c r="XAE224" s="830"/>
      <c r="XAF224" s="830"/>
      <c r="XAG224" s="830"/>
      <c r="XAH224" s="830"/>
      <c r="XAI224" s="830"/>
      <c r="XAJ224" s="830"/>
      <c r="XAK224" s="830"/>
      <c r="XAL224" s="830"/>
      <c r="XAM224" s="830"/>
      <c r="XAN224" s="830"/>
      <c r="XAO224" s="830"/>
      <c r="XAP224" s="830"/>
      <c r="XAQ224" s="830"/>
      <c r="XAR224" s="830"/>
      <c r="XAS224" s="830"/>
      <c r="XAT224" s="830"/>
      <c r="XAU224" s="830"/>
      <c r="XAV224" s="830"/>
      <c r="XAW224" s="830"/>
      <c r="XAX224" s="830"/>
      <c r="XAY224" s="830"/>
      <c r="XAZ224" s="830"/>
      <c r="XBA224" s="830"/>
      <c r="XBB224" s="830"/>
      <c r="XBC224" s="830"/>
      <c r="XBD224" s="830"/>
      <c r="XBE224" s="830"/>
      <c r="XBF224" s="830"/>
      <c r="XBG224" s="830"/>
      <c r="XBH224" s="830"/>
      <c r="XBI224" s="830"/>
      <c r="XBJ224" s="830"/>
      <c r="XBK224" s="830"/>
      <c r="XBL224" s="830"/>
      <c r="XBM224" s="830"/>
      <c r="XBN224" s="830"/>
      <c r="XBO224" s="830"/>
      <c r="XBP224" s="830"/>
      <c r="XBQ224" s="830"/>
      <c r="XBR224" s="830"/>
      <c r="XBS224" s="830"/>
      <c r="XBT224" s="830"/>
      <c r="XBU224" s="830"/>
      <c r="XBV224" s="830"/>
      <c r="XBW224" s="830"/>
      <c r="XBX224" s="830"/>
      <c r="XBY224" s="830"/>
      <c r="XBZ224" s="830"/>
      <c r="XCA224" s="830"/>
      <c r="XCB224" s="830"/>
      <c r="XCC224" s="830"/>
      <c r="XCD224" s="830"/>
      <c r="XCE224" s="830"/>
      <c r="XCF224" s="830"/>
      <c r="XCG224" s="830"/>
      <c r="XCH224" s="830"/>
      <c r="XCI224" s="830"/>
      <c r="XCJ224" s="830"/>
      <c r="XCK224" s="830"/>
      <c r="XCL224" s="830"/>
      <c r="XCM224" s="830"/>
      <c r="XCN224" s="830"/>
      <c r="XCO224" s="830"/>
      <c r="XCP224" s="830"/>
      <c r="XCQ224" s="830"/>
      <c r="XCR224" s="830"/>
      <c r="XCS224" s="830"/>
      <c r="XCT224" s="830"/>
      <c r="XCU224" s="830"/>
      <c r="XCV224" s="830"/>
      <c r="XCW224" s="830"/>
      <c r="XCX224" s="830"/>
      <c r="XCY224" s="830"/>
      <c r="XCZ224" s="830"/>
      <c r="XDA224" s="830"/>
      <c r="XDB224" s="830"/>
      <c r="XDC224" s="830"/>
      <c r="XDD224" s="830"/>
      <c r="XDE224" s="830"/>
      <c r="XDF224" s="830"/>
      <c r="XDG224" s="830"/>
      <c r="XDH224" s="830"/>
      <c r="XDI224" s="830"/>
      <c r="XDJ224" s="830"/>
      <c r="XDK224" s="830"/>
      <c r="XDL224" s="830"/>
      <c r="XDM224" s="830"/>
      <c r="XDN224" s="830"/>
      <c r="XDO224" s="830"/>
      <c r="XDP224" s="830"/>
      <c r="XDQ224" s="830"/>
      <c r="XDR224" s="830"/>
      <c r="XDS224" s="830"/>
      <c r="XDT224" s="830"/>
      <c r="XDU224" s="830"/>
      <c r="XDV224" s="830"/>
      <c r="XDW224" s="830"/>
      <c r="XDX224" s="830"/>
      <c r="XDY224" s="830"/>
      <c r="XDZ224" s="830"/>
      <c r="XEA224" s="830"/>
      <c r="XEB224" s="830"/>
      <c r="XEC224" s="830"/>
      <c r="XED224" s="830"/>
      <c r="XEE224" s="830"/>
      <c r="XEF224" s="830"/>
      <c r="XEG224" s="830"/>
      <c r="XEH224" s="830"/>
      <c r="XEI224" s="830"/>
      <c r="XEJ224" s="830"/>
      <c r="XEK224" s="830"/>
      <c r="XEL224" s="830"/>
      <c r="XEM224" s="830"/>
      <c r="XEN224" s="830"/>
      <c r="XEO224" s="830"/>
      <c r="XEP224" s="830"/>
      <c r="XEQ224" s="830"/>
      <c r="XER224" s="830"/>
      <c r="XES224" s="830"/>
      <c r="XET224" s="830"/>
      <c r="XEU224" s="830"/>
      <c r="XEV224" s="830"/>
      <c r="XEW224" s="830"/>
      <c r="XEX224" s="830"/>
      <c r="XEY224" s="830"/>
      <c r="XEZ224" s="830"/>
      <c r="XFA224" s="830"/>
      <c r="XFB224" s="830"/>
      <c r="XFC224" s="830"/>
      <c r="XFD224" s="830"/>
    </row>
    <row r="225" spans="1:19 16149:16384" ht="13.8">
      <c r="A225" t="s">
        <v>1227</v>
      </c>
      <c r="B225" s="807"/>
      <c r="C225" s="808"/>
      <c r="D225" s="807" t="s">
        <v>5166</v>
      </c>
      <c r="E225" s="808" t="s">
        <v>1450</v>
      </c>
      <c r="F225" s="813">
        <v>68</v>
      </c>
      <c r="G225" s="746"/>
      <c r="H225" s="752">
        <v>0</v>
      </c>
      <c r="I225" s="753" t="s">
        <v>26</v>
      </c>
      <c r="J225" s="745" t="s">
        <v>5167</v>
      </c>
      <c r="M225" s="814">
        <v>88.36</v>
      </c>
      <c r="N225" s="814"/>
      <c r="WWC225" s="830"/>
      <c r="WWD225" s="830"/>
      <c r="WWE225" s="830"/>
      <c r="WWF225" s="830"/>
      <c r="WWG225" s="830"/>
      <c r="WWH225" s="830"/>
      <c r="WWI225" s="830"/>
      <c r="WWJ225" s="830"/>
      <c r="WWK225" s="830"/>
      <c r="WWL225" s="830"/>
      <c r="WWM225" s="830"/>
      <c r="WWN225" s="830"/>
      <c r="WWO225" s="830"/>
      <c r="WWP225" s="830"/>
      <c r="WWQ225" s="830"/>
      <c r="WWR225" s="830"/>
      <c r="WWS225" s="830"/>
      <c r="WWT225" s="830"/>
      <c r="WWU225" s="830"/>
      <c r="WWV225" s="830"/>
      <c r="WWW225" s="830"/>
      <c r="WWX225" s="830"/>
      <c r="WWY225" s="830"/>
      <c r="WWZ225" s="830"/>
      <c r="WXA225" s="830"/>
      <c r="WXB225" s="830"/>
      <c r="WXC225" s="830"/>
      <c r="WXD225" s="830"/>
      <c r="WXE225" s="830"/>
      <c r="WXF225" s="830"/>
      <c r="WXG225" s="830"/>
      <c r="WXH225" s="830"/>
      <c r="WXI225" s="830"/>
      <c r="WXJ225" s="830"/>
      <c r="WXK225" s="830"/>
      <c r="WXL225" s="830"/>
      <c r="WXM225" s="830"/>
      <c r="WXN225" s="830"/>
      <c r="WXO225" s="830"/>
      <c r="WXP225" s="830"/>
      <c r="WXQ225" s="830"/>
      <c r="WXR225" s="830"/>
      <c r="WXS225" s="830"/>
      <c r="WXT225" s="830"/>
      <c r="WXU225" s="830"/>
      <c r="WXV225" s="830"/>
      <c r="WXW225" s="830"/>
      <c r="WXX225" s="830"/>
      <c r="WXY225" s="830"/>
      <c r="WXZ225" s="830"/>
      <c r="WYA225" s="830"/>
      <c r="WYB225" s="830"/>
      <c r="WYC225" s="830"/>
      <c r="WYD225" s="830"/>
      <c r="WYE225" s="830"/>
      <c r="WYF225" s="830"/>
      <c r="WYG225" s="830"/>
      <c r="WYH225" s="830"/>
      <c r="WYI225" s="830"/>
      <c r="WYJ225" s="830"/>
      <c r="WYK225" s="830"/>
      <c r="WYL225" s="830"/>
      <c r="WYM225" s="830"/>
      <c r="WYN225" s="830"/>
      <c r="WYO225" s="830"/>
      <c r="WYP225" s="830"/>
      <c r="WYQ225" s="830"/>
      <c r="WYR225" s="830"/>
      <c r="WYS225" s="830"/>
      <c r="WYT225" s="830"/>
      <c r="WYU225" s="830"/>
      <c r="WYV225" s="830"/>
      <c r="WYW225" s="830"/>
      <c r="WYX225" s="830"/>
      <c r="WYY225" s="830"/>
      <c r="WYZ225" s="830"/>
      <c r="WZA225" s="830"/>
      <c r="WZB225" s="830"/>
      <c r="WZC225" s="830"/>
      <c r="WZD225" s="830"/>
      <c r="WZE225" s="830"/>
      <c r="WZF225" s="830"/>
      <c r="WZG225" s="830"/>
      <c r="WZH225" s="830"/>
      <c r="WZI225" s="830"/>
      <c r="WZJ225" s="830"/>
      <c r="WZK225" s="830"/>
      <c r="WZL225" s="830"/>
      <c r="WZM225" s="830"/>
      <c r="WZN225" s="830"/>
      <c r="WZO225" s="830"/>
      <c r="WZP225" s="830"/>
      <c r="WZQ225" s="830"/>
      <c r="WZR225" s="830"/>
      <c r="WZS225" s="830"/>
      <c r="WZT225" s="830"/>
      <c r="WZU225" s="830"/>
      <c r="WZV225" s="830"/>
      <c r="WZW225" s="830"/>
      <c r="WZX225" s="830"/>
      <c r="WZY225" s="830"/>
      <c r="WZZ225" s="830"/>
      <c r="XAA225" s="830"/>
      <c r="XAB225" s="830"/>
      <c r="XAC225" s="830"/>
      <c r="XAD225" s="830"/>
      <c r="XAE225" s="830"/>
      <c r="XAF225" s="830"/>
      <c r="XAG225" s="830"/>
      <c r="XAH225" s="830"/>
      <c r="XAI225" s="830"/>
      <c r="XAJ225" s="830"/>
      <c r="XAK225" s="830"/>
      <c r="XAL225" s="830"/>
      <c r="XAM225" s="830"/>
      <c r="XAN225" s="830"/>
      <c r="XAO225" s="830"/>
      <c r="XAP225" s="830"/>
      <c r="XAQ225" s="830"/>
      <c r="XAR225" s="830"/>
      <c r="XAS225" s="830"/>
      <c r="XAT225" s="830"/>
      <c r="XAU225" s="830"/>
      <c r="XAV225" s="830"/>
      <c r="XAW225" s="830"/>
      <c r="XAX225" s="830"/>
      <c r="XAY225" s="830"/>
      <c r="XAZ225" s="830"/>
      <c r="XBA225" s="830"/>
      <c r="XBB225" s="830"/>
      <c r="XBC225" s="830"/>
      <c r="XBD225" s="830"/>
      <c r="XBE225" s="830"/>
      <c r="XBF225" s="830"/>
      <c r="XBG225" s="830"/>
      <c r="XBH225" s="830"/>
      <c r="XBI225" s="830"/>
      <c r="XBJ225" s="830"/>
      <c r="XBK225" s="830"/>
      <c r="XBL225" s="830"/>
      <c r="XBM225" s="830"/>
      <c r="XBN225" s="830"/>
      <c r="XBO225" s="830"/>
      <c r="XBP225" s="830"/>
      <c r="XBQ225" s="830"/>
      <c r="XBR225" s="830"/>
      <c r="XBS225" s="830"/>
      <c r="XBT225" s="830"/>
      <c r="XBU225" s="830"/>
      <c r="XBV225" s="830"/>
      <c r="XBW225" s="830"/>
      <c r="XBX225" s="830"/>
      <c r="XBY225" s="830"/>
      <c r="XBZ225" s="830"/>
      <c r="XCA225" s="830"/>
      <c r="XCB225" s="830"/>
      <c r="XCC225" s="830"/>
      <c r="XCD225" s="830"/>
      <c r="XCE225" s="830"/>
      <c r="XCF225" s="830"/>
      <c r="XCG225" s="830"/>
      <c r="XCH225" s="830"/>
      <c r="XCI225" s="830"/>
      <c r="XCJ225" s="830"/>
      <c r="XCK225" s="830"/>
      <c r="XCL225" s="830"/>
      <c r="XCM225" s="830"/>
      <c r="XCN225" s="830"/>
      <c r="XCO225" s="830"/>
      <c r="XCP225" s="830"/>
      <c r="XCQ225" s="830"/>
      <c r="XCR225" s="830"/>
      <c r="XCS225" s="830"/>
      <c r="XCT225" s="830"/>
      <c r="XCU225" s="830"/>
      <c r="XCV225" s="830"/>
      <c r="XCW225" s="830"/>
      <c r="XCX225" s="830"/>
      <c r="XCY225" s="830"/>
      <c r="XCZ225" s="830"/>
      <c r="XDA225" s="830"/>
      <c r="XDB225" s="830"/>
      <c r="XDC225" s="830"/>
      <c r="XDD225" s="830"/>
      <c r="XDE225" s="830"/>
      <c r="XDF225" s="830"/>
      <c r="XDG225" s="830"/>
      <c r="XDH225" s="830"/>
      <c r="XDI225" s="830"/>
      <c r="XDJ225" s="830"/>
      <c r="XDK225" s="830"/>
      <c r="XDL225" s="830"/>
      <c r="XDM225" s="830"/>
      <c r="XDN225" s="830"/>
      <c r="XDO225" s="830"/>
      <c r="XDP225" s="830"/>
      <c r="XDQ225" s="830"/>
      <c r="XDR225" s="830"/>
      <c r="XDS225" s="830"/>
      <c r="XDT225" s="830"/>
      <c r="XDU225" s="830"/>
      <c r="XDV225" s="830"/>
      <c r="XDW225" s="830"/>
      <c r="XDX225" s="830"/>
      <c r="XDY225" s="830"/>
      <c r="XDZ225" s="830"/>
      <c r="XEA225" s="830"/>
      <c r="XEB225" s="830"/>
      <c r="XEC225" s="830"/>
      <c r="XED225" s="830"/>
      <c r="XEE225" s="830"/>
      <c r="XEF225" s="830"/>
      <c r="XEG225" s="830"/>
      <c r="XEH225" s="830"/>
      <c r="XEI225" s="830"/>
      <c r="XEJ225" s="830"/>
      <c r="XEK225" s="830"/>
      <c r="XEL225" s="830"/>
      <c r="XEM225" s="830"/>
      <c r="XEN225" s="830"/>
      <c r="XEO225" s="830"/>
      <c r="XEP225" s="830"/>
      <c r="XEQ225" s="830"/>
      <c r="XER225" s="830"/>
      <c r="XES225" s="830"/>
      <c r="XET225" s="830"/>
      <c r="XEU225" s="830"/>
      <c r="XEV225" s="830"/>
      <c r="XEW225" s="830"/>
      <c r="XEX225" s="830"/>
      <c r="XEY225" s="830"/>
      <c r="XEZ225" s="830"/>
      <c r="XFA225" s="830"/>
      <c r="XFB225" s="830"/>
      <c r="XFC225" s="830"/>
      <c r="XFD225" s="830"/>
    </row>
    <row r="226" spans="1:19 16149:16384" ht="13.8">
      <c r="B226" s="807"/>
      <c r="C226" s="808"/>
      <c r="D226" s="807"/>
      <c r="E226" s="808"/>
      <c r="F226" s="813"/>
      <c r="G226" s="746"/>
      <c r="H226" s="813"/>
      <c r="I226" s="753"/>
      <c r="J226" s="745"/>
      <c r="M226" s="814"/>
      <c r="N226" s="814"/>
      <c r="WWC226" s="830"/>
      <c r="WWD226" s="830"/>
      <c r="WWE226" s="830"/>
      <c r="WWF226" s="830"/>
      <c r="WWG226" s="830"/>
      <c r="WWH226" s="830"/>
      <c r="WWI226" s="830"/>
      <c r="WWJ226" s="830"/>
      <c r="WWK226" s="830"/>
      <c r="WWL226" s="830"/>
      <c r="WWM226" s="830"/>
      <c r="WWN226" s="830"/>
      <c r="WWO226" s="830"/>
      <c r="WWP226" s="830"/>
      <c r="WWQ226" s="830"/>
      <c r="WWR226" s="830"/>
      <c r="WWS226" s="830"/>
      <c r="WWT226" s="830"/>
      <c r="WWU226" s="830"/>
      <c r="WWV226" s="830"/>
      <c r="WWW226" s="830"/>
      <c r="WWX226" s="830"/>
      <c r="WWY226" s="830"/>
      <c r="WWZ226" s="830"/>
      <c r="WXA226" s="830"/>
      <c r="WXB226" s="830"/>
      <c r="WXC226" s="830"/>
      <c r="WXD226" s="830"/>
      <c r="WXE226" s="830"/>
      <c r="WXF226" s="830"/>
      <c r="WXG226" s="830"/>
      <c r="WXH226" s="830"/>
      <c r="WXI226" s="830"/>
      <c r="WXJ226" s="830"/>
      <c r="WXK226" s="830"/>
      <c r="WXL226" s="830"/>
      <c r="WXM226" s="830"/>
      <c r="WXN226" s="830"/>
      <c r="WXO226" s="830"/>
      <c r="WXP226" s="830"/>
      <c r="WXQ226" s="830"/>
      <c r="WXR226" s="830"/>
      <c r="WXS226" s="830"/>
      <c r="WXT226" s="830"/>
      <c r="WXU226" s="830"/>
      <c r="WXV226" s="830"/>
      <c r="WXW226" s="830"/>
      <c r="WXX226" s="830"/>
      <c r="WXY226" s="830"/>
      <c r="WXZ226" s="830"/>
      <c r="WYA226" s="830"/>
      <c r="WYB226" s="830"/>
      <c r="WYC226" s="830"/>
      <c r="WYD226" s="830"/>
      <c r="WYE226" s="830"/>
      <c r="WYF226" s="830"/>
      <c r="WYG226" s="830"/>
      <c r="WYH226" s="830"/>
      <c r="WYI226" s="830"/>
      <c r="WYJ226" s="830"/>
      <c r="WYK226" s="830"/>
      <c r="WYL226" s="830"/>
      <c r="WYM226" s="830"/>
      <c r="WYN226" s="830"/>
      <c r="WYO226" s="830"/>
      <c r="WYP226" s="830"/>
      <c r="WYQ226" s="830"/>
      <c r="WYR226" s="830"/>
      <c r="WYS226" s="830"/>
      <c r="WYT226" s="830"/>
      <c r="WYU226" s="830"/>
      <c r="WYV226" s="830"/>
      <c r="WYW226" s="830"/>
      <c r="WYX226" s="830"/>
      <c r="WYY226" s="830"/>
      <c r="WYZ226" s="830"/>
      <c r="WZA226" s="830"/>
      <c r="WZB226" s="830"/>
      <c r="WZC226" s="830"/>
      <c r="WZD226" s="830"/>
      <c r="WZE226" s="830"/>
      <c r="WZF226" s="830"/>
      <c r="WZG226" s="830"/>
      <c r="WZH226" s="830"/>
      <c r="WZI226" s="830"/>
      <c r="WZJ226" s="830"/>
      <c r="WZK226" s="830"/>
      <c r="WZL226" s="830"/>
      <c r="WZM226" s="830"/>
      <c r="WZN226" s="830"/>
      <c r="WZO226" s="830"/>
      <c r="WZP226" s="830"/>
      <c r="WZQ226" s="830"/>
      <c r="WZR226" s="830"/>
      <c r="WZS226" s="830"/>
      <c r="WZT226" s="830"/>
      <c r="WZU226" s="830"/>
      <c r="WZV226" s="830"/>
      <c r="WZW226" s="830"/>
      <c r="WZX226" s="830"/>
      <c r="WZY226" s="830"/>
      <c r="WZZ226" s="830"/>
      <c r="XAA226" s="830"/>
      <c r="XAB226" s="830"/>
      <c r="XAC226" s="830"/>
      <c r="XAD226" s="830"/>
      <c r="XAE226" s="830"/>
      <c r="XAF226" s="830"/>
      <c r="XAG226" s="830"/>
      <c r="XAH226" s="830"/>
      <c r="XAI226" s="830"/>
      <c r="XAJ226" s="830"/>
      <c r="XAK226" s="830"/>
      <c r="XAL226" s="830"/>
      <c r="XAM226" s="830"/>
      <c r="XAN226" s="830"/>
      <c r="XAO226" s="830"/>
      <c r="XAP226" s="830"/>
      <c r="XAQ226" s="830"/>
      <c r="XAR226" s="830"/>
      <c r="XAS226" s="830"/>
      <c r="XAT226" s="830"/>
      <c r="XAU226" s="830"/>
      <c r="XAV226" s="830"/>
      <c r="XAW226" s="830"/>
      <c r="XAX226" s="830"/>
      <c r="XAY226" s="830"/>
      <c r="XAZ226" s="830"/>
      <c r="XBA226" s="830"/>
      <c r="XBB226" s="830"/>
      <c r="XBC226" s="830"/>
      <c r="XBD226" s="830"/>
      <c r="XBE226" s="830"/>
      <c r="XBF226" s="830"/>
      <c r="XBG226" s="830"/>
      <c r="XBH226" s="830"/>
      <c r="XBI226" s="830"/>
      <c r="XBJ226" s="830"/>
      <c r="XBK226" s="830"/>
      <c r="XBL226" s="830"/>
      <c r="XBM226" s="830"/>
      <c r="XBN226" s="830"/>
      <c r="XBO226" s="830"/>
      <c r="XBP226" s="830"/>
      <c r="XBQ226" s="830"/>
      <c r="XBR226" s="830"/>
      <c r="XBS226" s="830"/>
      <c r="XBT226" s="830"/>
      <c r="XBU226" s="830"/>
      <c r="XBV226" s="830"/>
      <c r="XBW226" s="830"/>
      <c r="XBX226" s="830"/>
      <c r="XBY226" s="830"/>
      <c r="XBZ226" s="830"/>
      <c r="XCA226" s="830"/>
      <c r="XCB226" s="830"/>
      <c r="XCC226" s="830"/>
      <c r="XCD226" s="830"/>
      <c r="XCE226" s="830"/>
      <c r="XCF226" s="830"/>
      <c r="XCG226" s="830"/>
      <c r="XCH226" s="830"/>
      <c r="XCI226" s="830"/>
      <c r="XCJ226" s="830"/>
      <c r="XCK226" s="830"/>
      <c r="XCL226" s="830"/>
      <c r="XCM226" s="830"/>
      <c r="XCN226" s="830"/>
      <c r="XCO226" s="830"/>
      <c r="XCP226" s="830"/>
      <c r="XCQ226" s="830"/>
      <c r="XCR226" s="830"/>
      <c r="XCS226" s="830"/>
      <c r="XCT226" s="830"/>
      <c r="XCU226" s="830"/>
      <c r="XCV226" s="830"/>
      <c r="XCW226" s="830"/>
      <c r="XCX226" s="830"/>
      <c r="XCY226" s="830"/>
      <c r="XCZ226" s="830"/>
      <c r="XDA226" s="830"/>
      <c r="XDB226" s="830"/>
      <c r="XDC226" s="830"/>
      <c r="XDD226" s="830"/>
      <c r="XDE226" s="830"/>
      <c r="XDF226" s="830"/>
      <c r="XDG226" s="830"/>
      <c r="XDH226" s="830"/>
      <c r="XDI226" s="830"/>
      <c r="XDJ226" s="830"/>
      <c r="XDK226" s="830"/>
      <c r="XDL226" s="830"/>
      <c r="XDM226" s="830"/>
      <c r="XDN226" s="830"/>
      <c r="XDO226" s="830"/>
      <c r="XDP226" s="830"/>
      <c r="XDQ226" s="830"/>
      <c r="XDR226" s="830"/>
      <c r="XDS226" s="830"/>
      <c r="XDT226" s="830"/>
      <c r="XDU226" s="830"/>
      <c r="XDV226" s="830"/>
      <c r="XDW226" s="830"/>
      <c r="XDX226" s="830"/>
      <c r="XDY226" s="830"/>
      <c r="XDZ226" s="830"/>
      <c r="XEA226" s="830"/>
      <c r="XEB226" s="830"/>
      <c r="XEC226" s="830"/>
      <c r="XED226" s="830"/>
      <c r="XEE226" s="830"/>
      <c r="XEF226" s="830"/>
      <c r="XEG226" s="830"/>
      <c r="XEH226" s="830"/>
      <c r="XEI226" s="830"/>
      <c r="XEJ226" s="830"/>
      <c r="XEK226" s="830"/>
      <c r="XEL226" s="830"/>
      <c r="XEM226" s="830"/>
      <c r="XEN226" s="830"/>
      <c r="XEO226" s="830"/>
      <c r="XEP226" s="830"/>
      <c r="XEQ226" s="830"/>
      <c r="XER226" s="830"/>
      <c r="XES226" s="830"/>
      <c r="XET226" s="830"/>
      <c r="XEU226" s="830"/>
      <c r="XEV226" s="830"/>
      <c r="XEW226" s="830"/>
      <c r="XEX226" s="830"/>
      <c r="XEY226" s="830"/>
      <c r="XEZ226" s="830"/>
      <c r="XFA226" s="830"/>
      <c r="XFB226" s="830"/>
      <c r="XFC226" s="830"/>
      <c r="XFD226" s="830"/>
    </row>
    <row r="227" spans="1:19 16149:16384" ht="13.8">
      <c r="A227" t="s">
        <v>1227</v>
      </c>
      <c r="B227" s="807" t="s">
        <v>5168</v>
      </c>
      <c r="C227" s="808"/>
      <c r="D227" s="807" t="s">
        <v>5169</v>
      </c>
      <c r="E227" s="808"/>
      <c r="F227" s="813"/>
      <c r="G227" s="746"/>
      <c r="H227" s="813"/>
      <c r="I227" s="753"/>
      <c r="J227" s="745"/>
      <c r="M227" s="814"/>
      <c r="N227" s="814"/>
      <c r="WWC227" s="830"/>
      <c r="WWD227" s="830"/>
      <c r="WWE227" s="830"/>
      <c r="WWF227" s="830"/>
      <c r="WWG227" s="830"/>
      <c r="WWH227" s="830"/>
      <c r="WWI227" s="830"/>
      <c r="WWJ227" s="830"/>
      <c r="WWK227" s="830"/>
      <c r="WWL227" s="830"/>
      <c r="WWM227" s="830"/>
      <c r="WWN227" s="830"/>
      <c r="WWO227" s="830"/>
      <c r="WWP227" s="830"/>
      <c r="WWQ227" s="830"/>
      <c r="WWR227" s="830"/>
      <c r="WWS227" s="830"/>
      <c r="WWT227" s="830"/>
      <c r="WWU227" s="830"/>
      <c r="WWV227" s="830"/>
      <c r="WWW227" s="830"/>
      <c r="WWX227" s="830"/>
      <c r="WWY227" s="830"/>
      <c r="WWZ227" s="830"/>
      <c r="WXA227" s="830"/>
      <c r="WXB227" s="830"/>
      <c r="WXC227" s="830"/>
      <c r="WXD227" s="830"/>
      <c r="WXE227" s="830"/>
      <c r="WXF227" s="830"/>
      <c r="WXG227" s="830"/>
      <c r="WXH227" s="830"/>
      <c r="WXI227" s="830"/>
      <c r="WXJ227" s="830"/>
      <c r="WXK227" s="830"/>
      <c r="WXL227" s="830"/>
      <c r="WXM227" s="830"/>
      <c r="WXN227" s="830"/>
      <c r="WXO227" s="830"/>
      <c r="WXP227" s="830"/>
      <c r="WXQ227" s="830"/>
      <c r="WXR227" s="830"/>
      <c r="WXS227" s="830"/>
      <c r="WXT227" s="830"/>
      <c r="WXU227" s="830"/>
      <c r="WXV227" s="830"/>
      <c r="WXW227" s="830"/>
      <c r="WXX227" s="830"/>
      <c r="WXY227" s="830"/>
      <c r="WXZ227" s="830"/>
      <c r="WYA227" s="830"/>
      <c r="WYB227" s="830"/>
      <c r="WYC227" s="830"/>
      <c r="WYD227" s="830"/>
      <c r="WYE227" s="830"/>
      <c r="WYF227" s="830"/>
      <c r="WYG227" s="830"/>
      <c r="WYH227" s="830"/>
      <c r="WYI227" s="830"/>
      <c r="WYJ227" s="830"/>
      <c r="WYK227" s="830"/>
      <c r="WYL227" s="830"/>
      <c r="WYM227" s="830"/>
      <c r="WYN227" s="830"/>
      <c r="WYO227" s="830"/>
      <c r="WYP227" s="830"/>
      <c r="WYQ227" s="830"/>
      <c r="WYR227" s="830"/>
      <c r="WYS227" s="830"/>
      <c r="WYT227" s="830"/>
      <c r="WYU227" s="830"/>
      <c r="WYV227" s="830"/>
      <c r="WYW227" s="830"/>
      <c r="WYX227" s="830"/>
      <c r="WYY227" s="830"/>
      <c r="WYZ227" s="830"/>
      <c r="WZA227" s="830"/>
      <c r="WZB227" s="830"/>
      <c r="WZC227" s="830"/>
      <c r="WZD227" s="830"/>
      <c r="WZE227" s="830"/>
      <c r="WZF227" s="830"/>
      <c r="WZG227" s="830"/>
      <c r="WZH227" s="830"/>
      <c r="WZI227" s="830"/>
      <c r="WZJ227" s="830"/>
      <c r="WZK227" s="830"/>
      <c r="WZL227" s="830"/>
      <c r="WZM227" s="830"/>
      <c r="WZN227" s="830"/>
      <c r="WZO227" s="830"/>
      <c r="WZP227" s="830"/>
      <c r="WZQ227" s="830"/>
      <c r="WZR227" s="830"/>
      <c r="WZS227" s="830"/>
      <c r="WZT227" s="830"/>
      <c r="WZU227" s="830"/>
      <c r="WZV227" s="830"/>
      <c r="WZW227" s="830"/>
      <c r="WZX227" s="830"/>
      <c r="WZY227" s="830"/>
      <c r="WZZ227" s="830"/>
      <c r="XAA227" s="830"/>
      <c r="XAB227" s="830"/>
      <c r="XAC227" s="830"/>
      <c r="XAD227" s="830"/>
      <c r="XAE227" s="830"/>
      <c r="XAF227" s="830"/>
      <c r="XAG227" s="830"/>
      <c r="XAH227" s="830"/>
      <c r="XAI227" s="830"/>
      <c r="XAJ227" s="830"/>
      <c r="XAK227" s="830"/>
      <c r="XAL227" s="830"/>
      <c r="XAM227" s="830"/>
      <c r="XAN227" s="830"/>
      <c r="XAO227" s="830"/>
      <c r="XAP227" s="830"/>
      <c r="XAQ227" s="830"/>
      <c r="XAR227" s="830"/>
      <c r="XAS227" s="830"/>
      <c r="XAT227" s="830"/>
      <c r="XAU227" s="830"/>
      <c r="XAV227" s="830"/>
      <c r="XAW227" s="830"/>
      <c r="XAX227" s="830"/>
      <c r="XAY227" s="830"/>
      <c r="XAZ227" s="830"/>
      <c r="XBA227" s="830"/>
      <c r="XBB227" s="830"/>
      <c r="XBC227" s="830"/>
      <c r="XBD227" s="830"/>
      <c r="XBE227" s="830"/>
      <c r="XBF227" s="830"/>
      <c r="XBG227" s="830"/>
      <c r="XBH227" s="830"/>
      <c r="XBI227" s="830"/>
      <c r="XBJ227" s="830"/>
      <c r="XBK227" s="830"/>
      <c r="XBL227" s="830"/>
      <c r="XBM227" s="830"/>
      <c r="XBN227" s="830"/>
      <c r="XBO227" s="830"/>
      <c r="XBP227" s="830"/>
      <c r="XBQ227" s="830"/>
      <c r="XBR227" s="830"/>
      <c r="XBS227" s="830"/>
      <c r="XBT227" s="830"/>
      <c r="XBU227" s="830"/>
      <c r="XBV227" s="830"/>
      <c r="XBW227" s="830"/>
      <c r="XBX227" s="830"/>
      <c r="XBY227" s="830"/>
      <c r="XBZ227" s="830"/>
      <c r="XCA227" s="830"/>
      <c r="XCB227" s="830"/>
      <c r="XCC227" s="830"/>
      <c r="XCD227" s="830"/>
      <c r="XCE227" s="830"/>
      <c r="XCF227" s="830"/>
      <c r="XCG227" s="830"/>
      <c r="XCH227" s="830"/>
      <c r="XCI227" s="830"/>
      <c r="XCJ227" s="830"/>
      <c r="XCK227" s="830"/>
      <c r="XCL227" s="830"/>
      <c r="XCM227" s="830"/>
      <c r="XCN227" s="830"/>
      <c r="XCO227" s="830"/>
      <c r="XCP227" s="830"/>
      <c r="XCQ227" s="830"/>
      <c r="XCR227" s="830"/>
      <c r="XCS227" s="830"/>
      <c r="XCT227" s="830"/>
      <c r="XCU227" s="830"/>
      <c r="XCV227" s="830"/>
      <c r="XCW227" s="830"/>
      <c r="XCX227" s="830"/>
      <c r="XCY227" s="830"/>
      <c r="XCZ227" s="830"/>
      <c r="XDA227" s="830"/>
      <c r="XDB227" s="830"/>
      <c r="XDC227" s="830"/>
      <c r="XDD227" s="830"/>
      <c r="XDE227" s="830"/>
      <c r="XDF227" s="830"/>
      <c r="XDG227" s="830"/>
      <c r="XDH227" s="830"/>
      <c r="XDI227" s="830"/>
      <c r="XDJ227" s="830"/>
      <c r="XDK227" s="830"/>
      <c r="XDL227" s="830"/>
      <c r="XDM227" s="830"/>
      <c r="XDN227" s="830"/>
      <c r="XDO227" s="830"/>
      <c r="XDP227" s="830"/>
      <c r="XDQ227" s="830"/>
      <c r="XDR227" s="830"/>
      <c r="XDS227" s="830"/>
      <c r="XDT227" s="830"/>
      <c r="XDU227" s="830"/>
      <c r="XDV227" s="830"/>
      <c r="XDW227" s="830"/>
      <c r="XDX227" s="830"/>
      <c r="XDY227" s="830"/>
      <c r="XDZ227" s="830"/>
      <c r="XEA227" s="830"/>
      <c r="XEB227" s="830"/>
      <c r="XEC227" s="830"/>
      <c r="XED227" s="830"/>
      <c r="XEE227" s="830"/>
      <c r="XEF227" s="830"/>
      <c r="XEG227" s="830"/>
      <c r="XEH227" s="830"/>
      <c r="XEI227" s="830"/>
      <c r="XEJ227" s="830"/>
      <c r="XEK227" s="830"/>
      <c r="XEL227" s="830"/>
      <c r="XEM227" s="830"/>
      <c r="XEN227" s="830"/>
      <c r="XEO227" s="830"/>
      <c r="XEP227" s="830"/>
      <c r="XEQ227" s="830"/>
      <c r="XER227" s="830"/>
      <c r="XES227" s="830"/>
      <c r="XET227" s="830"/>
      <c r="XEU227" s="830"/>
      <c r="XEV227" s="830"/>
      <c r="XEW227" s="830"/>
      <c r="XEX227" s="830"/>
      <c r="XEY227" s="830"/>
      <c r="XEZ227" s="830"/>
      <c r="XFA227" s="830"/>
      <c r="XFB227" s="830"/>
      <c r="XFC227" s="830"/>
      <c r="XFD227" s="830"/>
    </row>
    <row r="228" spans="1:19 16149:16384" ht="13.8">
      <c r="B228" s="807"/>
      <c r="C228" s="808"/>
      <c r="D228" s="807"/>
      <c r="E228" s="808"/>
      <c r="F228" s="813"/>
      <c r="G228" s="746"/>
      <c r="H228" s="813"/>
      <c r="I228" s="753"/>
      <c r="J228" s="745"/>
      <c r="M228" s="814"/>
      <c r="N228" s="814"/>
      <c r="WWC228" s="830"/>
      <c r="WWD228" s="830"/>
      <c r="WWE228" s="830"/>
      <c r="WWF228" s="830"/>
      <c r="WWG228" s="830"/>
      <c r="WWH228" s="830"/>
      <c r="WWI228" s="830"/>
      <c r="WWJ228" s="830"/>
      <c r="WWK228" s="830"/>
      <c r="WWL228" s="830"/>
      <c r="WWM228" s="830"/>
      <c r="WWN228" s="830"/>
      <c r="WWO228" s="830"/>
      <c r="WWP228" s="830"/>
      <c r="WWQ228" s="830"/>
      <c r="WWR228" s="830"/>
      <c r="WWS228" s="830"/>
      <c r="WWT228" s="830"/>
      <c r="WWU228" s="830"/>
      <c r="WWV228" s="830"/>
      <c r="WWW228" s="830"/>
      <c r="WWX228" s="830"/>
      <c r="WWY228" s="830"/>
      <c r="WWZ228" s="830"/>
      <c r="WXA228" s="830"/>
      <c r="WXB228" s="830"/>
      <c r="WXC228" s="830"/>
      <c r="WXD228" s="830"/>
      <c r="WXE228" s="830"/>
      <c r="WXF228" s="830"/>
      <c r="WXG228" s="830"/>
      <c r="WXH228" s="830"/>
      <c r="WXI228" s="830"/>
      <c r="WXJ228" s="830"/>
      <c r="WXK228" s="830"/>
      <c r="WXL228" s="830"/>
      <c r="WXM228" s="830"/>
      <c r="WXN228" s="830"/>
      <c r="WXO228" s="830"/>
      <c r="WXP228" s="830"/>
      <c r="WXQ228" s="830"/>
      <c r="WXR228" s="830"/>
      <c r="WXS228" s="830"/>
      <c r="WXT228" s="830"/>
      <c r="WXU228" s="830"/>
      <c r="WXV228" s="830"/>
      <c r="WXW228" s="830"/>
      <c r="WXX228" s="830"/>
      <c r="WXY228" s="830"/>
      <c r="WXZ228" s="830"/>
      <c r="WYA228" s="830"/>
      <c r="WYB228" s="830"/>
      <c r="WYC228" s="830"/>
      <c r="WYD228" s="830"/>
      <c r="WYE228" s="830"/>
      <c r="WYF228" s="830"/>
      <c r="WYG228" s="830"/>
      <c r="WYH228" s="830"/>
      <c r="WYI228" s="830"/>
      <c r="WYJ228" s="830"/>
      <c r="WYK228" s="830"/>
      <c r="WYL228" s="830"/>
      <c r="WYM228" s="830"/>
      <c r="WYN228" s="830"/>
      <c r="WYO228" s="830"/>
      <c r="WYP228" s="830"/>
      <c r="WYQ228" s="830"/>
      <c r="WYR228" s="830"/>
      <c r="WYS228" s="830"/>
      <c r="WYT228" s="830"/>
      <c r="WYU228" s="830"/>
      <c r="WYV228" s="830"/>
      <c r="WYW228" s="830"/>
      <c r="WYX228" s="830"/>
      <c r="WYY228" s="830"/>
      <c r="WYZ228" s="830"/>
      <c r="WZA228" s="830"/>
      <c r="WZB228" s="830"/>
      <c r="WZC228" s="830"/>
      <c r="WZD228" s="830"/>
      <c r="WZE228" s="830"/>
      <c r="WZF228" s="830"/>
      <c r="WZG228" s="830"/>
      <c r="WZH228" s="830"/>
      <c r="WZI228" s="830"/>
      <c r="WZJ228" s="830"/>
      <c r="WZK228" s="830"/>
      <c r="WZL228" s="830"/>
      <c r="WZM228" s="830"/>
      <c r="WZN228" s="830"/>
      <c r="WZO228" s="830"/>
      <c r="WZP228" s="830"/>
      <c r="WZQ228" s="830"/>
      <c r="WZR228" s="830"/>
      <c r="WZS228" s="830"/>
      <c r="WZT228" s="830"/>
      <c r="WZU228" s="830"/>
      <c r="WZV228" s="830"/>
      <c r="WZW228" s="830"/>
      <c r="WZX228" s="830"/>
      <c r="WZY228" s="830"/>
      <c r="WZZ228" s="830"/>
      <c r="XAA228" s="830"/>
      <c r="XAB228" s="830"/>
      <c r="XAC228" s="830"/>
      <c r="XAD228" s="830"/>
      <c r="XAE228" s="830"/>
      <c r="XAF228" s="830"/>
      <c r="XAG228" s="830"/>
      <c r="XAH228" s="830"/>
      <c r="XAI228" s="830"/>
      <c r="XAJ228" s="830"/>
      <c r="XAK228" s="830"/>
      <c r="XAL228" s="830"/>
      <c r="XAM228" s="830"/>
      <c r="XAN228" s="830"/>
      <c r="XAO228" s="830"/>
      <c r="XAP228" s="830"/>
      <c r="XAQ228" s="830"/>
      <c r="XAR228" s="830"/>
      <c r="XAS228" s="830"/>
      <c r="XAT228" s="830"/>
      <c r="XAU228" s="830"/>
      <c r="XAV228" s="830"/>
      <c r="XAW228" s="830"/>
      <c r="XAX228" s="830"/>
      <c r="XAY228" s="830"/>
      <c r="XAZ228" s="830"/>
      <c r="XBA228" s="830"/>
      <c r="XBB228" s="830"/>
      <c r="XBC228" s="830"/>
      <c r="XBD228" s="830"/>
      <c r="XBE228" s="830"/>
      <c r="XBF228" s="830"/>
      <c r="XBG228" s="830"/>
      <c r="XBH228" s="830"/>
      <c r="XBI228" s="830"/>
      <c r="XBJ228" s="830"/>
      <c r="XBK228" s="830"/>
      <c r="XBL228" s="830"/>
      <c r="XBM228" s="830"/>
      <c r="XBN228" s="830"/>
      <c r="XBO228" s="830"/>
      <c r="XBP228" s="830"/>
      <c r="XBQ228" s="830"/>
      <c r="XBR228" s="830"/>
      <c r="XBS228" s="830"/>
      <c r="XBT228" s="830"/>
      <c r="XBU228" s="830"/>
      <c r="XBV228" s="830"/>
      <c r="XBW228" s="830"/>
      <c r="XBX228" s="830"/>
      <c r="XBY228" s="830"/>
      <c r="XBZ228" s="830"/>
      <c r="XCA228" s="830"/>
      <c r="XCB228" s="830"/>
      <c r="XCC228" s="830"/>
      <c r="XCD228" s="830"/>
      <c r="XCE228" s="830"/>
      <c r="XCF228" s="830"/>
      <c r="XCG228" s="830"/>
      <c r="XCH228" s="830"/>
      <c r="XCI228" s="830"/>
      <c r="XCJ228" s="830"/>
      <c r="XCK228" s="830"/>
      <c r="XCL228" s="830"/>
      <c r="XCM228" s="830"/>
      <c r="XCN228" s="830"/>
      <c r="XCO228" s="830"/>
      <c r="XCP228" s="830"/>
      <c r="XCQ228" s="830"/>
      <c r="XCR228" s="830"/>
      <c r="XCS228" s="830"/>
      <c r="XCT228" s="830"/>
      <c r="XCU228" s="830"/>
      <c r="XCV228" s="830"/>
      <c r="XCW228" s="830"/>
      <c r="XCX228" s="830"/>
      <c r="XCY228" s="830"/>
      <c r="XCZ228" s="830"/>
      <c r="XDA228" s="830"/>
      <c r="XDB228" s="830"/>
      <c r="XDC228" s="830"/>
      <c r="XDD228" s="830"/>
      <c r="XDE228" s="830"/>
      <c r="XDF228" s="830"/>
      <c r="XDG228" s="830"/>
      <c r="XDH228" s="830"/>
      <c r="XDI228" s="830"/>
      <c r="XDJ228" s="830"/>
      <c r="XDK228" s="830"/>
      <c r="XDL228" s="830"/>
      <c r="XDM228" s="830"/>
      <c r="XDN228" s="830"/>
      <c r="XDO228" s="830"/>
      <c r="XDP228" s="830"/>
      <c r="XDQ228" s="830"/>
      <c r="XDR228" s="830"/>
      <c r="XDS228" s="830"/>
      <c r="XDT228" s="830"/>
      <c r="XDU228" s="830"/>
      <c r="XDV228" s="830"/>
      <c r="XDW228" s="830"/>
      <c r="XDX228" s="830"/>
      <c r="XDY228" s="830"/>
      <c r="XDZ228" s="830"/>
      <c r="XEA228" s="830"/>
      <c r="XEB228" s="830"/>
      <c r="XEC228" s="830"/>
      <c r="XED228" s="830"/>
      <c r="XEE228" s="830"/>
      <c r="XEF228" s="830"/>
      <c r="XEG228" s="830"/>
      <c r="XEH228" s="830"/>
      <c r="XEI228" s="830"/>
      <c r="XEJ228" s="830"/>
      <c r="XEK228" s="830"/>
      <c r="XEL228" s="830"/>
      <c r="XEM228" s="830"/>
      <c r="XEN228" s="830"/>
      <c r="XEO228" s="830"/>
      <c r="XEP228" s="830"/>
      <c r="XEQ228" s="830"/>
      <c r="XER228" s="830"/>
      <c r="XES228" s="830"/>
      <c r="XET228" s="830"/>
      <c r="XEU228" s="830"/>
      <c r="XEV228" s="830"/>
      <c r="XEW228" s="830"/>
      <c r="XEX228" s="830"/>
      <c r="XEY228" s="830"/>
      <c r="XEZ228" s="830"/>
      <c r="XFA228" s="830"/>
      <c r="XFB228" s="830"/>
      <c r="XFC228" s="830"/>
      <c r="XFD228" s="830"/>
    </row>
    <row r="229" spans="1:19 16149:16384" ht="13.8">
      <c r="A229" t="s">
        <v>1227</v>
      </c>
      <c r="B229" s="807" t="s">
        <v>5170</v>
      </c>
      <c r="C229" s="808"/>
      <c r="D229" s="807" t="s">
        <v>5171</v>
      </c>
      <c r="E229" s="808" t="s">
        <v>5093</v>
      </c>
      <c r="F229" s="813">
        <v>6</v>
      </c>
      <c r="G229" s="746"/>
      <c r="H229" s="752">
        <v>0</v>
      </c>
      <c r="I229" s="753" t="s">
        <v>4908</v>
      </c>
      <c r="J229" s="745" t="s">
        <v>5172</v>
      </c>
      <c r="M229" s="814">
        <v>101.53</v>
      </c>
      <c r="N229" s="814"/>
      <c r="WWC229" s="830"/>
      <c r="WWD229" s="830"/>
      <c r="WWE229" s="830"/>
      <c r="WWF229" s="830"/>
      <c r="WWG229" s="830"/>
      <c r="WWH229" s="830"/>
      <c r="WWI229" s="830"/>
      <c r="WWJ229" s="830"/>
      <c r="WWK229" s="830"/>
      <c r="WWL229" s="830"/>
      <c r="WWM229" s="830"/>
      <c r="WWN229" s="830"/>
      <c r="WWO229" s="830"/>
      <c r="WWP229" s="830"/>
      <c r="WWQ229" s="830"/>
      <c r="WWR229" s="830"/>
      <c r="WWS229" s="830"/>
      <c r="WWT229" s="830"/>
      <c r="WWU229" s="830"/>
      <c r="WWV229" s="830"/>
      <c r="WWW229" s="830"/>
      <c r="WWX229" s="830"/>
      <c r="WWY229" s="830"/>
      <c r="WWZ229" s="830"/>
      <c r="WXA229" s="830"/>
      <c r="WXB229" s="830"/>
      <c r="WXC229" s="830"/>
      <c r="WXD229" s="830"/>
      <c r="WXE229" s="830"/>
      <c r="WXF229" s="830"/>
      <c r="WXG229" s="830"/>
      <c r="WXH229" s="830"/>
      <c r="WXI229" s="830"/>
      <c r="WXJ229" s="830"/>
      <c r="WXK229" s="830"/>
      <c r="WXL229" s="830"/>
      <c r="WXM229" s="830"/>
      <c r="WXN229" s="830"/>
      <c r="WXO229" s="830"/>
      <c r="WXP229" s="830"/>
      <c r="WXQ229" s="830"/>
      <c r="WXR229" s="830"/>
      <c r="WXS229" s="830"/>
      <c r="WXT229" s="830"/>
      <c r="WXU229" s="830"/>
      <c r="WXV229" s="830"/>
      <c r="WXW229" s="830"/>
      <c r="WXX229" s="830"/>
      <c r="WXY229" s="830"/>
      <c r="WXZ229" s="830"/>
      <c r="WYA229" s="830"/>
      <c r="WYB229" s="830"/>
      <c r="WYC229" s="830"/>
      <c r="WYD229" s="830"/>
      <c r="WYE229" s="830"/>
      <c r="WYF229" s="830"/>
      <c r="WYG229" s="830"/>
      <c r="WYH229" s="830"/>
      <c r="WYI229" s="830"/>
      <c r="WYJ229" s="830"/>
      <c r="WYK229" s="830"/>
      <c r="WYL229" s="830"/>
      <c r="WYM229" s="830"/>
      <c r="WYN229" s="830"/>
      <c r="WYO229" s="830"/>
      <c r="WYP229" s="830"/>
      <c r="WYQ229" s="830"/>
      <c r="WYR229" s="830"/>
      <c r="WYS229" s="830"/>
      <c r="WYT229" s="830"/>
      <c r="WYU229" s="830"/>
      <c r="WYV229" s="830"/>
      <c r="WYW229" s="830"/>
      <c r="WYX229" s="830"/>
      <c r="WYY229" s="830"/>
      <c r="WYZ229" s="830"/>
      <c r="WZA229" s="830"/>
      <c r="WZB229" s="830"/>
      <c r="WZC229" s="830"/>
      <c r="WZD229" s="830"/>
      <c r="WZE229" s="830"/>
      <c r="WZF229" s="830"/>
      <c r="WZG229" s="830"/>
      <c r="WZH229" s="830"/>
      <c r="WZI229" s="830"/>
      <c r="WZJ229" s="830"/>
      <c r="WZK229" s="830"/>
      <c r="WZL229" s="830"/>
      <c r="WZM229" s="830"/>
      <c r="WZN229" s="830"/>
      <c r="WZO229" s="830"/>
      <c r="WZP229" s="830"/>
      <c r="WZQ229" s="830"/>
      <c r="WZR229" s="830"/>
      <c r="WZS229" s="830"/>
      <c r="WZT229" s="830"/>
      <c r="WZU229" s="830"/>
      <c r="WZV229" s="830"/>
      <c r="WZW229" s="830"/>
      <c r="WZX229" s="830"/>
      <c r="WZY229" s="830"/>
      <c r="WZZ229" s="830"/>
      <c r="XAA229" s="830"/>
      <c r="XAB229" s="830"/>
      <c r="XAC229" s="830"/>
      <c r="XAD229" s="830"/>
      <c r="XAE229" s="830"/>
      <c r="XAF229" s="830"/>
      <c r="XAG229" s="830"/>
      <c r="XAH229" s="830"/>
      <c r="XAI229" s="830"/>
      <c r="XAJ229" s="830"/>
      <c r="XAK229" s="830"/>
      <c r="XAL229" s="830"/>
      <c r="XAM229" s="830"/>
      <c r="XAN229" s="830"/>
      <c r="XAO229" s="830"/>
      <c r="XAP229" s="830"/>
      <c r="XAQ229" s="830"/>
      <c r="XAR229" s="830"/>
      <c r="XAS229" s="830"/>
      <c r="XAT229" s="830"/>
      <c r="XAU229" s="830"/>
      <c r="XAV229" s="830"/>
      <c r="XAW229" s="830"/>
      <c r="XAX229" s="830"/>
      <c r="XAY229" s="830"/>
      <c r="XAZ229" s="830"/>
      <c r="XBA229" s="830"/>
      <c r="XBB229" s="830"/>
      <c r="XBC229" s="830"/>
      <c r="XBD229" s="830"/>
      <c r="XBE229" s="830"/>
      <c r="XBF229" s="830"/>
      <c r="XBG229" s="830"/>
      <c r="XBH229" s="830"/>
      <c r="XBI229" s="830"/>
      <c r="XBJ229" s="830"/>
      <c r="XBK229" s="830"/>
      <c r="XBL229" s="830"/>
      <c r="XBM229" s="830"/>
      <c r="XBN229" s="830"/>
      <c r="XBO229" s="830"/>
      <c r="XBP229" s="830"/>
      <c r="XBQ229" s="830"/>
      <c r="XBR229" s="830"/>
      <c r="XBS229" s="830"/>
      <c r="XBT229" s="830"/>
      <c r="XBU229" s="830"/>
      <c r="XBV229" s="830"/>
      <c r="XBW229" s="830"/>
      <c r="XBX229" s="830"/>
      <c r="XBY229" s="830"/>
      <c r="XBZ229" s="830"/>
      <c r="XCA229" s="830"/>
      <c r="XCB229" s="830"/>
      <c r="XCC229" s="830"/>
      <c r="XCD229" s="830"/>
      <c r="XCE229" s="830"/>
      <c r="XCF229" s="830"/>
      <c r="XCG229" s="830"/>
      <c r="XCH229" s="830"/>
      <c r="XCI229" s="830"/>
      <c r="XCJ229" s="830"/>
      <c r="XCK229" s="830"/>
      <c r="XCL229" s="830"/>
      <c r="XCM229" s="830"/>
      <c r="XCN229" s="830"/>
      <c r="XCO229" s="830"/>
      <c r="XCP229" s="830"/>
      <c r="XCQ229" s="830"/>
      <c r="XCR229" s="830"/>
      <c r="XCS229" s="830"/>
      <c r="XCT229" s="830"/>
      <c r="XCU229" s="830"/>
      <c r="XCV229" s="830"/>
      <c r="XCW229" s="830"/>
      <c r="XCX229" s="830"/>
      <c r="XCY229" s="830"/>
      <c r="XCZ229" s="830"/>
      <c r="XDA229" s="830"/>
      <c r="XDB229" s="830"/>
      <c r="XDC229" s="830"/>
      <c r="XDD229" s="830"/>
      <c r="XDE229" s="830"/>
      <c r="XDF229" s="830"/>
      <c r="XDG229" s="830"/>
      <c r="XDH229" s="830"/>
      <c r="XDI229" s="830"/>
      <c r="XDJ229" s="830"/>
      <c r="XDK229" s="830"/>
      <c r="XDL229" s="830"/>
      <c r="XDM229" s="830"/>
      <c r="XDN229" s="830"/>
      <c r="XDO229" s="830"/>
      <c r="XDP229" s="830"/>
      <c r="XDQ229" s="830"/>
      <c r="XDR229" s="830"/>
      <c r="XDS229" s="830"/>
      <c r="XDT229" s="830"/>
      <c r="XDU229" s="830"/>
      <c r="XDV229" s="830"/>
      <c r="XDW229" s="830"/>
      <c r="XDX229" s="830"/>
      <c r="XDY229" s="830"/>
      <c r="XDZ229" s="830"/>
      <c r="XEA229" s="830"/>
      <c r="XEB229" s="830"/>
      <c r="XEC229" s="830"/>
      <c r="XED229" s="830"/>
      <c r="XEE229" s="830"/>
      <c r="XEF229" s="830"/>
      <c r="XEG229" s="830"/>
      <c r="XEH229" s="830"/>
      <c r="XEI229" s="830"/>
      <c r="XEJ229" s="830"/>
      <c r="XEK229" s="830"/>
      <c r="XEL229" s="830"/>
      <c r="XEM229" s="830"/>
      <c r="XEN229" s="830"/>
      <c r="XEO229" s="830"/>
      <c r="XEP229" s="830"/>
      <c r="XEQ229" s="830"/>
      <c r="XER229" s="830"/>
      <c r="XES229" s="830"/>
      <c r="XET229" s="830"/>
      <c r="XEU229" s="830"/>
      <c r="XEV229" s="830"/>
      <c r="XEW229" s="830"/>
      <c r="XEX229" s="830"/>
      <c r="XEY229" s="830"/>
      <c r="XEZ229" s="830"/>
      <c r="XFA229" s="830"/>
      <c r="XFB229" s="830"/>
      <c r="XFC229" s="830"/>
      <c r="XFD229" s="830"/>
    </row>
    <row r="230" spans="1:19 16149:16384" ht="13.8">
      <c r="B230" s="807"/>
      <c r="C230" s="808"/>
      <c r="D230" s="807"/>
      <c r="E230" s="808"/>
      <c r="F230" s="813"/>
      <c r="G230" s="746"/>
      <c r="H230" s="813"/>
      <c r="I230" s="753"/>
      <c r="J230" s="745"/>
      <c r="M230" s="814"/>
      <c r="N230" s="814"/>
      <c r="WWC230" s="830"/>
      <c r="WWD230" s="830"/>
      <c r="WWE230" s="830"/>
      <c r="WWF230" s="830"/>
      <c r="WWG230" s="830"/>
      <c r="WWH230" s="830"/>
      <c r="WWI230" s="830"/>
      <c r="WWJ230" s="830"/>
      <c r="WWK230" s="830"/>
      <c r="WWL230" s="830"/>
      <c r="WWM230" s="830"/>
      <c r="WWN230" s="830"/>
      <c r="WWO230" s="830"/>
      <c r="WWP230" s="830"/>
      <c r="WWQ230" s="830"/>
      <c r="WWR230" s="830"/>
      <c r="WWS230" s="830"/>
      <c r="WWT230" s="830"/>
      <c r="WWU230" s="830"/>
      <c r="WWV230" s="830"/>
      <c r="WWW230" s="830"/>
      <c r="WWX230" s="830"/>
      <c r="WWY230" s="830"/>
      <c r="WWZ230" s="830"/>
      <c r="WXA230" s="830"/>
      <c r="WXB230" s="830"/>
      <c r="WXC230" s="830"/>
      <c r="WXD230" s="830"/>
      <c r="WXE230" s="830"/>
      <c r="WXF230" s="830"/>
      <c r="WXG230" s="830"/>
      <c r="WXH230" s="830"/>
      <c r="WXI230" s="830"/>
      <c r="WXJ230" s="830"/>
      <c r="WXK230" s="830"/>
      <c r="WXL230" s="830"/>
      <c r="WXM230" s="830"/>
      <c r="WXN230" s="830"/>
      <c r="WXO230" s="830"/>
      <c r="WXP230" s="830"/>
      <c r="WXQ230" s="830"/>
      <c r="WXR230" s="830"/>
      <c r="WXS230" s="830"/>
      <c r="WXT230" s="830"/>
      <c r="WXU230" s="830"/>
      <c r="WXV230" s="830"/>
      <c r="WXW230" s="830"/>
      <c r="WXX230" s="830"/>
      <c r="WXY230" s="830"/>
      <c r="WXZ230" s="830"/>
      <c r="WYA230" s="830"/>
      <c r="WYB230" s="830"/>
      <c r="WYC230" s="830"/>
      <c r="WYD230" s="830"/>
      <c r="WYE230" s="830"/>
      <c r="WYF230" s="830"/>
      <c r="WYG230" s="830"/>
      <c r="WYH230" s="830"/>
      <c r="WYI230" s="830"/>
      <c r="WYJ230" s="830"/>
      <c r="WYK230" s="830"/>
      <c r="WYL230" s="830"/>
      <c r="WYM230" s="830"/>
      <c r="WYN230" s="830"/>
      <c r="WYO230" s="830"/>
      <c r="WYP230" s="830"/>
      <c r="WYQ230" s="830"/>
      <c r="WYR230" s="830"/>
      <c r="WYS230" s="830"/>
      <c r="WYT230" s="830"/>
      <c r="WYU230" s="830"/>
      <c r="WYV230" s="830"/>
      <c r="WYW230" s="830"/>
      <c r="WYX230" s="830"/>
      <c r="WYY230" s="830"/>
      <c r="WYZ230" s="830"/>
      <c r="WZA230" s="830"/>
      <c r="WZB230" s="830"/>
      <c r="WZC230" s="830"/>
      <c r="WZD230" s="830"/>
      <c r="WZE230" s="830"/>
      <c r="WZF230" s="830"/>
      <c r="WZG230" s="830"/>
      <c r="WZH230" s="830"/>
      <c r="WZI230" s="830"/>
      <c r="WZJ230" s="830"/>
      <c r="WZK230" s="830"/>
      <c r="WZL230" s="830"/>
      <c r="WZM230" s="830"/>
      <c r="WZN230" s="830"/>
      <c r="WZO230" s="830"/>
      <c r="WZP230" s="830"/>
      <c r="WZQ230" s="830"/>
      <c r="WZR230" s="830"/>
      <c r="WZS230" s="830"/>
      <c r="WZT230" s="830"/>
      <c r="WZU230" s="830"/>
      <c r="WZV230" s="830"/>
      <c r="WZW230" s="830"/>
      <c r="WZX230" s="830"/>
      <c r="WZY230" s="830"/>
      <c r="WZZ230" s="830"/>
      <c r="XAA230" s="830"/>
      <c r="XAB230" s="830"/>
      <c r="XAC230" s="830"/>
      <c r="XAD230" s="830"/>
      <c r="XAE230" s="830"/>
      <c r="XAF230" s="830"/>
      <c r="XAG230" s="830"/>
      <c r="XAH230" s="830"/>
      <c r="XAI230" s="830"/>
      <c r="XAJ230" s="830"/>
      <c r="XAK230" s="830"/>
      <c r="XAL230" s="830"/>
      <c r="XAM230" s="830"/>
      <c r="XAN230" s="830"/>
      <c r="XAO230" s="830"/>
      <c r="XAP230" s="830"/>
      <c r="XAQ230" s="830"/>
      <c r="XAR230" s="830"/>
      <c r="XAS230" s="830"/>
      <c r="XAT230" s="830"/>
      <c r="XAU230" s="830"/>
      <c r="XAV230" s="830"/>
      <c r="XAW230" s="830"/>
      <c r="XAX230" s="830"/>
      <c r="XAY230" s="830"/>
      <c r="XAZ230" s="830"/>
      <c r="XBA230" s="830"/>
      <c r="XBB230" s="830"/>
      <c r="XBC230" s="830"/>
      <c r="XBD230" s="830"/>
      <c r="XBE230" s="830"/>
      <c r="XBF230" s="830"/>
      <c r="XBG230" s="830"/>
      <c r="XBH230" s="830"/>
      <c r="XBI230" s="830"/>
      <c r="XBJ230" s="830"/>
      <c r="XBK230" s="830"/>
      <c r="XBL230" s="830"/>
      <c r="XBM230" s="830"/>
      <c r="XBN230" s="830"/>
      <c r="XBO230" s="830"/>
      <c r="XBP230" s="830"/>
      <c r="XBQ230" s="830"/>
      <c r="XBR230" s="830"/>
      <c r="XBS230" s="830"/>
      <c r="XBT230" s="830"/>
      <c r="XBU230" s="830"/>
      <c r="XBV230" s="830"/>
      <c r="XBW230" s="830"/>
      <c r="XBX230" s="830"/>
      <c r="XBY230" s="830"/>
      <c r="XBZ230" s="830"/>
      <c r="XCA230" s="830"/>
      <c r="XCB230" s="830"/>
      <c r="XCC230" s="830"/>
      <c r="XCD230" s="830"/>
      <c r="XCE230" s="830"/>
      <c r="XCF230" s="830"/>
      <c r="XCG230" s="830"/>
      <c r="XCH230" s="830"/>
      <c r="XCI230" s="830"/>
      <c r="XCJ230" s="830"/>
      <c r="XCK230" s="830"/>
      <c r="XCL230" s="830"/>
      <c r="XCM230" s="830"/>
      <c r="XCN230" s="830"/>
      <c r="XCO230" s="830"/>
      <c r="XCP230" s="830"/>
      <c r="XCQ230" s="830"/>
      <c r="XCR230" s="830"/>
      <c r="XCS230" s="830"/>
      <c r="XCT230" s="830"/>
      <c r="XCU230" s="830"/>
      <c r="XCV230" s="830"/>
      <c r="XCW230" s="830"/>
      <c r="XCX230" s="830"/>
      <c r="XCY230" s="830"/>
      <c r="XCZ230" s="830"/>
      <c r="XDA230" s="830"/>
      <c r="XDB230" s="830"/>
      <c r="XDC230" s="830"/>
      <c r="XDD230" s="830"/>
      <c r="XDE230" s="830"/>
      <c r="XDF230" s="830"/>
      <c r="XDG230" s="830"/>
      <c r="XDH230" s="830"/>
      <c r="XDI230" s="830"/>
      <c r="XDJ230" s="830"/>
      <c r="XDK230" s="830"/>
      <c r="XDL230" s="830"/>
      <c r="XDM230" s="830"/>
      <c r="XDN230" s="830"/>
      <c r="XDO230" s="830"/>
      <c r="XDP230" s="830"/>
      <c r="XDQ230" s="830"/>
      <c r="XDR230" s="830"/>
      <c r="XDS230" s="830"/>
      <c r="XDT230" s="830"/>
      <c r="XDU230" s="830"/>
      <c r="XDV230" s="830"/>
      <c r="XDW230" s="830"/>
      <c r="XDX230" s="830"/>
      <c r="XDY230" s="830"/>
      <c r="XDZ230" s="830"/>
      <c r="XEA230" s="830"/>
      <c r="XEB230" s="830"/>
      <c r="XEC230" s="830"/>
      <c r="XED230" s="830"/>
      <c r="XEE230" s="830"/>
      <c r="XEF230" s="830"/>
      <c r="XEG230" s="830"/>
      <c r="XEH230" s="830"/>
      <c r="XEI230" s="830"/>
      <c r="XEJ230" s="830"/>
      <c r="XEK230" s="830"/>
      <c r="XEL230" s="830"/>
      <c r="XEM230" s="830"/>
      <c r="XEN230" s="830"/>
      <c r="XEO230" s="830"/>
      <c r="XEP230" s="830"/>
      <c r="XEQ230" s="830"/>
      <c r="XER230" s="830"/>
      <c r="XES230" s="830"/>
      <c r="XET230" s="830"/>
      <c r="XEU230" s="830"/>
      <c r="XEV230" s="830"/>
      <c r="XEW230" s="830"/>
      <c r="XEX230" s="830"/>
      <c r="XEY230" s="830"/>
      <c r="XEZ230" s="830"/>
      <c r="XFA230" s="830"/>
      <c r="XFB230" s="830"/>
      <c r="XFC230" s="830"/>
      <c r="XFD230" s="830"/>
    </row>
    <row r="231" spans="1:19 16149:16384" s="581" customFormat="1" ht="13.8">
      <c r="A231" s="581" t="s">
        <v>1227</v>
      </c>
      <c r="B231" s="807" t="s">
        <v>5173</v>
      </c>
      <c r="C231" s="808"/>
      <c r="D231" s="816" t="s">
        <v>5174</v>
      </c>
      <c r="E231" s="808" t="s">
        <v>1450</v>
      </c>
      <c r="F231" s="757">
        <v>108</v>
      </c>
      <c r="G231" s="746"/>
      <c r="H231" s="752">
        <v>0</v>
      </c>
      <c r="I231" s="753" t="s">
        <v>4872</v>
      </c>
      <c r="J231" s="754">
        <v>101172</v>
      </c>
      <c r="M231" s="838">
        <v>43.87</v>
      </c>
      <c r="N231" s="838"/>
      <c r="S231" s="766"/>
      <c r="WWC231" s="830"/>
      <c r="WWD231" s="830"/>
      <c r="WWE231" s="830"/>
      <c r="WWF231" s="830"/>
      <c r="WWG231" s="830"/>
      <c r="WWH231" s="830"/>
      <c r="WWI231" s="830"/>
      <c r="WWJ231" s="830"/>
      <c r="WWK231" s="830"/>
      <c r="WWL231" s="830"/>
      <c r="WWM231" s="830"/>
      <c r="WWN231" s="830"/>
      <c r="WWO231" s="830"/>
      <c r="WWP231" s="830"/>
      <c r="WWQ231" s="830"/>
      <c r="WWR231" s="830"/>
      <c r="WWS231" s="830"/>
      <c r="WWT231" s="830"/>
      <c r="WWU231" s="830"/>
      <c r="WWV231" s="830"/>
      <c r="WWW231" s="830"/>
      <c r="WWX231" s="830"/>
      <c r="WWY231" s="830"/>
      <c r="WWZ231" s="830"/>
      <c r="WXA231" s="830"/>
      <c r="WXB231" s="830"/>
      <c r="WXC231" s="830"/>
      <c r="WXD231" s="830"/>
      <c r="WXE231" s="830"/>
      <c r="WXF231" s="830"/>
      <c r="WXG231" s="830"/>
      <c r="WXH231" s="830"/>
      <c r="WXI231" s="830"/>
      <c r="WXJ231" s="830"/>
      <c r="WXK231" s="830"/>
      <c r="WXL231" s="830"/>
      <c r="WXM231" s="830"/>
      <c r="WXN231" s="830"/>
      <c r="WXO231" s="830"/>
      <c r="WXP231" s="830"/>
      <c r="WXQ231" s="830"/>
      <c r="WXR231" s="830"/>
      <c r="WXS231" s="830"/>
      <c r="WXT231" s="830"/>
      <c r="WXU231" s="830"/>
      <c r="WXV231" s="830"/>
      <c r="WXW231" s="830"/>
      <c r="WXX231" s="830"/>
      <c r="WXY231" s="830"/>
      <c r="WXZ231" s="830"/>
      <c r="WYA231" s="830"/>
      <c r="WYB231" s="830"/>
      <c r="WYC231" s="830"/>
      <c r="WYD231" s="830"/>
      <c r="WYE231" s="830"/>
      <c r="WYF231" s="830"/>
      <c r="WYG231" s="830"/>
      <c r="WYH231" s="830"/>
      <c r="WYI231" s="830"/>
      <c r="WYJ231" s="830"/>
      <c r="WYK231" s="830"/>
      <c r="WYL231" s="830"/>
      <c r="WYM231" s="830"/>
      <c r="WYN231" s="830"/>
      <c r="WYO231" s="830"/>
      <c r="WYP231" s="830"/>
      <c r="WYQ231" s="830"/>
      <c r="WYR231" s="830"/>
      <c r="WYS231" s="830"/>
      <c r="WYT231" s="830"/>
      <c r="WYU231" s="830"/>
      <c r="WYV231" s="830"/>
      <c r="WYW231" s="830"/>
      <c r="WYX231" s="830"/>
      <c r="WYY231" s="830"/>
      <c r="WYZ231" s="830"/>
      <c r="WZA231" s="830"/>
      <c r="WZB231" s="830"/>
      <c r="WZC231" s="830"/>
      <c r="WZD231" s="830"/>
      <c r="WZE231" s="830"/>
      <c r="WZF231" s="830"/>
      <c r="WZG231" s="830"/>
      <c r="WZH231" s="830"/>
      <c r="WZI231" s="830"/>
      <c r="WZJ231" s="830"/>
      <c r="WZK231" s="830"/>
      <c r="WZL231" s="830"/>
      <c r="WZM231" s="830"/>
      <c r="WZN231" s="830"/>
      <c r="WZO231" s="830"/>
      <c r="WZP231" s="830"/>
      <c r="WZQ231" s="830"/>
      <c r="WZR231" s="830"/>
      <c r="WZS231" s="830"/>
      <c r="WZT231" s="830"/>
      <c r="WZU231" s="830"/>
      <c r="WZV231" s="830"/>
      <c r="WZW231" s="830"/>
      <c r="WZX231" s="830"/>
      <c r="WZY231" s="830"/>
      <c r="WZZ231" s="830"/>
      <c r="XAA231" s="830"/>
      <c r="XAB231" s="830"/>
      <c r="XAC231" s="830"/>
      <c r="XAD231" s="830"/>
      <c r="XAE231" s="830"/>
      <c r="XAF231" s="830"/>
      <c r="XAG231" s="830"/>
      <c r="XAH231" s="830"/>
      <c r="XAI231" s="830"/>
      <c r="XAJ231" s="830"/>
      <c r="XAK231" s="830"/>
      <c r="XAL231" s="830"/>
      <c r="XAM231" s="830"/>
      <c r="XAN231" s="830"/>
      <c r="XAO231" s="830"/>
      <c r="XAP231" s="830"/>
      <c r="XAQ231" s="830"/>
      <c r="XAR231" s="830"/>
      <c r="XAS231" s="830"/>
      <c r="XAT231" s="830"/>
      <c r="XAU231" s="830"/>
      <c r="XAV231" s="830"/>
      <c r="XAW231" s="830"/>
      <c r="XAX231" s="830"/>
      <c r="XAY231" s="830"/>
      <c r="XAZ231" s="830"/>
      <c r="XBA231" s="830"/>
      <c r="XBB231" s="830"/>
      <c r="XBC231" s="830"/>
      <c r="XBD231" s="830"/>
      <c r="XBE231" s="830"/>
      <c r="XBF231" s="830"/>
      <c r="XBG231" s="830"/>
      <c r="XBH231" s="830"/>
      <c r="XBI231" s="830"/>
      <c r="XBJ231" s="830"/>
      <c r="XBK231" s="830"/>
      <c r="XBL231" s="830"/>
      <c r="XBM231" s="830"/>
      <c r="XBN231" s="830"/>
      <c r="XBO231" s="830"/>
      <c r="XBP231" s="830"/>
      <c r="XBQ231" s="830"/>
      <c r="XBR231" s="830"/>
      <c r="XBS231" s="830"/>
      <c r="XBT231" s="830"/>
      <c r="XBU231" s="830"/>
      <c r="XBV231" s="830"/>
      <c r="XBW231" s="830"/>
      <c r="XBX231" s="830"/>
      <c r="XBY231" s="830"/>
      <c r="XBZ231" s="830"/>
      <c r="XCA231" s="830"/>
      <c r="XCB231" s="830"/>
      <c r="XCC231" s="830"/>
      <c r="XCD231" s="830"/>
      <c r="XCE231" s="830"/>
      <c r="XCF231" s="830"/>
      <c r="XCG231" s="830"/>
      <c r="XCH231" s="830"/>
      <c r="XCI231" s="830"/>
      <c r="XCJ231" s="830"/>
      <c r="XCK231" s="830"/>
      <c r="XCL231" s="830"/>
      <c r="XCM231" s="830"/>
      <c r="XCN231" s="830"/>
      <c r="XCO231" s="830"/>
      <c r="XCP231" s="830"/>
      <c r="XCQ231" s="830"/>
      <c r="XCR231" s="830"/>
      <c r="XCS231" s="830"/>
      <c r="XCT231" s="830"/>
      <c r="XCU231" s="830"/>
      <c r="XCV231" s="830"/>
      <c r="XCW231" s="830"/>
      <c r="XCX231" s="830"/>
      <c r="XCY231" s="830"/>
      <c r="XCZ231" s="830"/>
      <c r="XDA231" s="830"/>
      <c r="XDB231" s="830"/>
      <c r="XDC231" s="830"/>
      <c r="XDD231" s="830"/>
      <c r="XDE231" s="830"/>
      <c r="XDF231" s="830"/>
      <c r="XDG231" s="830"/>
      <c r="XDH231" s="830"/>
      <c r="XDI231" s="830"/>
      <c r="XDJ231" s="830"/>
      <c r="XDK231" s="830"/>
      <c r="XDL231" s="830"/>
      <c r="XDM231" s="830"/>
      <c r="XDN231" s="830"/>
      <c r="XDO231" s="830"/>
      <c r="XDP231" s="830"/>
      <c r="XDQ231" s="830"/>
      <c r="XDR231" s="830"/>
      <c r="XDS231" s="830"/>
      <c r="XDT231" s="830"/>
      <c r="XDU231" s="830"/>
      <c r="XDV231" s="830"/>
      <c r="XDW231" s="830"/>
      <c r="XDX231" s="830"/>
      <c r="XDY231" s="830"/>
      <c r="XDZ231" s="830"/>
      <c r="XEA231" s="830"/>
      <c r="XEB231" s="830"/>
      <c r="XEC231" s="830"/>
      <c r="XED231" s="830"/>
      <c r="XEE231" s="830"/>
      <c r="XEF231" s="830"/>
      <c r="XEG231" s="830"/>
      <c r="XEH231" s="830"/>
      <c r="XEI231" s="830"/>
      <c r="XEJ231" s="830"/>
      <c r="XEK231" s="830"/>
      <c r="XEL231" s="830"/>
      <c r="XEM231" s="830"/>
      <c r="XEN231" s="830"/>
      <c r="XEO231" s="830"/>
      <c r="XEP231" s="830"/>
      <c r="XEQ231" s="830"/>
      <c r="XER231" s="830"/>
      <c r="XES231" s="830"/>
      <c r="XET231" s="830"/>
      <c r="XEU231" s="830"/>
      <c r="XEV231" s="830"/>
      <c r="XEW231" s="830"/>
      <c r="XEX231" s="830"/>
      <c r="XEY231" s="830"/>
      <c r="XEZ231" s="830"/>
      <c r="XFA231" s="830"/>
      <c r="XFB231" s="830"/>
      <c r="XFC231" s="830"/>
      <c r="XFD231" s="830"/>
    </row>
    <row r="232" spans="1:19 16149:16384" ht="13.8">
      <c r="B232" s="807"/>
      <c r="C232" s="808"/>
      <c r="D232" s="839"/>
      <c r="E232" s="808"/>
      <c r="F232" s="813"/>
      <c r="G232" s="746"/>
      <c r="H232" s="752">
        <v>0</v>
      </c>
      <c r="I232" s="753"/>
      <c r="J232" s="745"/>
      <c r="M232" s="814"/>
      <c r="N232" s="814"/>
      <c r="WWC232" s="830"/>
      <c r="WWD232" s="830"/>
      <c r="WWE232" s="830"/>
      <c r="WWF232" s="830"/>
      <c r="WWG232" s="830"/>
      <c r="WWH232" s="830"/>
      <c r="WWI232" s="830"/>
      <c r="WWJ232" s="830"/>
      <c r="WWK232" s="830"/>
      <c r="WWL232" s="830"/>
      <c r="WWM232" s="830"/>
      <c r="WWN232" s="830"/>
      <c r="WWO232" s="830"/>
      <c r="WWP232" s="830"/>
      <c r="WWQ232" s="830"/>
      <c r="WWR232" s="830"/>
      <c r="WWS232" s="830"/>
      <c r="WWT232" s="830"/>
      <c r="WWU232" s="830"/>
      <c r="WWV232" s="830"/>
      <c r="WWW232" s="830"/>
      <c r="WWX232" s="830"/>
      <c r="WWY232" s="830"/>
      <c r="WWZ232" s="830"/>
      <c r="WXA232" s="830"/>
      <c r="WXB232" s="830"/>
      <c r="WXC232" s="830"/>
      <c r="WXD232" s="830"/>
      <c r="WXE232" s="830"/>
      <c r="WXF232" s="830"/>
      <c r="WXG232" s="830"/>
      <c r="WXH232" s="830"/>
      <c r="WXI232" s="830"/>
      <c r="WXJ232" s="830"/>
      <c r="WXK232" s="830"/>
      <c r="WXL232" s="830"/>
      <c r="WXM232" s="830"/>
      <c r="WXN232" s="830"/>
      <c r="WXO232" s="830"/>
      <c r="WXP232" s="830"/>
      <c r="WXQ232" s="830"/>
      <c r="WXR232" s="830"/>
      <c r="WXS232" s="830"/>
      <c r="WXT232" s="830"/>
      <c r="WXU232" s="830"/>
      <c r="WXV232" s="830"/>
      <c r="WXW232" s="830"/>
      <c r="WXX232" s="830"/>
      <c r="WXY232" s="830"/>
      <c r="WXZ232" s="830"/>
      <c r="WYA232" s="830"/>
      <c r="WYB232" s="830"/>
      <c r="WYC232" s="830"/>
      <c r="WYD232" s="830"/>
      <c r="WYE232" s="830"/>
      <c r="WYF232" s="830"/>
      <c r="WYG232" s="830"/>
      <c r="WYH232" s="830"/>
      <c r="WYI232" s="830"/>
      <c r="WYJ232" s="830"/>
      <c r="WYK232" s="830"/>
      <c r="WYL232" s="830"/>
      <c r="WYM232" s="830"/>
      <c r="WYN232" s="830"/>
      <c r="WYO232" s="830"/>
      <c r="WYP232" s="830"/>
      <c r="WYQ232" s="830"/>
      <c r="WYR232" s="830"/>
      <c r="WYS232" s="830"/>
      <c r="WYT232" s="830"/>
      <c r="WYU232" s="830"/>
      <c r="WYV232" s="830"/>
      <c r="WYW232" s="830"/>
      <c r="WYX232" s="830"/>
      <c r="WYY232" s="830"/>
      <c r="WYZ232" s="830"/>
      <c r="WZA232" s="830"/>
      <c r="WZB232" s="830"/>
      <c r="WZC232" s="830"/>
      <c r="WZD232" s="830"/>
      <c r="WZE232" s="830"/>
      <c r="WZF232" s="830"/>
      <c r="WZG232" s="830"/>
      <c r="WZH232" s="830"/>
      <c r="WZI232" s="830"/>
      <c r="WZJ232" s="830"/>
      <c r="WZK232" s="830"/>
      <c r="WZL232" s="830"/>
      <c r="WZM232" s="830"/>
      <c r="WZN232" s="830"/>
      <c r="WZO232" s="830"/>
      <c r="WZP232" s="830"/>
      <c r="WZQ232" s="830"/>
      <c r="WZR232" s="830"/>
      <c r="WZS232" s="830"/>
      <c r="WZT232" s="830"/>
      <c r="WZU232" s="830"/>
      <c r="WZV232" s="830"/>
      <c r="WZW232" s="830"/>
      <c r="WZX232" s="830"/>
      <c r="WZY232" s="830"/>
      <c r="WZZ232" s="830"/>
      <c r="XAA232" s="830"/>
      <c r="XAB232" s="830"/>
      <c r="XAC232" s="830"/>
      <c r="XAD232" s="830"/>
      <c r="XAE232" s="830"/>
      <c r="XAF232" s="830"/>
      <c r="XAG232" s="830"/>
      <c r="XAH232" s="830"/>
      <c r="XAI232" s="830"/>
      <c r="XAJ232" s="830"/>
      <c r="XAK232" s="830"/>
      <c r="XAL232" s="830"/>
      <c r="XAM232" s="830"/>
      <c r="XAN232" s="830"/>
      <c r="XAO232" s="830"/>
      <c r="XAP232" s="830"/>
      <c r="XAQ232" s="830"/>
      <c r="XAR232" s="830"/>
      <c r="XAS232" s="830"/>
      <c r="XAT232" s="830"/>
      <c r="XAU232" s="830"/>
      <c r="XAV232" s="830"/>
      <c r="XAW232" s="830"/>
      <c r="XAX232" s="830"/>
      <c r="XAY232" s="830"/>
      <c r="XAZ232" s="830"/>
      <c r="XBA232" s="830"/>
      <c r="XBB232" s="830"/>
      <c r="XBC232" s="830"/>
      <c r="XBD232" s="830"/>
      <c r="XBE232" s="830"/>
      <c r="XBF232" s="830"/>
      <c r="XBG232" s="830"/>
      <c r="XBH232" s="830"/>
      <c r="XBI232" s="830"/>
      <c r="XBJ232" s="830"/>
      <c r="XBK232" s="830"/>
      <c r="XBL232" s="830"/>
      <c r="XBM232" s="830"/>
      <c r="XBN232" s="830"/>
      <c r="XBO232" s="830"/>
      <c r="XBP232" s="830"/>
      <c r="XBQ232" s="830"/>
      <c r="XBR232" s="830"/>
      <c r="XBS232" s="830"/>
      <c r="XBT232" s="830"/>
      <c r="XBU232" s="830"/>
      <c r="XBV232" s="830"/>
      <c r="XBW232" s="830"/>
      <c r="XBX232" s="830"/>
      <c r="XBY232" s="830"/>
      <c r="XBZ232" s="830"/>
      <c r="XCA232" s="830"/>
      <c r="XCB232" s="830"/>
      <c r="XCC232" s="830"/>
      <c r="XCD232" s="830"/>
      <c r="XCE232" s="830"/>
      <c r="XCF232" s="830"/>
      <c r="XCG232" s="830"/>
      <c r="XCH232" s="830"/>
      <c r="XCI232" s="830"/>
      <c r="XCJ232" s="830"/>
      <c r="XCK232" s="830"/>
      <c r="XCL232" s="830"/>
      <c r="XCM232" s="830"/>
      <c r="XCN232" s="830"/>
      <c r="XCO232" s="830"/>
      <c r="XCP232" s="830"/>
      <c r="XCQ232" s="830"/>
      <c r="XCR232" s="830"/>
      <c r="XCS232" s="830"/>
      <c r="XCT232" s="830"/>
      <c r="XCU232" s="830"/>
      <c r="XCV232" s="830"/>
      <c r="XCW232" s="830"/>
      <c r="XCX232" s="830"/>
      <c r="XCY232" s="830"/>
      <c r="XCZ232" s="830"/>
      <c r="XDA232" s="830"/>
      <c r="XDB232" s="830"/>
      <c r="XDC232" s="830"/>
      <c r="XDD232" s="830"/>
      <c r="XDE232" s="830"/>
      <c r="XDF232" s="830"/>
      <c r="XDG232" s="830"/>
      <c r="XDH232" s="830"/>
      <c r="XDI232" s="830"/>
      <c r="XDJ232" s="830"/>
      <c r="XDK232" s="830"/>
      <c r="XDL232" s="830"/>
      <c r="XDM232" s="830"/>
      <c r="XDN232" s="830"/>
      <c r="XDO232" s="830"/>
      <c r="XDP232" s="830"/>
      <c r="XDQ232" s="830"/>
      <c r="XDR232" s="830"/>
      <c r="XDS232" s="830"/>
      <c r="XDT232" s="830"/>
      <c r="XDU232" s="830"/>
      <c r="XDV232" s="830"/>
      <c r="XDW232" s="830"/>
      <c r="XDX232" s="830"/>
      <c r="XDY232" s="830"/>
      <c r="XDZ232" s="830"/>
      <c r="XEA232" s="830"/>
      <c r="XEB232" s="830"/>
      <c r="XEC232" s="830"/>
      <c r="XED232" s="830"/>
      <c r="XEE232" s="830"/>
      <c r="XEF232" s="830"/>
      <c r="XEG232" s="830"/>
      <c r="XEH232" s="830"/>
      <c r="XEI232" s="830"/>
      <c r="XEJ232" s="830"/>
      <c r="XEK232" s="830"/>
      <c r="XEL232" s="830"/>
      <c r="XEM232" s="830"/>
      <c r="XEN232" s="830"/>
      <c r="XEO232" s="830"/>
      <c r="XEP232" s="830"/>
      <c r="XEQ232" s="830"/>
      <c r="XER232" s="830"/>
      <c r="XES232" s="830"/>
      <c r="XET232" s="830"/>
      <c r="XEU232" s="830"/>
      <c r="XEV232" s="830"/>
      <c r="XEW232" s="830"/>
      <c r="XEX232" s="830"/>
      <c r="XEY232" s="830"/>
      <c r="XEZ232" s="830"/>
      <c r="XFA232" s="830"/>
      <c r="XFB232" s="830"/>
      <c r="XFC232" s="830"/>
      <c r="XFD232" s="830"/>
    </row>
    <row r="233" spans="1:19 16149:16384" ht="13.8">
      <c r="A233" t="s">
        <v>1227</v>
      </c>
      <c r="B233" s="807" t="s">
        <v>5175</v>
      </c>
      <c r="C233" s="808"/>
      <c r="D233" s="807" t="s">
        <v>5176</v>
      </c>
      <c r="E233" s="808" t="s">
        <v>5093</v>
      </c>
      <c r="F233" s="813">
        <v>2</v>
      </c>
      <c r="G233" s="746"/>
      <c r="H233" s="752">
        <v>0</v>
      </c>
      <c r="I233" s="753"/>
      <c r="J233" s="745"/>
      <c r="M233" s="814">
        <v>28500</v>
      </c>
      <c r="N233" s="814">
        <v>18000</v>
      </c>
      <c r="WWC233" s="830"/>
      <c r="WWD233" s="830"/>
      <c r="WWE233" s="830"/>
      <c r="WWF233" s="830"/>
      <c r="WWG233" s="830"/>
      <c r="WWH233" s="830"/>
      <c r="WWI233" s="830"/>
      <c r="WWJ233" s="830"/>
      <c r="WWK233" s="830"/>
      <c r="WWL233" s="830"/>
      <c r="WWM233" s="830"/>
      <c r="WWN233" s="830"/>
      <c r="WWO233" s="830"/>
      <c r="WWP233" s="830"/>
      <c r="WWQ233" s="830"/>
      <c r="WWR233" s="830"/>
      <c r="WWS233" s="830"/>
      <c r="WWT233" s="830"/>
      <c r="WWU233" s="830"/>
      <c r="WWV233" s="830"/>
      <c r="WWW233" s="830"/>
      <c r="WWX233" s="830"/>
      <c r="WWY233" s="830"/>
      <c r="WWZ233" s="830"/>
      <c r="WXA233" s="830"/>
      <c r="WXB233" s="830"/>
      <c r="WXC233" s="830"/>
      <c r="WXD233" s="830"/>
      <c r="WXE233" s="830"/>
      <c r="WXF233" s="830"/>
      <c r="WXG233" s="830"/>
      <c r="WXH233" s="830"/>
      <c r="WXI233" s="830"/>
      <c r="WXJ233" s="830"/>
      <c r="WXK233" s="830"/>
      <c r="WXL233" s="830"/>
      <c r="WXM233" s="830"/>
      <c r="WXN233" s="830"/>
      <c r="WXO233" s="830"/>
      <c r="WXP233" s="830"/>
      <c r="WXQ233" s="830"/>
      <c r="WXR233" s="830"/>
      <c r="WXS233" s="830"/>
      <c r="WXT233" s="830"/>
      <c r="WXU233" s="830"/>
      <c r="WXV233" s="830"/>
      <c r="WXW233" s="830"/>
      <c r="WXX233" s="830"/>
      <c r="WXY233" s="830"/>
      <c r="WXZ233" s="830"/>
      <c r="WYA233" s="830"/>
      <c r="WYB233" s="830"/>
      <c r="WYC233" s="830"/>
      <c r="WYD233" s="830"/>
      <c r="WYE233" s="830"/>
      <c r="WYF233" s="830"/>
      <c r="WYG233" s="830"/>
      <c r="WYH233" s="830"/>
      <c r="WYI233" s="830"/>
      <c r="WYJ233" s="830"/>
      <c r="WYK233" s="830"/>
      <c r="WYL233" s="830"/>
      <c r="WYM233" s="830"/>
      <c r="WYN233" s="830"/>
      <c r="WYO233" s="830"/>
      <c r="WYP233" s="830"/>
      <c r="WYQ233" s="830"/>
      <c r="WYR233" s="830"/>
      <c r="WYS233" s="830"/>
      <c r="WYT233" s="830"/>
      <c r="WYU233" s="830"/>
      <c r="WYV233" s="830"/>
      <c r="WYW233" s="830"/>
      <c r="WYX233" s="830"/>
      <c r="WYY233" s="830"/>
      <c r="WYZ233" s="830"/>
      <c r="WZA233" s="830"/>
      <c r="WZB233" s="830"/>
      <c r="WZC233" s="830"/>
      <c r="WZD233" s="830"/>
      <c r="WZE233" s="830"/>
      <c r="WZF233" s="830"/>
      <c r="WZG233" s="830"/>
      <c r="WZH233" s="830"/>
      <c r="WZI233" s="830"/>
      <c r="WZJ233" s="830"/>
      <c r="WZK233" s="830"/>
      <c r="WZL233" s="830"/>
      <c r="WZM233" s="830"/>
      <c r="WZN233" s="830"/>
      <c r="WZO233" s="830"/>
      <c r="WZP233" s="830"/>
      <c r="WZQ233" s="830"/>
      <c r="WZR233" s="830"/>
      <c r="WZS233" s="830"/>
      <c r="WZT233" s="830"/>
      <c r="WZU233" s="830"/>
      <c r="WZV233" s="830"/>
      <c r="WZW233" s="830"/>
      <c r="WZX233" s="830"/>
      <c r="WZY233" s="830"/>
      <c r="WZZ233" s="830"/>
      <c r="XAA233" s="830"/>
      <c r="XAB233" s="830"/>
      <c r="XAC233" s="830"/>
      <c r="XAD233" s="830"/>
      <c r="XAE233" s="830"/>
      <c r="XAF233" s="830"/>
      <c r="XAG233" s="830"/>
      <c r="XAH233" s="830"/>
      <c r="XAI233" s="830"/>
      <c r="XAJ233" s="830"/>
      <c r="XAK233" s="830"/>
      <c r="XAL233" s="830"/>
      <c r="XAM233" s="830"/>
      <c r="XAN233" s="830"/>
      <c r="XAO233" s="830"/>
      <c r="XAP233" s="830"/>
      <c r="XAQ233" s="830"/>
      <c r="XAR233" s="830"/>
      <c r="XAS233" s="830"/>
      <c r="XAT233" s="830"/>
      <c r="XAU233" s="830"/>
      <c r="XAV233" s="830"/>
      <c r="XAW233" s="830"/>
      <c r="XAX233" s="830"/>
      <c r="XAY233" s="830"/>
      <c r="XAZ233" s="830"/>
      <c r="XBA233" s="830"/>
      <c r="XBB233" s="830"/>
      <c r="XBC233" s="830"/>
      <c r="XBD233" s="830"/>
      <c r="XBE233" s="830"/>
      <c r="XBF233" s="830"/>
      <c r="XBG233" s="830"/>
      <c r="XBH233" s="830"/>
      <c r="XBI233" s="830"/>
      <c r="XBJ233" s="830"/>
      <c r="XBK233" s="830"/>
      <c r="XBL233" s="830"/>
      <c r="XBM233" s="830"/>
      <c r="XBN233" s="830"/>
      <c r="XBO233" s="830"/>
      <c r="XBP233" s="830"/>
      <c r="XBQ233" s="830"/>
      <c r="XBR233" s="830"/>
      <c r="XBS233" s="830"/>
      <c r="XBT233" s="830"/>
      <c r="XBU233" s="830"/>
      <c r="XBV233" s="830"/>
      <c r="XBW233" s="830"/>
      <c r="XBX233" s="830"/>
      <c r="XBY233" s="830"/>
      <c r="XBZ233" s="830"/>
      <c r="XCA233" s="830"/>
      <c r="XCB233" s="830"/>
      <c r="XCC233" s="830"/>
      <c r="XCD233" s="830"/>
      <c r="XCE233" s="830"/>
      <c r="XCF233" s="830"/>
      <c r="XCG233" s="830"/>
      <c r="XCH233" s="830"/>
      <c r="XCI233" s="830"/>
      <c r="XCJ233" s="830"/>
      <c r="XCK233" s="830"/>
      <c r="XCL233" s="830"/>
      <c r="XCM233" s="830"/>
      <c r="XCN233" s="830"/>
      <c r="XCO233" s="830"/>
      <c r="XCP233" s="830"/>
      <c r="XCQ233" s="830"/>
      <c r="XCR233" s="830"/>
      <c r="XCS233" s="830"/>
      <c r="XCT233" s="830"/>
      <c r="XCU233" s="830"/>
      <c r="XCV233" s="830"/>
      <c r="XCW233" s="830"/>
      <c r="XCX233" s="830"/>
      <c r="XCY233" s="830"/>
      <c r="XCZ233" s="830"/>
      <c r="XDA233" s="830"/>
      <c r="XDB233" s="830"/>
      <c r="XDC233" s="830"/>
      <c r="XDD233" s="830"/>
      <c r="XDE233" s="830"/>
      <c r="XDF233" s="830"/>
      <c r="XDG233" s="830"/>
      <c r="XDH233" s="830"/>
      <c r="XDI233" s="830"/>
      <c r="XDJ233" s="830"/>
      <c r="XDK233" s="830"/>
      <c r="XDL233" s="830"/>
      <c r="XDM233" s="830"/>
      <c r="XDN233" s="830"/>
      <c r="XDO233" s="830"/>
      <c r="XDP233" s="830"/>
      <c r="XDQ233" s="830"/>
      <c r="XDR233" s="830"/>
      <c r="XDS233" s="830"/>
      <c r="XDT233" s="830"/>
      <c r="XDU233" s="830"/>
      <c r="XDV233" s="830"/>
      <c r="XDW233" s="830"/>
      <c r="XDX233" s="830"/>
      <c r="XDY233" s="830"/>
      <c r="XDZ233" s="830"/>
      <c r="XEA233" s="830"/>
      <c r="XEB233" s="830"/>
      <c r="XEC233" s="830"/>
      <c r="XED233" s="830"/>
      <c r="XEE233" s="830"/>
      <c r="XEF233" s="830"/>
      <c r="XEG233" s="830"/>
      <c r="XEH233" s="830"/>
      <c r="XEI233" s="830"/>
      <c r="XEJ233" s="830"/>
      <c r="XEK233" s="830"/>
      <c r="XEL233" s="830"/>
      <c r="XEM233" s="830"/>
      <c r="XEN233" s="830"/>
      <c r="XEO233" s="830"/>
      <c r="XEP233" s="830"/>
      <c r="XEQ233" s="830"/>
      <c r="XER233" s="830"/>
      <c r="XES233" s="830"/>
      <c r="XET233" s="830"/>
      <c r="XEU233" s="830"/>
      <c r="XEV233" s="830"/>
      <c r="XEW233" s="830"/>
      <c r="XEX233" s="830"/>
      <c r="XEY233" s="830"/>
      <c r="XEZ233" s="830"/>
      <c r="XFA233" s="830"/>
      <c r="XFB233" s="830"/>
      <c r="XFC233" s="830"/>
      <c r="XFD233" s="830"/>
    </row>
    <row r="234" spans="1:19 16149:16384" ht="13.8">
      <c r="B234" s="835"/>
      <c r="C234" s="836"/>
      <c r="D234" s="807" t="s">
        <v>5177</v>
      </c>
      <c r="E234" s="827"/>
      <c r="F234" s="757"/>
      <c r="G234" s="746"/>
      <c r="H234" s="757"/>
      <c r="I234" s="753"/>
      <c r="J234" s="745"/>
      <c r="M234" s="838"/>
      <c r="N234" s="838"/>
      <c r="WWC234" s="830"/>
      <c r="WWD234" s="830"/>
      <c r="WWE234" s="830"/>
      <c r="WWF234" s="830"/>
      <c r="WWG234" s="830"/>
      <c r="WWH234" s="830"/>
      <c r="WWI234" s="830"/>
      <c r="WWJ234" s="830"/>
      <c r="WWK234" s="830"/>
      <c r="WWL234" s="830"/>
      <c r="WWM234" s="830"/>
      <c r="WWN234" s="830"/>
      <c r="WWO234" s="830"/>
      <c r="WWP234" s="830"/>
      <c r="WWQ234" s="830"/>
      <c r="WWR234" s="830"/>
      <c r="WWS234" s="830"/>
      <c r="WWT234" s="830"/>
      <c r="WWU234" s="830"/>
      <c r="WWV234" s="830"/>
      <c r="WWW234" s="830"/>
      <c r="WWX234" s="830"/>
      <c r="WWY234" s="830"/>
      <c r="WWZ234" s="830"/>
      <c r="WXA234" s="830"/>
      <c r="WXB234" s="830"/>
      <c r="WXC234" s="830"/>
      <c r="WXD234" s="830"/>
      <c r="WXE234" s="830"/>
      <c r="WXF234" s="830"/>
      <c r="WXG234" s="830"/>
      <c r="WXH234" s="830"/>
      <c r="WXI234" s="830"/>
      <c r="WXJ234" s="830"/>
      <c r="WXK234" s="830"/>
      <c r="WXL234" s="830"/>
      <c r="WXM234" s="830"/>
      <c r="WXN234" s="830"/>
      <c r="WXO234" s="830"/>
      <c r="WXP234" s="830"/>
      <c r="WXQ234" s="830"/>
      <c r="WXR234" s="830"/>
      <c r="WXS234" s="830"/>
      <c r="WXT234" s="830"/>
      <c r="WXU234" s="830"/>
      <c r="WXV234" s="830"/>
      <c r="WXW234" s="830"/>
      <c r="WXX234" s="830"/>
      <c r="WXY234" s="830"/>
      <c r="WXZ234" s="830"/>
      <c r="WYA234" s="830"/>
      <c r="WYB234" s="830"/>
      <c r="WYC234" s="830"/>
      <c r="WYD234" s="830"/>
      <c r="WYE234" s="830"/>
      <c r="WYF234" s="830"/>
      <c r="WYG234" s="830"/>
      <c r="WYH234" s="830"/>
      <c r="WYI234" s="830"/>
      <c r="WYJ234" s="830"/>
      <c r="WYK234" s="830"/>
      <c r="WYL234" s="830"/>
      <c r="WYM234" s="830"/>
      <c r="WYN234" s="830"/>
      <c r="WYO234" s="830"/>
      <c r="WYP234" s="830"/>
      <c r="WYQ234" s="830"/>
      <c r="WYR234" s="830"/>
      <c r="WYS234" s="830"/>
      <c r="WYT234" s="830"/>
      <c r="WYU234" s="830"/>
      <c r="WYV234" s="830"/>
      <c r="WYW234" s="830"/>
      <c r="WYX234" s="830"/>
      <c r="WYY234" s="830"/>
      <c r="WYZ234" s="830"/>
      <c r="WZA234" s="830"/>
      <c r="WZB234" s="830"/>
      <c r="WZC234" s="830"/>
      <c r="WZD234" s="830"/>
      <c r="WZE234" s="830"/>
      <c r="WZF234" s="830"/>
      <c r="WZG234" s="830"/>
      <c r="WZH234" s="830"/>
      <c r="WZI234" s="830"/>
      <c r="WZJ234" s="830"/>
      <c r="WZK234" s="830"/>
      <c r="WZL234" s="830"/>
      <c r="WZM234" s="830"/>
      <c r="WZN234" s="830"/>
      <c r="WZO234" s="830"/>
      <c r="WZP234" s="830"/>
      <c r="WZQ234" s="830"/>
      <c r="WZR234" s="830"/>
      <c r="WZS234" s="830"/>
      <c r="WZT234" s="830"/>
      <c r="WZU234" s="830"/>
      <c r="WZV234" s="830"/>
      <c r="WZW234" s="830"/>
      <c r="WZX234" s="830"/>
      <c r="WZY234" s="830"/>
      <c r="WZZ234" s="830"/>
      <c r="XAA234" s="830"/>
      <c r="XAB234" s="830"/>
      <c r="XAC234" s="830"/>
      <c r="XAD234" s="830"/>
      <c r="XAE234" s="830"/>
      <c r="XAF234" s="830"/>
      <c r="XAG234" s="830"/>
      <c r="XAH234" s="830"/>
      <c r="XAI234" s="830"/>
      <c r="XAJ234" s="830"/>
      <c r="XAK234" s="830"/>
      <c r="XAL234" s="830"/>
      <c r="XAM234" s="830"/>
      <c r="XAN234" s="830"/>
      <c r="XAO234" s="830"/>
      <c r="XAP234" s="830"/>
      <c r="XAQ234" s="830"/>
      <c r="XAR234" s="830"/>
      <c r="XAS234" s="830"/>
      <c r="XAT234" s="830"/>
      <c r="XAU234" s="830"/>
      <c r="XAV234" s="830"/>
      <c r="XAW234" s="830"/>
      <c r="XAX234" s="830"/>
      <c r="XAY234" s="830"/>
      <c r="XAZ234" s="830"/>
      <c r="XBA234" s="830"/>
      <c r="XBB234" s="830"/>
      <c r="XBC234" s="830"/>
      <c r="XBD234" s="830"/>
      <c r="XBE234" s="830"/>
      <c r="XBF234" s="830"/>
      <c r="XBG234" s="830"/>
      <c r="XBH234" s="830"/>
      <c r="XBI234" s="830"/>
      <c r="XBJ234" s="830"/>
      <c r="XBK234" s="830"/>
      <c r="XBL234" s="830"/>
      <c r="XBM234" s="830"/>
      <c r="XBN234" s="830"/>
      <c r="XBO234" s="830"/>
      <c r="XBP234" s="830"/>
      <c r="XBQ234" s="830"/>
      <c r="XBR234" s="830"/>
      <c r="XBS234" s="830"/>
      <c r="XBT234" s="830"/>
      <c r="XBU234" s="830"/>
      <c r="XBV234" s="830"/>
      <c r="XBW234" s="830"/>
      <c r="XBX234" s="830"/>
      <c r="XBY234" s="830"/>
      <c r="XBZ234" s="830"/>
      <c r="XCA234" s="830"/>
      <c r="XCB234" s="830"/>
      <c r="XCC234" s="830"/>
      <c r="XCD234" s="830"/>
      <c r="XCE234" s="830"/>
      <c r="XCF234" s="830"/>
      <c r="XCG234" s="830"/>
      <c r="XCH234" s="830"/>
      <c r="XCI234" s="830"/>
      <c r="XCJ234" s="830"/>
      <c r="XCK234" s="830"/>
      <c r="XCL234" s="830"/>
      <c r="XCM234" s="830"/>
      <c r="XCN234" s="830"/>
      <c r="XCO234" s="830"/>
      <c r="XCP234" s="830"/>
      <c r="XCQ234" s="830"/>
      <c r="XCR234" s="830"/>
      <c r="XCS234" s="830"/>
      <c r="XCT234" s="830"/>
      <c r="XCU234" s="830"/>
      <c r="XCV234" s="830"/>
      <c r="XCW234" s="830"/>
      <c r="XCX234" s="830"/>
      <c r="XCY234" s="830"/>
      <c r="XCZ234" s="830"/>
      <c r="XDA234" s="830"/>
      <c r="XDB234" s="830"/>
      <c r="XDC234" s="830"/>
      <c r="XDD234" s="830"/>
      <c r="XDE234" s="830"/>
      <c r="XDF234" s="830"/>
      <c r="XDG234" s="830"/>
      <c r="XDH234" s="830"/>
      <c r="XDI234" s="830"/>
      <c r="XDJ234" s="830"/>
      <c r="XDK234" s="830"/>
      <c r="XDL234" s="830"/>
      <c r="XDM234" s="830"/>
      <c r="XDN234" s="830"/>
      <c r="XDO234" s="830"/>
      <c r="XDP234" s="830"/>
      <c r="XDQ234" s="830"/>
      <c r="XDR234" s="830"/>
      <c r="XDS234" s="830"/>
      <c r="XDT234" s="830"/>
      <c r="XDU234" s="830"/>
      <c r="XDV234" s="830"/>
      <c r="XDW234" s="830"/>
      <c r="XDX234" s="830"/>
      <c r="XDY234" s="830"/>
      <c r="XDZ234" s="830"/>
      <c r="XEA234" s="830"/>
      <c r="XEB234" s="830"/>
      <c r="XEC234" s="830"/>
      <c r="XED234" s="830"/>
      <c r="XEE234" s="830"/>
      <c r="XEF234" s="830"/>
      <c r="XEG234" s="830"/>
      <c r="XEH234" s="830"/>
      <c r="XEI234" s="830"/>
      <c r="XEJ234" s="830"/>
      <c r="XEK234" s="830"/>
      <c r="XEL234" s="830"/>
      <c r="XEM234" s="830"/>
      <c r="XEN234" s="830"/>
      <c r="XEO234" s="830"/>
      <c r="XEP234" s="830"/>
      <c r="XEQ234" s="830"/>
      <c r="XER234" s="830"/>
      <c r="XES234" s="830"/>
      <c r="XET234" s="830"/>
      <c r="XEU234" s="830"/>
      <c r="XEV234" s="830"/>
      <c r="XEW234" s="830"/>
      <c r="XEX234" s="830"/>
      <c r="XEY234" s="830"/>
      <c r="XEZ234" s="830"/>
      <c r="XFA234" s="830"/>
      <c r="XFB234" s="830"/>
      <c r="XFC234" s="830"/>
      <c r="XFD234" s="830"/>
    </row>
    <row r="235" spans="1:19 16149:16384" ht="13.8">
      <c r="B235" s="835"/>
      <c r="C235" s="836"/>
      <c r="D235" s="807" t="s">
        <v>5178</v>
      </c>
      <c r="E235" s="808"/>
      <c r="F235" s="813"/>
      <c r="G235" s="746"/>
      <c r="H235" s="813"/>
      <c r="I235" s="753"/>
      <c r="J235" s="745"/>
      <c r="M235" s="814"/>
      <c r="N235" s="814"/>
      <c r="WWC235" s="830"/>
      <c r="WWD235" s="830"/>
      <c r="WWE235" s="830"/>
      <c r="WWF235" s="830"/>
      <c r="WWG235" s="830"/>
      <c r="WWH235" s="830"/>
      <c r="WWI235" s="830"/>
      <c r="WWJ235" s="830"/>
      <c r="WWK235" s="830"/>
      <c r="WWL235" s="830"/>
      <c r="WWM235" s="830"/>
      <c r="WWN235" s="830"/>
      <c r="WWO235" s="830"/>
      <c r="WWP235" s="830"/>
      <c r="WWQ235" s="830"/>
      <c r="WWR235" s="830"/>
      <c r="WWS235" s="830"/>
      <c r="WWT235" s="830"/>
      <c r="WWU235" s="830"/>
      <c r="WWV235" s="830"/>
      <c r="WWW235" s="830"/>
      <c r="WWX235" s="830"/>
      <c r="WWY235" s="830"/>
      <c r="WWZ235" s="830"/>
      <c r="WXA235" s="830"/>
      <c r="WXB235" s="830"/>
      <c r="WXC235" s="830"/>
      <c r="WXD235" s="830"/>
      <c r="WXE235" s="830"/>
      <c r="WXF235" s="830"/>
      <c r="WXG235" s="830"/>
      <c r="WXH235" s="830"/>
      <c r="WXI235" s="830"/>
      <c r="WXJ235" s="830"/>
      <c r="WXK235" s="830"/>
      <c r="WXL235" s="830"/>
      <c r="WXM235" s="830"/>
      <c r="WXN235" s="830"/>
      <c r="WXO235" s="830"/>
      <c r="WXP235" s="830"/>
      <c r="WXQ235" s="830"/>
      <c r="WXR235" s="830"/>
      <c r="WXS235" s="830"/>
      <c r="WXT235" s="830"/>
      <c r="WXU235" s="830"/>
      <c r="WXV235" s="830"/>
      <c r="WXW235" s="830"/>
      <c r="WXX235" s="830"/>
      <c r="WXY235" s="830"/>
      <c r="WXZ235" s="830"/>
      <c r="WYA235" s="830"/>
      <c r="WYB235" s="830"/>
      <c r="WYC235" s="830"/>
      <c r="WYD235" s="830"/>
      <c r="WYE235" s="830"/>
      <c r="WYF235" s="830"/>
      <c r="WYG235" s="830"/>
      <c r="WYH235" s="830"/>
      <c r="WYI235" s="830"/>
      <c r="WYJ235" s="830"/>
      <c r="WYK235" s="830"/>
      <c r="WYL235" s="830"/>
      <c r="WYM235" s="830"/>
      <c r="WYN235" s="830"/>
      <c r="WYO235" s="830"/>
      <c r="WYP235" s="830"/>
      <c r="WYQ235" s="830"/>
      <c r="WYR235" s="830"/>
      <c r="WYS235" s="830"/>
      <c r="WYT235" s="830"/>
      <c r="WYU235" s="830"/>
      <c r="WYV235" s="830"/>
      <c r="WYW235" s="830"/>
      <c r="WYX235" s="830"/>
      <c r="WYY235" s="830"/>
      <c r="WYZ235" s="830"/>
      <c r="WZA235" s="830"/>
      <c r="WZB235" s="830"/>
      <c r="WZC235" s="830"/>
      <c r="WZD235" s="830"/>
      <c r="WZE235" s="830"/>
      <c r="WZF235" s="830"/>
      <c r="WZG235" s="830"/>
      <c r="WZH235" s="830"/>
      <c r="WZI235" s="830"/>
      <c r="WZJ235" s="830"/>
      <c r="WZK235" s="830"/>
      <c r="WZL235" s="830"/>
      <c r="WZM235" s="830"/>
      <c r="WZN235" s="830"/>
      <c r="WZO235" s="830"/>
      <c r="WZP235" s="830"/>
      <c r="WZQ235" s="830"/>
      <c r="WZR235" s="830"/>
      <c r="WZS235" s="830"/>
      <c r="WZT235" s="830"/>
      <c r="WZU235" s="830"/>
      <c r="WZV235" s="830"/>
      <c r="WZW235" s="830"/>
      <c r="WZX235" s="830"/>
      <c r="WZY235" s="830"/>
      <c r="WZZ235" s="830"/>
      <c r="XAA235" s="830"/>
      <c r="XAB235" s="830"/>
      <c r="XAC235" s="830"/>
      <c r="XAD235" s="830"/>
      <c r="XAE235" s="830"/>
      <c r="XAF235" s="830"/>
      <c r="XAG235" s="830"/>
      <c r="XAH235" s="830"/>
      <c r="XAI235" s="830"/>
      <c r="XAJ235" s="830"/>
      <c r="XAK235" s="830"/>
      <c r="XAL235" s="830"/>
      <c r="XAM235" s="830"/>
      <c r="XAN235" s="830"/>
      <c r="XAO235" s="830"/>
      <c r="XAP235" s="830"/>
      <c r="XAQ235" s="830"/>
      <c r="XAR235" s="830"/>
      <c r="XAS235" s="830"/>
      <c r="XAT235" s="830"/>
      <c r="XAU235" s="830"/>
      <c r="XAV235" s="830"/>
      <c r="XAW235" s="830"/>
      <c r="XAX235" s="830"/>
      <c r="XAY235" s="830"/>
      <c r="XAZ235" s="830"/>
      <c r="XBA235" s="830"/>
      <c r="XBB235" s="830"/>
      <c r="XBC235" s="830"/>
      <c r="XBD235" s="830"/>
      <c r="XBE235" s="830"/>
      <c r="XBF235" s="830"/>
      <c r="XBG235" s="830"/>
      <c r="XBH235" s="830"/>
      <c r="XBI235" s="830"/>
      <c r="XBJ235" s="830"/>
      <c r="XBK235" s="830"/>
      <c r="XBL235" s="830"/>
      <c r="XBM235" s="830"/>
      <c r="XBN235" s="830"/>
      <c r="XBO235" s="830"/>
      <c r="XBP235" s="830"/>
      <c r="XBQ235" s="830"/>
      <c r="XBR235" s="830"/>
      <c r="XBS235" s="830"/>
      <c r="XBT235" s="830"/>
      <c r="XBU235" s="830"/>
      <c r="XBV235" s="830"/>
      <c r="XBW235" s="830"/>
      <c r="XBX235" s="830"/>
      <c r="XBY235" s="830"/>
      <c r="XBZ235" s="830"/>
      <c r="XCA235" s="830"/>
      <c r="XCB235" s="830"/>
      <c r="XCC235" s="830"/>
      <c r="XCD235" s="830"/>
      <c r="XCE235" s="830"/>
      <c r="XCF235" s="830"/>
      <c r="XCG235" s="830"/>
      <c r="XCH235" s="830"/>
      <c r="XCI235" s="830"/>
      <c r="XCJ235" s="830"/>
      <c r="XCK235" s="830"/>
      <c r="XCL235" s="830"/>
      <c r="XCM235" s="830"/>
      <c r="XCN235" s="830"/>
      <c r="XCO235" s="830"/>
      <c r="XCP235" s="830"/>
      <c r="XCQ235" s="830"/>
      <c r="XCR235" s="830"/>
      <c r="XCS235" s="830"/>
      <c r="XCT235" s="830"/>
      <c r="XCU235" s="830"/>
      <c r="XCV235" s="830"/>
      <c r="XCW235" s="830"/>
      <c r="XCX235" s="830"/>
      <c r="XCY235" s="830"/>
      <c r="XCZ235" s="830"/>
      <c r="XDA235" s="830"/>
      <c r="XDB235" s="830"/>
      <c r="XDC235" s="830"/>
      <c r="XDD235" s="830"/>
      <c r="XDE235" s="830"/>
      <c r="XDF235" s="830"/>
      <c r="XDG235" s="830"/>
      <c r="XDH235" s="830"/>
      <c r="XDI235" s="830"/>
      <c r="XDJ235" s="830"/>
      <c r="XDK235" s="830"/>
      <c r="XDL235" s="830"/>
      <c r="XDM235" s="830"/>
      <c r="XDN235" s="830"/>
      <c r="XDO235" s="830"/>
      <c r="XDP235" s="830"/>
      <c r="XDQ235" s="830"/>
      <c r="XDR235" s="830"/>
      <c r="XDS235" s="830"/>
      <c r="XDT235" s="830"/>
      <c r="XDU235" s="830"/>
      <c r="XDV235" s="830"/>
      <c r="XDW235" s="830"/>
      <c r="XDX235" s="830"/>
      <c r="XDY235" s="830"/>
      <c r="XDZ235" s="830"/>
      <c r="XEA235" s="830"/>
      <c r="XEB235" s="830"/>
      <c r="XEC235" s="830"/>
      <c r="XED235" s="830"/>
      <c r="XEE235" s="830"/>
      <c r="XEF235" s="830"/>
      <c r="XEG235" s="830"/>
      <c r="XEH235" s="830"/>
      <c r="XEI235" s="830"/>
      <c r="XEJ235" s="830"/>
      <c r="XEK235" s="830"/>
      <c r="XEL235" s="830"/>
      <c r="XEM235" s="830"/>
      <c r="XEN235" s="830"/>
      <c r="XEO235" s="830"/>
      <c r="XEP235" s="830"/>
      <c r="XEQ235" s="830"/>
      <c r="XER235" s="830"/>
      <c r="XES235" s="830"/>
      <c r="XET235" s="830"/>
      <c r="XEU235" s="830"/>
      <c r="XEV235" s="830"/>
      <c r="XEW235" s="830"/>
      <c r="XEX235" s="830"/>
      <c r="XEY235" s="830"/>
      <c r="XEZ235" s="830"/>
      <c r="XFA235" s="830"/>
      <c r="XFB235" s="830"/>
      <c r="XFC235" s="830"/>
      <c r="XFD235" s="830"/>
    </row>
    <row r="236" spans="1:19 16149:16384" ht="13.8">
      <c r="B236" s="835"/>
      <c r="C236" s="836"/>
      <c r="D236" s="807"/>
      <c r="E236" s="808"/>
      <c r="F236" s="813"/>
      <c r="G236" s="746"/>
      <c r="H236" s="813"/>
      <c r="I236" s="753"/>
      <c r="J236" s="745"/>
      <c r="M236" s="814"/>
      <c r="N236" s="814"/>
      <c r="WWC236" s="830"/>
      <c r="WWD236" s="830"/>
      <c r="WWE236" s="830"/>
      <c r="WWF236" s="830"/>
      <c r="WWG236" s="830"/>
      <c r="WWH236" s="830"/>
      <c r="WWI236" s="830"/>
      <c r="WWJ236" s="830"/>
      <c r="WWK236" s="830"/>
      <c r="WWL236" s="830"/>
      <c r="WWM236" s="830"/>
      <c r="WWN236" s="830"/>
      <c r="WWO236" s="830"/>
      <c r="WWP236" s="830"/>
      <c r="WWQ236" s="830"/>
      <c r="WWR236" s="830"/>
      <c r="WWS236" s="830"/>
      <c r="WWT236" s="830"/>
      <c r="WWU236" s="830"/>
      <c r="WWV236" s="830"/>
      <c r="WWW236" s="830"/>
      <c r="WWX236" s="830"/>
      <c r="WWY236" s="830"/>
      <c r="WWZ236" s="830"/>
      <c r="WXA236" s="830"/>
      <c r="WXB236" s="830"/>
      <c r="WXC236" s="830"/>
      <c r="WXD236" s="830"/>
      <c r="WXE236" s="830"/>
      <c r="WXF236" s="830"/>
      <c r="WXG236" s="830"/>
      <c r="WXH236" s="830"/>
      <c r="WXI236" s="830"/>
      <c r="WXJ236" s="830"/>
      <c r="WXK236" s="830"/>
      <c r="WXL236" s="830"/>
      <c r="WXM236" s="830"/>
      <c r="WXN236" s="830"/>
      <c r="WXO236" s="830"/>
      <c r="WXP236" s="830"/>
      <c r="WXQ236" s="830"/>
      <c r="WXR236" s="830"/>
      <c r="WXS236" s="830"/>
      <c r="WXT236" s="830"/>
      <c r="WXU236" s="830"/>
      <c r="WXV236" s="830"/>
      <c r="WXW236" s="830"/>
      <c r="WXX236" s="830"/>
      <c r="WXY236" s="830"/>
      <c r="WXZ236" s="830"/>
      <c r="WYA236" s="830"/>
      <c r="WYB236" s="830"/>
      <c r="WYC236" s="830"/>
      <c r="WYD236" s="830"/>
      <c r="WYE236" s="830"/>
      <c r="WYF236" s="830"/>
      <c r="WYG236" s="830"/>
      <c r="WYH236" s="830"/>
      <c r="WYI236" s="830"/>
      <c r="WYJ236" s="830"/>
      <c r="WYK236" s="830"/>
      <c r="WYL236" s="830"/>
      <c r="WYM236" s="830"/>
      <c r="WYN236" s="830"/>
      <c r="WYO236" s="830"/>
      <c r="WYP236" s="830"/>
      <c r="WYQ236" s="830"/>
      <c r="WYR236" s="830"/>
      <c r="WYS236" s="830"/>
      <c r="WYT236" s="830"/>
      <c r="WYU236" s="830"/>
      <c r="WYV236" s="830"/>
      <c r="WYW236" s="830"/>
      <c r="WYX236" s="830"/>
      <c r="WYY236" s="830"/>
      <c r="WYZ236" s="830"/>
      <c r="WZA236" s="830"/>
      <c r="WZB236" s="830"/>
      <c r="WZC236" s="830"/>
      <c r="WZD236" s="830"/>
      <c r="WZE236" s="830"/>
      <c r="WZF236" s="830"/>
      <c r="WZG236" s="830"/>
      <c r="WZH236" s="830"/>
      <c r="WZI236" s="830"/>
      <c r="WZJ236" s="830"/>
      <c r="WZK236" s="830"/>
      <c r="WZL236" s="830"/>
      <c r="WZM236" s="830"/>
      <c r="WZN236" s="830"/>
      <c r="WZO236" s="830"/>
      <c r="WZP236" s="830"/>
      <c r="WZQ236" s="830"/>
      <c r="WZR236" s="830"/>
      <c r="WZS236" s="830"/>
      <c r="WZT236" s="830"/>
      <c r="WZU236" s="830"/>
      <c r="WZV236" s="830"/>
      <c r="WZW236" s="830"/>
      <c r="WZX236" s="830"/>
      <c r="WZY236" s="830"/>
      <c r="WZZ236" s="830"/>
      <c r="XAA236" s="830"/>
      <c r="XAB236" s="830"/>
      <c r="XAC236" s="830"/>
      <c r="XAD236" s="830"/>
      <c r="XAE236" s="830"/>
      <c r="XAF236" s="830"/>
      <c r="XAG236" s="830"/>
      <c r="XAH236" s="830"/>
      <c r="XAI236" s="830"/>
      <c r="XAJ236" s="830"/>
      <c r="XAK236" s="830"/>
      <c r="XAL236" s="830"/>
      <c r="XAM236" s="830"/>
      <c r="XAN236" s="830"/>
      <c r="XAO236" s="830"/>
      <c r="XAP236" s="830"/>
      <c r="XAQ236" s="830"/>
      <c r="XAR236" s="830"/>
      <c r="XAS236" s="830"/>
      <c r="XAT236" s="830"/>
      <c r="XAU236" s="830"/>
      <c r="XAV236" s="830"/>
      <c r="XAW236" s="830"/>
      <c r="XAX236" s="830"/>
      <c r="XAY236" s="830"/>
      <c r="XAZ236" s="830"/>
      <c r="XBA236" s="830"/>
      <c r="XBB236" s="830"/>
      <c r="XBC236" s="830"/>
      <c r="XBD236" s="830"/>
      <c r="XBE236" s="830"/>
      <c r="XBF236" s="830"/>
      <c r="XBG236" s="830"/>
      <c r="XBH236" s="830"/>
      <c r="XBI236" s="830"/>
      <c r="XBJ236" s="830"/>
      <c r="XBK236" s="830"/>
      <c r="XBL236" s="830"/>
      <c r="XBM236" s="830"/>
      <c r="XBN236" s="830"/>
      <c r="XBO236" s="830"/>
      <c r="XBP236" s="830"/>
      <c r="XBQ236" s="830"/>
      <c r="XBR236" s="830"/>
      <c r="XBS236" s="830"/>
      <c r="XBT236" s="830"/>
      <c r="XBU236" s="830"/>
      <c r="XBV236" s="830"/>
      <c r="XBW236" s="830"/>
      <c r="XBX236" s="830"/>
      <c r="XBY236" s="830"/>
      <c r="XBZ236" s="830"/>
      <c r="XCA236" s="830"/>
      <c r="XCB236" s="830"/>
      <c r="XCC236" s="830"/>
      <c r="XCD236" s="830"/>
      <c r="XCE236" s="830"/>
      <c r="XCF236" s="830"/>
      <c r="XCG236" s="830"/>
      <c r="XCH236" s="830"/>
      <c r="XCI236" s="830"/>
      <c r="XCJ236" s="830"/>
      <c r="XCK236" s="830"/>
      <c r="XCL236" s="830"/>
      <c r="XCM236" s="830"/>
      <c r="XCN236" s="830"/>
      <c r="XCO236" s="830"/>
      <c r="XCP236" s="830"/>
      <c r="XCQ236" s="830"/>
      <c r="XCR236" s="830"/>
      <c r="XCS236" s="830"/>
      <c r="XCT236" s="830"/>
      <c r="XCU236" s="830"/>
      <c r="XCV236" s="830"/>
      <c r="XCW236" s="830"/>
      <c r="XCX236" s="830"/>
      <c r="XCY236" s="830"/>
      <c r="XCZ236" s="830"/>
      <c r="XDA236" s="830"/>
      <c r="XDB236" s="830"/>
      <c r="XDC236" s="830"/>
      <c r="XDD236" s="830"/>
      <c r="XDE236" s="830"/>
      <c r="XDF236" s="830"/>
      <c r="XDG236" s="830"/>
      <c r="XDH236" s="830"/>
      <c r="XDI236" s="830"/>
      <c r="XDJ236" s="830"/>
      <c r="XDK236" s="830"/>
      <c r="XDL236" s="830"/>
      <c r="XDM236" s="830"/>
      <c r="XDN236" s="830"/>
      <c r="XDO236" s="830"/>
      <c r="XDP236" s="830"/>
      <c r="XDQ236" s="830"/>
      <c r="XDR236" s="830"/>
      <c r="XDS236" s="830"/>
      <c r="XDT236" s="830"/>
      <c r="XDU236" s="830"/>
      <c r="XDV236" s="830"/>
      <c r="XDW236" s="830"/>
      <c r="XDX236" s="830"/>
      <c r="XDY236" s="830"/>
      <c r="XDZ236" s="830"/>
      <c r="XEA236" s="830"/>
      <c r="XEB236" s="830"/>
      <c r="XEC236" s="830"/>
      <c r="XED236" s="830"/>
      <c r="XEE236" s="830"/>
      <c r="XEF236" s="830"/>
      <c r="XEG236" s="830"/>
      <c r="XEH236" s="830"/>
      <c r="XEI236" s="830"/>
      <c r="XEJ236" s="830"/>
      <c r="XEK236" s="830"/>
      <c r="XEL236" s="830"/>
      <c r="XEM236" s="830"/>
      <c r="XEN236" s="830"/>
      <c r="XEO236" s="830"/>
      <c r="XEP236" s="830"/>
      <c r="XEQ236" s="830"/>
      <c r="XER236" s="830"/>
      <c r="XES236" s="830"/>
      <c r="XET236" s="830"/>
      <c r="XEU236" s="830"/>
      <c r="XEV236" s="830"/>
      <c r="XEW236" s="830"/>
      <c r="XEX236" s="830"/>
      <c r="XEY236" s="830"/>
      <c r="XEZ236" s="830"/>
      <c r="XFA236" s="830"/>
      <c r="XFB236" s="830"/>
      <c r="XFC236" s="830"/>
      <c r="XFD236" s="830"/>
    </row>
    <row r="237" spans="1:19 16149:16384" s="830" customFormat="1" ht="13.8">
      <c r="A237" s="830" t="s">
        <v>1227</v>
      </c>
      <c r="B237" s="807" t="s">
        <v>5179</v>
      </c>
      <c r="C237" s="836"/>
      <c r="D237" s="807" t="s">
        <v>5180</v>
      </c>
      <c r="E237" s="808" t="s">
        <v>5093</v>
      </c>
      <c r="F237" s="813">
        <v>2</v>
      </c>
      <c r="G237" s="746"/>
      <c r="H237" s="752">
        <v>0</v>
      </c>
      <c r="I237" s="815" t="s">
        <v>5096</v>
      </c>
      <c r="J237" s="754">
        <v>100307</v>
      </c>
      <c r="M237" s="814">
        <v>1073.97</v>
      </c>
      <c r="N237" s="814"/>
      <c r="S237" s="840"/>
    </row>
    <row r="238" spans="1:19 16149:16384" s="830" customFormat="1" ht="13.8">
      <c r="B238" s="835"/>
      <c r="C238" s="836"/>
      <c r="D238" s="807" t="s">
        <v>5181</v>
      </c>
      <c r="E238" s="808"/>
      <c r="F238" s="813"/>
      <c r="G238" s="746"/>
      <c r="H238" s="813"/>
      <c r="I238" s="753"/>
      <c r="J238" s="745"/>
      <c r="M238" s="814"/>
      <c r="N238" s="814"/>
      <c r="S238" s="840"/>
    </row>
    <row r="239" spans="1:19 16149:16384" s="830" customFormat="1" ht="13.8">
      <c r="B239" s="835"/>
      <c r="C239" s="836"/>
      <c r="D239" s="807" t="s">
        <v>5182</v>
      </c>
      <c r="E239" s="808"/>
      <c r="F239" s="813"/>
      <c r="G239" s="746"/>
      <c r="H239" s="813"/>
      <c r="I239" s="753"/>
      <c r="J239" s="841"/>
      <c r="K239" s="830">
        <v>0</v>
      </c>
      <c r="M239" s="814"/>
      <c r="N239" s="814"/>
      <c r="S239" s="840"/>
    </row>
    <row r="240" spans="1:19 16149:16384" s="830" customFormat="1" ht="13.8">
      <c r="B240" s="835"/>
      <c r="C240" s="836"/>
      <c r="D240" s="807" t="s">
        <v>5183</v>
      </c>
      <c r="E240" s="808"/>
      <c r="F240" s="813"/>
      <c r="G240" s="746"/>
      <c r="H240" s="813"/>
      <c r="I240" s="753"/>
      <c r="J240" s="841"/>
      <c r="K240" s="830">
        <v>0</v>
      </c>
      <c r="M240" s="814"/>
      <c r="N240" s="814"/>
      <c r="S240" s="840"/>
      <c r="WWC240"/>
      <c r="WWD240"/>
      <c r="WWE240"/>
      <c r="WWF240"/>
      <c r="WWG240"/>
      <c r="WWH240"/>
      <c r="WWI240"/>
      <c r="WWJ240"/>
      <c r="WWK240"/>
      <c r="WWL240"/>
      <c r="WWM240"/>
      <c r="WWN240"/>
      <c r="WWO240"/>
      <c r="WWP240"/>
      <c r="WWQ240"/>
      <c r="WWR240"/>
      <c r="WWS240"/>
      <c r="WWT240"/>
      <c r="WWU240"/>
      <c r="WWV240"/>
      <c r="WWW240"/>
      <c r="WWX240"/>
      <c r="WWY240"/>
      <c r="WWZ240"/>
      <c r="WXA240"/>
      <c r="WXB240"/>
      <c r="WXC240"/>
      <c r="WXD240"/>
      <c r="WXE240"/>
      <c r="WXF240"/>
      <c r="WXG240"/>
      <c r="WXH240"/>
      <c r="WXI240"/>
      <c r="WXJ240"/>
      <c r="WXK240"/>
      <c r="WXL240"/>
      <c r="WXM240"/>
      <c r="WXN240"/>
      <c r="WXO240"/>
      <c r="WXP240"/>
      <c r="WXQ240"/>
      <c r="WXR240"/>
      <c r="WXS240"/>
      <c r="WXT240"/>
      <c r="WXU240"/>
      <c r="WXV240"/>
      <c r="WXW240"/>
      <c r="WXX240"/>
      <c r="WXY240"/>
      <c r="WXZ240"/>
      <c r="WYA240"/>
      <c r="WYB240"/>
      <c r="WYC240"/>
      <c r="WYD240"/>
      <c r="WYE240"/>
      <c r="WYF240"/>
      <c r="WYG240"/>
      <c r="WYH240"/>
      <c r="WYI240"/>
      <c r="WYJ240"/>
      <c r="WYK240"/>
      <c r="WYL240"/>
      <c r="WYM240"/>
      <c r="WYN240"/>
      <c r="WYO240"/>
      <c r="WYP240"/>
      <c r="WYQ240"/>
      <c r="WYR240"/>
      <c r="WYS240"/>
      <c r="WYT240"/>
      <c r="WYU240"/>
      <c r="WYV240"/>
      <c r="WYW240"/>
      <c r="WYX240"/>
      <c r="WYY240"/>
      <c r="WYZ240"/>
      <c r="WZA240"/>
      <c r="WZB240"/>
      <c r="WZC240"/>
      <c r="WZD240"/>
      <c r="WZE240"/>
      <c r="WZF240"/>
      <c r="WZG240"/>
      <c r="WZH240"/>
      <c r="WZI240"/>
      <c r="WZJ240"/>
      <c r="WZK240"/>
      <c r="WZL240"/>
      <c r="WZM240"/>
      <c r="WZN240"/>
      <c r="WZO240"/>
      <c r="WZP240"/>
      <c r="WZQ240"/>
      <c r="WZR240"/>
      <c r="WZS240"/>
      <c r="WZT240"/>
      <c r="WZU240"/>
      <c r="WZV240"/>
      <c r="WZW240"/>
      <c r="WZX240"/>
      <c r="WZY240"/>
      <c r="WZZ240"/>
      <c r="XAA240"/>
      <c r="XAB240"/>
      <c r="XAC240"/>
      <c r="XAD240"/>
      <c r="XAE240"/>
      <c r="XAF240"/>
      <c r="XAG240"/>
      <c r="XAH240"/>
      <c r="XAI240"/>
      <c r="XAJ240"/>
      <c r="XAK240"/>
      <c r="XAL240"/>
      <c r="XAM240"/>
      <c r="XAN240"/>
      <c r="XAO240"/>
      <c r="XAP240"/>
      <c r="XAQ240"/>
      <c r="XAR240"/>
      <c r="XAS240"/>
      <c r="XAT240"/>
      <c r="XAU240"/>
      <c r="XAV240"/>
      <c r="XAW240"/>
      <c r="XAX240"/>
      <c r="XAY240"/>
      <c r="XAZ240"/>
      <c r="XBA240"/>
      <c r="XBB240"/>
      <c r="XBC240"/>
      <c r="XBD240"/>
      <c r="XBE240"/>
      <c r="XBF240"/>
      <c r="XBG240"/>
      <c r="XBH240"/>
      <c r="XBI240"/>
      <c r="XBJ240"/>
      <c r="XBK240"/>
      <c r="XBL240"/>
      <c r="XBM240"/>
      <c r="XBN240"/>
      <c r="XBO240"/>
      <c r="XBP240"/>
      <c r="XBQ240"/>
      <c r="XBR240"/>
      <c r="XBS240"/>
      <c r="XBT240"/>
      <c r="XBU240"/>
      <c r="XBV240"/>
      <c r="XBW240"/>
      <c r="XBX240"/>
      <c r="XBY240"/>
      <c r="XBZ240"/>
      <c r="XCA240"/>
      <c r="XCB240"/>
      <c r="XCC240"/>
      <c r="XCD240"/>
      <c r="XCE240"/>
      <c r="XCF240"/>
      <c r="XCG240"/>
      <c r="XCH240"/>
      <c r="XCI240"/>
      <c r="XCJ240"/>
      <c r="XCK240"/>
      <c r="XCL240"/>
      <c r="XCM240"/>
      <c r="XCN240"/>
      <c r="XCO240"/>
      <c r="XCP240"/>
      <c r="XCQ240"/>
      <c r="XCR240"/>
      <c r="XCS240"/>
      <c r="XCT240"/>
      <c r="XCU240"/>
      <c r="XCV240"/>
      <c r="XCW240"/>
      <c r="XCX240"/>
      <c r="XCY240"/>
      <c r="XCZ240"/>
      <c r="XDA240"/>
      <c r="XDB240"/>
      <c r="XDC240"/>
      <c r="XDD240"/>
      <c r="XDE240"/>
      <c r="XDF240"/>
      <c r="XDG240"/>
      <c r="XDH240"/>
      <c r="XDI240"/>
      <c r="XDJ240"/>
      <c r="XDK240"/>
      <c r="XDL240"/>
      <c r="XDM240"/>
      <c r="XDN240"/>
      <c r="XDO240"/>
      <c r="XDP240"/>
      <c r="XDQ240"/>
      <c r="XDR240"/>
      <c r="XDS240"/>
      <c r="XDT240"/>
      <c r="XDU240"/>
      <c r="XDV240"/>
      <c r="XDW240"/>
      <c r="XDX240"/>
      <c r="XDY240"/>
      <c r="XDZ240"/>
      <c r="XEA240"/>
      <c r="XEB240"/>
      <c r="XEC240"/>
      <c r="XED240"/>
      <c r="XEE240"/>
      <c r="XEF240"/>
      <c r="XEG240"/>
      <c r="XEH240"/>
      <c r="XEI240"/>
      <c r="XEJ240"/>
      <c r="XEK240"/>
      <c r="XEL240"/>
      <c r="XEM240"/>
      <c r="XEN240"/>
      <c r="XEO240"/>
      <c r="XEP240"/>
      <c r="XEQ240"/>
      <c r="XER240"/>
      <c r="XES240"/>
      <c r="XET240"/>
      <c r="XEU240"/>
      <c r="XEV240"/>
      <c r="XEW240"/>
      <c r="XEX240"/>
      <c r="XEY240"/>
      <c r="XEZ240"/>
      <c r="XFA240"/>
      <c r="XFB240"/>
      <c r="XFC240"/>
      <c r="XFD240"/>
    </row>
    <row r="241" spans="1:19 16149:16384" s="830" customFormat="1" ht="13.8">
      <c r="B241" s="835"/>
      <c r="C241" s="836"/>
      <c r="D241" s="807"/>
      <c r="E241" s="808"/>
      <c r="F241" s="813"/>
      <c r="G241" s="746"/>
      <c r="H241" s="813"/>
      <c r="I241" s="753"/>
      <c r="J241" s="841"/>
      <c r="K241" s="830">
        <v>0</v>
      </c>
      <c r="M241" s="814"/>
      <c r="N241" s="814"/>
      <c r="S241" s="840"/>
      <c r="WWC241"/>
      <c r="WWD241"/>
      <c r="WWE241"/>
      <c r="WWF241"/>
      <c r="WWG241"/>
      <c r="WWH241"/>
      <c r="WWI241"/>
      <c r="WWJ241"/>
      <c r="WWK241"/>
      <c r="WWL241"/>
      <c r="WWM241"/>
      <c r="WWN241"/>
      <c r="WWO241"/>
      <c r="WWP241"/>
      <c r="WWQ241"/>
      <c r="WWR241"/>
      <c r="WWS241"/>
      <c r="WWT241"/>
      <c r="WWU241"/>
      <c r="WWV241"/>
      <c r="WWW241"/>
      <c r="WWX241"/>
      <c r="WWY241"/>
      <c r="WWZ241"/>
      <c r="WXA241"/>
      <c r="WXB241"/>
      <c r="WXC241"/>
      <c r="WXD241"/>
      <c r="WXE241"/>
      <c r="WXF241"/>
      <c r="WXG241"/>
      <c r="WXH241"/>
      <c r="WXI241"/>
      <c r="WXJ241"/>
      <c r="WXK241"/>
      <c r="WXL241"/>
      <c r="WXM241"/>
      <c r="WXN241"/>
      <c r="WXO241"/>
      <c r="WXP241"/>
      <c r="WXQ241"/>
      <c r="WXR241"/>
      <c r="WXS241"/>
      <c r="WXT241"/>
      <c r="WXU241"/>
      <c r="WXV241"/>
      <c r="WXW241"/>
      <c r="WXX241"/>
      <c r="WXY241"/>
      <c r="WXZ241"/>
      <c r="WYA241"/>
      <c r="WYB241"/>
      <c r="WYC241"/>
      <c r="WYD241"/>
      <c r="WYE241"/>
      <c r="WYF241"/>
      <c r="WYG241"/>
      <c r="WYH241"/>
      <c r="WYI241"/>
      <c r="WYJ241"/>
      <c r="WYK241"/>
      <c r="WYL241"/>
      <c r="WYM241"/>
      <c r="WYN241"/>
      <c r="WYO241"/>
      <c r="WYP241"/>
      <c r="WYQ241"/>
      <c r="WYR241"/>
      <c r="WYS241"/>
      <c r="WYT241"/>
      <c r="WYU241"/>
      <c r="WYV241"/>
      <c r="WYW241"/>
      <c r="WYX241"/>
      <c r="WYY241"/>
      <c r="WYZ241"/>
      <c r="WZA241"/>
      <c r="WZB241"/>
      <c r="WZC241"/>
      <c r="WZD241"/>
      <c r="WZE241"/>
      <c r="WZF241"/>
      <c r="WZG241"/>
      <c r="WZH241"/>
      <c r="WZI241"/>
      <c r="WZJ241"/>
      <c r="WZK241"/>
      <c r="WZL241"/>
      <c r="WZM241"/>
      <c r="WZN241"/>
      <c r="WZO241"/>
      <c r="WZP241"/>
      <c r="WZQ241"/>
      <c r="WZR241"/>
      <c r="WZS241"/>
      <c r="WZT241"/>
      <c r="WZU241"/>
      <c r="WZV241"/>
      <c r="WZW241"/>
      <c r="WZX241"/>
      <c r="WZY241"/>
      <c r="WZZ241"/>
      <c r="XAA241"/>
      <c r="XAB241"/>
      <c r="XAC241"/>
      <c r="XAD241"/>
      <c r="XAE241"/>
      <c r="XAF241"/>
      <c r="XAG241"/>
      <c r="XAH241"/>
      <c r="XAI241"/>
      <c r="XAJ241"/>
      <c r="XAK241"/>
      <c r="XAL241"/>
      <c r="XAM241"/>
      <c r="XAN241"/>
      <c r="XAO241"/>
      <c r="XAP241"/>
      <c r="XAQ241"/>
      <c r="XAR241"/>
      <c r="XAS241"/>
      <c r="XAT241"/>
      <c r="XAU241"/>
      <c r="XAV241"/>
      <c r="XAW241"/>
      <c r="XAX241"/>
      <c r="XAY241"/>
      <c r="XAZ241"/>
      <c r="XBA241"/>
      <c r="XBB241"/>
      <c r="XBC241"/>
      <c r="XBD241"/>
      <c r="XBE241"/>
      <c r="XBF241"/>
      <c r="XBG241"/>
      <c r="XBH241"/>
      <c r="XBI241"/>
      <c r="XBJ241"/>
      <c r="XBK241"/>
      <c r="XBL241"/>
      <c r="XBM241"/>
      <c r="XBN241"/>
      <c r="XBO241"/>
      <c r="XBP241"/>
      <c r="XBQ241"/>
      <c r="XBR241"/>
      <c r="XBS241"/>
      <c r="XBT241"/>
      <c r="XBU241"/>
      <c r="XBV241"/>
      <c r="XBW241"/>
      <c r="XBX241"/>
      <c r="XBY241"/>
      <c r="XBZ241"/>
      <c r="XCA241"/>
      <c r="XCB241"/>
      <c r="XCC241"/>
      <c r="XCD241"/>
      <c r="XCE241"/>
      <c r="XCF241"/>
      <c r="XCG241"/>
      <c r="XCH241"/>
      <c r="XCI241"/>
      <c r="XCJ241"/>
      <c r="XCK241"/>
      <c r="XCL241"/>
      <c r="XCM241"/>
      <c r="XCN241"/>
      <c r="XCO241"/>
      <c r="XCP241"/>
      <c r="XCQ241"/>
      <c r="XCR241"/>
      <c r="XCS241"/>
      <c r="XCT241"/>
      <c r="XCU241"/>
      <c r="XCV241"/>
      <c r="XCW241"/>
      <c r="XCX241"/>
      <c r="XCY241"/>
      <c r="XCZ241"/>
      <c r="XDA241"/>
      <c r="XDB241"/>
      <c r="XDC241"/>
      <c r="XDD241"/>
      <c r="XDE241"/>
      <c r="XDF241"/>
      <c r="XDG241"/>
      <c r="XDH241"/>
      <c r="XDI241"/>
      <c r="XDJ241"/>
      <c r="XDK241"/>
      <c r="XDL241"/>
      <c r="XDM241"/>
      <c r="XDN241"/>
      <c r="XDO241"/>
      <c r="XDP241"/>
      <c r="XDQ241"/>
      <c r="XDR241"/>
      <c r="XDS241"/>
      <c r="XDT241"/>
      <c r="XDU241"/>
      <c r="XDV241"/>
      <c r="XDW241"/>
      <c r="XDX241"/>
      <c r="XDY241"/>
      <c r="XDZ241"/>
      <c r="XEA241"/>
      <c r="XEB241"/>
      <c r="XEC241"/>
      <c r="XED241"/>
      <c r="XEE241"/>
      <c r="XEF241"/>
      <c r="XEG241"/>
      <c r="XEH241"/>
      <c r="XEI241"/>
      <c r="XEJ241"/>
      <c r="XEK241"/>
      <c r="XEL241"/>
      <c r="XEM241"/>
      <c r="XEN241"/>
      <c r="XEO241"/>
      <c r="XEP241"/>
      <c r="XEQ241"/>
      <c r="XER241"/>
      <c r="XES241"/>
      <c r="XET241"/>
      <c r="XEU241"/>
      <c r="XEV241"/>
      <c r="XEW241"/>
      <c r="XEX241"/>
      <c r="XEY241"/>
      <c r="XEZ241"/>
      <c r="XFA241"/>
      <c r="XFB241"/>
      <c r="XFC241"/>
      <c r="XFD241"/>
    </row>
    <row r="242" spans="1:19 16149:16384" s="830" customFormat="1" ht="13.8">
      <c r="B242" s="835" t="s">
        <v>5184</v>
      </c>
      <c r="C242" s="836"/>
      <c r="D242" s="807" t="s">
        <v>5185</v>
      </c>
      <c r="E242" s="808"/>
      <c r="F242" s="813"/>
      <c r="G242" s="746"/>
      <c r="H242" s="813"/>
      <c r="I242" s="753"/>
      <c r="J242" s="841"/>
      <c r="M242" s="814"/>
      <c r="N242" s="814"/>
      <c r="S242" s="840"/>
      <c r="WWC242"/>
      <c r="WWD242"/>
      <c r="WWE242"/>
      <c r="WWF242"/>
      <c r="WWG242"/>
      <c r="WWH242"/>
      <c r="WWI242"/>
      <c r="WWJ242"/>
      <c r="WWK242"/>
      <c r="WWL242"/>
      <c r="WWM242"/>
      <c r="WWN242"/>
      <c r="WWO242"/>
      <c r="WWP242"/>
      <c r="WWQ242"/>
      <c r="WWR242"/>
      <c r="WWS242"/>
      <c r="WWT242"/>
      <c r="WWU242"/>
      <c r="WWV242"/>
      <c r="WWW242"/>
      <c r="WWX242"/>
      <c r="WWY242"/>
      <c r="WWZ242"/>
      <c r="WXA242"/>
      <c r="WXB242"/>
      <c r="WXC242"/>
      <c r="WXD242"/>
      <c r="WXE242"/>
      <c r="WXF242"/>
      <c r="WXG242"/>
      <c r="WXH242"/>
      <c r="WXI242"/>
      <c r="WXJ242"/>
      <c r="WXK242"/>
      <c r="WXL242"/>
      <c r="WXM242"/>
      <c r="WXN242"/>
      <c r="WXO242"/>
      <c r="WXP242"/>
      <c r="WXQ242"/>
      <c r="WXR242"/>
      <c r="WXS242"/>
      <c r="WXT242"/>
      <c r="WXU242"/>
      <c r="WXV242"/>
      <c r="WXW242"/>
      <c r="WXX242"/>
      <c r="WXY242"/>
      <c r="WXZ242"/>
      <c r="WYA242"/>
      <c r="WYB242"/>
      <c r="WYC242"/>
      <c r="WYD242"/>
      <c r="WYE242"/>
      <c r="WYF242"/>
      <c r="WYG242"/>
      <c r="WYH242"/>
      <c r="WYI242"/>
      <c r="WYJ242"/>
      <c r="WYK242"/>
      <c r="WYL242"/>
      <c r="WYM242"/>
      <c r="WYN242"/>
      <c r="WYO242"/>
      <c r="WYP242"/>
      <c r="WYQ242"/>
      <c r="WYR242"/>
      <c r="WYS242"/>
      <c r="WYT242"/>
      <c r="WYU242"/>
      <c r="WYV242"/>
      <c r="WYW242"/>
      <c r="WYX242"/>
      <c r="WYY242"/>
      <c r="WYZ242"/>
      <c r="WZA242"/>
      <c r="WZB242"/>
      <c r="WZC242"/>
      <c r="WZD242"/>
      <c r="WZE242"/>
      <c r="WZF242"/>
      <c r="WZG242"/>
      <c r="WZH242"/>
      <c r="WZI242"/>
      <c r="WZJ242"/>
      <c r="WZK242"/>
      <c r="WZL242"/>
      <c r="WZM242"/>
      <c r="WZN242"/>
      <c r="WZO242"/>
      <c r="WZP242"/>
      <c r="WZQ242"/>
      <c r="WZR242"/>
      <c r="WZS242"/>
      <c r="WZT242"/>
      <c r="WZU242"/>
      <c r="WZV242"/>
      <c r="WZW242"/>
      <c r="WZX242"/>
      <c r="WZY242"/>
      <c r="WZZ242"/>
      <c r="XAA242"/>
      <c r="XAB242"/>
      <c r="XAC242"/>
      <c r="XAD242"/>
      <c r="XAE242"/>
      <c r="XAF242"/>
      <c r="XAG242"/>
      <c r="XAH242"/>
      <c r="XAI242"/>
      <c r="XAJ242"/>
      <c r="XAK242"/>
      <c r="XAL242"/>
      <c r="XAM242"/>
      <c r="XAN242"/>
      <c r="XAO242"/>
      <c r="XAP242"/>
      <c r="XAQ242"/>
      <c r="XAR242"/>
      <c r="XAS242"/>
      <c r="XAT242"/>
      <c r="XAU242"/>
      <c r="XAV242"/>
      <c r="XAW242"/>
      <c r="XAX242"/>
      <c r="XAY242"/>
      <c r="XAZ242"/>
      <c r="XBA242"/>
      <c r="XBB242"/>
      <c r="XBC242"/>
      <c r="XBD242"/>
      <c r="XBE242"/>
      <c r="XBF242"/>
      <c r="XBG242"/>
      <c r="XBH242"/>
      <c r="XBI242"/>
      <c r="XBJ242"/>
      <c r="XBK242"/>
      <c r="XBL242"/>
      <c r="XBM242"/>
      <c r="XBN242"/>
      <c r="XBO242"/>
      <c r="XBP242"/>
      <c r="XBQ242"/>
      <c r="XBR242"/>
      <c r="XBS242"/>
      <c r="XBT242"/>
      <c r="XBU242"/>
      <c r="XBV242"/>
      <c r="XBW242"/>
      <c r="XBX242"/>
      <c r="XBY242"/>
      <c r="XBZ242"/>
      <c r="XCA242"/>
      <c r="XCB242"/>
      <c r="XCC242"/>
      <c r="XCD242"/>
      <c r="XCE242"/>
      <c r="XCF242"/>
      <c r="XCG242"/>
      <c r="XCH242"/>
      <c r="XCI242"/>
      <c r="XCJ242"/>
      <c r="XCK242"/>
      <c r="XCL242"/>
      <c r="XCM242"/>
      <c r="XCN242"/>
      <c r="XCO242"/>
      <c r="XCP242"/>
      <c r="XCQ242"/>
      <c r="XCR242"/>
      <c r="XCS242"/>
      <c r="XCT242"/>
      <c r="XCU242"/>
      <c r="XCV242"/>
      <c r="XCW242"/>
      <c r="XCX242"/>
      <c r="XCY242"/>
      <c r="XCZ242"/>
      <c r="XDA242"/>
      <c r="XDB242"/>
      <c r="XDC242"/>
      <c r="XDD242"/>
      <c r="XDE242"/>
      <c r="XDF242"/>
      <c r="XDG242"/>
      <c r="XDH242"/>
      <c r="XDI242"/>
      <c r="XDJ242"/>
      <c r="XDK242"/>
      <c r="XDL242"/>
      <c r="XDM242"/>
      <c r="XDN242"/>
      <c r="XDO242"/>
      <c r="XDP242"/>
      <c r="XDQ242"/>
      <c r="XDR242"/>
      <c r="XDS242"/>
      <c r="XDT242"/>
      <c r="XDU242"/>
      <c r="XDV242"/>
      <c r="XDW242"/>
      <c r="XDX242"/>
      <c r="XDY242"/>
      <c r="XDZ242"/>
      <c r="XEA242"/>
      <c r="XEB242"/>
      <c r="XEC242"/>
      <c r="XED242"/>
      <c r="XEE242"/>
      <c r="XEF242"/>
      <c r="XEG242"/>
      <c r="XEH242"/>
      <c r="XEI242"/>
      <c r="XEJ242"/>
      <c r="XEK242"/>
      <c r="XEL242"/>
      <c r="XEM242"/>
      <c r="XEN242"/>
      <c r="XEO242"/>
      <c r="XEP242"/>
      <c r="XEQ242"/>
      <c r="XER242"/>
      <c r="XES242"/>
      <c r="XET242"/>
      <c r="XEU242"/>
      <c r="XEV242"/>
      <c r="XEW242"/>
      <c r="XEX242"/>
      <c r="XEY242"/>
      <c r="XEZ242"/>
      <c r="XFA242"/>
      <c r="XFB242"/>
      <c r="XFC242"/>
      <c r="XFD242"/>
    </row>
    <row r="243" spans="1:19 16149:16384" s="830" customFormat="1" ht="79.8">
      <c r="B243" s="842" t="s">
        <v>5186</v>
      </c>
      <c r="C243" s="843"/>
      <c r="D243" s="837" t="s">
        <v>5187</v>
      </c>
      <c r="E243" s="810"/>
      <c r="F243" s="752"/>
      <c r="G243" s="746"/>
      <c r="H243" s="752"/>
      <c r="I243" s="753"/>
      <c r="J243" s="745"/>
      <c r="M243" s="811"/>
      <c r="N243" s="811"/>
      <c r="S243" s="840"/>
      <c r="WWC243" s="581"/>
      <c r="WWD243" s="581"/>
      <c r="WWE243" s="581"/>
      <c r="WWF243" s="581"/>
      <c r="WWG243" s="581"/>
      <c r="WWH243" s="581"/>
      <c r="WWI243" s="581"/>
      <c r="WWJ243" s="581"/>
      <c r="WWK243" s="581"/>
      <c r="WWL243" s="581"/>
      <c r="WWM243" s="581"/>
      <c r="WWN243" s="581"/>
      <c r="WWO243" s="581"/>
      <c r="WWP243" s="581"/>
      <c r="WWQ243" s="581"/>
      <c r="WWR243" s="581"/>
      <c r="WWS243" s="581"/>
      <c r="WWT243" s="581"/>
      <c r="WWU243" s="581"/>
      <c r="WWV243" s="581"/>
      <c r="WWW243" s="581"/>
      <c r="WWX243" s="581"/>
      <c r="WWY243" s="581"/>
      <c r="WWZ243" s="581"/>
      <c r="WXA243" s="581"/>
      <c r="WXB243" s="581"/>
      <c r="WXC243" s="581"/>
      <c r="WXD243" s="581"/>
      <c r="WXE243" s="581"/>
      <c r="WXF243" s="581"/>
      <c r="WXG243" s="581"/>
      <c r="WXH243" s="581"/>
      <c r="WXI243" s="581"/>
      <c r="WXJ243" s="581"/>
      <c r="WXK243" s="581"/>
      <c r="WXL243" s="581"/>
      <c r="WXM243" s="581"/>
      <c r="WXN243" s="581"/>
      <c r="WXO243" s="581"/>
      <c r="WXP243" s="581"/>
      <c r="WXQ243" s="581"/>
      <c r="WXR243" s="581"/>
      <c r="WXS243" s="581"/>
      <c r="WXT243" s="581"/>
      <c r="WXU243" s="581"/>
      <c r="WXV243" s="581"/>
      <c r="WXW243" s="581"/>
      <c r="WXX243" s="581"/>
      <c r="WXY243" s="581"/>
      <c r="WXZ243" s="581"/>
      <c r="WYA243" s="581"/>
      <c r="WYB243" s="581"/>
      <c r="WYC243" s="581"/>
      <c r="WYD243" s="581"/>
      <c r="WYE243" s="581"/>
      <c r="WYF243" s="581"/>
      <c r="WYG243" s="581"/>
      <c r="WYH243" s="581"/>
      <c r="WYI243" s="581"/>
      <c r="WYJ243" s="581"/>
      <c r="WYK243" s="581"/>
      <c r="WYL243" s="581"/>
      <c r="WYM243" s="581"/>
      <c r="WYN243" s="581"/>
      <c r="WYO243" s="581"/>
      <c r="WYP243" s="581"/>
      <c r="WYQ243" s="581"/>
      <c r="WYR243" s="581"/>
      <c r="WYS243" s="581"/>
      <c r="WYT243" s="581"/>
      <c r="WYU243" s="581"/>
      <c r="WYV243" s="581"/>
      <c r="WYW243" s="581"/>
      <c r="WYX243" s="581"/>
      <c r="WYY243" s="581"/>
      <c r="WYZ243" s="581"/>
      <c r="WZA243" s="581"/>
      <c r="WZB243" s="581"/>
      <c r="WZC243" s="581"/>
      <c r="WZD243" s="581"/>
      <c r="WZE243" s="581"/>
      <c r="WZF243" s="581"/>
      <c r="WZG243" s="581"/>
      <c r="WZH243" s="581"/>
      <c r="WZI243" s="581"/>
      <c r="WZJ243" s="581"/>
      <c r="WZK243" s="581"/>
      <c r="WZL243" s="581"/>
      <c r="WZM243" s="581"/>
      <c r="WZN243" s="581"/>
      <c r="WZO243" s="581"/>
      <c r="WZP243" s="581"/>
      <c r="WZQ243" s="581"/>
      <c r="WZR243" s="581"/>
      <c r="WZS243" s="581"/>
      <c r="WZT243" s="581"/>
      <c r="WZU243" s="581"/>
      <c r="WZV243" s="581"/>
      <c r="WZW243" s="581"/>
      <c r="WZX243" s="581"/>
      <c r="WZY243" s="581"/>
      <c r="WZZ243" s="581"/>
      <c r="XAA243" s="581"/>
      <c r="XAB243" s="581"/>
      <c r="XAC243" s="581"/>
      <c r="XAD243" s="581"/>
      <c r="XAE243" s="581"/>
      <c r="XAF243" s="581"/>
      <c r="XAG243" s="581"/>
      <c r="XAH243" s="581"/>
      <c r="XAI243" s="581"/>
      <c r="XAJ243" s="581"/>
      <c r="XAK243" s="581"/>
      <c r="XAL243" s="581"/>
      <c r="XAM243" s="581"/>
      <c r="XAN243" s="581"/>
      <c r="XAO243" s="581"/>
      <c r="XAP243" s="581"/>
      <c r="XAQ243" s="581"/>
      <c r="XAR243" s="581"/>
      <c r="XAS243" s="581"/>
      <c r="XAT243" s="581"/>
      <c r="XAU243" s="581"/>
      <c r="XAV243" s="581"/>
      <c r="XAW243" s="581"/>
      <c r="XAX243" s="581"/>
      <c r="XAY243" s="581"/>
      <c r="XAZ243" s="581"/>
      <c r="XBA243" s="581"/>
      <c r="XBB243" s="581"/>
      <c r="XBC243" s="581"/>
      <c r="XBD243" s="581"/>
      <c r="XBE243" s="581"/>
      <c r="XBF243" s="581"/>
      <c r="XBG243" s="581"/>
      <c r="XBH243" s="581"/>
      <c r="XBI243" s="581"/>
      <c r="XBJ243" s="581"/>
      <c r="XBK243" s="581"/>
      <c r="XBL243" s="581"/>
      <c r="XBM243" s="581"/>
      <c r="XBN243" s="581"/>
      <c r="XBO243" s="581"/>
      <c r="XBP243" s="581"/>
      <c r="XBQ243" s="581"/>
      <c r="XBR243" s="581"/>
      <c r="XBS243" s="581"/>
      <c r="XBT243" s="581"/>
      <c r="XBU243" s="581"/>
      <c r="XBV243" s="581"/>
      <c r="XBW243" s="581"/>
      <c r="XBX243" s="581"/>
      <c r="XBY243" s="581"/>
      <c r="XBZ243" s="581"/>
      <c r="XCA243" s="581"/>
      <c r="XCB243" s="581"/>
      <c r="XCC243" s="581"/>
      <c r="XCD243" s="581"/>
      <c r="XCE243" s="581"/>
      <c r="XCF243" s="581"/>
      <c r="XCG243" s="581"/>
      <c r="XCH243" s="581"/>
      <c r="XCI243" s="581"/>
      <c r="XCJ243" s="581"/>
      <c r="XCK243" s="581"/>
      <c r="XCL243" s="581"/>
      <c r="XCM243" s="581"/>
      <c r="XCN243" s="581"/>
      <c r="XCO243" s="581"/>
      <c r="XCP243" s="581"/>
      <c r="XCQ243" s="581"/>
      <c r="XCR243" s="581"/>
      <c r="XCS243" s="581"/>
      <c r="XCT243" s="581"/>
      <c r="XCU243" s="581"/>
      <c r="XCV243" s="581"/>
      <c r="XCW243" s="581"/>
      <c r="XCX243" s="581"/>
      <c r="XCY243" s="581"/>
      <c r="XCZ243" s="581"/>
      <c r="XDA243" s="581"/>
      <c r="XDB243" s="581"/>
      <c r="XDC243" s="581"/>
      <c r="XDD243" s="581"/>
      <c r="XDE243" s="581"/>
      <c r="XDF243" s="581"/>
      <c r="XDG243" s="581"/>
      <c r="XDH243" s="581"/>
      <c r="XDI243" s="581"/>
      <c r="XDJ243" s="581"/>
      <c r="XDK243" s="581"/>
      <c r="XDL243" s="581"/>
      <c r="XDM243" s="581"/>
      <c r="XDN243" s="581"/>
      <c r="XDO243" s="581"/>
      <c r="XDP243" s="581"/>
      <c r="XDQ243" s="581"/>
      <c r="XDR243" s="581"/>
      <c r="XDS243" s="581"/>
      <c r="XDT243" s="581"/>
      <c r="XDU243" s="581"/>
      <c r="XDV243" s="581"/>
      <c r="XDW243" s="581"/>
      <c r="XDX243" s="581"/>
      <c r="XDY243" s="581"/>
      <c r="XDZ243" s="581"/>
      <c r="XEA243" s="581"/>
      <c r="XEB243" s="581"/>
      <c r="XEC243" s="581"/>
      <c r="XED243" s="581"/>
      <c r="XEE243" s="581"/>
      <c r="XEF243" s="581"/>
      <c r="XEG243" s="581"/>
      <c r="XEH243" s="581"/>
      <c r="XEI243" s="581"/>
      <c r="XEJ243" s="581"/>
      <c r="XEK243" s="581"/>
      <c r="XEL243" s="581"/>
      <c r="XEM243" s="581"/>
      <c r="XEN243" s="581"/>
      <c r="XEO243" s="581"/>
      <c r="XEP243" s="581"/>
      <c r="XEQ243" s="581"/>
      <c r="XER243" s="581"/>
      <c r="XES243" s="581"/>
      <c r="XET243" s="581"/>
      <c r="XEU243" s="581"/>
      <c r="XEV243" s="581"/>
      <c r="XEW243" s="581"/>
      <c r="XEX243" s="581"/>
      <c r="XEY243" s="581"/>
      <c r="XEZ243" s="581"/>
      <c r="XFA243" s="581"/>
      <c r="XFB243" s="581"/>
      <c r="XFC243" s="581"/>
      <c r="XFD243" s="581"/>
    </row>
    <row r="244" spans="1:19 16149:16384" s="830" customFormat="1" ht="13.8">
      <c r="A244" s="830" t="s">
        <v>1227</v>
      </c>
      <c r="B244" s="842"/>
      <c r="C244" s="842"/>
      <c r="D244" s="807" t="s">
        <v>5188</v>
      </c>
      <c r="E244" s="808" t="s">
        <v>1450</v>
      </c>
      <c r="F244" s="813">
        <v>25</v>
      </c>
      <c r="G244" s="746"/>
      <c r="H244" s="752">
        <v>0</v>
      </c>
      <c r="I244" s="753" t="s">
        <v>4908</v>
      </c>
      <c r="J244" s="745" t="s">
        <v>5189</v>
      </c>
      <c r="M244" s="814">
        <v>16.739999999999998</v>
      </c>
      <c r="N244" s="814"/>
      <c r="S244" s="840"/>
      <c r="WWC244" s="581"/>
      <c r="WWD244" s="581"/>
      <c r="WWE244" s="581"/>
      <c r="WWF244" s="581"/>
      <c r="WWG244" s="581"/>
      <c r="WWH244" s="581"/>
      <c r="WWI244" s="581"/>
      <c r="WWJ244" s="581"/>
      <c r="WWK244" s="581"/>
      <c r="WWL244" s="581"/>
      <c r="WWM244" s="581"/>
      <c r="WWN244" s="581"/>
      <c r="WWO244" s="581"/>
      <c r="WWP244" s="581"/>
      <c r="WWQ244" s="581"/>
      <c r="WWR244" s="581"/>
      <c r="WWS244" s="581"/>
      <c r="WWT244" s="581"/>
      <c r="WWU244" s="581"/>
      <c r="WWV244" s="581"/>
      <c r="WWW244" s="581"/>
      <c r="WWX244" s="581"/>
      <c r="WWY244" s="581"/>
      <c r="WWZ244" s="581"/>
      <c r="WXA244" s="581"/>
      <c r="WXB244" s="581"/>
      <c r="WXC244" s="581"/>
      <c r="WXD244" s="581"/>
      <c r="WXE244" s="581"/>
      <c r="WXF244" s="581"/>
      <c r="WXG244" s="581"/>
      <c r="WXH244" s="581"/>
      <c r="WXI244" s="581"/>
      <c r="WXJ244" s="581"/>
      <c r="WXK244" s="581"/>
      <c r="WXL244" s="581"/>
      <c r="WXM244" s="581"/>
      <c r="WXN244" s="581"/>
      <c r="WXO244" s="581"/>
      <c r="WXP244" s="581"/>
      <c r="WXQ244" s="581"/>
      <c r="WXR244" s="581"/>
      <c r="WXS244" s="581"/>
      <c r="WXT244" s="581"/>
      <c r="WXU244" s="581"/>
      <c r="WXV244" s="581"/>
      <c r="WXW244" s="581"/>
      <c r="WXX244" s="581"/>
      <c r="WXY244" s="581"/>
      <c r="WXZ244" s="581"/>
      <c r="WYA244" s="581"/>
      <c r="WYB244" s="581"/>
      <c r="WYC244" s="581"/>
      <c r="WYD244" s="581"/>
      <c r="WYE244" s="581"/>
      <c r="WYF244" s="581"/>
      <c r="WYG244" s="581"/>
      <c r="WYH244" s="581"/>
      <c r="WYI244" s="581"/>
      <c r="WYJ244" s="581"/>
      <c r="WYK244" s="581"/>
      <c r="WYL244" s="581"/>
      <c r="WYM244" s="581"/>
      <c r="WYN244" s="581"/>
      <c r="WYO244" s="581"/>
      <c r="WYP244" s="581"/>
      <c r="WYQ244" s="581"/>
      <c r="WYR244" s="581"/>
      <c r="WYS244" s="581"/>
      <c r="WYT244" s="581"/>
      <c r="WYU244" s="581"/>
      <c r="WYV244" s="581"/>
      <c r="WYW244" s="581"/>
      <c r="WYX244" s="581"/>
      <c r="WYY244" s="581"/>
      <c r="WYZ244" s="581"/>
      <c r="WZA244" s="581"/>
      <c r="WZB244" s="581"/>
      <c r="WZC244" s="581"/>
      <c r="WZD244" s="581"/>
      <c r="WZE244" s="581"/>
      <c r="WZF244" s="581"/>
      <c r="WZG244" s="581"/>
      <c r="WZH244" s="581"/>
      <c r="WZI244" s="581"/>
      <c r="WZJ244" s="581"/>
      <c r="WZK244" s="581"/>
      <c r="WZL244" s="581"/>
      <c r="WZM244" s="581"/>
      <c r="WZN244" s="581"/>
      <c r="WZO244" s="581"/>
      <c r="WZP244" s="581"/>
      <c r="WZQ244" s="581"/>
      <c r="WZR244" s="581"/>
      <c r="WZS244" s="581"/>
      <c r="WZT244" s="581"/>
      <c r="WZU244" s="581"/>
      <c r="WZV244" s="581"/>
      <c r="WZW244" s="581"/>
      <c r="WZX244" s="581"/>
      <c r="WZY244" s="581"/>
      <c r="WZZ244" s="581"/>
      <c r="XAA244" s="581"/>
      <c r="XAB244" s="581"/>
      <c r="XAC244" s="581"/>
      <c r="XAD244" s="581"/>
      <c r="XAE244" s="581"/>
      <c r="XAF244" s="581"/>
      <c r="XAG244" s="581"/>
      <c r="XAH244" s="581"/>
      <c r="XAI244" s="581"/>
      <c r="XAJ244" s="581"/>
      <c r="XAK244" s="581"/>
      <c r="XAL244" s="581"/>
      <c r="XAM244" s="581"/>
      <c r="XAN244" s="581"/>
      <c r="XAO244" s="581"/>
      <c r="XAP244" s="581"/>
      <c r="XAQ244" s="581"/>
      <c r="XAR244" s="581"/>
      <c r="XAS244" s="581"/>
      <c r="XAT244" s="581"/>
      <c r="XAU244" s="581"/>
      <c r="XAV244" s="581"/>
      <c r="XAW244" s="581"/>
      <c r="XAX244" s="581"/>
      <c r="XAY244" s="581"/>
      <c r="XAZ244" s="581"/>
      <c r="XBA244" s="581"/>
      <c r="XBB244" s="581"/>
      <c r="XBC244" s="581"/>
      <c r="XBD244" s="581"/>
      <c r="XBE244" s="581"/>
      <c r="XBF244" s="581"/>
      <c r="XBG244" s="581"/>
      <c r="XBH244" s="581"/>
      <c r="XBI244" s="581"/>
      <c r="XBJ244" s="581"/>
      <c r="XBK244" s="581"/>
      <c r="XBL244" s="581"/>
      <c r="XBM244" s="581"/>
      <c r="XBN244" s="581"/>
      <c r="XBO244" s="581"/>
      <c r="XBP244" s="581"/>
      <c r="XBQ244" s="581"/>
      <c r="XBR244" s="581"/>
      <c r="XBS244" s="581"/>
      <c r="XBT244" s="581"/>
      <c r="XBU244" s="581"/>
      <c r="XBV244" s="581"/>
      <c r="XBW244" s="581"/>
      <c r="XBX244" s="581"/>
      <c r="XBY244" s="581"/>
      <c r="XBZ244" s="581"/>
      <c r="XCA244" s="581"/>
      <c r="XCB244" s="581"/>
      <c r="XCC244" s="581"/>
      <c r="XCD244" s="581"/>
      <c r="XCE244" s="581"/>
      <c r="XCF244" s="581"/>
      <c r="XCG244" s="581"/>
      <c r="XCH244" s="581"/>
      <c r="XCI244" s="581"/>
      <c r="XCJ244" s="581"/>
      <c r="XCK244" s="581"/>
      <c r="XCL244" s="581"/>
      <c r="XCM244" s="581"/>
      <c r="XCN244" s="581"/>
      <c r="XCO244" s="581"/>
      <c r="XCP244" s="581"/>
      <c r="XCQ244" s="581"/>
      <c r="XCR244" s="581"/>
      <c r="XCS244" s="581"/>
      <c r="XCT244" s="581"/>
      <c r="XCU244" s="581"/>
      <c r="XCV244" s="581"/>
      <c r="XCW244" s="581"/>
      <c r="XCX244" s="581"/>
      <c r="XCY244" s="581"/>
      <c r="XCZ244" s="581"/>
      <c r="XDA244" s="581"/>
      <c r="XDB244" s="581"/>
      <c r="XDC244" s="581"/>
      <c r="XDD244" s="581"/>
      <c r="XDE244" s="581"/>
      <c r="XDF244" s="581"/>
      <c r="XDG244" s="581"/>
      <c r="XDH244" s="581"/>
      <c r="XDI244" s="581"/>
      <c r="XDJ244" s="581"/>
      <c r="XDK244" s="581"/>
      <c r="XDL244" s="581"/>
      <c r="XDM244" s="581"/>
      <c r="XDN244" s="581"/>
      <c r="XDO244" s="581"/>
      <c r="XDP244" s="581"/>
      <c r="XDQ244" s="581"/>
      <c r="XDR244" s="581"/>
      <c r="XDS244" s="581"/>
      <c r="XDT244" s="581"/>
      <c r="XDU244" s="581"/>
      <c r="XDV244" s="581"/>
      <c r="XDW244" s="581"/>
      <c r="XDX244" s="581"/>
      <c r="XDY244" s="581"/>
      <c r="XDZ244" s="581"/>
      <c r="XEA244" s="581"/>
      <c r="XEB244" s="581"/>
      <c r="XEC244" s="581"/>
      <c r="XED244" s="581"/>
      <c r="XEE244" s="581"/>
      <c r="XEF244" s="581"/>
      <c r="XEG244" s="581"/>
      <c r="XEH244" s="581"/>
      <c r="XEI244" s="581"/>
      <c r="XEJ244" s="581"/>
      <c r="XEK244" s="581"/>
      <c r="XEL244" s="581"/>
      <c r="XEM244" s="581"/>
      <c r="XEN244" s="581"/>
      <c r="XEO244" s="581"/>
      <c r="XEP244" s="581"/>
      <c r="XEQ244" s="581"/>
      <c r="XER244" s="581"/>
      <c r="XES244" s="581"/>
      <c r="XET244" s="581"/>
      <c r="XEU244" s="581"/>
      <c r="XEV244" s="581"/>
      <c r="XEW244" s="581"/>
      <c r="XEX244" s="581"/>
      <c r="XEY244" s="581"/>
      <c r="XEZ244" s="581"/>
      <c r="XFA244" s="581"/>
      <c r="XFB244" s="581"/>
      <c r="XFC244" s="581"/>
      <c r="XFD244" s="581"/>
    </row>
    <row r="245" spans="1:19 16149:16384" s="830" customFormat="1" ht="13.8">
      <c r="A245" s="830" t="s">
        <v>1227</v>
      </c>
      <c r="B245" s="807"/>
      <c r="C245" s="808"/>
      <c r="D245" s="807" t="s">
        <v>5190</v>
      </c>
      <c r="E245" s="808" t="s">
        <v>1450</v>
      </c>
      <c r="F245" s="813">
        <v>78</v>
      </c>
      <c r="G245" s="746"/>
      <c r="H245" s="752">
        <v>0</v>
      </c>
      <c r="I245" s="753" t="s">
        <v>4908</v>
      </c>
      <c r="J245" s="745" t="s">
        <v>5191</v>
      </c>
      <c r="M245" s="814">
        <v>22.6</v>
      </c>
      <c r="N245" s="814"/>
      <c r="S245" s="840"/>
      <c r="WWC245"/>
      <c r="WWD245"/>
      <c r="WWE245"/>
      <c r="WWF245"/>
      <c r="WWG245"/>
      <c r="WWH245"/>
      <c r="WWI245"/>
      <c r="WWJ245"/>
      <c r="WWK245"/>
      <c r="WWL245"/>
      <c r="WWM245"/>
      <c r="WWN245"/>
      <c r="WWO245"/>
      <c r="WWP245"/>
      <c r="WWQ245"/>
      <c r="WWR245"/>
      <c r="WWS245"/>
      <c r="WWT245"/>
      <c r="WWU245"/>
      <c r="WWV245"/>
      <c r="WWW245"/>
      <c r="WWX245"/>
      <c r="WWY245"/>
      <c r="WWZ245"/>
      <c r="WXA245"/>
      <c r="WXB245"/>
      <c r="WXC245"/>
      <c r="WXD245"/>
      <c r="WXE245"/>
      <c r="WXF245"/>
      <c r="WXG245"/>
      <c r="WXH245"/>
      <c r="WXI245"/>
      <c r="WXJ245"/>
      <c r="WXK245"/>
      <c r="WXL245"/>
      <c r="WXM245"/>
      <c r="WXN245"/>
      <c r="WXO245"/>
      <c r="WXP245"/>
      <c r="WXQ245"/>
      <c r="WXR245"/>
      <c r="WXS245"/>
      <c r="WXT245"/>
      <c r="WXU245"/>
      <c r="WXV245"/>
      <c r="WXW245"/>
      <c r="WXX245"/>
      <c r="WXY245"/>
      <c r="WXZ245"/>
      <c r="WYA245"/>
      <c r="WYB245"/>
      <c r="WYC245"/>
      <c r="WYD245"/>
      <c r="WYE245"/>
      <c r="WYF245"/>
      <c r="WYG245"/>
      <c r="WYH245"/>
      <c r="WYI245"/>
      <c r="WYJ245"/>
      <c r="WYK245"/>
      <c r="WYL245"/>
      <c r="WYM245"/>
      <c r="WYN245"/>
      <c r="WYO245"/>
      <c r="WYP245"/>
      <c r="WYQ245"/>
      <c r="WYR245"/>
      <c r="WYS245"/>
      <c r="WYT245"/>
      <c r="WYU245"/>
      <c r="WYV245"/>
      <c r="WYW245"/>
      <c r="WYX245"/>
      <c r="WYY245"/>
      <c r="WYZ245"/>
      <c r="WZA245"/>
      <c r="WZB245"/>
      <c r="WZC245"/>
      <c r="WZD245"/>
      <c r="WZE245"/>
      <c r="WZF245"/>
      <c r="WZG245"/>
      <c r="WZH245"/>
      <c r="WZI245"/>
      <c r="WZJ245"/>
      <c r="WZK245"/>
      <c r="WZL245"/>
      <c r="WZM245"/>
      <c r="WZN245"/>
      <c r="WZO245"/>
      <c r="WZP245"/>
      <c r="WZQ245"/>
      <c r="WZR245"/>
      <c r="WZS245"/>
      <c r="WZT245"/>
      <c r="WZU245"/>
      <c r="WZV245"/>
      <c r="WZW245"/>
      <c r="WZX245"/>
      <c r="WZY245"/>
      <c r="WZZ245"/>
      <c r="XAA245"/>
      <c r="XAB245"/>
      <c r="XAC245"/>
      <c r="XAD245"/>
      <c r="XAE245"/>
      <c r="XAF245"/>
      <c r="XAG245"/>
      <c r="XAH245"/>
      <c r="XAI245"/>
      <c r="XAJ245"/>
      <c r="XAK245"/>
      <c r="XAL245"/>
      <c r="XAM245"/>
      <c r="XAN245"/>
      <c r="XAO245"/>
      <c r="XAP245"/>
      <c r="XAQ245"/>
      <c r="XAR245"/>
      <c r="XAS245"/>
      <c r="XAT245"/>
      <c r="XAU245"/>
      <c r="XAV245"/>
      <c r="XAW245"/>
      <c r="XAX245"/>
      <c r="XAY245"/>
      <c r="XAZ245"/>
      <c r="XBA245"/>
      <c r="XBB245"/>
      <c r="XBC245"/>
      <c r="XBD245"/>
      <c r="XBE245"/>
      <c r="XBF245"/>
      <c r="XBG245"/>
      <c r="XBH245"/>
      <c r="XBI245"/>
      <c r="XBJ245"/>
      <c r="XBK245"/>
      <c r="XBL245"/>
      <c r="XBM245"/>
      <c r="XBN245"/>
      <c r="XBO245"/>
      <c r="XBP245"/>
      <c r="XBQ245"/>
      <c r="XBR245"/>
      <c r="XBS245"/>
      <c r="XBT245"/>
      <c r="XBU245"/>
      <c r="XBV245"/>
      <c r="XBW245"/>
      <c r="XBX245"/>
      <c r="XBY245"/>
      <c r="XBZ245"/>
      <c r="XCA245"/>
      <c r="XCB245"/>
      <c r="XCC245"/>
      <c r="XCD245"/>
      <c r="XCE245"/>
      <c r="XCF245"/>
      <c r="XCG245"/>
      <c r="XCH245"/>
      <c r="XCI245"/>
      <c r="XCJ245"/>
      <c r="XCK245"/>
      <c r="XCL245"/>
      <c r="XCM245"/>
      <c r="XCN245"/>
      <c r="XCO245"/>
      <c r="XCP245"/>
      <c r="XCQ245"/>
      <c r="XCR245"/>
      <c r="XCS245"/>
      <c r="XCT245"/>
      <c r="XCU245"/>
      <c r="XCV245"/>
      <c r="XCW245"/>
      <c r="XCX245"/>
      <c r="XCY245"/>
      <c r="XCZ245"/>
      <c r="XDA245"/>
      <c r="XDB245"/>
      <c r="XDC245"/>
      <c r="XDD245"/>
      <c r="XDE245"/>
      <c r="XDF245"/>
      <c r="XDG245"/>
      <c r="XDH245"/>
      <c r="XDI245"/>
      <c r="XDJ245"/>
      <c r="XDK245"/>
      <c r="XDL245"/>
      <c r="XDM245"/>
      <c r="XDN245"/>
      <c r="XDO245"/>
      <c r="XDP245"/>
      <c r="XDQ245"/>
      <c r="XDR245"/>
      <c r="XDS245"/>
      <c r="XDT245"/>
      <c r="XDU245"/>
      <c r="XDV245"/>
      <c r="XDW245"/>
      <c r="XDX245"/>
      <c r="XDY245"/>
      <c r="XDZ245"/>
      <c r="XEA245"/>
      <c r="XEB245"/>
      <c r="XEC245"/>
      <c r="XED245"/>
      <c r="XEE245"/>
      <c r="XEF245"/>
      <c r="XEG245"/>
      <c r="XEH245"/>
      <c r="XEI245"/>
      <c r="XEJ245"/>
      <c r="XEK245"/>
      <c r="XEL245"/>
      <c r="XEM245"/>
      <c r="XEN245"/>
      <c r="XEO245"/>
      <c r="XEP245"/>
      <c r="XEQ245"/>
      <c r="XER245"/>
      <c r="XES245"/>
      <c r="XET245"/>
      <c r="XEU245"/>
      <c r="XEV245"/>
      <c r="XEW245"/>
      <c r="XEX245"/>
      <c r="XEY245"/>
      <c r="XEZ245"/>
      <c r="XFA245"/>
      <c r="XFB245"/>
      <c r="XFC245"/>
      <c r="XFD245"/>
    </row>
    <row r="246" spans="1:19 16149:16384" s="830" customFormat="1" ht="13.8">
      <c r="A246" s="830" t="s">
        <v>1227</v>
      </c>
      <c r="B246" s="807"/>
      <c r="C246" s="808"/>
      <c r="D246" s="807" t="s">
        <v>5106</v>
      </c>
      <c r="E246" s="808" t="s">
        <v>1450</v>
      </c>
      <c r="F246" s="813">
        <v>4</v>
      </c>
      <c r="G246" s="746"/>
      <c r="H246" s="752">
        <v>0</v>
      </c>
      <c r="I246" s="753" t="s">
        <v>4908</v>
      </c>
      <c r="J246" s="745" t="s">
        <v>5159</v>
      </c>
      <c r="M246" s="814">
        <v>30.89</v>
      </c>
      <c r="N246" s="814"/>
      <c r="S246" s="840"/>
      <c r="WWC246"/>
      <c r="WWD246"/>
      <c r="WWE246"/>
      <c r="WWF246"/>
      <c r="WWG246"/>
      <c r="WWH246"/>
      <c r="WWI246"/>
      <c r="WWJ246"/>
      <c r="WWK246"/>
      <c r="WWL246"/>
      <c r="WWM246"/>
      <c r="WWN246"/>
      <c r="WWO246"/>
      <c r="WWP246"/>
      <c r="WWQ246"/>
      <c r="WWR246"/>
      <c r="WWS246"/>
      <c r="WWT246"/>
      <c r="WWU246"/>
      <c r="WWV246"/>
      <c r="WWW246"/>
      <c r="WWX246"/>
      <c r="WWY246"/>
      <c r="WWZ246"/>
      <c r="WXA246"/>
      <c r="WXB246"/>
      <c r="WXC246"/>
      <c r="WXD246"/>
      <c r="WXE246"/>
      <c r="WXF246"/>
      <c r="WXG246"/>
      <c r="WXH246"/>
      <c r="WXI246"/>
      <c r="WXJ246"/>
      <c r="WXK246"/>
      <c r="WXL246"/>
      <c r="WXM246"/>
      <c r="WXN246"/>
      <c r="WXO246"/>
      <c r="WXP246"/>
      <c r="WXQ246"/>
      <c r="WXR246"/>
      <c r="WXS246"/>
      <c r="WXT246"/>
      <c r="WXU246"/>
      <c r="WXV246"/>
      <c r="WXW246"/>
      <c r="WXX246"/>
      <c r="WXY246"/>
      <c r="WXZ246"/>
      <c r="WYA246"/>
      <c r="WYB246"/>
      <c r="WYC246"/>
      <c r="WYD246"/>
      <c r="WYE246"/>
      <c r="WYF246"/>
      <c r="WYG246"/>
      <c r="WYH246"/>
      <c r="WYI246"/>
      <c r="WYJ246"/>
      <c r="WYK246"/>
      <c r="WYL246"/>
      <c r="WYM246"/>
      <c r="WYN246"/>
      <c r="WYO246"/>
      <c r="WYP246"/>
      <c r="WYQ246"/>
      <c r="WYR246"/>
      <c r="WYS246"/>
      <c r="WYT246"/>
      <c r="WYU246"/>
      <c r="WYV246"/>
      <c r="WYW246"/>
      <c r="WYX246"/>
      <c r="WYY246"/>
      <c r="WYZ246"/>
      <c r="WZA246"/>
      <c r="WZB246"/>
      <c r="WZC246"/>
      <c r="WZD246"/>
      <c r="WZE246"/>
      <c r="WZF246"/>
      <c r="WZG246"/>
      <c r="WZH246"/>
      <c r="WZI246"/>
      <c r="WZJ246"/>
      <c r="WZK246"/>
      <c r="WZL246"/>
      <c r="WZM246"/>
      <c r="WZN246"/>
      <c r="WZO246"/>
      <c r="WZP246"/>
      <c r="WZQ246"/>
      <c r="WZR246"/>
      <c r="WZS246"/>
      <c r="WZT246"/>
      <c r="WZU246"/>
      <c r="WZV246"/>
      <c r="WZW246"/>
      <c r="WZX246"/>
      <c r="WZY246"/>
      <c r="WZZ246"/>
      <c r="XAA246"/>
      <c r="XAB246"/>
      <c r="XAC246"/>
      <c r="XAD246"/>
      <c r="XAE246"/>
      <c r="XAF246"/>
      <c r="XAG246"/>
      <c r="XAH246"/>
      <c r="XAI246"/>
      <c r="XAJ246"/>
      <c r="XAK246"/>
      <c r="XAL246"/>
      <c r="XAM246"/>
      <c r="XAN246"/>
      <c r="XAO246"/>
      <c r="XAP246"/>
      <c r="XAQ246"/>
      <c r="XAR246"/>
      <c r="XAS246"/>
      <c r="XAT246"/>
      <c r="XAU246"/>
      <c r="XAV246"/>
      <c r="XAW246"/>
      <c r="XAX246"/>
      <c r="XAY246"/>
      <c r="XAZ246"/>
      <c r="XBA246"/>
      <c r="XBB246"/>
      <c r="XBC246"/>
      <c r="XBD246"/>
      <c r="XBE246"/>
      <c r="XBF246"/>
      <c r="XBG246"/>
      <c r="XBH246"/>
      <c r="XBI246"/>
      <c r="XBJ246"/>
      <c r="XBK246"/>
      <c r="XBL246"/>
      <c r="XBM246"/>
      <c r="XBN246"/>
      <c r="XBO246"/>
      <c r="XBP246"/>
      <c r="XBQ246"/>
      <c r="XBR246"/>
      <c r="XBS246"/>
      <c r="XBT246"/>
      <c r="XBU246"/>
      <c r="XBV246"/>
      <c r="XBW246"/>
      <c r="XBX246"/>
      <c r="XBY246"/>
      <c r="XBZ246"/>
      <c r="XCA246"/>
      <c r="XCB246"/>
      <c r="XCC246"/>
      <c r="XCD246"/>
      <c r="XCE246"/>
      <c r="XCF246"/>
      <c r="XCG246"/>
      <c r="XCH246"/>
      <c r="XCI246"/>
      <c r="XCJ246"/>
      <c r="XCK246"/>
      <c r="XCL246"/>
      <c r="XCM246"/>
      <c r="XCN246"/>
      <c r="XCO246"/>
      <c r="XCP246"/>
      <c r="XCQ246"/>
      <c r="XCR246"/>
      <c r="XCS246"/>
      <c r="XCT246"/>
      <c r="XCU246"/>
      <c r="XCV246"/>
      <c r="XCW246"/>
      <c r="XCX246"/>
      <c r="XCY246"/>
      <c r="XCZ246"/>
      <c r="XDA246"/>
      <c r="XDB246"/>
      <c r="XDC246"/>
      <c r="XDD246"/>
      <c r="XDE246"/>
      <c r="XDF246"/>
      <c r="XDG246"/>
      <c r="XDH246"/>
      <c r="XDI246"/>
      <c r="XDJ246"/>
      <c r="XDK246"/>
      <c r="XDL246"/>
      <c r="XDM246"/>
      <c r="XDN246"/>
      <c r="XDO246"/>
      <c r="XDP246"/>
      <c r="XDQ246"/>
      <c r="XDR246"/>
      <c r="XDS246"/>
      <c r="XDT246"/>
      <c r="XDU246"/>
      <c r="XDV246"/>
      <c r="XDW246"/>
      <c r="XDX246"/>
      <c r="XDY246"/>
      <c r="XDZ246"/>
      <c r="XEA246"/>
      <c r="XEB246"/>
      <c r="XEC246"/>
      <c r="XED246"/>
      <c r="XEE246"/>
      <c r="XEF246"/>
      <c r="XEG246"/>
      <c r="XEH246"/>
      <c r="XEI246"/>
      <c r="XEJ246"/>
      <c r="XEK246"/>
      <c r="XEL246"/>
      <c r="XEM246"/>
      <c r="XEN246"/>
      <c r="XEO246"/>
      <c r="XEP246"/>
      <c r="XEQ246"/>
      <c r="XER246"/>
      <c r="XES246"/>
      <c r="XET246"/>
      <c r="XEU246"/>
      <c r="XEV246"/>
      <c r="XEW246"/>
      <c r="XEX246"/>
      <c r="XEY246"/>
      <c r="XEZ246"/>
      <c r="XFA246"/>
      <c r="XFB246"/>
      <c r="XFC246"/>
      <c r="XFD246"/>
    </row>
    <row r="247" spans="1:19 16149:16384" s="830" customFormat="1" ht="13.8">
      <c r="A247" s="830" t="s">
        <v>1227</v>
      </c>
      <c r="B247" s="807"/>
      <c r="C247" s="808"/>
      <c r="D247" s="807" t="s">
        <v>5160</v>
      </c>
      <c r="E247" s="808" t="s">
        <v>1450</v>
      </c>
      <c r="F247" s="813">
        <v>107</v>
      </c>
      <c r="G247" s="746"/>
      <c r="H247" s="752">
        <v>0</v>
      </c>
      <c r="I247" s="753" t="s">
        <v>4908</v>
      </c>
      <c r="J247" s="745" t="s">
        <v>5161</v>
      </c>
      <c r="M247" s="814">
        <v>32.93</v>
      </c>
      <c r="N247" s="814"/>
      <c r="S247" s="840"/>
      <c r="WWC247"/>
      <c r="WWD247"/>
      <c r="WWE247"/>
      <c r="WWF247"/>
      <c r="WWG247"/>
      <c r="WWH247"/>
      <c r="WWI247"/>
      <c r="WWJ247"/>
      <c r="WWK247"/>
      <c r="WWL247"/>
      <c r="WWM247"/>
      <c r="WWN247"/>
      <c r="WWO247"/>
      <c r="WWP247"/>
      <c r="WWQ247"/>
      <c r="WWR247"/>
      <c r="WWS247"/>
      <c r="WWT247"/>
      <c r="WWU247"/>
      <c r="WWV247"/>
      <c r="WWW247"/>
      <c r="WWX247"/>
      <c r="WWY247"/>
      <c r="WWZ247"/>
      <c r="WXA247"/>
      <c r="WXB247"/>
      <c r="WXC247"/>
      <c r="WXD247"/>
      <c r="WXE247"/>
      <c r="WXF247"/>
      <c r="WXG247"/>
      <c r="WXH247"/>
      <c r="WXI247"/>
      <c r="WXJ247"/>
      <c r="WXK247"/>
      <c r="WXL247"/>
      <c r="WXM247"/>
      <c r="WXN247"/>
      <c r="WXO247"/>
      <c r="WXP247"/>
      <c r="WXQ247"/>
      <c r="WXR247"/>
      <c r="WXS247"/>
      <c r="WXT247"/>
      <c r="WXU247"/>
      <c r="WXV247"/>
      <c r="WXW247"/>
      <c r="WXX247"/>
      <c r="WXY247"/>
      <c r="WXZ247"/>
      <c r="WYA247"/>
      <c r="WYB247"/>
      <c r="WYC247"/>
      <c r="WYD247"/>
      <c r="WYE247"/>
      <c r="WYF247"/>
      <c r="WYG247"/>
      <c r="WYH247"/>
      <c r="WYI247"/>
      <c r="WYJ247"/>
      <c r="WYK247"/>
      <c r="WYL247"/>
      <c r="WYM247"/>
      <c r="WYN247"/>
      <c r="WYO247"/>
      <c r="WYP247"/>
      <c r="WYQ247"/>
      <c r="WYR247"/>
      <c r="WYS247"/>
      <c r="WYT247"/>
      <c r="WYU247"/>
      <c r="WYV247"/>
      <c r="WYW247"/>
      <c r="WYX247"/>
      <c r="WYY247"/>
      <c r="WYZ247"/>
      <c r="WZA247"/>
      <c r="WZB247"/>
      <c r="WZC247"/>
      <c r="WZD247"/>
      <c r="WZE247"/>
      <c r="WZF247"/>
      <c r="WZG247"/>
      <c r="WZH247"/>
      <c r="WZI247"/>
      <c r="WZJ247"/>
      <c r="WZK247"/>
      <c r="WZL247"/>
      <c r="WZM247"/>
      <c r="WZN247"/>
      <c r="WZO247"/>
      <c r="WZP247"/>
      <c r="WZQ247"/>
      <c r="WZR247"/>
      <c r="WZS247"/>
      <c r="WZT247"/>
      <c r="WZU247"/>
      <c r="WZV247"/>
      <c r="WZW247"/>
      <c r="WZX247"/>
      <c r="WZY247"/>
      <c r="WZZ247"/>
      <c r="XAA247"/>
      <c r="XAB247"/>
      <c r="XAC247"/>
      <c r="XAD247"/>
      <c r="XAE247"/>
      <c r="XAF247"/>
      <c r="XAG247"/>
      <c r="XAH247"/>
      <c r="XAI247"/>
      <c r="XAJ247"/>
      <c r="XAK247"/>
      <c r="XAL247"/>
      <c r="XAM247"/>
      <c r="XAN247"/>
      <c r="XAO247"/>
      <c r="XAP247"/>
      <c r="XAQ247"/>
      <c r="XAR247"/>
      <c r="XAS247"/>
      <c r="XAT247"/>
      <c r="XAU247"/>
      <c r="XAV247"/>
      <c r="XAW247"/>
      <c r="XAX247"/>
      <c r="XAY247"/>
      <c r="XAZ247"/>
      <c r="XBA247"/>
      <c r="XBB247"/>
      <c r="XBC247"/>
      <c r="XBD247"/>
      <c r="XBE247"/>
      <c r="XBF247"/>
      <c r="XBG247"/>
      <c r="XBH247"/>
      <c r="XBI247"/>
      <c r="XBJ247"/>
      <c r="XBK247"/>
      <c r="XBL247"/>
      <c r="XBM247"/>
      <c r="XBN247"/>
      <c r="XBO247"/>
      <c r="XBP247"/>
      <c r="XBQ247"/>
      <c r="XBR247"/>
      <c r="XBS247"/>
      <c r="XBT247"/>
      <c r="XBU247"/>
      <c r="XBV247"/>
      <c r="XBW247"/>
      <c r="XBX247"/>
      <c r="XBY247"/>
      <c r="XBZ247"/>
      <c r="XCA247"/>
      <c r="XCB247"/>
      <c r="XCC247"/>
      <c r="XCD247"/>
      <c r="XCE247"/>
      <c r="XCF247"/>
      <c r="XCG247"/>
      <c r="XCH247"/>
      <c r="XCI247"/>
      <c r="XCJ247"/>
      <c r="XCK247"/>
      <c r="XCL247"/>
      <c r="XCM247"/>
      <c r="XCN247"/>
      <c r="XCO247"/>
      <c r="XCP247"/>
      <c r="XCQ247"/>
      <c r="XCR247"/>
      <c r="XCS247"/>
      <c r="XCT247"/>
      <c r="XCU247"/>
      <c r="XCV247"/>
      <c r="XCW247"/>
      <c r="XCX247"/>
      <c r="XCY247"/>
      <c r="XCZ247"/>
      <c r="XDA247"/>
      <c r="XDB247"/>
      <c r="XDC247"/>
      <c r="XDD247"/>
      <c r="XDE247"/>
      <c r="XDF247"/>
      <c r="XDG247"/>
      <c r="XDH247"/>
      <c r="XDI247"/>
      <c r="XDJ247"/>
      <c r="XDK247"/>
      <c r="XDL247"/>
      <c r="XDM247"/>
      <c r="XDN247"/>
      <c r="XDO247"/>
      <c r="XDP247"/>
      <c r="XDQ247"/>
      <c r="XDR247"/>
      <c r="XDS247"/>
      <c r="XDT247"/>
      <c r="XDU247"/>
      <c r="XDV247"/>
      <c r="XDW247"/>
      <c r="XDX247"/>
      <c r="XDY247"/>
      <c r="XDZ247"/>
      <c r="XEA247"/>
      <c r="XEB247"/>
      <c r="XEC247"/>
      <c r="XED247"/>
      <c r="XEE247"/>
      <c r="XEF247"/>
      <c r="XEG247"/>
      <c r="XEH247"/>
      <c r="XEI247"/>
      <c r="XEJ247"/>
      <c r="XEK247"/>
      <c r="XEL247"/>
      <c r="XEM247"/>
      <c r="XEN247"/>
      <c r="XEO247"/>
      <c r="XEP247"/>
      <c r="XEQ247"/>
      <c r="XER247"/>
      <c r="XES247"/>
      <c r="XET247"/>
      <c r="XEU247"/>
      <c r="XEV247"/>
      <c r="XEW247"/>
      <c r="XEX247"/>
      <c r="XEY247"/>
      <c r="XEZ247"/>
      <c r="XFA247"/>
      <c r="XFB247"/>
      <c r="XFC247"/>
      <c r="XFD247"/>
    </row>
    <row r="248" spans="1:19 16149:16384" s="830" customFormat="1" ht="13.8">
      <c r="B248" s="816"/>
      <c r="C248" s="748"/>
      <c r="D248" s="810"/>
      <c r="E248" s="808"/>
      <c r="F248" s="813"/>
      <c r="G248" s="746"/>
      <c r="H248" s="813"/>
      <c r="I248" s="753"/>
      <c r="J248" s="745"/>
      <c r="M248" s="831"/>
      <c r="N248" s="831"/>
      <c r="S248" s="840"/>
      <c r="WWC248"/>
      <c r="WWD248"/>
      <c r="WWE248"/>
      <c r="WWF248"/>
      <c r="WWG248"/>
      <c r="WWH248"/>
      <c r="WWI248"/>
      <c r="WWJ248"/>
      <c r="WWK248"/>
      <c r="WWL248"/>
      <c r="WWM248"/>
      <c r="WWN248"/>
      <c r="WWO248"/>
      <c r="WWP248"/>
      <c r="WWQ248"/>
      <c r="WWR248"/>
      <c r="WWS248"/>
      <c r="WWT248"/>
      <c r="WWU248"/>
      <c r="WWV248"/>
      <c r="WWW248"/>
      <c r="WWX248"/>
      <c r="WWY248"/>
      <c r="WWZ248"/>
      <c r="WXA248"/>
      <c r="WXB248"/>
      <c r="WXC248"/>
      <c r="WXD248"/>
      <c r="WXE248"/>
      <c r="WXF248"/>
      <c r="WXG248"/>
      <c r="WXH248"/>
      <c r="WXI248"/>
      <c r="WXJ248"/>
      <c r="WXK248"/>
      <c r="WXL248"/>
      <c r="WXM248"/>
      <c r="WXN248"/>
      <c r="WXO248"/>
      <c r="WXP248"/>
      <c r="WXQ248"/>
      <c r="WXR248"/>
      <c r="WXS248"/>
      <c r="WXT248"/>
      <c r="WXU248"/>
      <c r="WXV248"/>
      <c r="WXW248"/>
      <c r="WXX248"/>
      <c r="WXY248"/>
      <c r="WXZ248"/>
      <c r="WYA248"/>
      <c r="WYB248"/>
      <c r="WYC248"/>
      <c r="WYD248"/>
      <c r="WYE248"/>
      <c r="WYF248"/>
      <c r="WYG248"/>
      <c r="WYH248"/>
      <c r="WYI248"/>
      <c r="WYJ248"/>
      <c r="WYK248"/>
      <c r="WYL248"/>
      <c r="WYM248"/>
      <c r="WYN248"/>
      <c r="WYO248"/>
      <c r="WYP248"/>
      <c r="WYQ248"/>
      <c r="WYR248"/>
      <c r="WYS248"/>
      <c r="WYT248"/>
      <c r="WYU248"/>
      <c r="WYV248"/>
      <c r="WYW248"/>
      <c r="WYX248"/>
      <c r="WYY248"/>
      <c r="WYZ248"/>
      <c r="WZA248"/>
      <c r="WZB248"/>
      <c r="WZC248"/>
      <c r="WZD248"/>
      <c r="WZE248"/>
      <c r="WZF248"/>
      <c r="WZG248"/>
      <c r="WZH248"/>
      <c r="WZI248"/>
      <c r="WZJ248"/>
      <c r="WZK248"/>
      <c r="WZL248"/>
      <c r="WZM248"/>
      <c r="WZN248"/>
      <c r="WZO248"/>
      <c r="WZP248"/>
      <c r="WZQ248"/>
      <c r="WZR248"/>
      <c r="WZS248"/>
      <c r="WZT248"/>
      <c r="WZU248"/>
      <c r="WZV248"/>
      <c r="WZW248"/>
      <c r="WZX248"/>
      <c r="WZY248"/>
      <c r="WZZ248"/>
      <c r="XAA248"/>
      <c r="XAB248"/>
      <c r="XAC248"/>
      <c r="XAD248"/>
      <c r="XAE248"/>
      <c r="XAF248"/>
      <c r="XAG248"/>
      <c r="XAH248"/>
      <c r="XAI248"/>
      <c r="XAJ248"/>
      <c r="XAK248"/>
      <c r="XAL248"/>
      <c r="XAM248"/>
      <c r="XAN248"/>
      <c r="XAO248"/>
      <c r="XAP248"/>
      <c r="XAQ248"/>
      <c r="XAR248"/>
      <c r="XAS248"/>
      <c r="XAT248"/>
      <c r="XAU248"/>
      <c r="XAV248"/>
      <c r="XAW248"/>
      <c r="XAX248"/>
      <c r="XAY248"/>
      <c r="XAZ248"/>
      <c r="XBA248"/>
      <c r="XBB248"/>
      <c r="XBC248"/>
      <c r="XBD248"/>
      <c r="XBE248"/>
      <c r="XBF248"/>
      <c r="XBG248"/>
      <c r="XBH248"/>
      <c r="XBI248"/>
      <c r="XBJ248"/>
      <c r="XBK248"/>
      <c r="XBL248"/>
      <c r="XBM248"/>
      <c r="XBN248"/>
      <c r="XBO248"/>
      <c r="XBP248"/>
      <c r="XBQ248"/>
      <c r="XBR248"/>
      <c r="XBS248"/>
      <c r="XBT248"/>
      <c r="XBU248"/>
      <c r="XBV248"/>
      <c r="XBW248"/>
      <c r="XBX248"/>
      <c r="XBY248"/>
      <c r="XBZ248"/>
      <c r="XCA248"/>
      <c r="XCB248"/>
      <c r="XCC248"/>
      <c r="XCD248"/>
      <c r="XCE248"/>
      <c r="XCF248"/>
      <c r="XCG248"/>
      <c r="XCH248"/>
      <c r="XCI248"/>
      <c r="XCJ248"/>
      <c r="XCK248"/>
      <c r="XCL248"/>
      <c r="XCM248"/>
      <c r="XCN248"/>
      <c r="XCO248"/>
      <c r="XCP248"/>
      <c r="XCQ248"/>
      <c r="XCR248"/>
      <c r="XCS248"/>
      <c r="XCT248"/>
      <c r="XCU248"/>
      <c r="XCV248"/>
      <c r="XCW248"/>
      <c r="XCX248"/>
      <c r="XCY248"/>
      <c r="XCZ248"/>
      <c r="XDA248"/>
      <c r="XDB248"/>
      <c r="XDC248"/>
      <c r="XDD248"/>
      <c r="XDE248"/>
      <c r="XDF248"/>
      <c r="XDG248"/>
      <c r="XDH248"/>
      <c r="XDI248"/>
      <c r="XDJ248"/>
      <c r="XDK248"/>
      <c r="XDL248"/>
      <c r="XDM248"/>
      <c r="XDN248"/>
      <c r="XDO248"/>
      <c r="XDP248"/>
      <c r="XDQ248"/>
      <c r="XDR248"/>
      <c r="XDS248"/>
      <c r="XDT248"/>
      <c r="XDU248"/>
      <c r="XDV248"/>
      <c r="XDW248"/>
      <c r="XDX248"/>
      <c r="XDY248"/>
      <c r="XDZ248"/>
      <c r="XEA248"/>
      <c r="XEB248"/>
      <c r="XEC248"/>
      <c r="XED248"/>
      <c r="XEE248"/>
      <c r="XEF248"/>
      <c r="XEG248"/>
      <c r="XEH248"/>
      <c r="XEI248"/>
      <c r="XEJ248"/>
      <c r="XEK248"/>
      <c r="XEL248"/>
      <c r="XEM248"/>
      <c r="XEN248"/>
      <c r="XEO248"/>
      <c r="XEP248"/>
      <c r="XEQ248"/>
      <c r="XER248"/>
      <c r="XES248"/>
      <c r="XET248"/>
      <c r="XEU248"/>
      <c r="XEV248"/>
      <c r="XEW248"/>
      <c r="XEX248"/>
      <c r="XEY248"/>
      <c r="XEZ248"/>
      <c r="XFA248"/>
      <c r="XFB248"/>
      <c r="XFC248"/>
      <c r="XFD248"/>
    </row>
    <row r="249" spans="1:19 16149:16384" s="830" customFormat="1" ht="13.8">
      <c r="A249" s="830" t="s">
        <v>1227</v>
      </c>
      <c r="B249" s="807" t="s">
        <v>5192</v>
      </c>
      <c r="C249" s="808"/>
      <c r="D249" s="807" t="s">
        <v>5193</v>
      </c>
      <c r="E249" s="808" t="s">
        <v>5093</v>
      </c>
      <c r="F249" s="813">
        <v>4</v>
      </c>
      <c r="G249" s="746"/>
      <c r="H249" s="752">
        <v>0</v>
      </c>
      <c r="I249" s="753"/>
      <c r="J249" s="745"/>
      <c r="M249" s="814">
        <v>280</v>
      </c>
      <c r="N249" s="814">
        <v>450</v>
      </c>
      <c r="S249" s="840"/>
      <c r="WWC249"/>
      <c r="WWD249"/>
      <c r="WWE249"/>
      <c r="WWF249"/>
      <c r="WWG249"/>
      <c r="WWH249"/>
      <c r="WWI249"/>
      <c r="WWJ249"/>
      <c r="WWK249"/>
      <c r="WWL249"/>
      <c r="WWM249"/>
      <c r="WWN249"/>
      <c r="WWO249"/>
      <c r="WWP249"/>
      <c r="WWQ249"/>
      <c r="WWR249"/>
      <c r="WWS249"/>
      <c r="WWT249"/>
      <c r="WWU249"/>
      <c r="WWV249"/>
      <c r="WWW249"/>
      <c r="WWX249"/>
      <c r="WWY249"/>
      <c r="WWZ249"/>
      <c r="WXA249"/>
      <c r="WXB249"/>
      <c r="WXC249"/>
      <c r="WXD249"/>
      <c r="WXE249"/>
      <c r="WXF249"/>
      <c r="WXG249"/>
      <c r="WXH249"/>
      <c r="WXI249"/>
      <c r="WXJ249"/>
      <c r="WXK249"/>
      <c r="WXL249"/>
      <c r="WXM249"/>
      <c r="WXN249"/>
      <c r="WXO249"/>
      <c r="WXP249"/>
      <c r="WXQ249"/>
      <c r="WXR249"/>
      <c r="WXS249"/>
      <c r="WXT249"/>
      <c r="WXU249"/>
      <c r="WXV249"/>
      <c r="WXW249"/>
      <c r="WXX249"/>
      <c r="WXY249"/>
      <c r="WXZ249"/>
      <c r="WYA249"/>
      <c r="WYB249"/>
      <c r="WYC249"/>
      <c r="WYD249"/>
      <c r="WYE249"/>
      <c r="WYF249"/>
      <c r="WYG249"/>
      <c r="WYH249"/>
      <c r="WYI249"/>
      <c r="WYJ249"/>
      <c r="WYK249"/>
      <c r="WYL249"/>
      <c r="WYM249"/>
      <c r="WYN249"/>
      <c r="WYO249"/>
      <c r="WYP249"/>
      <c r="WYQ249"/>
      <c r="WYR249"/>
      <c r="WYS249"/>
      <c r="WYT249"/>
      <c r="WYU249"/>
      <c r="WYV249"/>
      <c r="WYW249"/>
      <c r="WYX249"/>
      <c r="WYY249"/>
      <c r="WYZ249"/>
      <c r="WZA249"/>
      <c r="WZB249"/>
      <c r="WZC249"/>
      <c r="WZD249"/>
      <c r="WZE249"/>
      <c r="WZF249"/>
      <c r="WZG249"/>
      <c r="WZH249"/>
      <c r="WZI249"/>
      <c r="WZJ249"/>
      <c r="WZK249"/>
      <c r="WZL249"/>
      <c r="WZM249"/>
      <c r="WZN249"/>
      <c r="WZO249"/>
      <c r="WZP249"/>
      <c r="WZQ249"/>
      <c r="WZR249"/>
      <c r="WZS249"/>
      <c r="WZT249"/>
      <c r="WZU249"/>
      <c r="WZV249"/>
      <c r="WZW249"/>
      <c r="WZX249"/>
      <c r="WZY249"/>
      <c r="WZZ249"/>
      <c r="XAA249"/>
      <c r="XAB249"/>
      <c r="XAC249"/>
      <c r="XAD249"/>
      <c r="XAE249"/>
      <c r="XAF249"/>
      <c r="XAG249"/>
      <c r="XAH249"/>
      <c r="XAI249"/>
      <c r="XAJ249"/>
      <c r="XAK249"/>
      <c r="XAL249"/>
      <c r="XAM249"/>
      <c r="XAN249"/>
      <c r="XAO249"/>
      <c r="XAP249"/>
      <c r="XAQ249"/>
      <c r="XAR249"/>
      <c r="XAS249"/>
      <c r="XAT249"/>
      <c r="XAU249"/>
      <c r="XAV249"/>
      <c r="XAW249"/>
      <c r="XAX249"/>
      <c r="XAY249"/>
      <c r="XAZ249"/>
      <c r="XBA249"/>
      <c r="XBB249"/>
      <c r="XBC249"/>
      <c r="XBD249"/>
      <c r="XBE249"/>
      <c r="XBF249"/>
      <c r="XBG249"/>
      <c r="XBH249"/>
      <c r="XBI249"/>
      <c r="XBJ249"/>
      <c r="XBK249"/>
      <c r="XBL249"/>
      <c r="XBM249"/>
      <c r="XBN249"/>
      <c r="XBO249"/>
      <c r="XBP249"/>
      <c r="XBQ249"/>
      <c r="XBR249"/>
      <c r="XBS249"/>
      <c r="XBT249"/>
      <c r="XBU249"/>
      <c r="XBV249"/>
      <c r="XBW249"/>
      <c r="XBX249"/>
      <c r="XBY249"/>
      <c r="XBZ249"/>
      <c r="XCA249"/>
      <c r="XCB249"/>
      <c r="XCC249"/>
      <c r="XCD249"/>
      <c r="XCE249"/>
      <c r="XCF249"/>
      <c r="XCG249"/>
      <c r="XCH249"/>
      <c r="XCI249"/>
      <c r="XCJ249"/>
      <c r="XCK249"/>
      <c r="XCL249"/>
      <c r="XCM249"/>
      <c r="XCN249"/>
      <c r="XCO249"/>
      <c r="XCP249"/>
      <c r="XCQ249"/>
      <c r="XCR249"/>
      <c r="XCS249"/>
      <c r="XCT249"/>
      <c r="XCU249"/>
      <c r="XCV249"/>
      <c r="XCW249"/>
      <c r="XCX249"/>
      <c r="XCY249"/>
      <c r="XCZ249"/>
      <c r="XDA249"/>
      <c r="XDB249"/>
      <c r="XDC249"/>
      <c r="XDD249"/>
      <c r="XDE249"/>
      <c r="XDF249"/>
      <c r="XDG249"/>
      <c r="XDH249"/>
      <c r="XDI249"/>
      <c r="XDJ249"/>
      <c r="XDK249"/>
      <c r="XDL249"/>
      <c r="XDM249"/>
      <c r="XDN249"/>
      <c r="XDO249"/>
      <c r="XDP249"/>
      <c r="XDQ249"/>
      <c r="XDR249"/>
      <c r="XDS249"/>
      <c r="XDT249"/>
      <c r="XDU249"/>
      <c r="XDV249"/>
      <c r="XDW249"/>
      <c r="XDX249"/>
      <c r="XDY249"/>
      <c r="XDZ249"/>
      <c r="XEA249"/>
      <c r="XEB249"/>
      <c r="XEC249"/>
      <c r="XED249"/>
      <c r="XEE249"/>
      <c r="XEF249"/>
      <c r="XEG249"/>
      <c r="XEH249"/>
      <c r="XEI249"/>
      <c r="XEJ249"/>
      <c r="XEK249"/>
      <c r="XEL249"/>
      <c r="XEM249"/>
      <c r="XEN249"/>
      <c r="XEO249"/>
      <c r="XEP249"/>
      <c r="XEQ249"/>
      <c r="XER249"/>
      <c r="XES249"/>
      <c r="XET249"/>
      <c r="XEU249"/>
      <c r="XEV249"/>
      <c r="XEW249"/>
      <c r="XEX249"/>
      <c r="XEY249"/>
      <c r="XEZ249"/>
      <c r="XFA249"/>
      <c r="XFB249"/>
      <c r="XFC249"/>
      <c r="XFD249"/>
    </row>
    <row r="250" spans="1:19 16149:16384" s="830" customFormat="1" ht="13.8">
      <c r="B250" s="807"/>
      <c r="C250" s="808"/>
      <c r="D250" s="807"/>
      <c r="E250" s="808"/>
      <c r="F250" s="813"/>
      <c r="G250" s="746"/>
      <c r="H250" s="813"/>
      <c r="I250" s="753"/>
      <c r="J250" s="745"/>
      <c r="M250" s="831"/>
      <c r="N250" s="831"/>
      <c r="S250" s="840"/>
      <c r="WWC250"/>
      <c r="WWD250"/>
      <c r="WWE250"/>
      <c r="WWF250"/>
      <c r="WWG250"/>
      <c r="WWH250"/>
      <c r="WWI250"/>
      <c r="WWJ250"/>
      <c r="WWK250"/>
      <c r="WWL250"/>
      <c r="WWM250"/>
      <c r="WWN250"/>
      <c r="WWO250"/>
      <c r="WWP250"/>
      <c r="WWQ250"/>
      <c r="WWR250"/>
      <c r="WWS250"/>
      <c r="WWT250"/>
      <c r="WWU250"/>
      <c r="WWV250"/>
      <c r="WWW250"/>
      <c r="WWX250"/>
      <c r="WWY250"/>
      <c r="WWZ250"/>
      <c r="WXA250"/>
      <c r="WXB250"/>
      <c r="WXC250"/>
      <c r="WXD250"/>
      <c r="WXE250"/>
      <c r="WXF250"/>
      <c r="WXG250"/>
      <c r="WXH250"/>
      <c r="WXI250"/>
      <c r="WXJ250"/>
      <c r="WXK250"/>
      <c r="WXL250"/>
      <c r="WXM250"/>
      <c r="WXN250"/>
      <c r="WXO250"/>
      <c r="WXP250"/>
      <c r="WXQ250"/>
      <c r="WXR250"/>
      <c r="WXS250"/>
      <c r="WXT250"/>
      <c r="WXU250"/>
      <c r="WXV250"/>
      <c r="WXW250"/>
      <c r="WXX250"/>
      <c r="WXY250"/>
      <c r="WXZ250"/>
      <c r="WYA250"/>
      <c r="WYB250"/>
      <c r="WYC250"/>
      <c r="WYD250"/>
      <c r="WYE250"/>
      <c r="WYF250"/>
      <c r="WYG250"/>
      <c r="WYH250"/>
      <c r="WYI250"/>
      <c r="WYJ250"/>
      <c r="WYK250"/>
      <c r="WYL250"/>
      <c r="WYM250"/>
      <c r="WYN250"/>
      <c r="WYO250"/>
      <c r="WYP250"/>
      <c r="WYQ250"/>
      <c r="WYR250"/>
      <c r="WYS250"/>
      <c r="WYT250"/>
      <c r="WYU250"/>
      <c r="WYV250"/>
      <c r="WYW250"/>
      <c r="WYX250"/>
      <c r="WYY250"/>
      <c r="WYZ250"/>
      <c r="WZA250"/>
      <c r="WZB250"/>
      <c r="WZC250"/>
      <c r="WZD250"/>
      <c r="WZE250"/>
      <c r="WZF250"/>
      <c r="WZG250"/>
      <c r="WZH250"/>
      <c r="WZI250"/>
      <c r="WZJ250"/>
      <c r="WZK250"/>
      <c r="WZL250"/>
      <c r="WZM250"/>
      <c r="WZN250"/>
      <c r="WZO250"/>
      <c r="WZP250"/>
      <c r="WZQ250"/>
      <c r="WZR250"/>
      <c r="WZS250"/>
      <c r="WZT250"/>
      <c r="WZU250"/>
      <c r="WZV250"/>
      <c r="WZW250"/>
      <c r="WZX250"/>
      <c r="WZY250"/>
      <c r="WZZ250"/>
      <c r="XAA250"/>
      <c r="XAB250"/>
      <c r="XAC250"/>
      <c r="XAD250"/>
      <c r="XAE250"/>
      <c r="XAF250"/>
      <c r="XAG250"/>
      <c r="XAH250"/>
      <c r="XAI250"/>
      <c r="XAJ250"/>
      <c r="XAK250"/>
      <c r="XAL250"/>
      <c r="XAM250"/>
      <c r="XAN250"/>
      <c r="XAO250"/>
      <c r="XAP250"/>
      <c r="XAQ250"/>
      <c r="XAR250"/>
      <c r="XAS250"/>
      <c r="XAT250"/>
      <c r="XAU250"/>
      <c r="XAV250"/>
      <c r="XAW250"/>
      <c r="XAX250"/>
      <c r="XAY250"/>
      <c r="XAZ250"/>
      <c r="XBA250"/>
      <c r="XBB250"/>
      <c r="XBC250"/>
      <c r="XBD250"/>
      <c r="XBE250"/>
      <c r="XBF250"/>
      <c r="XBG250"/>
      <c r="XBH250"/>
      <c r="XBI250"/>
      <c r="XBJ250"/>
      <c r="XBK250"/>
      <c r="XBL250"/>
      <c r="XBM250"/>
      <c r="XBN250"/>
      <c r="XBO250"/>
      <c r="XBP250"/>
      <c r="XBQ250"/>
      <c r="XBR250"/>
      <c r="XBS250"/>
      <c r="XBT250"/>
      <c r="XBU250"/>
      <c r="XBV250"/>
      <c r="XBW250"/>
      <c r="XBX250"/>
      <c r="XBY250"/>
      <c r="XBZ250"/>
      <c r="XCA250"/>
      <c r="XCB250"/>
      <c r="XCC250"/>
      <c r="XCD250"/>
      <c r="XCE250"/>
      <c r="XCF250"/>
      <c r="XCG250"/>
      <c r="XCH250"/>
      <c r="XCI250"/>
      <c r="XCJ250"/>
      <c r="XCK250"/>
      <c r="XCL250"/>
      <c r="XCM250"/>
      <c r="XCN250"/>
      <c r="XCO250"/>
      <c r="XCP250"/>
      <c r="XCQ250"/>
      <c r="XCR250"/>
      <c r="XCS250"/>
      <c r="XCT250"/>
      <c r="XCU250"/>
      <c r="XCV250"/>
      <c r="XCW250"/>
      <c r="XCX250"/>
      <c r="XCY250"/>
      <c r="XCZ250"/>
      <c r="XDA250"/>
      <c r="XDB250"/>
      <c r="XDC250"/>
      <c r="XDD250"/>
      <c r="XDE250"/>
      <c r="XDF250"/>
      <c r="XDG250"/>
      <c r="XDH250"/>
      <c r="XDI250"/>
      <c r="XDJ250"/>
      <c r="XDK250"/>
      <c r="XDL250"/>
      <c r="XDM250"/>
      <c r="XDN250"/>
      <c r="XDO250"/>
      <c r="XDP250"/>
      <c r="XDQ250"/>
      <c r="XDR250"/>
      <c r="XDS250"/>
      <c r="XDT250"/>
      <c r="XDU250"/>
      <c r="XDV250"/>
      <c r="XDW250"/>
      <c r="XDX250"/>
      <c r="XDY250"/>
      <c r="XDZ250"/>
      <c r="XEA250"/>
      <c r="XEB250"/>
      <c r="XEC250"/>
      <c r="XED250"/>
      <c r="XEE250"/>
      <c r="XEF250"/>
      <c r="XEG250"/>
      <c r="XEH250"/>
      <c r="XEI250"/>
      <c r="XEJ250"/>
      <c r="XEK250"/>
      <c r="XEL250"/>
      <c r="XEM250"/>
      <c r="XEN250"/>
      <c r="XEO250"/>
      <c r="XEP250"/>
      <c r="XEQ250"/>
      <c r="XER250"/>
      <c r="XES250"/>
      <c r="XET250"/>
      <c r="XEU250"/>
      <c r="XEV250"/>
      <c r="XEW250"/>
      <c r="XEX250"/>
      <c r="XEY250"/>
      <c r="XEZ250"/>
      <c r="XFA250"/>
      <c r="XFB250"/>
      <c r="XFC250"/>
      <c r="XFD250"/>
    </row>
    <row r="251" spans="1:19 16149:16384" s="830" customFormat="1" ht="13.8">
      <c r="A251" s="830" t="s">
        <v>1227</v>
      </c>
      <c r="B251" s="807" t="s">
        <v>5194</v>
      </c>
      <c r="C251" s="808"/>
      <c r="D251" s="807" t="s">
        <v>5195</v>
      </c>
      <c r="E251" s="808" t="s">
        <v>5093</v>
      </c>
      <c r="F251" s="813">
        <v>1</v>
      </c>
      <c r="G251" s="746"/>
      <c r="H251" s="752">
        <v>0</v>
      </c>
      <c r="I251" s="753" t="s">
        <v>4908</v>
      </c>
      <c r="J251" s="745" t="s">
        <v>5196</v>
      </c>
      <c r="M251" s="831">
        <v>156.76</v>
      </c>
      <c r="N251" s="831"/>
      <c r="S251" s="840"/>
      <c r="WWC251"/>
      <c r="WWD251"/>
      <c r="WWE251"/>
      <c r="WWF251"/>
      <c r="WWG251"/>
      <c r="WWH251"/>
      <c r="WWI251"/>
      <c r="WWJ251"/>
      <c r="WWK251"/>
      <c r="WWL251"/>
      <c r="WWM251"/>
      <c r="WWN251"/>
      <c r="WWO251"/>
      <c r="WWP251"/>
      <c r="WWQ251"/>
      <c r="WWR251"/>
      <c r="WWS251"/>
      <c r="WWT251"/>
      <c r="WWU251"/>
      <c r="WWV251"/>
      <c r="WWW251"/>
      <c r="WWX251"/>
      <c r="WWY251"/>
      <c r="WWZ251"/>
      <c r="WXA251"/>
      <c r="WXB251"/>
      <c r="WXC251"/>
      <c r="WXD251"/>
      <c r="WXE251"/>
      <c r="WXF251"/>
      <c r="WXG251"/>
      <c r="WXH251"/>
      <c r="WXI251"/>
      <c r="WXJ251"/>
      <c r="WXK251"/>
      <c r="WXL251"/>
      <c r="WXM251"/>
      <c r="WXN251"/>
      <c r="WXO251"/>
      <c r="WXP251"/>
      <c r="WXQ251"/>
      <c r="WXR251"/>
      <c r="WXS251"/>
      <c r="WXT251"/>
      <c r="WXU251"/>
      <c r="WXV251"/>
      <c r="WXW251"/>
      <c r="WXX251"/>
      <c r="WXY251"/>
      <c r="WXZ251"/>
      <c r="WYA251"/>
      <c r="WYB251"/>
      <c r="WYC251"/>
      <c r="WYD251"/>
      <c r="WYE251"/>
      <c r="WYF251"/>
      <c r="WYG251"/>
      <c r="WYH251"/>
      <c r="WYI251"/>
      <c r="WYJ251"/>
      <c r="WYK251"/>
      <c r="WYL251"/>
      <c r="WYM251"/>
      <c r="WYN251"/>
      <c r="WYO251"/>
      <c r="WYP251"/>
      <c r="WYQ251"/>
      <c r="WYR251"/>
      <c r="WYS251"/>
      <c r="WYT251"/>
      <c r="WYU251"/>
      <c r="WYV251"/>
      <c r="WYW251"/>
      <c r="WYX251"/>
      <c r="WYY251"/>
      <c r="WYZ251"/>
      <c r="WZA251"/>
      <c r="WZB251"/>
      <c r="WZC251"/>
      <c r="WZD251"/>
      <c r="WZE251"/>
      <c r="WZF251"/>
      <c r="WZG251"/>
      <c r="WZH251"/>
      <c r="WZI251"/>
      <c r="WZJ251"/>
      <c r="WZK251"/>
      <c r="WZL251"/>
      <c r="WZM251"/>
      <c r="WZN251"/>
      <c r="WZO251"/>
      <c r="WZP251"/>
      <c r="WZQ251"/>
      <c r="WZR251"/>
      <c r="WZS251"/>
      <c r="WZT251"/>
      <c r="WZU251"/>
      <c r="WZV251"/>
      <c r="WZW251"/>
      <c r="WZX251"/>
      <c r="WZY251"/>
      <c r="WZZ251"/>
      <c r="XAA251"/>
      <c r="XAB251"/>
      <c r="XAC251"/>
      <c r="XAD251"/>
      <c r="XAE251"/>
      <c r="XAF251"/>
      <c r="XAG251"/>
      <c r="XAH251"/>
      <c r="XAI251"/>
      <c r="XAJ251"/>
      <c r="XAK251"/>
      <c r="XAL251"/>
      <c r="XAM251"/>
      <c r="XAN251"/>
      <c r="XAO251"/>
      <c r="XAP251"/>
      <c r="XAQ251"/>
      <c r="XAR251"/>
      <c r="XAS251"/>
      <c r="XAT251"/>
      <c r="XAU251"/>
      <c r="XAV251"/>
      <c r="XAW251"/>
      <c r="XAX251"/>
      <c r="XAY251"/>
      <c r="XAZ251"/>
      <c r="XBA251"/>
      <c r="XBB251"/>
      <c r="XBC251"/>
      <c r="XBD251"/>
      <c r="XBE251"/>
      <c r="XBF251"/>
      <c r="XBG251"/>
      <c r="XBH251"/>
      <c r="XBI251"/>
      <c r="XBJ251"/>
      <c r="XBK251"/>
      <c r="XBL251"/>
      <c r="XBM251"/>
      <c r="XBN251"/>
      <c r="XBO251"/>
      <c r="XBP251"/>
      <c r="XBQ251"/>
      <c r="XBR251"/>
      <c r="XBS251"/>
      <c r="XBT251"/>
      <c r="XBU251"/>
      <c r="XBV251"/>
      <c r="XBW251"/>
      <c r="XBX251"/>
      <c r="XBY251"/>
      <c r="XBZ251"/>
      <c r="XCA251"/>
      <c r="XCB251"/>
      <c r="XCC251"/>
      <c r="XCD251"/>
      <c r="XCE251"/>
      <c r="XCF251"/>
      <c r="XCG251"/>
      <c r="XCH251"/>
      <c r="XCI251"/>
      <c r="XCJ251"/>
      <c r="XCK251"/>
      <c r="XCL251"/>
      <c r="XCM251"/>
      <c r="XCN251"/>
      <c r="XCO251"/>
      <c r="XCP251"/>
      <c r="XCQ251"/>
      <c r="XCR251"/>
      <c r="XCS251"/>
      <c r="XCT251"/>
      <c r="XCU251"/>
      <c r="XCV251"/>
      <c r="XCW251"/>
      <c r="XCX251"/>
      <c r="XCY251"/>
      <c r="XCZ251"/>
      <c r="XDA251"/>
      <c r="XDB251"/>
      <c r="XDC251"/>
      <c r="XDD251"/>
      <c r="XDE251"/>
      <c r="XDF251"/>
      <c r="XDG251"/>
      <c r="XDH251"/>
      <c r="XDI251"/>
      <c r="XDJ251"/>
      <c r="XDK251"/>
      <c r="XDL251"/>
      <c r="XDM251"/>
      <c r="XDN251"/>
      <c r="XDO251"/>
      <c r="XDP251"/>
      <c r="XDQ251"/>
      <c r="XDR251"/>
      <c r="XDS251"/>
      <c r="XDT251"/>
      <c r="XDU251"/>
      <c r="XDV251"/>
      <c r="XDW251"/>
      <c r="XDX251"/>
      <c r="XDY251"/>
      <c r="XDZ251"/>
      <c r="XEA251"/>
      <c r="XEB251"/>
      <c r="XEC251"/>
      <c r="XED251"/>
      <c r="XEE251"/>
      <c r="XEF251"/>
      <c r="XEG251"/>
      <c r="XEH251"/>
      <c r="XEI251"/>
      <c r="XEJ251"/>
      <c r="XEK251"/>
      <c r="XEL251"/>
      <c r="XEM251"/>
      <c r="XEN251"/>
      <c r="XEO251"/>
      <c r="XEP251"/>
      <c r="XEQ251"/>
      <c r="XER251"/>
      <c r="XES251"/>
      <c r="XET251"/>
      <c r="XEU251"/>
      <c r="XEV251"/>
      <c r="XEW251"/>
      <c r="XEX251"/>
      <c r="XEY251"/>
      <c r="XEZ251"/>
      <c r="XFA251"/>
      <c r="XFB251"/>
      <c r="XFC251"/>
      <c r="XFD251"/>
    </row>
    <row r="252" spans="1:19 16149:16384" s="830" customFormat="1" ht="13.8">
      <c r="B252" s="807"/>
      <c r="C252" s="808"/>
      <c r="D252" s="807"/>
      <c r="E252" s="808"/>
      <c r="F252" s="813"/>
      <c r="G252" s="746"/>
      <c r="H252" s="813"/>
      <c r="I252" s="753"/>
      <c r="J252" s="745"/>
      <c r="M252" s="831"/>
      <c r="N252" s="831"/>
      <c r="S252" s="840"/>
    </row>
    <row r="253" spans="1:19 16149:16384" s="830" customFormat="1" ht="13.8">
      <c r="A253" s="830" t="s">
        <v>1227</v>
      </c>
      <c r="B253" s="807" t="s">
        <v>5197</v>
      </c>
      <c r="C253" s="808"/>
      <c r="D253" s="837" t="s">
        <v>5198</v>
      </c>
      <c r="E253" s="808" t="s">
        <v>5093</v>
      </c>
      <c r="F253" s="813">
        <v>1</v>
      </c>
      <c r="G253" s="746"/>
      <c r="H253" s="752">
        <v>0</v>
      </c>
      <c r="I253" s="753"/>
      <c r="J253" s="745"/>
      <c r="M253" s="831">
        <v>185</v>
      </c>
      <c r="N253" s="831">
        <v>220</v>
      </c>
      <c r="S253" s="840"/>
    </row>
    <row r="254" spans="1:19 16149:16384" s="830" customFormat="1" ht="13.8">
      <c r="B254" s="807"/>
      <c r="C254" s="808"/>
      <c r="D254" s="807"/>
      <c r="E254" s="808"/>
      <c r="F254" s="813"/>
      <c r="G254" s="746"/>
      <c r="H254" s="752"/>
      <c r="I254" s="753"/>
      <c r="J254" s="745"/>
      <c r="M254" s="831"/>
      <c r="N254" s="831"/>
      <c r="S254" s="840"/>
    </row>
    <row r="255" spans="1:19 16149:16384" s="830" customFormat="1" ht="13.8">
      <c r="A255" s="830" t="s">
        <v>1227</v>
      </c>
      <c r="B255" s="807" t="s">
        <v>5199</v>
      </c>
      <c r="C255" s="808"/>
      <c r="D255" s="837" t="s">
        <v>5200</v>
      </c>
      <c r="E255" s="808" t="s">
        <v>5093</v>
      </c>
      <c r="F255" s="813">
        <v>2</v>
      </c>
      <c r="G255" s="746"/>
      <c r="H255" s="752">
        <v>0</v>
      </c>
      <c r="I255" s="753"/>
      <c r="J255" s="745"/>
      <c r="M255" s="831">
        <v>1850</v>
      </c>
      <c r="N255" s="831">
        <v>650</v>
      </c>
      <c r="S255" s="840"/>
    </row>
    <row r="256" spans="1:19 16149:16384" s="830" customFormat="1" ht="13.8">
      <c r="B256" s="807"/>
      <c r="C256" s="808"/>
      <c r="D256" s="807" t="s">
        <v>5201</v>
      </c>
      <c r="E256" s="808"/>
      <c r="F256" s="813"/>
      <c r="G256" s="746"/>
      <c r="H256" s="813"/>
      <c r="I256" s="753"/>
      <c r="J256" s="745"/>
      <c r="M256" s="831"/>
      <c r="N256" s="831"/>
      <c r="S256" s="840"/>
    </row>
    <row r="257" spans="1:19 16149:16384" s="830" customFormat="1" ht="13.8">
      <c r="B257" s="807"/>
      <c r="C257" s="808"/>
      <c r="D257" s="807" t="s">
        <v>5139</v>
      </c>
      <c r="E257" s="808"/>
      <c r="F257" s="813"/>
      <c r="G257" s="746"/>
      <c r="H257" s="813"/>
      <c r="I257" s="753"/>
      <c r="J257" s="745"/>
      <c r="K257" s="830">
        <v>0</v>
      </c>
      <c r="M257" s="831"/>
      <c r="N257" s="831"/>
      <c r="S257" s="840"/>
    </row>
    <row r="258" spans="1:19 16149:16384" s="830" customFormat="1" ht="13.8">
      <c r="B258" s="807"/>
      <c r="C258" s="808"/>
      <c r="D258" s="807" t="s">
        <v>5202</v>
      </c>
      <c r="E258" s="808"/>
      <c r="F258" s="813"/>
      <c r="G258" s="746"/>
      <c r="H258" s="813"/>
      <c r="I258" s="753"/>
      <c r="J258" s="745"/>
      <c r="K258" s="830">
        <v>0</v>
      </c>
      <c r="M258" s="831"/>
      <c r="N258" s="831"/>
      <c r="S258" s="840"/>
    </row>
    <row r="259" spans="1:19 16149:16384" s="830" customFormat="1" ht="13.8">
      <c r="B259" s="807"/>
      <c r="C259" s="808"/>
      <c r="D259" s="807"/>
      <c r="E259" s="808"/>
      <c r="F259" s="813"/>
      <c r="G259" s="746"/>
      <c r="H259" s="813"/>
      <c r="I259" s="753"/>
      <c r="J259" s="745"/>
      <c r="K259" s="830">
        <v>0</v>
      </c>
      <c r="M259" s="831"/>
      <c r="N259" s="831"/>
      <c r="S259" s="840"/>
    </row>
    <row r="260" spans="1:19 16149:16384" s="830" customFormat="1" ht="13.8">
      <c r="A260" s="830" t="s">
        <v>1227</v>
      </c>
      <c r="B260" s="807" t="s">
        <v>5203</v>
      </c>
      <c r="C260" s="808"/>
      <c r="D260" s="807" t="s">
        <v>5204</v>
      </c>
      <c r="E260" s="808" t="s">
        <v>5093</v>
      </c>
      <c r="F260" s="813">
        <v>1</v>
      </c>
      <c r="G260" s="746"/>
      <c r="H260" s="752">
        <v>0</v>
      </c>
      <c r="I260" s="753"/>
      <c r="J260" s="745"/>
      <c r="K260" s="830">
        <v>0</v>
      </c>
      <c r="M260" s="831">
        <v>8200</v>
      </c>
      <c r="N260" s="831">
        <v>5400</v>
      </c>
      <c r="S260" s="840"/>
    </row>
    <row r="261" spans="1:19 16149:16384" s="830" customFormat="1" ht="13.8">
      <c r="B261" s="807"/>
      <c r="C261" s="808"/>
      <c r="D261" s="807" t="s">
        <v>5205</v>
      </c>
      <c r="E261" s="827"/>
      <c r="F261" s="813"/>
      <c r="G261" s="746"/>
      <c r="H261" s="813"/>
      <c r="I261" s="753"/>
      <c r="J261" s="745"/>
      <c r="K261" s="830">
        <v>0</v>
      </c>
      <c r="M261" s="831"/>
      <c r="N261" s="831"/>
      <c r="S261" s="840"/>
    </row>
    <row r="262" spans="1:19 16149:16384" s="830" customFormat="1" ht="13.8">
      <c r="B262" s="807"/>
      <c r="C262" s="808"/>
      <c r="D262" s="807" t="s">
        <v>5206</v>
      </c>
      <c r="E262" s="827"/>
      <c r="F262" s="813"/>
      <c r="G262" s="746"/>
      <c r="H262" s="813"/>
      <c r="I262" s="753"/>
      <c r="J262" s="745"/>
      <c r="K262" s="830">
        <v>0</v>
      </c>
      <c r="M262" s="831"/>
      <c r="N262" s="831"/>
      <c r="S262" s="840"/>
    </row>
    <row r="263" spans="1:19 16149:16384" s="830" customFormat="1" ht="13.8">
      <c r="B263" s="807"/>
      <c r="C263" s="808"/>
      <c r="D263" s="807"/>
      <c r="E263" s="808"/>
      <c r="F263" s="813"/>
      <c r="G263" s="746"/>
      <c r="H263" s="813"/>
      <c r="I263" s="753"/>
      <c r="J263" s="745"/>
      <c r="K263" s="830">
        <v>0</v>
      </c>
      <c r="M263" s="831"/>
      <c r="N263" s="831"/>
      <c r="S263" s="840"/>
    </row>
    <row r="264" spans="1:19 16149:16384" s="830" customFormat="1" ht="40.200000000000003">
      <c r="B264" s="807" t="s">
        <v>5207</v>
      </c>
      <c r="C264" s="808"/>
      <c r="D264" s="809" t="s">
        <v>5208</v>
      </c>
      <c r="E264" s="810"/>
      <c r="F264" s="752"/>
      <c r="G264" s="746"/>
      <c r="H264" s="752"/>
      <c r="I264" s="753"/>
      <c r="J264" s="745"/>
      <c r="M264" s="811"/>
      <c r="N264" s="811"/>
      <c r="S264" s="840"/>
    </row>
    <row r="265" spans="1:19 16149:16384" s="830" customFormat="1" ht="13.8">
      <c r="A265" s="830" t="s">
        <v>1227</v>
      </c>
      <c r="B265" s="807"/>
      <c r="C265" s="808"/>
      <c r="D265" s="807" t="s">
        <v>5209</v>
      </c>
      <c r="E265" s="808" t="s">
        <v>1450</v>
      </c>
      <c r="F265" s="761">
        <v>60</v>
      </c>
      <c r="G265" s="746"/>
      <c r="H265" s="752">
        <v>0</v>
      </c>
      <c r="I265" s="753" t="s">
        <v>4908</v>
      </c>
      <c r="J265" s="745" t="s">
        <v>5210</v>
      </c>
      <c r="K265" s="830">
        <v>0</v>
      </c>
      <c r="M265" s="844">
        <v>4.42</v>
      </c>
      <c r="N265" s="844"/>
      <c r="S265" s="840"/>
    </row>
    <row r="266" spans="1:19 16149:16384" s="830" customFormat="1" ht="13.8">
      <c r="B266" s="807"/>
      <c r="C266" s="808"/>
      <c r="D266" s="807"/>
      <c r="E266" s="808"/>
      <c r="F266" s="813"/>
      <c r="G266" s="746"/>
      <c r="H266" s="813"/>
      <c r="I266" s="753"/>
      <c r="J266" s="745"/>
      <c r="K266" s="830">
        <v>0</v>
      </c>
      <c r="M266" s="831"/>
      <c r="N266" s="831"/>
      <c r="S266" s="840"/>
    </row>
    <row r="267" spans="1:19 16149:16384" s="830" customFormat="1" ht="13.8">
      <c r="B267" s="807" t="s">
        <v>5211</v>
      </c>
      <c r="C267" s="808"/>
      <c r="D267" s="845" t="s">
        <v>5212</v>
      </c>
      <c r="E267" s="827"/>
      <c r="F267" s="757"/>
      <c r="G267" s="746"/>
      <c r="H267" s="757"/>
      <c r="I267" s="753"/>
      <c r="J267" s="745"/>
      <c r="K267" s="830">
        <v>0</v>
      </c>
      <c r="M267" s="834"/>
      <c r="N267" s="834"/>
      <c r="S267" s="840"/>
    </row>
    <row r="268" spans="1:19 16149:16384" s="830" customFormat="1" ht="13.8">
      <c r="A268" s="830" t="s">
        <v>1227</v>
      </c>
      <c r="B268" s="807"/>
      <c r="C268" s="808"/>
      <c r="D268" s="845" t="s">
        <v>5213</v>
      </c>
      <c r="E268" s="808" t="s">
        <v>5093</v>
      </c>
      <c r="F268" s="813">
        <v>8</v>
      </c>
      <c r="G268" s="746"/>
      <c r="H268" s="752">
        <v>0</v>
      </c>
      <c r="I268" s="753"/>
      <c r="J268" s="745"/>
      <c r="K268" s="830">
        <v>0</v>
      </c>
      <c r="M268" s="831">
        <v>28.64</v>
      </c>
      <c r="N268" s="831">
        <v>9.1</v>
      </c>
      <c r="S268" s="840"/>
    </row>
    <row r="269" spans="1:19 16149:16384" s="830" customFormat="1" ht="13.8">
      <c r="B269" s="807"/>
      <c r="C269" s="808"/>
      <c r="D269" s="845"/>
      <c r="E269" s="808"/>
      <c r="F269" s="813"/>
      <c r="G269" s="746"/>
      <c r="H269" s="813"/>
      <c r="I269" s="753"/>
      <c r="J269" s="745"/>
      <c r="M269" s="831"/>
      <c r="N269" s="831"/>
      <c r="S269" s="840"/>
    </row>
    <row r="270" spans="1:19 16149:16384" s="830" customFormat="1" ht="13.8">
      <c r="B270" s="807"/>
      <c r="C270" s="808"/>
      <c r="D270" s="846" t="s">
        <v>4887</v>
      </c>
      <c r="E270" s="808"/>
      <c r="F270" s="813"/>
      <c r="G270" s="746"/>
      <c r="H270" s="819">
        <v>0</v>
      </c>
      <c r="I270" s="753"/>
      <c r="J270" s="745"/>
      <c r="M270" s="831"/>
      <c r="N270" s="831"/>
      <c r="S270" s="840"/>
    </row>
    <row r="271" spans="1:19 16149:16384" s="830" customFormat="1" ht="13.8">
      <c r="B271" s="847"/>
      <c r="C271" s="848"/>
      <c r="D271" s="849"/>
      <c r="E271" s="848"/>
      <c r="F271" s="850"/>
      <c r="G271" s="746"/>
      <c r="H271" s="850"/>
      <c r="I271" s="851"/>
      <c r="J271" s="852"/>
      <c r="M271" s="831"/>
      <c r="N271" s="831"/>
      <c r="S271" s="840"/>
    </row>
    <row r="272" spans="1:19 16149:16384" ht="13.8">
      <c r="B272" s="853">
        <v>15</v>
      </c>
      <c r="C272" s="853"/>
      <c r="D272" s="854" t="s">
        <v>5214</v>
      </c>
      <c r="E272" s="738"/>
      <c r="F272" s="855"/>
      <c r="G272" s="746"/>
      <c r="H272" s="856"/>
      <c r="I272" s="857"/>
      <c r="J272" s="738"/>
      <c r="K272" s="858"/>
      <c r="L272" s="858"/>
      <c r="WWC272" s="830"/>
      <c r="WWD272" s="830"/>
      <c r="WWE272" s="830"/>
      <c r="WWF272" s="830"/>
      <c r="WWG272" s="830"/>
      <c r="WWH272" s="830"/>
      <c r="WWI272" s="830"/>
      <c r="WWJ272" s="830"/>
      <c r="WWK272" s="830"/>
      <c r="WWL272" s="830"/>
      <c r="WWM272" s="830"/>
      <c r="WWN272" s="830"/>
      <c r="WWO272" s="830"/>
      <c r="WWP272" s="830"/>
      <c r="WWQ272" s="830"/>
      <c r="WWR272" s="830"/>
      <c r="WWS272" s="830"/>
      <c r="WWT272" s="830"/>
      <c r="WWU272" s="830"/>
      <c r="WWV272" s="830"/>
      <c r="WWW272" s="830"/>
      <c r="WWX272" s="830"/>
      <c r="WWY272" s="830"/>
      <c r="WWZ272" s="830"/>
      <c r="WXA272" s="830"/>
      <c r="WXB272" s="830"/>
      <c r="WXC272" s="830"/>
      <c r="WXD272" s="830"/>
      <c r="WXE272" s="830"/>
      <c r="WXF272" s="830"/>
      <c r="WXG272" s="830"/>
      <c r="WXH272" s="830"/>
      <c r="WXI272" s="830"/>
      <c r="WXJ272" s="830"/>
      <c r="WXK272" s="830"/>
      <c r="WXL272" s="830"/>
      <c r="WXM272" s="830"/>
      <c r="WXN272" s="830"/>
      <c r="WXO272" s="830"/>
      <c r="WXP272" s="830"/>
      <c r="WXQ272" s="830"/>
      <c r="WXR272" s="830"/>
      <c r="WXS272" s="830"/>
      <c r="WXT272" s="830"/>
      <c r="WXU272" s="830"/>
      <c r="WXV272" s="830"/>
      <c r="WXW272" s="830"/>
      <c r="WXX272" s="830"/>
      <c r="WXY272" s="830"/>
      <c r="WXZ272" s="830"/>
      <c r="WYA272" s="830"/>
      <c r="WYB272" s="830"/>
      <c r="WYC272" s="830"/>
      <c r="WYD272" s="830"/>
      <c r="WYE272" s="830"/>
      <c r="WYF272" s="830"/>
      <c r="WYG272" s="830"/>
      <c r="WYH272" s="830"/>
      <c r="WYI272" s="830"/>
      <c r="WYJ272" s="830"/>
      <c r="WYK272" s="830"/>
      <c r="WYL272" s="830"/>
      <c r="WYM272" s="830"/>
      <c r="WYN272" s="830"/>
      <c r="WYO272" s="830"/>
      <c r="WYP272" s="830"/>
      <c r="WYQ272" s="830"/>
      <c r="WYR272" s="830"/>
      <c r="WYS272" s="830"/>
      <c r="WYT272" s="830"/>
      <c r="WYU272" s="830"/>
      <c r="WYV272" s="830"/>
      <c r="WYW272" s="830"/>
      <c r="WYX272" s="830"/>
      <c r="WYY272" s="830"/>
      <c r="WYZ272" s="830"/>
      <c r="WZA272" s="830"/>
      <c r="WZB272" s="830"/>
      <c r="WZC272" s="830"/>
      <c r="WZD272" s="830"/>
      <c r="WZE272" s="830"/>
      <c r="WZF272" s="830"/>
      <c r="WZG272" s="830"/>
      <c r="WZH272" s="830"/>
      <c r="WZI272" s="830"/>
      <c r="WZJ272" s="830"/>
      <c r="WZK272" s="830"/>
      <c r="WZL272" s="830"/>
      <c r="WZM272" s="830"/>
      <c r="WZN272" s="830"/>
      <c r="WZO272" s="830"/>
      <c r="WZP272" s="830"/>
      <c r="WZQ272" s="830"/>
      <c r="WZR272" s="830"/>
      <c r="WZS272" s="830"/>
      <c r="WZT272" s="830"/>
      <c r="WZU272" s="830"/>
      <c r="WZV272" s="830"/>
      <c r="WZW272" s="830"/>
      <c r="WZX272" s="830"/>
      <c r="WZY272" s="830"/>
      <c r="WZZ272" s="830"/>
      <c r="XAA272" s="830"/>
      <c r="XAB272" s="830"/>
      <c r="XAC272" s="830"/>
      <c r="XAD272" s="830"/>
      <c r="XAE272" s="830"/>
      <c r="XAF272" s="830"/>
      <c r="XAG272" s="830"/>
      <c r="XAH272" s="830"/>
      <c r="XAI272" s="830"/>
      <c r="XAJ272" s="830"/>
      <c r="XAK272" s="830"/>
      <c r="XAL272" s="830"/>
      <c r="XAM272" s="830"/>
      <c r="XAN272" s="830"/>
      <c r="XAO272" s="830"/>
      <c r="XAP272" s="830"/>
      <c r="XAQ272" s="830"/>
      <c r="XAR272" s="830"/>
      <c r="XAS272" s="830"/>
      <c r="XAT272" s="830"/>
      <c r="XAU272" s="830"/>
      <c r="XAV272" s="830"/>
      <c r="XAW272" s="830"/>
      <c r="XAX272" s="830"/>
      <c r="XAY272" s="830"/>
      <c r="XAZ272" s="830"/>
      <c r="XBA272" s="830"/>
      <c r="XBB272" s="830"/>
      <c r="XBC272" s="830"/>
      <c r="XBD272" s="830"/>
      <c r="XBE272" s="830"/>
      <c r="XBF272" s="830"/>
      <c r="XBG272" s="830"/>
      <c r="XBH272" s="830"/>
      <c r="XBI272" s="830"/>
      <c r="XBJ272" s="830"/>
      <c r="XBK272" s="830"/>
      <c r="XBL272" s="830"/>
      <c r="XBM272" s="830"/>
      <c r="XBN272" s="830"/>
      <c r="XBO272" s="830"/>
      <c r="XBP272" s="830"/>
      <c r="XBQ272" s="830"/>
      <c r="XBR272" s="830"/>
      <c r="XBS272" s="830"/>
      <c r="XBT272" s="830"/>
      <c r="XBU272" s="830"/>
      <c r="XBV272" s="830"/>
      <c r="XBW272" s="830"/>
      <c r="XBX272" s="830"/>
      <c r="XBY272" s="830"/>
      <c r="XBZ272" s="830"/>
      <c r="XCA272" s="830"/>
      <c r="XCB272" s="830"/>
      <c r="XCC272" s="830"/>
      <c r="XCD272" s="830"/>
      <c r="XCE272" s="830"/>
      <c r="XCF272" s="830"/>
      <c r="XCG272" s="830"/>
      <c r="XCH272" s="830"/>
      <c r="XCI272" s="830"/>
      <c r="XCJ272" s="830"/>
      <c r="XCK272" s="830"/>
      <c r="XCL272" s="830"/>
      <c r="XCM272" s="830"/>
      <c r="XCN272" s="830"/>
      <c r="XCO272" s="830"/>
      <c r="XCP272" s="830"/>
      <c r="XCQ272" s="830"/>
      <c r="XCR272" s="830"/>
      <c r="XCS272" s="830"/>
      <c r="XCT272" s="830"/>
      <c r="XCU272" s="830"/>
      <c r="XCV272" s="830"/>
      <c r="XCW272" s="830"/>
      <c r="XCX272" s="830"/>
      <c r="XCY272" s="830"/>
      <c r="XCZ272" s="830"/>
      <c r="XDA272" s="830"/>
      <c r="XDB272" s="830"/>
      <c r="XDC272" s="830"/>
      <c r="XDD272" s="830"/>
      <c r="XDE272" s="830"/>
      <c r="XDF272" s="830"/>
      <c r="XDG272" s="830"/>
      <c r="XDH272" s="830"/>
      <c r="XDI272" s="830"/>
      <c r="XDJ272" s="830"/>
      <c r="XDK272" s="830"/>
      <c r="XDL272" s="830"/>
      <c r="XDM272" s="830"/>
      <c r="XDN272" s="830"/>
      <c r="XDO272" s="830"/>
      <c r="XDP272" s="830"/>
      <c r="XDQ272" s="830"/>
      <c r="XDR272" s="830"/>
      <c r="XDS272" s="830"/>
      <c r="XDT272" s="830"/>
      <c r="XDU272" s="830"/>
      <c r="XDV272" s="830"/>
      <c r="XDW272" s="830"/>
      <c r="XDX272" s="830"/>
      <c r="XDY272" s="830"/>
      <c r="XDZ272" s="830"/>
      <c r="XEA272" s="830"/>
      <c r="XEB272" s="830"/>
      <c r="XEC272" s="830"/>
      <c r="XED272" s="830"/>
      <c r="XEE272" s="830"/>
      <c r="XEF272" s="830"/>
      <c r="XEG272" s="830"/>
      <c r="XEH272" s="830"/>
      <c r="XEI272" s="830"/>
      <c r="XEJ272" s="830"/>
      <c r="XEK272" s="830"/>
      <c r="XEL272" s="830"/>
      <c r="XEM272" s="830"/>
      <c r="XEN272" s="830"/>
      <c r="XEO272" s="830"/>
      <c r="XEP272" s="830"/>
      <c r="XEQ272" s="830"/>
      <c r="XER272" s="830"/>
      <c r="XES272" s="830"/>
      <c r="XET272" s="830"/>
      <c r="XEU272" s="830"/>
      <c r="XEV272" s="830"/>
      <c r="XEW272" s="830"/>
      <c r="XEX272" s="830"/>
      <c r="XEY272" s="830"/>
      <c r="XEZ272" s="830"/>
      <c r="XFA272" s="830"/>
      <c r="XFB272" s="830"/>
      <c r="XFC272" s="830"/>
      <c r="XFD272" s="830"/>
    </row>
    <row r="273" spans="1:19 16149:16384" ht="13.8">
      <c r="A273" t="s">
        <v>1227</v>
      </c>
      <c r="B273" s="745" t="s">
        <v>924</v>
      </c>
      <c r="C273" s="767"/>
      <c r="D273" s="782" t="s">
        <v>5215</v>
      </c>
      <c r="E273" s="745" t="s">
        <v>4895</v>
      </c>
      <c r="F273" s="757">
        <v>15</v>
      </c>
      <c r="G273" s="746"/>
      <c r="H273" s="752">
        <v>0</v>
      </c>
      <c r="I273" s="859" t="s">
        <v>4908</v>
      </c>
      <c r="J273" s="745">
        <v>6021</v>
      </c>
      <c r="K273" s="827">
        <v>6021</v>
      </c>
      <c r="L273" s="827"/>
      <c r="WWC273" s="830"/>
      <c r="WWD273" s="830"/>
      <c r="WWE273" s="830"/>
      <c r="WWF273" s="830"/>
      <c r="WWG273" s="830"/>
      <c r="WWH273" s="830"/>
      <c r="WWI273" s="830"/>
      <c r="WWJ273" s="830"/>
      <c r="WWK273" s="830"/>
      <c r="WWL273" s="830"/>
      <c r="WWM273" s="830"/>
      <c r="WWN273" s="830"/>
      <c r="WWO273" s="830"/>
      <c r="WWP273" s="830"/>
      <c r="WWQ273" s="830"/>
      <c r="WWR273" s="830"/>
      <c r="WWS273" s="830"/>
      <c r="WWT273" s="830"/>
      <c r="WWU273" s="830"/>
      <c r="WWV273" s="830"/>
      <c r="WWW273" s="830"/>
      <c r="WWX273" s="830"/>
      <c r="WWY273" s="830"/>
      <c r="WWZ273" s="830"/>
      <c r="WXA273" s="830"/>
      <c r="WXB273" s="830"/>
      <c r="WXC273" s="830"/>
      <c r="WXD273" s="830"/>
      <c r="WXE273" s="830"/>
      <c r="WXF273" s="830"/>
      <c r="WXG273" s="830"/>
      <c r="WXH273" s="830"/>
      <c r="WXI273" s="830"/>
      <c r="WXJ273" s="830"/>
      <c r="WXK273" s="830"/>
      <c r="WXL273" s="830"/>
      <c r="WXM273" s="830"/>
      <c r="WXN273" s="830"/>
      <c r="WXO273" s="830"/>
      <c r="WXP273" s="830"/>
      <c r="WXQ273" s="830"/>
      <c r="WXR273" s="830"/>
      <c r="WXS273" s="830"/>
      <c r="WXT273" s="830"/>
      <c r="WXU273" s="830"/>
      <c r="WXV273" s="830"/>
      <c r="WXW273" s="830"/>
      <c r="WXX273" s="830"/>
      <c r="WXY273" s="830"/>
      <c r="WXZ273" s="830"/>
      <c r="WYA273" s="830"/>
      <c r="WYB273" s="830"/>
      <c r="WYC273" s="830"/>
      <c r="WYD273" s="830"/>
      <c r="WYE273" s="830"/>
      <c r="WYF273" s="830"/>
      <c r="WYG273" s="830"/>
      <c r="WYH273" s="830"/>
      <c r="WYI273" s="830"/>
      <c r="WYJ273" s="830"/>
      <c r="WYK273" s="830"/>
      <c r="WYL273" s="830"/>
      <c r="WYM273" s="830"/>
      <c r="WYN273" s="830"/>
      <c r="WYO273" s="830"/>
      <c r="WYP273" s="830"/>
      <c r="WYQ273" s="830"/>
      <c r="WYR273" s="830"/>
      <c r="WYS273" s="830"/>
      <c r="WYT273" s="830"/>
      <c r="WYU273" s="830"/>
      <c r="WYV273" s="830"/>
      <c r="WYW273" s="830"/>
      <c r="WYX273" s="830"/>
      <c r="WYY273" s="830"/>
      <c r="WYZ273" s="830"/>
      <c r="WZA273" s="830"/>
      <c r="WZB273" s="830"/>
      <c r="WZC273" s="830"/>
      <c r="WZD273" s="830"/>
      <c r="WZE273" s="830"/>
      <c r="WZF273" s="830"/>
      <c r="WZG273" s="830"/>
      <c r="WZH273" s="830"/>
      <c r="WZI273" s="830"/>
      <c r="WZJ273" s="830"/>
      <c r="WZK273" s="830"/>
      <c r="WZL273" s="830"/>
      <c r="WZM273" s="830"/>
      <c r="WZN273" s="830"/>
      <c r="WZO273" s="830"/>
      <c r="WZP273" s="830"/>
      <c r="WZQ273" s="830"/>
      <c r="WZR273" s="830"/>
      <c r="WZS273" s="830"/>
      <c r="WZT273" s="830"/>
      <c r="WZU273" s="830"/>
      <c r="WZV273" s="830"/>
      <c r="WZW273" s="830"/>
      <c r="WZX273" s="830"/>
      <c r="WZY273" s="830"/>
      <c r="WZZ273" s="830"/>
      <c r="XAA273" s="830"/>
      <c r="XAB273" s="830"/>
      <c r="XAC273" s="830"/>
      <c r="XAD273" s="830"/>
      <c r="XAE273" s="830"/>
      <c r="XAF273" s="830"/>
      <c r="XAG273" s="830"/>
      <c r="XAH273" s="830"/>
      <c r="XAI273" s="830"/>
      <c r="XAJ273" s="830"/>
      <c r="XAK273" s="830"/>
      <c r="XAL273" s="830"/>
      <c r="XAM273" s="830"/>
      <c r="XAN273" s="830"/>
      <c r="XAO273" s="830"/>
      <c r="XAP273" s="830"/>
      <c r="XAQ273" s="830"/>
      <c r="XAR273" s="830"/>
      <c r="XAS273" s="830"/>
      <c r="XAT273" s="830"/>
      <c r="XAU273" s="830"/>
      <c r="XAV273" s="830"/>
      <c r="XAW273" s="830"/>
      <c r="XAX273" s="830"/>
      <c r="XAY273" s="830"/>
      <c r="XAZ273" s="830"/>
      <c r="XBA273" s="830"/>
      <c r="XBB273" s="830"/>
      <c r="XBC273" s="830"/>
      <c r="XBD273" s="830"/>
      <c r="XBE273" s="830"/>
      <c r="XBF273" s="830"/>
      <c r="XBG273" s="830"/>
      <c r="XBH273" s="830"/>
      <c r="XBI273" s="830"/>
      <c r="XBJ273" s="830"/>
      <c r="XBK273" s="830"/>
      <c r="XBL273" s="830"/>
      <c r="XBM273" s="830"/>
      <c r="XBN273" s="830"/>
      <c r="XBO273" s="830"/>
      <c r="XBP273" s="830"/>
      <c r="XBQ273" s="830"/>
      <c r="XBR273" s="830"/>
      <c r="XBS273" s="830"/>
      <c r="XBT273" s="830"/>
      <c r="XBU273" s="830"/>
      <c r="XBV273" s="830"/>
      <c r="XBW273" s="830"/>
      <c r="XBX273" s="830"/>
      <c r="XBY273" s="830"/>
      <c r="XBZ273" s="830"/>
      <c r="XCA273" s="830"/>
      <c r="XCB273" s="830"/>
      <c r="XCC273" s="830"/>
      <c r="XCD273" s="830"/>
      <c r="XCE273" s="830"/>
      <c r="XCF273" s="830"/>
      <c r="XCG273" s="830"/>
      <c r="XCH273" s="830"/>
      <c r="XCI273" s="830"/>
      <c r="XCJ273" s="830"/>
      <c r="XCK273" s="830"/>
      <c r="XCL273" s="830"/>
      <c r="XCM273" s="830"/>
      <c r="XCN273" s="830"/>
      <c r="XCO273" s="830"/>
      <c r="XCP273" s="830"/>
      <c r="XCQ273" s="830"/>
      <c r="XCR273" s="830"/>
      <c r="XCS273" s="830"/>
      <c r="XCT273" s="830"/>
      <c r="XCU273" s="830"/>
      <c r="XCV273" s="830"/>
      <c r="XCW273" s="830"/>
      <c r="XCX273" s="830"/>
      <c r="XCY273" s="830"/>
      <c r="XCZ273" s="830"/>
      <c r="XDA273" s="830"/>
      <c r="XDB273" s="830"/>
      <c r="XDC273" s="830"/>
      <c r="XDD273" s="830"/>
      <c r="XDE273" s="830"/>
      <c r="XDF273" s="830"/>
      <c r="XDG273" s="830"/>
      <c r="XDH273" s="830"/>
      <c r="XDI273" s="830"/>
      <c r="XDJ273" s="830"/>
      <c r="XDK273" s="830"/>
      <c r="XDL273" s="830"/>
      <c r="XDM273" s="830"/>
      <c r="XDN273" s="830"/>
      <c r="XDO273" s="830"/>
      <c r="XDP273" s="830"/>
      <c r="XDQ273" s="830"/>
      <c r="XDR273" s="830"/>
      <c r="XDS273" s="830"/>
      <c r="XDT273" s="830"/>
      <c r="XDU273" s="830"/>
      <c r="XDV273" s="830"/>
      <c r="XDW273" s="830"/>
      <c r="XDX273" s="830"/>
      <c r="XDY273" s="830"/>
      <c r="XDZ273" s="830"/>
      <c r="XEA273" s="830"/>
      <c r="XEB273" s="830"/>
      <c r="XEC273" s="830"/>
      <c r="XED273" s="830"/>
      <c r="XEE273" s="830"/>
      <c r="XEF273" s="830"/>
      <c r="XEG273" s="830"/>
      <c r="XEH273" s="830"/>
      <c r="XEI273" s="830"/>
      <c r="XEJ273" s="830"/>
      <c r="XEK273" s="830"/>
      <c r="XEL273" s="830"/>
      <c r="XEM273" s="830"/>
      <c r="XEN273" s="830"/>
      <c r="XEO273" s="830"/>
      <c r="XEP273" s="830"/>
      <c r="XEQ273" s="830"/>
      <c r="XER273" s="830"/>
      <c r="XES273" s="830"/>
      <c r="XET273" s="830"/>
      <c r="XEU273" s="830"/>
      <c r="XEV273" s="830"/>
      <c r="XEW273" s="830"/>
      <c r="XEX273" s="830"/>
      <c r="XEY273" s="830"/>
      <c r="XEZ273" s="830"/>
      <c r="XFA273" s="830"/>
      <c r="XFB273" s="830"/>
      <c r="XFC273" s="830"/>
      <c r="XFD273" s="830"/>
    </row>
    <row r="274" spans="1:19 16149:16384" ht="26.4">
      <c r="A274" t="s">
        <v>1227</v>
      </c>
      <c r="B274" s="745" t="s">
        <v>929</v>
      </c>
      <c r="C274" s="767">
        <v>101305</v>
      </c>
      <c r="D274" s="782" t="s">
        <v>5216</v>
      </c>
      <c r="E274" s="745" t="s">
        <v>4895</v>
      </c>
      <c r="F274" s="757">
        <v>10</v>
      </c>
      <c r="G274" s="746"/>
      <c r="H274" s="752">
        <v>0</v>
      </c>
      <c r="I274" s="859" t="s">
        <v>4872</v>
      </c>
      <c r="J274" s="754">
        <v>101305</v>
      </c>
      <c r="K274" s="860">
        <v>101305</v>
      </c>
      <c r="L274" s="827"/>
      <c r="WWC274" s="830"/>
      <c r="WWD274" s="830"/>
      <c r="WWE274" s="830"/>
      <c r="WWF274" s="830"/>
      <c r="WWG274" s="830"/>
      <c r="WWH274" s="830"/>
      <c r="WWI274" s="830"/>
      <c r="WWJ274" s="830"/>
      <c r="WWK274" s="830"/>
      <c r="WWL274" s="830"/>
      <c r="WWM274" s="830"/>
      <c r="WWN274" s="830"/>
      <c r="WWO274" s="830"/>
      <c r="WWP274" s="830"/>
      <c r="WWQ274" s="830"/>
      <c r="WWR274" s="830"/>
      <c r="WWS274" s="830"/>
      <c r="WWT274" s="830"/>
      <c r="WWU274" s="830"/>
      <c r="WWV274" s="830"/>
      <c r="WWW274" s="830"/>
      <c r="WWX274" s="830"/>
      <c r="WWY274" s="830"/>
      <c r="WWZ274" s="830"/>
      <c r="WXA274" s="830"/>
      <c r="WXB274" s="830"/>
      <c r="WXC274" s="830"/>
      <c r="WXD274" s="830"/>
      <c r="WXE274" s="830"/>
      <c r="WXF274" s="830"/>
      <c r="WXG274" s="830"/>
      <c r="WXH274" s="830"/>
      <c r="WXI274" s="830"/>
      <c r="WXJ274" s="830"/>
      <c r="WXK274" s="830"/>
      <c r="WXL274" s="830"/>
      <c r="WXM274" s="830"/>
      <c r="WXN274" s="830"/>
      <c r="WXO274" s="830"/>
      <c r="WXP274" s="830"/>
      <c r="WXQ274" s="830"/>
      <c r="WXR274" s="830"/>
      <c r="WXS274" s="830"/>
      <c r="WXT274" s="830"/>
      <c r="WXU274" s="830"/>
      <c r="WXV274" s="830"/>
      <c r="WXW274" s="830"/>
      <c r="WXX274" s="830"/>
      <c r="WXY274" s="830"/>
      <c r="WXZ274" s="830"/>
      <c r="WYA274" s="830"/>
      <c r="WYB274" s="830"/>
      <c r="WYC274" s="830"/>
      <c r="WYD274" s="830"/>
      <c r="WYE274" s="830"/>
      <c r="WYF274" s="830"/>
      <c r="WYG274" s="830"/>
      <c r="WYH274" s="830"/>
      <c r="WYI274" s="830"/>
      <c r="WYJ274" s="830"/>
      <c r="WYK274" s="830"/>
      <c r="WYL274" s="830"/>
      <c r="WYM274" s="830"/>
      <c r="WYN274" s="830"/>
      <c r="WYO274" s="830"/>
      <c r="WYP274" s="830"/>
      <c r="WYQ274" s="830"/>
      <c r="WYR274" s="830"/>
      <c r="WYS274" s="830"/>
      <c r="WYT274" s="830"/>
      <c r="WYU274" s="830"/>
      <c r="WYV274" s="830"/>
      <c r="WYW274" s="830"/>
      <c r="WYX274" s="830"/>
      <c r="WYY274" s="830"/>
      <c r="WYZ274" s="830"/>
      <c r="WZA274" s="830"/>
      <c r="WZB274" s="830"/>
      <c r="WZC274" s="830"/>
      <c r="WZD274" s="830"/>
      <c r="WZE274" s="830"/>
      <c r="WZF274" s="830"/>
      <c r="WZG274" s="830"/>
      <c r="WZH274" s="830"/>
      <c r="WZI274" s="830"/>
      <c r="WZJ274" s="830"/>
      <c r="WZK274" s="830"/>
      <c r="WZL274" s="830"/>
      <c r="WZM274" s="830"/>
      <c r="WZN274" s="830"/>
      <c r="WZO274" s="830"/>
      <c r="WZP274" s="830"/>
      <c r="WZQ274" s="830"/>
      <c r="WZR274" s="830"/>
      <c r="WZS274" s="830"/>
      <c r="WZT274" s="830"/>
      <c r="WZU274" s="830"/>
      <c r="WZV274" s="830"/>
      <c r="WZW274" s="830"/>
      <c r="WZX274" s="830"/>
      <c r="WZY274" s="830"/>
      <c r="WZZ274" s="830"/>
      <c r="XAA274" s="830"/>
      <c r="XAB274" s="830"/>
      <c r="XAC274" s="830"/>
      <c r="XAD274" s="830"/>
      <c r="XAE274" s="830"/>
      <c r="XAF274" s="830"/>
      <c r="XAG274" s="830"/>
      <c r="XAH274" s="830"/>
      <c r="XAI274" s="830"/>
      <c r="XAJ274" s="830"/>
      <c r="XAK274" s="830"/>
      <c r="XAL274" s="830"/>
      <c r="XAM274" s="830"/>
      <c r="XAN274" s="830"/>
      <c r="XAO274" s="830"/>
      <c r="XAP274" s="830"/>
      <c r="XAQ274" s="830"/>
      <c r="XAR274" s="830"/>
      <c r="XAS274" s="830"/>
      <c r="XAT274" s="830"/>
      <c r="XAU274" s="830"/>
      <c r="XAV274" s="830"/>
      <c r="XAW274" s="830"/>
      <c r="XAX274" s="830"/>
      <c r="XAY274" s="830"/>
      <c r="XAZ274" s="830"/>
      <c r="XBA274" s="830"/>
      <c r="XBB274" s="830"/>
      <c r="XBC274" s="830"/>
      <c r="XBD274" s="830"/>
      <c r="XBE274" s="830"/>
      <c r="XBF274" s="830"/>
      <c r="XBG274" s="830"/>
      <c r="XBH274" s="830"/>
      <c r="XBI274" s="830"/>
      <c r="XBJ274" s="830"/>
      <c r="XBK274" s="830"/>
      <c r="XBL274" s="830"/>
      <c r="XBM274" s="830"/>
      <c r="XBN274" s="830"/>
      <c r="XBO274" s="830"/>
      <c r="XBP274" s="830"/>
      <c r="XBQ274" s="830"/>
      <c r="XBR274" s="830"/>
      <c r="XBS274" s="830"/>
      <c r="XBT274" s="830"/>
      <c r="XBU274" s="830"/>
      <c r="XBV274" s="830"/>
      <c r="XBW274" s="830"/>
      <c r="XBX274" s="830"/>
      <c r="XBY274" s="830"/>
      <c r="XBZ274" s="830"/>
      <c r="XCA274" s="830"/>
      <c r="XCB274" s="830"/>
      <c r="XCC274" s="830"/>
      <c r="XCD274" s="830"/>
      <c r="XCE274" s="830"/>
      <c r="XCF274" s="830"/>
      <c r="XCG274" s="830"/>
      <c r="XCH274" s="830"/>
      <c r="XCI274" s="830"/>
      <c r="XCJ274" s="830"/>
      <c r="XCK274" s="830"/>
      <c r="XCL274" s="830"/>
      <c r="XCM274" s="830"/>
      <c r="XCN274" s="830"/>
      <c r="XCO274" s="830"/>
      <c r="XCP274" s="830"/>
      <c r="XCQ274" s="830"/>
      <c r="XCR274" s="830"/>
      <c r="XCS274" s="830"/>
      <c r="XCT274" s="830"/>
      <c r="XCU274" s="830"/>
      <c r="XCV274" s="830"/>
      <c r="XCW274" s="830"/>
      <c r="XCX274" s="830"/>
      <c r="XCY274" s="830"/>
      <c r="XCZ274" s="830"/>
      <c r="XDA274" s="830"/>
      <c r="XDB274" s="830"/>
      <c r="XDC274" s="830"/>
      <c r="XDD274" s="830"/>
      <c r="XDE274" s="830"/>
      <c r="XDF274" s="830"/>
      <c r="XDG274" s="830"/>
      <c r="XDH274" s="830"/>
      <c r="XDI274" s="830"/>
      <c r="XDJ274" s="830"/>
      <c r="XDK274" s="830"/>
      <c r="XDL274" s="830"/>
      <c r="XDM274" s="830"/>
      <c r="XDN274" s="830"/>
      <c r="XDO274" s="830"/>
      <c r="XDP274" s="830"/>
      <c r="XDQ274" s="830"/>
      <c r="XDR274" s="830"/>
      <c r="XDS274" s="830"/>
      <c r="XDT274" s="830"/>
      <c r="XDU274" s="830"/>
      <c r="XDV274" s="830"/>
      <c r="XDW274" s="830"/>
      <c r="XDX274" s="830"/>
      <c r="XDY274" s="830"/>
      <c r="XDZ274" s="830"/>
      <c r="XEA274" s="830"/>
      <c r="XEB274" s="830"/>
      <c r="XEC274" s="830"/>
      <c r="XED274" s="830"/>
      <c r="XEE274" s="830"/>
      <c r="XEF274" s="830"/>
      <c r="XEG274" s="830"/>
      <c r="XEH274" s="830"/>
      <c r="XEI274" s="830"/>
      <c r="XEJ274" s="830"/>
      <c r="XEK274" s="830"/>
      <c r="XEL274" s="830"/>
      <c r="XEM274" s="830"/>
      <c r="XEN274" s="830"/>
      <c r="XEO274" s="830"/>
      <c r="XEP274" s="830"/>
      <c r="XEQ274" s="830"/>
      <c r="XER274" s="830"/>
      <c r="XES274" s="830"/>
      <c r="XET274" s="830"/>
      <c r="XEU274" s="830"/>
      <c r="XEV274" s="830"/>
      <c r="XEW274" s="830"/>
      <c r="XEX274" s="830"/>
      <c r="XEY274" s="830"/>
      <c r="XEZ274" s="830"/>
      <c r="XFA274" s="830"/>
      <c r="XFB274" s="830"/>
      <c r="XFC274" s="830"/>
      <c r="XFD274" s="830"/>
    </row>
    <row r="275" spans="1:19 16149:16384" s="581" customFormat="1" ht="92.4">
      <c r="A275" s="581" t="s">
        <v>1227</v>
      </c>
      <c r="B275" s="745" t="s">
        <v>936</v>
      </c>
      <c r="C275" s="764"/>
      <c r="D275" s="861" t="s">
        <v>5217</v>
      </c>
      <c r="E275" s="745" t="s">
        <v>4895</v>
      </c>
      <c r="F275" s="757">
        <v>20</v>
      </c>
      <c r="G275" s="746"/>
      <c r="H275" s="752">
        <v>0</v>
      </c>
      <c r="I275" s="859" t="s">
        <v>4908</v>
      </c>
      <c r="J275" s="745" t="s">
        <v>5218</v>
      </c>
      <c r="K275" s="862" t="s">
        <v>5218</v>
      </c>
      <c r="L275" s="862"/>
      <c r="S275" s="766"/>
      <c r="WWC275" s="830"/>
      <c r="WWD275" s="830"/>
      <c r="WWE275" s="830"/>
      <c r="WWF275" s="830"/>
      <c r="WWG275" s="830"/>
      <c r="WWH275" s="830"/>
      <c r="WWI275" s="830"/>
      <c r="WWJ275" s="830"/>
      <c r="WWK275" s="830"/>
      <c r="WWL275" s="830"/>
      <c r="WWM275" s="830"/>
      <c r="WWN275" s="830"/>
      <c r="WWO275" s="830"/>
      <c r="WWP275" s="830"/>
      <c r="WWQ275" s="830"/>
      <c r="WWR275" s="830"/>
      <c r="WWS275" s="830"/>
      <c r="WWT275" s="830"/>
      <c r="WWU275" s="830"/>
      <c r="WWV275" s="830"/>
      <c r="WWW275" s="830"/>
      <c r="WWX275" s="830"/>
      <c r="WWY275" s="830"/>
      <c r="WWZ275" s="830"/>
      <c r="WXA275" s="830"/>
      <c r="WXB275" s="830"/>
      <c r="WXC275" s="830"/>
      <c r="WXD275" s="830"/>
      <c r="WXE275" s="830"/>
      <c r="WXF275" s="830"/>
      <c r="WXG275" s="830"/>
      <c r="WXH275" s="830"/>
      <c r="WXI275" s="830"/>
      <c r="WXJ275" s="830"/>
      <c r="WXK275" s="830"/>
      <c r="WXL275" s="830"/>
      <c r="WXM275" s="830"/>
      <c r="WXN275" s="830"/>
      <c r="WXO275" s="830"/>
      <c r="WXP275" s="830"/>
      <c r="WXQ275" s="830"/>
      <c r="WXR275" s="830"/>
      <c r="WXS275" s="830"/>
      <c r="WXT275" s="830"/>
      <c r="WXU275" s="830"/>
      <c r="WXV275" s="830"/>
      <c r="WXW275" s="830"/>
      <c r="WXX275" s="830"/>
      <c r="WXY275" s="830"/>
      <c r="WXZ275" s="830"/>
      <c r="WYA275" s="830"/>
      <c r="WYB275" s="830"/>
      <c r="WYC275" s="830"/>
      <c r="WYD275" s="830"/>
      <c r="WYE275" s="830"/>
      <c r="WYF275" s="830"/>
      <c r="WYG275" s="830"/>
      <c r="WYH275" s="830"/>
      <c r="WYI275" s="830"/>
      <c r="WYJ275" s="830"/>
      <c r="WYK275" s="830"/>
      <c r="WYL275" s="830"/>
      <c r="WYM275" s="830"/>
      <c r="WYN275" s="830"/>
      <c r="WYO275" s="830"/>
      <c r="WYP275" s="830"/>
      <c r="WYQ275" s="830"/>
      <c r="WYR275" s="830"/>
      <c r="WYS275" s="830"/>
      <c r="WYT275" s="830"/>
      <c r="WYU275" s="830"/>
      <c r="WYV275" s="830"/>
      <c r="WYW275" s="830"/>
      <c r="WYX275" s="830"/>
      <c r="WYY275" s="830"/>
      <c r="WYZ275" s="830"/>
      <c r="WZA275" s="830"/>
      <c r="WZB275" s="830"/>
      <c r="WZC275" s="830"/>
      <c r="WZD275" s="830"/>
      <c r="WZE275" s="830"/>
      <c r="WZF275" s="830"/>
      <c r="WZG275" s="830"/>
      <c r="WZH275" s="830"/>
      <c r="WZI275" s="830"/>
      <c r="WZJ275" s="830"/>
      <c r="WZK275" s="830"/>
      <c r="WZL275" s="830"/>
      <c r="WZM275" s="830"/>
      <c r="WZN275" s="830"/>
      <c r="WZO275" s="830"/>
      <c r="WZP275" s="830"/>
      <c r="WZQ275" s="830"/>
      <c r="WZR275" s="830"/>
      <c r="WZS275" s="830"/>
      <c r="WZT275" s="830"/>
      <c r="WZU275" s="830"/>
      <c r="WZV275" s="830"/>
      <c r="WZW275" s="830"/>
      <c r="WZX275" s="830"/>
      <c r="WZY275" s="830"/>
      <c r="WZZ275" s="830"/>
      <c r="XAA275" s="830"/>
      <c r="XAB275" s="830"/>
      <c r="XAC275" s="830"/>
      <c r="XAD275" s="830"/>
      <c r="XAE275" s="830"/>
      <c r="XAF275" s="830"/>
      <c r="XAG275" s="830"/>
      <c r="XAH275" s="830"/>
      <c r="XAI275" s="830"/>
      <c r="XAJ275" s="830"/>
      <c r="XAK275" s="830"/>
      <c r="XAL275" s="830"/>
      <c r="XAM275" s="830"/>
      <c r="XAN275" s="830"/>
      <c r="XAO275" s="830"/>
      <c r="XAP275" s="830"/>
      <c r="XAQ275" s="830"/>
      <c r="XAR275" s="830"/>
      <c r="XAS275" s="830"/>
      <c r="XAT275" s="830"/>
      <c r="XAU275" s="830"/>
      <c r="XAV275" s="830"/>
      <c r="XAW275" s="830"/>
      <c r="XAX275" s="830"/>
      <c r="XAY275" s="830"/>
      <c r="XAZ275" s="830"/>
      <c r="XBA275" s="830"/>
      <c r="XBB275" s="830"/>
      <c r="XBC275" s="830"/>
      <c r="XBD275" s="830"/>
      <c r="XBE275" s="830"/>
      <c r="XBF275" s="830"/>
      <c r="XBG275" s="830"/>
      <c r="XBH275" s="830"/>
      <c r="XBI275" s="830"/>
      <c r="XBJ275" s="830"/>
      <c r="XBK275" s="830"/>
      <c r="XBL275" s="830"/>
      <c r="XBM275" s="830"/>
      <c r="XBN275" s="830"/>
      <c r="XBO275" s="830"/>
      <c r="XBP275" s="830"/>
      <c r="XBQ275" s="830"/>
      <c r="XBR275" s="830"/>
      <c r="XBS275" s="830"/>
      <c r="XBT275" s="830"/>
      <c r="XBU275" s="830"/>
      <c r="XBV275" s="830"/>
      <c r="XBW275" s="830"/>
      <c r="XBX275" s="830"/>
      <c r="XBY275" s="830"/>
      <c r="XBZ275" s="830"/>
      <c r="XCA275" s="830"/>
      <c r="XCB275" s="830"/>
      <c r="XCC275" s="830"/>
      <c r="XCD275" s="830"/>
      <c r="XCE275" s="830"/>
      <c r="XCF275" s="830"/>
      <c r="XCG275" s="830"/>
      <c r="XCH275" s="830"/>
      <c r="XCI275" s="830"/>
      <c r="XCJ275" s="830"/>
      <c r="XCK275" s="830"/>
      <c r="XCL275" s="830"/>
      <c r="XCM275" s="830"/>
      <c r="XCN275" s="830"/>
      <c r="XCO275" s="830"/>
      <c r="XCP275" s="830"/>
      <c r="XCQ275" s="830"/>
      <c r="XCR275" s="830"/>
      <c r="XCS275" s="830"/>
      <c r="XCT275" s="830"/>
      <c r="XCU275" s="830"/>
      <c r="XCV275" s="830"/>
      <c r="XCW275" s="830"/>
      <c r="XCX275" s="830"/>
      <c r="XCY275" s="830"/>
      <c r="XCZ275" s="830"/>
      <c r="XDA275" s="830"/>
      <c r="XDB275" s="830"/>
      <c r="XDC275" s="830"/>
      <c r="XDD275" s="830"/>
      <c r="XDE275" s="830"/>
      <c r="XDF275" s="830"/>
      <c r="XDG275" s="830"/>
      <c r="XDH275" s="830"/>
      <c r="XDI275" s="830"/>
      <c r="XDJ275" s="830"/>
      <c r="XDK275" s="830"/>
      <c r="XDL275" s="830"/>
      <c r="XDM275" s="830"/>
      <c r="XDN275" s="830"/>
      <c r="XDO275" s="830"/>
      <c r="XDP275" s="830"/>
      <c r="XDQ275" s="830"/>
      <c r="XDR275" s="830"/>
      <c r="XDS275" s="830"/>
      <c r="XDT275" s="830"/>
      <c r="XDU275" s="830"/>
      <c r="XDV275" s="830"/>
      <c r="XDW275" s="830"/>
      <c r="XDX275" s="830"/>
      <c r="XDY275" s="830"/>
      <c r="XDZ275" s="830"/>
      <c r="XEA275" s="830"/>
      <c r="XEB275" s="830"/>
      <c r="XEC275" s="830"/>
      <c r="XED275" s="830"/>
      <c r="XEE275" s="830"/>
      <c r="XEF275" s="830"/>
      <c r="XEG275" s="830"/>
      <c r="XEH275" s="830"/>
      <c r="XEI275" s="830"/>
      <c r="XEJ275" s="830"/>
      <c r="XEK275" s="830"/>
      <c r="XEL275" s="830"/>
      <c r="XEM275" s="830"/>
      <c r="XEN275" s="830"/>
      <c r="XEO275" s="830"/>
      <c r="XEP275" s="830"/>
      <c r="XEQ275" s="830"/>
      <c r="XER275" s="830"/>
      <c r="XES275" s="830"/>
      <c r="XET275" s="830"/>
      <c r="XEU275" s="830"/>
      <c r="XEV275" s="830"/>
      <c r="XEW275" s="830"/>
      <c r="XEX275" s="830"/>
      <c r="XEY275" s="830"/>
      <c r="XEZ275" s="830"/>
      <c r="XFA275" s="830"/>
      <c r="XFB275" s="830"/>
      <c r="XFC275" s="830"/>
      <c r="XFD275" s="830"/>
    </row>
    <row r="276" spans="1:19 16149:16384" s="581" customFormat="1" ht="52.8">
      <c r="A276" s="581" t="s">
        <v>1227</v>
      </c>
      <c r="B276" s="745" t="s">
        <v>5219</v>
      </c>
      <c r="C276" s="764">
        <v>101325</v>
      </c>
      <c r="D276" s="861" t="s">
        <v>5220</v>
      </c>
      <c r="E276" s="745" t="s">
        <v>4895</v>
      </c>
      <c r="F276" s="757">
        <v>5</v>
      </c>
      <c r="G276" s="746"/>
      <c r="H276" s="752">
        <v>0</v>
      </c>
      <c r="I276" s="859" t="s">
        <v>4908</v>
      </c>
      <c r="J276" s="745" t="s">
        <v>5221</v>
      </c>
      <c r="K276" s="862" t="s">
        <v>5221</v>
      </c>
      <c r="L276" s="862"/>
      <c r="S276" s="766"/>
      <c r="WWC276" s="830"/>
      <c r="WWD276" s="830"/>
      <c r="WWE276" s="830"/>
      <c r="WWF276" s="830"/>
      <c r="WWG276" s="830"/>
      <c r="WWH276" s="830"/>
      <c r="WWI276" s="830"/>
      <c r="WWJ276" s="830"/>
      <c r="WWK276" s="830"/>
      <c r="WWL276" s="830"/>
      <c r="WWM276" s="830"/>
      <c r="WWN276" s="830"/>
      <c r="WWO276" s="830"/>
      <c r="WWP276" s="830"/>
      <c r="WWQ276" s="830"/>
      <c r="WWR276" s="830"/>
      <c r="WWS276" s="830"/>
      <c r="WWT276" s="830"/>
      <c r="WWU276" s="830"/>
      <c r="WWV276" s="830"/>
      <c r="WWW276" s="830"/>
      <c r="WWX276" s="830"/>
      <c r="WWY276" s="830"/>
      <c r="WWZ276" s="830"/>
      <c r="WXA276" s="830"/>
      <c r="WXB276" s="830"/>
      <c r="WXC276" s="830"/>
      <c r="WXD276" s="830"/>
      <c r="WXE276" s="830"/>
      <c r="WXF276" s="830"/>
      <c r="WXG276" s="830"/>
      <c r="WXH276" s="830"/>
      <c r="WXI276" s="830"/>
      <c r="WXJ276" s="830"/>
      <c r="WXK276" s="830"/>
      <c r="WXL276" s="830"/>
      <c r="WXM276" s="830"/>
      <c r="WXN276" s="830"/>
      <c r="WXO276" s="830"/>
      <c r="WXP276" s="830"/>
      <c r="WXQ276" s="830"/>
      <c r="WXR276" s="830"/>
      <c r="WXS276" s="830"/>
      <c r="WXT276" s="830"/>
      <c r="WXU276" s="830"/>
      <c r="WXV276" s="830"/>
      <c r="WXW276" s="830"/>
      <c r="WXX276" s="830"/>
      <c r="WXY276" s="830"/>
      <c r="WXZ276" s="830"/>
      <c r="WYA276" s="830"/>
      <c r="WYB276" s="830"/>
      <c r="WYC276" s="830"/>
      <c r="WYD276" s="830"/>
      <c r="WYE276" s="830"/>
      <c r="WYF276" s="830"/>
      <c r="WYG276" s="830"/>
      <c r="WYH276" s="830"/>
      <c r="WYI276" s="830"/>
      <c r="WYJ276" s="830"/>
      <c r="WYK276" s="830"/>
      <c r="WYL276" s="830"/>
      <c r="WYM276" s="830"/>
      <c r="WYN276" s="830"/>
      <c r="WYO276" s="830"/>
      <c r="WYP276" s="830"/>
      <c r="WYQ276" s="830"/>
      <c r="WYR276" s="830"/>
      <c r="WYS276" s="830"/>
      <c r="WYT276" s="830"/>
      <c r="WYU276" s="830"/>
      <c r="WYV276" s="830"/>
      <c r="WYW276" s="830"/>
      <c r="WYX276" s="830"/>
      <c r="WYY276" s="830"/>
      <c r="WYZ276" s="830"/>
      <c r="WZA276" s="830"/>
      <c r="WZB276" s="830"/>
      <c r="WZC276" s="830"/>
      <c r="WZD276" s="830"/>
      <c r="WZE276" s="830"/>
      <c r="WZF276" s="830"/>
      <c r="WZG276" s="830"/>
      <c r="WZH276" s="830"/>
      <c r="WZI276" s="830"/>
      <c r="WZJ276" s="830"/>
      <c r="WZK276" s="830"/>
      <c r="WZL276" s="830"/>
      <c r="WZM276" s="830"/>
      <c r="WZN276" s="830"/>
      <c r="WZO276" s="830"/>
      <c r="WZP276" s="830"/>
      <c r="WZQ276" s="830"/>
      <c r="WZR276" s="830"/>
      <c r="WZS276" s="830"/>
      <c r="WZT276" s="830"/>
      <c r="WZU276" s="830"/>
      <c r="WZV276" s="830"/>
      <c r="WZW276" s="830"/>
      <c r="WZX276" s="830"/>
      <c r="WZY276" s="830"/>
      <c r="WZZ276" s="830"/>
      <c r="XAA276" s="830"/>
      <c r="XAB276" s="830"/>
      <c r="XAC276" s="830"/>
      <c r="XAD276" s="830"/>
      <c r="XAE276" s="830"/>
      <c r="XAF276" s="830"/>
      <c r="XAG276" s="830"/>
      <c r="XAH276" s="830"/>
      <c r="XAI276" s="830"/>
      <c r="XAJ276" s="830"/>
      <c r="XAK276" s="830"/>
      <c r="XAL276" s="830"/>
      <c r="XAM276" s="830"/>
      <c r="XAN276" s="830"/>
      <c r="XAO276" s="830"/>
      <c r="XAP276" s="830"/>
      <c r="XAQ276" s="830"/>
      <c r="XAR276" s="830"/>
      <c r="XAS276" s="830"/>
      <c r="XAT276" s="830"/>
      <c r="XAU276" s="830"/>
      <c r="XAV276" s="830"/>
      <c r="XAW276" s="830"/>
      <c r="XAX276" s="830"/>
      <c r="XAY276" s="830"/>
      <c r="XAZ276" s="830"/>
      <c r="XBA276" s="830"/>
      <c r="XBB276" s="830"/>
      <c r="XBC276" s="830"/>
      <c r="XBD276" s="830"/>
      <c r="XBE276" s="830"/>
      <c r="XBF276" s="830"/>
      <c r="XBG276" s="830"/>
      <c r="XBH276" s="830"/>
      <c r="XBI276" s="830"/>
      <c r="XBJ276" s="830"/>
      <c r="XBK276" s="830"/>
      <c r="XBL276" s="830"/>
      <c r="XBM276" s="830"/>
      <c r="XBN276" s="830"/>
      <c r="XBO276" s="830"/>
      <c r="XBP276" s="830"/>
      <c r="XBQ276" s="830"/>
      <c r="XBR276" s="830"/>
      <c r="XBS276" s="830"/>
      <c r="XBT276" s="830"/>
      <c r="XBU276" s="830"/>
      <c r="XBV276" s="830"/>
      <c r="XBW276" s="830"/>
      <c r="XBX276" s="830"/>
      <c r="XBY276" s="830"/>
      <c r="XBZ276" s="830"/>
      <c r="XCA276" s="830"/>
      <c r="XCB276" s="830"/>
      <c r="XCC276" s="830"/>
      <c r="XCD276" s="830"/>
      <c r="XCE276" s="830"/>
      <c r="XCF276" s="830"/>
      <c r="XCG276" s="830"/>
      <c r="XCH276" s="830"/>
      <c r="XCI276" s="830"/>
      <c r="XCJ276" s="830"/>
      <c r="XCK276" s="830"/>
      <c r="XCL276" s="830"/>
      <c r="XCM276" s="830"/>
      <c r="XCN276" s="830"/>
      <c r="XCO276" s="830"/>
      <c r="XCP276" s="830"/>
      <c r="XCQ276" s="830"/>
      <c r="XCR276" s="830"/>
      <c r="XCS276" s="830"/>
      <c r="XCT276" s="830"/>
      <c r="XCU276" s="830"/>
      <c r="XCV276" s="830"/>
      <c r="XCW276" s="830"/>
      <c r="XCX276" s="830"/>
      <c r="XCY276" s="830"/>
      <c r="XCZ276" s="830"/>
      <c r="XDA276" s="830"/>
      <c r="XDB276" s="830"/>
      <c r="XDC276" s="830"/>
      <c r="XDD276" s="830"/>
      <c r="XDE276" s="830"/>
      <c r="XDF276" s="830"/>
      <c r="XDG276" s="830"/>
      <c r="XDH276" s="830"/>
      <c r="XDI276" s="830"/>
      <c r="XDJ276" s="830"/>
      <c r="XDK276" s="830"/>
      <c r="XDL276" s="830"/>
      <c r="XDM276" s="830"/>
      <c r="XDN276" s="830"/>
      <c r="XDO276" s="830"/>
      <c r="XDP276" s="830"/>
      <c r="XDQ276" s="830"/>
      <c r="XDR276" s="830"/>
      <c r="XDS276" s="830"/>
      <c r="XDT276" s="830"/>
      <c r="XDU276" s="830"/>
      <c r="XDV276" s="830"/>
      <c r="XDW276" s="830"/>
      <c r="XDX276" s="830"/>
      <c r="XDY276" s="830"/>
      <c r="XDZ276" s="830"/>
      <c r="XEA276" s="830"/>
      <c r="XEB276" s="830"/>
      <c r="XEC276" s="830"/>
      <c r="XED276" s="830"/>
      <c r="XEE276" s="830"/>
      <c r="XEF276" s="830"/>
      <c r="XEG276" s="830"/>
      <c r="XEH276" s="830"/>
      <c r="XEI276" s="830"/>
      <c r="XEJ276" s="830"/>
      <c r="XEK276" s="830"/>
      <c r="XEL276" s="830"/>
      <c r="XEM276" s="830"/>
      <c r="XEN276" s="830"/>
      <c r="XEO276" s="830"/>
      <c r="XEP276" s="830"/>
      <c r="XEQ276" s="830"/>
      <c r="XER276" s="830"/>
      <c r="XES276" s="830"/>
      <c r="XET276" s="830"/>
      <c r="XEU276" s="830"/>
      <c r="XEV276" s="830"/>
      <c r="XEW276" s="830"/>
      <c r="XEX276" s="830"/>
      <c r="XEY276" s="830"/>
      <c r="XEZ276" s="830"/>
      <c r="XFA276" s="830"/>
      <c r="XFB276" s="830"/>
      <c r="XFC276" s="830"/>
      <c r="XFD276" s="830"/>
    </row>
    <row r="277" spans="1:19 16149:16384" ht="13.8">
      <c r="A277" t="s">
        <v>1227</v>
      </c>
      <c r="B277" s="745" t="s">
        <v>5222</v>
      </c>
      <c r="C277" s="767">
        <v>101497</v>
      </c>
      <c r="D277" s="782" t="s">
        <v>5223</v>
      </c>
      <c r="E277" s="745" t="s">
        <v>4895</v>
      </c>
      <c r="F277" s="757">
        <v>10</v>
      </c>
      <c r="G277" s="746"/>
      <c r="H277" s="752">
        <v>0</v>
      </c>
      <c r="I277" s="859" t="s">
        <v>4872</v>
      </c>
      <c r="J277" s="754">
        <v>101497</v>
      </c>
      <c r="K277" s="860">
        <v>101497</v>
      </c>
      <c r="L277" s="827"/>
      <c r="WWC277" s="830"/>
      <c r="WWD277" s="830"/>
      <c r="WWE277" s="830"/>
      <c r="WWF277" s="830"/>
      <c r="WWG277" s="830"/>
      <c r="WWH277" s="830"/>
      <c r="WWI277" s="830"/>
      <c r="WWJ277" s="830"/>
      <c r="WWK277" s="830"/>
      <c r="WWL277" s="830"/>
      <c r="WWM277" s="830"/>
      <c r="WWN277" s="830"/>
      <c r="WWO277" s="830"/>
      <c r="WWP277" s="830"/>
      <c r="WWQ277" s="830"/>
      <c r="WWR277" s="830"/>
      <c r="WWS277" s="830"/>
      <c r="WWT277" s="830"/>
      <c r="WWU277" s="830"/>
      <c r="WWV277" s="830"/>
      <c r="WWW277" s="830"/>
      <c r="WWX277" s="830"/>
      <c r="WWY277" s="830"/>
      <c r="WWZ277" s="830"/>
      <c r="WXA277" s="830"/>
      <c r="WXB277" s="830"/>
      <c r="WXC277" s="830"/>
      <c r="WXD277" s="830"/>
      <c r="WXE277" s="830"/>
      <c r="WXF277" s="830"/>
      <c r="WXG277" s="830"/>
      <c r="WXH277" s="830"/>
      <c r="WXI277" s="830"/>
      <c r="WXJ277" s="830"/>
      <c r="WXK277" s="830"/>
      <c r="WXL277" s="830"/>
      <c r="WXM277" s="830"/>
      <c r="WXN277" s="830"/>
      <c r="WXO277" s="830"/>
      <c r="WXP277" s="830"/>
      <c r="WXQ277" s="830"/>
      <c r="WXR277" s="830"/>
      <c r="WXS277" s="830"/>
      <c r="WXT277" s="830"/>
      <c r="WXU277" s="830"/>
      <c r="WXV277" s="830"/>
      <c r="WXW277" s="830"/>
      <c r="WXX277" s="830"/>
      <c r="WXY277" s="830"/>
      <c r="WXZ277" s="830"/>
      <c r="WYA277" s="830"/>
      <c r="WYB277" s="830"/>
      <c r="WYC277" s="830"/>
      <c r="WYD277" s="830"/>
      <c r="WYE277" s="830"/>
      <c r="WYF277" s="830"/>
      <c r="WYG277" s="830"/>
      <c r="WYH277" s="830"/>
      <c r="WYI277" s="830"/>
      <c r="WYJ277" s="830"/>
      <c r="WYK277" s="830"/>
      <c r="WYL277" s="830"/>
      <c r="WYM277" s="830"/>
      <c r="WYN277" s="830"/>
      <c r="WYO277" s="830"/>
      <c r="WYP277" s="830"/>
      <c r="WYQ277" s="830"/>
      <c r="WYR277" s="830"/>
      <c r="WYS277" s="830"/>
      <c r="WYT277" s="830"/>
      <c r="WYU277" s="830"/>
      <c r="WYV277" s="830"/>
      <c r="WYW277" s="830"/>
      <c r="WYX277" s="830"/>
      <c r="WYY277" s="830"/>
      <c r="WYZ277" s="830"/>
      <c r="WZA277" s="830"/>
      <c r="WZB277" s="830"/>
      <c r="WZC277" s="830"/>
      <c r="WZD277" s="830"/>
      <c r="WZE277" s="830"/>
      <c r="WZF277" s="830"/>
      <c r="WZG277" s="830"/>
      <c r="WZH277" s="830"/>
      <c r="WZI277" s="830"/>
      <c r="WZJ277" s="830"/>
      <c r="WZK277" s="830"/>
      <c r="WZL277" s="830"/>
      <c r="WZM277" s="830"/>
      <c r="WZN277" s="830"/>
      <c r="WZO277" s="830"/>
      <c r="WZP277" s="830"/>
      <c r="WZQ277" s="830"/>
      <c r="WZR277" s="830"/>
      <c r="WZS277" s="830"/>
      <c r="WZT277" s="830"/>
      <c r="WZU277" s="830"/>
      <c r="WZV277" s="830"/>
      <c r="WZW277" s="830"/>
      <c r="WZX277" s="830"/>
      <c r="WZY277" s="830"/>
      <c r="WZZ277" s="830"/>
      <c r="XAA277" s="830"/>
      <c r="XAB277" s="830"/>
      <c r="XAC277" s="830"/>
      <c r="XAD277" s="830"/>
      <c r="XAE277" s="830"/>
      <c r="XAF277" s="830"/>
      <c r="XAG277" s="830"/>
      <c r="XAH277" s="830"/>
      <c r="XAI277" s="830"/>
      <c r="XAJ277" s="830"/>
      <c r="XAK277" s="830"/>
      <c r="XAL277" s="830"/>
      <c r="XAM277" s="830"/>
      <c r="XAN277" s="830"/>
      <c r="XAO277" s="830"/>
      <c r="XAP277" s="830"/>
      <c r="XAQ277" s="830"/>
      <c r="XAR277" s="830"/>
      <c r="XAS277" s="830"/>
      <c r="XAT277" s="830"/>
      <c r="XAU277" s="830"/>
      <c r="XAV277" s="830"/>
      <c r="XAW277" s="830"/>
      <c r="XAX277" s="830"/>
      <c r="XAY277" s="830"/>
      <c r="XAZ277" s="830"/>
      <c r="XBA277" s="830"/>
      <c r="XBB277" s="830"/>
      <c r="XBC277" s="830"/>
      <c r="XBD277" s="830"/>
      <c r="XBE277" s="830"/>
      <c r="XBF277" s="830"/>
      <c r="XBG277" s="830"/>
      <c r="XBH277" s="830"/>
      <c r="XBI277" s="830"/>
      <c r="XBJ277" s="830"/>
      <c r="XBK277" s="830"/>
      <c r="XBL277" s="830"/>
      <c r="XBM277" s="830"/>
      <c r="XBN277" s="830"/>
      <c r="XBO277" s="830"/>
      <c r="XBP277" s="830"/>
      <c r="XBQ277" s="830"/>
      <c r="XBR277" s="830"/>
      <c r="XBS277" s="830"/>
      <c r="XBT277" s="830"/>
      <c r="XBU277" s="830"/>
      <c r="XBV277" s="830"/>
      <c r="XBW277" s="830"/>
      <c r="XBX277" s="830"/>
      <c r="XBY277" s="830"/>
      <c r="XBZ277" s="830"/>
      <c r="XCA277" s="830"/>
      <c r="XCB277" s="830"/>
      <c r="XCC277" s="830"/>
      <c r="XCD277" s="830"/>
      <c r="XCE277" s="830"/>
      <c r="XCF277" s="830"/>
      <c r="XCG277" s="830"/>
      <c r="XCH277" s="830"/>
      <c r="XCI277" s="830"/>
      <c r="XCJ277" s="830"/>
      <c r="XCK277" s="830"/>
      <c r="XCL277" s="830"/>
      <c r="XCM277" s="830"/>
      <c r="XCN277" s="830"/>
      <c r="XCO277" s="830"/>
      <c r="XCP277" s="830"/>
      <c r="XCQ277" s="830"/>
      <c r="XCR277" s="830"/>
      <c r="XCS277" s="830"/>
      <c r="XCT277" s="830"/>
      <c r="XCU277" s="830"/>
      <c r="XCV277" s="830"/>
      <c r="XCW277" s="830"/>
      <c r="XCX277" s="830"/>
      <c r="XCY277" s="830"/>
      <c r="XCZ277" s="830"/>
      <c r="XDA277" s="830"/>
      <c r="XDB277" s="830"/>
      <c r="XDC277" s="830"/>
      <c r="XDD277" s="830"/>
      <c r="XDE277" s="830"/>
      <c r="XDF277" s="830"/>
      <c r="XDG277" s="830"/>
      <c r="XDH277" s="830"/>
      <c r="XDI277" s="830"/>
      <c r="XDJ277" s="830"/>
      <c r="XDK277" s="830"/>
      <c r="XDL277" s="830"/>
      <c r="XDM277" s="830"/>
      <c r="XDN277" s="830"/>
      <c r="XDO277" s="830"/>
      <c r="XDP277" s="830"/>
      <c r="XDQ277" s="830"/>
      <c r="XDR277" s="830"/>
      <c r="XDS277" s="830"/>
      <c r="XDT277" s="830"/>
      <c r="XDU277" s="830"/>
      <c r="XDV277" s="830"/>
      <c r="XDW277" s="830"/>
      <c r="XDX277" s="830"/>
      <c r="XDY277" s="830"/>
      <c r="XDZ277" s="830"/>
      <c r="XEA277" s="830"/>
      <c r="XEB277" s="830"/>
      <c r="XEC277" s="830"/>
      <c r="XED277" s="830"/>
      <c r="XEE277" s="830"/>
      <c r="XEF277" s="830"/>
      <c r="XEG277" s="830"/>
      <c r="XEH277" s="830"/>
      <c r="XEI277" s="830"/>
      <c r="XEJ277" s="830"/>
      <c r="XEK277" s="830"/>
      <c r="XEL277" s="830"/>
      <c r="XEM277" s="830"/>
      <c r="XEN277" s="830"/>
      <c r="XEO277" s="830"/>
      <c r="XEP277" s="830"/>
      <c r="XEQ277" s="830"/>
      <c r="XER277" s="830"/>
      <c r="XES277" s="830"/>
      <c r="XET277" s="830"/>
      <c r="XEU277" s="830"/>
      <c r="XEV277" s="830"/>
      <c r="XEW277" s="830"/>
      <c r="XEX277" s="830"/>
      <c r="XEY277" s="830"/>
      <c r="XEZ277" s="830"/>
      <c r="XFA277" s="830"/>
      <c r="XFB277" s="830"/>
      <c r="XFC277" s="830"/>
      <c r="XFD277" s="830"/>
    </row>
    <row r="278" spans="1:19 16149:16384" ht="13.8">
      <c r="A278" t="s">
        <v>1227</v>
      </c>
      <c r="B278" s="745" t="s">
        <v>5224</v>
      </c>
      <c r="C278" s="767">
        <v>101491</v>
      </c>
      <c r="D278" s="782" t="s">
        <v>5225</v>
      </c>
      <c r="E278" s="745" t="s">
        <v>4895</v>
      </c>
      <c r="F278" s="757">
        <v>10</v>
      </c>
      <c r="G278" s="746"/>
      <c r="H278" s="752">
        <v>0</v>
      </c>
      <c r="I278" s="859" t="s">
        <v>4872</v>
      </c>
      <c r="J278" s="754">
        <v>101491</v>
      </c>
      <c r="K278" s="860">
        <v>101491</v>
      </c>
      <c r="L278" s="827"/>
      <c r="WWC278" s="830"/>
      <c r="WWD278" s="830"/>
      <c r="WWE278" s="830"/>
      <c r="WWF278" s="830"/>
      <c r="WWG278" s="830"/>
      <c r="WWH278" s="830"/>
      <c r="WWI278" s="830"/>
      <c r="WWJ278" s="830"/>
      <c r="WWK278" s="830"/>
      <c r="WWL278" s="830"/>
      <c r="WWM278" s="830"/>
      <c r="WWN278" s="830"/>
      <c r="WWO278" s="830"/>
      <c r="WWP278" s="830"/>
      <c r="WWQ278" s="830"/>
      <c r="WWR278" s="830"/>
      <c r="WWS278" s="830"/>
      <c r="WWT278" s="830"/>
      <c r="WWU278" s="830"/>
      <c r="WWV278" s="830"/>
      <c r="WWW278" s="830"/>
      <c r="WWX278" s="830"/>
      <c r="WWY278" s="830"/>
      <c r="WWZ278" s="830"/>
      <c r="WXA278" s="830"/>
      <c r="WXB278" s="830"/>
      <c r="WXC278" s="830"/>
      <c r="WXD278" s="830"/>
      <c r="WXE278" s="830"/>
      <c r="WXF278" s="830"/>
      <c r="WXG278" s="830"/>
      <c r="WXH278" s="830"/>
      <c r="WXI278" s="830"/>
      <c r="WXJ278" s="830"/>
      <c r="WXK278" s="830"/>
      <c r="WXL278" s="830"/>
      <c r="WXM278" s="830"/>
      <c r="WXN278" s="830"/>
      <c r="WXO278" s="830"/>
      <c r="WXP278" s="830"/>
      <c r="WXQ278" s="830"/>
      <c r="WXR278" s="830"/>
      <c r="WXS278" s="830"/>
      <c r="WXT278" s="830"/>
      <c r="WXU278" s="830"/>
      <c r="WXV278" s="830"/>
      <c r="WXW278" s="830"/>
      <c r="WXX278" s="830"/>
      <c r="WXY278" s="830"/>
      <c r="WXZ278" s="830"/>
      <c r="WYA278" s="830"/>
      <c r="WYB278" s="830"/>
      <c r="WYC278" s="830"/>
      <c r="WYD278" s="830"/>
      <c r="WYE278" s="830"/>
      <c r="WYF278" s="830"/>
      <c r="WYG278" s="830"/>
      <c r="WYH278" s="830"/>
      <c r="WYI278" s="830"/>
      <c r="WYJ278" s="830"/>
      <c r="WYK278" s="830"/>
      <c r="WYL278" s="830"/>
      <c r="WYM278" s="830"/>
      <c r="WYN278" s="830"/>
      <c r="WYO278" s="830"/>
      <c r="WYP278" s="830"/>
      <c r="WYQ278" s="830"/>
      <c r="WYR278" s="830"/>
      <c r="WYS278" s="830"/>
      <c r="WYT278" s="830"/>
      <c r="WYU278" s="830"/>
      <c r="WYV278" s="830"/>
      <c r="WYW278" s="830"/>
      <c r="WYX278" s="830"/>
      <c r="WYY278" s="830"/>
      <c r="WYZ278" s="830"/>
      <c r="WZA278" s="830"/>
      <c r="WZB278" s="830"/>
      <c r="WZC278" s="830"/>
      <c r="WZD278" s="830"/>
      <c r="WZE278" s="830"/>
      <c r="WZF278" s="830"/>
      <c r="WZG278" s="830"/>
      <c r="WZH278" s="830"/>
      <c r="WZI278" s="830"/>
      <c r="WZJ278" s="830"/>
      <c r="WZK278" s="830"/>
      <c r="WZL278" s="830"/>
      <c r="WZM278" s="830"/>
      <c r="WZN278" s="830"/>
      <c r="WZO278" s="830"/>
      <c r="WZP278" s="830"/>
      <c r="WZQ278" s="830"/>
      <c r="WZR278" s="830"/>
      <c r="WZS278" s="830"/>
      <c r="WZT278" s="830"/>
      <c r="WZU278" s="830"/>
      <c r="WZV278" s="830"/>
      <c r="WZW278" s="830"/>
      <c r="WZX278" s="830"/>
      <c r="WZY278" s="830"/>
      <c r="WZZ278" s="830"/>
      <c r="XAA278" s="830"/>
      <c r="XAB278" s="830"/>
      <c r="XAC278" s="830"/>
      <c r="XAD278" s="830"/>
      <c r="XAE278" s="830"/>
      <c r="XAF278" s="830"/>
      <c r="XAG278" s="830"/>
      <c r="XAH278" s="830"/>
      <c r="XAI278" s="830"/>
      <c r="XAJ278" s="830"/>
      <c r="XAK278" s="830"/>
      <c r="XAL278" s="830"/>
      <c r="XAM278" s="830"/>
      <c r="XAN278" s="830"/>
      <c r="XAO278" s="830"/>
      <c r="XAP278" s="830"/>
      <c r="XAQ278" s="830"/>
      <c r="XAR278" s="830"/>
      <c r="XAS278" s="830"/>
      <c r="XAT278" s="830"/>
      <c r="XAU278" s="830"/>
      <c r="XAV278" s="830"/>
      <c r="XAW278" s="830"/>
      <c r="XAX278" s="830"/>
      <c r="XAY278" s="830"/>
      <c r="XAZ278" s="830"/>
      <c r="XBA278" s="830"/>
      <c r="XBB278" s="830"/>
      <c r="XBC278" s="830"/>
      <c r="XBD278" s="830"/>
      <c r="XBE278" s="830"/>
      <c r="XBF278" s="830"/>
      <c r="XBG278" s="830"/>
      <c r="XBH278" s="830"/>
      <c r="XBI278" s="830"/>
      <c r="XBJ278" s="830"/>
      <c r="XBK278" s="830"/>
      <c r="XBL278" s="830"/>
      <c r="XBM278" s="830"/>
      <c r="XBN278" s="830"/>
      <c r="XBO278" s="830"/>
      <c r="XBP278" s="830"/>
      <c r="XBQ278" s="830"/>
      <c r="XBR278" s="830"/>
      <c r="XBS278" s="830"/>
      <c r="XBT278" s="830"/>
      <c r="XBU278" s="830"/>
      <c r="XBV278" s="830"/>
      <c r="XBW278" s="830"/>
      <c r="XBX278" s="830"/>
      <c r="XBY278" s="830"/>
      <c r="XBZ278" s="830"/>
      <c r="XCA278" s="830"/>
      <c r="XCB278" s="830"/>
      <c r="XCC278" s="830"/>
      <c r="XCD278" s="830"/>
      <c r="XCE278" s="830"/>
      <c r="XCF278" s="830"/>
      <c r="XCG278" s="830"/>
      <c r="XCH278" s="830"/>
      <c r="XCI278" s="830"/>
      <c r="XCJ278" s="830"/>
      <c r="XCK278" s="830"/>
      <c r="XCL278" s="830"/>
      <c r="XCM278" s="830"/>
      <c r="XCN278" s="830"/>
      <c r="XCO278" s="830"/>
      <c r="XCP278" s="830"/>
      <c r="XCQ278" s="830"/>
      <c r="XCR278" s="830"/>
      <c r="XCS278" s="830"/>
      <c r="XCT278" s="830"/>
      <c r="XCU278" s="830"/>
      <c r="XCV278" s="830"/>
      <c r="XCW278" s="830"/>
      <c r="XCX278" s="830"/>
      <c r="XCY278" s="830"/>
      <c r="XCZ278" s="830"/>
      <c r="XDA278" s="830"/>
      <c r="XDB278" s="830"/>
      <c r="XDC278" s="830"/>
      <c r="XDD278" s="830"/>
      <c r="XDE278" s="830"/>
      <c r="XDF278" s="830"/>
      <c r="XDG278" s="830"/>
      <c r="XDH278" s="830"/>
      <c r="XDI278" s="830"/>
      <c r="XDJ278" s="830"/>
      <c r="XDK278" s="830"/>
      <c r="XDL278" s="830"/>
      <c r="XDM278" s="830"/>
      <c r="XDN278" s="830"/>
      <c r="XDO278" s="830"/>
      <c r="XDP278" s="830"/>
      <c r="XDQ278" s="830"/>
      <c r="XDR278" s="830"/>
      <c r="XDS278" s="830"/>
      <c r="XDT278" s="830"/>
      <c r="XDU278" s="830"/>
      <c r="XDV278" s="830"/>
      <c r="XDW278" s="830"/>
      <c r="XDX278" s="830"/>
      <c r="XDY278" s="830"/>
      <c r="XDZ278" s="830"/>
      <c r="XEA278" s="830"/>
      <c r="XEB278" s="830"/>
      <c r="XEC278" s="830"/>
      <c r="XED278" s="830"/>
      <c r="XEE278" s="830"/>
      <c r="XEF278" s="830"/>
      <c r="XEG278" s="830"/>
      <c r="XEH278" s="830"/>
      <c r="XEI278" s="830"/>
      <c r="XEJ278" s="830"/>
      <c r="XEK278" s="830"/>
      <c r="XEL278" s="830"/>
      <c r="XEM278" s="830"/>
      <c r="XEN278" s="830"/>
      <c r="XEO278" s="830"/>
      <c r="XEP278" s="830"/>
      <c r="XEQ278" s="830"/>
      <c r="XER278" s="830"/>
      <c r="XES278" s="830"/>
      <c r="XET278" s="830"/>
      <c r="XEU278" s="830"/>
      <c r="XEV278" s="830"/>
      <c r="XEW278" s="830"/>
      <c r="XEX278" s="830"/>
      <c r="XEY278" s="830"/>
      <c r="XEZ278" s="830"/>
      <c r="XFA278" s="830"/>
      <c r="XFB278" s="830"/>
      <c r="XFC278" s="830"/>
      <c r="XFD278" s="830"/>
    </row>
    <row r="279" spans="1:19 16149:16384" ht="26.4">
      <c r="A279" t="s">
        <v>1227</v>
      </c>
      <c r="B279" s="745" t="s">
        <v>5226</v>
      </c>
      <c r="C279" s="767">
        <v>170519</v>
      </c>
      <c r="D279" s="782" t="s">
        <v>5227</v>
      </c>
      <c r="E279" s="745" t="s">
        <v>4895</v>
      </c>
      <c r="F279" s="757">
        <v>20</v>
      </c>
      <c r="G279" s="746"/>
      <c r="H279" s="752">
        <v>0</v>
      </c>
      <c r="I279" s="859" t="s">
        <v>4872</v>
      </c>
      <c r="J279" s="754">
        <v>170519</v>
      </c>
      <c r="K279" s="860">
        <v>170519</v>
      </c>
      <c r="L279" s="827"/>
      <c r="WWC279" s="830"/>
      <c r="WWD279" s="830"/>
      <c r="WWE279" s="830"/>
      <c r="WWF279" s="830"/>
      <c r="WWG279" s="830"/>
      <c r="WWH279" s="830"/>
      <c r="WWI279" s="830"/>
      <c r="WWJ279" s="830"/>
      <c r="WWK279" s="830"/>
      <c r="WWL279" s="830"/>
      <c r="WWM279" s="830"/>
      <c r="WWN279" s="830"/>
      <c r="WWO279" s="830"/>
      <c r="WWP279" s="830"/>
      <c r="WWQ279" s="830"/>
      <c r="WWR279" s="830"/>
      <c r="WWS279" s="830"/>
      <c r="WWT279" s="830"/>
      <c r="WWU279" s="830"/>
      <c r="WWV279" s="830"/>
      <c r="WWW279" s="830"/>
      <c r="WWX279" s="830"/>
      <c r="WWY279" s="830"/>
      <c r="WWZ279" s="830"/>
      <c r="WXA279" s="830"/>
      <c r="WXB279" s="830"/>
      <c r="WXC279" s="830"/>
      <c r="WXD279" s="830"/>
      <c r="WXE279" s="830"/>
      <c r="WXF279" s="830"/>
      <c r="WXG279" s="830"/>
      <c r="WXH279" s="830"/>
      <c r="WXI279" s="830"/>
      <c r="WXJ279" s="830"/>
      <c r="WXK279" s="830"/>
      <c r="WXL279" s="830"/>
      <c r="WXM279" s="830"/>
      <c r="WXN279" s="830"/>
      <c r="WXO279" s="830"/>
      <c r="WXP279" s="830"/>
      <c r="WXQ279" s="830"/>
      <c r="WXR279" s="830"/>
      <c r="WXS279" s="830"/>
      <c r="WXT279" s="830"/>
      <c r="WXU279" s="830"/>
      <c r="WXV279" s="830"/>
      <c r="WXW279" s="830"/>
      <c r="WXX279" s="830"/>
      <c r="WXY279" s="830"/>
      <c r="WXZ279" s="830"/>
      <c r="WYA279" s="830"/>
      <c r="WYB279" s="830"/>
      <c r="WYC279" s="830"/>
      <c r="WYD279" s="830"/>
      <c r="WYE279" s="830"/>
      <c r="WYF279" s="830"/>
      <c r="WYG279" s="830"/>
      <c r="WYH279" s="830"/>
      <c r="WYI279" s="830"/>
      <c r="WYJ279" s="830"/>
      <c r="WYK279" s="830"/>
      <c r="WYL279" s="830"/>
      <c r="WYM279" s="830"/>
      <c r="WYN279" s="830"/>
      <c r="WYO279" s="830"/>
      <c r="WYP279" s="830"/>
      <c r="WYQ279" s="830"/>
      <c r="WYR279" s="830"/>
      <c r="WYS279" s="830"/>
      <c r="WYT279" s="830"/>
      <c r="WYU279" s="830"/>
      <c r="WYV279" s="830"/>
      <c r="WYW279" s="830"/>
      <c r="WYX279" s="830"/>
      <c r="WYY279" s="830"/>
      <c r="WYZ279" s="830"/>
      <c r="WZA279" s="830"/>
      <c r="WZB279" s="830"/>
      <c r="WZC279" s="830"/>
      <c r="WZD279" s="830"/>
      <c r="WZE279" s="830"/>
      <c r="WZF279" s="830"/>
      <c r="WZG279" s="830"/>
      <c r="WZH279" s="830"/>
      <c r="WZI279" s="830"/>
      <c r="WZJ279" s="830"/>
      <c r="WZK279" s="830"/>
      <c r="WZL279" s="830"/>
      <c r="WZM279" s="830"/>
      <c r="WZN279" s="830"/>
      <c r="WZO279" s="830"/>
      <c r="WZP279" s="830"/>
      <c r="WZQ279" s="830"/>
      <c r="WZR279" s="830"/>
      <c r="WZS279" s="830"/>
      <c r="WZT279" s="830"/>
      <c r="WZU279" s="830"/>
      <c r="WZV279" s="830"/>
      <c r="WZW279" s="830"/>
      <c r="WZX279" s="830"/>
      <c r="WZY279" s="830"/>
      <c r="WZZ279" s="830"/>
      <c r="XAA279" s="830"/>
      <c r="XAB279" s="830"/>
      <c r="XAC279" s="830"/>
      <c r="XAD279" s="830"/>
      <c r="XAE279" s="830"/>
      <c r="XAF279" s="830"/>
      <c r="XAG279" s="830"/>
      <c r="XAH279" s="830"/>
      <c r="XAI279" s="830"/>
      <c r="XAJ279" s="830"/>
      <c r="XAK279" s="830"/>
      <c r="XAL279" s="830"/>
      <c r="XAM279" s="830"/>
      <c r="XAN279" s="830"/>
      <c r="XAO279" s="830"/>
      <c r="XAP279" s="830"/>
      <c r="XAQ279" s="830"/>
      <c r="XAR279" s="830"/>
      <c r="XAS279" s="830"/>
      <c r="XAT279" s="830"/>
      <c r="XAU279" s="830"/>
      <c r="XAV279" s="830"/>
      <c r="XAW279" s="830"/>
      <c r="XAX279" s="830"/>
      <c r="XAY279" s="830"/>
      <c r="XAZ279" s="830"/>
      <c r="XBA279" s="830"/>
      <c r="XBB279" s="830"/>
      <c r="XBC279" s="830"/>
      <c r="XBD279" s="830"/>
      <c r="XBE279" s="830"/>
      <c r="XBF279" s="830"/>
      <c r="XBG279" s="830"/>
      <c r="XBH279" s="830"/>
      <c r="XBI279" s="830"/>
      <c r="XBJ279" s="830"/>
      <c r="XBK279" s="830"/>
      <c r="XBL279" s="830"/>
      <c r="XBM279" s="830"/>
      <c r="XBN279" s="830"/>
      <c r="XBO279" s="830"/>
      <c r="XBP279" s="830"/>
      <c r="XBQ279" s="830"/>
      <c r="XBR279" s="830"/>
      <c r="XBS279" s="830"/>
      <c r="XBT279" s="830"/>
      <c r="XBU279" s="830"/>
      <c r="XBV279" s="830"/>
      <c r="XBW279" s="830"/>
      <c r="XBX279" s="830"/>
      <c r="XBY279" s="830"/>
      <c r="XBZ279" s="830"/>
      <c r="XCA279" s="830"/>
      <c r="XCB279" s="830"/>
      <c r="XCC279" s="830"/>
      <c r="XCD279" s="830"/>
      <c r="XCE279" s="830"/>
      <c r="XCF279" s="830"/>
      <c r="XCG279" s="830"/>
      <c r="XCH279" s="830"/>
      <c r="XCI279" s="830"/>
      <c r="XCJ279" s="830"/>
      <c r="XCK279" s="830"/>
      <c r="XCL279" s="830"/>
      <c r="XCM279" s="830"/>
      <c r="XCN279" s="830"/>
      <c r="XCO279" s="830"/>
      <c r="XCP279" s="830"/>
      <c r="XCQ279" s="830"/>
      <c r="XCR279" s="830"/>
      <c r="XCS279" s="830"/>
      <c r="XCT279" s="830"/>
      <c r="XCU279" s="830"/>
      <c r="XCV279" s="830"/>
      <c r="XCW279" s="830"/>
      <c r="XCX279" s="830"/>
      <c r="XCY279" s="830"/>
      <c r="XCZ279" s="830"/>
      <c r="XDA279" s="830"/>
      <c r="XDB279" s="830"/>
      <c r="XDC279" s="830"/>
      <c r="XDD279" s="830"/>
      <c r="XDE279" s="830"/>
      <c r="XDF279" s="830"/>
      <c r="XDG279" s="830"/>
      <c r="XDH279" s="830"/>
      <c r="XDI279" s="830"/>
      <c r="XDJ279" s="830"/>
      <c r="XDK279" s="830"/>
      <c r="XDL279" s="830"/>
      <c r="XDM279" s="830"/>
      <c r="XDN279" s="830"/>
      <c r="XDO279" s="830"/>
      <c r="XDP279" s="830"/>
      <c r="XDQ279" s="830"/>
      <c r="XDR279" s="830"/>
      <c r="XDS279" s="830"/>
      <c r="XDT279" s="830"/>
      <c r="XDU279" s="830"/>
      <c r="XDV279" s="830"/>
      <c r="XDW279" s="830"/>
      <c r="XDX279" s="830"/>
      <c r="XDY279" s="830"/>
      <c r="XDZ279" s="830"/>
      <c r="XEA279" s="830"/>
      <c r="XEB279" s="830"/>
      <c r="XEC279" s="830"/>
      <c r="XED279" s="830"/>
      <c r="XEE279" s="830"/>
      <c r="XEF279" s="830"/>
      <c r="XEG279" s="830"/>
      <c r="XEH279" s="830"/>
      <c r="XEI279" s="830"/>
      <c r="XEJ279" s="830"/>
      <c r="XEK279" s="830"/>
      <c r="XEL279" s="830"/>
      <c r="XEM279" s="830"/>
      <c r="XEN279" s="830"/>
      <c r="XEO279" s="830"/>
      <c r="XEP279" s="830"/>
      <c r="XEQ279" s="830"/>
      <c r="XER279" s="830"/>
      <c r="XES279" s="830"/>
      <c r="XET279" s="830"/>
      <c r="XEU279" s="830"/>
      <c r="XEV279" s="830"/>
      <c r="XEW279" s="830"/>
      <c r="XEX279" s="830"/>
      <c r="XEY279" s="830"/>
      <c r="XEZ279" s="830"/>
      <c r="XFA279" s="830"/>
      <c r="XFB279" s="830"/>
      <c r="XFC279" s="830"/>
      <c r="XFD279" s="830"/>
    </row>
    <row r="280" spans="1:19 16149:16384" ht="13.8">
      <c r="A280" t="s">
        <v>1227</v>
      </c>
      <c r="B280" s="745" t="s">
        <v>5228</v>
      </c>
      <c r="C280" s="767"/>
      <c r="D280" s="782" t="s">
        <v>5229</v>
      </c>
      <c r="E280" s="745" t="s">
        <v>4895</v>
      </c>
      <c r="F280" s="757">
        <v>35</v>
      </c>
      <c r="G280" s="746"/>
      <c r="H280" s="752">
        <v>0</v>
      </c>
      <c r="I280" s="859" t="s">
        <v>4908</v>
      </c>
      <c r="J280" s="745">
        <v>6004</v>
      </c>
      <c r="K280" s="827">
        <v>6004</v>
      </c>
      <c r="L280" s="827"/>
      <c r="WWC280" s="830"/>
      <c r="WWD280" s="830"/>
      <c r="WWE280" s="830"/>
      <c r="WWF280" s="830"/>
      <c r="WWG280" s="830"/>
      <c r="WWH280" s="830"/>
      <c r="WWI280" s="830"/>
      <c r="WWJ280" s="830"/>
      <c r="WWK280" s="830"/>
      <c r="WWL280" s="830"/>
      <c r="WWM280" s="830"/>
      <c r="WWN280" s="830"/>
      <c r="WWO280" s="830"/>
      <c r="WWP280" s="830"/>
      <c r="WWQ280" s="830"/>
      <c r="WWR280" s="830"/>
      <c r="WWS280" s="830"/>
      <c r="WWT280" s="830"/>
      <c r="WWU280" s="830"/>
      <c r="WWV280" s="830"/>
      <c r="WWW280" s="830"/>
      <c r="WWX280" s="830"/>
      <c r="WWY280" s="830"/>
      <c r="WWZ280" s="830"/>
      <c r="WXA280" s="830"/>
      <c r="WXB280" s="830"/>
      <c r="WXC280" s="830"/>
      <c r="WXD280" s="830"/>
      <c r="WXE280" s="830"/>
      <c r="WXF280" s="830"/>
      <c r="WXG280" s="830"/>
      <c r="WXH280" s="830"/>
      <c r="WXI280" s="830"/>
      <c r="WXJ280" s="830"/>
      <c r="WXK280" s="830"/>
      <c r="WXL280" s="830"/>
      <c r="WXM280" s="830"/>
      <c r="WXN280" s="830"/>
      <c r="WXO280" s="830"/>
      <c r="WXP280" s="830"/>
      <c r="WXQ280" s="830"/>
      <c r="WXR280" s="830"/>
      <c r="WXS280" s="830"/>
      <c r="WXT280" s="830"/>
      <c r="WXU280" s="830"/>
      <c r="WXV280" s="830"/>
      <c r="WXW280" s="830"/>
      <c r="WXX280" s="830"/>
      <c r="WXY280" s="830"/>
      <c r="WXZ280" s="830"/>
      <c r="WYA280" s="830"/>
      <c r="WYB280" s="830"/>
      <c r="WYC280" s="830"/>
      <c r="WYD280" s="830"/>
      <c r="WYE280" s="830"/>
      <c r="WYF280" s="830"/>
      <c r="WYG280" s="830"/>
      <c r="WYH280" s="830"/>
      <c r="WYI280" s="830"/>
      <c r="WYJ280" s="830"/>
      <c r="WYK280" s="830"/>
      <c r="WYL280" s="830"/>
      <c r="WYM280" s="830"/>
      <c r="WYN280" s="830"/>
      <c r="WYO280" s="830"/>
      <c r="WYP280" s="830"/>
      <c r="WYQ280" s="830"/>
      <c r="WYR280" s="830"/>
      <c r="WYS280" s="830"/>
      <c r="WYT280" s="830"/>
      <c r="WYU280" s="830"/>
      <c r="WYV280" s="830"/>
      <c r="WYW280" s="830"/>
      <c r="WYX280" s="830"/>
      <c r="WYY280" s="830"/>
      <c r="WYZ280" s="830"/>
      <c r="WZA280" s="830"/>
      <c r="WZB280" s="830"/>
      <c r="WZC280" s="830"/>
      <c r="WZD280" s="830"/>
      <c r="WZE280" s="830"/>
      <c r="WZF280" s="830"/>
      <c r="WZG280" s="830"/>
      <c r="WZH280" s="830"/>
      <c r="WZI280" s="830"/>
      <c r="WZJ280" s="830"/>
      <c r="WZK280" s="830"/>
      <c r="WZL280" s="830"/>
      <c r="WZM280" s="830"/>
      <c r="WZN280" s="830"/>
      <c r="WZO280" s="830"/>
      <c r="WZP280" s="830"/>
      <c r="WZQ280" s="830"/>
      <c r="WZR280" s="830"/>
      <c r="WZS280" s="830"/>
      <c r="WZT280" s="830"/>
      <c r="WZU280" s="830"/>
      <c r="WZV280" s="830"/>
      <c r="WZW280" s="830"/>
      <c r="WZX280" s="830"/>
      <c r="WZY280" s="830"/>
      <c r="WZZ280" s="830"/>
      <c r="XAA280" s="830"/>
      <c r="XAB280" s="830"/>
      <c r="XAC280" s="830"/>
      <c r="XAD280" s="830"/>
      <c r="XAE280" s="830"/>
      <c r="XAF280" s="830"/>
      <c r="XAG280" s="830"/>
      <c r="XAH280" s="830"/>
      <c r="XAI280" s="830"/>
      <c r="XAJ280" s="830"/>
      <c r="XAK280" s="830"/>
      <c r="XAL280" s="830"/>
      <c r="XAM280" s="830"/>
      <c r="XAN280" s="830"/>
      <c r="XAO280" s="830"/>
      <c r="XAP280" s="830"/>
      <c r="XAQ280" s="830"/>
      <c r="XAR280" s="830"/>
      <c r="XAS280" s="830"/>
      <c r="XAT280" s="830"/>
      <c r="XAU280" s="830"/>
      <c r="XAV280" s="830"/>
      <c r="XAW280" s="830"/>
      <c r="XAX280" s="830"/>
      <c r="XAY280" s="830"/>
      <c r="XAZ280" s="830"/>
      <c r="XBA280" s="830"/>
      <c r="XBB280" s="830"/>
      <c r="XBC280" s="830"/>
      <c r="XBD280" s="830"/>
      <c r="XBE280" s="830"/>
      <c r="XBF280" s="830"/>
      <c r="XBG280" s="830"/>
      <c r="XBH280" s="830"/>
      <c r="XBI280" s="830"/>
      <c r="XBJ280" s="830"/>
      <c r="XBK280" s="830"/>
      <c r="XBL280" s="830"/>
      <c r="XBM280" s="830"/>
      <c r="XBN280" s="830"/>
      <c r="XBO280" s="830"/>
      <c r="XBP280" s="830"/>
      <c r="XBQ280" s="830"/>
      <c r="XBR280" s="830"/>
      <c r="XBS280" s="830"/>
      <c r="XBT280" s="830"/>
      <c r="XBU280" s="830"/>
      <c r="XBV280" s="830"/>
      <c r="XBW280" s="830"/>
      <c r="XBX280" s="830"/>
      <c r="XBY280" s="830"/>
      <c r="XBZ280" s="830"/>
      <c r="XCA280" s="830"/>
      <c r="XCB280" s="830"/>
      <c r="XCC280" s="830"/>
      <c r="XCD280" s="830"/>
      <c r="XCE280" s="830"/>
      <c r="XCF280" s="830"/>
      <c r="XCG280" s="830"/>
      <c r="XCH280" s="830"/>
      <c r="XCI280" s="830"/>
      <c r="XCJ280" s="830"/>
      <c r="XCK280" s="830"/>
      <c r="XCL280" s="830"/>
      <c r="XCM280" s="830"/>
      <c r="XCN280" s="830"/>
      <c r="XCO280" s="830"/>
      <c r="XCP280" s="830"/>
      <c r="XCQ280" s="830"/>
      <c r="XCR280" s="830"/>
      <c r="XCS280" s="830"/>
      <c r="XCT280" s="830"/>
      <c r="XCU280" s="830"/>
      <c r="XCV280" s="830"/>
      <c r="XCW280" s="830"/>
      <c r="XCX280" s="830"/>
      <c r="XCY280" s="830"/>
      <c r="XCZ280" s="830"/>
      <c r="XDA280" s="830"/>
      <c r="XDB280" s="830"/>
      <c r="XDC280" s="830"/>
      <c r="XDD280" s="830"/>
      <c r="XDE280" s="830"/>
      <c r="XDF280" s="830"/>
      <c r="XDG280" s="830"/>
      <c r="XDH280" s="830"/>
      <c r="XDI280" s="830"/>
      <c r="XDJ280" s="830"/>
      <c r="XDK280" s="830"/>
      <c r="XDL280" s="830"/>
      <c r="XDM280" s="830"/>
      <c r="XDN280" s="830"/>
      <c r="XDO280" s="830"/>
      <c r="XDP280" s="830"/>
      <c r="XDQ280" s="830"/>
      <c r="XDR280" s="830"/>
      <c r="XDS280" s="830"/>
      <c r="XDT280" s="830"/>
      <c r="XDU280" s="830"/>
      <c r="XDV280" s="830"/>
      <c r="XDW280" s="830"/>
      <c r="XDX280" s="830"/>
      <c r="XDY280" s="830"/>
      <c r="XDZ280" s="830"/>
      <c r="XEA280" s="830"/>
      <c r="XEB280" s="830"/>
      <c r="XEC280" s="830"/>
      <c r="XED280" s="830"/>
      <c r="XEE280" s="830"/>
      <c r="XEF280" s="830"/>
      <c r="XEG280" s="830"/>
      <c r="XEH280" s="830"/>
      <c r="XEI280" s="830"/>
      <c r="XEJ280" s="830"/>
      <c r="XEK280" s="830"/>
      <c r="XEL280" s="830"/>
      <c r="XEM280" s="830"/>
      <c r="XEN280" s="830"/>
      <c r="XEO280" s="830"/>
      <c r="XEP280" s="830"/>
      <c r="XEQ280" s="830"/>
      <c r="XER280" s="830"/>
      <c r="XES280" s="830"/>
      <c r="XET280" s="830"/>
      <c r="XEU280" s="830"/>
      <c r="XEV280" s="830"/>
      <c r="XEW280" s="830"/>
      <c r="XEX280" s="830"/>
      <c r="XEY280" s="830"/>
      <c r="XEZ280" s="830"/>
      <c r="XFA280" s="830"/>
      <c r="XFB280" s="830"/>
      <c r="XFC280" s="830"/>
      <c r="XFD280" s="830"/>
    </row>
    <row r="281" spans="1:19 16149:16384" ht="13.8">
      <c r="A281" t="s">
        <v>1227</v>
      </c>
      <c r="B281" s="745" t="s">
        <v>5230</v>
      </c>
      <c r="C281" s="767">
        <v>140172</v>
      </c>
      <c r="D281" s="782" t="s">
        <v>5231</v>
      </c>
      <c r="E281" s="745" t="s">
        <v>1429</v>
      </c>
      <c r="F281" s="757">
        <v>11</v>
      </c>
      <c r="G281" s="746"/>
      <c r="H281" s="752">
        <v>0</v>
      </c>
      <c r="I281" s="859" t="s">
        <v>4872</v>
      </c>
      <c r="J281" s="754">
        <v>140172</v>
      </c>
      <c r="K281" s="860">
        <v>140172</v>
      </c>
      <c r="L281" s="827"/>
      <c r="WWC281" s="830"/>
      <c r="WWD281" s="830"/>
      <c r="WWE281" s="830"/>
      <c r="WWF281" s="830"/>
      <c r="WWG281" s="830"/>
      <c r="WWH281" s="830"/>
      <c r="WWI281" s="830"/>
      <c r="WWJ281" s="830"/>
      <c r="WWK281" s="830"/>
      <c r="WWL281" s="830"/>
      <c r="WWM281" s="830"/>
      <c r="WWN281" s="830"/>
      <c r="WWO281" s="830"/>
      <c r="WWP281" s="830"/>
      <c r="WWQ281" s="830"/>
      <c r="WWR281" s="830"/>
      <c r="WWS281" s="830"/>
      <c r="WWT281" s="830"/>
      <c r="WWU281" s="830"/>
      <c r="WWV281" s="830"/>
      <c r="WWW281" s="830"/>
      <c r="WWX281" s="830"/>
      <c r="WWY281" s="830"/>
      <c r="WWZ281" s="830"/>
      <c r="WXA281" s="830"/>
      <c r="WXB281" s="830"/>
      <c r="WXC281" s="830"/>
      <c r="WXD281" s="830"/>
      <c r="WXE281" s="830"/>
      <c r="WXF281" s="830"/>
      <c r="WXG281" s="830"/>
      <c r="WXH281" s="830"/>
      <c r="WXI281" s="830"/>
      <c r="WXJ281" s="830"/>
      <c r="WXK281" s="830"/>
      <c r="WXL281" s="830"/>
      <c r="WXM281" s="830"/>
      <c r="WXN281" s="830"/>
      <c r="WXO281" s="830"/>
      <c r="WXP281" s="830"/>
      <c r="WXQ281" s="830"/>
      <c r="WXR281" s="830"/>
      <c r="WXS281" s="830"/>
      <c r="WXT281" s="830"/>
      <c r="WXU281" s="830"/>
      <c r="WXV281" s="830"/>
      <c r="WXW281" s="830"/>
      <c r="WXX281" s="830"/>
      <c r="WXY281" s="830"/>
      <c r="WXZ281" s="830"/>
      <c r="WYA281" s="830"/>
      <c r="WYB281" s="830"/>
      <c r="WYC281" s="830"/>
      <c r="WYD281" s="830"/>
      <c r="WYE281" s="830"/>
      <c r="WYF281" s="830"/>
      <c r="WYG281" s="830"/>
      <c r="WYH281" s="830"/>
      <c r="WYI281" s="830"/>
      <c r="WYJ281" s="830"/>
      <c r="WYK281" s="830"/>
      <c r="WYL281" s="830"/>
      <c r="WYM281" s="830"/>
      <c r="WYN281" s="830"/>
      <c r="WYO281" s="830"/>
      <c r="WYP281" s="830"/>
      <c r="WYQ281" s="830"/>
      <c r="WYR281" s="830"/>
      <c r="WYS281" s="830"/>
      <c r="WYT281" s="830"/>
      <c r="WYU281" s="830"/>
      <c r="WYV281" s="830"/>
      <c r="WYW281" s="830"/>
      <c r="WYX281" s="830"/>
      <c r="WYY281" s="830"/>
      <c r="WYZ281" s="830"/>
      <c r="WZA281" s="830"/>
      <c r="WZB281" s="830"/>
      <c r="WZC281" s="830"/>
      <c r="WZD281" s="830"/>
      <c r="WZE281" s="830"/>
      <c r="WZF281" s="830"/>
      <c r="WZG281" s="830"/>
      <c r="WZH281" s="830"/>
      <c r="WZI281" s="830"/>
      <c r="WZJ281" s="830"/>
      <c r="WZK281" s="830"/>
      <c r="WZL281" s="830"/>
      <c r="WZM281" s="830"/>
      <c r="WZN281" s="830"/>
      <c r="WZO281" s="830"/>
      <c r="WZP281" s="830"/>
      <c r="WZQ281" s="830"/>
      <c r="WZR281" s="830"/>
      <c r="WZS281" s="830"/>
      <c r="WZT281" s="830"/>
      <c r="WZU281" s="830"/>
      <c r="WZV281" s="830"/>
      <c r="WZW281" s="830"/>
      <c r="WZX281" s="830"/>
      <c r="WZY281" s="830"/>
      <c r="WZZ281" s="830"/>
      <c r="XAA281" s="830"/>
      <c r="XAB281" s="830"/>
      <c r="XAC281" s="830"/>
      <c r="XAD281" s="830"/>
      <c r="XAE281" s="830"/>
      <c r="XAF281" s="830"/>
      <c r="XAG281" s="830"/>
      <c r="XAH281" s="830"/>
      <c r="XAI281" s="830"/>
      <c r="XAJ281" s="830"/>
      <c r="XAK281" s="830"/>
      <c r="XAL281" s="830"/>
      <c r="XAM281" s="830"/>
      <c r="XAN281" s="830"/>
      <c r="XAO281" s="830"/>
      <c r="XAP281" s="830"/>
      <c r="XAQ281" s="830"/>
      <c r="XAR281" s="830"/>
      <c r="XAS281" s="830"/>
      <c r="XAT281" s="830"/>
      <c r="XAU281" s="830"/>
      <c r="XAV281" s="830"/>
      <c r="XAW281" s="830"/>
      <c r="XAX281" s="830"/>
      <c r="XAY281" s="830"/>
      <c r="XAZ281" s="830"/>
      <c r="XBA281" s="830"/>
      <c r="XBB281" s="830"/>
      <c r="XBC281" s="830"/>
      <c r="XBD281" s="830"/>
      <c r="XBE281" s="830"/>
      <c r="XBF281" s="830"/>
      <c r="XBG281" s="830"/>
      <c r="XBH281" s="830"/>
      <c r="XBI281" s="830"/>
      <c r="XBJ281" s="830"/>
      <c r="XBK281" s="830"/>
      <c r="XBL281" s="830"/>
      <c r="XBM281" s="830"/>
      <c r="XBN281" s="830"/>
      <c r="XBO281" s="830"/>
      <c r="XBP281" s="830"/>
      <c r="XBQ281" s="830"/>
      <c r="XBR281" s="830"/>
      <c r="XBS281" s="830"/>
      <c r="XBT281" s="830"/>
      <c r="XBU281" s="830"/>
      <c r="XBV281" s="830"/>
      <c r="XBW281" s="830"/>
      <c r="XBX281" s="830"/>
      <c r="XBY281" s="830"/>
      <c r="XBZ281" s="830"/>
      <c r="XCA281" s="830"/>
      <c r="XCB281" s="830"/>
      <c r="XCC281" s="830"/>
      <c r="XCD281" s="830"/>
      <c r="XCE281" s="830"/>
      <c r="XCF281" s="830"/>
      <c r="XCG281" s="830"/>
      <c r="XCH281" s="830"/>
      <c r="XCI281" s="830"/>
      <c r="XCJ281" s="830"/>
      <c r="XCK281" s="830"/>
      <c r="XCL281" s="830"/>
      <c r="XCM281" s="830"/>
      <c r="XCN281" s="830"/>
      <c r="XCO281" s="830"/>
      <c r="XCP281" s="830"/>
      <c r="XCQ281" s="830"/>
      <c r="XCR281" s="830"/>
      <c r="XCS281" s="830"/>
      <c r="XCT281" s="830"/>
      <c r="XCU281" s="830"/>
      <c r="XCV281" s="830"/>
      <c r="XCW281" s="830"/>
      <c r="XCX281" s="830"/>
      <c r="XCY281" s="830"/>
      <c r="XCZ281" s="830"/>
      <c r="XDA281" s="830"/>
      <c r="XDB281" s="830"/>
      <c r="XDC281" s="830"/>
      <c r="XDD281" s="830"/>
      <c r="XDE281" s="830"/>
      <c r="XDF281" s="830"/>
      <c r="XDG281" s="830"/>
      <c r="XDH281" s="830"/>
      <c r="XDI281" s="830"/>
      <c r="XDJ281" s="830"/>
      <c r="XDK281" s="830"/>
      <c r="XDL281" s="830"/>
      <c r="XDM281" s="830"/>
      <c r="XDN281" s="830"/>
      <c r="XDO281" s="830"/>
      <c r="XDP281" s="830"/>
      <c r="XDQ281" s="830"/>
      <c r="XDR281" s="830"/>
      <c r="XDS281" s="830"/>
      <c r="XDT281" s="830"/>
      <c r="XDU281" s="830"/>
      <c r="XDV281" s="830"/>
      <c r="XDW281" s="830"/>
      <c r="XDX281" s="830"/>
      <c r="XDY281" s="830"/>
      <c r="XDZ281" s="830"/>
      <c r="XEA281" s="830"/>
      <c r="XEB281" s="830"/>
      <c r="XEC281" s="830"/>
      <c r="XED281" s="830"/>
      <c r="XEE281" s="830"/>
      <c r="XEF281" s="830"/>
      <c r="XEG281" s="830"/>
      <c r="XEH281" s="830"/>
      <c r="XEI281" s="830"/>
      <c r="XEJ281" s="830"/>
      <c r="XEK281" s="830"/>
      <c r="XEL281" s="830"/>
      <c r="XEM281" s="830"/>
      <c r="XEN281" s="830"/>
      <c r="XEO281" s="830"/>
      <c r="XEP281" s="830"/>
      <c r="XEQ281" s="830"/>
      <c r="XER281" s="830"/>
      <c r="XES281" s="830"/>
      <c r="XET281" s="830"/>
      <c r="XEU281" s="830"/>
      <c r="XEV281" s="830"/>
      <c r="XEW281" s="830"/>
      <c r="XEX281" s="830"/>
      <c r="XEY281" s="830"/>
      <c r="XEZ281" s="830"/>
      <c r="XFA281" s="830"/>
      <c r="XFB281" s="830"/>
      <c r="XFC281" s="830"/>
      <c r="XFD281" s="830"/>
    </row>
    <row r="282" spans="1:19 16149:16384" ht="13.8">
      <c r="A282" t="s">
        <v>1227</v>
      </c>
      <c r="B282" s="745" t="s">
        <v>5232</v>
      </c>
      <c r="C282" s="767"/>
      <c r="D282" s="782" t="s">
        <v>5233</v>
      </c>
      <c r="E282" s="745" t="s">
        <v>4895</v>
      </c>
      <c r="F282" s="757">
        <v>15</v>
      </c>
      <c r="G282" s="746"/>
      <c r="H282" s="752">
        <v>0</v>
      </c>
      <c r="I282" s="859" t="s">
        <v>4908</v>
      </c>
      <c r="J282" s="745">
        <v>6008</v>
      </c>
      <c r="K282" s="827">
        <v>6008</v>
      </c>
      <c r="L282" s="827"/>
      <c r="WWC282" s="830"/>
      <c r="WWD282" s="830"/>
      <c r="WWE282" s="830"/>
      <c r="WWF282" s="830"/>
      <c r="WWG282" s="830"/>
      <c r="WWH282" s="830"/>
      <c r="WWI282" s="830"/>
      <c r="WWJ282" s="830"/>
      <c r="WWK282" s="830"/>
      <c r="WWL282" s="830"/>
      <c r="WWM282" s="830"/>
      <c r="WWN282" s="830"/>
      <c r="WWO282" s="830"/>
      <c r="WWP282" s="830"/>
      <c r="WWQ282" s="830"/>
      <c r="WWR282" s="830"/>
      <c r="WWS282" s="830"/>
      <c r="WWT282" s="830"/>
      <c r="WWU282" s="830"/>
      <c r="WWV282" s="830"/>
      <c r="WWW282" s="830"/>
      <c r="WWX282" s="830"/>
      <c r="WWY282" s="830"/>
      <c r="WWZ282" s="830"/>
      <c r="WXA282" s="830"/>
      <c r="WXB282" s="830"/>
      <c r="WXC282" s="830"/>
      <c r="WXD282" s="830"/>
      <c r="WXE282" s="830"/>
      <c r="WXF282" s="830"/>
      <c r="WXG282" s="830"/>
      <c r="WXH282" s="830"/>
      <c r="WXI282" s="830"/>
      <c r="WXJ282" s="830"/>
      <c r="WXK282" s="830"/>
      <c r="WXL282" s="830"/>
      <c r="WXM282" s="830"/>
      <c r="WXN282" s="830"/>
      <c r="WXO282" s="830"/>
      <c r="WXP282" s="830"/>
      <c r="WXQ282" s="830"/>
      <c r="WXR282" s="830"/>
      <c r="WXS282" s="830"/>
      <c r="WXT282" s="830"/>
      <c r="WXU282" s="830"/>
      <c r="WXV282" s="830"/>
      <c r="WXW282" s="830"/>
      <c r="WXX282" s="830"/>
      <c r="WXY282" s="830"/>
      <c r="WXZ282" s="830"/>
      <c r="WYA282" s="830"/>
      <c r="WYB282" s="830"/>
      <c r="WYC282" s="830"/>
      <c r="WYD282" s="830"/>
      <c r="WYE282" s="830"/>
      <c r="WYF282" s="830"/>
      <c r="WYG282" s="830"/>
      <c r="WYH282" s="830"/>
      <c r="WYI282" s="830"/>
      <c r="WYJ282" s="830"/>
      <c r="WYK282" s="830"/>
      <c r="WYL282" s="830"/>
      <c r="WYM282" s="830"/>
      <c r="WYN282" s="830"/>
      <c r="WYO282" s="830"/>
      <c r="WYP282" s="830"/>
      <c r="WYQ282" s="830"/>
      <c r="WYR282" s="830"/>
      <c r="WYS282" s="830"/>
      <c r="WYT282" s="830"/>
      <c r="WYU282" s="830"/>
      <c r="WYV282" s="830"/>
      <c r="WYW282" s="830"/>
      <c r="WYX282" s="830"/>
      <c r="WYY282" s="830"/>
      <c r="WYZ282" s="830"/>
      <c r="WZA282" s="830"/>
      <c r="WZB282" s="830"/>
      <c r="WZC282" s="830"/>
      <c r="WZD282" s="830"/>
      <c r="WZE282" s="830"/>
      <c r="WZF282" s="830"/>
      <c r="WZG282" s="830"/>
      <c r="WZH282" s="830"/>
      <c r="WZI282" s="830"/>
      <c r="WZJ282" s="830"/>
      <c r="WZK282" s="830"/>
      <c r="WZL282" s="830"/>
      <c r="WZM282" s="830"/>
      <c r="WZN282" s="830"/>
      <c r="WZO282" s="830"/>
      <c r="WZP282" s="830"/>
      <c r="WZQ282" s="830"/>
      <c r="WZR282" s="830"/>
      <c r="WZS282" s="830"/>
      <c r="WZT282" s="830"/>
      <c r="WZU282" s="830"/>
      <c r="WZV282" s="830"/>
      <c r="WZW282" s="830"/>
      <c r="WZX282" s="830"/>
      <c r="WZY282" s="830"/>
      <c r="WZZ282" s="830"/>
      <c r="XAA282" s="830"/>
      <c r="XAB282" s="830"/>
      <c r="XAC282" s="830"/>
      <c r="XAD282" s="830"/>
      <c r="XAE282" s="830"/>
      <c r="XAF282" s="830"/>
      <c r="XAG282" s="830"/>
      <c r="XAH282" s="830"/>
      <c r="XAI282" s="830"/>
      <c r="XAJ282" s="830"/>
      <c r="XAK282" s="830"/>
      <c r="XAL282" s="830"/>
      <c r="XAM282" s="830"/>
      <c r="XAN282" s="830"/>
      <c r="XAO282" s="830"/>
      <c r="XAP282" s="830"/>
      <c r="XAQ282" s="830"/>
      <c r="XAR282" s="830"/>
      <c r="XAS282" s="830"/>
      <c r="XAT282" s="830"/>
      <c r="XAU282" s="830"/>
      <c r="XAV282" s="830"/>
      <c r="XAW282" s="830"/>
      <c r="XAX282" s="830"/>
      <c r="XAY282" s="830"/>
      <c r="XAZ282" s="830"/>
      <c r="XBA282" s="830"/>
      <c r="XBB282" s="830"/>
      <c r="XBC282" s="830"/>
      <c r="XBD282" s="830"/>
      <c r="XBE282" s="830"/>
      <c r="XBF282" s="830"/>
      <c r="XBG282" s="830"/>
      <c r="XBH282" s="830"/>
      <c r="XBI282" s="830"/>
      <c r="XBJ282" s="830"/>
      <c r="XBK282" s="830"/>
      <c r="XBL282" s="830"/>
      <c r="XBM282" s="830"/>
      <c r="XBN282" s="830"/>
      <c r="XBO282" s="830"/>
      <c r="XBP282" s="830"/>
      <c r="XBQ282" s="830"/>
      <c r="XBR282" s="830"/>
      <c r="XBS282" s="830"/>
      <c r="XBT282" s="830"/>
      <c r="XBU282" s="830"/>
      <c r="XBV282" s="830"/>
      <c r="XBW282" s="830"/>
      <c r="XBX282" s="830"/>
      <c r="XBY282" s="830"/>
      <c r="XBZ282" s="830"/>
      <c r="XCA282" s="830"/>
      <c r="XCB282" s="830"/>
      <c r="XCC282" s="830"/>
      <c r="XCD282" s="830"/>
      <c r="XCE282" s="830"/>
      <c r="XCF282" s="830"/>
      <c r="XCG282" s="830"/>
      <c r="XCH282" s="830"/>
      <c r="XCI282" s="830"/>
      <c r="XCJ282" s="830"/>
      <c r="XCK282" s="830"/>
      <c r="XCL282" s="830"/>
      <c r="XCM282" s="830"/>
      <c r="XCN282" s="830"/>
      <c r="XCO282" s="830"/>
      <c r="XCP282" s="830"/>
      <c r="XCQ282" s="830"/>
      <c r="XCR282" s="830"/>
      <c r="XCS282" s="830"/>
      <c r="XCT282" s="830"/>
      <c r="XCU282" s="830"/>
      <c r="XCV282" s="830"/>
      <c r="XCW282" s="830"/>
      <c r="XCX282" s="830"/>
      <c r="XCY282" s="830"/>
      <c r="XCZ282" s="830"/>
      <c r="XDA282" s="830"/>
      <c r="XDB282" s="830"/>
      <c r="XDC282" s="830"/>
      <c r="XDD282" s="830"/>
      <c r="XDE282" s="830"/>
      <c r="XDF282" s="830"/>
      <c r="XDG282" s="830"/>
      <c r="XDH282" s="830"/>
      <c r="XDI282" s="830"/>
      <c r="XDJ282" s="830"/>
      <c r="XDK282" s="830"/>
      <c r="XDL282" s="830"/>
      <c r="XDM282" s="830"/>
      <c r="XDN282" s="830"/>
      <c r="XDO282" s="830"/>
      <c r="XDP282" s="830"/>
      <c r="XDQ282" s="830"/>
      <c r="XDR282" s="830"/>
      <c r="XDS282" s="830"/>
      <c r="XDT282" s="830"/>
      <c r="XDU282" s="830"/>
      <c r="XDV282" s="830"/>
      <c r="XDW282" s="830"/>
      <c r="XDX282" s="830"/>
      <c r="XDY282" s="830"/>
      <c r="XDZ282" s="830"/>
      <c r="XEA282" s="830"/>
      <c r="XEB282" s="830"/>
      <c r="XEC282" s="830"/>
      <c r="XED282" s="830"/>
      <c r="XEE282" s="830"/>
      <c r="XEF282" s="830"/>
      <c r="XEG282" s="830"/>
      <c r="XEH282" s="830"/>
      <c r="XEI282" s="830"/>
      <c r="XEJ282" s="830"/>
      <c r="XEK282" s="830"/>
      <c r="XEL282" s="830"/>
      <c r="XEM282" s="830"/>
      <c r="XEN282" s="830"/>
      <c r="XEO282" s="830"/>
      <c r="XEP282" s="830"/>
      <c r="XEQ282" s="830"/>
      <c r="XER282" s="830"/>
      <c r="XES282" s="830"/>
      <c r="XET282" s="830"/>
      <c r="XEU282" s="830"/>
      <c r="XEV282" s="830"/>
      <c r="XEW282" s="830"/>
      <c r="XEX282" s="830"/>
      <c r="XEY282" s="830"/>
      <c r="XEZ282" s="830"/>
      <c r="XFA282" s="830"/>
      <c r="XFB282" s="830"/>
      <c r="XFC282" s="830"/>
      <c r="XFD282" s="830"/>
    </row>
    <row r="283" spans="1:19 16149:16384" ht="13.8">
      <c r="B283" s="863"/>
      <c r="C283" s="863"/>
      <c r="D283" s="864" t="s">
        <v>4887</v>
      </c>
      <c r="E283" s="863"/>
      <c r="F283" s="865"/>
      <c r="G283" s="746"/>
      <c r="H283" s="866">
        <v>0</v>
      </c>
      <c r="I283" s="867"/>
      <c r="J283" s="863"/>
      <c r="K283" s="868"/>
      <c r="L283" s="868"/>
      <c r="WWC283" s="830"/>
      <c r="WWD283" s="830"/>
      <c r="WWE283" s="830"/>
      <c r="WWF283" s="830"/>
      <c r="WWG283" s="830"/>
      <c r="WWH283" s="830"/>
      <c r="WWI283" s="830"/>
      <c r="WWJ283" s="830"/>
      <c r="WWK283" s="830"/>
      <c r="WWL283" s="830"/>
      <c r="WWM283" s="830"/>
      <c r="WWN283" s="830"/>
      <c r="WWO283" s="830"/>
      <c r="WWP283" s="830"/>
      <c r="WWQ283" s="830"/>
      <c r="WWR283" s="830"/>
      <c r="WWS283" s="830"/>
      <c r="WWT283" s="830"/>
      <c r="WWU283" s="830"/>
      <c r="WWV283" s="830"/>
      <c r="WWW283" s="830"/>
      <c r="WWX283" s="830"/>
      <c r="WWY283" s="830"/>
      <c r="WWZ283" s="830"/>
      <c r="WXA283" s="830"/>
      <c r="WXB283" s="830"/>
      <c r="WXC283" s="830"/>
      <c r="WXD283" s="830"/>
      <c r="WXE283" s="830"/>
      <c r="WXF283" s="830"/>
      <c r="WXG283" s="830"/>
      <c r="WXH283" s="830"/>
      <c r="WXI283" s="830"/>
      <c r="WXJ283" s="830"/>
      <c r="WXK283" s="830"/>
      <c r="WXL283" s="830"/>
      <c r="WXM283" s="830"/>
      <c r="WXN283" s="830"/>
      <c r="WXO283" s="830"/>
      <c r="WXP283" s="830"/>
      <c r="WXQ283" s="830"/>
      <c r="WXR283" s="830"/>
      <c r="WXS283" s="830"/>
      <c r="WXT283" s="830"/>
      <c r="WXU283" s="830"/>
      <c r="WXV283" s="830"/>
      <c r="WXW283" s="830"/>
      <c r="WXX283" s="830"/>
      <c r="WXY283" s="830"/>
      <c r="WXZ283" s="830"/>
      <c r="WYA283" s="830"/>
      <c r="WYB283" s="830"/>
      <c r="WYC283" s="830"/>
      <c r="WYD283" s="830"/>
      <c r="WYE283" s="830"/>
      <c r="WYF283" s="830"/>
      <c r="WYG283" s="830"/>
      <c r="WYH283" s="830"/>
      <c r="WYI283" s="830"/>
      <c r="WYJ283" s="830"/>
      <c r="WYK283" s="830"/>
      <c r="WYL283" s="830"/>
      <c r="WYM283" s="830"/>
      <c r="WYN283" s="830"/>
      <c r="WYO283" s="830"/>
      <c r="WYP283" s="830"/>
      <c r="WYQ283" s="830"/>
      <c r="WYR283" s="830"/>
      <c r="WYS283" s="830"/>
      <c r="WYT283" s="830"/>
      <c r="WYU283" s="830"/>
      <c r="WYV283" s="830"/>
      <c r="WYW283" s="830"/>
      <c r="WYX283" s="830"/>
      <c r="WYY283" s="830"/>
      <c r="WYZ283" s="830"/>
      <c r="WZA283" s="830"/>
      <c r="WZB283" s="830"/>
      <c r="WZC283" s="830"/>
      <c r="WZD283" s="830"/>
      <c r="WZE283" s="830"/>
      <c r="WZF283" s="830"/>
      <c r="WZG283" s="830"/>
      <c r="WZH283" s="830"/>
      <c r="WZI283" s="830"/>
      <c r="WZJ283" s="830"/>
      <c r="WZK283" s="830"/>
      <c r="WZL283" s="830"/>
      <c r="WZM283" s="830"/>
      <c r="WZN283" s="830"/>
      <c r="WZO283" s="830"/>
      <c r="WZP283" s="830"/>
      <c r="WZQ283" s="830"/>
      <c r="WZR283" s="830"/>
      <c r="WZS283" s="830"/>
      <c r="WZT283" s="830"/>
      <c r="WZU283" s="830"/>
      <c r="WZV283" s="830"/>
      <c r="WZW283" s="830"/>
      <c r="WZX283" s="830"/>
      <c r="WZY283" s="830"/>
      <c r="WZZ283" s="830"/>
      <c r="XAA283" s="830"/>
      <c r="XAB283" s="830"/>
      <c r="XAC283" s="830"/>
      <c r="XAD283" s="830"/>
      <c r="XAE283" s="830"/>
      <c r="XAF283" s="830"/>
      <c r="XAG283" s="830"/>
      <c r="XAH283" s="830"/>
      <c r="XAI283" s="830"/>
      <c r="XAJ283" s="830"/>
      <c r="XAK283" s="830"/>
      <c r="XAL283" s="830"/>
      <c r="XAM283" s="830"/>
      <c r="XAN283" s="830"/>
      <c r="XAO283" s="830"/>
      <c r="XAP283" s="830"/>
      <c r="XAQ283" s="830"/>
      <c r="XAR283" s="830"/>
      <c r="XAS283" s="830"/>
      <c r="XAT283" s="830"/>
      <c r="XAU283" s="830"/>
      <c r="XAV283" s="830"/>
      <c r="XAW283" s="830"/>
      <c r="XAX283" s="830"/>
      <c r="XAY283" s="830"/>
      <c r="XAZ283" s="830"/>
      <c r="XBA283" s="830"/>
      <c r="XBB283" s="830"/>
      <c r="XBC283" s="830"/>
      <c r="XBD283" s="830"/>
      <c r="XBE283" s="830"/>
      <c r="XBF283" s="830"/>
      <c r="XBG283" s="830"/>
      <c r="XBH283" s="830"/>
      <c r="XBI283" s="830"/>
      <c r="XBJ283" s="830"/>
      <c r="XBK283" s="830"/>
      <c r="XBL283" s="830"/>
      <c r="XBM283" s="830"/>
      <c r="XBN283" s="830"/>
      <c r="XBO283" s="830"/>
      <c r="XBP283" s="830"/>
      <c r="XBQ283" s="830"/>
      <c r="XBR283" s="830"/>
      <c r="XBS283" s="830"/>
      <c r="XBT283" s="830"/>
      <c r="XBU283" s="830"/>
      <c r="XBV283" s="830"/>
      <c r="XBW283" s="830"/>
      <c r="XBX283" s="830"/>
      <c r="XBY283" s="830"/>
      <c r="XBZ283" s="830"/>
      <c r="XCA283" s="830"/>
      <c r="XCB283" s="830"/>
      <c r="XCC283" s="830"/>
      <c r="XCD283" s="830"/>
      <c r="XCE283" s="830"/>
      <c r="XCF283" s="830"/>
      <c r="XCG283" s="830"/>
      <c r="XCH283" s="830"/>
      <c r="XCI283" s="830"/>
      <c r="XCJ283" s="830"/>
      <c r="XCK283" s="830"/>
      <c r="XCL283" s="830"/>
      <c r="XCM283" s="830"/>
      <c r="XCN283" s="830"/>
      <c r="XCO283" s="830"/>
      <c r="XCP283" s="830"/>
      <c r="XCQ283" s="830"/>
      <c r="XCR283" s="830"/>
      <c r="XCS283" s="830"/>
      <c r="XCT283" s="830"/>
      <c r="XCU283" s="830"/>
      <c r="XCV283" s="830"/>
      <c r="XCW283" s="830"/>
      <c r="XCX283" s="830"/>
      <c r="XCY283" s="830"/>
      <c r="XCZ283" s="830"/>
      <c r="XDA283" s="830"/>
      <c r="XDB283" s="830"/>
      <c r="XDC283" s="830"/>
      <c r="XDD283" s="830"/>
      <c r="XDE283" s="830"/>
      <c r="XDF283" s="830"/>
      <c r="XDG283" s="830"/>
      <c r="XDH283" s="830"/>
      <c r="XDI283" s="830"/>
      <c r="XDJ283" s="830"/>
      <c r="XDK283" s="830"/>
      <c r="XDL283" s="830"/>
      <c r="XDM283" s="830"/>
      <c r="XDN283" s="830"/>
      <c r="XDO283" s="830"/>
      <c r="XDP283" s="830"/>
      <c r="XDQ283" s="830"/>
      <c r="XDR283" s="830"/>
      <c r="XDS283" s="830"/>
      <c r="XDT283" s="830"/>
      <c r="XDU283" s="830"/>
      <c r="XDV283" s="830"/>
      <c r="XDW283" s="830"/>
      <c r="XDX283" s="830"/>
      <c r="XDY283" s="830"/>
      <c r="XDZ283" s="830"/>
      <c r="XEA283" s="830"/>
      <c r="XEB283" s="830"/>
      <c r="XEC283" s="830"/>
      <c r="XED283" s="830"/>
      <c r="XEE283" s="830"/>
      <c r="XEF283" s="830"/>
      <c r="XEG283" s="830"/>
      <c r="XEH283" s="830"/>
      <c r="XEI283" s="830"/>
      <c r="XEJ283" s="830"/>
      <c r="XEK283" s="830"/>
      <c r="XEL283" s="830"/>
      <c r="XEM283" s="830"/>
      <c r="XEN283" s="830"/>
      <c r="XEO283" s="830"/>
      <c r="XEP283" s="830"/>
      <c r="XEQ283" s="830"/>
      <c r="XER283" s="830"/>
      <c r="XES283" s="830"/>
      <c r="XET283" s="830"/>
      <c r="XEU283" s="830"/>
      <c r="XEV283" s="830"/>
      <c r="XEW283" s="830"/>
      <c r="XEX283" s="830"/>
      <c r="XEY283" s="830"/>
      <c r="XEZ283" s="830"/>
      <c r="XFA283" s="830"/>
      <c r="XFB283" s="830"/>
      <c r="XFC283" s="830"/>
      <c r="XFD283" s="830"/>
    </row>
    <row r="284" spans="1:19 16149:16384" ht="13.8">
      <c r="B284" s="869">
        <v>16</v>
      </c>
      <c r="C284" s="870"/>
      <c r="D284" s="871" t="s">
        <v>2987</v>
      </c>
      <c r="E284" s="872"/>
      <c r="F284" s="873"/>
      <c r="G284" s="746"/>
      <c r="H284" s="874"/>
      <c r="I284" s="875"/>
      <c r="J284" s="738"/>
      <c r="M284" s="756"/>
      <c r="N284" s="756"/>
      <c r="WWC284" s="830"/>
      <c r="WWD284" s="830"/>
      <c r="WWE284" s="830"/>
      <c r="WWF284" s="830"/>
      <c r="WWG284" s="830"/>
      <c r="WWH284" s="830"/>
      <c r="WWI284" s="830"/>
      <c r="WWJ284" s="830"/>
      <c r="WWK284" s="830"/>
      <c r="WWL284" s="830"/>
      <c r="WWM284" s="830"/>
      <c r="WWN284" s="830"/>
      <c r="WWO284" s="830"/>
      <c r="WWP284" s="830"/>
      <c r="WWQ284" s="830"/>
      <c r="WWR284" s="830"/>
      <c r="WWS284" s="830"/>
      <c r="WWT284" s="830"/>
      <c r="WWU284" s="830"/>
      <c r="WWV284" s="830"/>
      <c r="WWW284" s="830"/>
      <c r="WWX284" s="830"/>
      <c r="WWY284" s="830"/>
      <c r="WWZ284" s="830"/>
      <c r="WXA284" s="830"/>
      <c r="WXB284" s="830"/>
      <c r="WXC284" s="830"/>
      <c r="WXD284" s="830"/>
      <c r="WXE284" s="830"/>
      <c r="WXF284" s="830"/>
      <c r="WXG284" s="830"/>
      <c r="WXH284" s="830"/>
      <c r="WXI284" s="830"/>
      <c r="WXJ284" s="830"/>
      <c r="WXK284" s="830"/>
      <c r="WXL284" s="830"/>
      <c r="WXM284" s="830"/>
      <c r="WXN284" s="830"/>
      <c r="WXO284" s="830"/>
      <c r="WXP284" s="830"/>
      <c r="WXQ284" s="830"/>
      <c r="WXR284" s="830"/>
      <c r="WXS284" s="830"/>
      <c r="WXT284" s="830"/>
      <c r="WXU284" s="830"/>
      <c r="WXV284" s="830"/>
      <c r="WXW284" s="830"/>
      <c r="WXX284" s="830"/>
      <c r="WXY284" s="830"/>
      <c r="WXZ284" s="830"/>
      <c r="WYA284" s="830"/>
      <c r="WYB284" s="830"/>
      <c r="WYC284" s="830"/>
      <c r="WYD284" s="830"/>
      <c r="WYE284" s="830"/>
      <c r="WYF284" s="830"/>
      <c r="WYG284" s="830"/>
      <c r="WYH284" s="830"/>
      <c r="WYI284" s="830"/>
      <c r="WYJ284" s="830"/>
      <c r="WYK284" s="830"/>
      <c r="WYL284" s="830"/>
      <c r="WYM284" s="830"/>
      <c r="WYN284" s="830"/>
      <c r="WYO284" s="830"/>
      <c r="WYP284" s="830"/>
      <c r="WYQ284" s="830"/>
      <c r="WYR284" s="830"/>
      <c r="WYS284" s="830"/>
      <c r="WYT284" s="830"/>
      <c r="WYU284" s="830"/>
      <c r="WYV284" s="830"/>
      <c r="WYW284" s="830"/>
      <c r="WYX284" s="830"/>
      <c r="WYY284" s="830"/>
      <c r="WYZ284" s="830"/>
      <c r="WZA284" s="830"/>
      <c r="WZB284" s="830"/>
      <c r="WZC284" s="830"/>
      <c r="WZD284" s="830"/>
      <c r="WZE284" s="830"/>
      <c r="WZF284" s="830"/>
      <c r="WZG284" s="830"/>
      <c r="WZH284" s="830"/>
      <c r="WZI284" s="830"/>
      <c r="WZJ284" s="830"/>
      <c r="WZK284" s="830"/>
      <c r="WZL284" s="830"/>
      <c r="WZM284" s="830"/>
      <c r="WZN284" s="830"/>
      <c r="WZO284" s="830"/>
      <c r="WZP284" s="830"/>
      <c r="WZQ284" s="830"/>
      <c r="WZR284" s="830"/>
      <c r="WZS284" s="830"/>
      <c r="WZT284" s="830"/>
      <c r="WZU284" s="830"/>
      <c r="WZV284" s="830"/>
      <c r="WZW284" s="830"/>
      <c r="WZX284" s="830"/>
      <c r="WZY284" s="830"/>
      <c r="WZZ284" s="830"/>
      <c r="XAA284" s="830"/>
      <c r="XAB284" s="830"/>
      <c r="XAC284" s="830"/>
      <c r="XAD284" s="830"/>
      <c r="XAE284" s="830"/>
      <c r="XAF284" s="830"/>
      <c r="XAG284" s="830"/>
      <c r="XAH284" s="830"/>
      <c r="XAI284" s="830"/>
      <c r="XAJ284" s="830"/>
      <c r="XAK284" s="830"/>
      <c r="XAL284" s="830"/>
      <c r="XAM284" s="830"/>
      <c r="XAN284" s="830"/>
      <c r="XAO284" s="830"/>
      <c r="XAP284" s="830"/>
      <c r="XAQ284" s="830"/>
      <c r="XAR284" s="830"/>
      <c r="XAS284" s="830"/>
      <c r="XAT284" s="830"/>
      <c r="XAU284" s="830"/>
      <c r="XAV284" s="830"/>
      <c r="XAW284" s="830"/>
      <c r="XAX284" s="830"/>
      <c r="XAY284" s="830"/>
      <c r="XAZ284" s="830"/>
      <c r="XBA284" s="830"/>
      <c r="XBB284" s="830"/>
      <c r="XBC284" s="830"/>
      <c r="XBD284" s="830"/>
      <c r="XBE284" s="830"/>
      <c r="XBF284" s="830"/>
      <c r="XBG284" s="830"/>
      <c r="XBH284" s="830"/>
      <c r="XBI284" s="830"/>
      <c r="XBJ284" s="830"/>
      <c r="XBK284" s="830"/>
      <c r="XBL284" s="830"/>
      <c r="XBM284" s="830"/>
      <c r="XBN284" s="830"/>
      <c r="XBO284" s="830"/>
      <c r="XBP284" s="830"/>
      <c r="XBQ284" s="830"/>
      <c r="XBR284" s="830"/>
      <c r="XBS284" s="830"/>
      <c r="XBT284" s="830"/>
      <c r="XBU284" s="830"/>
      <c r="XBV284" s="830"/>
      <c r="XBW284" s="830"/>
      <c r="XBX284" s="830"/>
      <c r="XBY284" s="830"/>
      <c r="XBZ284" s="830"/>
      <c r="XCA284" s="830"/>
      <c r="XCB284" s="830"/>
      <c r="XCC284" s="830"/>
      <c r="XCD284" s="830"/>
      <c r="XCE284" s="830"/>
      <c r="XCF284" s="830"/>
      <c r="XCG284" s="830"/>
      <c r="XCH284" s="830"/>
      <c r="XCI284" s="830"/>
      <c r="XCJ284" s="830"/>
      <c r="XCK284" s="830"/>
      <c r="XCL284" s="830"/>
      <c r="XCM284" s="830"/>
      <c r="XCN284" s="830"/>
      <c r="XCO284" s="830"/>
      <c r="XCP284" s="830"/>
      <c r="XCQ284" s="830"/>
      <c r="XCR284" s="830"/>
      <c r="XCS284" s="830"/>
      <c r="XCT284" s="830"/>
      <c r="XCU284" s="830"/>
      <c r="XCV284" s="830"/>
      <c r="XCW284" s="830"/>
      <c r="XCX284" s="830"/>
      <c r="XCY284" s="830"/>
      <c r="XCZ284" s="830"/>
      <c r="XDA284" s="830"/>
      <c r="XDB284" s="830"/>
      <c r="XDC284" s="830"/>
      <c r="XDD284" s="830"/>
      <c r="XDE284" s="830"/>
      <c r="XDF284" s="830"/>
      <c r="XDG284" s="830"/>
      <c r="XDH284" s="830"/>
      <c r="XDI284" s="830"/>
      <c r="XDJ284" s="830"/>
      <c r="XDK284" s="830"/>
      <c r="XDL284" s="830"/>
      <c r="XDM284" s="830"/>
      <c r="XDN284" s="830"/>
      <c r="XDO284" s="830"/>
      <c r="XDP284" s="830"/>
      <c r="XDQ284" s="830"/>
      <c r="XDR284" s="830"/>
      <c r="XDS284" s="830"/>
      <c r="XDT284" s="830"/>
      <c r="XDU284" s="830"/>
      <c r="XDV284" s="830"/>
      <c r="XDW284" s="830"/>
      <c r="XDX284" s="830"/>
      <c r="XDY284" s="830"/>
      <c r="XDZ284" s="830"/>
      <c r="XEA284" s="830"/>
      <c r="XEB284" s="830"/>
      <c r="XEC284" s="830"/>
      <c r="XED284" s="830"/>
      <c r="XEE284" s="830"/>
      <c r="XEF284" s="830"/>
      <c r="XEG284" s="830"/>
      <c r="XEH284" s="830"/>
      <c r="XEI284" s="830"/>
      <c r="XEJ284" s="830"/>
      <c r="XEK284" s="830"/>
      <c r="XEL284" s="830"/>
      <c r="XEM284" s="830"/>
      <c r="XEN284" s="830"/>
      <c r="XEO284" s="830"/>
      <c r="XEP284" s="830"/>
      <c r="XEQ284" s="830"/>
      <c r="XER284" s="830"/>
      <c r="XES284" s="830"/>
      <c r="XET284" s="830"/>
      <c r="XEU284" s="830"/>
      <c r="XEV284" s="830"/>
      <c r="XEW284" s="830"/>
      <c r="XEX284" s="830"/>
      <c r="XEY284" s="830"/>
      <c r="XEZ284" s="830"/>
      <c r="XFA284" s="830"/>
      <c r="XFB284" s="830"/>
      <c r="XFC284" s="830"/>
      <c r="XFD284" s="830"/>
    </row>
    <row r="285" spans="1:19 16149:16384" s="830" customFormat="1" ht="13.8">
      <c r="B285" s="876" t="s">
        <v>952</v>
      </c>
      <c r="C285" s="877"/>
      <c r="D285" s="878" t="s">
        <v>5234</v>
      </c>
      <c r="E285" s="877"/>
      <c r="F285" s="759"/>
      <c r="G285" s="746"/>
      <c r="H285" s="761"/>
      <c r="I285" s="879"/>
      <c r="J285" s="841"/>
      <c r="M285" s="880"/>
      <c r="N285" s="880"/>
      <c r="S285" s="840"/>
    </row>
    <row r="286" spans="1:19 16149:16384" s="830" customFormat="1" ht="39.6">
      <c r="A286" s="830" t="s">
        <v>1227</v>
      </c>
      <c r="B286" s="881" t="s">
        <v>955</v>
      </c>
      <c r="C286" s="841"/>
      <c r="D286" s="882" t="s">
        <v>5235</v>
      </c>
      <c r="E286" s="883" t="s">
        <v>4895</v>
      </c>
      <c r="F286" s="761">
        <v>30</v>
      </c>
      <c r="G286" s="746"/>
      <c r="H286" s="752">
        <v>0</v>
      </c>
      <c r="I286" s="879"/>
      <c r="J286" s="884"/>
      <c r="K286" s="885"/>
      <c r="M286" s="886">
        <v>1659</v>
      </c>
      <c r="N286" s="886">
        <v>20.86</v>
      </c>
      <c r="S286" s="840"/>
    </row>
    <row r="287" spans="1:19 16149:16384" s="830" customFormat="1" ht="39.6">
      <c r="A287" s="830" t="s">
        <v>1227</v>
      </c>
      <c r="B287" s="881" t="s">
        <v>957</v>
      </c>
      <c r="C287" s="841"/>
      <c r="D287" s="882" t="s">
        <v>5236</v>
      </c>
      <c r="E287" s="883" t="s">
        <v>4895</v>
      </c>
      <c r="F287" s="761">
        <v>20</v>
      </c>
      <c r="G287" s="746"/>
      <c r="H287" s="752">
        <v>0</v>
      </c>
      <c r="I287" s="879"/>
      <c r="J287" s="884"/>
      <c r="K287" s="885"/>
      <c r="M287" s="886">
        <v>1869</v>
      </c>
      <c r="N287" s="886">
        <v>20.86</v>
      </c>
      <c r="S287" s="840"/>
    </row>
    <row r="288" spans="1:19 16149:16384" s="830" customFormat="1" ht="39.6">
      <c r="A288" s="830" t="s">
        <v>1227</v>
      </c>
      <c r="B288" s="881" t="s">
        <v>959</v>
      </c>
      <c r="C288" s="841"/>
      <c r="D288" s="882" t="s">
        <v>5237</v>
      </c>
      <c r="E288" s="883" t="s">
        <v>4895</v>
      </c>
      <c r="F288" s="761">
        <v>10</v>
      </c>
      <c r="G288" s="746"/>
      <c r="H288" s="752">
        <v>0</v>
      </c>
      <c r="I288" s="879"/>
      <c r="J288" s="884"/>
      <c r="K288" s="885"/>
      <c r="M288" s="886">
        <v>1870</v>
      </c>
      <c r="N288" s="886">
        <v>20.86</v>
      </c>
      <c r="S288" s="840"/>
    </row>
    <row r="289" spans="1:19" s="830" customFormat="1" ht="26.4">
      <c r="A289" s="830" t="s">
        <v>1227</v>
      </c>
      <c r="B289" s="881" t="s">
        <v>961</v>
      </c>
      <c r="C289" s="841"/>
      <c r="D289" s="882" t="s">
        <v>5238</v>
      </c>
      <c r="E289" s="883" t="s">
        <v>4895</v>
      </c>
      <c r="F289" s="761">
        <v>70</v>
      </c>
      <c r="G289" s="746"/>
      <c r="H289" s="752">
        <v>0</v>
      </c>
      <c r="I289" s="879"/>
      <c r="J289" s="884"/>
      <c r="K289" s="885"/>
      <c r="M289" s="886">
        <v>766</v>
      </c>
      <c r="N289" s="886">
        <v>20.86</v>
      </c>
      <c r="S289" s="840"/>
    </row>
    <row r="290" spans="1:19" s="830" customFormat="1" ht="26.4">
      <c r="A290" s="830" t="s">
        <v>1227</v>
      </c>
      <c r="B290" s="881" t="s">
        <v>963</v>
      </c>
      <c r="C290" s="841"/>
      <c r="D290" s="882" t="s">
        <v>5239</v>
      </c>
      <c r="E290" s="883" t="s">
        <v>4895</v>
      </c>
      <c r="F290" s="761">
        <v>130</v>
      </c>
      <c r="G290" s="746"/>
      <c r="H290" s="752">
        <v>0</v>
      </c>
      <c r="I290" s="879"/>
      <c r="J290" s="884"/>
      <c r="K290" s="885"/>
      <c r="M290" s="886">
        <v>370</v>
      </c>
      <c r="N290" s="886">
        <v>20.86</v>
      </c>
      <c r="S290" s="840"/>
    </row>
    <row r="291" spans="1:19" s="830" customFormat="1" ht="26.4">
      <c r="A291" s="830" t="s">
        <v>1227</v>
      </c>
      <c r="B291" s="881" t="s">
        <v>965</v>
      </c>
      <c r="C291" s="841"/>
      <c r="D291" s="882" t="s">
        <v>5240</v>
      </c>
      <c r="E291" s="883" t="s">
        <v>4895</v>
      </c>
      <c r="F291" s="761">
        <v>12</v>
      </c>
      <c r="G291" s="746"/>
      <c r="H291" s="752">
        <v>0</v>
      </c>
      <c r="I291" s="879"/>
      <c r="J291" s="884"/>
      <c r="K291" s="885"/>
      <c r="M291" s="886">
        <v>2350</v>
      </c>
      <c r="N291" s="886">
        <v>189</v>
      </c>
      <c r="S291" s="840"/>
    </row>
    <row r="292" spans="1:19" s="830" customFormat="1" ht="26.4">
      <c r="A292" s="830" t="s">
        <v>1227</v>
      </c>
      <c r="B292" s="881" t="s">
        <v>5241</v>
      </c>
      <c r="C292" s="841"/>
      <c r="D292" s="882" t="s">
        <v>5242</v>
      </c>
      <c r="E292" s="883" t="s">
        <v>4895</v>
      </c>
      <c r="F292" s="761">
        <v>40</v>
      </c>
      <c r="G292" s="746"/>
      <c r="H292" s="752">
        <v>0</v>
      </c>
      <c r="I292" s="879"/>
      <c r="J292" s="884"/>
      <c r="K292" s="885"/>
      <c r="M292" s="886">
        <v>1350</v>
      </c>
      <c r="N292" s="886">
        <v>189</v>
      </c>
      <c r="S292" s="840"/>
    </row>
    <row r="293" spans="1:19" s="830" customFormat="1" ht="26.4">
      <c r="A293" s="830" t="s">
        <v>1227</v>
      </c>
      <c r="B293" s="881" t="s">
        <v>5243</v>
      </c>
      <c r="C293" s="841"/>
      <c r="D293" s="882" t="s">
        <v>5244</v>
      </c>
      <c r="E293" s="883" t="s">
        <v>4895</v>
      </c>
      <c r="F293" s="761">
        <v>16</v>
      </c>
      <c r="G293" s="746"/>
      <c r="H293" s="752">
        <v>0</v>
      </c>
      <c r="I293" s="879"/>
      <c r="J293" s="884"/>
      <c r="K293" s="885"/>
      <c r="M293" s="886">
        <v>444</v>
      </c>
      <c r="N293" s="886">
        <v>37.94</v>
      </c>
      <c r="S293" s="840"/>
    </row>
    <row r="294" spans="1:19" s="830" customFormat="1" ht="26.4">
      <c r="A294" s="830" t="s">
        <v>1227</v>
      </c>
      <c r="B294" s="881" t="s">
        <v>5245</v>
      </c>
      <c r="C294" s="841"/>
      <c r="D294" s="882" t="s">
        <v>5246</v>
      </c>
      <c r="E294" s="883" t="s">
        <v>4895</v>
      </c>
      <c r="F294" s="761">
        <v>25</v>
      </c>
      <c r="G294" s="746"/>
      <c r="H294" s="752">
        <v>0</v>
      </c>
      <c r="I294" s="879"/>
      <c r="J294" s="884"/>
      <c r="K294" s="885"/>
      <c r="M294" s="886">
        <v>140</v>
      </c>
      <c r="N294" s="886">
        <v>15.2</v>
      </c>
      <c r="S294" s="840"/>
    </row>
    <row r="295" spans="1:19" s="830" customFormat="1" ht="26.4">
      <c r="A295" s="830" t="s">
        <v>1227</v>
      </c>
      <c r="B295" s="881" t="s">
        <v>5247</v>
      </c>
      <c r="C295" s="841"/>
      <c r="D295" s="882" t="s">
        <v>5248</v>
      </c>
      <c r="E295" s="883"/>
      <c r="F295" s="761">
        <v>56</v>
      </c>
      <c r="G295" s="746"/>
      <c r="H295" s="752">
        <v>0</v>
      </c>
      <c r="I295" s="879"/>
      <c r="J295" s="884"/>
      <c r="K295" s="885"/>
      <c r="M295" s="886">
        <v>214</v>
      </c>
      <c r="N295" s="886">
        <v>20.86</v>
      </c>
      <c r="S295" s="840"/>
    </row>
    <row r="296" spans="1:19" s="830" customFormat="1" ht="26.4">
      <c r="A296" s="830" t="s">
        <v>1227</v>
      </c>
      <c r="B296" s="881" t="s">
        <v>5249</v>
      </c>
      <c r="C296" s="841"/>
      <c r="D296" s="882" t="s">
        <v>5250</v>
      </c>
      <c r="E296" s="883" t="s">
        <v>4895</v>
      </c>
      <c r="F296" s="761">
        <v>24</v>
      </c>
      <c r="G296" s="746"/>
      <c r="H296" s="752">
        <v>0</v>
      </c>
      <c r="I296" s="879"/>
      <c r="J296" s="884"/>
      <c r="K296" s="885"/>
      <c r="M296" s="886">
        <v>301</v>
      </c>
      <c r="N296" s="886">
        <v>15.2</v>
      </c>
      <c r="S296" s="840"/>
    </row>
    <row r="297" spans="1:19" s="830" customFormat="1" ht="26.4">
      <c r="A297" s="830" t="s">
        <v>1227</v>
      </c>
      <c r="B297" s="881" t="s">
        <v>5251</v>
      </c>
      <c r="C297" s="841"/>
      <c r="D297" s="882" t="s">
        <v>5252</v>
      </c>
      <c r="E297" s="883" t="s">
        <v>4895</v>
      </c>
      <c r="F297" s="761">
        <v>10</v>
      </c>
      <c r="G297" s="746"/>
      <c r="H297" s="752">
        <v>0</v>
      </c>
      <c r="I297" s="879"/>
      <c r="J297" s="884"/>
      <c r="K297" s="885"/>
      <c r="M297" s="886">
        <v>256</v>
      </c>
      <c r="N297" s="886">
        <v>20.86</v>
      </c>
      <c r="S297" s="840"/>
    </row>
    <row r="298" spans="1:19" s="830" customFormat="1" ht="26.4">
      <c r="A298" s="830" t="s">
        <v>1227</v>
      </c>
      <c r="B298" s="881" t="s">
        <v>5253</v>
      </c>
      <c r="C298" s="841"/>
      <c r="D298" s="882" t="s">
        <v>5254</v>
      </c>
      <c r="E298" s="883" t="s">
        <v>4895</v>
      </c>
      <c r="F298" s="761">
        <v>150</v>
      </c>
      <c r="G298" s="746"/>
      <c r="H298" s="752">
        <v>0</v>
      </c>
      <c r="I298" s="879"/>
      <c r="J298" s="884"/>
      <c r="K298" s="885"/>
      <c r="M298" s="886">
        <v>278</v>
      </c>
      <c r="N298" s="886">
        <v>20.86</v>
      </c>
      <c r="S298" s="840"/>
    </row>
    <row r="299" spans="1:19" s="830" customFormat="1" ht="26.4">
      <c r="A299" s="830" t="s">
        <v>1227</v>
      </c>
      <c r="B299" s="881" t="s">
        <v>5255</v>
      </c>
      <c r="C299" s="841"/>
      <c r="D299" s="882" t="s">
        <v>5256</v>
      </c>
      <c r="E299" s="883" t="s">
        <v>1450</v>
      </c>
      <c r="F299" s="761">
        <v>250</v>
      </c>
      <c r="G299" s="746"/>
      <c r="H299" s="752">
        <v>0</v>
      </c>
      <c r="I299" s="879"/>
      <c r="J299" s="884"/>
      <c r="K299" s="885"/>
      <c r="M299" s="886">
        <v>316</v>
      </c>
      <c r="N299" s="886">
        <v>62</v>
      </c>
      <c r="S299" s="840"/>
    </row>
    <row r="300" spans="1:19" s="830" customFormat="1" ht="26.4">
      <c r="A300" s="830" t="s">
        <v>1227</v>
      </c>
      <c r="B300" s="881" t="s">
        <v>5257</v>
      </c>
      <c r="C300" s="841"/>
      <c r="D300" s="882" t="s">
        <v>5258</v>
      </c>
      <c r="E300" s="883" t="s">
        <v>1450</v>
      </c>
      <c r="F300" s="761">
        <v>98</v>
      </c>
      <c r="G300" s="746"/>
      <c r="H300" s="752">
        <v>0</v>
      </c>
      <c r="I300" s="879"/>
      <c r="J300" s="884"/>
      <c r="K300" s="885"/>
      <c r="M300" s="886">
        <v>316</v>
      </c>
      <c r="N300" s="886">
        <v>62</v>
      </c>
      <c r="S300" s="840"/>
    </row>
    <row r="301" spans="1:19" s="830" customFormat="1" ht="26.4">
      <c r="A301" s="830" t="s">
        <v>1227</v>
      </c>
      <c r="B301" s="881" t="s">
        <v>5259</v>
      </c>
      <c r="C301" s="841"/>
      <c r="D301" s="882" t="s">
        <v>5260</v>
      </c>
      <c r="E301" s="883" t="s">
        <v>4895</v>
      </c>
      <c r="F301" s="761">
        <v>13</v>
      </c>
      <c r="G301" s="746"/>
      <c r="H301" s="752">
        <v>0</v>
      </c>
      <c r="I301" s="879" t="s">
        <v>4872</v>
      </c>
      <c r="J301" s="754">
        <v>91026</v>
      </c>
      <c r="K301" s="860">
        <v>91026</v>
      </c>
      <c r="M301" s="886">
        <v>67.81</v>
      </c>
      <c r="N301" s="886"/>
      <c r="S301" s="840"/>
    </row>
    <row r="302" spans="1:19" s="830" customFormat="1" ht="26.4">
      <c r="A302" s="830" t="s">
        <v>1227</v>
      </c>
      <c r="B302" s="881" t="s">
        <v>5261</v>
      </c>
      <c r="C302" s="841"/>
      <c r="D302" s="882" t="s">
        <v>5262</v>
      </c>
      <c r="E302" s="883" t="s">
        <v>4895</v>
      </c>
      <c r="F302" s="761">
        <v>21</v>
      </c>
      <c r="G302" s="746"/>
      <c r="H302" s="752">
        <v>0</v>
      </c>
      <c r="I302" s="879" t="s">
        <v>4872</v>
      </c>
      <c r="J302" s="754">
        <v>91026</v>
      </c>
      <c r="K302" s="860">
        <v>91026</v>
      </c>
      <c r="M302" s="886">
        <v>67.81</v>
      </c>
      <c r="N302" s="886"/>
      <c r="S302" s="840"/>
    </row>
    <row r="303" spans="1:19" s="830" customFormat="1" ht="26.4">
      <c r="A303" s="830" t="s">
        <v>1227</v>
      </c>
      <c r="B303" s="881" t="s">
        <v>5263</v>
      </c>
      <c r="C303" s="841"/>
      <c r="D303" s="882" t="s">
        <v>5264</v>
      </c>
      <c r="E303" s="883" t="s">
        <v>4895</v>
      </c>
      <c r="F303" s="761">
        <v>20</v>
      </c>
      <c r="G303" s="746"/>
      <c r="H303" s="752">
        <v>0</v>
      </c>
      <c r="I303" s="879" t="s">
        <v>4872</v>
      </c>
      <c r="J303" s="754">
        <v>91020</v>
      </c>
      <c r="K303" s="860">
        <v>91020</v>
      </c>
      <c r="M303" s="886">
        <v>44.39</v>
      </c>
      <c r="N303" s="886"/>
      <c r="S303" s="840"/>
    </row>
    <row r="304" spans="1:19" s="830" customFormat="1" ht="26.4">
      <c r="A304" s="830" t="s">
        <v>1227</v>
      </c>
      <c r="B304" s="881" t="s">
        <v>5265</v>
      </c>
      <c r="C304" s="841"/>
      <c r="D304" s="882" t="s">
        <v>5266</v>
      </c>
      <c r="E304" s="883" t="s">
        <v>4895</v>
      </c>
      <c r="F304" s="761">
        <v>40</v>
      </c>
      <c r="G304" s="746"/>
      <c r="H304" s="752">
        <v>0</v>
      </c>
      <c r="I304" s="879"/>
      <c r="J304" s="884"/>
      <c r="K304" s="885"/>
      <c r="M304" s="886">
        <v>218.75</v>
      </c>
      <c r="N304" s="886">
        <v>13.1</v>
      </c>
      <c r="S304" s="840"/>
    </row>
    <row r="305" spans="1:19" s="830" customFormat="1" ht="26.4">
      <c r="A305" s="830" t="s">
        <v>1227</v>
      </c>
      <c r="B305" s="881" t="s">
        <v>5267</v>
      </c>
      <c r="C305" s="841"/>
      <c r="D305" s="882" t="s">
        <v>5268</v>
      </c>
      <c r="E305" s="883" t="s">
        <v>4895</v>
      </c>
      <c r="F305" s="761">
        <v>6</v>
      </c>
      <c r="G305" s="746"/>
      <c r="H305" s="752">
        <v>0</v>
      </c>
      <c r="I305" s="879"/>
      <c r="J305" s="884"/>
      <c r="K305" s="885"/>
      <c r="M305" s="886">
        <v>21.8</v>
      </c>
      <c r="N305" s="886">
        <v>13.1</v>
      </c>
      <c r="S305" s="840"/>
    </row>
    <row r="306" spans="1:19" s="830" customFormat="1" ht="26.4">
      <c r="A306" s="830" t="s">
        <v>1227</v>
      </c>
      <c r="B306" s="881" t="s">
        <v>5269</v>
      </c>
      <c r="C306" s="841"/>
      <c r="D306" s="882" t="s">
        <v>5270</v>
      </c>
      <c r="E306" s="883" t="s">
        <v>4895</v>
      </c>
      <c r="F306" s="761">
        <v>142</v>
      </c>
      <c r="G306" s="746"/>
      <c r="H306" s="752">
        <v>0</v>
      </c>
      <c r="I306" s="879" t="s">
        <v>4872</v>
      </c>
      <c r="J306" s="754">
        <v>98210</v>
      </c>
      <c r="K306" s="860">
        <v>98210</v>
      </c>
      <c r="M306" s="886">
        <v>9.0299999999999994</v>
      </c>
      <c r="N306" s="886"/>
      <c r="S306" s="840"/>
    </row>
    <row r="307" spans="1:19" s="830" customFormat="1" ht="26.4">
      <c r="A307" s="830" t="s">
        <v>1227</v>
      </c>
      <c r="B307" s="881" t="s">
        <v>5271</v>
      </c>
      <c r="C307" s="841"/>
      <c r="D307" s="887" t="s">
        <v>5272</v>
      </c>
      <c r="E307" s="883" t="s">
        <v>4895</v>
      </c>
      <c r="F307" s="761">
        <v>10</v>
      </c>
      <c r="G307" s="746"/>
      <c r="H307" s="752">
        <v>0</v>
      </c>
      <c r="I307" s="879" t="s">
        <v>4872</v>
      </c>
      <c r="J307" s="754">
        <v>98210</v>
      </c>
      <c r="K307" s="860">
        <v>98210</v>
      </c>
      <c r="M307" s="886">
        <v>9.0299999999999994</v>
      </c>
      <c r="N307" s="886"/>
      <c r="S307" s="840"/>
    </row>
    <row r="308" spans="1:19" s="830" customFormat="1" ht="26.4">
      <c r="A308" s="830" t="s">
        <v>1227</v>
      </c>
      <c r="B308" s="881" t="s">
        <v>5273</v>
      </c>
      <c r="C308" s="841"/>
      <c r="D308" s="882" t="s">
        <v>5274</v>
      </c>
      <c r="E308" s="883" t="s">
        <v>4895</v>
      </c>
      <c r="F308" s="761">
        <v>46</v>
      </c>
      <c r="G308" s="746"/>
      <c r="H308" s="752">
        <v>0</v>
      </c>
      <c r="I308" s="879" t="s">
        <v>4872</v>
      </c>
      <c r="J308" s="754">
        <v>98210</v>
      </c>
      <c r="K308" s="860">
        <v>98210</v>
      </c>
      <c r="M308" s="886">
        <v>9.0299999999999994</v>
      </c>
      <c r="N308" s="886"/>
      <c r="S308" s="840"/>
    </row>
    <row r="309" spans="1:19" s="830" customFormat="1" ht="29.25" customHeight="1">
      <c r="A309" s="830" t="s">
        <v>1227</v>
      </c>
      <c r="B309" s="881" t="s">
        <v>5275</v>
      </c>
      <c r="C309" s="841"/>
      <c r="D309" s="882" t="s">
        <v>5276</v>
      </c>
      <c r="E309" s="883" t="s">
        <v>4895</v>
      </c>
      <c r="F309" s="761">
        <v>28</v>
      </c>
      <c r="G309" s="746"/>
      <c r="H309" s="752">
        <v>0</v>
      </c>
      <c r="I309" s="879"/>
      <c r="J309" s="884"/>
      <c r="K309" s="885"/>
      <c r="M309" s="886">
        <v>50.04</v>
      </c>
      <c r="N309" s="886">
        <v>75</v>
      </c>
      <c r="S309" s="840"/>
    </row>
    <row r="310" spans="1:19" s="830" customFormat="1" ht="39.6">
      <c r="B310" s="881" t="s">
        <v>5277</v>
      </c>
      <c r="C310" s="841"/>
      <c r="D310" s="887" t="s">
        <v>5278</v>
      </c>
      <c r="E310" s="883"/>
      <c r="F310" s="761"/>
      <c r="G310" s="746"/>
      <c r="H310" s="752">
        <v>0</v>
      </c>
      <c r="I310" s="879"/>
      <c r="J310" s="884"/>
      <c r="K310" s="885"/>
      <c r="M310" s="886"/>
      <c r="N310" s="886"/>
      <c r="S310" s="840"/>
    </row>
    <row r="311" spans="1:19" s="830" customFormat="1" ht="13.8">
      <c r="A311" s="830" t="s">
        <v>1227</v>
      </c>
      <c r="B311" s="881" t="s">
        <v>5279</v>
      </c>
      <c r="C311" s="841"/>
      <c r="D311" s="888" t="s">
        <v>5280</v>
      </c>
      <c r="E311" s="883" t="s">
        <v>1450</v>
      </c>
      <c r="F311" s="761">
        <v>1100</v>
      </c>
      <c r="G311" s="746"/>
      <c r="H311" s="752">
        <v>0</v>
      </c>
      <c r="I311" s="879" t="s">
        <v>4908</v>
      </c>
      <c r="J311" s="884">
        <v>73613</v>
      </c>
      <c r="K311" s="885">
        <v>73613</v>
      </c>
      <c r="M311" s="886">
        <v>5.0999999999999996</v>
      </c>
      <c r="N311" s="886"/>
      <c r="S311" s="840"/>
    </row>
    <row r="312" spans="1:19" s="830" customFormat="1" ht="13.8">
      <c r="A312" s="830" t="s">
        <v>1227</v>
      </c>
      <c r="B312" s="881" t="s">
        <v>5281</v>
      </c>
      <c r="C312" s="841"/>
      <c r="D312" s="888" t="s">
        <v>5282</v>
      </c>
      <c r="E312" s="883" t="s">
        <v>1450</v>
      </c>
      <c r="F312" s="761">
        <v>275</v>
      </c>
      <c r="G312" s="746"/>
      <c r="H312" s="752">
        <v>0</v>
      </c>
      <c r="I312" s="879" t="s">
        <v>4908</v>
      </c>
      <c r="J312" s="884" t="s">
        <v>5283</v>
      </c>
      <c r="K312" s="885" t="s">
        <v>5283</v>
      </c>
      <c r="M312" s="886">
        <v>8.84</v>
      </c>
      <c r="N312" s="886"/>
      <c r="S312" s="840"/>
    </row>
    <row r="313" spans="1:19" s="830" customFormat="1" ht="13.8">
      <c r="A313" s="830" t="s">
        <v>1227</v>
      </c>
      <c r="B313" s="881" t="s">
        <v>5284</v>
      </c>
      <c r="C313" s="841"/>
      <c r="D313" s="888" t="s">
        <v>5285</v>
      </c>
      <c r="E313" s="883" t="s">
        <v>1450</v>
      </c>
      <c r="F313" s="761">
        <v>20</v>
      </c>
      <c r="G313" s="746"/>
      <c r="H313" s="752">
        <v>0</v>
      </c>
      <c r="I313" s="879" t="s">
        <v>4872</v>
      </c>
      <c r="J313" s="754">
        <v>90204</v>
      </c>
      <c r="K313" s="860">
        <v>90204</v>
      </c>
      <c r="M313" s="886">
        <v>13.3</v>
      </c>
      <c r="N313" s="886"/>
      <c r="S313" s="840"/>
    </row>
    <row r="314" spans="1:19" s="830" customFormat="1" ht="13.8">
      <c r="A314" s="830" t="s">
        <v>1227</v>
      </c>
      <c r="B314" s="881" t="s">
        <v>5286</v>
      </c>
      <c r="C314" s="841"/>
      <c r="D314" s="888" t="s">
        <v>5110</v>
      </c>
      <c r="E314" s="883" t="s">
        <v>1450</v>
      </c>
      <c r="F314" s="761">
        <v>10</v>
      </c>
      <c r="G314" s="746"/>
      <c r="H314" s="752">
        <v>0</v>
      </c>
      <c r="I314" s="879" t="s">
        <v>4908</v>
      </c>
      <c r="J314" s="884">
        <v>55866</v>
      </c>
      <c r="K314" s="885">
        <v>55866</v>
      </c>
      <c r="M314" s="886">
        <v>20.190000000000001</v>
      </c>
      <c r="N314" s="886"/>
      <c r="S314" s="840"/>
    </row>
    <row r="315" spans="1:19" s="830" customFormat="1" ht="39.6">
      <c r="B315" s="881" t="s">
        <v>5287</v>
      </c>
      <c r="C315" s="841"/>
      <c r="D315" s="882" t="s">
        <v>5288</v>
      </c>
      <c r="E315" s="883"/>
      <c r="F315" s="761"/>
      <c r="G315" s="746"/>
      <c r="H315" s="752">
        <v>0</v>
      </c>
      <c r="I315" s="879"/>
      <c r="J315" s="884"/>
      <c r="K315" s="885"/>
      <c r="M315" s="812"/>
      <c r="N315" s="812"/>
      <c r="S315" s="840"/>
    </row>
    <row r="316" spans="1:19" s="830" customFormat="1" ht="13.8">
      <c r="A316" s="830" t="s">
        <v>1227</v>
      </c>
      <c r="B316" s="881" t="s">
        <v>5289</v>
      </c>
      <c r="C316" s="841"/>
      <c r="D316" s="888" t="s">
        <v>5280</v>
      </c>
      <c r="E316" s="883" t="s">
        <v>4895</v>
      </c>
      <c r="F316" s="761">
        <v>370</v>
      </c>
      <c r="G316" s="746"/>
      <c r="H316" s="752">
        <v>0</v>
      </c>
      <c r="I316" s="879"/>
      <c r="J316" s="884"/>
      <c r="K316" s="885"/>
      <c r="M316" s="812">
        <v>5.0999999999999996</v>
      </c>
      <c r="N316" s="812"/>
      <c r="S316" s="840"/>
    </row>
    <row r="317" spans="1:19" s="830" customFormat="1" ht="13.8">
      <c r="A317" s="830" t="s">
        <v>1227</v>
      </c>
      <c r="B317" s="881" t="s">
        <v>5290</v>
      </c>
      <c r="C317" s="841"/>
      <c r="D317" s="888" t="s">
        <v>5282</v>
      </c>
      <c r="E317" s="883" t="s">
        <v>4895</v>
      </c>
      <c r="F317" s="761">
        <v>50</v>
      </c>
      <c r="G317" s="746"/>
      <c r="H317" s="752">
        <v>0</v>
      </c>
      <c r="I317" s="879"/>
      <c r="J317" s="884"/>
      <c r="K317" s="885"/>
      <c r="M317" s="812">
        <v>8.84</v>
      </c>
      <c r="N317" s="812"/>
      <c r="S317" s="840"/>
    </row>
    <row r="318" spans="1:19" s="830" customFormat="1" ht="13.8">
      <c r="A318" s="830" t="s">
        <v>1227</v>
      </c>
      <c r="B318" s="881" t="s">
        <v>5291</v>
      </c>
      <c r="C318" s="841"/>
      <c r="D318" s="888" t="s">
        <v>5285</v>
      </c>
      <c r="E318" s="883" t="s">
        <v>4895</v>
      </c>
      <c r="F318" s="761">
        <v>10</v>
      </c>
      <c r="G318" s="746"/>
      <c r="H318" s="752">
        <v>0</v>
      </c>
      <c r="I318" s="879"/>
      <c r="J318" s="884"/>
      <c r="K318" s="885"/>
      <c r="M318" s="812">
        <v>12.4</v>
      </c>
      <c r="N318" s="812"/>
      <c r="S318" s="840"/>
    </row>
    <row r="319" spans="1:19" s="830" customFormat="1" ht="13.8">
      <c r="A319" s="830" t="s">
        <v>1227</v>
      </c>
      <c r="B319" s="881" t="s">
        <v>5292</v>
      </c>
      <c r="C319" s="841"/>
      <c r="D319" s="888" t="s">
        <v>5110</v>
      </c>
      <c r="E319" s="883" t="s">
        <v>4895</v>
      </c>
      <c r="F319" s="761">
        <v>10</v>
      </c>
      <c r="G319" s="746"/>
      <c r="H319" s="752">
        <v>0</v>
      </c>
      <c r="I319" s="879"/>
      <c r="J319" s="884"/>
      <c r="K319" s="885"/>
      <c r="M319" s="812">
        <v>20.190000000000001</v>
      </c>
      <c r="N319" s="812"/>
      <c r="S319" s="840"/>
    </row>
    <row r="320" spans="1:19" s="830" customFormat="1" ht="29.25" customHeight="1">
      <c r="B320" s="881" t="s">
        <v>5293</v>
      </c>
      <c r="C320" s="841"/>
      <c r="D320" s="882" t="s">
        <v>5294</v>
      </c>
      <c r="E320" s="883"/>
      <c r="F320" s="761"/>
      <c r="G320" s="746"/>
      <c r="H320" s="752">
        <v>0</v>
      </c>
      <c r="I320" s="879"/>
      <c r="J320" s="884"/>
      <c r="K320" s="885"/>
      <c r="M320" s="812"/>
      <c r="N320" s="812"/>
      <c r="S320" s="840"/>
    </row>
    <row r="321" spans="1:19" s="830" customFormat="1" ht="13.8">
      <c r="A321" s="830" t="s">
        <v>1227</v>
      </c>
      <c r="B321" s="881" t="s">
        <v>5295</v>
      </c>
      <c r="C321" s="841"/>
      <c r="D321" s="882" t="s">
        <v>5296</v>
      </c>
      <c r="E321" s="883" t="s">
        <v>4895</v>
      </c>
      <c r="F321" s="761">
        <v>150</v>
      </c>
      <c r="G321" s="746"/>
      <c r="H321" s="752">
        <v>0</v>
      </c>
      <c r="I321" s="879"/>
      <c r="J321" s="884"/>
      <c r="K321" s="885"/>
      <c r="M321" s="812">
        <v>1</v>
      </c>
      <c r="N321" s="812">
        <v>3.41</v>
      </c>
      <c r="S321" s="840"/>
    </row>
    <row r="322" spans="1:19" s="830" customFormat="1" ht="13.8">
      <c r="A322" s="830" t="s">
        <v>1227</v>
      </c>
      <c r="B322" s="881" t="s">
        <v>5297</v>
      </c>
      <c r="C322" s="841"/>
      <c r="D322" s="882" t="s">
        <v>5298</v>
      </c>
      <c r="E322" s="883" t="s">
        <v>4895</v>
      </c>
      <c r="F322" s="761">
        <v>150</v>
      </c>
      <c r="G322" s="746"/>
      <c r="H322" s="752">
        <v>0</v>
      </c>
      <c r="I322" s="879"/>
      <c r="J322" s="884"/>
      <c r="K322" s="885"/>
      <c r="M322" s="812">
        <v>1.4</v>
      </c>
      <c r="N322" s="812">
        <v>3.41</v>
      </c>
      <c r="S322" s="840"/>
    </row>
    <row r="323" spans="1:19" s="830" customFormat="1" ht="26.4">
      <c r="A323" s="830" t="s">
        <v>1227</v>
      </c>
      <c r="B323" s="881" t="s">
        <v>5299</v>
      </c>
      <c r="C323" s="841"/>
      <c r="D323" s="882" t="s">
        <v>5300</v>
      </c>
      <c r="E323" s="883" t="s">
        <v>4895</v>
      </c>
      <c r="F323" s="761">
        <v>100</v>
      </c>
      <c r="G323" s="746"/>
      <c r="H323" s="752">
        <v>0</v>
      </c>
      <c r="I323" s="879" t="s">
        <v>4872</v>
      </c>
      <c r="J323" s="754">
        <v>90550</v>
      </c>
      <c r="K323" s="860">
        <v>90550</v>
      </c>
      <c r="M323" s="812">
        <v>88.37</v>
      </c>
      <c r="N323" s="812">
        <v>45.52</v>
      </c>
      <c r="S323" s="840"/>
    </row>
    <row r="324" spans="1:19" s="830" customFormat="1" ht="52.8">
      <c r="B324" s="881" t="s">
        <v>5301</v>
      </c>
      <c r="C324" s="841"/>
      <c r="D324" s="882" t="s">
        <v>5302</v>
      </c>
      <c r="E324" s="883"/>
      <c r="F324" s="761"/>
      <c r="G324" s="746"/>
      <c r="H324" s="752">
        <v>0</v>
      </c>
      <c r="I324" s="879"/>
      <c r="J324" s="884"/>
      <c r="K324" s="885"/>
      <c r="M324" s="812"/>
      <c r="N324" s="812"/>
      <c r="S324" s="840"/>
    </row>
    <row r="325" spans="1:19" s="830" customFormat="1" ht="13.8">
      <c r="A325" s="830" t="s">
        <v>1227</v>
      </c>
      <c r="B325" s="881" t="s">
        <v>5303</v>
      </c>
      <c r="C325" s="841"/>
      <c r="D325" s="882" t="s">
        <v>5304</v>
      </c>
      <c r="E325" s="883" t="s">
        <v>1450</v>
      </c>
      <c r="F325" s="761">
        <v>120000</v>
      </c>
      <c r="G325" s="746"/>
      <c r="H325" s="752">
        <v>0</v>
      </c>
      <c r="I325" s="879" t="s">
        <v>4908</v>
      </c>
      <c r="J325" s="884" t="s">
        <v>5305</v>
      </c>
      <c r="K325" s="885" t="s">
        <v>5305</v>
      </c>
      <c r="M325" s="812">
        <v>2.02</v>
      </c>
      <c r="N325" s="812"/>
      <c r="S325" s="840"/>
    </row>
    <row r="326" spans="1:19" s="830" customFormat="1" ht="13.8">
      <c r="A326" s="830" t="s">
        <v>1227</v>
      </c>
      <c r="B326" s="881" t="s">
        <v>5306</v>
      </c>
      <c r="C326" s="841"/>
      <c r="D326" s="882" t="s">
        <v>5307</v>
      </c>
      <c r="E326" s="883" t="s">
        <v>1450</v>
      </c>
      <c r="F326" s="761">
        <v>50000</v>
      </c>
      <c r="G326" s="746"/>
      <c r="H326" s="752">
        <v>0</v>
      </c>
      <c r="I326" s="879" t="s">
        <v>4908</v>
      </c>
      <c r="J326" s="884" t="s">
        <v>5308</v>
      </c>
      <c r="K326" s="885" t="s">
        <v>5308</v>
      </c>
      <c r="M326" s="812">
        <v>2.96</v>
      </c>
      <c r="N326" s="812"/>
      <c r="S326" s="840"/>
    </row>
    <row r="327" spans="1:19" s="830" customFormat="1" ht="13.8">
      <c r="A327" s="830" t="s">
        <v>1227</v>
      </c>
      <c r="B327" s="881" t="s">
        <v>5309</v>
      </c>
      <c r="C327" s="841"/>
      <c r="D327" s="882" t="s">
        <v>5310</v>
      </c>
      <c r="E327" s="883" t="s">
        <v>1450</v>
      </c>
      <c r="F327" s="761">
        <v>8000</v>
      </c>
      <c r="G327" s="746"/>
      <c r="H327" s="752">
        <v>0</v>
      </c>
      <c r="I327" s="879" t="s">
        <v>4908</v>
      </c>
      <c r="J327" s="884" t="s">
        <v>5311</v>
      </c>
      <c r="K327" s="885" t="s">
        <v>5311</v>
      </c>
      <c r="M327" s="812">
        <v>4</v>
      </c>
      <c r="N327" s="812"/>
      <c r="S327" s="840"/>
    </row>
    <row r="328" spans="1:19" s="830" customFormat="1" ht="13.8">
      <c r="A328" s="830" t="s">
        <v>1227</v>
      </c>
      <c r="B328" s="881" t="s">
        <v>5312</v>
      </c>
      <c r="C328" s="841"/>
      <c r="D328" s="882" t="s">
        <v>5313</v>
      </c>
      <c r="E328" s="883" t="s">
        <v>1450</v>
      </c>
      <c r="F328" s="761">
        <v>120</v>
      </c>
      <c r="G328" s="746"/>
      <c r="H328" s="752">
        <v>0</v>
      </c>
      <c r="I328" s="879" t="s">
        <v>4908</v>
      </c>
      <c r="J328" s="884" t="s">
        <v>5314</v>
      </c>
      <c r="K328" s="885" t="s">
        <v>5314</v>
      </c>
      <c r="M328" s="812">
        <v>6.14</v>
      </c>
      <c r="N328" s="812"/>
      <c r="S328" s="840"/>
    </row>
    <row r="329" spans="1:19" s="830" customFormat="1" ht="13.8">
      <c r="A329" s="830" t="s">
        <v>1227</v>
      </c>
      <c r="B329" s="881" t="s">
        <v>5315</v>
      </c>
      <c r="C329" s="841"/>
      <c r="D329" s="882" t="s">
        <v>5316</v>
      </c>
      <c r="E329" s="883" t="s">
        <v>1450</v>
      </c>
      <c r="F329" s="761">
        <v>80</v>
      </c>
      <c r="G329" s="746"/>
      <c r="H329" s="752">
        <v>0</v>
      </c>
      <c r="I329" s="879" t="s">
        <v>4908</v>
      </c>
      <c r="J329" s="884" t="s">
        <v>5317</v>
      </c>
      <c r="K329" s="885" t="s">
        <v>5317</v>
      </c>
      <c r="M329" s="812">
        <v>7.05</v>
      </c>
      <c r="N329" s="812"/>
      <c r="S329" s="840"/>
    </row>
    <row r="330" spans="1:19" s="830" customFormat="1" ht="65.25" customHeight="1">
      <c r="B330" s="881" t="s">
        <v>5318</v>
      </c>
      <c r="C330" s="841"/>
      <c r="D330" s="882" t="s">
        <v>5319</v>
      </c>
      <c r="E330" s="889"/>
      <c r="F330" s="813"/>
      <c r="G330" s="746"/>
      <c r="H330" s="752">
        <v>0</v>
      </c>
      <c r="I330" s="879"/>
      <c r="J330" s="884"/>
      <c r="K330" s="885"/>
      <c r="M330" s="814"/>
      <c r="N330" s="814"/>
      <c r="S330" s="840"/>
    </row>
    <row r="331" spans="1:19" s="830" customFormat="1" ht="13.8">
      <c r="A331" s="830" t="s">
        <v>1227</v>
      </c>
      <c r="B331" s="881" t="s">
        <v>5320</v>
      </c>
      <c r="C331" s="841"/>
      <c r="D331" s="882" t="s">
        <v>5321</v>
      </c>
      <c r="E331" s="889" t="s">
        <v>1450</v>
      </c>
      <c r="F331" s="813">
        <v>1460</v>
      </c>
      <c r="G331" s="746"/>
      <c r="H331" s="752">
        <v>0</v>
      </c>
      <c r="I331" s="879" t="s">
        <v>4908</v>
      </c>
      <c r="J331" s="884" t="s">
        <v>5311</v>
      </c>
      <c r="K331" s="885" t="s">
        <v>5311</v>
      </c>
      <c r="M331" s="812">
        <v>4</v>
      </c>
      <c r="N331" s="812"/>
      <c r="S331" s="840"/>
    </row>
    <row r="332" spans="1:19" s="830" customFormat="1" ht="13.8">
      <c r="A332" s="830" t="s">
        <v>1227</v>
      </c>
      <c r="B332" s="881" t="s">
        <v>5322</v>
      </c>
      <c r="C332" s="841"/>
      <c r="D332" s="882" t="s">
        <v>5323</v>
      </c>
      <c r="E332" s="889" t="s">
        <v>1450</v>
      </c>
      <c r="F332" s="813">
        <v>760</v>
      </c>
      <c r="G332" s="746"/>
      <c r="H332" s="752">
        <v>0</v>
      </c>
      <c r="I332" s="879" t="s">
        <v>4908</v>
      </c>
      <c r="J332" s="884" t="s">
        <v>5314</v>
      </c>
      <c r="K332" s="885" t="s">
        <v>5314</v>
      </c>
      <c r="M332" s="812">
        <v>6.14</v>
      </c>
      <c r="N332" s="812"/>
      <c r="S332" s="840"/>
    </row>
    <row r="333" spans="1:19" s="830" customFormat="1" ht="13.8">
      <c r="A333" s="830" t="s">
        <v>1227</v>
      </c>
      <c r="B333" s="881" t="s">
        <v>5324</v>
      </c>
      <c r="C333" s="841"/>
      <c r="D333" s="882" t="s">
        <v>5325</v>
      </c>
      <c r="E333" s="889" t="s">
        <v>1450</v>
      </c>
      <c r="F333" s="813">
        <v>70</v>
      </c>
      <c r="G333" s="746"/>
      <c r="H333" s="752">
        <v>0</v>
      </c>
      <c r="I333" s="879" t="s">
        <v>4908</v>
      </c>
      <c r="J333" s="884" t="s">
        <v>5317</v>
      </c>
      <c r="K333" s="885" t="s">
        <v>5317</v>
      </c>
      <c r="M333" s="812">
        <v>7.05</v>
      </c>
      <c r="N333" s="812"/>
      <c r="S333" s="840"/>
    </row>
    <row r="334" spans="1:19" s="830" customFormat="1" ht="13.8">
      <c r="A334" s="830" t="s">
        <v>1227</v>
      </c>
      <c r="B334" s="881" t="s">
        <v>5326</v>
      </c>
      <c r="C334" s="841"/>
      <c r="D334" s="882" t="s">
        <v>5327</v>
      </c>
      <c r="E334" s="889" t="s">
        <v>1450</v>
      </c>
      <c r="F334" s="813">
        <v>140</v>
      </c>
      <c r="G334" s="746"/>
      <c r="H334" s="752">
        <v>0</v>
      </c>
      <c r="I334" s="879" t="s">
        <v>4908</v>
      </c>
      <c r="J334" s="884" t="s">
        <v>5328</v>
      </c>
      <c r="K334" s="885" t="s">
        <v>5328</v>
      </c>
      <c r="M334" s="814">
        <v>10.210000000000001</v>
      </c>
      <c r="N334" s="814"/>
      <c r="S334" s="840"/>
    </row>
    <row r="335" spans="1:19" s="830" customFormat="1" ht="13.8">
      <c r="A335" s="830" t="s">
        <v>1227</v>
      </c>
      <c r="B335" s="881" t="s">
        <v>5329</v>
      </c>
      <c r="C335" s="841"/>
      <c r="D335" s="882" t="s">
        <v>5330</v>
      </c>
      <c r="E335" s="889" t="s">
        <v>1450</v>
      </c>
      <c r="F335" s="813">
        <v>190</v>
      </c>
      <c r="G335" s="746"/>
      <c r="H335" s="752">
        <v>0</v>
      </c>
      <c r="I335" s="879" t="s">
        <v>4908</v>
      </c>
      <c r="J335" s="884" t="s">
        <v>5331</v>
      </c>
      <c r="K335" s="885" t="s">
        <v>5331</v>
      </c>
      <c r="M335" s="814">
        <v>13.89</v>
      </c>
      <c r="N335" s="814"/>
      <c r="S335" s="840"/>
    </row>
    <row r="336" spans="1:19" s="830" customFormat="1" ht="13.8">
      <c r="A336" s="830" t="s">
        <v>1227</v>
      </c>
      <c r="B336" s="881" t="s">
        <v>5332</v>
      </c>
      <c r="C336" s="841"/>
      <c r="D336" s="882" t="s">
        <v>5333</v>
      </c>
      <c r="E336" s="889" t="s">
        <v>1450</v>
      </c>
      <c r="F336" s="813">
        <v>70</v>
      </c>
      <c r="G336" s="746"/>
      <c r="H336" s="752">
        <v>0</v>
      </c>
      <c r="I336" s="879" t="s">
        <v>4908</v>
      </c>
      <c r="J336" s="884" t="s">
        <v>5334</v>
      </c>
      <c r="K336" s="885" t="s">
        <v>5334</v>
      </c>
      <c r="M336" s="814">
        <v>18.71</v>
      </c>
      <c r="N336" s="814"/>
      <c r="S336" s="840"/>
    </row>
    <row r="337" spans="1:19" s="830" customFormat="1" ht="13.8">
      <c r="A337" s="830" t="s">
        <v>1227</v>
      </c>
      <c r="B337" s="881" t="s">
        <v>5335</v>
      </c>
      <c r="C337" s="841"/>
      <c r="D337" s="882" t="s">
        <v>5336</v>
      </c>
      <c r="E337" s="889" t="s">
        <v>1450</v>
      </c>
      <c r="F337" s="813">
        <v>80</v>
      </c>
      <c r="G337" s="746"/>
      <c r="H337" s="752">
        <v>0</v>
      </c>
      <c r="I337" s="879" t="s">
        <v>4908</v>
      </c>
      <c r="J337" s="884" t="s">
        <v>5337</v>
      </c>
      <c r="K337" s="885" t="s">
        <v>5337</v>
      </c>
      <c r="M337" s="814">
        <v>26.58</v>
      </c>
      <c r="N337" s="814"/>
      <c r="S337" s="840"/>
    </row>
    <row r="338" spans="1:19" s="830" customFormat="1" ht="13.8">
      <c r="A338" s="830" t="s">
        <v>1227</v>
      </c>
      <c r="B338" s="881" t="s">
        <v>5338</v>
      </c>
      <c r="C338" s="841"/>
      <c r="D338" s="882" t="s">
        <v>5339</v>
      </c>
      <c r="E338" s="889" t="s">
        <v>1450</v>
      </c>
      <c r="F338" s="813">
        <v>160</v>
      </c>
      <c r="G338" s="746"/>
      <c r="H338" s="752">
        <v>0</v>
      </c>
      <c r="I338" s="879" t="s">
        <v>4908</v>
      </c>
      <c r="J338" s="884" t="s">
        <v>5340</v>
      </c>
      <c r="K338" s="885" t="s">
        <v>5340</v>
      </c>
      <c r="M338" s="814">
        <v>43.24</v>
      </c>
      <c r="N338" s="814"/>
      <c r="S338" s="840"/>
    </row>
    <row r="339" spans="1:19" s="830" customFormat="1" ht="26.4">
      <c r="B339" s="881" t="s">
        <v>5341</v>
      </c>
      <c r="C339" s="841"/>
      <c r="D339" s="882" t="s">
        <v>5342</v>
      </c>
      <c r="E339" s="889"/>
      <c r="F339" s="813"/>
      <c r="G339" s="746"/>
      <c r="H339" s="752">
        <v>0</v>
      </c>
      <c r="I339" s="879"/>
      <c r="J339" s="884"/>
      <c r="K339" s="885"/>
      <c r="M339" s="814"/>
      <c r="N339" s="814"/>
      <c r="S339" s="840"/>
    </row>
    <row r="340" spans="1:19" s="830" customFormat="1" ht="13.8">
      <c r="A340" s="830" t="s">
        <v>1227</v>
      </c>
      <c r="B340" s="881" t="s">
        <v>5343</v>
      </c>
      <c r="C340" s="841"/>
      <c r="D340" s="888" t="s">
        <v>5282</v>
      </c>
      <c r="E340" s="889" t="s">
        <v>1450</v>
      </c>
      <c r="F340" s="813">
        <v>50</v>
      </c>
      <c r="G340" s="746"/>
      <c r="H340" s="752">
        <v>0</v>
      </c>
      <c r="I340" s="879"/>
      <c r="J340" s="884"/>
      <c r="K340" s="885"/>
      <c r="M340" s="814">
        <v>4.8499999999999996</v>
      </c>
      <c r="N340" s="814">
        <v>11.38</v>
      </c>
      <c r="S340" s="840"/>
    </row>
    <row r="341" spans="1:19" s="830" customFormat="1" ht="13.8">
      <c r="A341" s="830" t="s">
        <v>1227</v>
      </c>
      <c r="B341" s="881" t="s">
        <v>5344</v>
      </c>
      <c r="C341" s="841"/>
      <c r="D341" s="888" t="s">
        <v>5110</v>
      </c>
      <c r="E341" s="889" t="s">
        <v>1450</v>
      </c>
      <c r="F341" s="813">
        <v>50</v>
      </c>
      <c r="G341" s="746"/>
      <c r="H341" s="752">
        <v>0</v>
      </c>
      <c r="I341" s="879"/>
      <c r="J341" s="884"/>
      <c r="K341" s="885"/>
      <c r="M341" s="814">
        <v>7.76</v>
      </c>
      <c r="N341" s="814">
        <v>11.38</v>
      </c>
      <c r="S341" s="840"/>
    </row>
    <row r="342" spans="1:19" s="830" customFormat="1" ht="13.8">
      <c r="A342" s="830" t="s">
        <v>1227</v>
      </c>
      <c r="B342" s="881" t="s">
        <v>5345</v>
      </c>
      <c r="C342" s="841"/>
      <c r="D342" s="888" t="s">
        <v>5112</v>
      </c>
      <c r="E342" s="889" t="s">
        <v>1450</v>
      </c>
      <c r="F342" s="813">
        <v>50</v>
      </c>
      <c r="G342" s="746"/>
      <c r="H342" s="752">
        <v>0</v>
      </c>
      <c r="I342" s="879"/>
      <c r="J342" s="884"/>
      <c r="K342" s="885"/>
      <c r="M342" s="814">
        <v>18.850000000000001</v>
      </c>
      <c r="N342" s="814">
        <v>18.21</v>
      </c>
      <c r="S342" s="840"/>
    </row>
    <row r="343" spans="1:19" s="830" customFormat="1" ht="13.8">
      <c r="A343" s="830" t="s">
        <v>1227</v>
      </c>
      <c r="B343" s="881" t="s">
        <v>5346</v>
      </c>
      <c r="C343" s="841"/>
      <c r="D343" s="888" t="s">
        <v>5347</v>
      </c>
      <c r="E343" s="889" t="s">
        <v>1450</v>
      </c>
      <c r="F343" s="813">
        <v>50</v>
      </c>
      <c r="G343" s="746"/>
      <c r="H343" s="752">
        <v>0</v>
      </c>
      <c r="I343" s="879"/>
      <c r="J343" s="884"/>
      <c r="K343" s="885"/>
      <c r="M343" s="814">
        <v>21.1</v>
      </c>
      <c r="N343" s="814">
        <v>25.04</v>
      </c>
      <c r="S343" s="840"/>
    </row>
    <row r="344" spans="1:19" s="830" customFormat="1" ht="79.2">
      <c r="A344" s="830" t="s">
        <v>1227</v>
      </c>
      <c r="B344" s="881" t="s">
        <v>5348</v>
      </c>
      <c r="C344" s="841"/>
      <c r="D344" s="882" t="s">
        <v>5349</v>
      </c>
      <c r="E344" s="883" t="s">
        <v>4895</v>
      </c>
      <c r="F344" s="761">
        <v>5</v>
      </c>
      <c r="G344" s="746"/>
      <c r="H344" s="752">
        <v>0</v>
      </c>
      <c r="I344" s="879"/>
      <c r="J344" s="884"/>
      <c r="K344" s="885"/>
      <c r="M344" s="812">
        <v>1620</v>
      </c>
      <c r="N344" s="812">
        <v>870</v>
      </c>
      <c r="S344" s="840"/>
    </row>
    <row r="345" spans="1:19" s="830" customFormat="1" ht="53.25" customHeight="1">
      <c r="A345" s="830" t="s">
        <v>1227</v>
      </c>
      <c r="B345" s="881" t="s">
        <v>5350</v>
      </c>
      <c r="C345" s="841"/>
      <c r="D345" s="882" t="s">
        <v>5351</v>
      </c>
      <c r="E345" s="883" t="s">
        <v>4895</v>
      </c>
      <c r="F345" s="761">
        <v>7</v>
      </c>
      <c r="G345" s="746"/>
      <c r="H345" s="752">
        <v>0</v>
      </c>
      <c r="I345" s="879"/>
      <c r="J345" s="884"/>
      <c r="K345" s="885"/>
      <c r="M345" s="812">
        <v>2850</v>
      </c>
      <c r="N345" s="812">
        <v>870</v>
      </c>
      <c r="S345" s="840"/>
    </row>
    <row r="346" spans="1:19" s="830" customFormat="1" ht="13.8">
      <c r="B346" s="876" t="s">
        <v>967</v>
      </c>
      <c r="C346" s="877"/>
      <c r="D346" s="878" t="s">
        <v>5352</v>
      </c>
      <c r="E346" s="877"/>
      <c r="F346" s="759"/>
      <c r="G346" s="746"/>
      <c r="H346" s="752">
        <v>0</v>
      </c>
      <c r="I346" s="879"/>
      <c r="J346" s="884"/>
      <c r="K346" s="885"/>
      <c r="M346" s="890"/>
      <c r="N346" s="890"/>
      <c r="S346" s="840"/>
    </row>
    <row r="347" spans="1:19" s="830" customFormat="1" ht="29.25" customHeight="1">
      <c r="A347" s="830" t="s">
        <v>1227</v>
      </c>
      <c r="B347" s="881" t="s">
        <v>970</v>
      </c>
      <c r="C347" s="841"/>
      <c r="D347" s="882" t="s">
        <v>5353</v>
      </c>
      <c r="E347" s="883" t="s">
        <v>4895</v>
      </c>
      <c r="F347" s="761">
        <v>26</v>
      </c>
      <c r="G347" s="746"/>
      <c r="H347" s="752">
        <v>0</v>
      </c>
      <c r="I347" s="1407" t="s">
        <v>5022</v>
      </c>
      <c r="J347" s="1407"/>
      <c r="K347" s="885"/>
      <c r="M347" s="812">
        <v>360</v>
      </c>
      <c r="N347" s="812">
        <v>125</v>
      </c>
      <c r="S347" s="840"/>
    </row>
    <row r="348" spans="1:19" s="830" customFormat="1" ht="39.6">
      <c r="A348" s="830" t="s">
        <v>1227</v>
      </c>
      <c r="B348" s="881" t="s">
        <v>972</v>
      </c>
      <c r="C348" s="841"/>
      <c r="D348" s="882" t="s">
        <v>5354</v>
      </c>
      <c r="E348" s="883" t="s">
        <v>4895</v>
      </c>
      <c r="F348" s="761">
        <v>90</v>
      </c>
      <c r="G348" s="746"/>
      <c r="H348" s="752">
        <v>0</v>
      </c>
      <c r="I348" s="879" t="s">
        <v>4872</v>
      </c>
      <c r="J348" s="754">
        <v>91066</v>
      </c>
      <c r="K348" s="860">
        <v>91066</v>
      </c>
      <c r="M348" s="812">
        <v>138.03</v>
      </c>
      <c r="N348" s="812"/>
      <c r="S348" s="840"/>
    </row>
    <row r="349" spans="1:19" s="830" customFormat="1" ht="26.4">
      <c r="A349" s="830" t="s">
        <v>1227</v>
      </c>
      <c r="B349" s="881" t="s">
        <v>974</v>
      </c>
      <c r="C349" s="841"/>
      <c r="D349" s="882" t="s">
        <v>5355</v>
      </c>
      <c r="E349" s="883" t="s">
        <v>4895</v>
      </c>
      <c r="F349" s="761">
        <v>4</v>
      </c>
      <c r="G349" s="746"/>
      <c r="H349" s="752">
        <v>0</v>
      </c>
      <c r="I349" s="879" t="s">
        <v>4872</v>
      </c>
      <c r="J349" s="754">
        <v>91055</v>
      </c>
      <c r="K349" s="860">
        <v>91055</v>
      </c>
      <c r="M349" s="812">
        <v>39.659999999999997</v>
      </c>
      <c r="N349" s="812"/>
      <c r="S349" s="840"/>
    </row>
    <row r="350" spans="1:19" s="830" customFormat="1" ht="26.4">
      <c r="A350" s="830" t="s">
        <v>1227</v>
      </c>
      <c r="B350" s="881" t="s">
        <v>976</v>
      </c>
      <c r="C350" s="841"/>
      <c r="D350" s="882" t="s">
        <v>5356</v>
      </c>
      <c r="E350" s="883" t="s">
        <v>4895</v>
      </c>
      <c r="F350" s="761">
        <v>1</v>
      </c>
      <c r="G350" s="746"/>
      <c r="H350" s="752">
        <v>0</v>
      </c>
      <c r="I350" s="879"/>
      <c r="J350" s="884"/>
      <c r="K350" s="885"/>
      <c r="M350" s="812">
        <v>459</v>
      </c>
      <c r="N350" s="812">
        <v>46</v>
      </c>
      <c r="S350" s="840"/>
    </row>
    <row r="351" spans="1:19" s="830" customFormat="1" ht="66">
      <c r="A351" s="830" t="s">
        <v>1227</v>
      </c>
      <c r="B351" s="881" t="s">
        <v>978</v>
      </c>
      <c r="C351" s="841"/>
      <c r="D351" s="882" t="s">
        <v>5357</v>
      </c>
      <c r="E351" s="883" t="s">
        <v>1450</v>
      </c>
      <c r="F351" s="761">
        <v>5500</v>
      </c>
      <c r="G351" s="746"/>
      <c r="H351" s="752">
        <v>0</v>
      </c>
      <c r="I351" s="879"/>
      <c r="J351" s="884"/>
      <c r="K351" s="885"/>
      <c r="M351" s="812">
        <v>1.55</v>
      </c>
      <c r="N351" s="812">
        <v>2.9</v>
      </c>
      <c r="S351" s="840"/>
    </row>
    <row r="352" spans="1:19" s="830" customFormat="1" ht="39.6">
      <c r="A352" s="830" t="s">
        <v>1227</v>
      </c>
      <c r="B352" s="881" t="s">
        <v>980</v>
      </c>
      <c r="C352" s="841"/>
      <c r="D352" s="882" t="s">
        <v>5358</v>
      </c>
      <c r="E352" s="883"/>
      <c r="F352" s="761"/>
      <c r="G352" s="746"/>
      <c r="H352" s="752">
        <v>0</v>
      </c>
      <c r="I352" s="879"/>
      <c r="J352" s="884"/>
      <c r="K352" s="885"/>
      <c r="M352" s="812"/>
      <c r="N352" s="812"/>
      <c r="S352" s="840"/>
    </row>
    <row r="353" spans="1:19" s="830" customFormat="1" ht="13.8">
      <c r="B353" s="881" t="s">
        <v>5359</v>
      </c>
      <c r="C353" s="841"/>
      <c r="D353" s="882" t="s">
        <v>5280</v>
      </c>
      <c r="E353" s="883" t="s">
        <v>1450</v>
      </c>
      <c r="F353" s="761">
        <v>460</v>
      </c>
      <c r="G353" s="746"/>
      <c r="H353" s="752">
        <v>0</v>
      </c>
      <c r="I353" s="879" t="s">
        <v>4908</v>
      </c>
      <c r="J353" s="884">
        <v>72308</v>
      </c>
      <c r="K353" s="885">
        <v>72308</v>
      </c>
      <c r="M353" s="812">
        <v>16.7</v>
      </c>
      <c r="N353" s="812"/>
      <c r="S353" s="840"/>
    </row>
    <row r="354" spans="1:19" s="830" customFormat="1" ht="13.8">
      <c r="B354" s="876" t="s">
        <v>984</v>
      </c>
      <c r="C354" s="877"/>
      <c r="D354" s="878" t="s">
        <v>5360</v>
      </c>
      <c r="E354" s="877"/>
      <c r="F354" s="759"/>
      <c r="G354" s="746"/>
      <c r="H354" s="759"/>
      <c r="I354" s="879"/>
      <c r="J354" s="884"/>
      <c r="K354" s="885"/>
      <c r="M354" s="890"/>
      <c r="N354" s="890"/>
      <c r="S354" s="840"/>
    </row>
    <row r="355" spans="1:19" s="830" customFormat="1" ht="26.4">
      <c r="A355" s="830" t="s">
        <v>1227</v>
      </c>
      <c r="B355" s="881" t="s">
        <v>987</v>
      </c>
      <c r="C355" s="841"/>
      <c r="D355" s="882" t="s">
        <v>5361</v>
      </c>
      <c r="E355" s="883" t="s">
        <v>4895</v>
      </c>
      <c r="F355" s="761">
        <v>21</v>
      </c>
      <c r="G355" s="746"/>
      <c r="H355" s="752">
        <v>0</v>
      </c>
      <c r="I355" s="879" t="s">
        <v>4872</v>
      </c>
      <c r="J355" s="754">
        <v>98611</v>
      </c>
      <c r="K355" s="860">
        <v>98611</v>
      </c>
      <c r="M355" s="812">
        <v>24.43</v>
      </c>
      <c r="N355" s="812"/>
      <c r="S355" s="840"/>
    </row>
    <row r="356" spans="1:19" s="830" customFormat="1" ht="29.25" customHeight="1">
      <c r="A356" s="830" t="s">
        <v>1227</v>
      </c>
      <c r="B356" s="881" t="s">
        <v>989</v>
      </c>
      <c r="C356" s="841"/>
      <c r="D356" s="882" t="s">
        <v>5362</v>
      </c>
      <c r="E356" s="883" t="s">
        <v>4895</v>
      </c>
      <c r="F356" s="761">
        <v>22</v>
      </c>
      <c r="G356" s="746"/>
      <c r="H356" s="752">
        <v>0</v>
      </c>
      <c r="I356" s="879" t="s">
        <v>4872</v>
      </c>
      <c r="J356" s="754">
        <v>98610</v>
      </c>
      <c r="K356" s="860">
        <v>98610</v>
      </c>
      <c r="M356" s="812">
        <v>30.52</v>
      </c>
      <c r="N356" s="812"/>
      <c r="S356" s="840"/>
    </row>
    <row r="357" spans="1:19" s="830" customFormat="1" ht="29.25" customHeight="1">
      <c r="A357" s="830" t="s">
        <v>1227</v>
      </c>
      <c r="B357" s="881" t="s">
        <v>991</v>
      </c>
      <c r="C357" s="841"/>
      <c r="D357" s="882" t="s">
        <v>5363</v>
      </c>
      <c r="E357" s="883" t="s">
        <v>4895</v>
      </c>
      <c r="F357" s="761">
        <v>3</v>
      </c>
      <c r="G357" s="746"/>
      <c r="H357" s="752">
        <v>0</v>
      </c>
      <c r="I357" s="879" t="s">
        <v>4872</v>
      </c>
      <c r="J357" s="754">
        <v>98611</v>
      </c>
      <c r="K357" s="860">
        <v>98611</v>
      </c>
      <c r="M357" s="812">
        <v>24.43</v>
      </c>
      <c r="N357" s="812"/>
      <c r="S357" s="840"/>
    </row>
    <row r="358" spans="1:19" s="830" customFormat="1" ht="29.25" customHeight="1">
      <c r="A358" s="830" t="s">
        <v>1227</v>
      </c>
      <c r="B358" s="881" t="s">
        <v>993</v>
      </c>
      <c r="C358" s="841"/>
      <c r="D358" s="882" t="s">
        <v>5364</v>
      </c>
      <c r="E358" s="883" t="s">
        <v>4895</v>
      </c>
      <c r="F358" s="761">
        <v>12</v>
      </c>
      <c r="G358" s="746"/>
      <c r="H358" s="752">
        <v>0</v>
      </c>
      <c r="I358" s="879" t="s">
        <v>4872</v>
      </c>
      <c r="J358" s="754">
        <v>98610</v>
      </c>
      <c r="K358" s="860">
        <v>98610</v>
      </c>
      <c r="M358" s="812">
        <v>30.52</v>
      </c>
      <c r="N358" s="812"/>
      <c r="S358" s="840"/>
    </row>
    <row r="359" spans="1:19" s="830" customFormat="1" ht="26.4">
      <c r="A359" s="830" t="s">
        <v>1227</v>
      </c>
      <c r="B359" s="881" t="s">
        <v>5365</v>
      </c>
      <c r="C359" s="841"/>
      <c r="D359" s="882" t="s">
        <v>5366</v>
      </c>
      <c r="E359" s="883" t="s">
        <v>4895</v>
      </c>
      <c r="F359" s="761">
        <v>1</v>
      </c>
      <c r="G359" s="746"/>
      <c r="H359" s="752">
        <v>0</v>
      </c>
      <c r="I359" s="879" t="s">
        <v>4908</v>
      </c>
      <c r="J359" s="884" t="s">
        <v>5367</v>
      </c>
      <c r="K359" s="885" t="s">
        <v>5367</v>
      </c>
      <c r="M359" s="812">
        <v>147.63999999999999</v>
      </c>
      <c r="N359" s="812"/>
      <c r="S359" s="840"/>
    </row>
    <row r="360" spans="1:19" s="830" customFormat="1" ht="26.4">
      <c r="A360" s="830" t="s">
        <v>1227</v>
      </c>
      <c r="B360" s="881" t="s">
        <v>5368</v>
      </c>
      <c r="C360" s="841"/>
      <c r="D360" s="882" t="s">
        <v>5369</v>
      </c>
      <c r="E360" s="883" t="s">
        <v>4895</v>
      </c>
      <c r="F360" s="761">
        <v>1</v>
      </c>
      <c r="G360" s="746"/>
      <c r="H360" s="752">
        <v>0</v>
      </c>
      <c r="I360" s="879" t="s">
        <v>4872</v>
      </c>
      <c r="J360" s="754">
        <v>99011</v>
      </c>
      <c r="K360" s="860">
        <v>99011</v>
      </c>
      <c r="M360" s="812">
        <v>675.9</v>
      </c>
      <c r="N360" s="812"/>
      <c r="S360" s="840"/>
    </row>
    <row r="361" spans="1:19" s="830" customFormat="1" ht="39.6">
      <c r="A361" s="830" t="s">
        <v>1227</v>
      </c>
      <c r="B361" s="881" t="s">
        <v>5370</v>
      </c>
      <c r="C361" s="841"/>
      <c r="D361" s="882" t="s">
        <v>5371</v>
      </c>
      <c r="E361" s="883"/>
      <c r="F361" s="761"/>
      <c r="G361" s="746"/>
      <c r="H361" s="752">
        <v>0</v>
      </c>
      <c r="I361" s="879"/>
      <c r="J361" s="884"/>
      <c r="K361" s="885"/>
      <c r="M361" s="812"/>
      <c r="N361" s="812"/>
      <c r="S361" s="840"/>
    </row>
    <row r="362" spans="1:19" s="830" customFormat="1" ht="13.8">
      <c r="B362" s="881" t="s">
        <v>5372</v>
      </c>
      <c r="C362" s="841"/>
      <c r="D362" s="882" t="s">
        <v>5280</v>
      </c>
      <c r="E362" s="883" t="s">
        <v>5373</v>
      </c>
      <c r="F362" s="761">
        <v>350</v>
      </c>
      <c r="G362" s="746"/>
      <c r="H362" s="752">
        <v>0</v>
      </c>
      <c r="I362" s="879" t="s">
        <v>4908</v>
      </c>
      <c r="J362" s="884">
        <v>72308</v>
      </c>
      <c r="K362" s="885">
        <v>72308</v>
      </c>
      <c r="M362" s="812">
        <v>16.7</v>
      </c>
      <c r="N362" s="812"/>
      <c r="S362" s="840"/>
    </row>
    <row r="363" spans="1:19" s="830" customFormat="1" ht="13.8">
      <c r="A363" s="830" t="s">
        <v>1227</v>
      </c>
      <c r="B363" s="881" t="s">
        <v>5374</v>
      </c>
      <c r="C363" s="841"/>
      <c r="D363" s="882" t="s">
        <v>5375</v>
      </c>
      <c r="E363" s="883" t="s">
        <v>4906</v>
      </c>
      <c r="F363" s="761">
        <v>1</v>
      </c>
      <c r="G363" s="746"/>
      <c r="H363" s="752">
        <v>0</v>
      </c>
      <c r="I363" s="879"/>
      <c r="J363" s="884"/>
      <c r="K363" s="885"/>
      <c r="M363" s="812" t="s">
        <v>5376</v>
      </c>
      <c r="N363" s="812"/>
      <c r="S363" s="840"/>
    </row>
    <row r="364" spans="1:19" s="830" customFormat="1" ht="13.8">
      <c r="B364" s="876" t="s">
        <v>995</v>
      </c>
      <c r="C364" s="877"/>
      <c r="D364" s="878" t="s">
        <v>5377</v>
      </c>
      <c r="E364" s="877"/>
      <c r="F364" s="762"/>
      <c r="G364" s="746"/>
      <c r="H364" s="762"/>
      <c r="I364" s="879"/>
      <c r="J364" s="884"/>
      <c r="K364" s="885"/>
      <c r="M364" s="891"/>
      <c r="N364" s="891"/>
      <c r="S364" s="840"/>
    </row>
    <row r="365" spans="1:19" s="830" customFormat="1" ht="13.8">
      <c r="A365" s="830" t="s">
        <v>1227</v>
      </c>
      <c r="B365" s="881" t="s">
        <v>998</v>
      </c>
      <c r="C365" s="841"/>
      <c r="D365" s="882" t="s">
        <v>5378</v>
      </c>
      <c r="E365" s="883" t="s">
        <v>1450</v>
      </c>
      <c r="F365" s="761">
        <v>120</v>
      </c>
      <c r="G365" s="746"/>
      <c r="H365" s="752">
        <v>0</v>
      </c>
      <c r="I365" s="879" t="s">
        <v>4908</v>
      </c>
      <c r="J365" s="884">
        <v>72254</v>
      </c>
      <c r="K365" s="885">
        <v>72254</v>
      </c>
      <c r="M365" s="812">
        <v>19.760000000000002</v>
      </c>
      <c r="N365" s="812"/>
      <c r="S365" s="840"/>
    </row>
    <row r="366" spans="1:19" s="830" customFormat="1" ht="13.8">
      <c r="A366" s="830" t="s">
        <v>1227</v>
      </c>
      <c r="B366" s="881" t="s">
        <v>1000</v>
      </c>
      <c r="C366" s="841"/>
      <c r="D366" s="882" t="s">
        <v>5379</v>
      </c>
      <c r="E366" s="883" t="s">
        <v>1450</v>
      </c>
      <c r="F366" s="761">
        <v>10</v>
      </c>
      <c r="G366" s="746"/>
      <c r="H366" s="752">
        <v>0</v>
      </c>
      <c r="I366" s="879" t="s">
        <v>4908</v>
      </c>
      <c r="J366" s="884">
        <v>72253</v>
      </c>
      <c r="K366" s="885">
        <v>72253</v>
      </c>
      <c r="M366" s="812">
        <v>14.59</v>
      </c>
      <c r="N366" s="812"/>
      <c r="S366" s="840"/>
    </row>
    <row r="367" spans="1:19" s="830" customFormat="1" ht="52.8">
      <c r="A367" s="830" t="s">
        <v>1227</v>
      </c>
      <c r="B367" s="881" t="s">
        <v>1002</v>
      </c>
      <c r="C367" s="841"/>
      <c r="D367" s="882" t="s">
        <v>5380</v>
      </c>
      <c r="E367" s="883" t="s">
        <v>5093</v>
      </c>
      <c r="F367" s="761">
        <v>4</v>
      </c>
      <c r="G367" s="746"/>
      <c r="H367" s="752">
        <v>0</v>
      </c>
      <c r="I367" s="879"/>
      <c r="J367" s="884"/>
      <c r="K367" s="885"/>
      <c r="M367" s="812">
        <v>39.5</v>
      </c>
      <c r="N367" s="812">
        <v>12</v>
      </c>
      <c r="S367" s="840"/>
    </row>
    <row r="368" spans="1:19" s="830" customFormat="1" ht="39.6">
      <c r="A368" s="830" t="s">
        <v>1227</v>
      </c>
      <c r="B368" s="881" t="s">
        <v>1004</v>
      </c>
      <c r="C368" s="841"/>
      <c r="D368" s="882" t="s">
        <v>5381</v>
      </c>
      <c r="E368" s="883" t="s">
        <v>5093</v>
      </c>
      <c r="F368" s="761">
        <v>21</v>
      </c>
      <c r="G368" s="746"/>
      <c r="H368" s="752">
        <v>0</v>
      </c>
      <c r="I368" s="879" t="s">
        <v>4872</v>
      </c>
      <c r="J368" s="754">
        <v>98390</v>
      </c>
      <c r="K368" s="860">
        <v>98390</v>
      </c>
      <c r="M368" s="812">
        <v>94.48</v>
      </c>
      <c r="N368" s="812"/>
      <c r="S368" s="840"/>
    </row>
    <row r="369" spans="1:19" s="830" customFormat="1" ht="13.8">
      <c r="A369" s="830" t="s">
        <v>1227</v>
      </c>
      <c r="B369" s="881" t="s">
        <v>1006</v>
      </c>
      <c r="C369" s="841"/>
      <c r="D369" s="882" t="s">
        <v>5382</v>
      </c>
      <c r="E369" s="883" t="s">
        <v>5093</v>
      </c>
      <c r="F369" s="761">
        <v>2</v>
      </c>
      <c r="G369" s="746"/>
      <c r="H369" s="752">
        <v>0</v>
      </c>
      <c r="I369" s="879" t="s">
        <v>4872</v>
      </c>
      <c r="J369" s="754">
        <v>91726</v>
      </c>
      <c r="K369" s="860">
        <v>91726</v>
      </c>
      <c r="M369" s="812">
        <v>25.06</v>
      </c>
      <c r="N369" s="812"/>
      <c r="S369" s="840"/>
    </row>
    <row r="370" spans="1:19" s="830" customFormat="1" ht="13.8">
      <c r="A370" s="830" t="s">
        <v>1227</v>
      </c>
      <c r="B370" s="881" t="s">
        <v>1008</v>
      </c>
      <c r="C370" s="841"/>
      <c r="D370" s="882" t="s">
        <v>5383</v>
      </c>
      <c r="E370" s="883" t="s">
        <v>5093</v>
      </c>
      <c r="F370" s="761">
        <v>4</v>
      </c>
      <c r="G370" s="746"/>
      <c r="H370" s="752">
        <v>0</v>
      </c>
      <c r="I370" s="879"/>
      <c r="J370" s="884"/>
      <c r="K370" s="885"/>
      <c r="M370" s="812">
        <v>9.6</v>
      </c>
      <c r="N370" s="812">
        <v>8.5</v>
      </c>
      <c r="S370" s="840"/>
    </row>
    <row r="371" spans="1:19" s="830" customFormat="1" ht="26.4">
      <c r="A371" s="830" t="s">
        <v>1227</v>
      </c>
      <c r="B371" s="881" t="s">
        <v>1010</v>
      </c>
      <c r="C371" s="841"/>
      <c r="D371" s="882" t="s">
        <v>5384</v>
      </c>
      <c r="E371" s="883" t="s">
        <v>5373</v>
      </c>
      <c r="F371" s="761">
        <v>150</v>
      </c>
      <c r="G371" s="746"/>
      <c r="H371" s="752">
        <v>0</v>
      </c>
      <c r="I371" s="879" t="s">
        <v>4872</v>
      </c>
      <c r="J371" s="754">
        <v>91195</v>
      </c>
      <c r="K371" s="860">
        <v>91195</v>
      </c>
      <c r="M371" s="812">
        <v>27.89</v>
      </c>
      <c r="N371" s="812"/>
      <c r="S371" s="840"/>
    </row>
    <row r="372" spans="1:19" s="830" customFormat="1" ht="13.8">
      <c r="A372" s="830" t="s">
        <v>1227</v>
      </c>
      <c r="B372" s="881" t="s">
        <v>1012</v>
      </c>
      <c r="C372" s="841"/>
      <c r="D372" s="882" t="s">
        <v>5385</v>
      </c>
      <c r="E372" s="883" t="s">
        <v>4895</v>
      </c>
      <c r="F372" s="761">
        <v>2</v>
      </c>
      <c r="G372" s="746"/>
      <c r="H372" s="752">
        <v>0</v>
      </c>
      <c r="I372" s="879" t="s">
        <v>4872</v>
      </c>
      <c r="J372" s="754">
        <v>91726</v>
      </c>
      <c r="K372" s="860">
        <v>91726</v>
      </c>
      <c r="M372" s="812">
        <v>25.06</v>
      </c>
      <c r="N372" s="812"/>
      <c r="S372" s="840"/>
    </row>
    <row r="373" spans="1:19" s="830" customFormat="1" ht="13.8">
      <c r="B373" s="876" t="s">
        <v>1026</v>
      </c>
      <c r="C373" s="877"/>
      <c r="D373" s="878" t="s">
        <v>5386</v>
      </c>
      <c r="E373" s="877"/>
      <c r="F373" s="762"/>
      <c r="G373" s="746"/>
      <c r="H373" s="762"/>
      <c r="I373" s="879"/>
      <c r="J373" s="884"/>
      <c r="K373" s="885"/>
      <c r="M373" s="891"/>
      <c r="N373" s="891"/>
      <c r="S373" s="840"/>
    </row>
    <row r="374" spans="1:19" s="830" customFormat="1" ht="39.6">
      <c r="A374" s="830" t="s">
        <v>1227</v>
      </c>
      <c r="B374" s="881" t="s">
        <v>1029</v>
      </c>
      <c r="C374" s="841"/>
      <c r="D374" s="882" t="s">
        <v>5387</v>
      </c>
      <c r="E374" s="883" t="s">
        <v>5093</v>
      </c>
      <c r="F374" s="761">
        <v>1</v>
      </c>
      <c r="G374" s="746"/>
      <c r="H374" s="752">
        <v>0</v>
      </c>
      <c r="I374" s="879"/>
      <c r="J374" s="884"/>
      <c r="K374" s="885"/>
      <c r="M374" s="812">
        <v>94.49</v>
      </c>
      <c r="N374" s="812">
        <v>15.93</v>
      </c>
      <c r="S374" s="840"/>
    </row>
    <row r="375" spans="1:19" s="830" customFormat="1" ht="13.8">
      <c r="A375" s="830" t="s">
        <v>1227</v>
      </c>
      <c r="B375" s="881" t="s">
        <v>1031</v>
      </c>
      <c r="C375" s="841"/>
      <c r="D375" s="882" t="s">
        <v>5388</v>
      </c>
      <c r="E375" s="883" t="s">
        <v>5389</v>
      </c>
      <c r="F375" s="761">
        <v>4</v>
      </c>
      <c r="G375" s="746"/>
      <c r="H375" s="752">
        <v>0</v>
      </c>
      <c r="I375" s="879"/>
      <c r="J375" s="884"/>
      <c r="K375" s="885"/>
      <c r="M375" s="812">
        <v>85</v>
      </c>
      <c r="N375" s="812">
        <v>28</v>
      </c>
      <c r="S375" s="840"/>
    </row>
    <row r="376" spans="1:19" s="830" customFormat="1" ht="13.8">
      <c r="A376" s="830" t="s">
        <v>1227</v>
      </c>
      <c r="B376" s="881" t="s">
        <v>1033</v>
      </c>
      <c r="C376" s="841"/>
      <c r="D376" s="882" t="s">
        <v>5390</v>
      </c>
      <c r="E376" s="883" t="s">
        <v>5389</v>
      </c>
      <c r="F376" s="761">
        <v>4</v>
      </c>
      <c r="G376" s="746"/>
      <c r="H376" s="752">
        <v>0</v>
      </c>
      <c r="I376" s="879"/>
      <c r="J376" s="884"/>
      <c r="K376" s="885"/>
      <c r="M376" s="812">
        <v>85</v>
      </c>
      <c r="N376" s="812">
        <v>28</v>
      </c>
      <c r="S376" s="840"/>
    </row>
    <row r="377" spans="1:19" s="830" customFormat="1" ht="26.4">
      <c r="A377" s="830" t="s">
        <v>1227</v>
      </c>
      <c r="B377" s="881" t="s">
        <v>1035</v>
      </c>
      <c r="C377" s="841"/>
      <c r="D377" s="882" t="s">
        <v>5391</v>
      </c>
      <c r="E377" s="883" t="s">
        <v>5389</v>
      </c>
      <c r="F377" s="761">
        <v>3</v>
      </c>
      <c r="G377" s="746"/>
      <c r="H377" s="752">
        <v>0</v>
      </c>
      <c r="I377" s="879"/>
      <c r="J377" s="754">
        <v>91718</v>
      </c>
      <c r="K377" s="860">
        <v>91718</v>
      </c>
      <c r="M377" s="812">
        <v>159.44999999999999</v>
      </c>
      <c r="N377" s="812"/>
      <c r="S377" s="840"/>
    </row>
    <row r="378" spans="1:19" s="830" customFormat="1" ht="13.8">
      <c r="A378" s="830" t="s">
        <v>1227</v>
      </c>
      <c r="B378" s="881" t="s">
        <v>1037</v>
      </c>
      <c r="C378" s="841"/>
      <c r="D378" s="882" t="s">
        <v>5392</v>
      </c>
      <c r="E378" s="883" t="s">
        <v>5093</v>
      </c>
      <c r="F378" s="761">
        <v>1</v>
      </c>
      <c r="G378" s="746"/>
      <c r="H378" s="752">
        <v>0</v>
      </c>
      <c r="I378" s="879"/>
      <c r="J378" s="884"/>
      <c r="K378" s="885"/>
      <c r="M378" s="812">
        <v>38</v>
      </c>
      <c r="N378" s="812">
        <v>28</v>
      </c>
      <c r="S378" s="840"/>
    </row>
    <row r="379" spans="1:19" s="830" customFormat="1" ht="26.4">
      <c r="A379" s="830" t="s">
        <v>1227</v>
      </c>
      <c r="B379" s="881" t="s">
        <v>1039</v>
      </c>
      <c r="C379" s="841"/>
      <c r="D379" s="882" t="s">
        <v>5393</v>
      </c>
      <c r="E379" s="883" t="s">
        <v>5093</v>
      </c>
      <c r="F379" s="761">
        <v>1</v>
      </c>
      <c r="G379" s="746"/>
      <c r="H379" s="752">
        <v>0</v>
      </c>
      <c r="I379" s="879"/>
      <c r="J379" s="884"/>
      <c r="K379" s="885"/>
      <c r="M379" s="812">
        <v>22650</v>
      </c>
      <c r="N379" s="812">
        <v>2918</v>
      </c>
      <c r="S379" s="840"/>
    </row>
    <row r="380" spans="1:19" s="830" customFormat="1" ht="26.4">
      <c r="A380" s="830" t="s">
        <v>1227</v>
      </c>
      <c r="B380" s="881" t="s">
        <v>1041</v>
      </c>
      <c r="C380" s="841"/>
      <c r="D380" s="882" t="s">
        <v>5394</v>
      </c>
      <c r="E380" s="883" t="s">
        <v>5093</v>
      </c>
      <c r="F380" s="761">
        <v>2</v>
      </c>
      <c r="G380" s="746"/>
      <c r="H380" s="752">
        <v>0</v>
      </c>
      <c r="I380" s="879"/>
      <c r="J380" s="884"/>
      <c r="K380" s="885"/>
      <c r="M380" s="812">
        <v>650</v>
      </c>
      <c r="N380" s="812">
        <v>60</v>
      </c>
      <c r="S380" s="840"/>
    </row>
    <row r="381" spans="1:19" s="830" customFormat="1" ht="39.6">
      <c r="A381" s="830" t="s">
        <v>1227</v>
      </c>
      <c r="B381" s="881" t="s">
        <v>1043</v>
      </c>
      <c r="C381" s="841"/>
      <c r="D381" s="882" t="s">
        <v>5395</v>
      </c>
      <c r="E381" s="883" t="s">
        <v>5093</v>
      </c>
      <c r="F381" s="761">
        <v>2</v>
      </c>
      <c r="G381" s="746"/>
      <c r="H381" s="752">
        <v>0</v>
      </c>
      <c r="I381" s="879"/>
      <c r="J381" s="884"/>
      <c r="K381" s="885"/>
      <c r="M381" s="812">
        <v>450</v>
      </c>
      <c r="N381" s="812">
        <v>45</v>
      </c>
      <c r="S381" s="840"/>
    </row>
    <row r="382" spans="1:19" s="830" customFormat="1" ht="39.6">
      <c r="A382" s="830" t="s">
        <v>1227</v>
      </c>
      <c r="B382" s="881" t="s">
        <v>1045</v>
      </c>
      <c r="C382" s="841"/>
      <c r="D382" s="882" t="s">
        <v>5396</v>
      </c>
      <c r="E382" s="883" t="s">
        <v>5093</v>
      </c>
      <c r="F382" s="761">
        <v>2</v>
      </c>
      <c r="G382" s="746"/>
      <c r="H382" s="752">
        <v>0</v>
      </c>
      <c r="I382" s="879"/>
      <c r="J382" s="884"/>
      <c r="K382" s="885"/>
      <c r="M382" s="812">
        <v>220</v>
      </c>
      <c r="N382" s="812">
        <v>25</v>
      </c>
      <c r="S382" s="840"/>
    </row>
    <row r="383" spans="1:19" s="830" customFormat="1" ht="26.4">
      <c r="A383" s="830" t="s">
        <v>1227</v>
      </c>
      <c r="B383" s="881" t="s">
        <v>1047</v>
      </c>
      <c r="C383" s="841"/>
      <c r="D383" s="882" t="s">
        <v>5397</v>
      </c>
      <c r="E383" s="883" t="s">
        <v>5093</v>
      </c>
      <c r="F383" s="761">
        <v>3</v>
      </c>
      <c r="G383" s="746"/>
      <c r="H383" s="752">
        <v>0</v>
      </c>
      <c r="I383" s="1407" t="s">
        <v>5022</v>
      </c>
      <c r="J383" s="1407"/>
      <c r="K383" s="885"/>
      <c r="M383" s="812">
        <v>13</v>
      </c>
      <c r="N383" s="812"/>
      <c r="S383" s="840"/>
    </row>
    <row r="384" spans="1:19" s="830" customFormat="1" ht="13.8">
      <c r="A384" s="830" t="s">
        <v>1227</v>
      </c>
      <c r="B384" s="881" t="s">
        <v>1049</v>
      </c>
      <c r="C384" s="841"/>
      <c r="D384" s="882" t="s">
        <v>5398</v>
      </c>
      <c r="E384" s="883" t="s">
        <v>5093</v>
      </c>
      <c r="F384" s="761">
        <v>1</v>
      </c>
      <c r="G384" s="746"/>
      <c r="H384" s="752">
        <v>0</v>
      </c>
      <c r="I384" s="879" t="s">
        <v>4872</v>
      </c>
      <c r="J384" s="754">
        <v>100881</v>
      </c>
      <c r="K384" s="860">
        <v>100881</v>
      </c>
      <c r="M384" s="812">
        <v>301.08999999999997</v>
      </c>
      <c r="N384" s="812"/>
      <c r="S384" s="840"/>
    </row>
    <row r="385" spans="1:19 16149:16384" s="830" customFormat="1" ht="26.4">
      <c r="A385" s="830" t="s">
        <v>1227</v>
      </c>
      <c r="B385" s="881" t="s">
        <v>1051</v>
      </c>
      <c r="C385" s="841"/>
      <c r="D385" s="882" t="s">
        <v>5399</v>
      </c>
      <c r="E385" s="883" t="s">
        <v>5093</v>
      </c>
      <c r="F385" s="761">
        <v>2</v>
      </c>
      <c r="G385" s="746"/>
      <c r="H385" s="752">
        <v>0</v>
      </c>
      <c r="I385" s="879"/>
      <c r="J385" s="884"/>
      <c r="K385" s="885"/>
      <c r="M385" s="812">
        <v>17.7</v>
      </c>
      <c r="N385" s="812">
        <v>15.7</v>
      </c>
      <c r="S385" s="840"/>
    </row>
    <row r="386" spans="1:19 16149:16384" s="830" customFormat="1" ht="13.8">
      <c r="A386" s="830" t="s">
        <v>1227</v>
      </c>
      <c r="B386" s="881" t="s">
        <v>1053</v>
      </c>
      <c r="C386" s="841"/>
      <c r="D386" s="882" t="s">
        <v>5400</v>
      </c>
      <c r="E386" s="883" t="s">
        <v>5093</v>
      </c>
      <c r="F386" s="761">
        <v>1</v>
      </c>
      <c r="G386" s="746"/>
      <c r="H386" s="752">
        <v>0</v>
      </c>
      <c r="I386" s="879"/>
      <c r="J386" s="884"/>
      <c r="K386" s="885"/>
      <c r="M386" s="812">
        <v>125</v>
      </c>
      <c r="N386" s="812">
        <v>15</v>
      </c>
      <c r="S386" s="840"/>
    </row>
    <row r="387" spans="1:19 16149:16384" s="830" customFormat="1" ht="26.4">
      <c r="A387" s="830" t="s">
        <v>1227</v>
      </c>
      <c r="B387" s="881" t="s">
        <v>5401</v>
      </c>
      <c r="C387" s="841"/>
      <c r="D387" s="882" t="s">
        <v>5402</v>
      </c>
      <c r="E387" s="883" t="s">
        <v>5093</v>
      </c>
      <c r="F387" s="761">
        <v>1</v>
      </c>
      <c r="G387" s="746"/>
      <c r="H387" s="752">
        <v>0</v>
      </c>
      <c r="I387" s="879" t="s">
        <v>4872</v>
      </c>
      <c r="J387" s="754">
        <v>80126</v>
      </c>
      <c r="K387" s="860">
        <v>80126</v>
      </c>
      <c r="M387" s="812">
        <v>1677.56</v>
      </c>
      <c r="N387" s="812"/>
      <c r="S387" s="840"/>
    </row>
    <row r="388" spans="1:19 16149:16384" s="830" customFormat="1" ht="26.4">
      <c r="A388" s="830" t="s">
        <v>1227</v>
      </c>
      <c r="B388" s="881" t="s">
        <v>5403</v>
      </c>
      <c r="C388" s="841"/>
      <c r="D388" s="882" t="s">
        <v>5404</v>
      </c>
      <c r="E388" s="883" t="s">
        <v>5093</v>
      </c>
      <c r="F388" s="761">
        <v>1</v>
      </c>
      <c r="G388" s="746"/>
      <c r="H388" s="752">
        <v>0</v>
      </c>
      <c r="I388" s="879" t="s">
        <v>4872</v>
      </c>
      <c r="J388" s="754">
        <v>80126</v>
      </c>
      <c r="K388" s="860">
        <v>80126</v>
      </c>
      <c r="M388" s="812">
        <v>1078.43</v>
      </c>
      <c r="N388" s="812"/>
      <c r="S388" s="840"/>
    </row>
    <row r="389" spans="1:19 16149:16384" s="830" customFormat="1" ht="26.4">
      <c r="A389" s="830" t="s">
        <v>1227</v>
      </c>
      <c r="B389" s="881" t="s">
        <v>5405</v>
      </c>
      <c r="C389" s="841"/>
      <c r="D389" s="882" t="s">
        <v>5406</v>
      </c>
      <c r="E389" s="883" t="s">
        <v>5093</v>
      </c>
      <c r="F389" s="761">
        <v>1</v>
      </c>
      <c r="G389" s="746"/>
      <c r="H389" s="752">
        <v>0</v>
      </c>
      <c r="I389" s="879" t="s">
        <v>4872</v>
      </c>
      <c r="J389" s="754">
        <v>91026</v>
      </c>
      <c r="K389" s="860">
        <v>91026</v>
      </c>
      <c r="M389" s="812">
        <v>67.81</v>
      </c>
      <c r="N389" s="812"/>
      <c r="S389" s="840"/>
    </row>
    <row r="390" spans="1:19 16149:16384" s="830" customFormat="1" ht="13.8">
      <c r="A390" s="830" t="s">
        <v>1227</v>
      </c>
      <c r="B390" s="881" t="s">
        <v>5407</v>
      </c>
      <c r="C390" s="841"/>
      <c r="D390" s="882" t="s">
        <v>5408</v>
      </c>
      <c r="E390" s="883" t="s">
        <v>5093</v>
      </c>
      <c r="F390" s="761">
        <v>2</v>
      </c>
      <c r="G390" s="746"/>
      <c r="H390" s="752">
        <v>0</v>
      </c>
      <c r="I390" s="879"/>
      <c r="J390" s="884"/>
      <c r="K390" s="885"/>
      <c r="M390" s="812">
        <v>15</v>
      </c>
      <c r="N390" s="812">
        <v>13</v>
      </c>
      <c r="S390" s="840"/>
    </row>
    <row r="391" spans="1:19 16149:16384" s="830" customFormat="1" ht="26.4">
      <c r="A391" s="830" t="s">
        <v>1227</v>
      </c>
      <c r="B391" s="881" t="s">
        <v>5409</v>
      </c>
      <c r="C391" s="841"/>
      <c r="D391" s="882" t="s">
        <v>5410</v>
      </c>
      <c r="E391" s="883" t="s">
        <v>5093</v>
      </c>
      <c r="F391" s="761">
        <v>2</v>
      </c>
      <c r="G391" s="746"/>
      <c r="H391" s="752">
        <v>0</v>
      </c>
      <c r="I391" s="879"/>
      <c r="J391" s="884"/>
      <c r="K391" s="885"/>
      <c r="M391" s="812">
        <v>17.7</v>
      </c>
      <c r="N391" s="812">
        <v>15.7</v>
      </c>
      <c r="S391" s="840"/>
    </row>
    <row r="392" spans="1:19 16149:16384" s="830" customFormat="1" ht="13.8">
      <c r="A392" s="830" t="s">
        <v>1227</v>
      </c>
      <c r="B392" s="881" t="s">
        <v>5411</v>
      </c>
      <c r="C392" s="841"/>
      <c r="D392" s="882" t="s">
        <v>5412</v>
      </c>
      <c r="E392" s="883" t="s">
        <v>5093</v>
      </c>
      <c r="F392" s="761">
        <v>2</v>
      </c>
      <c r="G392" s="746"/>
      <c r="H392" s="752">
        <v>0</v>
      </c>
      <c r="I392" s="879"/>
      <c r="J392" s="884"/>
      <c r="K392" s="885"/>
      <c r="M392" s="812">
        <v>4.8600000000000003</v>
      </c>
      <c r="N392" s="812">
        <v>6.83</v>
      </c>
      <c r="S392" s="840"/>
    </row>
    <row r="393" spans="1:19 16149:16384" s="830" customFormat="1" ht="13.8">
      <c r="A393" s="830" t="s">
        <v>1227</v>
      </c>
      <c r="B393" s="881" t="s">
        <v>5413</v>
      </c>
      <c r="C393" s="841"/>
      <c r="D393" s="882" t="s">
        <v>5414</v>
      </c>
      <c r="E393" s="883" t="s">
        <v>5093</v>
      </c>
      <c r="F393" s="761">
        <v>4</v>
      </c>
      <c r="G393" s="746"/>
      <c r="H393" s="752">
        <v>0</v>
      </c>
      <c r="I393" s="879" t="s">
        <v>4872</v>
      </c>
      <c r="J393" s="754">
        <v>90529</v>
      </c>
      <c r="K393" s="860">
        <v>90529</v>
      </c>
      <c r="M393" s="812">
        <v>14.39</v>
      </c>
      <c r="N393" s="812"/>
      <c r="S393" s="840"/>
    </row>
    <row r="394" spans="1:19 16149:16384" s="830" customFormat="1" ht="26.4">
      <c r="A394" s="830" t="s">
        <v>1227</v>
      </c>
      <c r="B394" s="881" t="s">
        <v>5415</v>
      </c>
      <c r="C394" s="841"/>
      <c r="D394" s="882" t="s">
        <v>5416</v>
      </c>
      <c r="E394" s="883" t="s">
        <v>5093</v>
      </c>
      <c r="F394" s="761">
        <v>6</v>
      </c>
      <c r="G394" s="746"/>
      <c r="H394" s="752">
        <v>0</v>
      </c>
      <c r="I394" s="879" t="s">
        <v>4872</v>
      </c>
      <c r="J394" s="754">
        <v>91190</v>
      </c>
      <c r="K394" s="860">
        <v>91190</v>
      </c>
      <c r="M394" s="812">
        <v>447.08</v>
      </c>
      <c r="N394" s="812"/>
      <c r="S394" s="840"/>
    </row>
    <row r="395" spans="1:19 16149:16384" s="830" customFormat="1" ht="13.8">
      <c r="A395" s="830" t="s">
        <v>1227</v>
      </c>
      <c r="B395" s="881" t="s">
        <v>5417</v>
      </c>
      <c r="C395" s="841"/>
      <c r="D395" s="882" t="s">
        <v>5418</v>
      </c>
      <c r="E395" s="883" t="s">
        <v>5093</v>
      </c>
      <c r="F395" s="761">
        <v>2</v>
      </c>
      <c r="G395" s="746"/>
      <c r="H395" s="752">
        <v>0</v>
      </c>
      <c r="I395" s="879" t="s">
        <v>26</v>
      </c>
      <c r="J395" s="884" t="s">
        <v>792</v>
      </c>
      <c r="K395" s="885" t="s">
        <v>792</v>
      </c>
      <c r="M395" s="812">
        <v>26.81</v>
      </c>
      <c r="N395" s="812"/>
      <c r="S395" s="840"/>
      <c r="WWC395" s="892"/>
      <c r="WWD395" s="892"/>
      <c r="WWE395" s="892"/>
      <c r="WWF395" s="892"/>
      <c r="WWG395" s="892"/>
      <c r="WWH395" s="892"/>
      <c r="WWI395" s="892"/>
      <c r="WWJ395" s="892"/>
      <c r="WWK395" s="892"/>
      <c r="WWL395" s="892"/>
      <c r="WWM395" s="892"/>
      <c r="WWN395" s="892"/>
      <c r="WWO395" s="892"/>
      <c r="WWP395" s="892"/>
      <c r="WWQ395" s="892"/>
      <c r="WWR395" s="892"/>
      <c r="WWS395" s="892"/>
      <c r="WWT395" s="892"/>
      <c r="WWU395" s="892"/>
      <c r="WWV395" s="892"/>
      <c r="WWW395" s="892"/>
      <c r="WWX395" s="892"/>
      <c r="WWY395" s="892"/>
      <c r="WWZ395" s="892"/>
      <c r="WXA395" s="892"/>
      <c r="WXB395" s="892"/>
      <c r="WXC395" s="892"/>
      <c r="WXD395" s="892"/>
      <c r="WXE395" s="892"/>
      <c r="WXF395" s="892"/>
      <c r="WXG395" s="892"/>
      <c r="WXH395" s="892"/>
      <c r="WXI395" s="892"/>
      <c r="WXJ395" s="892"/>
      <c r="WXK395" s="892"/>
      <c r="WXL395" s="892"/>
      <c r="WXM395" s="892"/>
      <c r="WXN395" s="892"/>
      <c r="WXO395" s="892"/>
      <c r="WXP395" s="892"/>
      <c r="WXQ395" s="892"/>
      <c r="WXR395" s="892"/>
      <c r="WXS395" s="892"/>
      <c r="WXT395" s="892"/>
      <c r="WXU395" s="892"/>
      <c r="WXV395" s="892"/>
      <c r="WXW395" s="892"/>
      <c r="WXX395" s="892"/>
      <c r="WXY395" s="892"/>
      <c r="WXZ395" s="892"/>
      <c r="WYA395" s="892"/>
      <c r="WYB395" s="892"/>
      <c r="WYC395" s="892"/>
      <c r="WYD395" s="892"/>
      <c r="WYE395" s="892"/>
      <c r="WYF395" s="892"/>
      <c r="WYG395" s="892"/>
      <c r="WYH395" s="892"/>
      <c r="WYI395" s="892"/>
      <c r="WYJ395" s="892"/>
      <c r="WYK395" s="892"/>
      <c r="WYL395" s="892"/>
      <c r="WYM395" s="892"/>
      <c r="WYN395" s="892"/>
      <c r="WYO395" s="892"/>
      <c r="WYP395" s="892"/>
      <c r="WYQ395" s="892"/>
      <c r="WYR395" s="892"/>
      <c r="WYS395" s="892"/>
      <c r="WYT395" s="892"/>
      <c r="WYU395" s="892"/>
      <c r="WYV395" s="892"/>
      <c r="WYW395" s="892"/>
      <c r="WYX395" s="892"/>
      <c r="WYY395" s="892"/>
      <c r="WYZ395" s="892"/>
      <c r="WZA395" s="892"/>
      <c r="WZB395" s="892"/>
      <c r="WZC395" s="892"/>
      <c r="WZD395" s="892"/>
      <c r="WZE395" s="892"/>
      <c r="WZF395" s="892"/>
      <c r="WZG395" s="892"/>
      <c r="WZH395" s="892"/>
      <c r="WZI395" s="892"/>
      <c r="WZJ395" s="892"/>
      <c r="WZK395" s="892"/>
      <c r="WZL395" s="892"/>
      <c r="WZM395" s="892"/>
      <c r="WZN395" s="892"/>
      <c r="WZO395" s="892"/>
      <c r="WZP395" s="892"/>
      <c r="WZQ395" s="892"/>
      <c r="WZR395" s="892"/>
      <c r="WZS395" s="892"/>
      <c r="WZT395" s="892"/>
      <c r="WZU395" s="892"/>
      <c r="WZV395" s="892"/>
      <c r="WZW395" s="892"/>
      <c r="WZX395" s="892"/>
      <c r="WZY395" s="892"/>
      <c r="WZZ395" s="892"/>
      <c r="XAA395" s="892"/>
      <c r="XAB395" s="892"/>
      <c r="XAC395" s="892"/>
      <c r="XAD395" s="892"/>
      <c r="XAE395" s="892"/>
      <c r="XAF395" s="892"/>
      <c r="XAG395" s="892"/>
      <c r="XAH395" s="892"/>
      <c r="XAI395" s="892"/>
      <c r="XAJ395" s="892"/>
      <c r="XAK395" s="892"/>
      <c r="XAL395" s="892"/>
      <c r="XAM395" s="892"/>
      <c r="XAN395" s="892"/>
      <c r="XAO395" s="892"/>
      <c r="XAP395" s="892"/>
      <c r="XAQ395" s="892"/>
      <c r="XAR395" s="892"/>
      <c r="XAS395" s="892"/>
      <c r="XAT395" s="892"/>
      <c r="XAU395" s="892"/>
      <c r="XAV395" s="892"/>
      <c r="XAW395" s="892"/>
      <c r="XAX395" s="892"/>
      <c r="XAY395" s="892"/>
      <c r="XAZ395" s="892"/>
      <c r="XBA395" s="892"/>
      <c r="XBB395" s="892"/>
      <c r="XBC395" s="892"/>
      <c r="XBD395" s="892"/>
      <c r="XBE395" s="892"/>
      <c r="XBF395" s="892"/>
      <c r="XBG395" s="892"/>
      <c r="XBH395" s="892"/>
      <c r="XBI395" s="892"/>
      <c r="XBJ395" s="892"/>
      <c r="XBK395" s="892"/>
      <c r="XBL395" s="892"/>
      <c r="XBM395" s="892"/>
      <c r="XBN395" s="892"/>
      <c r="XBO395" s="892"/>
      <c r="XBP395" s="892"/>
      <c r="XBQ395" s="892"/>
      <c r="XBR395" s="892"/>
      <c r="XBS395" s="892"/>
      <c r="XBT395" s="892"/>
      <c r="XBU395" s="892"/>
      <c r="XBV395" s="892"/>
      <c r="XBW395" s="892"/>
      <c r="XBX395" s="892"/>
      <c r="XBY395" s="892"/>
      <c r="XBZ395" s="892"/>
      <c r="XCA395" s="892"/>
      <c r="XCB395" s="892"/>
      <c r="XCC395" s="892"/>
      <c r="XCD395" s="892"/>
      <c r="XCE395" s="892"/>
      <c r="XCF395" s="892"/>
      <c r="XCG395" s="892"/>
      <c r="XCH395" s="892"/>
      <c r="XCI395" s="892"/>
      <c r="XCJ395" s="892"/>
      <c r="XCK395" s="892"/>
      <c r="XCL395" s="892"/>
      <c r="XCM395" s="892"/>
      <c r="XCN395" s="892"/>
      <c r="XCO395" s="892"/>
      <c r="XCP395" s="892"/>
      <c r="XCQ395" s="892"/>
      <c r="XCR395" s="892"/>
      <c r="XCS395" s="892"/>
      <c r="XCT395" s="892"/>
      <c r="XCU395" s="892"/>
      <c r="XCV395" s="892"/>
      <c r="XCW395" s="892"/>
      <c r="XCX395" s="892"/>
      <c r="XCY395" s="892"/>
      <c r="XCZ395" s="892"/>
      <c r="XDA395" s="892"/>
      <c r="XDB395" s="892"/>
      <c r="XDC395" s="892"/>
      <c r="XDD395" s="892"/>
      <c r="XDE395" s="892"/>
      <c r="XDF395" s="892"/>
      <c r="XDG395" s="892"/>
      <c r="XDH395" s="892"/>
      <c r="XDI395" s="892"/>
      <c r="XDJ395" s="892"/>
      <c r="XDK395" s="892"/>
      <c r="XDL395" s="892"/>
      <c r="XDM395" s="892"/>
      <c r="XDN395" s="892"/>
      <c r="XDO395" s="892"/>
      <c r="XDP395" s="892"/>
      <c r="XDQ395" s="892"/>
      <c r="XDR395" s="892"/>
      <c r="XDS395" s="892"/>
      <c r="XDT395" s="892"/>
      <c r="XDU395" s="892"/>
      <c r="XDV395" s="892"/>
      <c r="XDW395" s="892"/>
      <c r="XDX395" s="892"/>
      <c r="XDY395" s="892"/>
      <c r="XDZ395" s="892"/>
      <c r="XEA395" s="892"/>
      <c r="XEB395" s="892"/>
      <c r="XEC395" s="892"/>
      <c r="XED395" s="892"/>
      <c r="XEE395" s="892"/>
      <c r="XEF395" s="892"/>
      <c r="XEG395" s="892"/>
      <c r="XEH395" s="892"/>
      <c r="XEI395" s="892"/>
      <c r="XEJ395" s="892"/>
      <c r="XEK395" s="892"/>
      <c r="XEL395" s="892"/>
      <c r="XEM395" s="892"/>
      <c r="XEN395" s="892"/>
      <c r="XEO395" s="892"/>
      <c r="XEP395" s="892"/>
      <c r="XEQ395" s="892"/>
      <c r="XER395" s="892"/>
      <c r="XES395" s="892"/>
      <c r="XET395" s="892"/>
      <c r="XEU395" s="892"/>
      <c r="XEV395" s="892"/>
      <c r="XEW395" s="892"/>
      <c r="XEX395" s="892"/>
      <c r="XEY395" s="892"/>
      <c r="XEZ395" s="892"/>
      <c r="XFA395" s="892"/>
      <c r="XFB395" s="892"/>
      <c r="XFC395" s="892"/>
      <c r="XFD395" s="892"/>
    </row>
    <row r="396" spans="1:19 16149:16384" s="830" customFormat="1" ht="13.8">
      <c r="A396" s="830" t="s">
        <v>1227</v>
      </c>
      <c r="B396" s="881" t="s">
        <v>5419</v>
      </c>
      <c r="C396" s="841"/>
      <c r="D396" s="882" t="s">
        <v>5420</v>
      </c>
      <c r="E396" s="883" t="s">
        <v>5093</v>
      </c>
      <c r="F396" s="761">
        <v>4</v>
      </c>
      <c r="G396" s="746"/>
      <c r="H396" s="752">
        <v>0</v>
      </c>
      <c r="I396" s="879" t="s">
        <v>26</v>
      </c>
      <c r="J396" s="884" t="s">
        <v>792</v>
      </c>
      <c r="K396" s="885" t="s">
        <v>792</v>
      </c>
      <c r="M396" s="812">
        <v>26.81</v>
      </c>
      <c r="N396" s="812"/>
      <c r="S396" s="840"/>
    </row>
    <row r="397" spans="1:19 16149:16384" s="830" customFormat="1" ht="13.8">
      <c r="A397" s="830" t="s">
        <v>1227</v>
      </c>
      <c r="B397" s="881" t="s">
        <v>5421</v>
      </c>
      <c r="C397" s="841"/>
      <c r="D397" s="882" t="s">
        <v>5422</v>
      </c>
      <c r="E397" s="883" t="s">
        <v>1450</v>
      </c>
      <c r="F397" s="761">
        <v>40</v>
      </c>
      <c r="G397" s="746"/>
      <c r="H397" s="752">
        <v>0</v>
      </c>
      <c r="I397" s="879" t="s">
        <v>4908</v>
      </c>
      <c r="J397" s="884">
        <v>72254</v>
      </c>
      <c r="K397" s="885">
        <v>72254</v>
      </c>
      <c r="M397" s="812">
        <v>19.760000000000002</v>
      </c>
      <c r="N397" s="812"/>
      <c r="S397" s="840"/>
    </row>
    <row r="398" spans="1:19 16149:16384" s="830" customFormat="1" ht="13.8">
      <c r="A398" s="830" t="s">
        <v>1227</v>
      </c>
      <c r="B398" s="881" t="s">
        <v>5423</v>
      </c>
      <c r="C398" s="841"/>
      <c r="D398" s="882" t="s">
        <v>5424</v>
      </c>
      <c r="E398" s="883" t="s">
        <v>1450</v>
      </c>
      <c r="F398" s="761">
        <v>15</v>
      </c>
      <c r="G398" s="746"/>
      <c r="H398" s="752">
        <v>0</v>
      </c>
      <c r="I398" s="879" t="s">
        <v>4908</v>
      </c>
      <c r="J398" s="884">
        <v>72253</v>
      </c>
      <c r="K398" s="885">
        <v>72253</v>
      </c>
      <c r="M398" s="812">
        <v>14.59</v>
      </c>
      <c r="N398" s="812"/>
      <c r="S398" s="840"/>
    </row>
    <row r="399" spans="1:19 16149:16384" s="830" customFormat="1" ht="13.8">
      <c r="A399" s="830" t="s">
        <v>1227</v>
      </c>
      <c r="B399" s="881" t="s">
        <v>5425</v>
      </c>
      <c r="C399" s="841"/>
      <c r="D399" s="882" t="s">
        <v>5426</v>
      </c>
      <c r="E399" s="883" t="s">
        <v>5093</v>
      </c>
      <c r="F399" s="761">
        <v>30</v>
      </c>
      <c r="G399" s="746"/>
      <c r="H399" s="752">
        <v>0</v>
      </c>
      <c r="I399" s="879" t="s">
        <v>4872</v>
      </c>
      <c r="J399" s="754">
        <v>98022</v>
      </c>
      <c r="K399" s="860">
        <v>98022</v>
      </c>
      <c r="M399" s="812">
        <v>8.3000000000000007</v>
      </c>
      <c r="N399" s="812"/>
      <c r="S399" s="840"/>
    </row>
    <row r="400" spans="1:19 16149:16384" s="830" customFormat="1" ht="13.8">
      <c r="A400" s="830" t="s">
        <v>1227</v>
      </c>
      <c r="B400" s="881" t="s">
        <v>5427</v>
      </c>
      <c r="C400" s="841"/>
      <c r="D400" s="882" t="s">
        <v>5428</v>
      </c>
      <c r="E400" s="883" t="s">
        <v>5093</v>
      </c>
      <c r="F400" s="761">
        <v>1</v>
      </c>
      <c r="G400" s="746"/>
      <c r="H400" s="752">
        <v>0</v>
      </c>
      <c r="I400" s="879"/>
      <c r="J400" s="884"/>
      <c r="K400" s="885"/>
      <c r="M400" s="812">
        <v>45</v>
      </c>
      <c r="N400" s="812">
        <v>26</v>
      </c>
      <c r="S400" s="840"/>
    </row>
    <row r="401" spans="1:19 16149:16384" s="830" customFormat="1" ht="13.8">
      <c r="A401" s="830" t="s">
        <v>1227</v>
      </c>
      <c r="B401" s="881" t="s">
        <v>5429</v>
      </c>
      <c r="C401" s="841"/>
      <c r="D401" s="882" t="s">
        <v>5430</v>
      </c>
      <c r="E401" s="883" t="s">
        <v>1450</v>
      </c>
      <c r="F401" s="761">
        <v>12</v>
      </c>
      <c r="G401" s="746"/>
      <c r="H401" s="752">
        <v>0</v>
      </c>
      <c r="I401" s="879"/>
      <c r="J401" s="884"/>
      <c r="K401" s="885"/>
      <c r="M401" s="812">
        <v>48</v>
      </c>
      <c r="N401" s="812">
        <v>28</v>
      </c>
      <c r="S401" s="840"/>
    </row>
    <row r="402" spans="1:19 16149:16384" s="830" customFormat="1" ht="13.8">
      <c r="A402" s="830" t="s">
        <v>1227</v>
      </c>
      <c r="B402" s="881" t="s">
        <v>5431</v>
      </c>
      <c r="C402" s="841"/>
      <c r="D402" s="882" t="s">
        <v>5432</v>
      </c>
      <c r="E402" s="883" t="s">
        <v>5093</v>
      </c>
      <c r="F402" s="761">
        <v>1</v>
      </c>
      <c r="G402" s="746"/>
      <c r="H402" s="752">
        <v>0</v>
      </c>
      <c r="I402" s="879"/>
      <c r="J402" s="884"/>
      <c r="K402" s="885"/>
      <c r="M402" s="812">
        <v>15.4</v>
      </c>
      <c r="N402" s="812">
        <v>11.2</v>
      </c>
      <c r="S402" s="840"/>
    </row>
    <row r="403" spans="1:19 16149:16384" s="830" customFormat="1" ht="13.8">
      <c r="A403" s="830" t="s">
        <v>1227</v>
      </c>
      <c r="B403" s="881" t="s">
        <v>5433</v>
      </c>
      <c r="C403" s="841"/>
      <c r="D403" s="882" t="s">
        <v>5434</v>
      </c>
      <c r="E403" s="883" t="s">
        <v>5093</v>
      </c>
      <c r="F403" s="761">
        <v>1</v>
      </c>
      <c r="G403" s="746"/>
      <c r="H403" s="752">
        <v>0</v>
      </c>
      <c r="I403" s="879"/>
      <c r="J403" s="884"/>
      <c r="K403" s="885"/>
      <c r="M403" s="812">
        <v>255</v>
      </c>
      <c r="N403" s="812">
        <v>129</v>
      </c>
      <c r="S403" s="840"/>
      <c r="WWC403" s="785"/>
      <c r="WWD403" s="785"/>
      <c r="WWE403" s="785"/>
      <c r="WWF403" s="785"/>
      <c r="WWG403" s="785"/>
      <c r="WWH403" s="785"/>
      <c r="WWI403" s="785"/>
      <c r="WWJ403" s="785"/>
      <c r="WWK403" s="785"/>
      <c r="WWL403" s="785"/>
      <c r="WWM403" s="785"/>
      <c r="WWN403" s="785"/>
      <c r="WWO403" s="785"/>
      <c r="WWP403" s="785"/>
      <c r="WWQ403" s="785"/>
      <c r="WWR403" s="785"/>
      <c r="WWS403" s="785"/>
      <c r="WWT403" s="785"/>
      <c r="WWU403" s="785"/>
      <c r="WWV403" s="785"/>
      <c r="WWW403" s="785"/>
      <c r="WWX403" s="785"/>
      <c r="WWY403" s="785"/>
      <c r="WWZ403" s="785"/>
      <c r="WXA403" s="785"/>
      <c r="WXB403" s="785"/>
      <c r="WXC403" s="785"/>
      <c r="WXD403" s="785"/>
      <c r="WXE403" s="785"/>
      <c r="WXF403" s="785"/>
      <c r="WXG403" s="785"/>
      <c r="WXH403" s="785"/>
      <c r="WXI403" s="785"/>
      <c r="WXJ403" s="785"/>
      <c r="WXK403" s="785"/>
      <c r="WXL403" s="785"/>
      <c r="WXM403" s="785"/>
      <c r="WXN403" s="785"/>
      <c r="WXO403" s="785"/>
      <c r="WXP403" s="785"/>
      <c r="WXQ403" s="785"/>
      <c r="WXR403" s="785"/>
      <c r="WXS403" s="785"/>
      <c r="WXT403" s="785"/>
      <c r="WXU403" s="785"/>
      <c r="WXV403" s="785"/>
      <c r="WXW403" s="785"/>
      <c r="WXX403" s="785"/>
      <c r="WXY403" s="785"/>
      <c r="WXZ403" s="785"/>
      <c r="WYA403" s="785"/>
      <c r="WYB403" s="785"/>
      <c r="WYC403" s="785"/>
      <c r="WYD403" s="785"/>
      <c r="WYE403" s="785"/>
      <c r="WYF403" s="785"/>
      <c r="WYG403" s="785"/>
      <c r="WYH403" s="785"/>
      <c r="WYI403" s="785"/>
      <c r="WYJ403" s="785"/>
      <c r="WYK403" s="785"/>
      <c r="WYL403" s="785"/>
      <c r="WYM403" s="785"/>
      <c r="WYN403" s="785"/>
      <c r="WYO403" s="785"/>
      <c r="WYP403" s="785"/>
      <c r="WYQ403" s="785"/>
      <c r="WYR403" s="785"/>
      <c r="WYS403" s="785"/>
      <c r="WYT403" s="785"/>
      <c r="WYU403" s="785"/>
      <c r="WYV403" s="785"/>
      <c r="WYW403" s="785"/>
      <c r="WYX403" s="785"/>
      <c r="WYY403" s="785"/>
      <c r="WYZ403" s="785"/>
      <c r="WZA403" s="785"/>
      <c r="WZB403" s="785"/>
      <c r="WZC403" s="785"/>
      <c r="WZD403" s="785"/>
      <c r="WZE403" s="785"/>
      <c r="WZF403" s="785"/>
      <c r="WZG403" s="785"/>
      <c r="WZH403" s="785"/>
      <c r="WZI403" s="785"/>
      <c r="WZJ403" s="785"/>
      <c r="WZK403" s="785"/>
      <c r="WZL403" s="785"/>
      <c r="WZM403" s="785"/>
      <c r="WZN403" s="785"/>
      <c r="WZO403" s="785"/>
      <c r="WZP403" s="785"/>
      <c r="WZQ403" s="785"/>
      <c r="WZR403" s="785"/>
      <c r="WZS403" s="785"/>
      <c r="WZT403" s="785"/>
      <c r="WZU403" s="785"/>
      <c r="WZV403" s="785"/>
      <c r="WZW403" s="785"/>
      <c r="WZX403" s="785"/>
      <c r="WZY403" s="785"/>
      <c r="WZZ403" s="785"/>
      <c r="XAA403" s="785"/>
      <c r="XAB403" s="785"/>
      <c r="XAC403" s="785"/>
      <c r="XAD403" s="785"/>
      <c r="XAE403" s="785"/>
      <c r="XAF403" s="785"/>
      <c r="XAG403" s="785"/>
      <c r="XAH403" s="785"/>
      <c r="XAI403" s="785"/>
      <c r="XAJ403" s="785"/>
      <c r="XAK403" s="785"/>
      <c r="XAL403" s="785"/>
      <c r="XAM403" s="785"/>
      <c r="XAN403" s="785"/>
      <c r="XAO403" s="785"/>
      <c r="XAP403" s="785"/>
      <c r="XAQ403" s="785"/>
      <c r="XAR403" s="785"/>
      <c r="XAS403" s="785"/>
      <c r="XAT403" s="785"/>
      <c r="XAU403" s="785"/>
      <c r="XAV403" s="785"/>
      <c r="XAW403" s="785"/>
      <c r="XAX403" s="785"/>
      <c r="XAY403" s="785"/>
      <c r="XAZ403" s="785"/>
      <c r="XBA403" s="785"/>
      <c r="XBB403" s="785"/>
      <c r="XBC403" s="785"/>
      <c r="XBD403" s="785"/>
      <c r="XBE403" s="785"/>
      <c r="XBF403" s="785"/>
      <c r="XBG403" s="785"/>
      <c r="XBH403" s="785"/>
      <c r="XBI403" s="785"/>
      <c r="XBJ403" s="785"/>
      <c r="XBK403" s="785"/>
      <c r="XBL403" s="785"/>
      <c r="XBM403" s="785"/>
      <c r="XBN403" s="785"/>
      <c r="XBO403" s="785"/>
      <c r="XBP403" s="785"/>
      <c r="XBQ403" s="785"/>
      <c r="XBR403" s="785"/>
      <c r="XBS403" s="785"/>
      <c r="XBT403" s="785"/>
      <c r="XBU403" s="785"/>
      <c r="XBV403" s="785"/>
      <c r="XBW403" s="785"/>
      <c r="XBX403" s="785"/>
      <c r="XBY403" s="785"/>
      <c r="XBZ403" s="785"/>
      <c r="XCA403" s="785"/>
      <c r="XCB403" s="785"/>
      <c r="XCC403" s="785"/>
      <c r="XCD403" s="785"/>
      <c r="XCE403" s="785"/>
      <c r="XCF403" s="785"/>
      <c r="XCG403" s="785"/>
      <c r="XCH403" s="785"/>
      <c r="XCI403" s="785"/>
      <c r="XCJ403" s="785"/>
      <c r="XCK403" s="785"/>
      <c r="XCL403" s="785"/>
      <c r="XCM403" s="785"/>
      <c r="XCN403" s="785"/>
      <c r="XCO403" s="785"/>
      <c r="XCP403" s="785"/>
      <c r="XCQ403" s="785"/>
      <c r="XCR403" s="785"/>
      <c r="XCS403" s="785"/>
      <c r="XCT403" s="785"/>
      <c r="XCU403" s="785"/>
      <c r="XCV403" s="785"/>
      <c r="XCW403" s="785"/>
      <c r="XCX403" s="785"/>
      <c r="XCY403" s="785"/>
      <c r="XCZ403" s="785"/>
      <c r="XDA403" s="785"/>
      <c r="XDB403" s="785"/>
      <c r="XDC403" s="785"/>
      <c r="XDD403" s="785"/>
      <c r="XDE403" s="785"/>
      <c r="XDF403" s="785"/>
      <c r="XDG403" s="785"/>
      <c r="XDH403" s="785"/>
      <c r="XDI403" s="785"/>
      <c r="XDJ403" s="785"/>
      <c r="XDK403" s="785"/>
      <c r="XDL403" s="785"/>
      <c r="XDM403" s="785"/>
      <c r="XDN403" s="785"/>
      <c r="XDO403" s="785"/>
      <c r="XDP403" s="785"/>
      <c r="XDQ403" s="785"/>
      <c r="XDR403" s="785"/>
      <c r="XDS403" s="785"/>
      <c r="XDT403" s="785"/>
      <c r="XDU403" s="785"/>
      <c r="XDV403" s="785"/>
      <c r="XDW403" s="785"/>
      <c r="XDX403" s="785"/>
      <c r="XDY403" s="785"/>
      <c r="XDZ403" s="785"/>
      <c r="XEA403" s="785"/>
      <c r="XEB403" s="785"/>
      <c r="XEC403" s="785"/>
      <c r="XED403" s="785"/>
      <c r="XEE403" s="785"/>
      <c r="XEF403" s="785"/>
      <c r="XEG403" s="785"/>
      <c r="XEH403" s="785"/>
      <c r="XEI403" s="785"/>
      <c r="XEJ403" s="785"/>
      <c r="XEK403" s="785"/>
      <c r="XEL403" s="785"/>
      <c r="XEM403" s="785"/>
      <c r="XEN403" s="785"/>
      <c r="XEO403" s="785"/>
      <c r="XEP403" s="785"/>
      <c r="XEQ403" s="785"/>
      <c r="XER403" s="785"/>
      <c r="XES403" s="785"/>
      <c r="XET403" s="785"/>
      <c r="XEU403" s="785"/>
      <c r="XEV403" s="785"/>
      <c r="XEW403" s="785"/>
      <c r="XEX403" s="785"/>
      <c r="XEY403" s="785"/>
      <c r="XEZ403" s="785"/>
      <c r="XFA403" s="785"/>
      <c r="XFB403" s="785"/>
      <c r="XFC403" s="785"/>
      <c r="XFD403" s="785"/>
    </row>
    <row r="404" spans="1:19 16149:16384" s="830" customFormat="1" ht="26.4">
      <c r="A404" s="830" t="s">
        <v>1227</v>
      </c>
      <c r="B404" s="881" t="s">
        <v>5435</v>
      </c>
      <c r="C404" s="841"/>
      <c r="D404" s="882" t="s">
        <v>5436</v>
      </c>
      <c r="E404" s="883" t="s">
        <v>5093</v>
      </c>
      <c r="F404" s="761">
        <v>1</v>
      </c>
      <c r="G404" s="746"/>
      <c r="H404" s="752">
        <v>0</v>
      </c>
      <c r="I404" s="879"/>
      <c r="J404" s="884"/>
      <c r="K404" s="885"/>
      <c r="M404" s="812">
        <v>76</v>
      </c>
      <c r="N404" s="812">
        <v>25</v>
      </c>
      <c r="S404" s="840"/>
      <c r="WWC404" s="785"/>
      <c r="WWD404" s="785"/>
      <c r="WWE404" s="785"/>
      <c r="WWF404" s="785"/>
      <c r="WWG404" s="785"/>
      <c r="WWH404" s="785"/>
      <c r="WWI404" s="785"/>
      <c r="WWJ404" s="785"/>
      <c r="WWK404" s="785"/>
      <c r="WWL404" s="785"/>
      <c r="WWM404" s="785"/>
      <c r="WWN404" s="785"/>
      <c r="WWO404" s="785"/>
      <c r="WWP404" s="785"/>
      <c r="WWQ404" s="785"/>
      <c r="WWR404" s="785"/>
      <c r="WWS404" s="785"/>
      <c r="WWT404" s="785"/>
      <c r="WWU404" s="785"/>
      <c r="WWV404" s="785"/>
      <c r="WWW404" s="785"/>
      <c r="WWX404" s="785"/>
      <c r="WWY404" s="785"/>
      <c r="WWZ404" s="785"/>
      <c r="WXA404" s="785"/>
      <c r="WXB404" s="785"/>
      <c r="WXC404" s="785"/>
      <c r="WXD404" s="785"/>
      <c r="WXE404" s="785"/>
      <c r="WXF404" s="785"/>
      <c r="WXG404" s="785"/>
      <c r="WXH404" s="785"/>
      <c r="WXI404" s="785"/>
      <c r="WXJ404" s="785"/>
      <c r="WXK404" s="785"/>
      <c r="WXL404" s="785"/>
      <c r="WXM404" s="785"/>
      <c r="WXN404" s="785"/>
      <c r="WXO404" s="785"/>
      <c r="WXP404" s="785"/>
      <c r="WXQ404" s="785"/>
      <c r="WXR404" s="785"/>
      <c r="WXS404" s="785"/>
      <c r="WXT404" s="785"/>
      <c r="WXU404" s="785"/>
      <c r="WXV404" s="785"/>
      <c r="WXW404" s="785"/>
      <c r="WXX404" s="785"/>
      <c r="WXY404" s="785"/>
      <c r="WXZ404" s="785"/>
      <c r="WYA404" s="785"/>
      <c r="WYB404" s="785"/>
      <c r="WYC404" s="785"/>
      <c r="WYD404" s="785"/>
      <c r="WYE404" s="785"/>
      <c r="WYF404" s="785"/>
      <c r="WYG404" s="785"/>
      <c r="WYH404" s="785"/>
      <c r="WYI404" s="785"/>
      <c r="WYJ404" s="785"/>
      <c r="WYK404" s="785"/>
      <c r="WYL404" s="785"/>
      <c r="WYM404" s="785"/>
      <c r="WYN404" s="785"/>
      <c r="WYO404" s="785"/>
      <c r="WYP404" s="785"/>
      <c r="WYQ404" s="785"/>
      <c r="WYR404" s="785"/>
      <c r="WYS404" s="785"/>
      <c r="WYT404" s="785"/>
      <c r="WYU404" s="785"/>
      <c r="WYV404" s="785"/>
      <c r="WYW404" s="785"/>
      <c r="WYX404" s="785"/>
      <c r="WYY404" s="785"/>
      <c r="WYZ404" s="785"/>
      <c r="WZA404" s="785"/>
      <c r="WZB404" s="785"/>
      <c r="WZC404" s="785"/>
      <c r="WZD404" s="785"/>
      <c r="WZE404" s="785"/>
      <c r="WZF404" s="785"/>
      <c r="WZG404" s="785"/>
      <c r="WZH404" s="785"/>
      <c r="WZI404" s="785"/>
      <c r="WZJ404" s="785"/>
      <c r="WZK404" s="785"/>
      <c r="WZL404" s="785"/>
      <c r="WZM404" s="785"/>
      <c r="WZN404" s="785"/>
      <c r="WZO404" s="785"/>
      <c r="WZP404" s="785"/>
      <c r="WZQ404" s="785"/>
      <c r="WZR404" s="785"/>
      <c r="WZS404" s="785"/>
      <c r="WZT404" s="785"/>
      <c r="WZU404" s="785"/>
      <c r="WZV404" s="785"/>
      <c r="WZW404" s="785"/>
      <c r="WZX404" s="785"/>
      <c r="WZY404" s="785"/>
      <c r="WZZ404" s="785"/>
      <c r="XAA404" s="785"/>
      <c r="XAB404" s="785"/>
      <c r="XAC404" s="785"/>
      <c r="XAD404" s="785"/>
      <c r="XAE404" s="785"/>
      <c r="XAF404" s="785"/>
      <c r="XAG404" s="785"/>
      <c r="XAH404" s="785"/>
      <c r="XAI404" s="785"/>
      <c r="XAJ404" s="785"/>
      <c r="XAK404" s="785"/>
      <c r="XAL404" s="785"/>
      <c r="XAM404" s="785"/>
      <c r="XAN404" s="785"/>
      <c r="XAO404" s="785"/>
      <c r="XAP404" s="785"/>
      <c r="XAQ404" s="785"/>
      <c r="XAR404" s="785"/>
      <c r="XAS404" s="785"/>
      <c r="XAT404" s="785"/>
      <c r="XAU404" s="785"/>
      <c r="XAV404" s="785"/>
      <c r="XAW404" s="785"/>
      <c r="XAX404" s="785"/>
      <c r="XAY404" s="785"/>
      <c r="XAZ404" s="785"/>
      <c r="XBA404" s="785"/>
      <c r="XBB404" s="785"/>
      <c r="XBC404" s="785"/>
      <c r="XBD404" s="785"/>
      <c r="XBE404" s="785"/>
      <c r="XBF404" s="785"/>
      <c r="XBG404" s="785"/>
      <c r="XBH404" s="785"/>
      <c r="XBI404" s="785"/>
      <c r="XBJ404" s="785"/>
      <c r="XBK404" s="785"/>
      <c r="XBL404" s="785"/>
      <c r="XBM404" s="785"/>
      <c r="XBN404" s="785"/>
      <c r="XBO404" s="785"/>
      <c r="XBP404" s="785"/>
      <c r="XBQ404" s="785"/>
      <c r="XBR404" s="785"/>
      <c r="XBS404" s="785"/>
      <c r="XBT404" s="785"/>
      <c r="XBU404" s="785"/>
      <c r="XBV404" s="785"/>
      <c r="XBW404" s="785"/>
      <c r="XBX404" s="785"/>
      <c r="XBY404" s="785"/>
      <c r="XBZ404" s="785"/>
      <c r="XCA404" s="785"/>
      <c r="XCB404" s="785"/>
      <c r="XCC404" s="785"/>
      <c r="XCD404" s="785"/>
      <c r="XCE404" s="785"/>
      <c r="XCF404" s="785"/>
      <c r="XCG404" s="785"/>
      <c r="XCH404" s="785"/>
      <c r="XCI404" s="785"/>
      <c r="XCJ404" s="785"/>
      <c r="XCK404" s="785"/>
      <c r="XCL404" s="785"/>
      <c r="XCM404" s="785"/>
      <c r="XCN404" s="785"/>
      <c r="XCO404" s="785"/>
      <c r="XCP404" s="785"/>
      <c r="XCQ404" s="785"/>
      <c r="XCR404" s="785"/>
      <c r="XCS404" s="785"/>
      <c r="XCT404" s="785"/>
      <c r="XCU404" s="785"/>
      <c r="XCV404" s="785"/>
      <c r="XCW404" s="785"/>
      <c r="XCX404" s="785"/>
      <c r="XCY404" s="785"/>
      <c r="XCZ404" s="785"/>
      <c r="XDA404" s="785"/>
      <c r="XDB404" s="785"/>
      <c r="XDC404" s="785"/>
      <c r="XDD404" s="785"/>
      <c r="XDE404" s="785"/>
      <c r="XDF404" s="785"/>
      <c r="XDG404" s="785"/>
      <c r="XDH404" s="785"/>
      <c r="XDI404" s="785"/>
      <c r="XDJ404" s="785"/>
      <c r="XDK404" s="785"/>
      <c r="XDL404" s="785"/>
      <c r="XDM404" s="785"/>
      <c r="XDN404" s="785"/>
      <c r="XDO404" s="785"/>
      <c r="XDP404" s="785"/>
      <c r="XDQ404" s="785"/>
      <c r="XDR404" s="785"/>
      <c r="XDS404" s="785"/>
      <c r="XDT404" s="785"/>
      <c r="XDU404" s="785"/>
      <c r="XDV404" s="785"/>
      <c r="XDW404" s="785"/>
      <c r="XDX404" s="785"/>
      <c r="XDY404" s="785"/>
      <c r="XDZ404" s="785"/>
      <c r="XEA404" s="785"/>
      <c r="XEB404" s="785"/>
      <c r="XEC404" s="785"/>
      <c r="XED404" s="785"/>
      <c r="XEE404" s="785"/>
      <c r="XEF404" s="785"/>
      <c r="XEG404" s="785"/>
      <c r="XEH404" s="785"/>
      <c r="XEI404" s="785"/>
      <c r="XEJ404" s="785"/>
      <c r="XEK404" s="785"/>
      <c r="XEL404" s="785"/>
      <c r="XEM404" s="785"/>
      <c r="XEN404" s="785"/>
      <c r="XEO404" s="785"/>
      <c r="XEP404" s="785"/>
      <c r="XEQ404" s="785"/>
      <c r="XER404" s="785"/>
      <c r="XES404" s="785"/>
      <c r="XET404" s="785"/>
      <c r="XEU404" s="785"/>
      <c r="XEV404" s="785"/>
      <c r="XEW404" s="785"/>
      <c r="XEX404" s="785"/>
      <c r="XEY404" s="785"/>
      <c r="XEZ404" s="785"/>
      <c r="XFA404" s="785"/>
      <c r="XFB404" s="785"/>
      <c r="XFC404" s="785"/>
      <c r="XFD404" s="785"/>
    </row>
    <row r="405" spans="1:19 16149:16384" s="830" customFormat="1" ht="39.6">
      <c r="A405" s="830" t="s">
        <v>1227</v>
      </c>
      <c r="B405" s="881" t="s">
        <v>5437</v>
      </c>
      <c r="C405" s="841"/>
      <c r="D405" s="882" t="s">
        <v>5438</v>
      </c>
      <c r="E405" s="883" t="s">
        <v>5093</v>
      </c>
      <c r="F405" s="761">
        <v>1</v>
      </c>
      <c r="G405" s="746"/>
      <c r="H405" s="752">
        <v>0</v>
      </c>
      <c r="I405" s="879"/>
      <c r="J405" s="884"/>
      <c r="K405" s="885"/>
      <c r="M405" s="812">
        <v>165</v>
      </c>
      <c r="N405" s="812">
        <v>35</v>
      </c>
      <c r="S405" s="840"/>
      <c r="WWC405" s="785"/>
      <c r="WWD405" s="785"/>
      <c r="WWE405" s="785"/>
      <c r="WWF405" s="785"/>
      <c r="WWG405" s="785"/>
      <c r="WWH405" s="785"/>
      <c r="WWI405" s="785"/>
      <c r="WWJ405" s="785"/>
      <c r="WWK405" s="785"/>
      <c r="WWL405" s="785"/>
      <c r="WWM405" s="785"/>
      <c r="WWN405" s="785"/>
      <c r="WWO405" s="785"/>
      <c r="WWP405" s="785"/>
      <c r="WWQ405" s="785"/>
      <c r="WWR405" s="785"/>
      <c r="WWS405" s="785"/>
      <c r="WWT405" s="785"/>
      <c r="WWU405" s="785"/>
      <c r="WWV405" s="785"/>
      <c r="WWW405" s="785"/>
      <c r="WWX405" s="785"/>
      <c r="WWY405" s="785"/>
      <c r="WWZ405" s="785"/>
      <c r="WXA405" s="785"/>
      <c r="WXB405" s="785"/>
      <c r="WXC405" s="785"/>
      <c r="WXD405" s="785"/>
      <c r="WXE405" s="785"/>
      <c r="WXF405" s="785"/>
      <c r="WXG405" s="785"/>
      <c r="WXH405" s="785"/>
      <c r="WXI405" s="785"/>
      <c r="WXJ405" s="785"/>
      <c r="WXK405" s="785"/>
      <c r="WXL405" s="785"/>
      <c r="WXM405" s="785"/>
      <c r="WXN405" s="785"/>
      <c r="WXO405" s="785"/>
      <c r="WXP405" s="785"/>
      <c r="WXQ405" s="785"/>
      <c r="WXR405" s="785"/>
      <c r="WXS405" s="785"/>
      <c r="WXT405" s="785"/>
      <c r="WXU405" s="785"/>
      <c r="WXV405" s="785"/>
      <c r="WXW405" s="785"/>
      <c r="WXX405" s="785"/>
      <c r="WXY405" s="785"/>
      <c r="WXZ405" s="785"/>
      <c r="WYA405" s="785"/>
      <c r="WYB405" s="785"/>
      <c r="WYC405" s="785"/>
      <c r="WYD405" s="785"/>
      <c r="WYE405" s="785"/>
      <c r="WYF405" s="785"/>
      <c r="WYG405" s="785"/>
      <c r="WYH405" s="785"/>
      <c r="WYI405" s="785"/>
      <c r="WYJ405" s="785"/>
      <c r="WYK405" s="785"/>
      <c r="WYL405" s="785"/>
      <c r="WYM405" s="785"/>
      <c r="WYN405" s="785"/>
      <c r="WYO405" s="785"/>
      <c r="WYP405" s="785"/>
      <c r="WYQ405" s="785"/>
      <c r="WYR405" s="785"/>
      <c r="WYS405" s="785"/>
      <c r="WYT405" s="785"/>
      <c r="WYU405" s="785"/>
      <c r="WYV405" s="785"/>
      <c r="WYW405" s="785"/>
      <c r="WYX405" s="785"/>
      <c r="WYY405" s="785"/>
      <c r="WYZ405" s="785"/>
      <c r="WZA405" s="785"/>
      <c r="WZB405" s="785"/>
      <c r="WZC405" s="785"/>
      <c r="WZD405" s="785"/>
      <c r="WZE405" s="785"/>
      <c r="WZF405" s="785"/>
      <c r="WZG405" s="785"/>
      <c r="WZH405" s="785"/>
      <c r="WZI405" s="785"/>
      <c r="WZJ405" s="785"/>
      <c r="WZK405" s="785"/>
      <c r="WZL405" s="785"/>
      <c r="WZM405" s="785"/>
      <c r="WZN405" s="785"/>
      <c r="WZO405" s="785"/>
      <c r="WZP405" s="785"/>
      <c r="WZQ405" s="785"/>
      <c r="WZR405" s="785"/>
      <c r="WZS405" s="785"/>
      <c r="WZT405" s="785"/>
      <c r="WZU405" s="785"/>
      <c r="WZV405" s="785"/>
      <c r="WZW405" s="785"/>
      <c r="WZX405" s="785"/>
      <c r="WZY405" s="785"/>
      <c r="WZZ405" s="785"/>
      <c r="XAA405" s="785"/>
      <c r="XAB405" s="785"/>
      <c r="XAC405" s="785"/>
      <c r="XAD405" s="785"/>
      <c r="XAE405" s="785"/>
      <c r="XAF405" s="785"/>
      <c r="XAG405" s="785"/>
      <c r="XAH405" s="785"/>
      <c r="XAI405" s="785"/>
      <c r="XAJ405" s="785"/>
      <c r="XAK405" s="785"/>
      <c r="XAL405" s="785"/>
      <c r="XAM405" s="785"/>
      <c r="XAN405" s="785"/>
      <c r="XAO405" s="785"/>
      <c r="XAP405" s="785"/>
      <c r="XAQ405" s="785"/>
      <c r="XAR405" s="785"/>
      <c r="XAS405" s="785"/>
      <c r="XAT405" s="785"/>
      <c r="XAU405" s="785"/>
      <c r="XAV405" s="785"/>
      <c r="XAW405" s="785"/>
      <c r="XAX405" s="785"/>
      <c r="XAY405" s="785"/>
      <c r="XAZ405" s="785"/>
      <c r="XBA405" s="785"/>
      <c r="XBB405" s="785"/>
      <c r="XBC405" s="785"/>
      <c r="XBD405" s="785"/>
      <c r="XBE405" s="785"/>
      <c r="XBF405" s="785"/>
      <c r="XBG405" s="785"/>
      <c r="XBH405" s="785"/>
      <c r="XBI405" s="785"/>
      <c r="XBJ405" s="785"/>
      <c r="XBK405" s="785"/>
      <c r="XBL405" s="785"/>
      <c r="XBM405" s="785"/>
      <c r="XBN405" s="785"/>
      <c r="XBO405" s="785"/>
      <c r="XBP405" s="785"/>
      <c r="XBQ405" s="785"/>
      <c r="XBR405" s="785"/>
      <c r="XBS405" s="785"/>
      <c r="XBT405" s="785"/>
      <c r="XBU405" s="785"/>
      <c r="XBV405" s="785"/>
      <c r="XBW405" s="785"/>
      <c r="XBX405" s="785"/>
      <c r="XBY405" s="785"/>
      <c r="XBZ405" s="785"/>
      <c r="XCA405" s="785"/>
      <c r="XCB405" s="785"/>
      <c r="XCC405" s="785"/>
      <c r="XCD405" s="785"/>
      <c r="XCE405" s="785"/>
      <c r="XCF405" s="785"/>
      <c r="XCG405" s="785"/>
      <c r="XCH405" s="785"/>
      <c r="XCI405" s="785"/>
      <c r="XCJ405" s="785"/>
      <c r="XCK405" s="785"/>
      <c r="XCL405" s="785"/>
      <c r="XCM405" s="785"/>
      <c r="XCN405" s="785"/>
      <c r="XCO405" s="785"/>
      <c r="XCP405" s="785"/>
      <c r="XCQ405" s="785"/>
      <c r="XCR405" s="785"/>
      <c r="XCS405" s="785"/>
      <c r="XCT405" s="785"/>
      <c r="XCU405" s="785"/>
      <c r="XCV405" s="785"/>
      <c r="XCW405" s="785"/>
      <c r="XCX405" s="785"/>
      <c r="XCY405" s="785"/>
      <c r="XCZ405" s="785"/>
      <c r="XDA405" s="785"/>
      <c r="XDB405" s="785"/>
      <c r="XDC405" s="785"/>
      <c r="XDD405" s="785"/>
      <c r="XDE405" s="785"/>
      <c r="XDF405" s="785"/>
      <c r="XDG405" s="785"/>
      <c r="XDH405" s="785"/>
      <c r="XDI405" s="785"/>
      <c r="XDJ405" s="785"/>
      <c r="XDK405" s="785"/>
      <c r="XDL405" s="785"/>
      <c r="XDM405" s="785"/>
      <c r="XDN405" s="785"/>
      <c r="XDO405" s="785"/>
      <c r="XDP405" s="785"/>
      <c r="XDQ405" s="785"/>
      <c r="XDR405" s="785"/>
      <c r="XDS405" s="785"/>
      <c r="XDT405" s="785"/>
      <c r="XDU405" s="785"/>
      <c r="XDV405" s="785"/>
      <c r="XDW405" s="785"/>
      <c r="XDX405" s="785"/>
      <c r="XDY405" s="785"/>
      <c r="XDZ405" s="785"/>
      <c r="XEA405" s="785"/>
      <c r="XEB405" s="785"/>
      <c r="XEC405" s="785"/>
      <c r="XED405" s="785"/>
      <c r="XEE405" s="785"/>
      <c r="XEF405" s="785"/>
      <c r="XEG405" s="785"/>
      <c r="XEH405" s="785"/>
      <c r="XEI405" s="785"/>
      <c r="XEJ405" s="785"/>
      <c r="XEK405" s="785"/>
      <c r="XEL405" s="785"/>
      <c r="XEM405" s="785"/>
      <c r="XEN405" s="785"/>
      <c r="XEO405" s="785"/>
      <c r="XEP405" s="785"/>
      <c r="XEQ405" s="785"/>
      <c r="XER405" s="785"/>
      <c r="XES405" s="785"/>
      <c r="XET405" s="785"/>
      <c r="XEU405" s="785"/>
      <c r="XEV405" s="785"/>
      <c r="XEW405" s="785"/>
      <c r="XEX405" s="785"/>
      <c r="XEY405" s="785"/>
      <c r="XEZ405" s="785"/>
      <c r="XFA405" s="785"/>
      <c r="XFB405" s="785"/>
      <c r="XFC405" s="785"/>
      <c r="XFD405" s="785"/>
    </row>
    <row r="406" spans="1:19 16149:16384" s="830" customFormat="1" ht="13.8">
      <c r="A406" s="830" t="s">
        <v>1227</v>
      </c>
      <c r="B406" s="881" t="s">
        <v>5439</v>
      </c>
      <c r="C406" s="841"/>
      <c r="D406" s="882" t="s">
        <v>5440</v>
      </c>
      <c r="E406" s="883" t="s">
        <v>5093</v>
      </c>
      <c r="F406" s="761">
        <v>1</v>
      </c>
      <c r="G406" s="746"/>
      <c r="H406" s="752">
        <v>0</v>
      </c>
      <c r="I406" s="879"/>
      <c r="J406" s="884"/>
      <c r="K406" s="885"/>
      <c r="M406" s="812">
        <v>18.600000000000001</v>
      </c>
      <c r="N406" s="812">
        <v>4.8</v>
      </c>
      <c r="S406" s="840"/>
      <c r="WWC406" s="785"/>
      <c r="WWD406" s="785"/>
      <c r="WWE406" s="785"/>
      <c r="WWF406" s="785"/>
      <c r="WWG406" s="785"/>
      <c r="WWH406" s="785"/>
      <c r="WWI406" s="785"/>
      <c r="WWJ406" s="785"/>
      <c r="WWK406" s="785"/>
      <c r="WWL406" s="785"/>
      <c r="WWM406" s="785"/>
      <c r="WWN406" s="785"/>
      <c r="WWO406" s="785"/>
      <c r="WWP406" s="785"/>
      <c r="WWQ406" s="785"/>
      <c r="WWR406" s="785"/>
      <c r="WWS406" s="785"/>
      <c r="WWT406" s="785"/>
      <c r="WWU406" s="785"/>
      <c r="WWV406" s="785"/>
      <c r="WWW406" s="785"/>
      <c r="WWX406" s="785"/>
      <c r="WWY406" s="785"/>
      <c r="WWZ406" s="785"/>
      <c r="WXA406" s="785"/>
      <c r="WXB406" s="785"/>
      <c r="WXC406" s="785"/>
      <c r="WXD406" s="785"/>
      <c r="WXE406" s="785"/>
      <c r="WXF406" s="785"/>
      <c r="WXG406" s="785"/>
      <c r="WXH406" s="785"/>
      <c r="WXI406" s="785"/>
      <c r="WXJ406" s="785"/>
      <c r="WXK406" s="785"/>
      <c r="WXL406" s="785"/>
      <c r="WXM406" s="785"/>
      <c r="WXN406" s="785"/>
      <c r="WXO406" s="785"/>
      <c r="WXP406" s="785"/>
      <c r="WXQ406" s="785"/>
      <c r="WXR406" s="785"/>
      <c r="WXS406" s="785"/>
      <c r="WXT406" s="785"/>
      <c r="WXU406" s="785"/>
      <c r="WXV406" s="785"/>
      <c r="WXW406" s="785"/>
      <c r="WXX406" s="785"/>
      <c r="WXY406" s="785"/>
      <c r="WXZ406" s="785"/>
      <c r="WYA406" s="785"/>
      <c r="WYB406" s="785"/>
      <c r="WYC406" s="785"/>
      <c r="WYD406" s="785"/>
      <c r="WYE406" s="785"/>
      <c r="WYF406" s="785"/>
      <c r="WYG406" s="785"/>
      <c r="WYH406" s="785"/>
      <c r="WYI406" s="785"/>
      <c r="WYJ406" s="785"/>
      <c r="WYK406" s="785"/>
      <c r="WYL406" s="785"/>
      <c r="WYM406" s="785"/>
      <c r="WYN406" s="785"/>
      <c r="WYO406" s="785"/>
      <c r="WYP406" s="785"/>
      <c r="WYQ406" s="785"/>
      <c r="WYR406" s="785"/>
      <c r="WYS406" s="785"/>
      <c r="WYT406" s="785"/>
      <c r="WYU406" s="785"/>
      <c r="WYV406" s="785"/>
      <c r="WYW406" s="785"/>
      <c r="WYX406" s="785"/>
      <c r="WYY406" s="785"/>
      <c r="WYZ406" s="785"/>
      <c r="WZA406" s="785"/>
      <c r="WZB406" s="785"/>
      <c r="WZC406" s="785"/>
      <c r="WZD406" s="785"/>
      <c r="WZE406" s="785"/>
      <c r="WZF406" s="785"/>
      <c r="WZG406" s="785"/>
      <c r="WZH406" s="785"/>
      <c r="WZI406" s="785"/>
      <c r="WZJ406" s="785"/>
      <c r="WZK406" s="785"/>
      <c r="WZL406" s="785"/>
      <c r="WZM406" s="785"/>
      <c r="WZN406" s="785"/>
      <c r="WZO406" s="785"/>
      <c r="WZP406" s="785"/>
      <c r="WZQ406" s="785"/>
      <c r="WZR406" s="785"/>
      <c r="WZS406" s="785"/>
      <c r="WZT406" s="785"/>
      <c r="WZU406" s="785"/>
      <c r="WZV406" s="785"/>
      <c r="WZW406" s="785"/>
      <c r="WZX406" s="785"/>
      <c r="WZY406" s="785"/>
      <c r="WZZ406" s="785"/>
      <c r="XAA406" s="785"/>
      <c r="XAB406" s="785"/>
      <c r="XAC406" s="785"/>
      <c r="XAD406" s="785"/>
      <c r="XAE406" s="785"/>
      <c r="XAF406" s="785"/>
      <c r="XAG406" s="785"/>
      <c r="XAH406" s="785"/>
      <c r="XAI406" s="785"/>
      <c r="XAJ406" s="785"/>
      <c r="XAK406" s="785"/>
      <c r="XAL406" s="785"/>
      <c r="XAM406" s="785"/>
      <c r="XAN406" s="785"/>
      <c r="XAO406" s="785"/>
      <c r="XAP406" s="785"/>
      <c r="XAQ406" s="785"/>
      <c r="XAR406" s="785"/>
      <c r="XAS406" s="785"/>
      <c r="XAT406" s="785"/>
      <c r="XAU406" s="785"/>
      <c r="XAV406" s="785"/>
      <c r="XAW406" s="785"/>
      <c r="XAX406" s="785"/>
      <c r="XAY406" s="785"/>
      <c r="XAZ406" s="785"/>
      <c r="XBA406" s="785"/>
      <c r="XBB406" s="785"/>
      <c r="XBC406" s="785"/>
      <c r="XBD406" s="785"/>
      <c r="XBE406" s="785"/>
      <c r="XBF406" s="785"/>
      <c r="XBG406" s="785"/>
      <c r="XBH406" s="785"/>
      <c r="XBI406" s="785"/>
      <c r="XBJ406" s="785"/>
      <c r="XBK406" s="785"/>
      <c r="XBL406" s="785"/>
      <c r="XBM406" s="785"/>
      <c r="XBN406" s="785"/>
      <c r="XBO406" s="785"/>
      <c r="XBP406" s="785"/>
      <c r="XBQ406" s="785"/>
      <c r="XBR406" s="785"/>
      <c r="XBS406" s="785"/>
      <c r="XBT406" s="785"/>
      <c r="XBU406" s="785"/>
      <c r="XBV406" s="785"/>
      <c r="XBW406" s="785"/>
      <c r="XBX406" s="785"/>
      <c r="XBY406" s="785"/>
      <c r="XBZ406" s="785"/>
      <c r="XCA406" s="785"/>
      <c r="XCB406" s="785"/>
      <c r="XCC406" s="785"/>
      <c r="XCD406" s="785"/>
      <c r="XCE406" s="785"/>
      <c r="XCF406" s="785"/>
      <c r="XCG406" s="785"/>
      <c r="XCH406" s="785"/>
      <c r="XCI406" s="785"/>
      <c r="XCJ406" s="785"/>
      <c r="XCK406" s="785"/>
      <c r="XCL406" s="785"/>
      <c r="XCM406" s="785"/>
      <c r="XCN406" s="785"/>
      <c r="XCO406" s="785"/>
      <c r="XCP406" s="785"/>
      <c r="XCQ406" s="785"/>
      <c r="XCR406" s="785"/>
      <c r="XCS406" s="785"/>
      <c r="XCT406" s="785"/>
      <c r="XCU406" s="785"/>
      <c r="XCV406" s="785"/>
      <c r="XCW406" s="785"/>
      <c r="XCX406" s="785"/>
      <c r="XCY406" s="785"/>
      <c r="XCZ406" s="785"/>
      <c r="XDA406" s="785"/>
      <c r="XDB406" s="785"/>
      <c r="XDC406" s="785"/>
      <c r="XDD406" s="785"/>
      <c r="XDE406" s="785"/>
      <c r="XDF406" s="785"/>
      <c r="XDG406" s="785"/>
      <c r="XDH406" s="785"/>
      <c r="XDI406" s="785"/>
      <c r="XDJ406" s="785"/>
      <c r="XDK406" s="785"/>
      <c r="XDL406" s="785"/>
      <c r="XDM406" s="785"/>
      <c r="XDN406" s="785"/>
      <c r="XDO406" s="785"/>
      <c r="XDP406" s="785"/>
      <c r="XDQ406" s="785"/>
      <c r="XDR406" s="785"/>
      <c r="XDS406" s="785"/>
      <c r="XDT406" s="785"/>
      <c r="XDU406" s="785"/>
      <c r="XDV406" s="785"/>
      <c r="XDW406" s="785"/>
      <c r="XDX406" s="785"/>
      <c r="XDY406" s="785"/>
      <c r="XDZ406" s="785"/>
      <c r="XEA406" s="785"/>
      <c r="XEB406" s="785"/>
      <c r="XEC406" s="785"/>
      <c r="XED406" s="785"/>
      <c r="XEE406" s="785"/>
      <c r="XEF406" s="785"/>
      <c r="XEG406" s="785"/>
      <c r="XEH406" s="785"/>
      <c r="XEI406" s="785"/>
      <c r="XEJ406" s="785"/>
      <c r="XEK406" s="785"/>
      <c r="XEL406" s="785"/>
      <c r="XEM406" s="785"/>
      <c r="XEN406" s="785"/>
      <c r="XEO406" s="785"/>
      <c r="XEP406" s="785"/>
      <c r="XEQ406" s="785"/>
      <c r="XER406" s="785"/>
      <c r="XES406" s="785"/>
      <c r="XET406" s="785"/>
      <c r="XEU406" s="785"/>
      <c r="XEV406" s="785"/>
      <c r="XEW406" s="785"/>
      <c r="XEX406" s="785"/>
      <c r="XEY406" s="785"/>
      <c r="XEZ406" s="785"/>
      <c r="XFA406" s="785"/>
      <c r="XFB406" s="785"/>
      <c r="XFC406" s="785"/>
      <c r="XFD406" s="785"/>
    </row>
    <row r="407" spans="1:19 16149:16384" s="830" customFormat="1" ht="26.4">
      <c r="A407" s="830" t="s">
        <v>1227</v>
      </c>
      <c r="B407" s="881" t="s">
        <v>5441</v>
      </c>
      <c r="C407" s="841"/>
      <c r="D407" s="882" t="s">
        <v>5442</v>
      </c>
      <c r="E407" s="883" t="s">
        <v>5093</v>
      </c>
      <c r="F407" s="761">
        <v>2</v>
      </c>
      <c r="G407" s="746"/>
      <c r="H407" s="752">
        <v>0</v>
      </c>
      <c r="I407" s="879"/>
      <c r="J407" s="884"/>
      <c r="K407" s="885"/>
      <c r="M407" s="812">
        <v>55</v>
      </c>
      <c r="N407" s="812">
        <v>18</v>
      </c>
      <c r="S407" s="840"/>
    </row>
    <row r="408" spans="1:19 16149:16384" s="830" customFormat="1" ht="13.8">
      <c r="A408" s="830" t="s">
        <v>1227</v>
      </c>
      <c r="B408" s="881" t="s">
        <v>5443</v>
      </c>
      <c r="C408" s="841"/>
      <c r="D408" s="882" t="s">
        <v>5444</v>
      </c>
      <c r="E408" s="883" t="s">
        <v>5093</v>
      </c>
      <c r="F408" s="761">
        <v>3</v>
      </c>
      <c r="G408" s="746"/>
      <c r="H408" s="752">
        <v>0</v>
      </c>
      <c r="I408" s="879" t="s">
        <v>4872</v>
      </c>
      <c r="J408" s="754">
        <v>90529</v>
      </c>
      <c r="K408" s="860">
        <v>90529</v>
      </c>
      <c r="M408" s="812">
        <v>14.39</v>
      </c>
      <c r="N408" s="812"/>
      <c r="S408" s="840"/>
    </row>
    <row r="409" spans="1:19 16149:16384" s="830" customFormat="1" ht="13.8">
      <c r="A409" s="830" t="s">
        <v>1227</v>
      </c>
      <c r="B409" s="881" t="s">
        <v>5445</v>
      </c>
      <c r="C409" s="841"/>
      <c r="D409" s="882" t="s">
        <v>5446</v>
      </c>
      <c r="E409" s="883" t="s">
        <v>5093</v>
      </c>
      <c r="F409" s="761">
        <v>2</v>
      </c>
      <c r="G409" s="746"/>
      <c r="H409" s="752">
        <v>0</v>
      </c>
      <c r="I409" s="879" t="s">
        <v>4872</v>
      </c>
      <c r="J409" s="754">
        <v>90529</v>
      </c>
      <c r="K409" s="860">
        <v>90529</v>
      </c>
      <c r="M409" s="812">
        <v>14.39</v>
      </c>
      <c r="N409" s="812"/>
      <c r="S409" s="840"/>
    </row>
    <row r="410" spans="1:19 16149:16384" s="830" customFormat="1" ht="13.8">
      <c r="A410" s="830" t="s">
        <v>1227</v>
      </c>
      <c r="B410" s="881" t="s">
        <v>5447</v>
      </c>
      <c r="C410" s="841"/>
      <c r="D410" s="882" t="s">
        <v>5448</v>
      </c>
      <c r="E410" s="883" t="s">
        <v>5093</v>
      </c>
      <c r="F410" s="761">
        <v>2</v>
      </c>
      <c r="G410" s="746"/>
      <c r="H410" s="752">
        <v>0</v>
      </c>
      <c r="I410" s="879" t="s">
        <v>4872</v>
      </c>
      <c r="J410" s="754">
        <v>90529</v>
      </c>
      <c r="K410" s="860">
        <v>90529</v>
      </c>
      <c r="M410" s="812">
        <v>14.39</v>
      </c>
      <c r="N410" s="812"/>
      <c r="S410" s="840"/>
    </row>
    <row r="411" spans="1:19 16149:16384" s="830" customFormat="1" ht="13.8">
      <c r="A411" s="830" t="s">
        <v>1227</v>
      </c>
      <c r="B411" s="881" t="s">
        <v>5449</v>
      </c>
      <c r="C411" s="841"/>
      <c r="D411" s="882" t="s">
        <v>5450</v>
      </c>
      <c r="E411" s="883" t="s">
        <v>5093</v>
      </c>
      <c r="F411" s="761">
        <v>3</v>
      </c>
      <c r="G411" s="746"/>
      <c r="H411" s="752">
        <v>0</v>
      </c>
      <c r="I411" s="879" t="s">
        <v>4872</v>
      </c>
      <c r="J411" s="754">
        <v>90529</v>
      </c>
      <c r="K411" s="860">
        <v>90529</v>
      </c>
      <c r="M411" s="812">
        <v>14.39</v>
      </c>
      <c r="N411" s="812"/>
      <c r="S411" s="840"/>
    </row>
    <row r="412" spans="1:19 16149:16384" s="830" customFormat="1" ht="13.8">
      <c r="A412" s="830" t="s">
        <v>1227</v>
      </c>
      <c r="B412" s="881" t="s">
        <v>5451</v>
      </c>
      <c r="C412" s="841"/>
      <c r="D412" s="882" t="s">
        <v>5452</v>
      </c>
      <c r="E412" s="883" t="s">
        <v>5453</v>
      </c>
      <c r="F412" s="761">
        <v>2</v>
      </c>
      <c r="G412" s="746"/>
      <c r="H412" s="752">
        <v>0</v>
      </c>
      <c r="I412" s="879" t="s">
        <v>4908</v>
      </c>
      <c r="J412" s="884" t="s">
        <v>5305</v>
      </c>
      <c r="K412" s="885" t="s">
        <v>5305</v>
      </c>
      <c r="M412" s="812">
        <v>2.02</v>
      </c>
      <c r="N412" s="812"/>
      <c r="S412" s="840"/>
    </row>
    <row r="413" spans="1:19 16149:16384" s="830" customFormat="1" ht="13.8">
      <c r="A413" s="830" t="s">
        <v>1227</v>
      </c>
      <c r="B413" s="881" t="s">
        <v>5454</v>
      </c>
      <c r="C413" s="841"/>
      <c r="D413" s="882" t="s">
        <v>5455</v>
      </c>
      <c r="E413" s="883" t="s">
        <v>5373</v>
      </c>
      <c r="F413" s="761">
        <v>3</v>
      </c>
      <c r="G413" s="746"/>
      <c r="H413" s="752">
        <v>0</v>
      </c>
      <c r="I413" s="879" t="s">
        <v>4908</v>
      </c>
      <c r="J413" s="884">
        <v>73613</v>
      </c>
      <c r="K413" s="885">
        <v>73613</v>
      </c>
      <c r="M413" s="812">
        <v>15.3</v>
      </c>
      <c r="N413" s="812"/>
      <c r="S413" s="840"/>
      <c r="WWC413" s="785"/>
      <c r="WWD413" s="785"/>
      <c r="WWE413" s="785"/>
      <c r="WWF413" s="785"/>
      <c r="WWG413" s="785"/>
      <c r="WWH413" s="785"/>
      <c r="WWI413" s="785"/>
      <c r="WWJ413" s="785"/>
      <c r="WWK413" s="785"/>
      <c r="WWL413" s="785"/>
      <c r="WWM413" s="785"/>
      <c r="WWN413" s="785"/>
      <c r="WWO413" s="785"/>
      <c r="WWP413" s="785"/>
      <c r="WWQ413" s="785"/>
      <c r="WWR413" s="785"/>
      <c r="WWS413" s="785"/>
      <c r="WWT413" s="785"/>
      <c r="WWU413" s="785"/>
      <c r="WWV413" s="785"/>
      <c r="WWW413" s="785"/>
      <c r="WWX413" s="785"/>
      <c r="WWY413" s="785"/>
      <c r="WWZ413" s="785"/>
      <c r="WXA413" s="785"/>
      <c r="WXB413" s="785"/>
      <c r="WXC413" s="785"/>
      <c r="WXD413" s="785"/>
      <c r="WXE413" s="785"/>
      <c r="WXF413" s="785"/>
      <c r="WXG413" s="785"/>
      <c r="WXH413" s="785"/>
      <c r="WXI413" s="785"/>
      <c r="WXJ413" s="785"/>
      <c r="WXK413" s="785"/>
      <c r="WXL413" s="785"/>
      <c r="WXM413" s="785"/>
      <c r="WXN413" s="785"/>
      <c r="WXO413" s="785"/>
      <c r="WXP413" s="785"/>
      <c r="WXQ413" s="785"/>
      <c r="WXR413" s="785"/>
      <c r="WXS413" s="785"/>
      <c r="WXT413" s="785"/>
      <c r="WXU413" s="785"/>
      <c r="WXV413" s="785"/>
      <c r="WXW413" s="785"/>
      <c r="WXX413" s="785"/>
      <c r="WXY413" s="785"/>
      <c r="WXZ413" s="785"/>
      <c r="WYA413" s="785"/>
      <c r="WYB413" s="785"/>
      <c r="WYC413" s="785"/>
      <c r="WYD413" s="785"/>
      <c r="WYE413" s="785"/>
      <c r="WYF413" s="785"/>
      <c r="WYG413" s="785"/>
      <c r="WYH413" s="785"/>
      <c r="WYI413" s="785"/>
      <c r="WYJ413" s="785"/>
      <c r="WYK413" s="785"/>
      <c r="WYL413" s="785"/>
      <c r="WYM413" s="785"/>
      <c r="WYN413" s="785"/>
      <c r="WYO413" s="785"/>
      <c r="WYP413" s="785"/>
      <c r="WYQ413" s="785"/>
      <c r="WYR413" s="785"/>
      <c r="WYS413" s="785"/>
      <c r="WYT413" s="785"/>
      <c r="WYU413" s="785"/>
      <c r="WYV413" s="785"/>
      <c r="WYW413" s="785"/>
      <c r="WYX413" s="785"/>
      <c r="WYY413" s="785"/>
      <c r="WYZ413" s="785"/>
      <c r="WZA413" s="785"/>
      <c r="WZB413" s="785"/>
      <c r="WZC413" s="785"/>
      <c r="WZD413" s="785"/>
      <c r="WZE413" s="785"/>
      <c r="WZF413" s="785"/>
      <c r="WZG413" s="785"/>
      <c r="WZH413" s="785"/>
      <c r="WZI413" s="785"/>
      <c r="WZJ413" s="785"/>
      <c r="WZK413" s="785"/>
      <c r="WZL413" s="785"/>
      <c r="WZM413" s="785"/>
      <c r="WZN413" s="785"/>
      <c r="WZO413" s="785"/>
      <c r="WZP413" s="785"/>
      <c r="WZQ413" s="785"/>
      <c r="WZR413" s="785"/>
      <c r="WZS413" s="785"/>
      <c r="WZT413" s="785"/>
      <c r="WZU413" s="785"/>
      <c r="WZV413" s="785"/>
      <c r="WZW413" s="785"/>
      <c r="WZX413" s="785"/>
      <c r="WZY413" s="785"/>
      <c r="WZZ413" s="785"/>
      <c r="XAA413" s="785"/>
      <c r="XAB413" s="785"/>
      <c r="XAC413" s="785"/>
      <c r="XAD413" s="785"/>
      <c r="XAE413" s="785"/>
      <c r="XAF413" s="785"/>
      <c r="XAG413" s="785"/>
      <c r="XAH413" s="785"/>
      <c r="XAI413" s="785"/>
      <c r="XAJ413" s="785"/>
      <c r="XAK413" s="785"/>
      <c r="XAL413" s="785"/>
      <c r="XAM413" s="785"/>
      <c r="XAN413" s="785"/>
      <c r="XAO413" s="785"/>
      <c r="XAP413" s="785"/>
      <c r="XAQ413" s="785"/>
      <c r="XAR413" s="785"/>
      <c r="XAS413" s="785"/>
      <c r="XAT413" s="785"/>
      <c r="XAU413" s="785"/>
      <c r="XAV413" s="785"/>
      <c r="XAW413" s="785"/>
      <c r="XAX413" s="785"/>
      <c r="XAY413" s="785"/>
      <c r="XAZ413" s="785"/>
      <c r="XBA413" s="785"/>
      <c r="XBB413" s="785"/>
      <c r="XBC413" s="785"/>
      <c r="XBD413" s="785"/>
      <c r="XBE413" s="785"/>
      <c r="XBF413" s="785"/>
      <c r="XBG413" s="785"/>
      <c r="XBH413" s="785"/>
      <c r="XBI413" s="785"/>
      <c r="XBJ413" s="785"/>
      <c r="XBK413" s="785"/>
      <c r="XBL413" s="785"/>
      <c r="XBM413" s="785"/>
      <c r="XBN413" s="785"/>
      <c r="XBO413" s="785"/>
      <c r="XBP413" s="785"/>
      <c r="XBQ413" s="785"/>
      <c r="XBR413" s="785"/>
      <c r="XBS413" s="785"/>
      <c r="XBT413" s="785"/>
      <c r="XBU413" s="785"/>
      <c r="XBV413" s="785"/>
      <c r="XBW413" s="785"/>
      <c r="XBX413" s="785"/>
      <c r="XBY413" s="785"/>
      <c r="XBZ413" s="785"/>
      <c r="XCA413" s="785"/>
      <c r="XCB413" s="785"/>
      <c r="XCC413" s="785"/>
      <c r="XCD413" s="785"/>
      <c r="XCE413" s="785"/>
      <c r="XCF413" s="785"/>
      <c r="XCG413" s="785"/>
      <c r="XCH413" s="785"/>
      <c r="XCI413" s="785"/>
      <c r="XCJ413" s="785"/>
      <c r="XCK413" s="785"/>
      <c r="XCL413" s="785"/>
      <c r="XCM413" s="785"/>
      <c r="XCN413" s="785"/>
      <c r="XCO413" s="785"/>
      <c r="XCP413" s="785"/>
      <c r="XCQ413" s="785"/>
      <c r="XCR413" s="785"/>
      <c r="XCS413" s="785"/>
      <c r="XCT413" s="785"/>
      <c r="XCU413" s="785"/>
      <c r="XCV413" s="785"/>
      <c r="XCW413" s="785"/>
      <c r="XCX413" s="785"/>
      <c r="XCY413" s="785"/>
      <c r="XCZ413" s="785"/>
      <c r="XDA413" s="785"/>
      <c r="XDB413" s="785"/>
      <c r="XDC413" s="785"/>
      <c r="XDD413" s="785"/>
      <c r="XDE413" s="785"/>
      <c r="XDF413" s="785"/>
      <c r="XDG413" s="785"/>
      <c r="XDH413" s="785"/>
      <c r="XDI413" s="785"/>
      <c r="XDJ413" s="785"/>
      <c r="XDK413" s="785"/>
      <c r="XDL413" s="785"/>
      <c r="XDM413" s="785"/>
      <c r="XDN413" s="785"/>
      <c r="XDO413" s="785"/>
      <c r="XDP413" s="785"/>
      <c r="XDQ413" s="785"/>
      <c r="XDR413" s="785"/>
      <c r="XDS413" s="785"/>
      <c r="XDT413" s="785"/>
      <c r="XDU413" s="785"/>
      <c r="XDV413" s="785"/>
      <c r="XDW413" s="785"/>
      <c r="XDX413" s="785"/>
      <c r="XDY413" s="785"/>
      <c r="XDZ413" s="785"/>
      <c r="XEA413" s="785"/>
      <c r="XEB413" s="785"/>
      <c r="XEC413" s="785"/>
      <c r="XED413" s="785"/>
      <c r="XEE413" s="785"/>
      <c r="XEF413" s="785"/>
      <c r="XEG413" s="785"/>
      <c r="XEH413" s="785"/>
      <c r="XEI413" s="785"/>
      <c r="XEJ413" s="785"/>
      <c r="XEK413" s="785"/>
      <c r="XEL413" s="785"/>
      <c r="XEM413" s="785"/>
      <c r="XEN413" s="785"/>
      <c r="XEO413" s="785"/>
      <c r="XEP413" s="785"/>
      <c r="XEQ413" s="785"/>
      <c r="XER413" s="785"/>
      <c r="XES413" s="785"/>
      <c r="XET413" s="785"/>
      <c r="XEU413" s="785"/>
      <c r="XEV413" s="785"/>
      <c r="XEW413" s="785"/>
      <c r="XEX413" s="785"/>
      <c r="XEY413" s="785"/>
      <c r="XEZ413" s="785"/>
      <c r="XFA413" s="785"/>
      <c r="XFB413" s="785"/>
      <c r="XFC413" s="785"/>
      <c r="XFD413" s="785"/>
    </row>
    <row r="414" spans="1:19 16149:16384" s="830" customFormat="1" ht="13.8">
      <c r="A414" s="830" t="s">
        <v>1227</v>
      </c>
      <c r="B414" s="881" t="s">
        <v>5456</v>
      </c>
      <c r="C414" s="841"/>
      <c r="D414" s="882" t="s">
        <v>5457</v>
      </c>
      <c r="E414" s="883" t="s">
        <v>1450</v>
      </c>
      <c r="F414" s="761">
        <v>3</v>
      </c>
      <c r="G414" s="746"/>
      <c r="H414" s="752">
        <v>0</v>
      </c>
      <c r="I414" s="879" t="s">
        <v>4872</v>
      </c>
      <c r="J414" s="754">
        <v>91307</v>
      </c>
      <c r="K414" s="860">
        <v>91307</v>
      </c>
      <c r="M414" s="812">
        <v>29.64</v>
      </c>
      <c r="N414" s="812"/>
      <c r="S414" s="840"/>
    </row>
    <row r="415" spans="1:19 16149:16384" s="830" customFormat="1" ht="26.4">
      <c r="A415" s="830" t="s">
        <v>1227</v>
      </c>
      <c r="B415" s="881" t="s">
        <v>5458</v>
      </c>
      <c r="C415" s="841"/>
      <c r="D415" s="882" t="s">
        <v>5459</v>
      </c>
      <c r="E415" s="883" t="s">
        <v>4906</v>
      </c>
      <c r="F415" s="761">
        <v>2</v>
      </c>
      <c r="G415" s="746"/>
      <c r="H415" s="752">
        <v>0</v>
      </c>
      <c r="I415" s="879"/>
      <c r="J415" s="884"/>
      <c r="K415" s="885"/>
      <c r="M415" s="812">
        <v>45</v>
      </c>
      <c r="N415" s="812">
        <v>22</v>
      </c>
      <c r="S415" s="840"/>
    </row>
    <row r="416" spans="1:19 16149:16384" s="830" customFormat="1" ht="26.4">
      <c r="A416" s="830" t="s">
        <v>1227</v>
      </c>
      <c r="B416" s="881" t="s">
        <v>5460</v>
      </c>
      <c r="C416" s="841"/>
      <c r="D416" s="882" t="s">
        <v>5461</v>
      </c>
      <c r="E416" s="883" t="s">
        <v>5373</v>
      </c>
      <c r="F416" s="761">
        <v>3</v>
      </c>
      <c r="G416" s="746"/>
      <c r="H416" s="752">
        <v>0</v>
      </c>
      <c r="I416" s="879"/>
      <c r="J416" s="884"/>
      <c r="K416" s="885"/>
      <c r="M416" s="812">
        <v>130.53</v>
      </c>
      <c r="N416" s="812">
        <v>40.98</v>
      </c>
      <c r="S416" s="840"/>
    </row>
    <row r="417" spans="1:19 16149:16384" s="830" customFormat="1" ht="13.8">
      <c r="A417" s="830" t="s">
        <v>1227</v>
      </c>
      <c r="B417" s="881" t="s">
        <v>5462</v>
      </c>
      <c r="C417" s="841"/>
      <c r="D417" s="882" t="s">
        <v>5463</v>
      </c>
      <c r="E417" s="883" t="s">
        <v>1450</v>
      </c>
      <c r="F417" s="761">
        <v>6</v>
      </c>
      <c r="G417" s="746"/>
      <c r="H417" s="752">
        <v>0</v>
      </c>
      <c r="I417" s="879"/>
      <c r="J417" s="884"/>
      <c r="K417" s="885"/>
      <c r="M417" s="812">
        <v>21.1</v>
      </c>
      <c r="N417" s="812">
        <v>25.04</v>
      </c>
      <c r="S417" s="840"/>
    </row>
    <row r="418" spans="1:19 16149:16384" s="830" customFormat="1" ht="13.8">
      <c r="A418" s="830" t="s">
        <v>1227</v>
      </c>
      <c r="B418" s="881" t="s">
        <v>5464</v>
      </c>
      <c r="C418" s="841"/>
      <c r="D418" s="882" t="s">
        <v>5465</v>
      </c>
      <c r="E418" s="883" t="s">
        <v>5093</v>
      </c>
      <c r="F418" s="761">
        <v>3</v>
      </c>
      <c r="G418" s="746"/>
      <c r="H418" s="752">
        <v>0</v>
      </c>
      <c r="I418" s="879"/>
      <c r="J418" s="884"/>
      <c r="K418" s="885"/>
      <c r="M418" s="812">
        <v>10.199999999999999</v>
      </c>
      <c r="N418" s="812">
        <v>5.6</v>
      </c>
      <c r="S418" s="840"/>
    </row>
    <row r="419" spans="1:19 16149:16384" s="830" customFormat="1" ht="13.8">
      <c r="A419" s="830" t="s">
        <v>1227</v>
      </c>
      <c r="B419" s="881" t="s">
        <v>5466</v>
      </c>
      <c r="C419" s="841"/>
      <c r="D419" s="882" t="s">
        <v>5467</v>
      </c>
      <c r="E419" s="883" t="s">
        <v>5093</v>
      </c>
      <c r="F419" s="761">
        <v>1</v>
      </c>
      <c r="G419" s="746"/>
      <c r="H419" s="752">
        <v>0</v>
      </c>
      <c r="I419" s="879"/>
      <c r="J419" s="884"/>
      <c r="K419" s="885"/>
      <c r="M419" s="812">
        <v>1610</v>
      </c>
      <c r="N419" s="812">
        <v>850</v>
      </c>
      <c r="S419" s="840"/>
    </row>
    <row r="420" spans="1:19 16149:16384" s="830" customFormat="1" ht="13.8">
      <c r="A420" s="830" t="s">
        <v>1227</v>
      </c>
      <c r="B420" s="881" t="s">
        <v>5468</v>
      </c>
      <c r="C420" s="841"/>
      <c r="D420" s="882" t="s">
        <v>5469</v>
      </c>
      <c r="E420" s="883" t="s">
        <v>5093</v>
      </c>
      <c r="F420" s="761">
        <v>2</v>
      </c>
      <c r="G420" s="746"/>
      <c r="H420" s="752">
        <v>0</v>
      </c>
      <c r="I420" s="879"/>
      <c r="J420" s="884"/>
      <c r="K420" s="885"/>
      <c r="M420" s="812">
        <v>16.5</v>
      </c>
      <c r="N420" s="812">
        <v>9</v>
      </c>
      <c r="S420" s="840"/>
      <c r="WWC420" s="785"/>
      <c r="WWD420" s="785"/>
      <c r="WWE420" s="785"/>
      <c r="WWF420" s="785"/>
      <c r="WWG420" s="785"/>
      <c r="WWH420" s="785"/>
      <c r="WWI420" s="785"/>
      <c r="WWJ420" s="785"/>
      <c r="WWK420" s="785"/>
      <c r="WWL420" s="785"/>
      <c r="WWM420" s="785"/>
      <c r="WWN420" s="785"/>
      <c r="WWO420" s="785"/>
      <c r="WWP420" s="785"/>
      <c r="WWQ420" s="785"/>
      <c r="WWR420" s="785"/>
      <c r="WWS420" s="785"/>
      <c r="WWT420" s="785"/>
      <c r="WWU420" s="785"/>
      <c r="WWV420" s="785"/>
      <c r="WWW420" s="785"/>
      <c r="WWX420" s="785"/>
      <c r="WWY420" s="785"/>
      <c r="WWZ420" s="785"/>
      <c r="WXA420" s="785"/>
      <c r="WXB420" s="785"/>
      <c r="WXC420" s="785"/>
      <c r="WXD420" s="785"/>
      <c r="WXE420" s="785"/>
      <c r="WXF420" s="785"/>
      <c r="WXG420" s="785"/>
      <c r="WXH420" s="785"/>
      <c r="WXI420" s="785"/>
      <c r="WXJ420" s="785"/>
      <c r="WXK420" s="785"/>
      <c r="WXL420" s="785"/>
      <c r="WXM420" s="785"/>
      <c r="WXN420" s="785"/>
      <c r="WXO420" s="785"/>
      <c r="WXP420" s="785"/>
      <c r="WXQ420" s="785"/>
      <c r="WXR420" s="785"/>
      <c r="WXS420" s="785"/>
      <c r="WXT420" s="785"/>
      <c r="WXU420" s="785"/>
      <c r="WXV420" s="785"/>
      <c r="WXW420" s="785"/>
      <c r="WXX420" s="785"/>
      <c r="WXY420" s="785"/>
      <c r="WXZ420" s="785"/>
      <c r="WYA420" s="785"/>
      <c r="WYB420" s="785"/>
      <c r="WYC420" s="785"/>
      <c r="WYD420" s="785"/>
      <c r="WYE420" s="785"/>
      <c r="WYF420" s="785"/>
      <c r="WYG420" s="785"/>
      <c r="WYH420" s="785"/>
      <c r="WYI420" s="785"/>
      <c r="WYJ420" s="785"/>
      <c r="WYK420" s="785"/>
      <c r="WYL420" s="785"/>
      <c r="WYM420" s="785"/>
      <c r="WYN420" s="785"/>
      <c r="WYO420" s="785"/>
      <c r="WYP420" s="785"/>
      <c r="WYQ420" s="785"/>
      <c r="WYR420" s="785"/>
      <c r="WYS420" s="785"/>
      <c r="WYT420" s="785"/>
      <c r="WYU420" s="785"/>
      <c r="WYV420" s="785"/>
      <c r="WYW420" s="785"/>
      <c r="WYX420" s="785"/>
      <c r="WYY420" s="785"/>
      <c r="WYZ420" s="785"/>
      <c r="WZA420" s="785"/>
      <c r="WZB420" s="785"/>
      <c r="WZC420" s="785"/>
      <c r="WZD420" s="785"/>
      <c r="WZE420" s="785"/>
      <c r="WZF420" s="785"/>
      <c r="WZG420" s="785"/>
      <c r="WZH420" s="785"/>
      <c r="WZI420" s="785"/>
      <c r="WZJ420" s="785"/>
      <c r="WZK420" s="785"/>
      <c r="WZL420" s="785"/>
      <c r="WZM420" s="785"/>
      <c r="WZN420" s="785"/>
      <c r="WZO420" s="785"/>
      <c r="WZP420" s="785"/>
      <c r="WZQ420" s="785"/>
      <c r="WZR420" s="785"/>
      <c r="WZS420" s="785"/>
      <c r="WZT420" s="785"/>
      <c r="WZU420" s="785"/>
      <c r="WZV420" s="785"/>
      <c r="WZW420" s="785"/>
      <c r="WZX420" s="785"/>
      <c r="WZY420" s="785"/>
      <c r="WZZ420" s="785"/>
      <c r="XAA420" s="785"/>
      <c r="XAB420" s="785"/>
      <c r="XAC420" s="785"/>
      <c r="XAD420" s="785"/>
      <c r="XAE420" s="785"/>
      <c r="XAF420" s="785"/>
      <c r="XAG420" s="785"/>
      <c r="XAH420" s="785"/>
      <c r="XAI420" s="785"/>
      <c r="XAJ420" s="785"/>
      <c r="XAK420" s="785"/>
      <c r="XAL420" s="785"/>
      <c r="XAM420" s="785"/>
      <c r="XAN420" s="785"/>
      <c r="XAO420" s="785"/>
      <c r="XAP420" s="785"/>
      <c r="XAQ420" s="785"/>
      <c r="XAR420" s="785"/>
      <c r="XAS420" s="785"/>
      <c r="XAT420" s="785"/>
      <c r="XAU420" s="785"/>
      <c r="XAV420" s="785"/>
      <c r="XAW420" s="785"/>
      <c r="XAX420" s="785"/>
      <c r="XAY420" s="785"/>
      <c r="XAZ420" s="785"/>
      <c r="XBA420" s="785"/>
      <c r="XBB420" s="785"/>
      <c r="XBC420" s="785"/>
      <c r="XBD420" s="785"/>
      <c r="XBE420" s="785"/>
      <c r="XBF420" s="785"/>
      <c r="XBG420" s="785"/>
      <c r="XBH420" s="785"/>
      <c r="XBI420" s="785"/>
      <c r="XBJ420" s="785"/>
      <c r="XBK420" s="785"/>
      <c r="XBL420" s="785"/>
      <c r="XBM420" s="785"/>
      <c r="XBN420" s="785"/>
      <c r="XBO420" s="785"/>
      <c r="XBP420" s="785"/>
      <c r="XBQ420" s="785"/>
      <c r="XBR420" s="785"/>
      <c r="XBS420" s="785"/>
      <c r="XBT420" s="785"/>
      <c r="XBU420" s="785"/>
      <c r="XBV420" s="785"/>
      <c r="XBW420" s="785"/>
      <c r="XBX420" s="785"/>
      <c r="XBY420" s="785"/>
      <c r="XBZ420" s="785"/>
      <c r="XCA420" s="785"/>
      <c r="XCB420" s="785"/>
      <c r="XCC420" s="785"/>
      <c r="XCD420" s="785"/>
      <c r="XCE420" s="785"/>
      <c r="XCF420" s="785"/>
      <c r="XCG420" s="785"/>
      <c r="XCH420" s="785"/>
      <c r="XCI420" s="785"/>
      <c r="XCJ420" s="785"/>
      <c r="XCK420" s="785"/>
      <c r="XCL420" s="785"/>
      <c r="XCM420" s="785"/>
      <c r="XCN420" s="785"/>
      <c r="XCO420" s="785"/>
      <c r="XCP420" s="785"/>
      <c r="XCQ420" s="785"/>
      <c r="XCR420" s="785"/>
      <c r="XCS420" s="785"/>
      <c r="XCT420" s="785"/>
      <c r="XCU420" s="785"/>
      <c r="XCV420" s="785"/>
      <c r="XCW420" s="785"/>
      <c r="XCX420" s="785"/>
      <c r="XCY420" s="785"/>
      <c r="XCZ420" s="785"/>
      <c r="XDA420" s="785"/>
      <c r="XDB420" s="785"/>
      <c r="XDC420" s="785"/>
      <c r="XDD420" s="785"/>
      <c r="XDE420" s="785"/>
      <c r="XDF420" s="785"/>
      <c r="XDG420" s="785"/>
      <c r="XDH420" s="785"/>
      <c r="XDI420" s="785"/>
      <c r="XDJ420" s="785"/>
      <c r="XDK420" s="785"/>
      <c r="XDL420" s="785"/>
      <c r="XDM420" s="785"/>
      <c r="XDN420" s="785"/>
      <c r="XDO420" s="785"/>
      <c r="XDP420" s="785"/>
      <c r="XDQ420" s="785"/>
      <c r="XDR420" s="785"/>
      <c r="XDS420" s="785"/>
      <c r="XDT420" s="785"/>
      <c r="XDU420" s="785"/>
      <c r="XDV420" s="785"/>
      <c r="XDW420" s="785"/>
      <c r="XDX420" s="785"/>
      <c r="XDY420" s="785"/>
      <c r="XDZ420" s="785"/>
      <c r="XEA420" s="785"/>
      <c r="XEB420" s="785"/>
      <c r="XEC420" s="785"/>
      <c r="XED420" s="785"/>
      <c r="XEE420" s="785"/>
      <c r="XEF420" s="785"/>
      <c r="XEG420" s="785"/>
      <c r="XEH420" s="785"/>
      <c r="XEI420" s="785"/>
      <c r="XEJ420" s="785"/>
      <c r="XEK420" s="785"/>
      <c r="XEL420" s="785"/>
      <c r="XEM420" s="785"/>
      <c r="XEN420" s="785"/>
      <c r="XEO420" s="785"/>
      <c r="XEP420" s="785"/>
      <c r="XEQ420" s="785"/>
      <c r="XER420" s="785"/>
      <c r="XES420" s="785"/>
      <c r="XET420" s="785"/>
      <c r="XEU420" s="785"/>
      <c r="XEV420" s="785"/>
      <c r="XEW420" s="785"/>
      <c r="XEX420" s="785"/>
      <c r="XEY420" s="785"/>
      <c r="XEZ420" s="785"/>
      <c r="XFA420" s="785"/>
      <c r="XFB420" s="785"/>
      <c r="XFC420" s="785"/>
      <c r="XFD420" s="785"/>
    </row>
    <row r="421" spans="1:19 16149:16384" s="830" customFormat="1" ht="13.8">
      <c r="A421" s="830" t="s">
        <v>1227</v>
      </c>
      <c r="B421" s="881" t="s">
        <v>5470</v>
      </c>
      <c r="C421" s="841"/>
      <c r="D421" s="882" t="s">
        <v>5471</v>
      </c>
      <c r="E421" s="883" t="s">
        <v>5093</v>
      </c>
      <c r="F421" s="761">
        <v>1</v>
      </c>
      <c r="G421" s="746"/>
      <c r="H421" s="752">
        <v>0</v>
      </c>
      <c r="I421" s="879"/>
      <c r="J421" s="884"/>
      <c r="K421" s="885"/>
      <c r="M421" s="812">
        <v>59.59</v>
      </c>
      <c r="N421" s="812">
        <v>15.93</v>
      </c>
      <c r="S421" s="840"/>
      <c r="WWC421" s="785"/>
      <c r="WWD421" s="785"/>
      <c r="WWE421" s="785"/>
      <c r="WWF421" s="785"/>
      <c r="WWG421" s="785"/>
      <c r="WWH421" s="785"/>
      <c r="WWI421" s="785"/>
      <c r="WWJ421" s="785"/>
      <c r="WWK421" s="785"/>
      <c r="WWL421" s="785"/>
      <c r="WWM421" s="785"/>
      <c r="WWN421" s="785"/>
      <c r="WWO421" s="785"/>
      <c r="WWP421" s="785"/>
      <c r="WWQ421" s="785"/>
      <c r="WWR421" s="785"/>
      <c r="WWS421" s="785"/>
      <c r="WWT421" s="785"/>
      <c r="WWU421" s="785"/>
      <c r="WWV421" s="785"/>
      <c r="WWW421" s="785"/>
      <c r="WWX421" s="785"/>
      <c r="WWY421" s="785"/>
      <c r="WWZ421" s="785"/>
      <c r="WXA421" s="785"/>
      <c r="WXB421" s="785"/>
      <c r="WXC421" s="785"/>
      <c r="WXD421" s="785"/>
      <c r="WXE421" s="785"/>
      <c r="WXF421" s="785"/>
      <c r="WXG421" s="785"/>
      <c r="WXH421" s="785"/>
      <c r="WXI421" s="785"/>
      <c r="WXJ421" s="785"/>
      <c r="WXK421" s="785"/>
      <c r="WXL421" s="785"/>
      <c r="WXM421" s="785"/>
      <c r="WXN421" s="785"/>
      <c r="WXO421" s="785"/>
      <c r="WXP421" s="785"/>
      <c r="WXQ421" s="785"/>
      <c r="WXR421" s="785"/>
      <c r="WXS421" s="785"/>
      <c r="WXT421" s="785"/>
      <c r="WXU421" s="785"/>
      <c r="WXV421" s="785"/>
      <c r="WXW421" s="785"/>
      <c r="WXX421" s="785"/>
      <c r="WXY421" s="785"/>
      <c r="WXZ421" s="785"/>
      <c r="WYA421" s="785"/>
      <c r="WYB421" s="785"/>
      <c r="WYC421" s="785"/>
      <c r="WYD421" s="785"/>
      <c r="WYE421" s="785"/>
      <c r="WYF421" s="785"/>
      <c r="WYG421" s="785"/>
      <c r="WYH421" s="785"/>
      <c r="WYI421" s="785"/>
      <c r="WYJ421" s="785"/>
      <c r="WYK421" s="785"/>
      <c r="WYL421" s="785"/>
      <c r="WYM421" s="785"/>
      <c r="WYN421" s="785"/>
      <c r="WYO421" s="785"/>
      <c r="WYP421" s="785"/>
      <c r="WYQ421" s="785"/>
      <c r="WYR421" s="785"/>
      <c r="WYS421" s="785"/>
      <c r="WYT421" s="785"/>
      <c r="WYU421" s="785"/>
      <c r="WYV421" s="785"/>
      <c r="WYW421" s="785"/>
      <c r="WYX421" s="785"/>
      <c r="WYY421" s="785"/>
      <c r="WYZ421" s="785"/>
      <c r="WZA421" s="785"/>
      <c r="WZB421" s="785"/>
      <c r="WZC421" s="785"/>
      <c r="WZD421" s="785"/>
      <c r="WZE421" s="785"/>
      <c r="WZF421" s="785"/>
      <c r="WZG421" s="785"/>
      <c r="WZH421" s="785"/>
      <c r="WZI421" s="785"/>
      <c r="WZJ421" s="785"/>
      <c r="WZK421" s="785"/>
      <c r="WZL421" s="785"/>
      <c r="WZM421" s="785"/>
      <c r="WZN421" s="785"/>
      <c r="WZO421" s="785"/>
      <c r="WZP421" s="785"/>
      <c r="WZQ421" s="785"/>
      <c r="WZR421" s="785"/>
      <c r="WZS421" s="785"/>
      <c r="WZT421" s="785"/>
      <c r="WZU421" s="785"/>
      <c r="WZV421" s="785"/>
      <c r="WZW421" s="785"/>
      <c r="WZX421" s="785"/>
      <c r="WZY421" s="785"/>
      <c r="WZZ421" s="785"/>
      <c r="XAA421" s="785"/>
      <c r="XAB421" s="785"/>
      <c r="XAC421" s="785"/>
      <c r="XAD421" s="785"/>
      <c r="XAE421" s="785"/>
      <c r="XAF421" s="785"/>
      <c r="XAG421" s="785"/>
      <c r="XAH421" s="785"/>
      <c r="XAI421" s="785"/>
      <c r="XAJ421" s="785"/>
      <c r="XAK421" s="785"/>
      <c r="XAL421" s="785"/>
      <c r="XAM421" s="785"/>
      <c r="XAN421" s="785"/>
      <c r="XAO421" s="785"/>
      <c r="XAP421" s="785"/>
      <c r="XAQ421" s="785"/>
      <c r="XAR421" s="785"/>
      <c r="XAS421" s="785"/>
      <c r="XAT421" s="785"/>
      <c r="XAU421" s="785"/>
      <c r="XAV421" s="785"/>
      <c r="XAW421" s="785"/>
      <c r="XAX421" s="785"/>
      <c r="XAY421" s="785"/>
      <c r="XAZ421" s="785"/>
      <c r="XBA421" s="785"/>
      <c r="XBB421" s="785"/>
      <c r="XBC421" s="785"/>
      <c r="XBD421" s="785"/>
      <c r="XBE421" s="785"/>
      <c r="XBF421" s="785"/>
      <c r="XBG421" s="785"/>
      <c r="XBH421" s="785"/>
      <c r="XBI421" s="785"/>
      <c r="XBJ421" s="785"/>
      <c r="XBK421" s="785"/>
      <c r="XBL421" s="785"/>
      <c r="XBM421" s="785"/>
      <c r="XBN421" s="785"/>
      <c r="XBO421" s="785"/>
      <c r="XBP421" s="785"/>
      <c r="XBQ421" s="785"/>
      <c r="XBR421" s="785"/>
      <c r="XBS421" s="785"/>
      <c r="XBT421" s="785"/>
      <c r="XBU421" s="785"/>
      <c r="XBV421" s="785"/>
      <c r="XBW421" s="785"/>
      <c r="XBX421" s="785"/>
      <c r="XBY421" s="785"/>
      <c r="XBZ421" s="785"/>
      <c r="XCA421" s="785"/>
      <c r="XCB421" s="785"/>
      <c r="XCC421" s="785"/>
      <c r="XCD421" s="785"/>
      <c r="XCE421" s="785"/>
      <c r="XCF421" s="785"/>
      <c r="XCG421" s="785"/>
      <c r="XCH421" s="785"/>
      <c r="XCI421" s="785"/>
      <c r="XCJ421" s="785"/>
      <c r="XCK421" s="785"/>
      <c r="XCL421" s="785"/>
      <c r="XCM421" s="785"/>
      <c r="XCN421" s="785"/>
      <c r="XCO421" s="785"/>
      <c r="XCP421" s="785"/>
      <c r="XCQ421" s="785"/>
      <c r="XCR421" s="785"/>
      <c r="XCS421" s="785"/>
      <c r="XCT421" s="785"/>
      <c r="XCU421" s="785"/>
      <c r="XCV421" s="785"/>
      <c r="XCW421" s="785"/>
      <c r="XCX421" s="785"/>
      <c r="XCY421" s="785"/>
      <c r="XCZ421" s="785"/>
      <c r="XDA421" s="785"/>
      <c r="XDB421" s="785"/>
      <c r="XDC421" s="785"/>
      <c r="XDD421" s="785"/>
      <c r="XDE421" s="785"/>
      <c r="XDF421" s="785"/>
      <c r="XDG421" s="785"/>
      <c r="XDH421" s="785"/>
      <c r="XDI421" s="785"/>
      <c r="XDJ421" s="785"/>
      <c r="XDK421" s="785"/>
      <c r="XDL421" s="785"/>
      <c r="XDM421" s="785"/>
      <c r="XDN421" s="785"/>
      <c r="XDO421" s="785"/>
      <c r="XDP421" s="785"/>
      <c r="XDQ421" s="785"/>
      <c r="XDR421" s="785"/>
      <c r="XDS421" s="785"/>
      <c r="XDT421" s="785"/>
      <c r="XDU421" s="785"/>
      <c r="XDV421" s="785"/>
      <c r="XDW421" s="785"/>
      <c r="XDX421" s="785"/>
      <c r="XDY421" s="785"/>
      <c r="XDZ421" s="785"/>
      <c r="XEA421" s="785"/>
      <c r="XEB421" s="785"/>
      <c r="XEC421" s="785"/>
      <c r="XED421" s="785"/>
      <c r="XEE421" s="785"/>
      <c r="XEF421" s="785"/>
      <c r="XEG421" s="785"/>
      <c r="XEH421" s="785"/>
      <c r="XEI421" s="785"/>
      <c r="XEJ421" s="785"/>
      <c r="XEK421" s="785"/>
      <c r="XEL421" s="785"/>
      <c r="XEM421" s="785"/>
      <c r="XEN421" s="785"/>
      <c r="XEO421" s="785"/>
      <c r="XEP421" s="785"/>
      <c r="XEQ421" s="785"/>
      <c r="XER421" s="785"/>
      <c r="XES421" s="785"/>
      <c r="XET421" s="785"/>
      <c r="XEU421" s="785"/>
      <c r="XEV421" s="785"/>
      <c r="XEW421" s="785"/>
      <c r="XEX421" s="785"/>
      <c r="XEY421" s="785"/>
      <c r="XEZ421" s="785"/>
      <c r="XFA421" s="785"/>
      <c r="XFB421" s="785"/>
      <c r="XFC421" s="785"/>
      <c r="XFD421" s="785"/>
    </row>
    <row r="422" spans="1:19 16149:16384" s="830" customFormat="1" ht="13.8">
      <c r="A422" s="830" t="s">
        <v>1227</v>
      </c>
      <c r="B422" s="881" t="s">
        <v>5472</v>
      </c>
      <c r="C422" s="841"/>
      <c r="D422" s="882" t="s">
        <v>5473</v>
      </c>
      <c r="E422" s="883" t="s">
        <v>5093</v>
      </c>
      <c r="F422" s="761">
        <v>3</v>
      </c>
      <c r="G422" s="746"/>
      <c r="H422" s="752">
        <v>0</v>
      </c>
      <c r="I422" s="879"/>
      <c r="J422" s="884"/>
      <c r="K422" s="885"/>
      <c r="M422" s="812">
        <v>55.99</v>
      </c>
      <c r="N422" s="812">
        <v>20.48</v>
      </c>
      <c r="S422" s="840"/>
    </row>
    <row r="423" spans="1:19 16149:16384" s="830" customFormat="1" ht="26.4">
      <c r="A423" s="830" t="s">
        <v>1227</v>
      </c>
      <c r="B423" s="881" t="s">
        <v>5474</v>
      </c>
      <c r="C423" s="841"/>
      <c r="D423" s="882" t="s">
        <v>5475</v>
      </c>
      <c r="E423" s="883" t="s">
        <v>1450</v>
      </c>
      <c r="F423" s="761">
        <v>30</v>
      </c>
      <c r="G423" s="746"/>
      <c r="H423" s="752">
        <v>0</v>
      </c>
      <c r="I423" s="879"/>
      <c r="J423" s="884"/>
      <c r="K423" s="885"/>
      <c r="M423" s="812">
        <v>8.43</v>
      </c>
      <c r="N423" s="812">
        <v>3.87</v>
      </c>
      <c r="S423" s="840"/>
    </row>
    <row r="424" spans="1:19 16149:16384" s="830" customFormat="1" ht="26.4">
      <c r="A424" s="830" t="s">
        <v>1227</v>
      </c>
      <c r="B424" s="881" t="s">
        <v>5476</v>
      </c>
      <c r="C424" s="841"/>
      <c r="D424" s="882" t="s">
        <v>5477</v>
      </c>
      <c r="E424" s="883" t="s">
        <v>1450</v>
      </c>
      <c r="F424" s="761">
        <v>10</v>
      </c>
      <c r="G424" s="746"/>
      <c r="H424" s="752">
        <v>0</v>
      </c>
      <c r="I424" s="879"/>
      <c r="J424" s="884"/>
      <c r="K424" s="885"/>
      <c r="M424" s="812">
        <v>22.46</v>
      </c>
      <c r="N424" s="812">
        <v>7.74</v>
      </c>
      <c r="S424" s="840"/>
    </row>
    <row r="425" spans="1:19 16149:16384" s="830" customFormat="1" ht="26.4">
      <c r="A425" s="830" t="s">
        <v>1227</v>
      </c>
      <c r="B425" s="881" t="s">
        <v>5478</v>
      </c>
      <c r="C425" s="841"/>
      <c r="D425" s="882" t="s">
        <v>5479</v>
      </c>
      <c r="E425" s="883" t="s">
        <v>1450</v>
      </c>
      <c r="F425" s="761">
        <v>10</v>
      </c>
      <c r="G425" s="746"/>
      <c r="H425" s="752">
        <v>0</v>
      </c>
      <c r="I425" s="879"/>
      <c r="J425" s="884"/>
      <c r="K425" s="885"/>
      <c r="M425" s="812">
        <v>84.43</v>
      </c>
      <c r="N425" s="812">
        <v>20.94</v>
      </c>
      <c r="S425" s="840"/>
      <c r="WWC425" s="785"/>
      <c r="WWD425" s="785"/>
      <c r="WWE425" s="785"/>
      <c r="WWF425" s="785"/>
      <c r="WWG425" s="785"/>
      <c r="WWH425" s="785"/>
      <c r="WWI425" s="785"/>
      <c r="WWJ425" s="785"/>
      <c r="WWK425" s="785"/>
      <c r="WWL425" s="785"/>
      <c r="WWM425" s="785"/>
      <c r="WWN425" s="785"/>
      <c r="WWO425" s="785"/>
      <c r="WWP425" s="785"/>
      <c r="WWQ425" s="785"/>
      <c r="WWR425" s="785"/>
      <c r="WWS425" s="785"/>
      <c r="WWT425" s="785"/>
      <c r="WWU425" s="785"/>
      <c r="WWV425" s="785"/>
      <c r="WWW425" s="785"/>
      <c r="WWX425" s="785"/>
      <c r="WWY425" s="785"/>
      <c r="WWZ425" s="785"/>
      <c r="WXA425" s="785"/>
      <c r="WXB425" s="785"/>
      <c r="WXC425" s="785"/>
      <c r="WXD425" s="785"/>
      <c r="WXE425" s="785"/>
      <c r="WXF425" s="785"/>
      <c r="WXG425" s="785"/>
      <c r="WXH425" s="785"/>
      <c r="WXI425" s="785"/>
      <c r="WXJ425" s="785"/>
      <c r="WXK425" s="785"/>
      <c r="WXL425" s="785"/>
      <c r="WXM425" s="785"/>
      <c r="WXN425" s="785"/>
      <c r="WXO425" s="785"/>
      <c r="WXP425" s="785"/>
      <c r="WXQ425" s="785"/>
      <c r="WXR425" s="785"/>
      <c r="WXS425" s="785"/>
      <c r="WXT425" s="785"/>
      <c r="WXU425" s="785"/>
      <c r="WXV425" s="785"/>
      <c r="WXW425" s="785"/>
      <c r="WXX425" s="785"/>
      <c r="WXY425" s="785"/>
      <c r="WXZ425" s="785"/>
      <c r="WYA425" s="785"/>
      <c r="WYB425" s="785"/>
      <c r="WYC425" s="785"/>
      <c r="WYD425" s="785"/>
      <c r="WYE425" s="785"/>
      <c r="WYF425" s="785"/>
      <c r="WYG425" s="785"/>
      <c r="WYH425" s="785"/>
      <c r="WYI425" s="785"/>
      <c r="WYJ425" s="785"/>
      <c r="WYK425" s="785"/>
      <c r="WYL425" s="785"/>
      <c r="WYM425" s="785"/>
      <c r="WYN425" s="785"/>
      <c r="WYO425" s="785"/>
      <c r="WYP425" s="785"/>
      <c r="WYQ425" s="785"/>
      <c r="WYR425" s="785"/>
      <c r="WYS425" s="785"/>
      <c r="WYT425" s="785"/>
      <c r="WYU425" s="785"/>
      <c r="WYV425" s="785"/>
      <c r="WYW425" s="785"/>
      <c r="WYX425" s="785"/>
      <c r="WYY425" s="785"/>
      <c r="WYZ425" s="785"/>
      <c r="WZA425" s="785"/>
      <c r="WZB425" s="785"/>
      <c r="WZC425" s="785"/>
      <c r="WZD425" s="785"/>
      <c r="WZE425" s="785"/>
      <c r="WZF425" s="785"/>
      <c r="WZG425" s="785"/>
      <c r="WZH425" s="785"/>
      <c r="WZI425" s="785"/>
      <c r="WZJ425" s="785"/>
      <c r="WZK425" s="785"/>
      <c r="WZL425" s="785"/>
      <c r="WZM425" s="785"/>
      <c r="WZN425" s="785"/>
      <c r="WZO425" s="785"/>
      <c r="WZP425" s="785"/>
      <c r="WZQ425" s="785"/>
      <c r="WZR425" s="785"/>
      <c r="WZS425" s="785"/>
      <c r="WZT425" s="785"/>
      <c r="WZU425" s="785"/>
      <c r="WZV425" s="785"/>
      <c r="WZW425" s="785"/>
      <c r="WZX425" s="785"/>
      <c r="WZY425" s="785"/>
      <c r="WZZ425" s="785"/>
      <c r="XAA425" s="785"/>
      <c r="XAB425" s="785"/>
      <c r="XAC425" s="785"/>
      <c r="XAD425" s="785"/>
      <c r="XAE425" s="785"/>
      <c r="XAF425" s="785"/>
      <c r="XAG425" s="785"/>
      <c r="XAH425" s="785"/>
      <c r="XAI425" s="785"/>
      <c r="XAJ425" s="785"/>
      <c r="XAK425" s="785"/>
      <c r="XAL425" s="785"/>
      <c r="XAM425" s="785"/>
      <c r="XAN425" s="785"/>
      <c r="XAO425" s="785"/>
      <c r="XAP425" s="785"/>
      <c r="XAQ425" s="785"/>
      <c r="XAR425" s="785"/>
      <c r="XAS425" s="785"/>
      <c r="XAT425" s="785"/>
      <c r="XAU425" s="785"/>
      <c r="XAV425" s="785"/>
      <c r="XAW425" s="785"/>
      <c r="XAX425" s="785"/>
      <c r="XAY425" s="785"/>
      <c r="XAZ425" s="785"/>
      <c r="XBA425" s="785"/>
      <c r="XBB425" s="785"/>
      <c r="XBC425" s="785"/>
      <c r="XBD425" s="785"/>
      <c r="XBE425" s="785"/>
      <c r="XBF425" s="785"/>
      <c r="XBG425" s="785"/>
      <c r="XBH425" s="785"/>
      <c r="XBI425" s="785"/>
      <c r="XBJ425" s="785"/>
      <c r="XBK425" s="785"/>
      <c r="XBL425" s="785"/>
      <c r="XBM425" s="785"/>
      <c r="XBN425" s="785"/>
      <c r="XBO425" s="785"/>
      <c r="XBP425" s="785"/>
      <c r="XBQ425" s="785"/>
      <c r="XBR425" s="785"/>
      <c r="XBS425" s="785"/>
      <c r="XBT425" s="785"/>
      <c r="XBU425" s="785"/>
      <c r="XBV425" s="785"/>
      <c r="XBW425" s="785"/>
      <c r="XBX425" s="785"/>
      <c r="XBY425" s="785"/>
      <c r="XBZ425" s="785"/>
      <c r="XCA425" s="785"/>
      <c r="XCB425" s="785"/>
      <c r="XCC425" s="785"/>
      <c r="XCD425" s="785"/>
      <c r="XCE425" s="785"/>
      <c r="XCF425" s="785"/>
      <c r="XCG425" s="785"/>
      <c r="XCH425" s="785"/>
      <c r="XCI425" s="785"/>
      <c r="XCJ425" s="785"/>
      <c r="XCK425" s="785"/>
      <c r="XCL425" s="785"/>
      <c r="XCM425" s="785"/>
      <c r="XCN425" s="785"/>
      <c r="XCO425" s="785"/>
      <c r="XCP425" s="785"/>
      <c r="XCQ425" s="785"/>
      <c r="XCR425" s="785"/>
      <c r="XCS425" s="785"/>
      <c r="XCT425" s="785"/>
      <c r="XCU425" s="785"/>
      <c r="XCV425" s="785"/>
      <c r="XCW425" s="785"/>
      <c r="XCX425" s="785"/>
      <c r="XCY425" s="785"/>
      <c r="XCZ425" s="785"/>
      <c r="XDA425" s="785"/>
      <c r="XDB425" s="785"/>
      <c r="XDC425" s="785"/>
      <c r="XDD425" s="785"/>
      <c r="XDE425" s="785"/>
      <c r="XDF425" s="785"/>
      <c r="XDG425" s="785"/>
      <c r="XDH425" s="785"/>
      <c r="XDI425" s="785"/>
      <c r="XDJ425" s="785"/>
      <c r="XDK425" s="785"/>
      <c r="XDL425" s="785"/>
      <c r="XDM425" s="785"/>
      <c r="XDN425" s="785"/>
      <c r="XDO425" s="785"/>
      <c r="XDP425" s="785"/>
      <c r="XDQ425" s="785"/>
      <c r="XDR425" s="785"/>
      <c r="XDS425" s="785"/>
      <c r="XDT425" s="785"/>
      <c r="XDU425" s="785"/>
      <c r="XDV425" s="785"/>
      <c r="XDW425" s="785"/>
      <c r="XDX425" s="785"/>
      <c r="XDY425" s="785"/>
      <c r="XDZ425" s="785"/>
      <c r="XEA425" s="785"/>
      <c r="XEB425" s="785"/>
      <c r="XEC425" s="785"/>
      <c r="XED425" s="785"/>
      <c r="XEE425" s="785"/>
      <c r="XEF425" s="785"/>
      <c r="XEG425" s="785"/>
      <c r="XEH425" s="785"/>
      <c r="XEI425" s="785"/>
      <c r="XEJ425" s="785"/>
      <c r="XEK425" s="785"/>
      <c r="XEL425" s="785"/>
      <c r="XEM425" s="785"/>
      <c r="XEN425" s="785"/>
      <c r="XEO425" s="785"/>
      <c r="XEP425" s="785"/>
      <c r="XEQ425" s="785"/>
      <c r="XER425" s="785"/>
      <c r="XES425" s="785"/>
      <c r="XET425" s="785"/>
      <c r="XEU425" s="785"/>
      <c r="XEV425" s="785"/>
      <c r="XEW425" s="785"/>
      <c r="XEX425" s="785"/>
      <c r="XEY425" s="785"/>
      <c r="XEZ425" s="785"/>
      <c r="XFA425" s="785"/>
      <c r="XFB425" s="785"/>
      <c r="XFC425" s="785"/>
      <c r="XFD425" s="785"/>
    </row>
    <row r="426" spans="1:19 16149:16384" s="830" customFormat="1" ht="26.4">
      <c r="A426" s="830" t="s">
        <v>1227</v>
      </c>
      <c r="B426" s="881" t="s">
        <v>5480</v>
      </c>
      <c r="C426" s="841"/>
      <c r="D426" s="882" t="s">
        <v>5481</v>
      </c>
      <c r="E426" s="883" t="s">
        <v>1450</v>
      </c>
      <c r="F426" s="761">
        <v>30</v>
      </c>
      <c r="G426" s="746"/>
      <c r="H426" s="752">
        <v>0</v>
      </c>
      <c r="I426" s="879"/>
      <c r="J426" s="884"/>
      <c r="K426" s="885"/>
      <c r="M426" s="812">
        <v>84.43</v>
      </c>
      <c r="N426" s="812">
        <v>20.94</v>
      </c>
      <c r="S426" s="840"/>
      <c r="WWC426" s="785"/>
      <c r="WWD426" s="785"/>
      <c r="WWE426" s="785"/>
      <c r="WWF426" s="785"/>
      <c r="WWG426" s="785"/>
      <c r="WWH426" s="785"/>
      <c r="WWI426" s="785"/>
      <c r="WWJ426" s="785"/>
      <c r="WWK426" s="785"/>
      <c r="WWL426" s="785"/>
      <c r="WWM426" s="785"/>
      <c r="WWN426" s="785"/>
      <c r="WWO426" s="785"/>
      <c r="WWP426" s="785"/>
      <c r="WWQ426" s="785"/>
      <c r="WWR426" s="785"/>
      <c r="WWS426" s="785"/>
      <c r="WWT426" s="785"/>
      <c r="WWU426" s="785"/>
      <c r="WWV426" s="785"/>
      <c r="WWW426" s="785"/>
      <c r="WWX426" s="785"/>
      <c r="WWY426" s="785"/>
      <c r="WWZ426" s="785"/>
      <c r="WXA426" s="785"/>
      <c r="WXB426" s="785"/>
      <c r="WXC426" s="785"/>
      <c r="WXD426" s="785"/>
      <c r="WXE426" s="785"/>
      <c r="WXF426" s="785"/>
      <c r="WXG426" s="785"/>
      <c r="WXH426" s="785"/>
      <c r="WXI426" s="785"/>
      <c r="WXJ426" s="785"/>
      <c r="WXK426" s="785"/>
      <c r="WXL426" s="785"/>
      <c r="WXM426" s="785"/>
      <c r="WXN426" s="785"/>
      <c r="WXO426" s="785"/>
      <c r="WXP426" s="785"/>
      <c r="WXQ426" s="785"/>
      <c r="WXR426" s="785"/>
      <c r="WXS426" s="785"/>
      <c r="WXT426" s="785"/>
      <c r="WXU426" s="785"/>
      <c r="WXV426" s="785"/>
      <c r="WXW426" s="785"/>
      <c r="WXX426" s="785"/>
      <c r="WXY426" s="785"/>
      <c r="WXZ426" s="785"/>
      <c r="WYA426" s="785"/>
      <c r="WYB426" s="785"/>
      <c r="WYC426" s="785"/>
      <c r="WYD426" s="785"/>
      <c r="WYE426" s="785"/>
      <c r="WYF426" s="785"/>
      <c r="WYG426" s="785"/>
      <c r="WYH426" s="785"/>
      <c r="WYI426" s="785"/>
      <c r="WYJ426" s="785"/>
      <c r="WYK426" s="785"/>
      <c r="WYL426" s="785"/>
      <c r="WYM426" s="785"/>
      <c r="WYN426" s="785"/>
      <c r="WYO426" s="785"/>
      <c r="WYP426" s="785"/>
      <c r="WYQ426" s="785"/>
      <c r="WYR426" s="785"/>
      <c r="WYS426" s="785"/>
      <c r="WYT426" s="785"/>
      <c r="WYU426" s="785"/>
      <c r="WYV426" s="785"/>
      <c r="WYW426" s="785"/>
      <c r="WYX426" s="785"/>
      <c r="WYY426" s="785"/>
      <c r="WYZ426" s="785"/>
      <c r="WZA426" s="785"/>
      <c r="WZB426" s="785"/>
      <c r="WZC426" s="785"/>
      <c r="WZD426" s="785"/>
      <c r="WZE426" s="785"/>
      <c r="WZF426" s="785"/>
      <c r="WZG426" s="785"/>
      <c r="WZH426" s="785"/>
      <c r="WZI426" s="785"/>
      <c r="WZJ426" s="785"/>
      <c r="WZK426" s="785"/>
      <c r="WZL426" s="785"/>
      <c r="WZM426" s="785"/>
      <c r="WZN426" s="785"/>
      <c r="WZO426" s="785"/>
      <c r="WZP426" s="785"/>
      <c r="WZQ426" s="785"/>
      <c r="WZR426" s="785"/>
      <c r="WZS426" s="785"/>
      <c r="WZT426" s="785"/>
      <c r="WZU426" s="785"/>
      <c r="WZV426" s="785"/>
      <c r="WZW426" s="785"/>
      <c r="WZX426" s="785"/>
      <c r="WZY426" s="785"/>
      <c r="WZZ426" s="785"/>
      <c r="XAA426" s="785"/>
      <c r="XAB426" s="785"/>
      <c r="XAC426" s="785"/>
      <c r="XAD426" s="785"/>
      <c r="XAE426" s="785"/>
      <c r="XAF426" s="785"/>
      <c r="XAG426" s="785"/>
      <c r="XAH426" s="785"/>
      <c r="XAI426" s="785"/>
      <c r="XAJ426" s="785"/>
      <c r="XAK426" s="785"/>
      <c r="XAL426" s="785"/>
      <c r="XAM426" s="785"/>
      <c r="XAN426" s="785"/>
      <c r="XAO426" s="785"/>
      <c r="XAP426" s="785"/>
      <c r="XAQ426" s="785"/>
      <c r="XAR426" s="785"/>
      <c r="XAS426" s="785"/>
      <c r="XAT426" s="785"/>
      <c r="XAU426" s="785"/>
      <c r="XAV426" s="785"/>
      <c r="XAW426" s="785"/>
      <c r="XAX426" s="785"/>
      <c r="XAY426" s="785"/>
      <c r="XAZ426" s="785"/>
      <c r="XBA426" s="785"/>
      <c r="XBB426" s="785"/>
      <c r="XBC426" s="785"/>
      <c r="XBD426" s="785"/>
      <c r="XBE426" s="785"/>
      <c r="XBF426" s="785"/>
      <c r="XBG426" s="785"/>
      <c r="XBH426" s="785"/>
      <c r="XBI426" s="785"/>
      <c r="XBJ426" s="785"/>
      <c r="XBK426" s="785"/>
      <c r="XBL426" s="785"/>
      <c r="XBM426" s="785"/>
      <c r="XBN426" s="785"/>
      <c r="XBO426" s="785"/>
      <c r="XBP426" s="785"/>
      <c r="XBQ426" s="785"/>
      <c r="XBR426" s="785"/>
      <c r="XBS426" s="785"/>
      <c r="XBT426" s="785"/>
      <c r="XBU426" s="785"/>
      <c r="XBV426" s="785"/>
      <c r="XBW426" s="785"/>
      <c r="XBX426" s="785"/>
      <c r="XBY426" s="785"/>
      <c r="XBZ426" s="785"/>
      <c r="XCA426" s="785"/>
      <c r="XCB426" s="785"/>
      <c r="XCC426" s="785"/>
      <c r="XCD426" s="785"/>
      <c r="XCE426" s="785"/>
      <c r="XCF426" s="785"/>
      <c r="XCG426" s="785"/>
      <c r="XCH426" s="785"/>
      <c r="XCI426" s="785"/>
      <c r="XCJ426" s="785"/>
      <c r="XCK426" s="785"/>
      <c r="XCL426" s="785"/>
      <c r="XCM426" s="785"/>
      <c r="XCN426" s="785"/>
      <c r="XCO426" s="785"/>
      <c r="XCP426" s="785"/>
      <c r="XCQ426" s="785"/>
      <c r="XCR426" s="785"/>
      <c r="XCS426" s="785"/>
      <c r="XCT426" s="785"/>
      <c r="XCU426" s="785"/>
      <c r="XCV426" s="785"/>
      <c r="XCW426" s="785"/>
      <c r="XCX426" s="785"/>
      <c r="XCY426" s="785"/>
      <c r="XCZ426" s="785"/>
      <c r="XDA426" s="785"/>
      <c r="XDB426" s="785"/>
      <c r="XDC426" s="785"/>
      <c r="XDD426" s="785"/>
      <c r="XDE426" s="785"/>
      <c r="XDF426" s="785"/>
      <c r="XDG426" s="785"/>
      <c r="XDH426" s="785"/>
      <c r="XDI426" s="785"/>
      <c r="XDJ426" s="785"/>
      <c r="XDK426" s="785"/>
      <c r="XDL426" s="785"/>
      <c r="XDM426" s="785"/>
      <c r="XDN426" s="785"/>
      <c r="XDO426" s="785"/>
      <c r="XDP426" s="785"/>
      <c r="XDQ426" s="785"/>
      <c r="XDR426" s="785"/>
      <c r="XDS426" s="785"/>
      <c r="XDT426" s="785"/>
      <c r="XDU426" s="785"/>
      <c r="XDV426" s="785"/>
      <c r="XDW426" s="785"/>
      <c r="XDX426" s="785"/>
      <c r="XDY426" s="785"/>
      <c r="XDZ426" s="785"/>
      <c r="XEA426" s="785"/>
      <c r="XEB426" s="785"/>
      <c r="XEC426" s="785"/>
      <c r="XED426" s="785"/>
      <c r="XEE426" s="785"/>
      <c r="XEF426" s="785"/>
      <c r="XEG426" s="785"/>
      <c r="XEH426" s="785"/>
      <c r="XEI426" s="785"/>
      <c r="XEJ426" s="785"/>
      <c r="XEK426" s="785"/>
      <c r="XEL426" s="785"/>
      <c r="XEM426" s="785"/>
      <c r="XEN426" s="785"/>
      <c r="XEO426" s="785"/>
      <c r="XEP426" s="785"/>
      <c r="XEQ426" s="785"/>
      <c r="XER426" s="785"/>
      <c r="XES426" s="785"/>
      <c r="XET426" s="785"/>
      <c r="XEU426" s="785"/>
      <c r="XEV426" s="785"/>
      <c r="XEW426" s="785"/>
      <c r="XEX426" s="785"/>
      <c r="XEY426" s="785"/>
      <c r="XEZ426" s="785"/>
      <c r="XFA426" s="785"/>
      <c r="XFB426" s="785"/>
      <c r="XFC426" s="785"/>
      <c r="XFD426" s="785"/>
    </row>
    <row r="427" spans="1:19 16149:16384" s="892" customFormat="1" ht="26.4">
      <c r="A427" s="892" t="s">
        <v>1227</v>
      </c>
      <c r="B427" s="893" t="s">
        <v>5482</v>
      </c>
      <c r="C427" s="894"/>
      <c r="D427" s="895" t="s">
        <v>5483</v>
      </c>
      <c r="E427" s="896" t="s">
        <v>5152</v>
      </c>
      <c r="F427" s="897">
        <v>1</v>
      </c>
      <c r="G427" s="746"/>
      <c r="H427" s="792">
        <v>0</v>
      </c>
      <c r="I427" s="898"/>
      <c r="J427" s="899"/>
      <c r="K427" s="900"/>
      <c r="M427" s="901">
        <v>1850</v>
      </c>
      <c r="N427" s="901">
        <v>850</v>
      </c>
      <c r="S427" s="902"/>
      <c r="WWC427" s="785"/>
      <c r="WWD427" s="785"/>
      <c r="WWE427" s="785"/>
      <c r="WWF427" s="785"/>
      <c r="WWG427" s="785"/>
      <c r="WWH427" s="785"/>
      <c r="WWI427" s="785"/>
      <c r="WWJ427" s="785"/>
      <c r="WWK427" s="785"/>
      <c r="WWL427" s="785"/>
      <c r="WWM427" s="785"/>
      <c r="WWN427" s="785"/>
      <c r="WWO427" s="785"/>
      <c r="WWP427" s="785"/>
      <c r="WWQ427" s="785"/>
      <c r="WWR427" s="785"/>
      <c r="WWS427" s="785"/>
      <c r="WWT427" s="785"/>
      <c r="WWU427" s="785"/>
      <c r="WWV427" s="785"/>
      <c r="WWW427" s="785"/>
      <c r="WWX427" s="785"/>
      <c r="WWY427" s="785"/>
      <c r="WWZ427" s="785"/>
      <c r="WXA427" s="785"/>
      <c r="WXB427" s="785"/>
      <c r="WXC427" s="785"/>
      <c r="WXD427" s="785"/>
      <c r="WXE427" s="785"/>
      <c r="WXF427" s="785"/>
      <c r="WXG427" s="785"/>
      <c r="WXH427" s="785"/>
      <c r="WXI427" s="785"/>
      <c r="WXJ427" s="785"/>
      <c r="WXK427" s="785"/>
      <c r="WXL427" s="785"/>
      <c r="WXM427" s="785"/>
      <c r="WXN427" s="785"/>
      <c r="WXO427" s="785"/>
      <c r="WXP427" s="785"/>
      <c r="WXQ427" s="785"/>
      <c r="WXR427" s="785"/>
      <c r="WXS427" s="785"/>
      <c r="WXT427" s="785"/>
      <c r="WXU427" s="785"/>
      <c r="WXV427" s="785"/>
      <c r="WXW427" s="785"/>
      <c r="WXX427" s="785"/>
      <c r="WXY427" s="785"/>
      <c r="WXZ427" s="785"/>
      <c r="WYA427" s="785"/>
      <c r="WYB427" s="785"/>
      <c r="WYC427" s="785"/>
      <c r="WYD427" s="785"/>
      <c r="WYE427" s="785"/>
      <c r="WYF427" s="785"/>
      <c r="WYG427" s="785"/>
      <c r="WYH427" s="785"/>
      <c r="WYI427" s="785"/>
      <c r="WYJ427" s="785"/>
      <c r="WYK427" s="785"/>
      <c r="WYL427" s="785"/>
      <c r="WYM427" s="785"/>
      <c r="WYN427" s="785"/>
      <c r="WYO427" s="785"/>
      <c r="WYP427" s="785"/>
      <c r="WYQ427" s="785"/>
      <c r="WYR427" s="785"/>
      <c r="WYS427" s="785"/>
      <c r="WYT427" s="785"/>
      <c r="WYU427" s="785"/>
      <c r="WYV427" s="785"/>
      <c r="WYW427" s="785"/>
      <c r="WYX427" s="785"/>
      <c r="WYY427" s="785"/>
      <c r="WYZ427" s="785"/>
      <c r="WZA427" s="785"/>
      <c r="WZB427" s="785"/>
      <c r="WZC427" s="785"/>
      <c r="WZD427" s="785"/>
      <c r="WZE427" s="785"/>
      <c r="WZF427" s="785"/>
      <c r="WZG427" s="785"/>
      <c r="WZH427" s="785"/>
      <c r="WZI427" s="785"/>
      <c r="WZJ427" s="785"/>
      <c r="WZK427" s="785"/>
      <c r="WZL427" s="785"/>
      <c r="WZM427" s="785"/>
      <c r="WZN427" s="785"/>
      <c r="WZO427" s="785"/>
      <c r="WZP427" s="785"/>
      <c r="WZQ427" s="785"/>
      <c r="WZR427" s="785"/>
      <c r="WZS427" s="785"/>
      <c r="WZT427" s="785"/>
      <c r="WZU427" s="785"/>
      <c r="WZV427" s="785"/>
      <c r="WZW427" s="785"/>
      <c r="WZX427" s="785"/>
      <c r="WZY427" s="785"/>
      <c r="WZZ427" s="785"/>
      <c r="XAA427" s="785"/>
      <c r="XAB427" s="785"/>
      <c r="XAC427" s="785"/>
      <c r="XAD427" s="785"/>
      <c r="XAE427" s="785"/>
      <c r="XAF427" s="785"/>
      <c r="XAG427" s="785"/>
      <c r="XAH427" s="785"/>
      <c r="XAI427" s="785"/>
      <c r="XAJ427" s="785"/>
      <c r="XAK427" s="785"/>
      <c r="XAL427" s="785"/>
      <c r="XAM427" s="785"/>
      <c r="XAN427" s="785"/>
      <c r="XAO427" s="785"/>
      <c r="XAP427" s="785"/>
      <c r="XAQ427" s="785"/>
      <c r="XAR427" s="785"/>
      <c r="XAS427" s="785"/>
      <c r="XAT427" s="785"/>
      <c r="XAU427" s="785"/>
      <c r="XAV427" s="785"/>
      <c r="XAW427" s="785"/>
      <c r="XAX427" s="785"/>
      <c r="XAY427" s="785"/>
      <c r="XAZ427" s="785"/>
      <c r="XBA427" s="785"/>
      <c r="XBB427" s="785"/>
      <c r="XBC427" s="785"/>
      <c r="XBD427" s="785"/>
      <c r="XBE427" s="785"/>
      <c r="XBF427" s="785"/>
      <c r="XBG427" s="785"/>
      <c r="XBH427" s="785"/>
      <c r="XBI427" s="785"/>
      <c r="XBJ427" s="785"/>
      <c r="XBK427" s="785"/>
      <c r="XBL427" s="785"/>
      <c r="XBM427" s="785"/>
      <c r="XBN427" s="785"/>
      <c r="XBO427" s="785"/>
      <c r="XBP427" s="785"/>
      <c r="XBQ427" s="785"/>
      <c r="XBR427" s="785"/>
      <c r="XBS427" s="785"/>
      <c r="XBT427" s="785"/>
      <c r="XBU427" s="785"/>
      <c r="XBV427" s="785"/>
      <c r="XBW427" s="785"/>
      <c r="XBX427" s="785"/>
      <c r="XBY427" s="785"/>
      <c r="XBZ427" s="785"/>
      <c r="XCA427" s="785"/>
      <c r="XCB427" s="785"/>
      <c r="XCC427" s="785"/>
      <c r="XCD427" s="785"/>
      <c r="XCE427" s="785"/>
      <c r="XCF427" s="785"/>
      <c r="XCG427" s="785"/>
      <c r="XCH427" s="785"/>
      <c r="XCI427" s="785"/>
      <c r="XCJ427" s="785"/>
      <c r="XCK427" s="785"/>
      <c r="XCL427" s="785"/>
      <c r="XCM427" s="785"/>
      <c r="XCN427" s="785"/>
      <c r="XCO427" s="785"/>
      <c r="XCP427" s="785"/>
      <c r="XCQ427" s="785"/>
      <c r="XCR427" s="785"/>
      <c r="XCS427" s="785"/>
      <c r="XCT427" s="785"/>
      <c r="XCU427" s="785"/>
      <c r="XCV427" s="785"/>
      <c r="XCW427" s="785"/>
      <c r="XCX427" s="785"/>
      <c r="XCY427" s="785"/>
      <c r="XCZ427" s="785"/>
      <c r="XDA427" s="785"/>
      <c r="XDB427" s="785"/>
      <c r="XDC427" s="785"/>
      <c r="XDD427" s="785"/>
      <c r="XDE427" s="785"/>
      <c r="XDF427" s="785"/>
      <c r="XDG427" s="785"/>
      <c r="XDH427" s="785"/>
      <c r="XDI427" s="785"/>
      <c r="XDJ427" s="785"/>
      <c r="XDK427" s="785"/>
      <c r="XDL427" s="785"/>
      <c r="XDM427" s="785"/>
      <c r="XDN427" s="785"/>
      <c r="XDO427" s="785"/>
      <c r="XDP427" s="785"/>
      <c r="XDQ427" s="785"/>
      <c r="XDR427" s="785"/>
      <c r="XDS427" s="785"/>
      <c r="XDT427" s="785"/>
      <c r="XDU427" s="785"/>
      <c r="XDV427" s="785"/>
      <c r="XDW427" s="785"/>
      <c r="XDX427" s="785"/>
      <c r="XDY427" s="785"/>
      <c r="XDZ427" s="785"/>
      <c r="XEA427" s="785"/>
      <c r="XEB427" s="785"/>
      <c r="XEC427" s="785"/>
      <c r="XED427" s="785"/>
      <c r="XEE427" s="785"/>
      <c r="XEF427" s="785"/>
      <c r="XEG427" s="785"/>
      <c r="XEH427" s="785"/>
      <c r="XEI427" s="785"/>
      <c r="XEJ427" s="785"/>
      <c r="XEK427" s="785"/>
      <c r="XEL427" s="785"/>
      <c r="XEM427" s="785"/>
      <c r="XEN427" s="785"/>
      <c r="XEO427" s="785"/>
      <c r="XEP427" s="785"/>
      <c r="XEQ427" s="785"/>
      <c r="XER427" s="785"/>
      <c r="XES427" s="785"/>
      <c r="XET427" s="785"/>
      <c r="XEU427" s="785"/>
      <c r="XEV427" s="785"/>
      <c r="XEW427" s="785"/>
      <c r="XEX427" s="785"/>
      <c r="XEY427" s="785"/>
      <c r="XEZ427" s="785"/>
      <c r="XFA427" s="785"/>
      <c r="XFB427" s="785"/>
      <c r="XFC427" s="785"/>
      <c r="XFD427" s="785"/>
    </row>
    <row r="428" spans="1:19 16149:16384" s="830" customFormat="1" ht="13.8">
      <c r="B428" s="881"/>
      <c r="C428" s="841"/>
      <c r="D428" s="882"/>
      <c r="E428" s="883"/>
      <c r="F428" s="761"/>
      <c r="G428" s="746"/>
      <c r="H428" s="761"/>
      <c r="I428" s="879"/>
      <c r="J428" s="884"/>
      <c r="K428" s="885"/>
      <c r="M428" s="812"/>
      <c r="N428" s="812"/>
      <c r="S428" s="840"/>
      <c r="WWC428" s="785"/>
      <c r="WWD428" s="785"/>
      <c r="WWE428" s="785"/>
      <c r="WWF428" s="785"/>
      <c r="WWG428" s="785"/>
      <c r="WWH428" s="785"/>
      <c r="WWI428" s="785"/>
      <c r="WWJ428" s="785"/>
      <c r="WWK428" s="785"/>
      <c r="WWL428" s="785"/>
      <c r="WWM428" s="785"/>
      <c r="WWN428" s="785"/>
      <c r="WWO428" s="785"/>
      <c r="WWP428" s="785"/>
      <c r="WWQ428" s="785"/>
      <c r="WWR428" s="785"/>
      <c r="WWS428" s="785"/>
      <c r="WWT428" s="785"/>
      <c r="WWU428" s="785"/>
      <c r="WWV428" s="785"/>
      <c r="WWW428" s="785"/>
      <c r="WWX428" s="785"/>
      <c r="WWY428" s="785"/>
      <c r="WWZ428" s="785"/>
      <c r="WXA428" s="785"/>
      <c r="WXB428" s="785"/>
      <c r="WXC428" s="785"/>
      <c r="WXD428" s="785"/>
      <c r="WXE428" s="785"/>
      <c r="WXF428" s="785"/>
      <c r="WXG428" s="785"/>
      <c r="WXH428" s="785"/>
      <c r="WXI428" s="785"/>
      <c r="WXJ428" s="785"/>
      <c r="WXK428" s="785"/>
      <c r="WXL428" s="785"/>
      <c r="WXM428" s="785"/>
      <c r="WXN428" s="785"/>
      <c r="WXO428" s="785"/>
      <c r="WXP428" s="785"/>
      <c r="WXQ428" s="785"/>
      <c r="WXR428" s="785"/>
      <c r="WXS428" s="785"/>
      <c r="WXT428" s="785"/>
      <c r="WXU428" s="785"/>
      <c r="WXV428" s="785"/>
      <c r="WXW428" s="785"/>
      <c r="WXX428" s="785"/>
      <c r="WXY428" s="785"/>
      <c r="WXZ428" s="785"/>
      <c r="WYA428" s="785"/>
      <c r="WYB428" s="785"/>
      <c r="WYC428" s="785"/>
      <c r="WYD428" s="785"/>
      <c r="WYE428" s="785"/>
      <c r="WYF428" s="785"/>
      <c r="WYG428" s="785"/>
      <c r="WYH428" s="785"/>
      <c r="WYI428" s="785"/>
      <c r="WYJ428" s="785"/>
      <c r="WYK428" s="785"/>
      <c r="WYL428" s="785"/>
      <c r="WYM428" s="785"/>
      <c r="WYN428" s="785"/>
      <c r="WYO428" s="785"/>
      <c r="WYP428" s="785"/>
      <c r="WYQ428" s="785"/>
      <c r="WYR428" s="785"/>
      <c r="WYS428" s="785"/>
      <c r="WYT428" s="785"/>
      <c r="WYU428" s="785"/>
      <c r="WYV428" s="785"/>
      <c r="WYW428" s="785"/>
      <c r="WYX428" s="785"/>
      <c r="WYY428" s="785"/>
      <c r="WYZ428" s="785"/>
      <c r="WZA428" s="785"/>
      <c r="WZB428" s="785"/>
      <c r="WZC428" s="785"/>
      <c r="WZD428" s="785"/>
      <c r="WZE428" s="785"/>
      <c r="WZF428" s="785"/>
      <c r="WZG428" s="785"/>
      <c r="WZH428" s="785"/>
      <c r="WZI428" s="785"/>
      <c r="WZJ428" s="785"/>
      <c r="WZK428" s="785"/>
      <c r="WZL428" s="785"/>
      <c r="WZM428" s="785"/>
      <c r="WZN428" s="785"/>
      <c r="WZO428" s="785"/>
      <c r="WZP428" s="785"/>
      <c r="WZQ428" s="785"/>
      <c r="WZR428" s="785"/>
      <c r="WZS428" s="785"/>
      <c r="WZT428" s="785"/>
      <c r="WZU428" s="785"/>
      <c r="WZV428" s="785"/>
      <c r="WZW428" s="785"/>
      <c r="WZX428" s="785"/>
      <c r="WZY428" s="785"/>
      <c r="WZZ428" s="785"/>
      <c r="XAA428" s="785"/>
      <c r="XAB428" s="785"/>
      <c r="XAC428" s="785"/>
      <c r="XAD428" s="785"/>
      <c r="XAE428" s="785"/>
      <c r="XAF428" s="785"/>
      <c r="XAG428" s="785"/>
      <c r="XAH428" s="785"/>
      <c r="XAI428" s="785"/>
      <c r="XAJ428" s="785"/>
      <c r="XAK428" s="785"/>
      <c r="XAL428" s="785"/>
      <c r="XAM428" s="785"/>
      <c r="XAN428" s="785"/>
      <c r="XAO428" s="785"/>
      <c r="XAP428" s="785"/>
      <c r="XAQ428" s="785"/>
      <c r="XAR428" s="785"/>
      <c r="XAS428" s="785"/>
      <c r="XAT428" s="785"/>
      <c r="XAU428" s="785"/>
      <c r="XAV428" s="785"/>
      <c r="XAW428" s="785"/>
      <c r="XAX428" s="785"/>
      <c r="XAY428" s="785"/>
      <c r="XAZ428" s="785"/>
      <c r="XBA428" s="785"/>
      <c r="XBB428" s="785"/>
      <c r="XBC428" s="785"/>
      <c r="XBD428" s="785"/>
      <c r="XBE428" s="785"/>
      <c r="XBF428" s="785"/>
      <c r="XBG428" s="785"/>
      <c r="XBH428" s="785"/>
      <c r="XBI428" s="785"/>
      <c r="XBJ428" s="785"/>
      <c r="XBK428" s="785"/>
      <c r="XBL428" s="785"/>
      <c r="XBM428" s="785"/>
      <c r="XBN428" s="785"/>
      <c r="XBO428" s="785"/>
      <c r="XBP428" s="785"/>
      <c r="XBQ428" s="785"/>
      <c r="XBR428" s="785"/>
      <c r="XBS428" s="785"/>
      <c r="XBT428" s="785"/>
      <c r="XBU428" s="785"/>
      <c r="XBV428" s="785"/>
      <c r="XBW428" s="785"/>
      <c r="XBX428" s="785"/>
      <c r="XBY428" s="785"/>
      <c r="XBZ428" s="785"/>
      <c r="XCA428" s="785"/>
      <c r="XCB428" s="785"/>
      <c r="XCC428" s="785"/>
      <c r="XCD428" s="785"/>
      <c r="XCE428" s="785"/>
      <c r="XCF428" s="785"/>
      <c r="XCG428" s="785"/>
      <c r="XCH428" s="785"/>
      <c r="XCI428" s="785"/>
      <c r="XCJ428" s="785"/>
      <c r="XCK428" s="785"/>
      <c r="XCL428" s="785"/>
      <c r="XCM428" s="785"/>
      <c r="XCN428" s="785"/>
      <c r="XCO428" s="785"/>
      <c r="XCP428" s="785"/>
      <c r="XCQ428" s="785"/>
      <c r="XCR428" s="785"/>
      <c r="XCS428" s="785"/>
      <c r="XCT428" s="785"/>
      <c r="XCU428" s="785"/>
      <c r="XCV428" s="785"/>
      <c r="XCW428" s="785"/>
      <c r="XCX428" s="785"/>
      <c r="XCY428" s="785"/>
      <c r="XCZ428" s="785"/>
      <c r="XDA428" s="785"/>
      <c r="XDB428" s="785"/>
      <c r="XDC428" s="785"/>
      <c r="XDD428" s="785"/>
      <c r="XDE428" s="785"/>
      <c r="XDF428" s="785"/>
      <c r="XDG428" s="785"/>
      <c r="XDH428" s="785"/>
      <c r="XDI428" s="785"/>
      <c r="XDJ428" s="785"/>
      <c r="XDK428" s="785"/>
      <c r="XDL428" s="785"/>
      <c r="XDM428" s="785"/>
      <c r="XDN428" s="785"/>
      <c r="XDO428" s="785"/>
      <c r="XDP428" s="785"/>
      <c r="XDQ428" s="785"/>
      <c r="XDR428" s="785"/>
      <c r="XDS428" s="785"/>
      <c r="XDT428" s="785"/>
      <c r="XDU428" s="785"/>
      <c r="XDV428" s="785"/>
      <c r="XDW428" s="785"/>
      <c r="XDX428" s="785"/>
      <c r="XDY428" s="785"/>
      <c r="XDZ428" s="785"/>
      <c r="XEA428" s="785"/>
      <c r="XEB428" s="785"/>
      <c r="XEC428" s="785"/>
      <c r="XED428" s="785"/>
      <c r="XEE428" s="785"/>
      <c r="XEF428" s="785"/>
      <c r="XEG428" s="785"/>
      <c r="XEH428" s="785"/>
      <c r="XEI428" s="785"/>
      <c r="XEJ428" s="785"/>
      <c r="XEK428" s="785"/>
      <c r="XEL428" s="785"/>
      <c r="XEM428" s="785"/>
      <c r="XEN428" s="785"/>
      <c r="XEO428" s="785"/>
      <c r="XEP428" s="785"/>
      <c r="XEQ428" s="785"/>
      <c r="XER428" s="785"/>
      <c r="XES428" s="785"/>
      <c r="XET428" s="785"/>
      <c r="XEU428" s="785"/>
      <c r="XEV428" s="785"/>
      <c r="XEW428" s="785"/>
      <c r="XEX428" s="785"/>
      <c r="XEY428" s="785"/>
      <c r="XEZ428" s="785"/>
      <c r="XFA428" s="785"/>
      <c r="XFB428" s="785"/>
      <c r="XFC428" s="785"/>
      <c r="XFD428" s="785"/>
    </row>
    <row r="429" spans="1:19 16149:16384" s="830" customFormat="1" ht="13.8">
      <c r="B429" s="876" t="s">
        <v>1055</v>
      </c>
      <c r="C429" s="877"/>
      <c r="D429" s="878" t="s">
        <v>5484</v>
      </c>
      <c r="E429" s="877"/>
      <c r="F429" s="762"/>
      <c r="G429" s="746"/>
      <c r="H429" s="762"/>
      <c r="I429" s="879"/>
      <c r="J429" s="884"/>
      <c r="K429" s="885"/>
      <c r="M429" s="891"/>
      <c r="N429" s="891"/>
      <c r="S429" s="840"/>
      <c r="WWC429" s="785"/>
      <c r="WWD429" s="785"/>
      <c r="WWE429" s="785"/>
      <c r="WWF429" s="785"/>
      <c r="WWG429" s="785"/>
      <c r="WWH429" s="785"/>
      <c r="WWI429" s="785"/>
      <c r="WWJ429" s="785"/>
      <c r="WWK429" s="785"/>
      <c r="WWL429" s="785"/>
      <c r="WWM429" s="785"/>
      <c r="WWN429" s="785"/>
      <c r="WWO429" s="785"/>
      <c r="WWP429" s="785"/>
      <c r="WWQ429" s="785"/>
      <c r="WWR429" s="785"/>
      <c r="WWS429" s="785"/>
      <c r="WWT429" s="785"/>
      <c r="WWU429" s="785"/>
      <c r="WWV429" s="785"/>
      <c r="WWW429" s="785"/>
      <c r="WWX429" s="785"/>
      <c r="WWY429" s="785"/>
      <c r="WWZ429" s="785"/>
      <c r="WXA429" s="785"/>
      <c r="WXB429" s="785"/>
      <c r="WXC429" s="785"/>
      <c r="WXD429" s="785"/>
      <c r="WXE429" s="785"/>
      <c r="WXF429" s="785"/>
      <c r="WXG429" s="785"/>
      <c r="WXH429" s="785"/>
      <c r="WXI429" s="785"/>
      <c r="WXJ429" s="785"/>
      <c r="WXK429" s="785"/>
      <c r="WXL429" s="785"/>
      <c r="WXM429" s="785"/>
      <c r="WXN429" s="785"/>
      <c r="WXO429" s="785"/>
      <c r="WXP429" s="785"/>
      <c r="WXQ429" s="785"/>
      <c r="WXR429" s="785"/>
      <c r="WXS429" s="785"/>
      <c r="WXT429" s="785"/>
      <c r="WXU429" s="785"/>
      <c r="WXV429" s="785"/>
      <c r="WXW429" s="785"/>
      <c r="WXX429" s="785"/>
      <c r="WXY429" s="785"/>
      <c r="WXZ429" s="785"/>
      <c r="WYA429" s="785"/>
      <c r="WYB429" s="785"/>
      <c r="WYC429" s="785"/>
      <c r="WYD429" s="785"/>
      <c r="WYE429" s="785"/>
      <c r="WYF429" s="785"/>
      <c r="WYG429" s="785"/>
      <c r="WYH429" s="785"/>
      <c r="WYI429" s="785"/>
      <c r="WYJ429" s="785"/>
      <c r="WYK429" s="785"/>
      <c r="WYL429" s="785"/>
      <c r="WYM429" s="785"/>
      <c r="WYN429" s="785"/>
      <c r="WYO429" s="785"/>
      <c r="WYP429" s="785"/>
      <c r="WYQ429" s="785"/>
      <c r="WYR429" s="785"/>
      <c r="WYS429" s="785"/>
      <c r="WYT429" s="785"/>
      <c r="WYU429" s="785"/>
      <c r="WYV429" s="785"/>
      <c r="WYW429" s="785"/>
      <c r="WYX429" s="785"/>
      <c r="WYY429" s="785"/>
      <c r="WYZ429" s="785"/>
      <c r="WZA429" s="785"/>
      <c r="WZB429" s="785"/>
      <c r="WZC429" s="785"/>
      <c r="WZD429" s="785"/>
      <c r="WZE429" s="785"/>
      <c r="WZF429" s="785"/>
      <c r="WZG429" s="785"/>
      <c r="WZH429" s="785"/>
      <c r="WZI429" s="785"/>
      <c r="WZJ429" s="785"/>
      <c r="WZK429" s="785"/>
      <c r="WZL429" s="785"/>
      <c r="WZM429" s="785"/>
      <c r="WZN429" s="785"/>
      <c r="WZO429" s="785"/>
      <c r="WZP429" s="785"/>
      <c r="WZQ429" s="785"/>
      <c r="WZR429" s="785"/>
      <c r="WZS429" s="785"/>
      <c r="WZT429" s="785"/>
      <c r="WZU429" s="785"/>
      <c r="WZV429" s="785"/>
      <c r="WZW429" s="785"/>
      <c r="WZX429" s="785"/>
      <c r="WZY429" s="785"/>
      <c r="WZZ429" s="785"/>
      <c r="XAA429" s="785"/>
      <c r="XAB429" s="785"/>
      <c r="XAC429" s="785"/>
      <c r="XAD429" s="785"/>
      <c r="XAE429" s="785"/>
      <c r="XAF429" s="785"/>
      <c r="XAG429" s="785"/>
      <c r="XAH429" s="785"/>
      <c r="XAI429" s="785"/>
      <c r="XAJ429" s="785"/>
      <c r="XAK429" s="785"/>
      <c r="XAL429" s="785"/>
      <c r="XAM429" s="785"/>
      <c r="XAN429" s="785"/>
      <c r="XAO429" s="785"/>
      <c r="XAP429" s="785"/>
      <c r="XAQ429" s="785"/>
      <c r="XAR429" s="785"/>
      <c r="XAS429" s="785"/>
      <c r="XAT429" s="785"/>
      <c r="XAU429" s="785"/>
      <c r="XAV429" s="785"/>
      <c r="XAW429" s="785"/>
      <c r="XAX429" s="785"/>
      <c r="XAY429" s="785"/>
      <c r="XAZ429" s="785"/>
      <c r="XBA429" s="785"/>
      <c r="XBB429" s="785"/>
      <c r="XBC429" s="785"/>
      <c r="XBD429" s="785"/>
      <c r="XBE429" s="785"/>
      <c r="XBF429" s="785"/>
      <c r="XBG429" s="785"/>
      <c r="XBH429" s="785"/>
      <c r="XBI429" s="785"/>
      <c r="XBJ429" s="785"/>
      <c r="XBK429" s="785"/>
      <c r="XBL429" s="785"/>
      <c r="XBM429" s="785"/>
      <c r="XBN429" s="785"/>
      <c r="XBO429" s="785"/>
      <c r="XBP429" s="785"/>
      <c r="XBQ429" s="785"/>
      <c r="XBR429" s="785"/>
      <c r="XBS429" s="785"/>
      <c r="XBT429" s="785"/>
      <c r="XBU429" s="785"/>
      <c r="XBV429" s="785"/>
      <c r="XBW429" s="785"/>
      <c r="XBX429" s="785"/>
      <c r="XBY429" s="785"/>
      <c r="XBZ429" s="785"/>
      <c r="XCA429" s="785"/>
      <c r="XCB429" s="785"/>
      <c r="XCC429" s="785"/>
      <c r="XCD429" s="785"/>
      <c r="XCE429" s="785"/>
      <c r="XCF429" s="785"/>
      <c r="XCG429" s="785"/>
      <c r="XCH429" s="785"/>
      <c r="XCI429" s="785"/>
      <c r="XCJ429" s="785"/>
      <c r="XCK429" s="785"/>
      <c r="XCL429" s="785"/>
      <c r="XCM429" s="785"/>
      <c r="XCN429" s="785"/>
      <c r="XCO429" s="785"/>
      <c r="XCP429" s="785"/>
      <c r="XCQ429" s="785"/>
      <c r="XCR429" s="785"/>
      <c r="XCS429" s="785"/>
      <c r="XCT429" s="785"/>
      <c r="XCU429" s="785"/>
      <c r="XCV429" s="785"/>
      <c r="XCW429" s="785"/>
      <c r="XCX429" s="785"/>
      <c r="XCY429" s="785"/>
      <c r="XCZ429" s="785"/>
      <c r="XDA429" s="785"/>
      <c r="XDB429" s="785"/>
      <c r="XDC429" s="785"/>
      <c r="XDD429" s="785"/>
      <c r="XDE429" s="785"/>
      <c r="XDF429" s="785"/>
      <c r="XDG429" s="785"/>
      <c r="XDH429" s="785"/>
      <c r="XDI429" s="785"/>
      <c r="XDJ429" s="785"/>
      <c r="XDK429" s="785"/>
      <c r="XDL429" s="785"/>
      <c r="XDM429" s="785"/>
      <c r="XDN429" s="785"/>
      <c r="XDO429" s="785"/>
      <c r="XDP429" s="785"/>
      <c r="XDQ429" s="785"/>
      <c r="XDR429" s="785"/>
      <c r="XDS429" s="785"/>
      <c r="XDT429" s="785"/>
      <c r="XDU429" s="785"/>
      <c r="XDV429" s="785"/>
      <c r="XDW429" s="785"/>
      <c r="XDX429" s="785"/>
      <c r="XDY429" s="785"/>
      <c r="XDZ429" s="785"/>
      <c r="XEA429" s="785"/>
      <c r="XEB429" s="785"/>
      <c r="XEC429" s="785"/>
      <c r="XED429" s="785"/>
      <c r="XEE429" s="785"/>
      <c r="XEF429" s="785"/>
      <c r="XEG429" s="785"/>
      <c r="XEH429" s="785"/>
      <c r="XEI429" s="785"/>
      <c r="XEJ429" s="785"/>
      <c r="XEK429" s="785"/>
      <c r="XEL429" s="785"/>
      <c r="XEM429" s="785"/>
      <c r="XEN429" s="785"/>
      <c r="XEO429" s="785"/>
      <c r="XEP429" s="785"/>
      <c r="XEQ429" s="785"/>
      <c r="XER429" s="785"/>
      <c r="XES429" s="785"/>
      <c r="XET429" s="785"/>
      <c r="XEU429" s="785"/>
      <c r="XEV429" s="785"/>
      <c r="XEW429" s="785"/>
      <c r="XEX429" s="785"/>
      <c r="XEY429" s="785"/>
      <c r="XEZ429" s="785"/>
      <c r="XFA429" s="785"/>
      <c r="XFB429" s="785"/>
      <c r="XFC429" s="785"/>
      <c r="XFD429" s="785"/>
    </row>
    <row r="430" spans="1:19 16149:16384" s="830" customFormat="1" ht="13.8">
      <c r="B430" s="876"/>
      <c r="C430" s="877"/>
      <c r="D430" s="877"/>
      <c r="E430" s="877"/>
      <c r="F430" s="762"/>
      <c r="G430" s="746"/>
      <c r="H430" s="762"/>
      <c r="I430" s="879"/>
      <c r="J430" s="884"/>
      <c r="K430" s="885"/>
      <c r="M430" s="891"/>
      <c r="N430" s="891"/>
      <c r="S430" s="840"/>
      <c r="WWC430" s="785"/>
      <c r="WWD430" s="785"/>
      <c r="WWE430" s="785"/>
      <c r="WWF430" s="785"/>
      <c r="WWG430" s="785"/>
      <c r="WWH430" s="785"/>
      <c r="WWI430" s="785"/>
      <c r="WWJ430" s="785"/>
      <c r="WWK430" s="785"/>
      <c r="WWL430" s="785"/>
      <c r="WWM430" s="785"/>
      <c r="WWN430" s="785"/>
      <c r="WWO430" s="785"/>
      <c r="WWP430" s="785"/>
      <c r="WWQ430" s="785"/>
      <c r="WWR430" s="785"/>
      <c r="WWS430" s="785"/>
      <c r="WWT430" s="785"/>
      <c r="WWU430" s="785"/>
      <c r="WWV430" s="785"/>
      <c r="WWW430" s="785"/>
      <c r="WWX430" s="785"/>
      <c r="WWY430" s="785"/>
      <c r="WWZ430" s="785"/>
      <c r="WXA430" s="785"/>
      <c r="WXB430" s="785"/>
      <c r="WXC430" s="785"/>
      <c r="WXD430" s="785"/>
      <c r="WXE430" s="785"/>
      <c r="WXF430" s="785"/>
      <c r="WXG430" s="785"/>
      <c r="WXH430" s="785"/>
      <c r="WXI430" s="785"/>
      <c r="WXJ430" s="785"/>
      <c r="WXK430" s="785"/>
      <c r="WXL430" s="785"/>
      <c r="WXM430" s="785"/>
      <c r="WXN430" s="785"/>
      <c r="WXO430" s="785"/>
      <c r="WXP430" s="785"/>
      <c r="WXQ430" s="785"/>
      <c r="WXR430" s="785"/>
      <c r="WXS430" s="785"/>
      <c r="WXT430" s="785"/>
      <c r="WXU430" s="785"/>
      <c r="WXV430" s="785"/>
      <c r="WXW430" s="785"/>
      <c r="WXX430" s="785"/>
      <c r="WXY430" s="785"/>
      <c r="WXZ430" s="785"/>
      <c r="WYA430" s="785"/>
      <c r="WYB430" s="785"/>
      <c r="WYC430" s="785"/>
      <c r="WYD430" s="785"/>
      <c r="WYE430" s="785"/>
      <c r="WYF430" s="785"/>
      <c r="WYG430" s="785"/>
      <c r="WYH430" s="785"/>
      <c r="WYI430" s="785"/>
      <c r="WYJ430" s="785"/>
      <c r="WYK430" s="785"/>
      <c r="WYL430" s="785"/>
      <c r="WYM430" s="785"/>
      <c r="WYN430" s="785"/>
      <c r="WYO430" s="785"/>
      <c r="WYP430" s="785"/>
      <c r="WYQ430" s="785"/>
      <c r="WYR430" s="785"/>
      <c r="WYS430" s="785"/>
      <c r="WYT430" s="785"/>
      <c r="WYU430" s="785"/>
      <c r="WYV430" s="785"/>
      <c r="WYW430" s="785"/>
      <c r="WYX430" s="785"/>
      <c r="WYY430" s="785"/>
      <c r="WYZ430" s="785"/>
      <c r="WZA430" s="785"/>
      <c r="WZB430" s="785"/>
      <c r="WZC430" s="785"/>
      <c r="WZD430" s="785"/>
      <c r="WZE430" s="785"/>
      <c r="WZF430" s="785"/>
      <c r="WZG430" s="785"/>
      <c r="WZH430" s="785"/>
      <c r="WZI430" s="785"/>
      <c r="WZJ430" s="785"/>
      <c r="WZK430" s="785"/>
      <c r="WZL430" s="785"/>
      <c r="WZM430" s="785"/>
      <c r="WZN430" s="785"/>
      <c r="WZO430" s="785"/>
      <c r="WZP430" s="785"/>
      <c r="WZQ430" s="785"/>
      <c r="WZR430" s="785"/>
      <c r="WZS430" s="785"/>
      <c r="WZT430" s="785"/>
      <c r="WZU430" s="785"/>
      <c r="WZV430" s="785"/>
      <c r="WZW430" s="785"/>
      <c r="WZX430" s="785"/>
      <c r="WZY430" s="785"/>
      <c r="WZZ430" s="785"/>
      <c r="XAA430" s="785"/>
      <c r="XAB430" s="785"/>
      <c r="XAC430" s="785"/>
      <c r="XAD430" s="785"/>
      <c r="XAE430" s="785"/>
      <c r="XAF430" s="785"/>
      <c r="XAG430" s="785"/>
      <c r="XAH430" s="785"/>
      <c r="XAI430" s="785"/>
      <c r="XAJ430" s="785"/>
      <c r="XAK430" s="785"/>
      <c r="XAL430" s="785"/>
      <c r="XAM430" s="785"/>
      <c r="XAN430" s="785"/>
      <c r="XAO430" s="785"/>
      <c r="XAP430" s="785"/>
      <c r="XAQ430" s="785"/>
      <c r="XAR430" s="785"/>
      <c r="XAS430" s="785"/>
      <c r="XAT430" s="785"/>
      <c r="XAU430" s="785"/>
      <c r="XAV430" s="785"/>
      <c r="XAW430" s="785"/>
      <c r="XAX430" s="785"/>
      <c r="XAY430" s="785"/>
      <c r="XAZ430" s="785"/>
      <c r="XBA430" s="785"/>
      <c r="XBB430" s="785"/>
      <c r="XBC430" s="785"/>
      <c r="XBD430" s="785"/>
      <c r="XBE430" s="785"/>
      <c r="XBF430" s="785"/>
      <c r="XBG430" s="785"/>
      <c r="XBH430" s="785"/>
      <c r="XBI430" s="785"/>
      <c r="XBJ430" s="785"/>
      <c r="XBK430" s="785"/>
      <c r="XBL430" s="785"/>
      <c r="XBM430" s="785"/>
      <c r="XBN430" s="785"/>
      <c r="XBO430" s="785"/>
      <c r="XBP430" s="785"/>
      <c r="XBQ430" s="785"/>
      <c r="XBR430" s="785"/>
      <c r="XBS430" s="785"/>
      <c r="XBT430" s="785"/>
      <c r="XBU430" s="785"/>
      <c r="XBV430" s="785"/>
      <c r="XBW430" s="785"/>
      <c r="XBX430" s="785"/>
      <c r="XBY430" s="785"/>
      <c r="XBZ430" s="785"/>
      <c r="XCA430" s="785"/>
      <c r="XCB430" s="785"/>
      <c r="XCC430" s="785"/>
      <c r="XCD430" s="785"/>
      <c r="XCE430" s="785"/>
      <c r="XCF430" s="785"/>
      <c r="XCG430" s="785"/>
      <c r="XCH430" s="785"/>
      <c r="XCI430" s="785"/>
      <c r="XCJ430" s="785"/>
      <c r="XCK430" s="785"/>
      <c r="XCL430" s="785"/>
      <c r="XCM430" s="785"/>
      <c r="XCN430" s="785"/>
      <c r="XCO430" s="785"/>
      <c r="XCP430" s="785"/>
      <c r="XCQ430" s="785"/>
      <c r="XCR430" s="785"/>
      <c r="XCS430" s="785"/>
      <c r="XCT430" s="785"/>
      <c r="XCU430" s="785"/>
      <c r="XCV430" s="785"/>
      <c r="XCW430" s="785"/>
      <c r="XCX430" s="785"/>
      <c r="XCY430" s="785"/>
      <c r="XCZ430" s="785"/>
      <c r="XDA430" s="785"/>
      <c r="XDB430" s="785"/>
      <c r="XDC430" s="785"/>
      <c r="XDD430" s="785"/>
      <c r="XDE430" s="785"/>
      <c r="XDF430" s="785"/>
      <c r="XDG430" s="785"/>
      <c r="XDH430" s="785"/>
      <c r="XDI430" s="785"/>
      <c r="XDJ430" s="785"/>
      <c r="XDK430" s="785"/>
      <c r="XDL430" s="785"/>
      <c r="XDM430" s="785"/>
      <c r="XDN430" s="785"/>
      <c r="XDO430" s="785"/>
      <c r="XDP430" s="785"/>
      <c r="XDQ430" s="785"/>
      <c r="XDR430" s="785"/>
      <c r="XDS430" s="785"/>
      <c r="XDT430" s="785"/>
      <c r="XDU430" s="785"/>
      <c r="XDV430" s="785"/>
      <c r="XDW430" s="785"/>
      <c r="XDX430" s="785"/>
      <c r="XDY430" s="785"/>
      <c r="XDZ430" s="785"/>
      <c r="XEA430" s="785"/>
      <c r="XEB430" s="785"/>
      <c r="XEC430" s="785"/>
      <c r="XED430" s="785"/>
      <c r="XEE430" s="785"/>
      <c r="XEF430" s="785"/>
      <c r="XEG430" s="785"/>
      <c r="XEH430" s="785"/>
      <c r="XEI430" s="785"/>
      <c r="XEJ430" s="785"/>
      <c r="XEK430" s="785"/>
      <c r="XEL430" s="785"/>
      <c r="XEM430" s="785"/>
      <c r="XEN430" s="785"/>
      <c r="XEO430" s="785"/>
      <c r="XEP430" s="785"/>
      <c r="XEQ430" s="785"/>
      <c r="XER430" s="785"/>
      <c r="XES430" s="785"/>
      <c r="XET430" s="785"/>
      <c r="XEU430" s="785"/>
      <c r="XEV430" s="785"/>
      <c r="XEW430" s="785"/>
      <c r="XEX430" s="785"/>
      <c r="XEY430" s="785"/>
      <c r="XEZ430" s="785"/>
      <c r="XFA430" s="785"/>
      <c r="XFB430" s="785"/>
      <c r="XFC430" s="785"/>
      <c r="XFD430" s="785"/>
    </row>
    <row r="431" spans="1:19 16149:16384" s="830" customFormat="1" ht="26.4">
      <c r="A431" s="830" t="s">
        <v>1227</v>
      </c>
      <c r="B431" s="881" t="s">
        <v>955</v>
      </c>
      <c r="C431" s="841"/>
      <c r="D431" s="882" t="s">
        <v>5485</v>
      </c>
      <c r="E431" s="883" t="s">
        <v>5093</v>
      </c>
      <c r="F431" s="761">
        <v>2</v>
      </c>
      <c r="G431" s="746"/>
      <c r="H431" s="752">
        <v>0</v>
      </c>
      <c r="I431" s="879"/>
      <c r="J431" s="884"/>
      <c r="K431" s="885"/>
      <c r="M431" s="812">
        <v>73.28</v>
      </c>
      <c r="N431" s="812">
        <v>28.22</v>
      </c>
      <c r="S431" s="840"/>
      <c r="WWC431" s="785"/>
      <c r="WWD431" s="785"/>
      <c r="WWE431" s="785"/>
      <c r="WWF431" s="785"/>
      <c r="WWG431" s="785"/>
      <c r="WWH431" s="785"/>
      <c r="WWI431" s="785"/>
      <c r="WWJ431" s="785"/>
      <c r="WWK431" s="785"/>
      <c r="WWL431" s="785"/>
      <c r="WWM431" s="785"/>
      <c r="WWN431" s="785"/>
      <c r="WWO431" s="785"/>
      <c r="WWP431" s="785"/>
      <c r="WWQ431" s="785"/>
      <c r="WWR431" s="785"/>
      <c r="WWS431" s="785"/>
      <c r="WWT431" s="785"/>
      <c r="WWU431" s="785"/>
      <c r="WWV431" s="785"/>
      <c r="WWW431" s="785"/>
      <c r="WWX431" s="785"/>
      <c r="WWY431" s="785"/>
      <c r="WWZ431" s="785"/>
      <c r="WXA431" s="785"/>
      <c r="WXB431" s="785"/>
      <c r="WXC431" s="785"/>
      <c r="WXD431" s="785"/>
      <c r="WXE431" s="785"/>
      <c r="WXF431" s="785"/>
      <c r="WXG431" s="785"/>
      <c r="WXH431" s="785"/>
      <c r="WXI431" s="785"/>
      <c r="WXJ431" s="785"/>
      <c r="WXK431" s="785"/>
      <c r="WXL431" s="785"/>
      <c r="WXM431" s="785"/>
      <c r="WXN431" s="785"/>
      <c r="WXO431" s="785"/>
      <c r="WXP431" s="785"/>
      <c r="WXQ431" s="785"/>
      <c r="WXR431" s="785"/>
      <c r="WXS431" s="785"/>
      <c r="WXT431" s="785"/>
      <c r="WXU431" s="785"/>
      <c r="WXV431" s="785"/>
      <c r="WXW431" s="785"/>
      <c r="WXX431" s="785"/>
      <c r="WXY431" s="785"/>
      <c r="WXZ431" s="785"/>
      <c r="WYA431" s="785"/>
      <c r="WYB431" s="785"/>
      <c r="WYC431" s="785"/>
      <c r="WYD431" s="785"/>
      <c r="WYE431" s="785"/>
      <c r="WYF431" s="785"/>
      <c r="WYG431" s="785"/>
      <c r="WYH431" s="785"/>
      <c r="WYI431" s="785"/>
      <c r="WYJ431" s="785"/>
      <c r="WYK431" s="785"/>
      <c r="WYL431" s="785"/>
      <c r="WYM431" s="785"/>
      <c r="WYN431" s="785"/>
      <c r="WYO431" s="785"/>
      <c r="WYP431" s="785"/>
      <c r="WYQ431" s="785"/>
      <c r="WYR431" s="785"/>
      <c r="WYS431" s="785"/>
      <c r="WYT431" s="785"/>
      <c r="WYU431" s="785"/>
      <c r="WYV431" s="785"/>
      <c r="WYW431" s="785"/>
      <c r="WYX431" s="785"/>
      <c r="WYY431" s="785"/>
      <c r="WYZ431" s="785"/>
      <c r="WZA431" s="785"/>
      <c r="WZB431" s="785"/>
      <c r="WZC431" s="785"/>
      <c r="WZD431" s="785"/>
      <c r="WZE431" s="785"/>
      <c r="WZF431" s="785"/>
      <c r="WZG431" s="785"/>
      <c r="WZH431" s="785"/>
      <c r="WZI431" s="785"/>
      <c r="WZJ431" s="785"/>
      <c r="WZK431" s="785"/>
      <c r="WZL431" s="785"/>
      <c r="WZM431" s="785"/>
      <c r="WZN431" s="785"/>
      <c r="WZO431" s="785"/>
      <c r="WZP431" s="785"/>
      <c r="WZQ431" s="785"/>
      <c r="WZR431" s="785"/>
      <c r="WZS431" s="785"/>
      <c r="WZT431" s="785"/>
      <c r="WZU431" s="785"/>
      <c r="WZV431" s="785"/>
      <c r="WZW431" s="785"/>
      <c r="WZX431" s="785"/>
      <c r="WZY431" s="785"/>
      <c r="WZZ431" s="785"/>
      <c r="XAA431" s="785"/>
      <c r="XAB431" s="785"/>
      <c r="XAC431" s="785"/>
      <c r="XAD431" s="785"/>
      <c r="XAE431" s="785"/>
      <c r="XAF431" s="785"/>
      <c r="XAG431" s="785"/>
      <c r="XAH431" s="785"/>
      <c r="XAI431" s="785"/>
      <c r="XAJ431" s="785"/>
      <c r="XAK431" s="785"/>
      <c r="XAL431" s="785"/>
      <c r="XAM431" s="785"/>
      <c r="XAN431" s="785"/>
      <c r="XAO431" s="785"/>
      <c r="XAP431" s="785"/>
      <c r="XAQ431" s="785"/>
      <c r="XAR431" s="785"/>
      <c r="XAS431" s="785"/>
      <c r="XAT431" s="785"/>
      <c r="XAU431" s="785"/>
      <c r="XAV431" s="785"/>
      <c r="XAW431" s="785"/>
      <c r="XAX431" s="785"/>
      <c r="XAY431" s="785"/>
      <c r="XAZ431" s="785"/>
      <c r="XBA431" s="785"/>
      <c r="XBB431" s="785"/>
      <c r="XBC431" s="785"/>
      <c r="XBD431" s="785"/>
      <c r="XBE431" s="785"/>
      <c r="XBF431" s="785"/>
      <c r="XBG431" s="785"/>
      <c r="XBH431" s="785"/>
      <c r="XBI431" s="785"/>
      <c r="XBJ431" s="785"/>
      <c r="XBK431" s="785"/>
      <c r="XBL431" s="785"/>
      <c r="XBM431" s="785"/>
      <c r="XBN431" s="785"/>
      <c r="XBO431" s="785"/>
      <c r="XBP431" s="785"/>
      <c r="XBQ431" s="785"/>
      <c r="XBR431" s="785"/>
      <c r="XBS431" s="785"/>
      <c r="XBT431" s="785"/>
      <c r="XBU431" s="785"/>
      <c r="XBV431" s="785"/>
      <c r="XBW431" s="785"/>
      <c r="XBX431" s="785"/>
      <c r="XBY431" s="785"/>
      <c r="XBZ431" s="785"/>
      <c r="XCA431" s="785"/>
      <c r="XCB431" s="785"/>
      <c r="XCC431" s="785"/>
      <c r="XCD431" s="785"/>
      <c r="XCE431" s="785"/>
      <c r="XCF431" s="785"/>
      <c r="XCG431" s="785"/>
      <c r="XCH431" s="785"/>
      <c r="XCI431" s="785"/>
      <c r="XCJ431" s="785"/>
      <c r="XCK431" s="785"/>
      <c r="XCL431" s="785"/>
      <c r="XCM431" s="785"/>
      <c r="XCN431" s="785"/>
      <c r="XCO431" s="785"/>
      <c r="XCP431" s="785"/>
      <c r="XCQ431" s="785"/>
      <c r="XCR431" s="785"/>
      <c r="XCS431" s="785"/>
      <c r="XCT431" s="785"/>
      <c r="XCU431" s="785"/>
      <c r="XCV431" s="785"/>
      <c r="XCW431" s="785"/>
      <c r="XCX431" s="785"/>
      <c r="XCY431" s="785"/>
      <c r="XCZ431" s="785"/>
      <c r="XDA431" s="785"/>
      <c r="XDB431" s="785"/>
      <c r="XDC431" s="785"/>
      <c r="XDD431" s="785"/>
      <c r="XDE431" s="785"/>
      <c r="XDF431" s="785"/>
      <c r="XDG431" s="785"/>
      <c r="XDH431" s="785"/>
      <c r="XDI431" s="785"/>
      <c r="XDJ431" s="785"/>
      <c r="XDK431" s="785"/>
      <c r="XDL431" s="785"/>
      <c r="XDM431" s="785"/>
      <c r="XDN431" s="785"/>
      <c r="XDO431" s="785"/>
      <c r="XDP431" s="785"/>
      <c r="XDQ431" s="785"/>
      <c r="XDR431" s="785"/>
      <c r="XDS431" s="785"/>
      <c r="XDT431" s="785"/>
      <c r="XDU431" s="785"/>
      <c r="XDV431" s="785"/>
      <c r="XDW431" s="785"/>
      <c r="XDX431" s="785"/>
      <c r="XDY431" s="785"/>
      <c r="XDZ431" s="785"/>
      <c r="XEA431" s="785"/>
      <c r="XEB431" s="785"/>
      <c r="XEC431" s="785"/>
      <c r="XED431" s="785"/>
      <c r="XEE431" s="785"/>
      <c r="XEF431" s="785"/>
      <c r="XEG431" s="785"/>
      <c r="XEH431" s="785"/>
      <c r="XEI431" s="785"/>
      <c r="XEJ431" s="785"/>
      <c r="XEK431" s="785"/>
      <c r="XEL431" s="785"/>
      <c r="XEM431" s="785"/>
      <c r="XEN431" s="785"/>
      <c r="XEO431" s="785"/>
      <c r="XEP431" s="785"/>
      <c r="XEQ431" s="785"/>
      <c r="XER431" s="785"/>
      <c r="XES431" s="785"/>
      <c r="XET431" s="785"/>
      <c r="XEU431" s="785"/>
      <c r="XEV431" s="785"/>
      <c r="XEW431" s="785"/>
      <c r="XEX431" s="785"/>
      <c r="XEY431" s="785"/>
      <c r="XEZ431" s="785"/>
      <c r="XFA431" s="785"/>
      <c r="XFB431" s="785"/>
      <c r="XFC431" s="785"/>
      <c r="XFD431" s="785"/>
    </row>
    <row r="432" spans="1:19 16149:16384" s="830" customFormat="1" ht="26.4">
      <c r="A432" s="830" t="s">
        <v>1227</v>
      </c>
      <c r="B432" s="881" t="s">
        <v>957</v>
      </c>
      <c r="C432" s="841"/>
      <c r="D432" s="882" t="s">
        <v>5486</v>
      </c>
      <c r="E432" s="883" t="s">
        <v>5093</v>
      </c>
      <c r="F432" s="761">
        <v>2</v>
      </c>
      <c r="G432" s="746"/>
      <c r="H432" s="752">
        <v>0</v>
      </c>
      <c r="I432" s="879"/>
      <c r="J432" s="884"/>
      <c r="K432" s="885"/>
      <c r="M432" s="812">
        <v>55.2</v>
      </c>
      <c r="N432" s="812">
        <v>25.2</v>
      </c>
      <c r="S432" s="840"/>
    </row>
    <row r="433" spans="1:19" s="830" customFormat="1" ht="26.4">
      <c r="A433" s="830" t="s">
        <v>1227</v>
      </c>
      <c r="B433" s="881" t="s">
        <v>959</v>
      </c>
      <c r="C433" s="841"/>
      <c r="D433" s="882" t="s">
        <v>5487</v>
      </c>
      <c r="E433" s="883" t="s">
        <v>5093</v>
      </c>
      <c r="F433" s="761">
        <v>2</v>
      </c>
      <c r="G433" s="746"/>
      <c r="H433" s="752">
        <v>0</v>
      </c>
      <c r="I433" s="879"/>
      <c r="J433" s="884"/>
      <c r="K433" s="885"/>
      <c r="M433" s="812">
        <v>4.8099999999999996</v>
      </c>
      <c r="N433" s="812">
        <v>4.88</v>
      </c>
      <c r="S433" s="840"/>
    </row>
    <row r="434" spans="1:19" s="830" customFormat="1" ht="26.4">
      <c r="A434" s="830" t="s">
        <v>1227</v>
      </c>
      <c r="B434" s="881" t="s">
        <v>961</v>
      </c>
      <c r="C434" s="841"/>
      <c r="D434" s="882" t="s">
        <v>5488</v>
      </c>
      <c r="E434" s="883" t="s">
        <v>5093</v>
      </c>
      <c r="F434" s="761">
        <v>3</v>
      </c>
      <c r="G434" s="746"/>
      <c r="H434" s="752">
        <v>0</v>
      </c>
      <c r="I434" s="879"/>
      <c r="J434" s="884"/>
      <c r="K434" s="885"/>
      <c r="M434" s="812">
        <v>3.5</v>
      </c>
      <c r="N434" s="812">
        <v>4</v>
      </c>
      <c r="S434" s="840"/>
    </row>
    <row r="435" spans="1:19" s="785" customFormat="1">
      <c r="A435" s="785" t="s">
        <v>1227</v>
      </c>
      <c r="B435" s="787" t="s">
        <v>967</v>
      </c>
      <c r="C435" s="790"/>
      <c r="D435" s="787" t="s">
        <v>5489</v>
      </c>
      <c r="E435" s="790" t="s">
        <v>4906</v>
      </c>
      <c r="F435" s="791">
        <v>1</v>
      </c>
      <c r="G435" s="746"/>
      <c r="H435" s="792">
        <v>0</v>
      </c>
      <c r="I435" s="1408" t="s">
        <v>5490</v>
      </c>
      <c r="J435" s="1408"/>
      <c r="K435" s="903"/>
      <c r="M435" s="795"/>
      <c r="N435" s="795"/>
      <c r="S435" s="796"/>
    </row>
    <row r="436" spans="1:19" s="785" customFormat="1">
      <c r="A436" s="785" t="s">
        <v>1227</v>
      </c>
      <c r="B436" s="787" t="s">
        <v>984</v>
      </c>
      <c r="C436" s="790"/>
      <c r="D436" s="787" t="s">
        <v>5491</v>
      </c>
      <c r="E436" s="790" t="s">
        <v>5143</v>
      </c>
      <c r="F436" s="791">
        <v>0</v>
      </c>
      <c r="G436" s="746"/>
      <c r="H436" s="792">
        <v>0</v>
      </c>
      <c r="I436" s="793"/>
      <c r="J436" s="790"/>
      <c r="K436" s="903"/>
      <c r="M436" s="795">
        <v>105300</v>
      </c>
      <c r="N436" s="795"/>
      <c r="S436" s="796"/>
    </row>
    <row r="437" spans="1:19" s="785" customFormat="1">
      <c r="A437" s="785" t="s">
        <v>1227</v>
      </c>
      <c r="B437" s="787" t="s">
        <v>995</v>
      </c>
      <c r="C437" s="790"/>
      <c r="D437" s="787" t="s">
        <v>5492</v>
      </c>
      <c r="E437" s="790" t="s">
        <v>5143</v>
      </c>
      <c r="F437" s="791">
        <v>0</v>
      </c>
      <c r="G437" s="746"/>
      <c r="H437" s="792">
        <v>0</v>
      </c>
      <c r="I437" s="793"/>
      <c r="J437" s="790"/>
      <c r="K437" s="903"/>
      <c r="M437" s="795">
        <v>132666</v>
      </c>
      <c r="N437" s="795"/>
      <c r="S437" s="796"/>
    </row>
    <row r="438" spans="1:19" s="785" customFormat="1">
      <c r="A438" s="785" t="s">
        <v>1227</v>
      </c>
      <c r="B438" s="787" t="s">
        <v>1026</v>
      </c>
      <c r="C438" s="790"/>
      <c r="D438" s="787" t="s">
        <v>5493</v>
      </c>
      <c r="E438" s="790" t="s">
        <v>5143</v>
      </c>
      <c r="F438" s="791">
        <v>0</v>
      </c>
      <c r="G438" s="746"/>
      <c r="H438" s="792">
        <v>0</v>
      </c>
      <c r="I438" s="793"/>
      <c r="J438" s="790"/>
      <c r="K438" s="903"/>
      <c r="M438" s="795">
        <v>26010</v>
      </c>
      <c r="N438" s="795"/>
      <c r="S438" s="796"/>
    </row>
    <row r="439" spans="1:19">
      <c r="B439" s="742"/>
      <c r="C439" s="745"/>
      <c r="D439" s="758" t="s">
        <v>4887</v>
      </c>
      <c r="E439" s="745"/>
      <c r="F439" s="757"/>
      <c r="G439" s="746"/>
      <c r="H439" s="759">
        <v>0</v>
      </c>
      <c r="I439" s="753"/>
      <c r="J439" s="745"/>
      <c r="K439" s="748"/>
      <c r="M439" s="756"/>
      <c r="N439" s="756"/>
    </row>
    <row r="440" spans="1:19">
      <c r="B440" s="742"/>
      <c r="C440" s="745"/>
      <c r="D440" s="758"/>
      <c r="E440" s="745"/>
      <c r="F440" s="757"/>
      <c r="G440" s="746"/>
      <c r="H440" s="757"/>
      <c r="I440" s="753"/>
      <c r="J440" s="745"/>
      <c r="K440" s="748"/>
      <c r="M440" s="756"/>
      <c r="N440" s="756"/>
    </row>
    <row r="441" spans="1:19">
      <c r="B441" s="742"/>
      <c r="C441" s="745"/>
      <c r="D441" s="758"/>
      <c r="E441" s="745"/>
      <c r="F441" s="757"/>
      <c r="G441" s="746"/>
      <c r="H441" s="757"/>
      <c r="I441" s="753"/>
      <c r="J441" s="745"/>
      <c r="K441" s="748"/>
      <c r="M441" s="756"/>
      <c r="N441" s="756"/>
    </row>
    <row r="442" spans="1:19">
      <c r="B442" s="760">
        <v>17</v>
      </c>
      <c r="C442" s="769"/>
      <c r="D442" s="758" t="s">
        <v>923</v>
      </c>
      <c r="E442" s="745"/>
      <c r="F442" s="757"/>
      <c r="G442" s="746"/>
      <c r="H442" s="757"/>
      <c r="I442" s="753"/>
      <c r="J442" s="745"/>
      <c r="K442" s="748"/>
      <c r="M442" s="756"/>
      <c r="N442" s="756"/>
    </row>
    <row r="443" spans="1:19" ht="26.4">
      <c r="B443" s="742" t="s">
        <v>5494</v>
      </c>
      <c r="C443" s="767">
        <v>150115</v>
      </c>
      <c r="D443" s="782" t="s">
        <v>5495</v>
      </c>
      <c r="E443" s="745" t="s">
        <v>1429</v>
      </c>
      <c r="F443" s="757">
        <v>3356</v>
      </c>
      <c r="G443" s="746"/>
      <c r="H443" s="752">
        <v>0</v>
      </c>
      <c r="I443" s="753" t="s">
        <v>4872</v>
      </c>
      <c r="J443" s="754">
        <v>150115</v>
      </c>
      <c r="K443" s="860">
        <v>150115</v>
      </c>
      <c r="M443" s="756">
        <v>9.6275905000000002</v>
      </c>
      <c r="N443" s="756"/>
    </row>
    <row r="444" spans="1:19">
      <c r="A444" t="s">
        <v>1227</v>
      </c>
      <c r="B444" s="742" t="s">
        <v>5496</v>
      </c>
      <c r="C444" s="767"/>
      <c r="D444" s="782" t="s">
        <v>5497</v>
      </c>
      <c r="E444" s="745" t="s">
        <v>1429</v>
      </c>
      <c r="F444" s="757">
        <v>2574</v>
      </c>
      <c r="G444" s="746"/>
      <c r="H444" s="752">
        <v>0</v>
      </c>
      <c r="I444" s="753" t="s">
        <v>4908</v>
      </c>
      <c r="J444" s="745" t="s">
        <v>5498</v>
      </c>
      <c r="K444" s="748" t="s">
        <v>5498</v>
      </c>
      <c r="M444" s="756">
        <v>9.31</v>
      </c>
      <c r="N444" s="756"/>
    </row>
    <row r="445" spans="1:19" s="785" customFormat="1" ht="26.4">
      <c r="A445" s="785" t="s">
        <v>1227</v>
      </c>
      <c r="B445" s="787" t="s">
        <v>5499</v>
      </c>
      <c r="C445" s="788"/>
      <c r="D445" s="806" t="s">
        <v>5500</v>
      </c>
      <c r="E445" s="790" t="s">
        <v>1429</v>
      </c>
      <c r="F445" s="791">
        <v>3980</v>
      </c>
      <c r="G445" s="746"/>
      <c r="H445" s="792"/>
      <c r="I445" s="793"/>
      <c r="J445" s="790"/>
      <c r="K445" s="903"/>
      <c r="M445" s="795"/>
      <c r="N445" s="795"/>
      <c r="S445" s="796"/>
    </row>
    <row r="446" spans="1:19">
      <c r="A446" t="s">
        <v>1227</v>
      </c>
      <c r="B446" s="742" t="s">
        <v>5501</v>
      </c>
      <c r="C446" s="745"/>
      <c r="D446" s="798" t="s">
        <v>5502</v>
      </c>
      <c r="E446" s="745" t="s">
        <v>1429</v>
      </c>
      <c r="F446" s="757">
        <v>4000</v>
      </c>
      <c r="G446" s="746"/>
      <c r="H446" s="752">
        <v>0</v>
      </c>
      <c r="I446" s="753"/>
      <c r="J446" s="745"/>
      <c r="K446" s="748"/>
      <c r="M446" s="756">
        <v>55</v>
      </c>
      <c r="N446" s="756"/>
    </row>
    <row r="447" spans="1:19">
      <c r="B447" s="742"/>
      <c r="C447" s="745"/>
      <c r="D447" s="758" t="s">
        <v>4887</v>
      </c>
      <c r="E447" s="745"/>
      <c r="F447" s="757"/>
      <c r="G447" s="746"/>
      <c r="H447" s="759">
        <v>0</v>
      </c>
      <c r="I447" s="753"/>
      <c r="J447" s="745"/>
      <c r="K447" s="748"/>
      <c r="M447" s="756"/>
      <c r="N447" s="756"/>
    </row>
    <row r="448" spans="1:19">
      <c r="B448" s="742"/>
      <c r="C448" s="745"/>
      <c r="D448" s="798"/>
      <c r="E448" s="745"/>
      <c r="F448" s="757"/>
      <c r="G448" s="746"/>
      <c r="H448" s="759"/>
      <c r="I448" s="753"/>
      <c r="J448" s="745"/>
      <c r="K448" s="748"/>
      <c r="M448" s="756"/>
      <c r="N448" s="756"/>
    </row>
    <row r="449" spans="1:19">
      <c r="B449" s="760">
        <v>18</v>
      </c>
      <c r="C449" s="769"/>
      <c r="D449" s="758" t="s">
        <v>5503</v>
      </c>
      <c r="E449" s="745"/>
      <c r="F449" s="757"/>
      <c r="G449" s="746"/>
      <c r="H449" s="759"/>
      <c r="I449" s="753"/>
      <c r="J449" s="745"/>
      <c r="K449" s="748"/>
      <c r="M449" s="756"/>
      <c r="N449" s="756"/>
    </row>
    <row r="450" spans="1:19">
      <c r="A450" t="s">
        <v>1227</v>
      </c>
      <c r="B450" s="742" t="s">
        <v>5504</v>
      </c>
      <c r="C450" s="745"/>
      <c r="D450" s="904" t="s">
        <v>5505</v>
      </c>
      <c r="E450" s="774" t="s">
        <v>4906</v>
      </c>
      <c r="F450" s="781">
        <v>2</v>
      </c>
      <c r="G450" s="746"/>
      <c r="H450" s="776">
        <v>0</v>
      </c>
      <c r="I450" s="753"/>
      <c r="J450" s="774"/>
      <c r="K450" s="748"/>
      <c r="M450" s="756">
        <v>145000</v>
      </c>
      <c r="N450" s="756"/>
    </row>
    <row r="451" spans="1:19">
      <c r="A451" t="s">
        <v>1227</v>
      </c>
      <c r="B451" s="742" t="s">
        <v>5506</v>
      </c>
      <c r="C451" s="745"/>
      <c r="D451" s="798" t="s">
        <v>5507</v>
      </c>
      <c r="E451" s="745" t="s">
        <v>4906</v>
      </c>
      <c r="F451" s="757">
        <v>1</v>
      </c>
      <c r="G451" s="746"/>
      <c r="H451" s="752">
        <v>0</v>
      </c>
      <c r="I451" s="753"/>
      <c r="J451" s="745"/>
      <c r="K451" s="748"/>
      <c r="M451" s="756">
        <v>1435000</v>
      </c>
      <c r="N451" s="756"/>
    </row>
    <row r="452" spans="1:19" s="785" customFormat="1">
      <c r="A452" s="785" t="s">
        <v>1227</v>
      </c>
      <c r="B452" s="787" t="s">
        <v>5508</v>
      </c>
      <c r="C452" s="790"/>
      <c r="D452" s="803" t="s">
        <v>5509</v>
      </c>
      <c r="E452" s="790" t="s">
        <v>5093</v>
      </c>
      <c r="F452" s="791">
        <v>0</v>
      </c>
      <c r="G452" s="746"/>
      <c r="H452" s="792">
        <v>0</v>
      </c>
      <c r="I452" s="793"/>
      <c r="J452" s="790"/>
      <c r="K452" s="903"/>
      <c r="M452" s="795">
        <v>1187.52</v>
      </c>
      <c r="N452" s="795"/>
      <c r="S452" s="796"/>
    </row>
    <row r="453" spans="1:19" s="785" customFormat="1">
      <c r="A453" s="785" t="s">
        <v>1227</v>
      </c>
      <c r="B453" s="787" t="s">
        <v>5510</v>
      </c>
      <c r="C453" s="790"/>
      <c r="D453" s="803" t="s">
        <v>5511</v>
      </c>
      <c r="E453" s="790" t="s">
        <v>4906</v>
      </c>
      <c r="F453" s="791">
        <v>0</v>
      </c>
      <c r="G453" s="746"/>
      <c r="H453" s="792">
        <v>0</v>
      </c>
      <c r="I453" s="793"/>
      <c r="J453" s="790"/>
      <c r="K453" s="903"/>
      <c r="M453" s="795">
        <v>220000</v>
      </c>
      <c r="N453" s="795"/>
      <c r="S453" s="796"/>
    </row>
    <row r="454" spans="1:19">
      <c r="B454" s="742"/>
      <c r="C454" s="745"/>
      <c r="D454" s="758" t="s">
        <v>4887</v>
      </c>
      <c r="E454" s="745"/>
      <c r="F454" s="757"/>
      <c r="G454" s="746"/>
      <c r="H454" s="759">
        <v>0</v>
      </c>
      <c r="I454" s="753"/>
      <c r="J454" s="745"/>
      <c r="K454" s="748"/>
      <c r="M454" s="756"/>
      <c r="N454" s="756"/>
    </row>
    <row r="455" spans="1:19">
      <c r="B455" s="742"/>
      <c r="C455" s="745"/>
      <c r="D455" s="798"/>
      <c r="E455" s="745"/>
      <c r="F455" s="757"/>
      <c r="G455" s="746"/>
      <c r="H455" s="759"/>
      <c r="I455" s="753"/>
      <c r="J455" s="745"/>
      <c r="K455" s="748"/>
      <c r="M455" s="756"/>
      <c r="N455" s="756"/>
    </row>
    <row r="456" spans="1:19">
      <c r="B456" s="760">
        <v>19</v>
      </c>
      <c r="C456" s="769"/>
      <c r="D456" s="758" t="s">
        <v>5512</v>
      </c>
      <c r="E456" s="745"/>
      <c r="F456" s="757"/>
      <c r="G456" s="746"/>
      <c r="H456" s="759"/>
      <c r="I456" s="753"/>
      <c r="J456" s="745"/>
      <c r="K456" s="748"/>
      <c r="M456" s="756"/>
      <c r="N456" s="756"/>
    </row>
    <row r="457" spans="1:19" s="785" customFormat="1" ht="26.4">
      <c r="A457" s="785" t="s">
        <v>1227</v>
      </c>
      <c r="B457" s="787" t="s">
        <v>5513</v>
      </c>
      <c r="C457" s="790"/>
      <c r="D457" s="803" t="s">
        <v>5514</v>
      </c>
      <c r="E457" s="790" t="s">
        <v>1429</v>
      </c>
      <c r="F457" s="791">
        <v>0</v>
      </c>
      <c r="G457" s="746"/>
      <c r="H457" s="792">
        <v>0</v>
      </c>
      <c r="I457" s="793"/>
      <c r="J457" s="790"/>
      <c r="K457" s="903"/>
      <c r="M457" s="795">
        <v>140</v>
      </c>
      <c r="N457" s="795"/>
      <c r="S457" s="796"/>
    </row>
    <row r="458" spans="1:19" s="785" customFormat="1" ht="39.6">
      <c r="A458" s="785" t="s">
        <v>1227</v>
      </c>
      <c r="B458" s="787" t="s">
        <v>5515</v>
      </c>
      <c r="C458" s="790"/>
      <c r="D458" s="905" t="s">
        <v>5516</v>
      </c>
      <c r="E458" s="790" t="s">
        <v>1429</v>
      </c>
      <c r="F458" s="906">
        <v>0</v>
      </c>
      <c r="G458" s="746"/>
      <c r="H458" s="792">
        <v>0</v>
      </c>
      <c r="I458" s="793"/>
      <c r="J458" s="790"/>
      <c r="K458" s="903"/>
      <c r="M458" s="795">
        <v>28.5</v>
      </c>
      <c r="N458" s="795"/>
      <c r="S458" s="796"/>
    </row>
    <row r="459" spans="1:19" s="785" customFormat="1">
      <c r="A459" s="785" t="s">
        <v>1227</v>
      </c>
      <c r="B459" s="787" t="s">
        <v>5517</v>
      </c>
      <c r="C459" s="790"/>
      <c r="D459" s="907" t="s">
        <v>5518</v>
      </c>
      <c r="E459" s="790" t="s">
        <v>1429</v>
      </c>
      <c r="F459" s="906">
        <v>0</v>
      </c>
      <c r="G459" s="746"/>
      <c r="H459" s="792">
        <v>0</v>
      </c>
      <c r="I459" s="793"/>
      <c r="J459" s="790"/>
      <c r="K459" s="903"/>
      <c r="M459" s="795">
        <v>19.2</v>
      </c>
      <c r="N459" s="795"/>
      <c r="S459" s="796"/>
    </row>
    <row r="460" spans="1:19" s="785" customFormat="1">
      <c r="A460" s="785" t="s">
        <v>1227</v>
      </c>
      <c r="B460" s="787" t="s">
        <v>5519</v>
      </c>
      <c r="C460" s="788">
        <v>181056</v>
      </c>
      <c r="D460" s="806" t="s">
        <v>5520</v>
      </c>
      <c r="E460" s="908" t="s">
        <v>4959</v>
      </c>
      <c r="F460" s="906">
        <v>0</v>
      </c>
      <c r="G460" s="746"/>
      <c r="H460" s="792">
        <v>0</v>
      </c>
      <c r="I460" s="793"/>
      <c r="J460" s="790"/>
      <c r="K460" s="903"/>
      <c r="M460" s="795">
        <v>38.72</v>
      </c>
      <c r="N460" s="795"/>
      <c r="S460" s="796"/>
    </row>
    <row r="461" spans="1:19" s="785" customFormat="1">
      <c r="A461" s="785" t="s">
        <v>1227</v>
      </c>
      <c r="B461" s="787" t="s">
        <v>5521</v>
      </c>
      <c r="C461" s="790"/>
      <c r="D461" s="909" t="s">
        <v>5522</v>
      </c>
      <c r="E461" s="908" t="s">
        <v>5523</v>
      </c>
      <c r="F461" s="906">
        <v>0</v>
      </c>
      <c r="G461" s="746"/>
      <c r="H461" s="792">
        <v>0</v>
      </c>
      <c r="I461" s="793" t="s">
        <v>4872</v>
      </c>
      <c r="J461" s="794">
        <v>180103</v>
      </c>
      <c r="K461" s="910">
        <v>180103</v>
      </c>
      <c r="M461" s="795">
        <v>37.06</v>
      </c>
      <c r="N461" s="795"/>
      <c r="S461" s="796"/>
    </row>
    <row r="462" spans="1:19" s="785" customFormat="1" ht="52.8">
      <c r="A462" s="785" t="s">
        <v>1227</v>
      </c>
      <c r="B462" s="787" t="s">
        <v>5524</v>
      </c>
      <c r="C462" s="790"/>
      <c r="D462" s="905" t="s">
        <v>5525</v>
      </c>
      <c r="E462" s="911" t="s">
        <v>4959</v>
      </c>
      <c r="F462" s="906">
        <v>0</v>
      </c>
      <c r="G462" s="746"/>
      <c r="H462" s="792">
        <v>0</v>
      </c>
      <c r="I462" s="793"/>
      <c r="J462" s="790"/>
      <c r="K462" s="903"/>
      <c r="M462" s="795">
        <v>545</v>
      </c>
      <c r="N462" s="795"/>
      <c r="S462" s="796"/>
    </row>
    <row r="463" spans="1:19" s="785" customFormat="1">
      <c r="A463" s="785" t="s">
        <v>1227</v>
      </c>
      <c r="B463" s="787" t="s">
        <v>5526</v>
      </c>
      <c r="C463" s="788">
        <v>170561</v>
      </c>
      <c r="D463" s="806" t="s">
        <v>5527</v>
      </c>
      <c r="E463" s="790" t="s">
        <v>5523</v>
      </c>
      <c r="F463" s="791">
        <v>0</v>
      </c>
      <c r="G463" s="746"/>
      <c r="H463" s="792">
        <v>0</v>
      </c>
      <c r="I463" s="793" t="s">
        <v>4872</v>
      </c>
      <c r="J463" s="794">
        <v>170561</v>
      </c>
      <c r="K463" s="910">
        <v>170561</v>
      </c>
      <c r="M463" s="795">
        <v>335.44</v>
      </c>
      <c r="N463" s="795"/>
      <c r="S463" s="796"/>
    </row>
    <row r="464" spans="1:19">
      <c r="B464" s="742"/>
      <c r="C464" s="745"/>
      <c r="D464" s="758" t="s">
        <v>4887</v>
      </c>
      <c r="E464" s="745"/>
      <c r="F464" s="757"/>
      <c r="G464" s="746"/>
      <c r="H464" s="759">
        <v>0</v>
      </c>
      <c r="I464" s="753"/>
      <c r="J464" s="745"/>
      <c r="K464" s="748"/>
      <c r="M464" s="756"/>
      <c r="N464" s="756"/>
    </row>
    <row r="465" spans="1:14">
      <c r="B465" s="742"/>
      <c r="C465" s="745"/>
      <c r="D465" s="912"/>
      <c r="E465" s="745"/>
      <c r="F465" s="757"/>
      <c r="G465" s="746"/>
      <c r="H465" s="759"/>
      <c r="I465" s="753"/>
      <c r="J465" s="745"/>
      <c r="K465" s="748"/>
      <c r="M465" s="756"/>
      <c r="N465" s="756"/>
    </row>
    <row r="466" spans="1:14">
      <c r="B466" s="760">
        <v>20</v>
      </c>
      <c r="C466" s="769"/>
      <c r="D466" s="758" t="s">
        <v>5528</v>
      </c>
      <c r="E466" s="745"/>
      <c r="F466" s="757"/>
      <c r="G466" s="746"/>
      <c r="H466" s="757"/>
      <c r="I466" s="753"/>
      <c r="J466" s="745"/>
      <c r="K466" s="748"/>
      <c r="M466" s="756"/>
      <c r="N466" s="756"/>
    </row>
    <row r="467" spans="1:14">
      <c r="A467" t="s">
        <v>1227</v>
      </c>
      <c r="B467" s="742" t="s">
        <v>5529</v>
      </c>
      <c r="C467" s="767"/>
      <c r="D467" s="782" t="s">
        <v>5530</v>
      </c>
      <c r="E467" s="745" t="s">
        <v>1429</v>
      </c>
      <c r="F467" s="757">
        <v>5966</v>
      </c>
      <c r="G467" s="746"/>
      <c r="H467" s="752">
        <v>0</v>
      </c>
      <c r="I467" s="753" t="s">
        <v>4872</v>
      </c>
      <c r="J467" s="754">
        <v>170401</v>
      </c>
      <c r="K467" s="748">
        <v>9537</v>
      </c>
      <c r="M467" s="756">
        <v>1.32</v>
      </c>
      <c r="N467" s="756"/>
    </row>
    <row r="468" spans="1:14">
      <c r="B468" s="742"/>
      <c r="C468" s="745"/>
      <c r="D468" s="758" t="s">
        <v>4887</v>
      </c>
      <c r="E468" s="745"/>
      <c r="F468" s="757"/>
      <c r="G468" s="746"/>
      <c r="H468" s="759">
        <v>0</v>
      </c>
      <c r="I468" s="753"/>
      <c r="J468" s="745"/>
      <c r="K468" s="748"/>
      <c r="M468" s="756"/>
      <c r="N468" s="756"/>
    </row>
    <row r="469" spans="1:14">
      <c r="B469" s="742"/>
      <c r="C469" s="745"/>
      <c r="D469" s="758"/>
      <c r="E469" s="745"/>
      <c r="F469" s="757"/>
      <c r="G469" s="746"/>
      <c r="H469" s="759"/>
      <c r="I469" s="753"/>
      <c r="J469" s="745"/>
      <c r="K469" s="748"/>
      <c r="M469" s="756"/>
      <c r="N469" s="756"/>
    </row>
    <row r="470" spans="1:14">
      <c r="B470" s="742"/>
      <c r="C470" s="745"/>
      <c r="D470" s="758"/>
      <c r="E470" s="745"/>
      <c r="F470" s="757"/>
      <c r="G470" s="746"/>
      <c r="H470" s="759"/>
      <c r="I470" s="747"/>
      <c r="J470" s="748"/>
      <c r="K470" s="748"/>
      <c r="M470" s="756"/>
      <c r="N470" s="756"/>
    </row>
    <row r="471" spans="1:14">
      <c r="B471" s="742"/>
      <c r="C471" s="745"/>
      <c r="D471" s="758"/>
      <c r="E471" s="745"/>
      <c r="F471" s="757"/>
      <c r="G471" s="746"/>
      <c r="H471" s="759"/>
      <c r="I471" s="747"/>
      <c r="J471" s="748"/>
      <c r="K471" s="748"/>
      <c r="M471" s="756"/>
      <c r="N471" s="756"/>
    </row>
    <row r="472" spans="1:14">
      <c r="B472" s="742"/>
      <c r="C472" s="745"/>
      <c r="D472" s="758"/>
      <c r="E472" s="745"/>
      <c r="F472" s="757"/>
      <c r="G472" s="746"/>
      <c r="H472" s="759"/>
      <c r="I472" s="747"/>
      <c r="J472" s="748"/>
      <c r="K472" s="748"/>
      <c r="M472" s="756"/>
      <c r="N472" s="756"/>
    </row>
    <row r="473" spans="1:14">
      <c r="B473" s="742"/>
      <c r="C473" s="745"/>
      <c r="D473" s="758"/>
      <c r="E473" s="745"/>
      <c r="F473" s="757"/>
      <c r="G473" s="746"/>
      <c r="H473" s="759"/>
      <c r="I473" s="747"/>
      <c r="J473" s="748"/>
      <c r="K473" s="748"/>
      <c r="M473" s="756"/>
      <c r="N473" s="756"/>
    </row>
    <row r="474" spans="1:14">
      <c r="B474" s="913"/>
      <c r="C474" s="863"/>
      <c r="D474" s="914"/>
      <c r="E474" s="863"/>
      <c r="F474" s="865"/>
      <c r="G474" s="746"/>
      <c r="H474" s="866"/>
      <c r="I474" s="915"/>
      <c r="J474" s="916"/>
      <c r="K474" s="916"/>
      <c r="M474" s="917"/>
      <c r="N474" s="917"/>
    </row>
    <row r="475" spans="1:14" ht="18" customHeight="1">
      <c r="B475" s="1409" t="s">
        <v>5531</v>
      </c>
      <c r="C475" s="1409"/>
      <c r="D475" s="1409"/>
      <c r="E475" s="1409"/>
      <c r="F475" s="1409"/>
      <c r="G475" s="1409"/>
      <c r="H475" s="918">
        <v>0</v>
      </c>
      <c r="I475" s="919"/>
      <c r="K475" s="730"/>
    </row>
    <row r="476" spans="1:14" ht="18" customHeight="1">
      <c r="B476" s="1409" t="s">
        <v>5532</v>
      </c>
      <c r="C476" s="1409"/>
      <c r="D476" s="1409"/>
      <c r="E476" s="1409"/>
      <c r="F476" s="1409"/>
      <c r="G476" s="1409"/>
      <c r="H476" s="918">
        <v>0</v>
      </c>
      <c r="K476" s="730"/>
    </row>
    <row r="477" spans="1:14" ht="18" customHeight="1">
      <c r="B477" s="1409" t="s">
        <v>5533</v>
      </c>
      <c r="C477" s="1409"/>
      <c r="D477" s="1409"/>
      <c r="E477" s="1409"/>
      <c r="F477" s="1409"/>
      <c r="G477" s="1409"/>
      <c r="H477" s="918">
        <v>0</v>
      </c>
      <c r="K477" s="730"/>
    </row>
    <row r="481" spans="7:8">
      <c r="H481" s="920">
        <v>0</v>
      </c>
    </row>
    <row r="482" spans="7:8">
      <c r="H482" s="921">
        <v>0</v>
      </c>
    </row>
    <row r="483" spans="7:8">
      <c r="H483" s="921">
        <v>0</v>
      </c>
    </row>
    <row r="486" spans="7:8">
      <c r="G486" s="922" t="s">
        <v>5534</v>
      </c>
      <c r="H486" s="923">
        <v>24035325.68</v>
      </c>
    </row>
  </sheetData>
  <autoFilter ref="A2:M486" xr:uid="{00000000-0009-0000-0000-00000B000000}"/>
  <mergeCells count="22">
    <mergeCell ref="B476:G476"/>
    <mergeCell ref="B477:G477"/>
    <mergeCell ref="I195:J195"/>
    <mergeCell ref="I347:J347"/>
    <mergeCell ref="I383:J383"/>
    <mergeCell ref="I435:J435"/>
    <mergeCell ref="B475:G475"/>
    <mergeCell ref="I88:J88"/>
    <mergeCell ref="I124:J124"/>
    <mergeCell ref="I126:J126"/>
    <mergeCell ref="I127:J127"/>
    <mergeCell ref="I131:J131"/>
    <mergeCell ref="G7:G8"/>
    <mergeCell ref="H7:H8"/>
    <mergeCell ref="I7:I8"/>
    <mergeCell ref="J7:J8"/>
    <mergeCell ref="I61:J61"/>
    <mergeCell ref="B7:B8"/>
    <mergeCell ref="C7:C8"/>
    <mergeCell ref="D7:D8"/>
    <mergeCell ref="E7:E8"/>
    <mergeCell ref="F7:F8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66CC"/>
  </sheetPr>
  <dimension ref="A2:M28"/>
  <sheetViews>
    <sheetView view="pageBreakPreview" zoomScale="90" zoomScaleNormal="80" zoomScalePageLayoutView="90" workbookViewId="0">
      <selection activeCell="D13" sqref="D13"/>
    </sheetView>
  </sheetViews>
  <sheetFormatPr defaultColWidth="11.88671875" defaultRowHeight="13.2"/>
  <cols>
    <col min="1" max="1" width="11.88671875" style="15"/>
    <col min="2" max="4" width="10" style="16" customWidth="1"/>
    <col min="5" max="5" width="96.109375" style="16" customWidth="1"/>
    <col min="6" max="6" width="11.44140625" style="18" customWidth="1"/>
    <col min="7" max="9" width="15.5546875" style="19" customWidth="1"/>
    <col min="10" max="10" width="16.109375" style="20" customWidth="1"/>
    <col min="11" max="11" width="15.5546875" style="19" customWidth="1"/>
    <col min="12" max="12" width="16.109375" style="20" customWidth="1"/>
    <col min="13" max="13" width="14.88671875" style="22" customWidth="1"/>
    <col min="14" max="16384" width="11.88671875" style="15"/>
  </cols>
  <sheetData>
    <row r="2" spans="2:13" s="24" customFormat="1" ht="40.5" customHeight="1">
      <c r="B2" s="32" t="s">
        <v>10</v>
      </c>
      <c r="C2" s="32" t="s">
        <v>11</v>
      </c>
      <c r="D2" s="32" t="s">
        <v>12</v>
      </c>
      <c r="E2" s="36" t="s">
        <v>5535</v>
      </c>
      <c r="F2" s="36" t="s">
        <v>14</v>
      </c>
      <c r="G2" s="37" t="s">
        <v>5536</v>
      </c>
      <c r="H2" s="37" t="s">
        <v>5537</v>
      </c>
      <c r="I2" s="37" t="s">
        <v>5538</v>
      </c>
      <c r="J2" s="38" t="s">
        <v>5539</v>
      </c>
      <c r="K2" s="37" t="s">
        <v>5540</v>
      </c>
      <c r="L2" s="37" t="s">
        <v>5541</v>
      </c>
      <c r="M2" s="42"/>
    </row>
    <row r="3" spans="2:13" s="300" customFormat="1" ht="27" customHeight="1">
      <c r="B3" s="924"/>
      <c r="C3" s="925"/>
      <c r="D3" s="926"/>
      <c r="E3" s="927" t="s">
        <v>5542</v>
      </c>
      <c r="F3" s="928"/>
      <c r="G3" s="929"/>
      <c r="H3" s="929"/>
      <c r="I3" s="929"/>
      <c r="J3" s="930" t="str">
        <f>IFERROR(IF(C3="CPU",VLOOKUP(D3,#REF!,4,0),IF(C3="SINAPI",VLOOKUP(D3,#REF!,5,0),IF(C3="EDIF",VLOOKUP(D3,#REF!,4,0),IF(C3="CPOS",VLOOKUP(D3,#REF!,7,0),IF(C3="FDE",VLOOKUP(D3,#REF!,5,0),"")))))*VLOOKUP(C3,#REF!,3,0),"")</f>
        <v/>
      </c>
      <c r="K3" s="929"/>
      <c r="L3" s="931"/>
      <c r="M3" s="932"/>
    </row>
    <row r="4" spans="2:13" s="25" customFormat="1" ht="27" customHeight="1">
      <c r="B4" s="933" t="s">
        <v>805</v>
      </c>
      <c r="C4" s="933" t="s">
        <v>5543</v>
      </c>
      <c r="D4" s="934" t="s">
        <v>5544</v>
      </c>
      <c r="E4" s="935" t="str">
        <f>IFERROR(UPPER(IF(C4="CPU",VLOOKUP(D4,#REF!,2,0),IF(C4="SINAPI",VLOOKUP(D4,#REF!,2,0),IF(C4="EDIF",VLOOKUP(D4,#REF!,2,0),IF(C4="CPOS",VLOOKUP(D4,#REF!,3,0),IF(C4="FDE",VLOOKUP(D4,#REF!,2,0),IF(C4="INFRA",VLOOKUP(D4,#REF!,2,0),""))))))),"")</f>
        <v/>
      </c>
      <c r="F4" s="78" t="str">
        <f>IFERROR(UPPER(IF(C4="CPU",VLOOKUP(D4,#REF!,3,0),IF(C4="SINAPI",VLOOKUP(D4,#REF!,3,0),IF(C4="EDIF",VLOOKUP(D4,#REF!,3,0),IF(C4="CPOS",VLOOKUP(D4,#REF!,4,0),IF(C4="FDE",VLOOKUP(D4,#REF!,3,0),IF(C4="INFRA",VLOOKUP(D4,#REF!,3,0),""))))))),"")</f>
        <v/>
      </c>
      <c r="G4" s="936">
        <v>390</v>
      </c>
      <c r="H4" s="937" t="e">
        <f>#REF!</f>
        <v>#REF!</v>
      </c>
      <c r="I4" s="938"/>
      <c r="J4" s="939" t="str">
        <f>IFERROR(IF(C4="CPU",VLOOKUP(D4,#REF!,4,0),IF(C4="SINAPI",VLOOKUP(D4,#REF!,5,0),IF(C4="EDIF",VLOOKUP(D4,#REF!,4,0),IF(C4="CPOS",VLOOKUP(D4,#REF!,7,0),IF(C4="FDE",VLOOKUP(D4,#REF!,5,0),IF(C4="INFRA",VLOOKUP(D4,#REF!,4,0),""))))))*VLOOKUP(C4,#REF!,3,0),"")</f>
        <v/>
      </c>
      <c r="K4" s="938">
        <f t="shared" ref="K4:L10" si="0">IFERROR(G4*I4,"")</f>
        <v>0</v>
      </c>
      <c r="L4" s="939" t="str">
        <f t="shared" si="0"/>
        <v/>
      </c>
      <c r="M4" s="940"/>
    </row>
    <row r="5" spans="2:13" s="25" customFormat="1" ht="27" customHeight="1">
      <c r="B5" s="933" t="s">
        <v>5545</v>
      </c>
      <c r="C5" s="933" t="s">
        <v>5543</v>
      </c>
      <c r="D5" s="934" t="s">
        <v>5546</v>
      </c>
      <c r="E5" s="935" t="str">
        <f>IFERROR(UPPER(IF(C5="CPU",VLOOKUP(D5,#REF!,2,0),IF(C5="SINAPI",VLOOKUP(D5,#REF!,2,0),IF(C5="EDIF",VLOOKUP(D5,#REF!,2,0),IF(C5="CPOS",VLOOKUP(D5,#REF!,3,0),IF(C5="FDE",VLOOKUP(D5,#REF!,2,0),IF(C5="INFRA",VLOOKUP(D5,#REF!,2,0),""))))))),"")</f>
        <v/>
      </c>
      <c r="F5" s="78" t="str">
        <f>IFERROR(UPPER(IF(C5="CPU",VLOOKUP(D5,#REF!,3,0),IF(C5="SINAPI",VLOOKUP(D5,#REF!,3,0),IF(C5="EDIF",VLOOKUP(D5,#REF!,3,0),IF(C5="CPOS",VLOOKUP(D5,#REF!,4,0),IF(C5="FDE",VLOOKUP(D5,#REF!,3,0),IF(C5="INFRA",VLOOKUP(D5,#REF!,3,0),""))))))),"")</f>
        <v/>
      </c>
      <c r="G5" s="936">
        <v>3693.45</v>
      </c>
      <c r="H5" s="937" t="e">
        <f>#REF!</f>
        <v>#REF!</v>
      </c>
      <c r="I5" s="938"/>
      <c r="J5" s="939" t="str">
        <f>IFERROR(IF(C5="CPU",VLOOKUP(D5,#REF!,4,0),IF(C5="SINAPI",VLOOKUP(D5,#REF!,5,0),IF(C5="EDIF",VLOOKUP(D5,#REF!,4,0),IF(C5="CPOS",VLOOKUP(D5,#REF!,7,0),IF(C5="FDE",VLOOKUP(D5,#REF!,5,0),IF(C5="INFRA",VLOOKUP(D5,#REF!,4,0),""))))))*VLOOKUP(C5,#REF!,3,0),"")</f>
        <v/>
      </c>
      <c r="K5" s="938">
        <f t="shared" si="0"/>
        <v>0</v>
      </c>
      <c r="L5" s="939" t="str">
        <f t="shared" si="0"/>
        <v/>
      </c>
      <c r="M5" s="940"/>
    </row>
    <row r="6" spans="2:13" s="25" customFormat="1" ht="27" customHeight="1">
      <c r="B6" s="933" t="s">
        <v>5035</v>
      </c>
      <c r="C6" s="933" t="s">
        <v>5543</v>
      </c>
      <c r="D6" s="934" t="s">
        <v>5547</v>
      </c>
      <c r="E6" s="935" t="str">
        <f>IFERROR(UPPER(IF(C6="CPU",VLOOKUP(D6,#REF!,2,0),IF(C6="SINAPI",VLOOKUP(D6,#REF!,2,0),IF(C6="EDIF",VLOOKUP(D6,#REF!,2,0),IF(C6="CPOS",VLOOKUP(D6,#REF!,3,0),IF(C6="FDE",VLOOKUP(D6,#REF!,2,0),IF(C6="INFRA",VLOOKUP(D6,#REF!,2,0),""))))))),"")</f>
        <v/>
      </c>
      <c r="F6" s="78" t="str">
        <f>IFERROR(UPPER(IF(C6="CPU",VLOOKUP(D6,#REF!,3,0),IF(C6="SINAPI",VLOOKUP(D6,#REF!,3,0),IF(C6="EDIF",VLOOKUP(D6,#REF!,3,0),IF(C6="CPOS",VLOOKUP(D6,#REF!,4,0),IF(C6="FDE",VLOOKUP(D6,#REF!,3,0),IF(C6="INFRA",VLOOKUP(D6,#REF!,3,0),""))))))),"")</f>
        <v/>
      </c>
      <c r="G6" s="936">
        <v>415</v>
      </c>
      <c r="H6" s="937" t="e">
        <f>#REF!</f>
        <v>#REF!</v>
      </c>
      <c r="I6" s="938"/>
      <c r="J6" s="939" t="str">
        <f>IFERROR(IF(C6="CPU",VLOOKUP(D6,#REF!,4,0),IF(C6="SINAPI",VLOOKUP(D6,#REF!,5,0),IF(C6="EDIF",VLOOKUP(D6,#REF!,4,0),IF(C6="CPOS",VLOOKUP(D6,#REF!,7,0),IF(C6="FDE",VLOOKUP(D6,#REF!,5,0),IF(C6="INFRA",VLOOKUP(D6,#REF!,4,0),""))))))*VLOOKUP(C6,#REF!,3,0),"")</f>
        <v/>
      </c>
      <c r="K6" s="938">
        <f t="shared" si="0"/>
        <v>0</v>
      </c>
      <c r="L6" s="939" t="str">
        <f t="shared" si="0"/>
        <v/>
      </c>
      <c r="M6" s="940"/>
    </row>
    <row r="7" spans="2:13" s="25" customFormat="1" ht="27" customHeight="1">
      <c r="B7" s="933" t="s">
        <v>5548</v>
      </c>
      <c r="C7" s="933" t="s">
        <v>5543</v>
      </c>
      <c r="D7" s="934" t="s">
        <v>5549</v>
      </c>
      <c r="E7" s="935" t="str">
        <f>IFERROR(UPPER(IF(C7="CPU",VLOOKUP(D7,#REF!,2,0),IF(C7="SINAPI",VLOOKUP(D7,#REF!,2,0),IF(C7="EDIF",VLOOKUP(D7,#REF!,2,0),IF(C7="CPOS",VLOOKUP(D7,#REF!,3,0),IF(C7="FDE",VLOOKUP(D7,#REF!,2,0),IF(C7="INFRA",VLOOKUP(D7,#REF!,2,0),""))))))),"")</f>
        <v/>
      </c>
      <c r="F7" s="78" t="str">
        <f>IFERROR(UPPER(IF(C7="CPU",VLOOKUP(D7,#REF!,3,0),IF(C7="SINAPI",VLOOKUP(D7,#REF!,3,0),IF(C7="EDIF",VLOOKUP(D7,#REF!,3,0),IF(C7="CPOS",VLOOKUP(D7,#REF!,4,0),IF(C7="FDE",VLOOKUP(D7,#REF!,3,0),IF(C7="INFRA",VLOOKUP(D7,#REF!,3,0),""))))))),"")</f>
        <v/>
      </c>
      <c r="G7" s="936">
        <f>250+105</f>
        <v>355</v>
      </c>
      <c r="H7" s="937" t="e">
        <f>#REF!</f>
        <v>#REF!</v>
      </c>
      <c r="I7" s="938"/>
      <c r="J7" s="939" t="str">
        <f>IFERROR(IF(C7="CPU",VLOOKUP(D7,#REF!,4,0),IF(C7="SINAPI",VLOOKUP(D7,#REF!,5,0),IF(C7="EDIF",VLOOKUP(D7,#REF!,4,0),IF(C7="CPOS",VLOOKUP(D7,#REF!,7,0),IF(C7="FDE",VLOOKUP(D7,#REF!,5,0),IF(C7="INFRA",VLOOKUP(D7,#REF!,4,0),""))))))*VLOOKUP(C7,#REF!,3,0),"")</f>
        <v/>
      </c>
      <c r="K7" s="938">
        <f t="shared" si="0"/>
        <v>0</v>
      </c>
      <c r="L7" s="939" t="str">
        <f t="shared" si="0"/>
        <v/>
      </c>
      <c r="M7" s="940"/>
    </row>
    <row r="8" spans="2:13" s="25" customFormat="1" ht="27" customHeight="1">
      <c r="B8" s="933" t="s">
        <v>5550</v>
      </c>
      <c r="C8" s="933" t="s">
        <v>5543</v>
      </c>
      <c r="D8" s="934" t="s">
        <v>5551</v>
      </c>
      <c r="E8" s="935" t="str">
        <f>IFERROR(UPPER(IF(C8="CPU",VLOOKUP(D8,#REF!,2,0),IF(C8="SINAPI",VLOOKUP(D8,#REF!,2,0),IF(C8="EDIF",VLOOKUP(D8,#REF!,2,0),IF(C8="CPOS",VLOOKUP(D8,#REF!,3,0),IF(C8="FDE",VLOOKUP(D8,#REF!,2,0),IF(C8="INFRA",VLOOKUP(D8,#REF!,2,0),""))))))),"")</f>
        <v/>
      </c>
      <c r="F8" s="78" t="str">
        <f>IFERROR(UPPER(IF(C8="CPU",VLOOKUP(D8,#REF!,3,0),IF(C8="SINAPI",VLOOKUP(D8,#REF!,3,0),IF(C8="EDIF",VLOOKUP(D8,#REF!,3,0),IF(C8="CPOS",VLOOKUP(D8,#REF!,4,0),IF(C8="FDE",VLOOKUP(D8,#REF!,3,0),IF(C8="INFRA",VLOOKUP(D8,#REF!,3,0),""))))))),"")</f>
        <v/>
      </c>
      <c r="G8" s="936">
        <v>1645.65</v>
      </c>
      <c r="H8" s="937" t="e">
        <f>#REF!</f>
        <v>#REF!</v>
      </c>
      <c r="I8" s="938"/>
      <c r="J8" s="939" t="str">
        <f>IFERROR(IF(C8="CPU",VLOOKUP(D8,#REF!,4,0),IF(C8="SINAPI",VLOOKUP(D8,#REF!,5,0),IF(C8="EDIF",VLOOKUP(D8,#REF!,4,0),IF(C8="CPOS",VLOOKUP(D8,#REF!,7,0),IF(C8="FDE",VLOOKUP(D8,#REF!,5,0),IF(C8="INFRA",VLOOKUP(D8,#REF!,4,0),""))))))*VLOOKUP(C8,#REF!,3,0),"")</f>
        <v/>
      </c>
      <c r="K8" s="938">
        <f t="shared" si="0"/>
        <v>0</v>
      </c>
      <c r="L8" s="939" t="str">
        <f t="shared" si="0"/>
        <v/>
      </c>
      <c r="M8" s="940"/>
    </row>
    <row r="9" spans="2:13" s="25" customFormat="1" ht="27" customHeight="1">
      <c r="B9" s="933" t="s">
        <v>5552</v>
      </c>
      <c r="C9" s="933" t="s">
        <v>5543</v>
      </c>
      <c r="D9" s="934" t="s">
        <v>5553</v>
      </c>
      <c r="E9" s="935" t="str">
        <f>IFERROR(UPPER(IF(C9="CPU",VLOOKUP(D9,#REF!,2,0),IF(C9="SINAPI",VLOOKUP(D9,#REF!,2,0),IF(C9="EDIF",VLOOKUP(D9,#REF!,2,0),IF(C9="CPOS",VLOOKUP(D9,#REF!,3,0),IF(C9="FDE",VLOOKUP(D9,#REF!,2,0),IF(C9="INFRA",VLOOKUP(D9,#REF!,2,0),""))))))),"")</f>
        <v/>
      </c>
      <c r="F9" s="78" t="str">
        <f>IFERROR(UPPER(IF(C9="CPU",VLOOKUP(D9,#REF!,3,0),IF(C9="SINAPI",VLOOKUP(D9,#REF!,3,0),IF(C9="EDIF",VLOOKUP(D9,#REF!,3,0),IF(C9="CPOS",VLOOKUP(D9,#REF!,4,0),IF(C9="FDE",VLOOKUP(D9,#REF!,3,0),IF(C9="INFRA",VLOOKUP(D9,#REF!,3,0),""))))))),"")</f>
        <v/>
      </c>
      <c r="G9" s="936">
        <v>2665.48</v>
      </c>
      <c r="H9" s="937" t="e">
        <f>#REF!</f>
        <v>#REF!</v>
      </c>
      <c r="I9" s="938"/>
      <c r="J9" s="939" t="str">
        <f>IFERROR(IF(C9="CPU",VLOOKUP(D9,#REF!,4,0),IF(C9="SINAPI",VLOOKUP(D9,#REF!,5,0),IF(C9="EDIF",VLOOKUP(D9,#REF!,4,0),IF(C9="CPOS",VLOOKUP(D9,#REF!,7,0),IF(C9="FDE",VLOOKUP(D9,#REF!,5,0),IF(C9="INFRA",VLOOKUP(D9,#REF!,4,0),""))))))*VLOOKUP(C9,#REF!,3,0),"")</f>
        <v/>
      </c>
      <c r="K9" s="938">
        <f t="shared" si="0"/>
        <v>0</v>
      </c>
      <c r="L9" s="939" t="str">
        <f t="shared" si="0"/>
        <v/>
      </c>
      <c r="M9" s="940"/>
    </row>
    <row r="10" spans="2:13" s="25" customFormat="1" ht="27" customHeight="1">
      <c r="B10" s="933" t="s">
        <v>5554</v>
      </c>
      <c r="C10" s="933" t="s">
        <v>5543</v>
      </c>
      <c r="D10" s="934" t="s">
        <v>5555</v>
      </c>
      <c r="E10" s="935" t="str">
        <f>IFERROR(UPPER(IF(C10="CPU",VLOOKUP(D10,#REF!,2,0),IF(C10="SINAPI",VLOOKUP(D10,#REF!,2,0),IF(C10="EDIF",VLOOKUP(D10,#REF!,2,0),IF(C10="CPOS",VLOOKUP(D10,#REF!,3,0),IF(C10="FDE",VLOOKUP(D10,#REF!,2,0),IF(C10="INFRA",VLOOKUP(D10,#REF!,2,0),""))))))),"")</f>
        <v/>
      </c>
      <c r="F10" s="78" t="str">
        <f>IFERROR(UPPER(IF(C10="CPU",VLOOKUP(D10,#REF!,3,0),IF(C10="SINAPI",VLOOKUP(D10,#REF!,3,0),IF(C10="EDIF",VLOOKUP(D10,#REF!,3,0),IF(C10="CPOS",VLOOKUP(D10,#REF!,4,0),IF(C10="FDE",VLOOKUP(D10,#REF!,3,0),IF(C10="INFRA",VLOOKUP(D10,#REF!,3,0),""))))))),"")</f>
        <v/>
      </c>
      <c r="G10" s="936">
        <v>976.59</v>
      </c>
      <c r="H10" s="937" t="e">
        <f>#REF!</f>
        <v>#REF!</v>
      </c>
      <c r="I10" s="938"/>
      <c r="J10" s="939" t="str">
        <f>IFERROR(IF(C10="CPU",VLOOKUP(D10,#REF!,4,0),IF(C10="SINAPI",VLOOKUP(D10,#REF!,5,0),IF(C10="EDIF",VLOOKUP(D10,#REF!,4,0),IF(C10="CPOS",VLOOKUP(D10,#REF!,7,0),IF(C10="FDE",VLOOKUP(D10,#REF!,5,0),IF(C10="INFRA",VLOOKUP(D10,#REF!,4,0),""))))))*VLOOKUP(C10,#REF!,3,0),"")</f>
        <v/>
      </c>
      <c r="K10" s="938">
        <f t="shared" si="0"/>
        <v>0</v>
      </c>
      <c r="L10" s="939" t="str">
        <f t="shared" si="0"/>
        <v/>
      </c>
      <c r="M10" s="940"/>
    </row>
    <row r="11" spans="2:13" s="25" customFormat="1" ht="27" customHeight="1">
      <c r="B11" s="933" t="s">
        <v>877</v>
      </c>
      <c r="C11" s="933" t="s">
        <v>5543</v>
      </c>
      <c r="D11" s="934" t="s">
        <v>5556</v>
      </c>
      <c r="E11" s="935" t="str">
        <f>IFERROR(UPPER(IF(C11="CPU",VLOOKUP(D11,#REF!,2,0),IF(C11="SINAPI",VLOOKUP(D11,#REF!,2,0),IF(C11="EDIF",VLOOKUP(D11,#REF!,2,0),IF(C11="CPOS",VLOOKUP(D11,#REF!,3,0),IF(C11="FDE",VLOOKUP(D11,#REF!,2,0),IF(C11="INFRA",VLOOKUP(D11,#REF!,2,0),""))))))),"")</f>
        <v/>
      </c>
      <c r="F11" s="78" t="str">
        <f>IFERROR(UPPER(IF(C11="CPU",VLOOKUP(D11,#REF!,3,0),IF(C11="SINAPI",VLOOKUP(D11,#REF!,3,0),IF(C11="EDIF",VLOOKUP(D11,#REF!,3,0),IF(C11="CPOS",VLOOKUP(D11,#REF!,4,0),IF(C11="FDE",VLOOKUP(D11,#REF!,3,0),IF(C11="INFRA",VLOOKUP(D11,#REF!,3,0),""))))))),"")</f>
        <v/>
      </c>
      <c r="G11" s="936">
        <v>1466.33</v>
      </c>
      <c r="H11" s="937" t="e">
        <f>#REF!</f>
        <v>#REF!</v>
      </c>
      <c r="I11" s="938"/>
      <c r="J11" s="939"/>
      <c r="K11" s="938"/>
      <c r="L11" s="939"/>
      <c r="M11" s="940"/>
    </row>
    <row r="12" spans="2:13" s="25" customFormat="1" ht="27" customHeight="1">
      <c r="B12" s="933" t="s">
        <v>5557</v>
      </c>
      <c r="C12" s="933" t="s">
        <v>5543</v>
      </c>
      <c r="D12" s="934" t="s">
        <v>5558</v>
      </c>
      <c r="E12" s="935" t="str">
        <f>IFERROR(UPPER(IF(C12="CPU",VLOOKUP(D12,#REF!,2,0),IF(C12="SINAPI",VLOOKUP(D12,#REF!,2,0),IF(C12="EDIF",VLOOKUP(D12,#REF!,2,0),IF(C12="CPOS",VLOOKUP(D12,#REF!,3,0),IF(C12="FDE",VLOOKUP(D12,#REF!,2,0),IF(C12="INFRA",VLOOKUP(D12,#REF!,2,0),""))))))),"")</f>
        <v/>
      </c>
      <c r="F12" s="78" t="str">
        <f>IFERROR(UPPER(IF(C12="CPU",VLOOKUP(D12,#REF!,3,0),IF(C12="SINAPI",VLOOKUP(D12,#REF!,3,0),IF(C12="EDIF",VLOOKUP(D12,#REF!,3,0),IF(C12="CPOS",VLOOKUP(D12,#REF!,4,0),IF(C12="FDE",VLOOKUP(D12,#REF!,3,0),IF(C12="INFRA",VLOOKUP(D12,#REF!,3,0),""))))))),"")</f>
        <v/>
      </c>
      <c r="G12" s="936">
        <v>188.3</v>
      </c>
      <c r="H12" s="937" t="e">
        <f>#REF!</f>
        <v>#REF!</v>
      </c>
      <c r="I12" s="938"/>
      <c r="J12" s="939" t="str">
        <f>IFERROR(IF(C12="CPU",VLOOKUP(D12,#REF!,4,0),IF(C12="SINAPI",VLOOKUP(D12,#REF!,5,0),IF(C12="EDIF",VLOOKUP(D12,#REF!,4,0),IF(C12="CPOS",VLOOKUP(D12,#REF!,7,0),IF(C12="FDE",VLOOKUP(D12,#REF!,5,0),IF(C12="INFRA",VLOOKUP(D12,#REF!,4,0),""))))))*VLOOKUP(C12,#REF!,3,0),"")</f>
        <v/>
      </c>
      <c r="K12" s="938">
        <f t="shared" ref="K12:K28" si="1">IFERROR(G12*I12,"")</f>
        <v>0</v>
      </c>
      <c r="L12" s="939" t="str">
        <f t="shared" ref="L12:L28" si="2">IFERROR(H12*J12,"")</f>
        <v/>
      </c>
      <c r="M12" s="940"/>
    </row>
    <row r="13" spans="2:13" s="25" customFormat="1" ht="27" customHeight="1">
      <c r="B13" s="933"/>
      <c r="C13" s="933"/>
      <c r="D13" s="934"/>
      <c r="E13" s="935" t="str">
        <f>IFERROR(UPPER(IF(C13="CPU",VLOOKUP(D13,#REF!,2,0),IF(C13="SINAPI",VLOOKUP(D13,#REF!,2,0),IF(C13="EDIF",VLOOKUP(D13,#REF!,2,0),IF(C13="CPOS",VLOOKUP(D13,#REF!,3,0),IF(C13="FDE",VLOOKUP(D13,#REF!,2,0),IF(C13="INFRA",VLOOKUP(D13,#REF!,2,0),""))))))),"")</f>
        <v/>
      </c>
      <c r="F13" s="78" t="str">
        <f>IFERROR(UPPER(IF(C13="CPU",VLOOKUP(D13,#REF!,3,0),IF(C13="SINAPI",VLOOKUP(D13,#REF!,3,0),IF(C13="EDIF",VLOOKUP(D13,#REF!,3,0),IF(C13="CPOS",VLOOKUP(D13,#REF!,4,0),IF(C13="FDE",VLOOKUP(D13,#REF!,3,0),IF(C13="INFRA",VLOOKUP(D13,#REF!,3,0),""))))))),"")</f>
        <v/>
      </c>
      <c r="G13" s="936"/>
      <c r="H13" s="937"/>
      <c r="I13" s="938"/>
      <c r="J13" s="939" t="str">
        <f>IFERROR(IF(C13="CPU",VLOOKUP(D13,#REF!,4,0),IF(C13="SINAPI",VLOOKUP(D13,#REF!,5,0),IF(C13="EDIF",VLOOKUP(D13,#REF!,4,0),IF(C13="CPOS",VLOOKUP(D13,#REF!,7,0),IF(C13="FDE",VLOOKUP(D13,#REF!,5,0),IF(C13="INFRA",VLOOKUP(D13,#REF!,4,0),""))))))*VLOOKUP(C13,#REF!,3,0),"")</f>
        <v/>
      </c>
      <c r="K13" s="938">
        <f t="shared" si="1"/>
        <v>0</v>
      </c>
      <c r="L13" s="939" t="str">
        <f t="shared" si="2"/>
        <v/>
      </c>
      <c r="M13" s="940"/>
    </row>
    <row r="14" spans="2:13" s="25" customFormat="1" ht="27" customHeight="1">
      <c r="B14" s="933"/>
      <c r="C14" s="933"/>
      <c r="D14" s="934"/>
      <c r="E14" s="935" t="str">
        <f>IFERROR(UPPER(IF(C14="CPU",VLOOKUP(D14,#REF!,2,0),IF(C14="SINAPI",VLOOKUP(D14,#REF!,2,0),IF(C14="EDIF",VLOOKUP(D14,#REF!,2,0),IF(C14="CPOS",VLOOKUP(D14,#REF!,3,0),IF(C14="FDE",VLOOKUP(D14,#REF!,2,0),IF(C14="INFRA",VLOOKUP(D14,#REF!,2,0),""))))))),"")</f>
        <v/>
      </c>
      <c r="F14" s="78" t="str">
        <f>IFERROR(UPPER(IF(C14="CPU",VLOOKUP(D14,#REF!,3,0),IF(C14="SINAPI",VLOOKUP(D14,#REF!,3,0),IF(C14="EDIF",VLOOKUP(D14,#REF!,3,0),IF(C14="CPOS",VLOOKUP(D14,#REF!,4,0),IF(C14="FDE",VLOOKUP(D14,#REF!,3,0),IF(C14="INFRA",VLOOKUP(D14,#REF!,3,0),""))))))),"")</f>
        <v/>
      </c>
      <c r="G14" s="936"/>
      <c r="H14" s="937"/>
      <c r="I14" s="938"/>
      <c r="J14" s="939" t="str">
        <f>IFERROR(IF(C14="CPU",VLOOKUP(D14,#REF!,4,0),IF(C14="SINAPI",VLOOKUP(D14,#REF!,5,0),IF(C14="EDIF",VLOOKUP(D14,#REF!,4,0),IF(C14="CPOS",VLOOKUP(D14,#REF!,7,0),IF(C14="FDE",VLOOKUP(D14,#REF!,5,0),IF(C14="INFRA",VLOOKUP(D14,#REF!,4,0),""))))))*VLOOKUP(C14,#REF!,3,0),"")</f>
        <v/>
      </c>
      <c r="K14" s="938">
        <f t="shared" si="1"/>
        <v>0</v>
      </c>
      <c r="L14" s="939" t="str">
        <f t="shared" si="2"/>
        <v/>
      </c>
      <c r="M14" s="940"/>
    </row>
    <row r="15" spans="2:13" s="25" customFormat="1" ht="27" customHeight="1">
      <c r="B15" s="933"/>
      <c r="C15" s="933"/>
      <c r="D15" s="934"/>
      <c r="E15" s="935" t="str">
        <f>IFERROR(UPPER(IF(C15="CPU",VLOOKUP(D15,#REF!,2,0),IF(C15="SINAPI",VLOOKUP(D15,#REF!,2,0),IF(C15="EDIF",VLOOKUP(D15,#REF!,2,0),IF(C15="CPOS",VLOOKUP(D15,#REF!,3,0),IF(C15="FDE",VLOOKUP(D15,#REF!,2,0),IF(C15="INFRA",VLOOKUP(D15,#REF!,2,0),""))))))),"")</f>
        <v/>
      </c>
      <c r="F15" s="78" t="str">
        <f>IFERROR(UPPER(IF(C15="CPU",VLOOKUP(D15,#REF!,3,0),IF(C15="SINAPI",VLOOKUP(D15,#REF!,3,0),IF(C15="EDIF",VLOOKUP(D15,#REF!,3,0),IF(C15="CPOS",VLOOKUP(D15,#REF!,4,0),IF(C15="FDE",VLOOKUP(D15,#REF!,3,0),IF(C15="INFRA",VLOOKUP(D15,#REF!,3,0),""))))))),"")</f>
        <v/>
      </c>
      <c r="G15" s="936"/>
      <c r="H15" s="937"/>
      <c r="I15" s="938"/>
      <c r="J15" s="939" t="str">
        <f>IFERROR(IF(C15="CPU",VLOOKUP(D15,#REF!,4,0),IF(C15="SINAPI",VLOOKUP(D15,#REF!,5,0),IF(C15="EDIF",VLOOKUP(D15,#REF!,4,0),IF(C15="CPOS",VLOOKUP(D15,#REF!,7,0),IF(C15="FDE",VLOOKUP(D15,#REF!,5,0),IF(C15="INFRA",VLOOKUP(D15,#REF!,4,0),""))))))*VLOOKUP(C15,#REF!,3,0),"")</f>
        <v/>
      </c>
      <c r="K15" s="938">
        <f t="shared" si="1"/>
        <v>0</v>
      </c>
      <c r="L15" s="939" t="str">
        <f t="shared" si="2"/>
        <v/>
      </c>
      <c r="M15" s="940"/>
    </row>
    <row r="16" spans="2:13" s="25" customFormat="1" ht="27" customHeight="1">
      <c r="B16" s="933"/>
      <c r="C16" s="933"/>
      <c r="D16" s="934"/>
      <c r="E16" s="935" t="str">
        <f>IFERROR(UPPER(IF(C16="CPU",VLOOKUP(D16,#REF!,2,0),IF(C16="SINAPI",VLOOKUP(D16,#REF!,2,0),IF(C16="EDIF",VLOOKUP(D16,#REF!,2,0),IF(C16="CPOS",VLOOKUP(D16,#REF!,3,0),IF(C16="FDE",VLOOKUP(D16,#REF!,2,0),IF(C16="INFRA",VLOOKUP(D16,#REF!,2,0),""))))))),"")</f>
        <v/>
      </c>
      <c r="F16" s="78" t="str">
        <f>IFERROR(UPPER(IF(C16="CPU",VLOOKUP(D16,#REF!,3,0),IF(C16="SINAPI",VLOOKUP(D16,#REF!,3,0),IF(C16="EDIF",VLOOKUP(D16,#REF!,3,0),IF(C16="CPOS",VLOOKUP(D16,#REF!,4,0),IF(C16="FDE",VLOOKUP(D16,#REF!,3,0),IF(C16="INFRA",VLOOKUP(D16,#REF!,3,0),""))))))),"")</f>
        <v/>
      </c>
      <c r="G16" s="936"/>
      <c r="H16" s="937"/>
      <c r="I16" s="938"/>
      <c r="J16" s="939" t="str">
        <f>IFERROR(IF(C16="CPU",VLOOKUP(D16,#REF!,4,0),IF(C16="SINAPI",VLOOKUP(D16,#REF!,5,0),IF(C16="EDIF",VLOOKUP(D16,#REF!,4,0),IF(C16="CPOS",VLOOKUP(D16,#REF!,7,0),IF(C16="FDE",VLOOKUP(D16,#REF!,5,0),IF(C16="INFRA",VLOOKUP(D16,#REF!,4,0),""))))))*VLOOKUP(C16,#REF!,3,0),"")</f>
        <v/>
      </c>
      <c r="K16" s="938">
        <f t="shared" si="1"/>
        <v>0</v>
      </c>
      <c r="L16" s="939" t="str">
        <f t="shared" si="2"/>
        <v/>
      </c>
      <c r="M16" s="940"/>
    </row>
    <row r="17" spans="1:13" s="25" customFormat="1" ht="27" customHeight="1">
      <c r="B17" s="933"/>
      <c r="C17" s="933"/>
      <c r="D17" s="934"/>
      <c r="E17" s="935" t="str">
        <f>IFERROR(UPPER(IF(C17="CPU",VLOOKUP(D17,#REF!,2,0),IF(C17="SINAPI",VLOOKUP(D17,#REF!,2,0),IF(C17="EDIF",VLOOKUP(D17,#REF!,2,0),IF(C17="CPOS",VLOOKUP(D17,#REF!,3,0),IF(C17="FDE",VLOOKUP(D17,#REF!,2,0),IF(C17="INFRA",VLOOKUP(D17,#REF!,2,0),""))))))),"")</f>
        <v/>
      </c>
      <c r="F17" s="78" t="str">
        <f>IFERROR(UPPER(IF(C17="CPU",VLOOKUP(D17,#REF!,3,0),IF(C17="SINAPI",VLOOKUP(D17,#REF!,3,0),IF(C17="EDIF",VLOOKUP(D17,#REF!,3,0),IF(C17="CPOS",VLOOKUP(D17,#REF!,4,0),IF(C17="FDE",VLOOKUP(D17,#REF!,3,0),IF(C17="INFRA",VLOOKUP(D17,#REF!,3,0),""))))))),"")</f>
        <v/>
      </c>
      <c r="G17" s="936"/>
      <c r="H17" s="937"/>
      <c r="I17" s="938"/>
      <c r="J17" s="939" t="str">
        <f>IFERROR(IF(C17="CPU",VLOOKUP(D17,#REF!,4,0),IF(C17="SINAPI",VLOOKUP(D17,#REF!,5,0),IF(C17="EDIF",VLOOKUP(D17,#REF!,4,0),IF(C17="CPOS",VLOOKUP(D17,#REF!,7,0),IF(C17="FDE",VLOOKUP(D17,#REF!,5,0),IF(C17="INFRA",VLOOKUP(D17,#REF!,4,0),""))))))*VLOOKUP(C17,#REF!,3,0),"")</f>
        <v/>
      </c>
      <c r="K17" s="938">
        <f t="shared" si="1"/>
        <v>0</v>
      </c>
      <c r="L17" s="939" t="str">
        <f t="shared" si="2"/>
        <v/>
      </c>
      <c r="M17" s="940"/>
    </row>
    <row r="18" spans="1:13" s="25" customFormat="1" ht="27" customHeight="1">
      <c r="B18" s="933"/>
      <c r="C18" s="933"/>
      <c r="D18" s="934"/>
      <c r="E18" s="935" t="str">
        <f>IFERROR(UPPER(IF(C18="CPU",VLOOKUP(D18,#REF!,2,0),IF(C18="SINAPI",VLOOKUP(D18,#REF!,2,0),IF(C18="EDIF",VLOOKUP(D18,#REF!,2,0),IF(C18="CPOS",VLOOKUP(D18,#REF!,3,0),IF(C18="FDE",VLOOKUP(D18,#REF!,2,0),IF(C18="INFRA",VLOOKUP(D18,#REF!,2,0),""))))))),"")</f>
        <v/>
      </c>
      <c r="F18" s="78" t="str">
        <f>IFERROR(UPPER(IF(C18="CPU",VLOOKUP(D18,#REF!,3,0),IF(C18="SINAPI",VLOOKUP(D18,#REF!,3,0),IF(C18="EDIF",VLOOKUP(D18,#REF!,3,0),IF(C18="CPOS",VLOOKUP(D18,#REF!,4,0),IF(C18="FDE",VLOOKUP(D18,#REF!,3,0),IF(C18="INFRA",VLOOKUP(D18,#REF!,3,0),""))))))),"")</f>
        <v/>
      </c>
      <c r="G18" s="936"/>
      <c r="H18" s="937"/>
      <c r="I18" s="938"/>
      <c r="J18" s="939" t="str">
        <f>IFERROR(IF(C18="CPU",VLOOKUP(D18,#REF!,4,0),IF(C18="SINAPI",VLOOKUP(D18,#REF!,5,0),IF(C18="EDIF",VLOOKUP(D18,#REF!,4,0),IF(C18="CPOS",VLOOKUP(D18,#REF!,7,0),IF(C18="FDE",VLOOKUP(D18,#REF!,5,0),IF(C18="INFRA",VLOOKUP(D18,#REF!,4,0),""))))))*VLOOKUP(C18,#REF!,3,0),"")</f>
        <v/>
      </c>
      <c r="K18" s="938">
        <f t="shared" si="1"/>
        <v>0</v>
      </c>
      <c r="L18" s="939" t="str">
        <f t="shared" si="2"/>
        <v/>
      </c>
      <c r="M18" s="940"/>
    </row>
    <row r="19" spans="1:13" s="25" customFormat="1" ht="27" customHeight="1">
      <c r="B19" s="933"/>
      <c r="C19" s="933"/>
      <c r="D19" s="934"/>
      <c r="E19" s="935" t="str">
        <f>IFERROR(UPPER(IF(C19="CPU",VLOOKUP(D19,#REF!,2,0),IF(C19="SINAPI",VLOOKUP(D19,#REF!,2,0),IF(C19="EDIF",VLOOKUP(D19,#REF!,2,0),IF(C19="CPOS",VLOOKUP(D19,#REF!,3,0),IF(C19="FDE",VLOOKUP(D19,#REF!,2,0),IF(C19="INFRA",VLOOKUP(D19,#REF!,2,0),""))))))),"")</f>
        <v/>
      </c>
      <c r="F19" s="78" t="str">
        <f>IFERROR(UPPER(IF(C19="CPU",VLOOKUP(D19,#REF!,3,0),IF(C19="SINAPI",VLOOKUP(D19,#REF!,3,0),IF(C19="EDIF",VLOOKUP(D19,#REF!,3,0),IF(C19="CPOS",VLOOKUP(D19,#REF!,4,0),IF(C19="FDE",VLOOKUP(D19,#REF!,3,0),IF(C19="INFRA",VLOOKUP(D19,#REF!,3,0),""))))))),"")</f>
        <v/>
      </c>
      <c r="G19" s="936"/>
      <c r="H19" s="937"/>
      <c r="I19" s="938"/>
      <c r="J19" s="939" t="str">
        <f>IFERROR(IF(C19="CPU",VLOOKUP(D19,#REF!,4,0),IF(C19="SINAPI",VLOOKUP(D19,#REF!,5,0),IF(C19="EDIF",VLOOKUP(D19,#REF!,4,0),IF(C19="CPOS",VLOOKUP(D19,#REF!,7,0),IF(C19="FDE",VLOOKUP(D19,#REF!,5,0),IF(C19="INFRA",VLOOKUP(D19,#REF!,4,0),""))))))*VLOOKUP(C19,#REF!,3,0),"")</f>
        <v/>
      </c>
      <c r="K19" s="938">
        <f t="shared" si="1"/>
        <v>0</v>
      </c>
      <c r="L19" s="939" t="str">
        <f t="shared" si="2"/>
        <v/>
      </c>
      <c r="M19" s="940"/>
    </row>
    <row r="20" spans="1:13" s="25" customFormat="1" ht="27" customHeight="1">
      <c r="B20" s="933"/>
      <c r="C20" s="933"/>
      <c r="D20" s="934"/>
      <c r="E20" s="935" t="str">
        <f>IFERROR(UPPER(IF(C20="CPU",VLOOKUP(D20,#REF!,2,0),IF(C20="SINAPI",VLOOKUP(D20,#REF!,2,0),IF(C20="EDIF",VLOOKUP(D20,#REF!,2,0),IF(C20="CPOS",VLOOKUP(D20,#REF!,3,0),IF(C20="FDE",VLOOKUP(D20,#REF!,2,0),IF(C20="INFRA",VLOOKUP(D20,#REF!,2,0),""))))))),"")</f>
        <v/>
      </c>
      <c r="F20" s="78" t="str">
        <f>IFERROR(UPPER(IF(C20="CPU",VLOOKUP(D20,#REF!,3,0),IF(C20="SINAPI",VLOOKUP(D20,#REF!,3,0),IF(C20="EDIF",VLOOKUP(D20,#REF!,3,0),IF(C20="CPOS",VLOOKUP(D20,#REF!,4,0),IF(C20="FDE",VLOOKUP(D20,#REF!,3,0),IF(C20="INFRA",VLOOKUP(D20,#REF!,3,0),""))))))),"")</f>
        <v/>
      </c>
      <c r="G20" s="936"/>
      <c r="H20" s="937"/>
      <c r="I20" s="938"/>
      <c r="J20" s="939" t="str">
        <f>IFERROR(IF(C20="CPU",VLOOKUP(D20,#REF!,4,0),IF(C20="SINAPI",VLOOKUP(D20,#REF!,5,0),IF(C20="EDIF",VLOOKUP(D20,#REF!,4,0),IF(C20="CPOS",VLOOKUP(D20,#REF!,7,0),IF(C20="FDE",VLOOKUP(D20,#REF!,5,0),IF(C20="INFRA",VLOOKUP(D20,#REF!,4,0),""))))))*VLOOKUP(C20,#REF!,3,0),"")</f>
        <v/>
      </c>
      <c r="K20" s="938">
        <f t="shared" si="1"/>
        <v>0</v>
      </c>
      <c r="L20" s="939" t="str">
        <f t="shared" si="2"/>
        <v/>
      </c>
      <c r="M20" s="940"/>
    </row>
    <row r="21" spans="1:13" s="25" customFormat="1" ht="27" customHeight="1">
      <c r="B21" s="933"/>
      <c r="C21" s="933"/>
      <c r="D21" s="934"/>
      <c r="E21" s="935" t="str">
        <f>IFERROR(UPPER(IF(C21="CPU",VLOOKUP(D21,#REF!,2,0),IF(C21="SINAPI",VLOOKUP(D21,#REF!,2,0),IF(C21="EDIF",VLOOKUP(D21,#REF!,2,0),IF(C21="CPOS",VLOOKUP(D21,#REF!,3,0),IF(C21="FDE",VLOOKUP(D21,#REF!,2,0),IF(C21="INFRA",VLOOKUP(D21,#REF!,2,0),""))))))),"")</f>
        <v/>
      </c>
      <c r="F21" s="78" t="str">
        <f>IFERROR(UPPER(IF(C21="CPU",VLOOKUP(D21,#REF!,3,0),IF(C21="SINAPI",VLOOKUP(D21,#REF!,3,0),IF(C21="EDIF",VLOOKUP(D21,#REF!,3,0),IF(C21="CPOS",VLOOKUP(D21,#REF!,4,0),IF(C21="FDE",VLOOKUP(D21,#REF!,3,0),IF(C21="INFRA",VLOOKUP(D21,#REF!,3,0),""))))))),"")</f>
        <v/>
      </c>
      <c r="G21" s="936"/>
      <c r="H21" s="937"/>
      <c r="I21" s="938"/>
      <c r="J21" s="939" t="str">
        <f>IFERROR(IF(C21="CPU",VLOOKUP(D21,#REF!,4,0),IF(C21="SINAPI",VLOOKUP(D21,#REF!,5,0),IF(C21="EDIF",VLOOKUP(D21,#REF!,4,0),IF(C21="CPOS",VLOOKUP(D21,#REF!,7,0),IF(C21="FDE",VLOOKUP(D21,#REF!,5,0),IF(C21="INFRA",VLOOKUP(D21,#REF!,4,0),""))))))*VLOOKUP(C21,#REF!,3,0),"")</f>
        <v/>
      </c>
      <c r="K21" s="938">
        <f t="shared" si="1"/>
        <v>0</v>
      </c>
      <c r="L21" s="939" t="str">
        <f t="shared" si="2"/>
        <v/>
      </c>
      <c r="M21" s="940"/>
    </row>
    <row r="22" spans="1:13" s="25" customFormat="1" ht="27" customHeight="1">
      <c r="B22" s="933"/>
      <c r="C22" s="933"/>
      <c r="D22" s="934"/>
      <c r="E22" s="935" t="str">
        <f>IFERROR(UPPER(IF(C22="CPU",VLOOKUP(D22,#REF!,2,0),IF(C22="SINAPI",VLOOKUP(D22,#REF!,2,0),IF(C22="EDIF",VLOOKUP(D22,#REF!,2,0),IF(C22="CPOS",VLOOKUP(D22,#REF!,3,0),IF(C22="FDE",VLOOKUP(D22,#REF!,2,0),IF(C22="INFRA",VLOOKUP(D22,#REF!,2,0),""))))))),"")</f>
        <v/>
      </c>
      <c r="F22" s="78" t="str">
        <f>IFERROR(UPPER(IF(C22="CPU",VLOOKUP(D22,#REF!,3,0),IF(C22="SINAPI",VLOOKUP(D22,#REF!,3,0),IF(C22="EDIF",VLOOKUP(D22,#REF!,3,0),IF(C22="CPOS",VLOOKUP(D22,#REF!,4,0),IF(C22="FDE",VLOOKUP(D22,#REF!,3,0),IF(C22="INFRA",VLOOKUP(D22,#REF!,3,0),""))))))),"")</f>
        <v/>
      </c>
      <c r="G22" s="936"/>
      <c r="H22" s="937"/>
      <c r="I22" s="938"/>
      <c r="J22" s="939" t="str">
        <f>IFERROR(IF(C22="CPU",VLOOKUP(D22,#REF!,4,0),IF(C22="SINAPI",VLOOKUP(D22,#REF!,5,0),IF(C22="EDIF",VLOOKUP(D22,#REF!,4,0),IF(C22="CPOS",VLOOKUP(D22,#REF!,7,0),IF(C22="FDE",VLOOKUP(D22,#REF!,5,0),IF(C22="INFRA",VLOOKUP(D22,#REF!,4,0),""))))))*VLOOKUP(C22,#REF!,3,0),"")</f>
        <v/>
      </c>
      <c r="K22" s="938">
        <f t="shared" si="1"/>
        <v>0</v>
      </c>
      <c r="L22" s="939" t="str">
        <f t="shared" si="2"/>
        <v/>
      </c>
      <c r="M22" s="940"/>
    </row>
    <row r="23" spans="1:13" s="25" customFormat="1" ht="27" customHeight="1">
      <c r="B23" s="933"/>
      <c r="C23" s="933"/>
      <c r="D23" s="934"/>
      <c r="E23" s="935" t="str">
        <f>IFERROR(UPPER(IF(C23="CPU",VLOOKUP(D23,#REF!,2,0),IF(C23="SINAPI",VLOOKUP(D23,#REF!,2,0),IF(C23="EDIF",VLOOKUP(D23,#REF!,2,0),IF(C23="CPOS",VLOOKUP(D23,#REF!,3,0),IF(C23="FDE",VLOOKUP(D23,#REF!,2,0),IF(C23="INFRA",VLOOKUP(D23,#REF!,2,0),""))))))),"")</f>
        <v/>
      </c>
      <c r="F23" s="78" t="str">
        <f>IFERROR(UPPER(IF(C23="CPU",VLOOKUP(D23,#REF!,3,0),IF(C23="SINAPI",VLOOKUP(D23,#REF!,3,0),IF(C23="EDIF",VLOOKUP(D23,#REF!,3,0),IF(C23="CPOS",VLOOKUP(D23,#REF!,4,0),IF(C23="FDE",VLOOKUP(D23,#REF!,3,0),IF(C23="INFRA",VLOOKUP(D23,#REF!,3,0),""))))))),"")</f>
        <v/>
      </c>
      <c r="G23" s="936"/>
      <c r="H23" s="937"/>
      <c r="I23" s="938"/>
      <c r="J23" s="939" t="str">
        <f>IFERROR(IF(C23="CPU",VLOOKUP(D23,#REF!,4,0),IF(C23="SINAPI",VLOOKUP(D23,#REF!,5,0),IF(C23="EDIF",VLOOKUP(D23,#REF!,4,0),IF(C23="CPOS",VLOOKUP(D23,#REF!,7,0),IF(C23="FDE",VLOOKUP(D23,#REF!,5,0),IF(C23="INFRA",VLOOKUP(D23,#REF!,4,0),""))))))*VLOOKUP(C23,#REF!,3,0),"")</f>
        <v/>
      </c>
      <c r="K23" s="938">
        <f t="shared" si="1"/>
        <v>0</v>
      </c>
      <c r="L23" s="939" t="str">
        <f t="shared" si="2"/>
        <v/>
      </c>
      <c r="M23" s="940"/>
    </row>
    <row r="24" spans="1:13" s="25" customFormat="1" ht="27" customHeight="1">
      <c r="B24" s="933"/>
      <c r="C24" s="933"/>
      <c r="D24" s="934"/>
      <c r="E24" s="935" t="str">
        <f>IFERROR(UPPER(IF(C24="CPU",VLOOKUP(D24,#REF!,2,0),IF(C24="SINAPI",VLOOKUP(D24,#REF!,2,0),IF(C24="EDIF",VLOOKUP(D24,#REF!,2,0),IF(C24="CPOS",VLOOKUP(D24,#REF!,3,0),IF(C24="FDE",VLOOKUP(D24,#REF!,2,0),IF(C24="INFRA",VLOOKUP(D24,#REF!,2,0),""))))))),"")</f>
        <v/>
      </c>
      <c r="F24" s="78" t="str">
        <f>IFERROR(UPPER(IF(C24="CPU",VLOOKUP(D24,#REF!,3,0),IF(C24="SINAPI",VLOOKUP(D24,#REF!,3,0),IF(C24="EDIF",VLOOKUP(D24,#REF!,3,0),IF(C24="CPOS",VLOOKUP(D24,#REF!,4,0),IF(C24="FDE",VLOOKUP(D24,#REF!,3,0),IF(C24="INFRA",VLOOKUP(D24,#REF!,3,0),""))))))),"")</f>
        <v/>
      </c>
      <c r="G24" s="936"/>
      <c r="H24" s="937"/>
      <c r="I24" s="938"/>
      <c r="J24" s="939" t="str">
        <f>IFERROR(IF(C24="CPU",VLOOKUP(D24,#REF!,4,0),IF(C24="SINAPI",VLOOKUP(D24,#REF!,5,0),IF(C24="EDIF",VLOOKUP(D24,#REF!,4,0),IF(C24="CPOS",VLOOKUP(D24,#REF!,7,0),IF(C24="FDE",VLOOKUP(D24,#REF!,5,0),IF(C24="INFRA",VLOOKUP(D24,#REF!,4,0),""))))))*VLOOKUP(C24,#REF!,3,0),"")</f>
        <v/>
      </c>
      <c r="K24" s="938">
        <f t="shared" si="1"/>
        <v>0</v>
      </c>
      <c r="L24" s="939" t="str">
        <f t="shared" si="2"/>
        <v/>
      </c>
      <c r="M24" s="940"/>
    </row>
    <row r="25" spans="1:13" s="25" customFormat="1" ht="27" customHeight="1">
      <c r="B25" s="933"/>
      <c r="C25" s="933"/>
      <c r="D25" s="934"/>
      <c r="E25" s="935" t="str">
        <f>IFERROR(UPPER(IF(C25="CPU",VLOOKUP(D25,#REF!,2,0),IF(C25="SINAPI",VLOOKUP(D25,#REF!,2,0),IF(C25="EDIF",VLOOKUP(D25,#REF!,2,0),IF(C25="CPOS",VLOOKUP(D25,#REF!,3,0),IF(C25="FDE",VLOOKUP(D25,#REF!,2,0),IF(C25="INFRA",VLOOKUP(D25,#REF!,2,0),""))))))),"")</f>
        <v/>
      </c>
      <c r="F25" s="78" t="str">
        <f>IFERROR(UPPER(IF(C25="CPU",VLOOKUP(D25,#REF!,3,0),IF(C25="SINAPI",VLOOKUP(D25,#REF!,3,0),IF(C25="EDIF",VLOOKUP(D25,#REF!,3,0),IF(C25="CPOS",VLOOKUP(D25,#REF!,4,0),IF(C25="FDE",VLOOKUP(D25,#REF!,3,0),IF(C25="INFRA",VLOOKUP(D25,#REF!,3,0),""))))))),"")</f>
        <v/>
      </c>
      <c r="G25" s="936"/>
      <c r="H25" s="937"/>
      <c r="I25" s="938"/>
      <c r="J25" s="939" t="str">
        <f>IFERROR(IF(C25="CPU",VLOOKUP(D25,#REF!,4,0),IF(C25="SINAPI",VLOOKUP(D25,#REF!,5,0),IF(C25="EDIF",VLOOKUP(D25,#REF!,4,0),IF(C25="CPOS",VLOOKUP(D25,#REF!,7,0),IF(C25="FDE",VLOOKUP(D25,#REF!,5,0),IF(C25="INFRA",VLOOKUP(D25,#REF!,4,0),""))))))*VLOOKUP(C25,#REF!,3,0),"")</f>
        <v/>
      </c>
      <c r="K25" s="938">
        <f t="shared" si="1"/>
        <v>0</v>
      </c>
      <c r="L25" s="939" t="str">
        <f t="shared" si="2"/>
        <v/>
      </c>
      <c r="M25" s="940"/>
    </row>
    <row r="26" spans="1:13" ht="27" customHeight="1">
      <c r="A26" s="25"/>
      <c r="B26" s="933"/>
      <c r="C26" s="933"/>
      <c r="D26" s="934"/>
      <c r="E26" s="935" t="str">
        <f>IFERROR(UPPER(IF(C26="CPU",VLOOKUP(D26,#REF!,2,0),IF(C26="SINAPI",VLOOKUP(D26,#REF!,2,0),IF(C26="EDIF",VLOOKUP(D26,#REF!,2,0),IF(C26="CPOS",VLOOKUP(D26,#REF!,3,0),IF(C26="FDE",VLOOKUP(D26,#REF!,2,0),IF(C26="INFRA",VLOOKUP(D26,#REF!,2,0),""))))))),"")</f>
        <v/>
      </c>
      <c r="F26" s="78" t="str">
        <f>IFERROR(UPPER(IF(C26="CPU",VLOOKUP(D26,#REF!,3,0),IF(C26="SINAPI",VLOOKUP(D26,#REF!,3,0),IF(C26="EDIF",VLOOKUP(D26,#REF!,3,0),IF(C26="CPOS",VLOOKUP(D26,#REF!,4,0),IF(C26="FDE",VLOOKUP(D26,#REF!,3,0),IF(C26="INFRA",VLOOKUP(D26,#REF!,3,0),""))))))),"")</f>
        <v/>
      </c>
      <c r="G26" s="936"/>
      <c r="H26" s="937"/>
      <c r="I26" s="938"/>
      <c r="J26" s="939" t="str">
        <f>IFERROR(IF(C26="CPU",VLOOKUP(D26,#REF!,4,0),IF(C26="SINAPI",VLOOKUP(D26,#REF!,5,0),IF(C26="EDIF",VLOOKUP(D26,#REF!,4,0),IF(C26="CPOS",VLOOKUP(D26,#REF!,7,0),IF(C26="FDE",VLOOKUP(D26,#REF!,5,0),IF(C26="INFRA",VLOOKUP(D26,#REF!,4,0),""))))))*VLOOKUP(C26,#REF!,3,0),"")</f>
        <v/>
      </c>
      <c r="K26" s="938">
        <f t="shared" si="1"/>
        <v>0</v>
      </c>
      <c r="L26" s="939" t="str">
        <f t="shared" si="2"/>
        <v/>
      </c>
      <c r="M26" s="940"/>
    </row>
    <row r="27" spans="1:13" ht="27" customHeight="1">
      <c r="A27" s="25"/>
      <c r="B27" s="933"/>
      <c r="C27" s="933"/>
      <c r="D27" s="934"/>
      <c r="E27" s="935" t="str">
        <f>IFERROR(UPPER(IF(C27="CPU",VLOOKUP(D27,#REF!,2,0),IF(C27="SINAPI",VLOOKUP(D27,#REF!,2,0),IF(C27="EDIF",VLOOKUP(D27,#REF!,2,0),IF(C27="CPOS",VLOOKUP(D27,#REF!,3,0),IF(C27="FDE",VLOOKUP(D27,#REF!,2,0),IF(C27="INFRA",VLOOKUP(D27,#REF!,2,0),""))))))),"")</f>
        <v/>
      </c>
      <c r="F27" s="78" t="str">
        <f>IFERROR(UPPER(IF(C27="CPU",VLOOKUP(D27,#REF!,3,0),IF(C27="SINAPI",VLOOKUP(D27,#REF!,3,0),IF(C27="EDIF",VLOOKUP(D27,#REF!,3,0),IF(C27="CPOS",VLOOKUP(D27,#REF!,4,0),IF(C27="FDE",VLOOKUP(D27,#REF!,3,0),IF(C27="INFRA",VLOOKUP(D27,#REF!,3,0),""))))))),"")</f>
        <v/>
      </c>
      <c r="G27" s="936"/>
      <c r="H27" s="937"/>
      <c r="I27" s="938"/>
      <c r="J27" s="939" t="str">
        <f>IFERROR(IF(C27="CPU",VLOOKUP(D27,#REF!,4,0),IF(C27="SINAPI",VLOOKUP(D27,#REF!,5,0),IF(C27="EDIF",VLOOKUP(D27,#REF!,4,0),IF(C27="CPOS",VLOOKUP(D27,#REF!,7,0),IF(C27="FDE",VLOOKUP(D27,#REF!,5,0),IF(C27="INFRA",VLOOKUP(D27,#REF!,4,0),""))))))*VLOOKUP(C27,#REF!,3,0),"")</f>
        <v/>
      </c>
      <c r="K27" s="938">
        <f t="shared" si="1"/>
        <v>0</v>
      </c>
      <c r="L27" s="939" t="str">
        <f t="shared" si="2"/>
        <v/>
      </c>
      <c r="M27" s="940"/>
    </row>
    <row r="28" spans="1:13" ht="27" customHeight="1">
      <c r="A28" s="25"/>
      <c r="B28" s="933"/>
      <c r="C28" s="933"/>
      <c r="D28" s="934"/>
      <c r="E28" s="935" t="str">
        <f>IFERROR(UPPER(IF(C28="CPU",VLOOKUP(D28,#REF!,2,0),IF(C28="SINAPI",VLOOKUP(D28,#REF!,2,0),IF(C28="EDIF",VLOOKUP(D28,#REF!,2,0),IF(C28="CPOS",VLOOKUP(D28,#REF!,3,0),IF(C28="FDE",VLOOKUP(D28,#REF!,2,0),IF(C28="INFRA",VLOOKUP(D28,#REF!,2,0),""))))))),"")</f>
        <v/>
      </c>
      <c r="F28" s="78" t="str">
        <f>IFERROR(UPPER(IF(C28="CPU",VLOOKUP(D28,#REF!,3,0),IF(C28="SINAPI",VLOOKUP(D28,#REF!,3,0),IF(C28="EDIF",VLOOKUP(D28,#REF!,3,0),IF(C28="CPOS",VLOOKUP(D28,#REF!,4,0),IF(C28="FDE",VLOOKUP(D28,#REF!,3,0),IF(C28="INFRA",VLOOKUP(D28,#REF!,3,0),""))))))),"")</f>
        <v/>
      </c>
      <c r="G28" s="936"/>
      <c r="H28" s="937"/>
      <c r="I28" s="938"/>
      <c r="J28" s="939" t="str">
        <f>IFERROR(IF(C28="CPU",VLOOKUP(D28,#REF!,4,0),IF(C28="SINAPI",VLOOKUP(D28,#REF!,5,0),IF(C28="EDIF",VLOOKUP(D28,#REF!,4,0),IF(C28="CPOS",VLOOKUP(D28,#REF!,7,0),IF(C28="FDE",VLOOKUP(D28,#REF!,5,0),IF(C28="INFRA",VLOOKUP(D28,#REF!,4,0),""))))))*VLOOKUP(C28,#REF!,3,0),"")</f>
        <v/>
      </c>
      <c r="K28" s="938">
        <f t="shared" si="1"/>
        <v>0</v>
      </c>
      <c r="L28" s="939" t="str">
        <f t="shared" si="2"/>
        <v/>
      </c>
      <c r="M28" s="940"/>
    </row>
  </sheetData>
  <autoFilter ref="B2:K7" xr:uid="{00000000-0009-0000-0000-00000C000000}"/>
  <printOptions horizontalCentered="1"/>
  <pageMargins left="0.27569444444444402" right="0.27569444444444402" top="0.59027777777777801" bottom="0.86597222222222203" header="0.511811023622047" footer="0.196527777777778"/>
  <pageSetup paperSize="9" scale="56" orientation="landscape" horizontalDpi="300" verticalDpi="300" r:id="rId1"/>
  <headerFooter>
    <oddFooter>&amp;C&amp;P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0066CC"/>
    <pageSetUpPr fitToPage="1"/>
  </sheetPr>
  <dimension ref="A1:L653"/>
  <sheetViews>
    <sheetView view="pageBreakPreview" zoomScale="90" zoomScaleNormal="80" zoomScalePageLayoutView="90" workbookViewId="0">
      <selection activeCell="G7" sqref="G7"/>
    </sheetView>
  </sheetViews>
  <sheetFormatPr defaultColWidth="11.88671875" defaultRowHeight="13.2"/>
  <cols>
    <col min="1" max="2" width="10" style="16" customWidth="1"/>
    <col min="3" max="3" width="10" style="17" customWidth="1"/>
    <col min="4" max="4" width="101.33203125" style="16" customWidth="1"/>
    <col min="5" max="5" width="11.44140625" style="18" customWidth="1"/>
    <col min="6" max="6" width="15.5546875" style="19" customWidth="1"/>
    <col min="7" max="7" width="16.109375" style="20" customWidth="1"/>
    <col min="8" max="8" width="12.44140625" style="80" customWidth="1"/>
    <col min="9" max="10" width="20.5546875" style="19" customWidth="1"/>
    <col min="11" max="11" width="20.109375" style="15" customWidth="1"/>
    <col min="12" max="12" width="14.88671875" style="22" customWidth="1"/>
    <col min="13" max="16384" width="11.88671875" style="15"/>
  </cols>
  <sheetData>
    <row r="1" spans="1:12" ht="17.399999999999999">
      <c r="A1" s="1410" t="s">
        <v>1416</v>
      </c>
      <c r="B1" s="1410"/>
      <c r="C1" s="1410"/>
      <c r="D1" s="1410"/>
      <c r="E1" s="1410"/>
      <c r="F1" s="1410"/>
      <c r="G1" s="1410"/>
      <c r="H1" s="1285"/>
      <c r="I1" s="1285"/>
      <c r="J1" s="941"/>
    </row>
    <row r="2" spans="1:12" ht="15.75" customHeight="1">
      <c r="A2" s="256"/>
      <c r="B2" s="257"/>
      <c r="C2" s="942"/>
      <c r="D2" s="258" t="s">
        <v>1417</v>
      </c>
      <c r="E2" s="259"/>
      <c r="F2" s="259"/>
      <c r="G2" s="943"/>
      <c r="H2" s="1285"/>
      <c r="I2" s="1285"/>
      <c r="J2" s="941"/>
    </row>
    <row r="3" spans="1:12" ht="12.75" customHeight="1">
      <c r="A3" s="262"/>
      <c r="B3" s="263"/>
      <c r="C3" s="944"/>
      <c r="D3" s="1286" t="s">
        <v>5559</v>
      </c>
      <c r="E3" s="264"/>
      <c r="F3" s="264"/>
      <c r="G3" s="945"/>
      <c r="H3" s="1285"/>
      <c r="I3" s="1285"/>
      <c r="J3" s="941"/>
    </row>
    <row r="4" spans="1:12" ht="12.75" customHeight="1">
      <c r="A4" s="266"/>
      <c r="B4" s="946"/>
      <c r="C4" s="268"/>
      <c r="D4" s="1286"/>
      <c r="E4" s="268"/>
      <c r="F4" s="268"/>
      <c r="G4" s="947"/>
      <c r="H4" s="1285"/>
      <c r="I4" s="1285"/>
      <c r="J4" s="941"/>
    </row>
    <row r="5" spans="1:12" s="22" customFormat="1" ht="17.399999999999999">
      <c r="A5" s="270"/>
      <c r="B5" s="948"/>
      <c r="C5" s="271"/>
      <c r="D5" s="272" t="s">
        <v>1419</v>
      </c>
      <c r="E5" s="272"/>
      <c r="F5" s="273"/>
      <c r="G5" s="949"/>
      <c r="H5" s="1285"/>
      <c r="I5" s="1285"/>
      <c r="J5" s="941"/>
    </row>
    <row r="6" spans="1:12" ht="12.75" customHeight="1">
      <c r="A6" s="262"/>
      <c r="B6" s="263"/>
      <c r="C6" s="944"/>
      <c r="D6" s="1287" t="str">
        <f>D12</f>
        <v>HOSPITAL ANCHIETA</v>
      </c>
      <c r="E6" s="950"/>
      <c r="F6" s="951"/>
      <c r="G6" s="951"/>
      <c r="H6" s="1285"/>
      <c r="I6" s="1285"/>
      <c r="J6" s="941"/>
    </row>
    <row r="7" spans="1:12" ht="17.399999999999999">
      <c r="A7" s="279"/>
      <c r="B7" s="952"/>
      <c r="C7" s="280"/>
      <c r="D7" s="1287"/>
      <c r="E7" s="280"/>
      <c r="F7" s="953"/>
      <c r="G7" s="947"/>
      <c r="H7" s="1285"/>
      <c r="I7" s="1285"/>
      <c r="J7" s="941"/>
    </row>
    <row r="8" spans="1:12" ht="12" customHeight="1">
      <c r="A8" s="262"/>
      <c r="B8" s="263"/>
      <c r="C8" s="944"/>
      <c r="D8" s="1288" t="s">
        <v>5560</v>
      </c>
      <c r="E8" s="954" t="s">
        <v>5561</v>
      </c>
      <c r="F8" s="955">
        <v>43545</v>
      </c>
      <c r="G8" s="956"/>
      <c r="H8" s="1285"/>
      <c r="I8" s="1285"/>
      <c r="J8" s="941"/>
    </row>
    <row r="9" spans="1:12" s="24" customFormat="1" ht="12" customHeight="1">
      <c r="A9" s="288"/>
      <c r="B9" s="289"/>
      <c r="C9" s="957"/>
      <c r="D9" s="1288"/>
      <c r="E9" s="290"/>
      <c r="F9" s="291"/>
      <c r="G9" s="958"/>
      <c r="H9" s="1285"/>
      <c r="I9" s="1285"/>
      <c r="J9" s="941"/>
      <c r="K9" s="15"/>
      <c r="L9" s="22"/>
    </row>
    <row r="10" spans="1:12" s="300" customFormat="1" ht="15" customHeight="1">
      <c r="A10" s="293"/>
      <c r="B10" s="294"/>
      <c r="C10" s="959"/>
      <c r="D10" s="295"/>
      <c r="E10" s="296"/>
      <c r="F10" s="297"/>
      <c r="G10" s="960"/>
      <c r="H10" s="1285"/>
      <c r="I10" s="1285"/>
      <c r="J10" s="941"/>
      <c r="K10" s="15"/>
      <c r="L10" s="22"/>
    </row>
    <row r="11" spans="1:12" s="300" customFormat="1" ht="13.8">
      <c r="A11" s="1411"/>
      <c r="B11" s="1411"/>
      <c r="C11" s="1411"/>
      <c r="D11" s="1411"/>
      <c r="E11" s="1411"/>
      <c r="F11" s="1411"/>
      <c r="G11" s="1411"/>
      <c r="H11" s="1411"/>
      <c r="I11" s="1411"/>
      <c r="J11" s="961"/>
      <c r="K11" s="15"/>
      <c r="L11" s="22"/>
    </row>
    <row r="12" spans="1:12" s="25" customFormat="1" ht="40.5" customHeight="1">
      <c r="A12" s="32" t="s">
        <v>10</v>
      </c>
      <c r="B12" s="33" t="s">
        <v>11</v>
      </c>
      <c r="C12" s="34" t="s">
        <v>12</v>
      </c>
      <c r="D12" s="35" t="s">
        <v>5562</v>
      </c>
      <c r="E12" s="36" t="s">
        <v>14</v>
      </c>
      <c r="F12" s="37" t="s">
        <v>15</v>
      </c>
      <c r="G12" s="38" t="s">
        <v>5563</v>
      </c>
      <c r="H12" s="39" t="s">
        <v>17</v>
      </c>
      <c r="I12" s="37" t="s">
        <v>19</v>
      </c>
      <c r="J12" s="962"/>
      <c r="K12" s="24"/>
      <c r="L12" s="42"/>
    </row>
    <row r="13" spans="1:12" s="974" customFormat="1" ht="27" customHeight="1">
      <c r="A13" s="963">
        <v>1</v>
      </c>
      <c r="B13" s="964"/>
      <c r="C13" s="965"/>
      <c r="D13" s="966" t="s">
        <v>4868</v>
      </c>
      <c r="E13" s="967"/>
      <c r="F13" s="968"/>
      <c r="G13" s="969" t="str">
        <f>IFERROR(IF(B13="CPU",VLOOKUP(C13,#REF!,4,0),IF(B13="SINAPI",VLOOKUP(C13,#REF!,5,0),IF(B13="EDIF",VLOOKUP(C13,#REF!,4,0),IF(B13="CPOS",VLOOKUP(C13,#REF!,7,0),IF(B13="FDE",VLOOKUP(C13,#REF!,5,0),"")))))*VLOOKUP(B13,#REF!,3,0),"")</f>
        <v/>
      </c>
      <c r="H13" s="970"/>
      <c r="I13" s="971">
        <f>SUM(I14+I21+I34+I49+I57+I62)</f>
        <v>432690.92700000003</v>
      </c>
      <c r="J13" s="972"/>
      <c r="K13" s="973"/>
      <c r="L13" s="932"/>
    </row>
    <row r="14" spans="1:12" s="25" customFormat="1" ht="27" customHeight="1">
      <c r="A14" s="975" t="s">
        <v>22</v>
      </c>
      <c r="B14" s="976"/>
      <c r="C14" s="976"/>
      <c r="D14" s="977" t="s">
        <v>4888</v>
      </c>
      <c r="E14" s="978" t="str">
        <f>IFERROR(UPPER(IF(B14="CPU",VLOOKUP(C14,#REF!,3,0),IF(B14="SINAPI",VLOOKUP(C14,#REF!,3,0),IF(B14="EDIF",VLOOKUP(C14,#REF!,3,0),IF(B14="CPOS",VLOOKUP(C14,#REF!,4,0),IF(B14="FDE",VLOOKUP(C14,#REF!,3,0),IF(B14="INFRA",VLOOKUP(C14,#REF!,3,0),""))))))),"")</f>
        <v/>
      </c>
      <c r="F14" s="979"/>
      <c r="G14" s="980" t="str">
        <f>IFERROR(IF(B14="CPU",VLOOKUP(C14,#REF!,4,0),IF(B14="SINAPI",VLOOKUP(C14,#REF!,5,0),IF(B14="EDIF",VLOOKUP(C14,#REF!,4,0),IF(B14="CPOS",VLOOKUP(C14,#REF!,7,0),IF(B14="FDE",VLOOKUP(C14,#REF!,5,0),IF(B14="INFRA",VLOOKUP(C14,#REF!,4,0),""))))))*VLOOKUP(B14,#REF!,3,0),"")</f>
        <v/>
      </c>
      <c r="H14" s="979"/>
      <c r="I14" s="981">
        <f>SUM(I15:I19)</f>
        <v>0</v>
      </c>
      <c r="J14" s="982"/>
      <c r="K14" s="973"/>
      <c r="L14" s="932"/>
    </row>
    <row r="15" spans="1:12" s="25" customFormat="1" ht="27" customHeight="1">
      <c r="A15" s="933" t="s">
        <v>25</v>
      </c>
      <c r="B15" s="933" t="s">
        <v>1479</v>
      </c>
      <c r="C15" s="983" t="s">
        <v>5564</v>
      </c>
      <c r="D15" s="984" t="str">
        <f>IFERROR(UPPER(IF(B15="CPU",VLOOKUP(C15,#REF!,2,0),IF(B15="SINAPI",VLOOKUP(C15,#REF!,2,0),IF(B15="EDIF",VLOOKUP(C15,#REF!,2,0),IF(B15="CPOS",VLOOKUP(C15,#REF!,3,0),IF(B15="FDE",VLOOKUP(C15,#REF!,2,0),IF(B15="INFRA",VLOOKUP(C15,#REF!,2,0),""))))))),"")</f>
        <v/>
      </c>
      <c r="E15" s="78" t="str">
        <f>IFERROR(UPPER(IF(B15="CPU",VLOOKUP(C15,#REF!,3,0),IF(B15="SINAPI",VLOOKUP(C15,#REF!,3,0),IF(B15="EDIF",VLOOKUP(C15,#REF!,3,0),IF(B15="CPOS",VLOOKUP(C15,#REF!,4,0),IF(B15="FDE",VLOOKUP(C15,#REF!,3,0),IF(B15="INFRA",VLOOKUP(C15,#REF!,3,0),""))))))),"")</f>
        <v/>
      </c>
      <c r="F15" s="936">
        <v>48</v>
      </c>
      <c r="G15" s="985" t="str">
        <f>IFERROR(IF(B15="CPU",VLOOKUP(C15,#REF!,4,0),IF(B15="SINAPI",VLOOKUP(C15,#REF!,5,0),IF(B15="EDIF",VLOOKUP(C15,#REF!,4,0),IF(B15="CPOS",VLOOKUP(C15,#REF!,7,0),IF(B15="FDE",VLOOKUP(C15,#REF!,5,0),IF(B15="INFRA",VLOOKUP(C15,#REF!,4,0),""))))))*VLOOKUP(B15,#REF!,3,0),"")</f>
        <v/>
      </c>
      <c r="H15" s="986">
        <v>0.25</v>
      </c>
      <c r="I15" s="987" t="str">
        <f>IFERROR(F15*((G15*(1+H15))),"")</f>
        <v/>
      </c>
      <c r="J15" s="988">
        <v>22028.400000000001</v>
      </c>
      <c r="K15" s="52"/>
      <c r="L15" s="940"/>
    </row>
    <row r="16" spans="1:12" s="25" customFormat="1" ht="27" customHeight="1">
      <c r="A16" s="933" t="s">
        <v>4873</v>
      </c>
      <c r="B16" s="933" t="s">
        <v>5543</v>
      </c>
      <c r="C16" s="983" t="s">
        <v>5546</v>
      </c>
      <c r="D16" s="984" t="str">
        <f>IFERROR(UPPER(IF(B16="CPU",VLOOKUP(C16,#REF!,2,0),IF(B16="SINAPI",VLOOKUP(C16,#REF!,2,0),IF(B16="EDIF",VLOOKUP(C16,#REF!,2,0),IF(B16="CPOS",VLOOKUP(C16,#REF!,3,0),IF(B16="FDE",VLOOKUP(C16,#REF!,2,0),IF(B16="INFRA",VLOOKUP(C16,#REF!,2,0),""))))))),"")</f>
        <v/>
      </c>
      <c r="E16" s="78" t="str">
        <f>IFERROR(UPPER(IF(B16="CPU",VLOOKUP(C16,#REF!,3,0),IF(B16="SINAPI",VLOOKUP(C16,#REF!,3,0),IF(B16="EDIF",VLOOKUP(C16,#REF!,3,0),IF(B16="CPOS",VLOOKUP(C16,#REF!,4,0),IF(B16="FDE",VLOOKUP(C16,#REF!,3,0),IF(B16="INFRA",VLOOKUP(C16,#REF!,3,0),""))))))),"")</f>
        <v/>
      </c>
      <c r="F16" s="989">
        <v>8</v>
      </c>
      <c r="G16" s="990" t="str">
        <f>IFERROR(IF(B16="CPU",VLOOKUP(C16,#REF!,4,0),IF(B16="SINAPI",VLOOKUP(C16,#REF!,5,0),IF(B16="EDIF",VLOOKUP(C16,#REF!,4,0),IF(B16="CPOS",VLOOKUP(C16,#REF!,7,0),IF(B16="FDE",VLOOKUP(C16,#REF!,5,0),IF(B16="INFRA",VLOOKUP(C16,#REF!,4,0),""))))))*VLOOKUP(B16,#REF!,3,0),"")</f>
        <v/>
      </c>
      <c r="H16" s="986">
        <v>0.25</v>
      </c>
      <c r="I16" s="987" t="str">
        <f>IFERROR(F16*((G16*(1+H16))),"")</f>
        <v/>
      </c>
      <c r="J16" s="991">
        <v>300000</v>
      </c>
      <c r="K16" s="992"/>
      <c r="L16" s="993"/>
    </row>
    <row r="17" spans="1:12" s="25" customFormat="1" ht="27" customHeight="1">
      <c r="A17" s="933" t="s">
        <v>4876</v>
      </c>
      <c r="B17" s="933" t="s">
        <v>4908</v>
      </c>
      <c r="C17" s="983">
        <v>98458</v>
      </c>
      <c r="D17" s="984" t="str">
        <f>IFERROR(UPPER(IF(B17="CPU",VLOOKUP(C17,#REF!,2,0),IF(B17="SINAPI",VLOOKUP(C17,#REF!,2,0),IF(B17="EDIF",VLOOKUP(C17,#REF!,2,0),IF(B17="CPOS",VLOOKUP(C17,#REF!,3,0),IF(B17="FDE",VLOOKUP(C17,#REF!,2,0),IF(B17="INFRA",VLOOKUP(C17,#REF!,2,0),""))))))),"")</f>
        <v/>
      </c>
      <c r="E17" s="78" t="str">
        <f>IFERROR(UPPER(IF(B17="CPU",VLOOKUP(C17,#REF!,3,0),IF(B17="SINAPI",VLOOKUP(C17,#REF!,3,0),IF(B17="EDIF",VLOOKUP(C17,#REF!,3,0),IF(B17="CPOS",VLOOKUP(C17,#REF!,4,0),IF(B17="FDE",VLOOKUP(C17,#REF!,3,0),IF(B17="INFRA",VLOOKUP(C17,#REF!,3,0),""))))))),"")</f>
        <v/>
      </c>
      <c r="F17" s="936">
        <v>116.6</v>
      </c>
      <c r="G17" s="985" t="str">
        <f>IFERROR(IF(B17="CPU",VLOOKUP(C17,#REF!,4,0),IF(B17="SINAPI",VLOOKUP(C17,#REF!,5,0),IF(B17="EDIF",VLOOKUP(C17,#REF!,4,0),IF(B17="CPOS",VLOOKUP(C17,#REF!,7,0),IF(B17="FDE",VLOOKUP(C17,#REF!,5,0),IF(B17="INFRA",VLOOKUP(C17,#REF!,4,0),""))))))*VLOOKUP(B17,#REF!,3,0),"")</f>
        <v/>
      </c>
      <c r="H17" s="986">
        <v>0.25</v>
      </c>
      <c r="I17" s="987" t="str">
        <f>IFERROR(F17*((G17*(1+H17))),"")</f>
        <v/>
      </c>
      <c r="J17" s="988">
        <v>12699.1975</v>
      </c>
      <c r="K17" s="52"/>
      <c r="L17" s="940"/>
    </row>
    <row r="18" spans="1:12" s="25" customFormat="1" ht="27" customHeight="1">
      <c r="A18" s="933" t="s">
        <v>4878</v>
      </c>
      <c r="B18" s="933" t="s">
        <v>4908</v>
      </c>
      <c r="C18" s="983">
        <v>97051</v>
      </c>
      <c r="D18" s="984" t="str">
        <f>IFERROR(UPPER(IF(B18="CPU",VLOOKUP(C18,#REF!,2,0),IF(B18="SINAPI",VLOOKUP(C18,#REF!,2,0),IF(B18="EDIF",VLOOKUP(C18,#REF!,2,0),IF(B18="CPOS",VLOOKUP(C18,#REF!,3,0),IF(B18="FDE",VLOOKUP(C18,#REF!,2,0),IF(B18="INFRA",VLOOKUP(C18,#REF!,2,0),""))))))),"")</f>
        <v/>
      </c>
      <c r="E18" s="78" t="str">
        <f>IFERROR(UPPER(IF(B18="CPU",VLOOKUP(C18,#REF!,3,0),IF(B18="SINAPI",VLOOKUP(C18,#REF!,3,0),IF(B18="EDIF",VLOOKUP(C18,#REF!,3,0),IF(B18="CPOS",VLOOKUP(C18,#REF!,4,0),IF(B18="FDE",VLOOKUP(C18,#REF!,3,0),IF(B18="INFRA",VLOOKUP(C18,#REF!,3,0),""))))))),"")</f>
        <v/>
      </c>
      <c r="F18" s="936">
        <v>200</v>
      </c>
      <c r="G18" s="985" t="str">
        <f>IFERROR(IF(B18="CPU",VLOOKUP(C18,#REF!,4,0),IF(B18="SINAPI",VLOOKUP(C18,#REF!,5,0),IF(B18="EDIF",VLOOKUP(C18,#REF!,4,0),IF(B18="CPOS",VLOOKUP(C18,#REF!,7,0),IF(B18="FDE",VLOOKUP(C18,#REF!,5,0),IF(B18="INFRA",VLOOKUP(C18,#REF!,4,0),""))))))*VLOOKUP(B18,#REF!,3,0),"")</f>
        <v/>
      </c>
      <c r="H18" s="986">
        <v>0.25</v>
      </c>
      <c r="I18" s="987" t="str">
        <f>IFERROR(F18*((G18*(1+H18))),"")</f>
        <v/>
      </c>
      <c r="J18" s="988">
        <v>140</v>
      </c>
      <c r="K18" s="52"/>
      <c r="L18" s="940"/>
    </row>
    <row r="19" spans="1:12" s="25" customFormat="1" ht="27" customHeight="1">
      <c r="A19" s="933" t="s">
        <v>4880</v>
      </c>
      <c r="B19" s="933" t="s">
        <v>5543</v>
      </c>
      <c r="C19" s="983" t="s">
        <v>5544</v>
      </c>
      <c r="D19" s="984" t="str">
        <f>IFERROR(UPPER(IF(B19="CPU",VLOOKUP(C19,#REF!,2,0),IF(B19="SINAPI",VLOOKUP(C19,#REF!,2,0),IF(B19="EDIF",VLOOKUP(C19,#REF!,2,0),IF(B19="CPOS",VLOOKUP(C19,#REF!,3,0),IF(B19="FDE",VLOOKUP(C19,#REF!,2,0),IF(B19="INFRA",VLOOKUP(C19,#REF!,2,0),""))))))),"")</f>
        <v/>
      </c>
      <c r="E19" s="78" t="str">
        <f>IFERROR(UPPER(IF(B19="CPU",VLOOKUP(C19,#REF!,3,0),IF(B19="SINAPI",VLOOKUP(C19,#REF!,3,0),IF(B19="EDIF",VLOOKUP(C19,#REF!,3,0),IF(B19="CPOS",VLOOKUP(C19,#REF!,4,0),IF(B19="FDE",VLOOKUP(C19,#REF!,3,0),IF(B19="INFRA",VLOOKUP(C19,#REF!,3,0),""))))))),"")</f>
        <v/>
      </c>
      <c r="F19" s="936">
        <v>8</v>
      </c>
      <c r="G19" s="985" t="str">
        <f>IFERROR(IF(B19="CPU",VLOOKUP(C19,#REF!,4,0),IF(B19="SINAPI",VLOOKUP(C19,#REF!,5,0),IF(B19="EDIF",VLOOKUP(C19,#REF!,4,0),IF(B19="CPOS",VLOOKUP(C19,#REF!,7,0),IF(B19="FDE",VLOOKUP(C19,#REF!,5,0),IF(B19="INFRA",VLOOKUP(C19,#REF!,4,0),""))))))*VLOOKUP(B19,#REF!,3,0),"")</f>
        <v/>
      </c>
      <c r="H19" s="986">
        <v>0.25</v>
      </c>
      <c r="I19" s="987" t="str">
        <f>IFERROR(F19*((G19*(1+H19))),"")</f>
        <v/>
      </c>
      <c r="J19" s="988">
        <v>80312.899999999994</v>
      </c>
      <c r="K19" s="52"/>
      <c r="L19" s="940"/>
    </row>
    <row r="20" spans="1:12" s="25" customFormat="1" ht="27" customHeight="1">
      <c r="A20" s="933"/>
      <c r="B20" s="933"/>
      <c r="C20" s="983"/>
      <c r="D20" s="984"/>
      <c r="E20" s="78"/>
      <c r="F20" s="936"/>
      <c r="G20" s="985"/>
      <c r="H20" s="986"/>
      <c r="I20" s="987"/>
      <c r="J20" s="988"/>
      <c r="K20" s="52"/>
      <c r="L20" s="940"/>
    </row>
    <row r="21" spans="1:12" s="25" customFormat="1" ht="27" customHeight="1">
      <c r="A21" s="975" t="s">
        <v>28</v>
      </c>
      <c r="B21" s="976"/>
      <c r="C21" s="976"/>
      <c r="D21" s="977" t="s">
        <v>5565</v>
      </c>
      <c r="E21" s="978" t="str">
        <f>IFERROR(UPPER(IF(B21="CPU",VLOOKUP(C21,#REF!,3,0),IF(B21="SINAPI",VLOOKUP(C21,#REF!,3,0),IF(B21="EDIF",VLOOKUP(C21,#REF!,3,0),IF(B21="CPOS",VLOOKUP(C21,#REF!,4,0),IF(B21="FDE",VLOOKUP(C21,#REF!,3,0),IF(B21="INFRA",VLOOKUP(C21,#REF!,3,0),""))))))),"")</f>
        <v/>
      </c>
      <c r="F21" s="979"/>
      <c r="G21" s="980" t="str">
        <f>IFERROR(IF(B21="CPU",VLOOKUP(C21,#REF!,4,0),IF(B21="SINAPI",VLOOKUP(C21,#REF!,5,0),IF(B21="EDIF",VLOOKUP(C21,#REF!,4,0),IF(B21="CPOS",VLOOKUP(C21,#REF!,7,0),IF(B21="FDE",VLOOKUP(C21,#REF!,5,0),IF(B21="INFRA",VLOOKUP(C21,#REF!,4,0),""))))))*VLOOKUP(B21,#REF!,3,0),"")</f>
        <v/>
      </c>
      <c r="H21" s="979"/>
      <c r="I21" s="981">
        <f>SUM(I22:I31)</f>
        <v>400176</v>
      </c>
      <c r="J21" s="988"/>
      <c r="K21" s="52"/>
      <c r="L21" s="940"/>
    </row>
    <row r="22" spans="1:12" s="25" customFormat="1" ht="27" customHeight="1">
      <c r="A22" s="933" t="s">
        <v>31</v>
      </c>
      <c r="B22" s="933" t="s">
        <v>4908</v>
      </c>
      <c r="C22" s="983">
        <v>39814</v>
      </c>
      <c r="D22" s="984" t="s">
        <v>5566</v>
      </c>
      <c r="E22" s="78" t="s">
        <v>5567</v>
      </c>
      <c r="F22" s="936">
        <f>(8*30)*8*2</f>
        <v>3840</v>
      </c>
      <c r="G22" s="985">
        <v>49.78</v>
      </c>
      <c r="H22" s="986">
        <v>0.25</v>
      </c>
      <c r="I22" s="987">
        <f t="shared" ref="I22:I31" si="0">IFERROR(F22*((G22*(1+H22))),"")</f>
        <v>238944</v>
      </c>
      <c r="J22" s="988">
        <v>238944</v>
      </c>
      <c r="K22" s="52"/>
      <c r="L22" s="940"/>
    </row>
    <row r="23" spans="1:12" s="25" customFormat="1" ht="27" customHeight="1">
      <c r="A23" s="933" t="s">
        <v>33</v>
      </c>
      <c r="B23" s="933" t="s">
        <v>5568</v>
      </c>
      <c r="C23" s="994">
        <v>94260</v>
      </c>
      <c r="D23" s="984" t="s">
        <v>5569</v>
      </c>
      <c r="E23" s="78" t="s">
        <v>5567</v>
      </c>
      <c r="F23" s="936">
        <f>(8*30)*8</f>
        <v>1920</v>
      </c>
      <c r="G23" s="985">
        <v>67.180000000000007</v>
      </c>
      <c r="H23" s="986">
        <v>0.25</v>
      </c>
      <c r="I23" s="987">
        <f t="shared" si="0"/>
        <v>161232.00000000003</v>
      </c>
      <c r="J23" s="988">
        <v>161232</v>
      </c>
      <c r="K23" s="52"/>
      <c r="L23" s="940"/>
    </row>
    <row r="24" spans="1:12" s="25" customFormat="1" ht="27" customHeight="1">
      <c r="A24" s="933" t="s">
        <v>35</v>
      </c>
      <c r="B24" s="933" t="s">
        <v>4908</v>
      </c>
      <c r="C24" s="934">
        <v>90686</v>
      </c>
      <c r="D24" s="984" t="str">
        <f>IFERROR(UPPER(IF(B24="CPU",VLOOKUP(C24,#REF!,2,0),IF(B24="SINAPI",VLOOKUP(C24,#REF!,2,0),IF(B24="EDIF",VLOOKUP(C24,#REF!,2,0),IF(B24="CPOS",VLOOKUP(C24,#REF!,3,0),IF(B24="FDE",VLOOKUP(C24,#REF!,2,0),IF(B24="INFRA",VLOOKUP(C24,#REF!,2,0),""))))))),"")</f>
        <v/>
      </c>
      <c r="E24" s="78" t="str">
        <f>IFERROR(UPPER(IF(B24="CPU",VLOOKUP(C24,#REF!,3,0),IF(B24="SINAPI",VLOOKUP(C24,#REF!,3,0),IF(B24="EDIF",VLOOKUP(C24,#REF!,3,0),IF(B24="CPOS",VLOOKUP(C24,#REF!,4,0),IF(B24="FDE",VLOOKUP(C24,#REF!,3,0),IF(B24="INFRA",VLOOKUP(C24,#REF!,3,0),""))))))),"")</f>
        <v/>
      </c>
      <c r="F24" s="936">
        <f>(8*30)*6</f>
        <v>1440</v>
      </c>
      <c r="G24" s="985" t="str">
        <f>IFERROR(IF(B24="CPU",VLOOKUP(C24,#REF!,4,0),IF(B24="SINAPI",VLOOKUP(C24,#REF!,5,0),IF(B24="EDIF",VLOOKUP(C24,#REF!,4,0),IF(B24="CPOS",VLOOKUP(C24,#REF!,7,0),IF(B24="FDE",VLOOKUP(C24,#REF!,5,0),IF(B24="INFRA",VLOOKUP(C24,#REF!,4,0),""))))))*VLOOKUP(B24,#REF!,3,0),"")</f>
        <v/>
      </c>
      <c r="H24" s="986">
        <v>0.25</v>
      </c>
      <c r="I24" s="987" t="str">
        <f t="shared" si="0"/>
        <v/>
      </c>
      <c r="J24" s="988">
        <v>231894</v>
      </c>
      <c r="K24" s="52"/>
      <c r="L24" s="940"/>
    </row>
    <row r="25" spans="1:12" s="25" customFormat="1" ht="27" customHeight="1">
      <c r="A25" s="933" t="s">
        <v>4897</v>
      </c>
      <c r="B25" s="933" t="s">
        <v>4908</v>
      </c>
      <c r="C25" s="983">
        <v>97063</v>
      </c>
      <c r="D25" s="984" t="str">
        <f>IFERROR(UPPER(IF(B25="CPU",VLOOKUP(C25,#REF!,2,0),IF(B25="SINAPI",VLOOKUP(C25,#REF!,2,0),IF(B25="EDIF",VLOOKUP(C25,#REF!,2,0),IF(B25="CPOS",VLOOKUP(C25,#REF!,3,0),IF(B25="FDE",VLOOKUP(C25,#REF!,2,0),IF(B25="INFRA",VLOOKUP(C25,#REF!,2,0),""))))))),"")</f>
        <v/>
      </c>
      <c r="E25" s="78" t="str">
        <f>IFERROR(UPPER(IF(B25="CPU",VLOOKUP(C25,#REF!,3,0),IF(B25="SINAPI",VLOOKUP(C25,#REF!,3,0),IF(B25="EDIF",VLOOKUP(C25,#REF!,3,0),IF(B25="CPOS",VLOOKUP(C25,#REF!,4,0),IF(B25="FDE",VLOOKUP(C25,#REF!,3,0),IF(B25="INFRA",VLOOKUP(C25,#REF!,3,0),""))))))),"")</f>
        <v/>
      </c>
      <c r="F25" s="936">
        <v>1668.38</v>
      </c>
      <c r="G25" s="985" t="str">
        <f>IFERROR(IF(B25="CPU",VLOOKUP(C25,#REF!,4,0),IF(B25="SINAPI",VLOOKUP(C25,#REF!,5,0),IF(B25="EDIF",VLOOKUP(C25,#REF!,4,0),IF(B25="CPOS",VLOOKUP(C25,#REF!,7,0),IF(B25="FDE",VLOOKUP(C25,#REF!,5,0),IF(B25="INFRA",VLOOKUP(C25,#REF!,4,0),""))))))*VLOOKUP(B25,#REF!,3,0),"")</f>
        <v/>
      </c>
      <c r="H25" s="986">
        <v>0.25</v>
      </c>
      <c r="I25" s="987" t="str">
        <f t="shared" si="0"/>
        <v/>
      </c>
      <c r="J25" s="988">
        <v>23857.833999999999</v>
      </c>
      <c r="K25" s="52"/>
      <c r="L25" s="940"/>
    </row>
    <row r="26" spans="1:12" s="25" customFormat="1" ht="27" customHeight="1">
      <c r="A26" s="933" t="s">
        <v>5570</v>
      </c>
      <c r="B26" s="933" t="s">
        <v>1479</v>
      </c>
      <c r="C26" s="983" t="s">
        <v>5571</v>
      </c>
      <c r="D26" s="984" t="str">
        <f>IFERROR(UPPER(IF(B26="CPU",VLOOKUP(C26,#REF!,2,0),IF(B26="SINAPI",VLOOKUP(C26,#REF!,2,0),IF(B26="EDIF",VLOOKUP(C26,#REF!,2,0),IF(B26="CPOS",VLOOKUP(C26,#REF!,3,0),IF(B26="FDE",VLOOKUP(C26,#REF!,2,0),IF(B26="INFRA",VLOOKUP(C26,#REF!,2,0),""))))))),"")</f>
        <v/>
      </c>
      <c r="E26" s="78" t="str">
        <f>IFERROR(UPPER(IF(B26="CPU",VLOOKUP(C26,#REF!,3,0),IF(B26="SINAPI",VLOOKUP(C26,#REF!,3,0),IF(B26="EDIF",VLOOKUP(C26,#REF!,3,0),IF(B26="CPOS",VLOOKUP(C26,#REF!,4,0),IF(B26="FDE",VLOOKUP(C26,#REF!,3,0),IF(B26="INFRA",VLOOKUP(C26,#REF!,3,0),""))))))),"")</f>
        <v/>
      </c>
      <c r="F26" s="936">
        <v>6673.44</v>
      </c>
      <c r="G26" s="985" t="str">
        <f>IFERROR(IF(B26="CPU",VLOOKUP(C26,#REF!,4,0),IF(B26="SINAPI",VLOOKUP(C26,#REF!,5,0),IF(B26="EDIF",VLOOKUP(C26,#REF!,4,0),IF(B26="CPOS",VLOOKUP(C26,#REF!,7,0),IF(B26="FDE",VLOOKUP(C26,#REF!,5,0),IF(B26="INFRA",VLOOKUP(C26,#REF!,4,0),""))))))*VLOOKUP(B26,#REF!,3,0),"")</f>
        <v/>
      </c>
      <c r="H26" s="986">
        <v>0.25</v>
      </c>
      <c r="I26" s="987" t="str">
        <f t="shared" si="0"/>
        <v/>
      </c>
      <c r="J26" s="988">
        <v>86587.884000000005</v>
      </c>
      <c r="K26" s="52"/>
      <c r="L26" s="940"/>
    </row>
    <row r="27" spans="1:12" s="25" customFormat="1" ht="27" customHeight="1">
      <c r="A27" s="933" t="s">
        <v>5572</v>
      </c>
      <c r="B27" s="933" t="s">
        <v>1479</v>
      </c>
      <c r="C27" s="983" t="s">
        <v>5573</v>
      </c>
      <c r="D27" s="984" t="str">
        <f>IFERROR(UPPER(IF(B27="CPU",VLOOKUP(C27,#REF!,2,0),IF(B27="SINAPI",VLOOKUP(C27,#REF!,2,0),IF(B27="EDIF",VLOOKUP(C27,#REF!,2,0),IF(B27="CPOS",VLOOKUP(C27,#REF!,3,0),IF(B27="FDE",VLOOKUP(C27,#REF!,2,0),IF(B27="INFRA",VLOOKUP(C27,#REF!,2,0),""))))))),"")</f>
        <v/>
      </c>
      <c r="E27" s="78" t="str">
        <f>IFERROR(UPPER(IF(B27="CPU",VLOOKUP(C27,#REF!,3,0),IF(B27="SINAPI",VLOOKUP(C27,#REF!,3,0),IF(B27="EDIF",VLOOKUP(C27,#REF!,3,0),IF(B27="CPOS",VLOOKUP(C27,#REF!,4,0),IF(B27="FDE",VLOOKUP(C27,#REF!,3,0),IF(B27="INFRA",VLOOKUP(C27,#REF!,3,0),""))))))),"")</f>
        <v/>
      </c>
      <c r="F27" s="936">
        <v>1350</v>
      </c>
      <c r="G27" s="985" t="str">
        <f>IFERROR(IF(B27="CPU",VLOOKUP(C27,#REF!,4,0),IF(B27="SINAPI",VLOOKUP(C27,#REF!,5,0),IF(B27="EDIF",VLOOKUP(C27,#REF!,4,0),IF(B27="CPOS",VLOOKUP(C27,#REF!,7,0),IF(B27="FDE",VLOOKUP(C27,#REF!,5,0),IF(B27="INFRA",VLOOKUP(C27,#REF!,4,0),""))))))*VLOOKUP(B27,#REF!,3,0),"")</f>
        <v/>
      </c>
      <c r="H27" s="986">
        <v>0.25</v>
      </c>
      <c r="I27" s="987" t="str">
        <f t="shared" si="0"/>
        <v/>
      </c>
      <c r="J27" s="988">
        <v>39048.75</v>
      </c>
      <c r="K27" s="52"/>
      <c r="L27" s="940"/>
    </row>
    <row r="28" spans="1:12" s="25" customFormat="1" ht="27" customHeight="1">
      <c r="A28" s="933" t="s">
        <v>5574</v>
      </c>
      <c r="B28" s="933" t="s">
        <v>1479</v>
      </c>
      <c r="C28" s="983" t="s">
        <v>5575</v>
      </c>
      <c r="D28" s="984" t="str">
        <f>IFERROR(UPPER(IF(B28="CPU",VLOOKUP(C28,#REF!,2,0),IF(B28="SINAPI",VLOOKUP(C28,#REF!,2,0),IF(B28="EDIF",VLOOKUP(C28,#REF!,2,0),IF(B28="CPOS",VLOOKUP(C28,#REF!,3,0),IF(B28="FDE",VLOOKUP(C28,#REF!,2,0),IF(B28="INFRA",VLOOKUP(C28,#REF!,2,0),""))))))),"")</f>
        <v/>
      </c>
      <c r="E28" s="78" t="str">
        <f>IFERROR(UPPER(IF(B28="CPU",VLOOKUP(C28,#REF!,3,0),IF(B28="SINAPI",VLOOKUP(C28,#REF!,3,0),IF(B28="EDIF",VLOOKUP(C28,#REF!,3,0),IF(B28="CPOS",VLOOKUP(C28,#REF!,4,0),IF(B28="FDE",VLOOKUP(C28,#REF!,3,0),IF(B28="INFRA",VLOOKUP(C28,#REF!,3,0),""))))))),"")</f>
        <v/>
      </c>
      <c r="F28" s="936">
        <v>8100</v>
      </c>
      <c r="G28" s="985" t="str">
        <f>IFERROR(IF(B28="CPU",VLOOKUP(C28,#REF!,4,0),IF(B28="SINAPI",VLOOKUP(C28,#REF!,5,0),IF(B28="EDIF",VLOOKUP(C28,#REF!,4,0),IF(B28="CPOS",VLOOKUP(C28,#REF!,7,0),IF(B28="FDE",VLOOKUP(C28,#REF!,5,0),IF(B28="INFRA",VLOOKUP(C28,#REF!,4,0),""))))))*VLOOKUP(B28,#REF!,3,0),"")</f>
        <v/>
      </c>
      <c r="H28" s="986">
        <v>0.25</v>
      </c>
      <c r="I28" s="987" t="str">
        <f t="shared" si="0"/>
        <v/>
      </c>
      <c r="J28" s="988">
        <v>178706.25</v>
      </c>
      <c r="K28" s="52"/>
      <c r="L28" s="940"/>
    </row>
    <row r="29" spans="1:12" s="25" customFormat="1" ht="27" customHeight="1">
      <c r="A29" s="933" t="s">
        <v>5576</v>
      </c>
      <c r="B29" s="933" t="s">
        <v>4908</v>
      </c>
      <c r="C29" s="983">
        <v>97062</v>
      </c>
      <c r="D29" s="984" t="str">
        <f>IFERROR(UPPER(IF(B29="CPU",VLOOKUP(C29,#REF!,2,0),IF(B29="SINAPI",VLOOKUP(C29,#REF!,2,0),IF(B29="EDIF",VLOOKUP(C29,#REF!,2,0),IF(B29="CPOS",VLOOKUP(C29,#REF!,3,0),IF(B29="FDE",VLOOKUP(C29,#REF!,2,0),IF(B29="INFRA",VLOOKUP(C29,#REF!,2,0),""))))))),"")</f>
        <v/>
      </c>
      <c r="E29" s="78" t="str">
        <f>IFERROR(UPPER(IF(B29="CPU",VLOOKUP(C29,#REF!,3,0),IF(B29="SINAPI",VLOOKUP(C29,#REF!,3,0),IF(B29="EDIF",VLOOKUP(C29,#REF!,3,0),IF(B29="CPOS",VLOOKUP(C29,#REF!,4,0),IF(B29="FDE",VLOOKUP(C29,#REF!,3,0),IF(B29="INFRA",VLOOKUP(C29,#REF!,3,0),""))))))),"")</f>
        <v/>
      </c>
      <c r="F29" s="936">
        <f>F25*2</f>
        <v>3336.76</v>
      </c>
      <c r="G29" s="985" t="str">
        <f>IFERROR(IF(B29="CPU",VLOOKUP(C29,#REF!,4,0),IF(B29="SINAPI",VLOOKUP(C29,#REF!,5,0),IF(B29="EDIF",VLOOKUP(C29,#REF!,4,0),IF(B29="CPOS",VLOOKUP(C29,#REF!,7,0),IF(B29="FDE",VLOOKUP(C29,#REF!,5,0),IF(B29="INFRA",VLOOKUP(C29,#REF!,4,0),""))))))*VLOOKUP(B29,#REF!,3,0),"")</f>
        <v/>
      </c>
      <c r="H29" s="986">
        <v>0.25</v>
      </c>
      <c r="I29" s="987" t="str">
        <f t="shared" si="0"/>
        <v/>
      </c>
      <c r="J29" s="988">
        <v>22439.710999999999</v>
      </c>
      <c r="K29" s="52"/>
      <c r="L29" s="940"/>
    </row>
    <row r="30" spans="1:12" s="300" customFormat="1" ht="27" customHeight="1">
      <c r="A30" s="933" t="s">
        <v>5577</v>
      </c>
      <c r="B30" s="933" t="s">
        <v>4908</v>
      </c>
      <c r="C30" s="983">
        <v>97067</v>
      </c>
      <c r="D30" s="984" t="str">
        <f>IFERROR(UPPER(IF(B30="CPU",VLOOKUP(C30,#REF!,2,0),IF(B30="SINAPI",VLOOKUP(C30,#REF!,2,0),IF(B30="EDIF",VLOOKUP(C30,#REF!,2,0),IF(B30="CPOS",VLOOKUP(C30,#REF!,3,0),IF(B30="FDE",VLOOKUP(C30,#REF!,2,0),IF(B30="INFRA",VLOOKUP(C30,#REF!,2,0),""))))))),"")</f>
        <v/>
      </c>
      <c r="E30" s="78" t="str">
        <f>IFERROR(UPPER(IF(B30="CPU",VLOOKUP(C30,#REF!,3,0),IF(B30="SINAPI",VLOOKUP(C30,#REF!,3,0),IF(B30="EDIF",VLOOKUP(C30,#REF!,3,0),IF(B30="CPOS",VLOOKUP(C30,#REF!,4,0),IF(B30="FDE",VLOOKUP(C30,#REF!,3,0),IF(B30="INFRA",VLOOKUP(C30,#REF!,3,0),""))))))),"")</f>
        <v/>
      </c>
      <c r="F30" s="936">
        <v>50</v>
      </c>
      <c r="G30" s="985" t="str">
        <f>IFERROR(IF(B30="CPU",VLOOKUP(C30,#REF!,4,0),IF(B30="SINAPI",VLOOKUP(C30,#REF!,5,0),IF(B30="EDIF",VLOOKUP(C30,#REF!,4,0),IF(B30="CPOS",VLOOKUP(C30,#REF!,7,0),IF(B30="FDE",VLOOKUP(C30,#REF!,5,0),IF(B30="INFRA",VLOOKUP(C30,#REF!,4,0),""))))))*VLOOKUP(B30,#REF!,3,0),"")</f>
        <v/>
      </c>
      <c r="H30" s="986">
        <v>0.25</v>
      </c>
      <c r="I30" s="987" t="str">
        <f t="shared" si="0"/>
        <v/>
      </c>
      <c r="J30" s="988">
        <v>35478.125</v>
      </c>
      <c r="K30" s="52"/>
      <c r="L30" s="940"/>
    </row>
    <row r="31" spans="1:12" s="300" customFormat="1" ht="27" customHeight="1">
      <c r="A31" s="933" t="s">
        <v>5578</v>
      </c>
      <c r="B31" s="933" t="s">
        <v>1479</v>
      </c>
      <c r="C31" s="983" t="s">
        <v>5579</v>
      </c>
      <c r="D31" s="984" t="str">
        <f>IFERROR(UPPER(IF(B31="CPU",VLOOKUP(C31,#REF!,2,0),IF(B31="SINAPI",VLOOKUP(C31,#REF!,2,0),IF(B31="EDIF",VLOOKUP(C31,#REF!,2,0),IF(B31="CPOS",VLOOKUP(C31,#REF!,3,0),IF(B31="FDE",VLOOKUP(C31,#REF!,2,0),IF(B31="INFRA",VLOOKUP(C31,#REF!,2,0),""))))))),"")</f>
        <v/>
      </c>
      <c r="E31" s="78" t="str">
        <f>IFERROR(UPPER(IF(B31="CPU",VLOOKUP(C31,#REF!,3,0),IF(B31="SINAPI",VLOOKUP(C31,#REF!,3,0),IF(B31="EDIF",VLOOKUP(C31,#REF!,3,0),IF(B31="CPOS",VLOOKUP(C31,#REF!,4,0),IF(B31="FDE",VLOOKUP(C31,#REF!,3,0),IF(B31="INFRA",VLOOKUP(C31,#REF!,3,0),""))))))),"")</f>
        <v/>
      </c>
      <c r="F31" s="936">
        <f>27*8</f>
        <v>216</v>
      </c>
      <c r="G31" s="985" t="str">
        <f>IFERROR(IF(B31="CPU",VLOOKUP(C31,#REF!,4,0),IF(B31="SINAPI",VLOOKUP(C31,#REF!,5,0),IF(B31="EDIF",VLOOKUP(C31,#REF!,4,0),IF(B31="CPOS",VLOOKUP(C31,#REF!,7,0),IF(B31="FDE",VLOOKUP(C31,#REF!,5,0),IF(B31="INFRA",VLOOKUP(C31,#REF!,4,0),""))))))*VLOOKUP(B31,#REF!,3,0),"")</f>
        <v/>
      </c>
      <c r="H31" s="986">
        <v>0.25</v>
      </c>
      <c r="I31" s="987" t="str">
        <f t="shared" si="0"/>
        <v/>
      </c>
      <c r="J31" s="988">
        <v>15030.9</v>
      </c>
      <c r="K31" s="52"/>
      <c r="L31" s="940"/>
    </row>
    <row r="32" spans="1:12" s="25" customFormat="1" ht="27" customHeight="1">
      <c r="A32" s="933"/>
      <c r="B32" s="933"/>
      <c r="C32" s="934"/>
      <c r="D32" s="984"/>
      <c r="E32" s="78"/>
      <c r="F32" s="936"/>
      <c r="G32" s="985"/>
      <c r="H32" s="986"/>
      <c r="I32" s="987"/>
      <c r="J32" s="988"/>
      <c r="K32" s="52"/>
      <c r="L32" s="940"/>
    </row>
    <row r="33" spans="1:12" s="25" customFormat="1" ht="27" customHeight="1">
      <c r="A33" s="975" t="s">
        <v>1432</v>
      </c>
      <c r="B33" s="976"/>
      <c r="C33" s="976"/>
      <c r="D33" s="977" t="s">
        <v>4869</v>
      </c>
      <c r="E33" s="978" t="str">
        <f>IFERROR(UPPER(IF(B33="CPU",VLOOKUP(C33,#REF!,3,0),IF(B33="SINAPI",VLOOKUP(C33,#REF!,3,0),IF(B33="EDIF",VLOOKUP(C33,#REF!,3,0),IF(B33="CPOS",VLOOKUP(C33,#REF!,4,0),IF(B33="FDE",VLOOKUP(C33,#REF!,3,0),"")))))),"")</f>
        <v/>
      </c>
      <c r="F33" s="979"/>
      <c r="G33" s="980" t="str">
        <f>IFERROR(IF(B33="CPU",VLOOKUP(C33,#REF!,4,0),IF(B33="SINAPI",VLOOKUP(C33,#REF!,5,0),IF(B33="EDIF",VLOOKUP(C33,#REF!,4,0),IF(B33="CPOS",VLOOKUP(C33,#REF!,7,0),IF(B33="FDE",VLOOKUP(C33,#REF!,5,0),"")))))*VLOOKUP(B33,#REF!,3,0),"")</f>
        <v/>
      </c>
      <c r="H33" s="979"/>
      <c r="I33" s="981"/>
      <c r="J33" s="988"/>
      <c r="K33" s="52"/>
      <c r="L33" s="995">
        <f>I33/I649</f>
        <v>0</v>
      </c>
    </row>
    <row r="34" spans="1:12" s="25" customFormat="1" ht="27" customHeight="1">
      <c r="A34" s="975" t="s">
        <v>5580</v>
      </c>
      <c r="B34" s="976"/>
      <c r="C34" s="976"/>
      <c r="D34" s="977" t="s">
        <v>5581</v>
      </c>
      <c r="E34" s="978"/>
      <c r="F34" s="979"/>
      <c r="G34" s="980"/>
      <c r="H34" s="996"/>
      <c r="I34" s="981">
        <f>SUM(I35:I48)</f>
        <v>32514.926999999996</v>
      </c>
      <c r="J34" s="988"/>
      <c r="K34" s="52"/>
      <c r="L34" s="995"/>
    </row>
    <row r="35" spans="1:12" s="25" customFormat="1" ht="27" customHeight="1">
      <c r="A35" s="933" t="s">
        <v>5582</v>
      </c>
      <c r="B35" s="933" t="s">
        <v>4908</v>
      </c>
      <c r="C35" s="934">
        <v>93568</v>
      </c>
      <c r="D35" s="984" t="str">
        <f>IFERROR(UPPER(IF(B35="CPU",VLOOKUP(C35,#REF!,2,0),IF(B35="SINAPI",VLOOKUP(C35,#REF!,2,0),IF(B35="EDIF",VLOOKUP(C35,#REF!,2,0),IF(B35="CPOS",VLOOKUP(C35,#REF!,3,0),IF(B35="FDE",VLOOKUP(C35,#REF!,2,0),IF(B35="INFRA",VLOOKUP(C35,#REF!,2,0),""))))))),"")</f>
        <v/>
      </c>
      <c r="E35" s="78" t="str">
        <f>IFERROR(UPPER(IF(B35="CPU",VLOOKUP(C35,#REF!,3,0),IF(B35="SINAPI",VLOOKUP(C35,#REF!,3,0),IF(B35="EDIF",VLOOKUP(C35,#REF!,3,0),IF(B35="CPOS",VLOOKUP(C35,#REF!,4,0),IF(B35="FDE",VLOOKUP(C35,#REF!,3,0),IF(B35="INFRA",VLOOKUP(C35,#REF!,3,0),""))))))),"")</f>
        <v/>
      </c>
      <c r="F35" s="936">
        <v>8</v>
      </c>
      <c r="G35" s="985" t="str">
        <f>IFERROR(IF(B35="CPU",VLOOKUP(C35,#REF!,4,0),IF(B35="SINAPI",VLOOKUP(C35,#REF!,5,0),IF(B35="EDIF",VLOOKUP(C35,#REF!,4,0),IF(B35="CPOS",VLOOKUP(C35,#REF!,7,0),IF(B35="FDE",VLOOKUP(C35,#REF!,5,0),IF(B35="INFRA",VLOOKUP(C35,#REF!,4,0),""))))))*VLOOKUP(B35,#REF!,3,0),"")</f>
        <v/>
      </c>
      <c r="H35" s="986">
        <v>0.25</v>
      </c>
      <c r="I35" s="987" t="str">
        <f t="shared" ref="I35:I47" si="1">IFERROR(F35*((G35*(1+H35))),"")</f>
        <v/>
      </c>
      <c r="J35" s="988">
        <v>232067.3</v>
      </c>
      <c r="K35" s="52"/>
      <c r="L35" s="940"/>
    </row>
    <row r="36" spans="1:12" s="25" customFormat="1" ht="27" customHeight="1">
      <c r="A36" s="933" t="s">
        <v>5583</v>
      </c>
      <c r="B36" s="933" t="s">
        <v>4908</v>
      </c>
      <c r="C36" s="934">
        <v>93567</v>
      </c>
      <c r="D36" s="984" t="str">
        <f>IFERROR(UPPER(IF(B36="CPU",VLOOKUP(C36,#REF!,2,0),IF(B36="SINAPI",VLOOKUP(C36,#REF!,2,0),IF(B36="EDIF",VLOOKUP(C36,#REF!,2,0),IF(B36="CPOS",VLOOKUP(C36,#REF!,3,0),IF(B36="FDE",VLOOKUP(C36,#REF!,2,0),IF(B36="INFRA",VLOOKUP(C36,#REF!,2,0),""))))))),"")</f>
        <v/>
      </c>
      <c r="E36" s="78" t="str">
        <f>IFERROR(UPPER(IF(B36="CPU",VLOOKUP(C36,#REF!,3,0),IF(B36="SINAPI",VLOOKUP(C36,#REF!,3,0),IF(B36="EDIF",VLOOKUP(C36,#REF!,3,0),IF(B36="CPOS",VLOOKUP(C36,#REF!,4,0),IF(B36="FDE",VLOOKUP(C36,#REF!,3,0),IF(B36="INFRA",VLOOKUP(C36,#REF!,3,0),""))))))),"")</f>
        <v/>
      </c>
      <c r="F36" s="936">
        <v>8</v>
      </c>
      <c r="G36" s="985" t="str">
        <f>IFERROR(IF(B36="CPU",VLOOKUP(C36,#REF!,4,0),IF(B36="SINAPI",VLOOKUP(C36,#REF!,5,0),IF(B36="EDIF",VLOOKUP(C36,#REF!,4,0),IF(B36="CPOS",VLOOKUP(C36,#REF!,7,0),IF(B36="FDE",VLOOKUP(C36,#REF!,5,0),IF(B36="INFRA",VLOOKUP(C36,#REF!,4,0),""))))))*VLOOKUP(B36,#REF!,3,0),"")</f>
        <v/>
      </c>
      <c r="H36" s="986">
        <v>0.25</v>
      </c>
      <c r="I36" s="987" t="str">
        <f t="shared" si="1"/>
        <v/>
      </c>
      <c r="J36" s="988">
        <v>169987.7</v>
      </c>
      <c r="K36" s="52"/>
      <c r="L36" s="940"/>
    </row>
    <row r="37" spans="1:12" s="25" customFormat="1" ht="27" customHeight="1">
      <c r="A37" s="933" t="s">
        <v>5584</v>
      </c>
      <c r="B37" s="933" t="s">
        <v>4908</v>
      </c>
      <c r="C37" s="934">
        <v>93572</v>
      </c>
      <c r="D37" s="984" t="s">
        <v>5585</v>
      </c>
      <c r="E37" s="78" t="str">
        <f>IFERROR(UPPER(IF(B37="CPU",VLOOKUP(C37,#REF!,3,0),IF(B37="SINAPI",VLOOKUP(C37,#REF!,3,0),IF(B37="EDIF",VLOOKUP(C37,#REF!,3,0),IF(B37="CPOS",VLOOKUP(C37,#REF!,4,0),IF(B37="FDE",VLOOKUP(C37,#REF!,3,0),IF(B37="INFRA",VLOOKUP(C37,#REF!,3,0),""))))))),"")</f>
        <v/>
      </c>
      <c r="F37" s="936">
        <v>8</v>
      </c>
      <c r="G37" s="985" t="str">
        <f>IFERROR(IF(B37="CPU",VLOOKUP(C37,#REF!,4,0),IF(B37="SINAPI",VLOOKUP(C37,#REF!,5,0),IF(B37="EDIF",VLOOKUP(C37,#REF!,4,0),IF(B37="CPOS",VLOOKUP(C37,#REF!,7,0),IF(B37="FDE",VLOOKUP(C37,#REF!,5,0),IF(B37="INFRA",VLOOKUP(C37,#REF!,4,0),""))))))*VLOOKUP(B37,#REF!,3,0),"")</f>
        <v/>
      </c>
      <c r="H37" s="986">
        <v>0.25</v>
      </c>
      <c r="I37" s="987" t="str">
        <f t="shared" si="1"/>
        <v/>
      </c>
      <c r="J37" s="988">
        <v>60101.1</v>
      </c>
      <c r="K37" s="52"/>
      <c r="L37" s="940"/>
    </row>
    <row r="38" spans="1:12" s="25" customFormat="1" ht="27" customHeight="1">
      <c r="A38" s="933" t="s">
        <v>5586</v>
      </c>
      <c r="B38" s="933" t="s">
        <v>4908</v>
      </c>
      <c r="C38" s="934">
        <v>93572</v>
      </c>
      <c r="D38" s="984" t="s">
        <v>5587</v>
      </c>
      <c r="E38" s="78" t="str">
        <f>IFERROR(UPPER(IF(B38="CPU",VLOOKUP(C38,#REF!,3,0),IF(B38="SINAPI",VLOOKUP(C38,#REF!,3,0),IF(B38="EDIF",VLOOKUP(C38,#REF!,3,0),IF(B38="CPOS",VLOOKUP(C38,#REF!,4,0),IF(B38="FDE",VLOOKUP(C38,#REF!,3,0),IF(B38="INFRA",VLOOKUP(C38,#REF!,3,0),""))))))),"")</f>
        <v/>
      </c>
      <c r="F38" s="936">
        <v>8</v>
      </c>
      <c r="G38" s="985" t="str">
        <f>IFERROR(IF(B38="CPU",VLOOKUP(C38,#REF!,4,0),IF(B38="SINAPI",VLOOKUP(C38,#REF!,5,0),IF(B38="EDIF",VLOOKUP(C38,#REF!,4,0),IF(B38="CPOS",VLOOKUP(C38,#REF!,7,0),IF(B38="FDE",VLOOKUP(C38,#REF!,5,0),IF(B38="INFRA",VLOOKUP(C38,#REF!,4,0),""))))))*VLOOKUP(B38,#REF!,3,0),"")</f>
        <v/>
      </c>
      <c r="H38" s="986">
        <v>0.25</v>
      </c>
      <c r="I38" s="987" t="str">
        <f t="shared" si="1"/>
        <v/>
      </c>
      <c r="J38" s="988">
        <v>60101.1</v>
      </c>
      <c r="K38" s="52"/>
      <c r="L38" s="940"/>
    </row>
    <row r="39" spans="1:12" s="25" customFormat="1" ht="27" customHeight="1">
      <c r="A39" s="933" t="s">
        <v>5588</v>
      </c>
      <c r="B39" s="933" t="s">
        <v>4908</v>
      </c>
      <c r="C39" s="934">
        <v>94295</v>
      </c>
      <c r="D39" s="984" t="str">
        <f>IFERROR(UPPER(IF(B39="CPU",VLOOKUP(C39,#REF!,2,0),IF(B39="SINAPI",VLOOKUP(C39,#REF!,2,0),IF(B39="EDIF",VLOOKUP(C39,#REF!,2,0),IF(B39="CPOS",VLOOKUP(C39,#REF!,3,0),IF(B39="FDE",VLOOKUP(C39,#REF!,2,0),IF(B39="INFRA",VLOOKUP(C39,#REF!,2,0),""))))))),"")</f>
        <v/>
      </c>
      <c r="E39" s="78" t="str">
        <f>IFERROR(UPPER(IF(B39="CPU",VLOOKUP(C39,#REF!,3,0),IF(B39="SINAPI",VLOOKUP(C39,#REF!,3,0),IF(B39="EDIF",VLOOKUP(C39,#REF!,3,0),IF(B39="CPOS",VLOOKUP(C39,#REF!,4,0),IF(B39="FDE",VLOOKUP(C39,#REF!,3,0),IF(B39="INFRA",VLOOKUP(C39,#REF!,3,0),""))))))),"")</f>
        <v/>
      </c>
      <c r="F39" s="936">
        <v>8</v>
      </c>
      <c r="G39" s="985" t="str">
        <f>IFERROR(IF(B39="CPU",VLOOKUP(C39,#REF!,4,0),IF(B39="SINAPI",VLOOKUP(C39,#REF!,5,0),IF(B39="EDIF",VLOOKUP(C39,#REF!,4,0),IF(B39="CPOS",VLOOKUP(C39,#REF!,7,0),IF(B39="FDE",VLOOKUP(C39,#REF!,5,0),IF(B39="INFRA",VLOOKUP(C39,#REF!,4,0),""))))))*VLOOKUP(B39,#REF!,3,0),"")</f>
        <v/>
      </c>
      <c r="H39" s="986">
        <v>0.25</v>
      </c>
      <c r="I39" s="987" t="str">
        <f t="shared" si="1"/>
        <v/>
      </c>
      <c r="J39" s="988">
        <v>81878.399999999994</v>
      </c>
      <c r="K39" s="52"/>
      <c r="L39" s="940"/>
    </row>
    <row r="40" spans="1:12" s="25" customFormat="1" ht="27" customHeight="1">
      <c r="A40" s="933" t="s">
        <v>5589</v>
      </c>
      <c r="B40" s="933" t="s">
        <v>4908</v>
      </c>
      <c r="C40" s="934">
        <v>91677</v>
      </c>
      <c r="D40" s="984" t="str">
        <f>IFERROR(UPPER(IF(B40="CPU",VLOOKUP(C40,#REF!,2,0),IF(B40="SINAPI",VLOOKUP(C40,#REF!,2,0),IF(B40="EDIF",VLOOKUP(C40,#REF!,2,0),IF(B40="CPOS",VLOOKUP(C40,#REF!,3,0),IF(B40="FDE",VLOOKUP(C40,#REF!,2,0),IF(B40="INFRA",VLOOKUP(C40,#REF!,2,0),""))))))),"")</f>
        <v/>
      </c>
      <c r="E40" s="78" t="str">
        <f>IFERROR(UPPER(IF(B40="CPU",VLOOKUP(C40,#REF!,3,0),IF(B40="SINAPI",VLOOKUP(C40,#REF!,3,0),IF(B40="EDIF",VLOOKUP(C40,#REF!,3,0),IF(B40="CPOS",VLOOKUP(C40,#REF!,4,0),IF(B40="FDE",VLOOKUP(C40,#REF!,3,0),IF(B40="INFRA",VLOOKUP(C40,#REF!,3,0),""))))))),"")</f>
        <v/>
      </c>
      <c r="F40" s="936">
        <f>44*4*8</f>
        <v>1408</v>
      </c>
      <c r="G40" s="985" t="str">
        <f>IFERROR(IF(B40="CPU",VLOOKUP(C40,#REF!,4,0),IF(B40="SINAPI",VLOOKUP(C40,#REF!,5,0),IF(B40="EDIF",VLOOKUP(C40,#REF!,4,0),IF(B40="CPOS",VLOOKUP(C40,#REF!,7,0),IF(B40="FDE",VLOOKUP(C40,#REF!,5,0),IF(B40="INFRA",VLOOKUP(C40,#REF!,4,0),""))))))*VLOOKUP(B40,#REF!,3,0),"")</f>
        <v/>
      </c>
      <c r="H40" s="986">
        <v>0.25</v>
      </c>
      <c r="I40" s="987" t="str">
        <f t="shared" si="1"/>
        <v/>
      </c>
      <c r="J40" s="988">
        <v>149916.79999999999</v>
      </c>
      <c r="K40" s="52"/>
      <c r="L40" s="940"/>
    </row>
    <row r="41" spans="1:12" s="25" customFormat="1" ht="27" customHeight="1">
      <c r="A41" s="933" t="s">
        <v>5590</v>
      </c>
      <c r="B41" s="933" t="s">
        <v>4908</v>
      </c>
      <c r="C41" s="934">
        <v>88255</v>
      </c>
      <c r="D41" s="984" t="s">
        <v>5591</v>
      </c>
      <c r="E41" s="78" t="str">
        <f>IFERROR(UPPER(IF(B41="CPU",VLOOKUP(C41,#REF!,3,0),IF(B41="SINAPI",VLOOKUP(C41,#REF!,3,0),IF(B41="EDIF",VLOOKUP(C41,#REF!,3,0),IF(B41="CPOS",VLOOKUP(C41,#REF!,4,0),IF(B41="FDE",VLOOKUP(C41,#REF!,3,0),IF(B41="INFRA",VLOOKUP(C41,#REF!,3,0),""))))))),"")</f>
        <v/>
      </c>
      <c r="F41" s="936">
        <f>F40</f>
        <v>1408</v>
      </c>
      <c r="G41" s="985" t="str">
        <f>IFERROR(IF(B41="CPU",VLOOKUP(C41,#REF!,4,0),IF(B41="SINAPI",VLOOKUP(C41,#REF!,5,0),IF(B41="EDIF",VLOOKUP(C41,#REF!,4,0),IF(B41="CPOS",VLOOKUP(C41,#REF!,7,0),IF(B41="FDE",VLOOKUP(C41,#REF!,5,0),IF(B41="INFRA",VLOOKUP(C41,#REF!,4,0),""))))))*VLOOKUP(B41,#REF!,3,0),"")</f>
        <v/>
      </c>
      <c r="H41" s="986">
        <v>0.25</v>
      </c>
      <c r="I41" s="987" t="str">
        <f t="shared" si="1"/>
        <v/>
      </c>
      <c r="J41" s="988">
        <v>64838.400000000001</v>
      </c>
      <c r="K41" s="52"/>
      <c r="L41" s="940"/>
    </row>
    <row r="42" spans="1:12" s="300" customFormat="1" ht="27" customHeight="1">
      <c r="A42" s="933" t="s">
        <v>5592</v>
      </c>
      <c r="B42" s="933" t="s">
        <v>4908</v>
      </c>
      <c r="C42" s="934">
        <v>88255</v>
      </c>
      <c r="D42" s="984" t="s">
        <v>5593</v>
      </c>
      <c r="E42" s="78" t="str">
        <f>IFERROR(UPPER(IF(B42="CPU",VLOOKUP(C42,#REF!,3,0),IF(B42="SINAPI",VLOOKUP(C42,#REF!,3,0),IF(B42="EDIF",VLOOKUP(C42,#REF!,3,0),IF(B42="CPOS",VLOOKUP(C42,#REF!,4,0),IF(B42="FDE",VLOOKUP(C42,#REF!,3,0),IF(B42="INFRA",VLOOKUP(C42,#REF!,3,0),""))))))),"")</f>
        <v/>
      </c>
      <c r="F42" s="936">
        <f>F41</f>
        <v>1408</v>
      </c>
      <c r="G42" s="985" t="str">
        <f>IFERROR(IF(B42="CPU",VLOOKUP(C42,#REF!,4,0),IF(B42="SINAPI",VLOOKUP(C42,#REF!,5,0),IF(B42="EDIF",VLOOKUP(C42,#REF!,4,0),IF(B42="CPOS",VLOOKUP(C42,#REF!,7,0),IF(B42="FDE",VLOOKUP(C42,#REF!,5,0),IF(B42="INFRA",VLOOKUP(C42,#REF!,4,0),""))))))*VLOOKUP(B42,#REF!,3,0),"")</f>
        <v/>
      </c>
      <c r="H42" s="986">
        <v>0.25</v>
      </c>
      <c r="I42" s="987" t="str">
        <f t="shared" si="1"/>
        <v/>
      </c>
      <c r="J42" s="988">
        <v>64838.400000000001</v>
      </c>
      <c r="K42" s="52"/>
      <c r="L42" s="940"/>
    </row>
    <row r="43" spans="1:12" s="25" customFormat="1" ht="27" customHeight="1">
      <c r="A43" s="933" t="s">
        <v>5594</v>
      </c>
      <c r="B43" s="933" t="s">
        <v>4908</v>
      </c>
      <c r="C43" s="934">
        <v>93566</v>
      </c>
      <c r="D43" s="984" t="str">
        <f>IFERROR(UPPER(IF(B43="CPU",VLOOKUP(C43,#REF!,2,0),IF(B43="SINAPI",VLOOKUP(C43,#REF!,2,0),IF(B43="EDIF",VLOOKUP(C43,#REF!,2,0),IF(B43="CPOS",VLOOKUP(C43,#REF!,3,0),IF(B43="FDE",VLOOKUP(C43,#REF!,2,0),IF(B43="INFRA",VLOOKUP(C43,#REF!,2,0),""))))))),"")</f>
        <v/>
      </c>
      <c r="E43" s="78" t="str">
        <f>IFERROR(UPPER(IF(B43="CPU",VLOOKUP(C43,#REF!,3,0),IF(B43="SINAPI",VLOOKUP(C43,#REF!,3,0),IF(B43="EDIF",VLOOKUP(C43,#REF!,3,0),IF(B43="CPOS",VLOOKUP(C43,#REF!,4,0),IF(B43="FDE",VLOOKUP(C43,#REF!,3,0),IF(B43="INFRA",VLOOKUP(C43,#REF!,3,0),""))))))),"")</f>
        <v/>
      </c>
      <c r="F43" s="936">
        <v>8</v>
      </c>
      <c r="G43" s="985" t="str">
        <f>IFERROR(IF(B43="CPU",VLOOKUP(C43,#REF!,4,0),IF(B43="SINAPI",VLOOKUP(C43,#REF!,5,0),IF(B43="EDIF",VLOOKUP(C43,#REF!,4,0),IF(B43="CPOS",VLOOKUP(C43,#REF!,7,0),IF(B43="FDE",VLOOKUP(C43,#REF!,5,0),IF(B43="INFRA",VLOOKUP(C43,#REF!,4,0),""))))))*VLOOKUP(B43,#REF!,3,0),"")</f>
        <v/>
      </c>
      <c r="H43" s="986">
        <v>0.25</v>
      </c>
      <c r="I43" s="987" t="str">
        <f t="shared" si="1"/>
        <v/>
      </c>
      <c r="J43" s="988">
        <v>37414</v>
      </c>
      <c r="K43" s="52"/>
      <c r="L43" s="940"/>
    </row>
    <row r="44" spans="1:12" s="25" customFormat="1" ht="27" customHeight="1">
      <c r="A44" s="933" t="s">
        <v>5595</v>
      </c>
      <c r="B44" s="933" t="s">
        <v>4908</v>
      </c>
      <c r="C44" s="934">
        <v>93563</v>
      </c>
      <c r="D44" s="984" t="str">
        <f>IFERROR(UPPER(IF(B44="CPU",VLOOKUP(C44,#REF!,2,0),IF(B44="SINAPI",VLOOKUP(C44,#REF!,2,0),IF(B44="EDIF",VLOOKUP(C44,#REF!,2,0),IF(B44="CPOS",VLOOKUP(C44,#REF!,3,0),IF(B44="FDE",VLOOKUP(C44,#REF!,2,0),IF(B44="INFRA",VLOOKUP(C44,#REF!,2,0),""))))))),"")</f>
        <v/>
      </c>
      <c r="E44" s="78" t="str">
        <f>IFERROR(UPPER(IF(B44="CPU",VLOOKUP(C44,#REF!,3,0),IF(B44="SINAPI",VLOOKUP(C44,#REF!,3,0),IF(B44="EDIF",VLOOKUP(C44,#REF!,3,0),IF(B44="CPOS",VLOOKUP(C44,#REF!,4,0),IF(B44="FDE",VLOOKUP(C44,#REF!,3,0),IF(B44="INFRA",VLOOKUP(C44,#REF!,3,0),""))))))),"")</f>
        <v/>
      </c>
      <c r="F44" s="936">
        <v>8</v>
      </c>
      <c r="G44" s="985" t="str">
        <f>IFERROR(IF(B44="CPU",VLOOKUP(C44,#REF!,4,0),IF(B44="SINAPI",VLOOKUP(C44,#REF!,5,0),IF(B44="EDIF",VLOOKUP(C44,#REF!,4,0),IF(B44="CPOS",VLOOKUP(C44,#REF!,7,0),IF(B44="FDE",VLOOKUP(C44,#REF!,5,0),IF(B44="INFRA",VLOOKUP(C44,#REF!,4,0),""))))))*VLOOKUP(B44,#REF!,3,0),"")</f>
        <v/>
      </c>
      <c r="H44" s="986">
        <v>0.25</v>
      </c>
      <c r="I44" s="987" t="str">
        <f t="shared" si="1"/>
        <v/>
      </c>
      <c r="J44" s="988">
        <v>40189.5</v>
      </c>
      <c r="K44" s="52"/>
      <c r="L44" s="940"/>
    </row>
    <row r="45" spans="1:12" s="25" customFormat="1" ht="27" customHeight="1">
      <c r="A45" s="933" t="s">
        <v>5596</v>
      </c>
      <c r="B45" s="933" t="s">
        <v>4872</v>
      </c>
      <c r="C45" s="994">
        <v>200308</v>
      </c>
      <c r="D45" s="984" t="str">
        <f>IFERROR(UPPER(IF(B45="CPU",VLOOKUP(C45,#REF!,2,0),IF(B45="SINAPI",VLOOKUP(C45,#REF!,2,0),IF(B45="EDIF",VLOOKUP(C45,#REF!,2,0),IF(B45="CPOS",VLOOKUP(C45,#REF!,3,0),IF(B45="FDE",VLOOKUP(C45,#REF!,2,0),IF(B45="INFRA",VLOOKUP(C45,#REF!,2,0),""))))))),"")</f>
        <v/>
      </c>
      <c r="E45" s="78" t="str">
        <f>IFERROR(UPPER(IF(B45="CPU",VLOOKUP(C45,#REF!,3,0),IF(B45="SINAPI",VLOOKUP(C45,#REF!,3,0),IF(B45="EDIF",VLOOKUP(C45,#REF!,3,0),IF(B45="CPOS",VLOOKUP(C45,#REF!,4,0),IF(B45="FDE",VLOOKUP(C45,#REF!,3,0),IF(B45="INFRA",VLOOKUP(C45,#REF!,3,0),""))))))),"")</f>
        <v/>
      </c>
      <c r="F45" s="936">
        <v>200</v>
      </c>
      <c r="G45" s="985" t="str">
        <f>IFERROR(IF(B45="CPU",VLOOKUP(C45,#REF!,4,0),IF(B45="SINAPI",VLOOKUP(C45,#REF!,5,0),IF(B45="EDIF",VLOOKUP(C45,#REF!,4,0),IF(B45="CPOS",VLOOKUP(C45,#REF!,7,0),IF(B45="FDE",VLOOKUP(C45,#REF!,5,0),IF(B45="INFRA",VLOOKUP(C45,#REF!,4,0),""))))))*VLOOKUP(B45,#REF!,3,0),"")</f>
        <v/>
      </c>
      <c r="H45" s="986">
        <v>0.25</v>
      </c>
      <c r="I45" s="987" t="str">
        <f t="shared" si="1"/>
        <v/>
      </c>
      <c r="J45" s="988">
        <v>86370</v>
      </c>
      <c r="K45" s="52"/>
      <c r="L45" s="940"/>
    </row>
    <row r="46" spans="1:12" s="25" customFormat="1" ht="27" customHeight="1">
      <c r="A46" s="933" t="s">
        <v>5597</v>
      </c>
      <c r="B46" s="933" t="s">
        <v>4908</v>
      </c>
      <c r="C46" s="934">
        <v>93564</v>
      </c>
      <c r="D46" s="984" t="str">
        <f>IFERROR(UPPER(IF(B46="CPU",VLOOKUP(C46,#REF!,2,0),IF(B46="SINAPI",VLOOKUP(C46,#REF!,2,0),IF(B46="EDIF",VLOOKUP(C46,#REF!,2,0),IF(B46="CPOS",VLOOKUP(C46,#REF!,3,0),IF(B46="FDE",VLOOKUP(C46,#REF!,2,0),IF(B46="INFRA",VLOOKUP(C46,#REF!,2,0),""))))))),"")</f>
        <v/>
      </c>
      <c r="E46" s="78" t="str">
        <f>IFERROR(UPPER(IF(B46="CPU",VLOOKUP(C46,#REF!,3,0),IF(B46="SINAPI",VLOOKUP(C46,#REF!,3,0),IF(B46="EDIF",VLOOKUP(C46,#REF!,3,0),IF(B46="CPOS",VLOOKUP(C46,#REF!,4,0),IF(B46="FDE",VLOOKUP(C46,#REF!,3,0),IF(B46="INFRA",VLOOKUP(C46,#REF!,3,0),""))))))),"")</f>
        <v/>
      </c>
      <c r="F46" s="936">
        <v>8</v>
      </c>
      <c r="G46" s="985" t="str">
        <f>IFERROR(IF(B46="CPU",VLOOKUP(C46,#REF!,4,0),IF(B46="SINAPI",VLOOKUP(C46,#REF!,5,0),IF(B46="EDIF",VLOOKUP(C46,#REF!,4,0),IF(B46="CPOS",VLOOKUP(C46,#REF!,7,0),IF(B46="FDE",VLOOKUP(C46,#REF!,5,0),IF(B46="INFRA",VLOOKUP(C46,#REF!,4,0),""))))))*VLOOKUP(B46,#REF!,3,0),"")</f>
        <v/>
      </c>
      <c r="H46" s="986">
        <v>0.25</v>
      </c>
      <c r="I46" s="987" t="str">
        <f t="shared" si="1"/>
        <v/>
      </c>
      <c r="J46" s="988">
        <v>40419.300000000003</v>
      </c>
      <c r="K46" s="52"/>
      <c r="L46" s="940"/>
    </row>
    <row r="47" spans="1:12" s="25" customFormat="1" ht="27" customHeight="1">
      <c r="A47" s="933" t="s">
        <v>5598</v>
      </c>
      <c r="B47" s="997" t="s">
        <v>5599</v>
      </c>
      <c r="C47" s="934">
        <v>41096</v>
      </c>
      <c r="D47" s="984" t="s">
        <v>5600</v>
      </c>
      <c r="E47" s="78" t="s">
        <v>5601</v>
      </c>
      <c r="F47" s="936">
        <v>8</v>
      </c>
      <c r="G47" s="985">
        <v>3251.4926999999998</v>
      </c>
      <c r="H47" s="986">
        <v>0.25</v>
      </c>
      <c r="I47" s="987">
        <f t="shared" si="1"/>
        <v>32514.926999999996</v>
      </c>
      <c r="J47" s="988">
        <v>32514.927</v>
      </c>
      <c r="K47" s="52"/>
      <c r="L47" s="940"/>
    </row>
    <row r="48" spans="1:12" s="25" customFormat="1" ht="27" customHeight="1">
      <c r="A48" s="933"/>
      <c r="B48" s="933"/>
      <c r="C48" s="933"/>
      <c r="D48" s="984"/>
      <c r="E48" s="78"/>
      <c r="F48" s="936"/>
      <c r="G48" s="985"/>
      <c r="H48" s="986"/>
      <c r="I48" s="987"/>
      <c r="J48" s="988"/>
      <c r="K48" s="52"/>
      <c r="L48" s="940"/>
    </row>
    <row r="49" spans="1:12" s="25" customFormat="1" ht="27" customHeight="1">
      <c r="A49" s="975" t="s">
        <v>5602</v>
      </c>
      <c r="B49" s="976"/>
      <c r="C49" s="976"/>
      <c r="D49" s="977" t="s">
        <v>5603</v>
      </c>
      <c r="E49" s="978"/>
      <c r="F49" s="979"/>
      <c r="G49" s="980"/>
      <c r="H49" s="996"/>
      <c r="I49" s="981">
        <f>SUM(I50:I56)</f>
        <v>0</v>
      </c>
      <c r="J49" s="988"/>
      <c r="K49" s="52"/>
      <c r="L49" s="995"/>
    </row>
    <row r="50" spans="1:12" s="300" customFormat="1" ht="27" customHeight="1">
      <c r="A50" s="933" t="s">
        <v>5604</v>
      </c>
      <c r="B50" s="933" t="s">
        <v>4908</v>
      </c>
      <c r="C50" s="934">
        <v>93567</v>
      </c>
      <c r="D50" s="984" t="str">
        <f>IFERROR(UPPER(IF(B50="CPU",VLOOKUP(C50,#REF!,2,0),IF(B50="SINAPI",VLOOKUP(C50,#REF!,2,0),IF(B50="EDIF",VLOOKUP(C50,#REF!,2,0),IF(B50="CPOS",VLOOKUP(C50,#REF!,3,0),IF(B50="FDE",VLOOKUP(C50,#REF!,2,0),IF(B50="INFRA",VLOOKUP(C50,#REF!,2,0),""))))))),"")</f>
        <v/>
      </c>
      <c r="E50" s="78" t="str">
        <f>IFERROR(UPPER(IF(B50="CPU",VLOOKUP(C50,#REF!,3,0),IF(B50="SINAPI",VLOOKUP(C50,#REF!,3,0),IF(B50="EDIF",VLOOKUP(C50,#REF!,3,0),IF(B50="CPOS",VLOOKUP(C50,#REF!,4,0),IF(B50="FDE",VLOOKUP(C50,#REF!,3,0),IF(B50="INFRA",VLOOKUP(C50,#REF!,3,0),""))))))),"")</f>
        <v/>
      </c>
      <c r="F50" s="936">
        <v>8</v>
      </c>
      <c r="G50" s="985" t="str">
        <f>IFERROR(IF(B50="CPU",VLOOKUP(C50,#REF!,4,0),IF(B50="SINAPI",VLOOKUP(C50,#REF!,5,0),IF(B50="EDIF",VLOOKUP(C50,#REF!,4,0),IF(B50="CPOS",VLOOKUP(C50,#REF!,7,0),IF(B50="FDE",VLOOKUP(C50,#REF!,5,0),IF(B50="INFRA",VLOOKUP(C50,#REF!,4,0),""))))))*VLOOKUP(B50,#REF!,3,0),"")</f>
        <v/>
      </c>
      <c r="H50" s="986">
        <v>0.25</v>
      </c>
      <c r="I50" s="987" t="str">
        <f t="shared" ref="I50:I55" si="2">IFERROR(F50*((G50*(1+H50))),"")</f>
        <v/>
      </c>
      <c r="J50" s="988">
        <v>169987.7</v>
      </c>
      <c r="K50" s="52"/>
      <c r="L50" s="940"/>
    </row>
    <row r="51" spans="1:12" s="25" customFormat="1" ht="27" customHeight="1">
      <c r="A51" s="933" t="s">
        <v>5605</v>
      </c>
      <c r="B51" s="933" t="s">
        <v>4908</v>
      </c>
      <c r="C51" s="934">
        <v>93572</v>
      </c>
      <c r="D51" s="984" t="str">
        <f>IFERROR(UPPER(IF(B51="CPU",VLOOKUP(C51,#REF!,2,0),IF(B51="SINAPI",VLOOKUP(C51,#REF!,2,0),IF(B51="EDIF",VLOOKUP(C51,#REF!,2,0),IF(B51="CPOS",VLOOKUP(C51,#REF!,3,0),IF(B51="FDE",VLOOKUP(C51,#REF!,2,0),IF(B51="INFRA",VLOOKUP(C51,#REF!,2,0),""))))))),"")</f>
        <v/>
      </c>
      <c r="E51" s="78" t="str">
        <f>IFERROR(UPPER(IF(B51="CPU",VLOOKUP(C51,#REF!,3,0),IF(B51="SINAPI",VLOOKUP(C51,#REF!,3,0),IF(B51="EDIF",VLOOKUP(C51,#REF!,3,0),IF(B51="CPOS",VLOOKUP(C51,#REF!,4,0),IF(B51="FDE",VLOOKUP(C51,#REF!,3,0),IF(B51="INFRA",VLOOKUP(C51,#REF!,3,0),""))))))),"")</f>
        <v/>
      </c>
      <c r="F51" s="936">
        <v>8</v>
      </c>
      <c r="G51" s="985" t="str">
        <f>IFERROR(IF(B51="CPU",VLOOKUP(C51,#REF!,4,0),IF(B51="SINAPI",VLOOKUP(C51,#REF!,5,0),IF(B51="EDIF",VLOOKUP(C51,#REF!,4,0),IF(B51="CPOS",VLOOKUP(C51,#REF!,7,0),IF(B51="FDE",VLOOKUP(C51,#REF!,5,0),IF(B51="INFRA",VLOOKUP(C51,#REF!,4,0),""))))))*VLOOKUP(B51,#REF!,3,0),"")</f>
        <v/>
      </c>
      <c r="H51" s="986">
        <v>0.25</v>
      </c>
      <c r="I51" s="987" t="str">
        <f t="shared" si="2"/>
        <v/>
      </c>
      <c r="J51" s="988">
        <v>60101.1</v>
      </c>
      <c r="K51" s="52"/>
      <c r="L51" s="940"/>
    </row>
    <row r="52" spans="1:12" s="25" customFormat="1" ht="27" customHeight="1">
      <c r="A52" s="933" t="s">
        <v>5606</v>
      </c>
      <c r="B52" s="933" t="s">
        <v>4908</v>
      </c>
      <c r="C52" s="934">
        <v>93564</v>
      </c>
      <c r="D52" s="984" t="str">
        <f>IFERROR(UPPER(IF(B52="CPU",VLOOKUP(C52,#REF!,2,0),IF(B52="SINAPI",VLOOKUP(C52,#REF!,2,0),IF(B52="EDIF",VLOOKUP(C52,#REF!,2,0),IF(B52="CPOS",VLOOKUP(C52,#REF!,3,0),IF(B52="FDE",VLOOKUP(C52,#REF!,2,0),IF(B52="INFRA",VLOOKUP(C52,#REF!,2,0),""))))))),"")</f>
        <v/>
      </c>
      <c r="E52" s="78" t="str">
        <f>IFERROR(UPPER(IF(B52="CPU",VLOOKUP(C52,#REF!,3,0),IF(B52="SINAPI",VLOOKUP(C52,#REF!,3,0),IF(B52="EDIF",VLOOKUP(C52,#REF!,3,0),IF(B52="CPOS",VLOOKUP(C52,#REF!,4,0),IF(B52="FDE",VLOOKUP(C52,#REF!,3,0),IF(B52="INFRA",VLOOKUP(C52,#REF!,3,0),""))))))),"")</f>
        <v/>
      </c>
      <c r="F52" s="936">
        <v>8</v>
      </c>
      <c r="G52" s="985" t="str">
        <f>IFERROR(IF(B52="CPU",VLOOKUP(C52,#REF!,4,0),IF(B52="SINAPI",VLOOKUP(C52,#REF!,5,0),IF(B52="EDIF",VLOOKUP(C52,#REF!,4,0),IF(B52="CPOS",VLOOKUP(C52,#REF!,7,0),IF(B52="FDE",VLOOKUP(C52,#REF!,5,0),IF(B52="INFRA",VLOOKUP(C52,#REF!,4,0),""))))))*VLOOKUP(B52,#REF!,3,0),"")</f>
        <v/>
      </c>
      <c r="H52" s="986">
        <v>0.25</v>
      </c>
      <c r="I52" s="987" t="str">
        <f t="shared" si="2"/>
        <v/>
      </c>
      <c r="J52" s="988">
        <v>40419.300000000003</v>
      </c>
      <c r="K52" s="52"/>
      <c r="L52" s="940"/>
    </row>
    <row r="53" spans="1:12" s="25" customFormat="1" ht="27" customHeight="1">
      <c r="A53" s="933" t="s">
        <v>5607</v>
      </c>
      <c r="B53" s="933" t="s">
        <v>4908</v>
      </c>
      <c r="C53" s="934">
        <v>88255</v>
      </c>
      <c r="D53" s="984" t="str">
        <f>IFERROR(UPPER(IF(B53="CPU",VLOOKUP(C53,#REF!,2,0),IF(B53="SINAPI",VLOOKUP(C53,#REF!,2,0),IF(B53="EDIF",VLOOKUP(C53,#REF!,2,0),IF(B53="CPOS",VLOOKUP(C53,#REF!,3,0),IF(B53="FDE",VLOOKUP(C53,#REF!,2,0),IF(B53="INFRA",VLOOKUP(C53,#REF!,2,0),""))))))),"")</f>
        <v/>
      </c>
      <c r="E53" s="78" t="str">
        <f>IFERROR(UPPER(IF(B53="CPU",VLOOKUP(C53,#REF!,3,0),IF(B53="SINAPI",VLOOKUP(C53,#REF!,3,0),IF(B53="EDIF",VLOOKUP(C53,#REF!,3,0),IF(B53="CPOS",VLOOKUP(C53,#REF!,4,0),IF(B53="FDE",VLOOKUP(C53,#REF!,3,0),IF(B53="INFRA",VLOOKUP(C53,#REF!,3,0),""))))))),"")</f>
        <v/>
      </c>
      <c r="F53" s="936">
        <v>1408</v>
      </c>
      <c r="G53" s="985" t="str">
        <f>IFERROR(IF(B53="CPU",VLOOKUP(C53,#REF!,4,0),IF(B53="SINAPI",VLOOKUP(C53,#REF!,5,0),IF(B53="EDIF",VLOOKUP(C53,#REF!,4,0),IF(B53="CPOS",VLOOKUP(C53,#REF!,7,0),IF(B53="FDE",VLOOKUP(C53,#REF!,5,0),IF(B53="INFRA",VLOOKUP(C53,#REF!,4,0),""))))))*VLOOKUP(B53,#REF!,3,0),"")</f>
        <v/>
      </c>
      <c r="H53" s="986">
        <v>0.25</v>
      </c>
      <c r="I53" s="987" t="str">
        <f t="shared" si="2"/>
        <v/>
      </c>
      <c r="J53" s="988">
        <v>64838.400000000001</v>
      </c>
      <c r="K53" s="52"/>
      <c r="L53" s="940"/>
    </row>
    <row r="54" spans="1:12" s="25" customFormat="1" ht="27" customHeight="1">
      <c r="A54" s="933" t="s">
        <v>5608</v>
      </c>
      <c r="B54" s="933" t="s">
        <v>4908</v>
      </c>
      <c r="C54" s="934">
        <v>93566</v>
      </c>
      <c r="D54" s="984" t="str">
        <f>IFERROR(UPPER(IF(B54="CPU",VLOOKUP(C54,#REF!,2,0),IF(B54="SINAPI",VLOOKUP(C54,#REF!,2,0),IF(B54="EDIF",VLOOKUP(C54,#REF!,2,0),IF(B54="CPOS",VLOOKUP(C54,#REF!,3,0),IF(B54="FDE",VLOOKUP(C54,#REF!,2,0),IF(B54="INFRA",VLOOKUP(C54,#REF!,2,0),""))))))),"")</f>
        <v/>
      </c>
      <c r="E54" s="78" t="str">
        <f>IFERROR(UPPER(IF(B54="CPU",VLOOKUP(C54,#REF!,3,0),IF(B54="SINAPI",VLOOKUP(C54,#REF!,3,0),IF(B54="EDIF",VLOOKUP(C54,#REF!,3,0),IF(B54="CPOS",VLOOKUP(C54,#REF!,4,0),IF(B54="FDE",VLOOKUP(C54,#REF!,3,0),IF(B54="INFRA",VLOOKUP(C54,#REF!,3,0),""))))))),"")</f>
        <v/>
      </c>
      <c r="F54" s="936">
        <v>8</v>
      </c>
      <c r="G54" s="985" t="str">
        <f>IFERROR(IF(B54="CPU",VLOOKUP(C54,#REF!,4,0),IF(B54="SINAPI",VLOOKUP(C54,#REF!,5,0),IF(B54="EDIF",VLOOKUP(C54,#REF!,4,0),IF(B54="CPOS",VLOOKUP(C54,#REF!,7,0),IF(B54="FDE",VLOOKUP(C54,#REF!,5,0),IF(B54="INFRA",VLOOKUP(C54,#REF!,4,0),""))))))*VLOOKUP(B54,#REF!,3,0),"")</f>
        <v/>
      </c>
      <c r="H54" s="986">
        <v>0.25</v>
      </c>
      <c r="I54" s="987" t="str">
        <f t="shared" si="2"/>
        <v/>
      </c>
      <c r="J54" s="988">
        <v>37414</v>
      </c>
      <c r="K54" s="52"/>
      <c r="L54" s="940"/>
    </row>
    <row r="55" spans="1:12" s="300" customFormat="1" ht="27" customHeight="1">
      <c r="A55" s="933" t="s">
        <v>5609</v>
      </c>
      <c r="B55" s="933" t="s">
        <v>4908</v>
      </c>
      <c r="C55" s="934">
        <v>88326</v>
      </c>
      <c r="D55" s="984" t="str">
        <f>IFERROR(UPPER(IF(B55="CPU",VLOOKUP(C55,#REF!,2,0),IF(B55="SINAPI",VLOOKUP(C55,#REF!,2,0),IF(B55="EDIF",VLOOKUP(C55,#REF!,2,0),IF(B55="CPOS",VLOOKUP(C55,#REF!,3,0),IF(B55="FDE",VLOOKUP(C55,#REF!,2,0),IF(B55="INFRA",VLOOKUP(C55,#REF!,2,0),""))))))),"")</f>
        <v/>
      </c>
      <c r="E55" s="78" t="str">
        <f>IFERROR(UPPER(IF(B55="CPU",VLOOKUP(C55,#REF!,3,0),IF(B55="SINAPI",VLOOKUP(C55,#REF!,3,0),IF(B55="EDIF",VLOOKUP(C55,#REF!,3,0),IF(B55="CPOS",VLOOKUP(C55,#REF!,4,0),IF(B55="FDE",VLOOKUP(C55,#REF!,3,0),IF(B55="INFRA",VLOOKUP(C55,#REF!,3,0),""))))))),"")</f>
        <v/>
      </c>
      <c r="F55" s="936">
        <f>44*4*8</f>
        <v>1408</v>
      </c>
      <c r="G55" s="985" t="str">
        <f>IFERROR(IF(B55="CPU",VLOOKUP(C55,#REF!,4,0),IF(B55="SINAPI",VLOOKUP(C55,#REF!,5,0),IF(B55="EDIF",VLOOKUP(C55,#REF!,4,0),IF(B55="CPOS",VLOOKUP(C55,#REF!,7,0),IF(B55="FDE",VLOOKUP(C55,#REF!,5,0),IF(B55="INFRA",VLOOKUP(C55,#REF!,4,0),""))))))*VLOOKUP(B55,#REF!,3,0),"")</f>
        <v/>
      </c>
      <c r="H55" s="986">
        <v>0.25</v>
      </c>
      <c r="I55" s="987" t="str">
        <f t="shared" si="2"/>
        <v/>
      </c>
      <c r="J55" s="988">
        <v>39036.800000000003</v>
      </c>
      <c r="K55" s="52"/>
      <c r="L55" s="940"/>
    </row>
    <row r="56" spans="1:12" s="25" customFormat="1" ht="27" customHeight="1">
      <c r="A56" s="933"/>
      <c r="B56" s="933"/>
      <c r="C56" s="934"/>
      <c r="D56" s="984"/>
      <c r="E56" s="78"/>
      <c r="F56" s="936"/>
      <c r="G56" s="985"/>
      <c r="H56" s="986"/>
      <c r="I56" s="987"/>
      <c r="J56" s="988"/>
      <c r="K56" s="52"/>
      <c r="L56" s="940"/>
    </row>
    <row r="57" spans="1:12" s="25" customFormat="1" ht="27" customHeight="1">
      <c r="A57" s="975" t="s">
        <v>5610</v>
      </c>
      <c r="B57" s="976"/>
      <c r="C57" s="976"/>
      <c r="D57" s="977" t="s">
        <v>5611</v>
      </c>
      <c r="E57" s="978"/>
      <c r="F57" s="979"/>
      <c r="G57" s="980"/>
      <c r="H57" s="996"/>
      <c r="I57" s="981">
        <f>SUM(I58:I60)</f>
        <v>0</v>
      </c>
      <c r="J57" s="988"/>
      <c r="K57" s="52"/>
      <c r="L57" s="995"/>
    </row>
    <row r="58" spans="1:12" s="25" customFormat="1" ht="27" customHeight="1">
      <c r="A58" s="933" t="s">
        <v>5612</v>
      </c>
      <c r="B58" s="933" t="s">
        <v>4908</v>
      </c>
      <c r="C58" s="934">
        <v>93567</v>
      </c>
      <c r="D58" s="984" t="str">
        <f>IFERROR(UPPER(IF(B58="CPU",VLOOKUP(C58,#REF!,2,0),IF(B58="SINAPI",VLOOKUP(C58,#REF!,2,0),IF(B58="EDIF",VLOOKUP(C58,#REF!,2,0),IF(B58="CPOS",VLOOKUP(C58,#REF!,3,0),IF(B58="FDE",VLOOKUP(C58,#REF!,2,0),IF(B58="INFRA",VLOOKUP(C58,#REF!,2,0),""))))))),"")</f>
        <v/>
      </c>
      <c r="E58" s="78" t="str">
        <f>IFERROR(UPPER(IF(B58="CPU",VLOOKUP(C58,#REF!,3,0),IF(B58="SINAPI",VLOOKUP(C58,#REF!,3,0),IF(B58="EDIF",VLOOKUP(C58,#REF!,3,0),IF(B58="CPOS",VLOOKUP(C58,#REF!,4,0),IF(B58="FDE",VLOOKUP(C58,#REF!,3,0),IF(B58="INFRA",VLOOKUP(C58,#REF!,3,0),""))))))),"")</f>
        <v/>
      </c>
      <c r="F58" s="936">
        <v>8</v>
      </c>
      <c r="G58" s="985" t="str">
        <f>IFERROR(IF(B58="CPU",VLOOKUP(C58,#REF!,4,0),IF(B58="SINAPI",VLOOKUP(C58,#REF!,5,0),IF(B58="EDIF",VLOOKUP(C58,#REF!,4,0),IF(B58="CPOS",VLOOKUP(C58,#REF!,7,0),IF(B58="FDE",VLOOKUP(C58,#REF!,5,0),IF(B58="INFRA",VLOOKUP(C58,#REF!,4,0),""))))))*VLOOKUP(B58,#REF!,3,0),"")</f>
        <v/>
      </c>
      <c r="H58" s="986">
        <v>0.25</v>
      </c>
      <c r="I58" s="987" t="str">
        <f>IFERROR(F58*((G58*(1+H58))),"")</f>
        <v/>
      </c>
      <c r="J58" s="988">
        <v>169987.7</v>
      </c>
      <c r="K58" s="52"/>
      <c r="L58" s="940"/>
    </row>
    <row r="59" spans="1:12" s="25" customFormat="1" ht="27" customHeight="1">
      <c r="A59" s="933" t="s">
        <v>5613</v>
      </c>
      <c r="B59" s="933" t="s">
        <v>4908</v>
      </c>
      <c r="C59" s="934">
        <v>88255</v>
      </c>
      <c r="D59" s="984" t="str">
        <f>IFERROR(UPPER(IF(B59="CPU",VLOOKUP(C59,#REF!,2,0),IF(B59="SINAPI",VLOOKUP(C59,#REF!,2,0),IF(B59="EDIF",VLOOKUP(C59,#REF!,2,0),IF(B59="CPOS",VLOOKUP(C59,#REF!,3,0),IF(B59="FDE",VLOOKUP(C59,#REF!,2,0),IF(B59="INFRA",VLOOKUP(C59,#REF!,2,0),""))))))),"")</f>
        <v/>
      </c>
      <c r="E59" s="78" t="str">
        <f>IFERROR(UPPER(IF(B59="CPU",VLOOKUP(C59,#REF!,3,0),IF(B59="SINAPI",VLOOKUP(C59,#REF!,3,0),IF(B59="EDIF",VLOOKUP(C59,#REF!,3,0),IF(B59="CPOS",VLOOKUP(C59,#REF!,4,0),IF(B59="FDE",VLOOKUP(C59,#REF!,3,0),IF(B59="INFRA",VLOOKUP(C59,#REF!,3,0),""))))))),"")</f>
        <v/>
      </c>
      <c r="F59" s="936">
        <v>1408</v>
      </c>
      <c r="G59" s="985" t="str">
        <f>IFERROR(IF(B59="CPU",VLOOKUP(C59,#REF!,4,0),IF(B59="SINAPI",VLOOKUP(C59,#REF!,5,0),IF(B59="EDIF",VLOOKUP(C59,#REF!,4,0),IF(B59="CPOS",VLOOKUP(C59,#REF!,7,0),IF(B59="FDE",VLOOKUP(C59,#REF!,5,0),IF(B59="INFRA",VLOOKUP(C59,#REF!,4,0),""))))))*VLOOKUP(B59,#REF!,3,0),"")</f>
        <v/>
      </c>
      <c r="H59" s="986">
        <v>0.25</v>
      </c>
      <c r="I59" s="987" t="str">
        <f>IFERROR(F59*((G59*(1+H59))),"")</f>
        <v/>
      </c>
      <c r="J59" s="988">
        <v>64838.400000000001</v>
      </c>
      <c r="K59" s="52"/>
      <c r="L59" s="940"/>
    </row>
    <row r="60" spans="1:12" s="25" customFormat="1" ht="27" customHeight="1">
      <c r="A60" s="933" t="s">
        <v>5614</v>
      </c>
      <c r="B60" s="933" t="s">
        <v>4908</v>
      </c>
      <c r="C60" s="934">
        <v>93566</v>
      </c>
      <c r="D60" s="984" t="str">
        <f>IFERROR(UPPER(IF(B60="CPU",VLOOKUP(C60,#REF!,2,0),IF(B60="SINAPI",VLOOKUP(C60,#REF!,2,0),IF(B60="EDIF",VLOOKUP(C60,#REF!,2,0),IF(B60="CPOS",VLOOKUP(C60,#REF!,3,0),IF(B60="FDE",VLOOKUP(C60,#REF!,2,0),IF(B60="INFRA",VLOOKUP(C60,#REF!,2,0),""))))))),"")</f>
        <v/>
      </c>
      <c r="E60" s="78" t="str">
        <f>IFERROR(UPPER(IF(B60="CPU",VLOOKUP(C60,#REF!,3,0),IF(B60="SINAPI",VLOOKUP(C60,#REF!,3,0),IF(B60="EDIF",VLOOKUP(C60,#REF!,3,0),IF(B60="CPOS",VLOOKUP(C60,#REF!,4,0),IF(B60="FDE",VLOOKUP(C60,#REF!,3,0),IF(B60="INFRA",VLOOKUP(C60,#REF!,3,0),""))))))),"")</f>
        <v/>
      </c>
      <c r="F60" s="936">
        <v>8</v>
      </c>
      <c r="G60" s="985" t="str">
        <f>IFERROR(IF(B60="CPU",VLOOKUP(C60,#REF!,4,0),IF(B60="SINAPI",VLOOKUP(C60,#REF!,5,0),IF(B60="EDIF",VLOOKUP(C60,#REF!,4,0),IF(B60="CPOS",VLOOKUP(C60,#REF!,7,0),IF(B60="FDE",VLOOKUP(C60,#REF!,5,0),IF(B60="INFRA",VLOOKUP(C60,#REF!,4,0),""))))))*VLOOKUP(B60,#REF!,3,0),"")</f>
        <v/>
      </c>
      <c r="H60" s="986">
        <v>0.25</v>
      </c>
      <c r="I60" s="987" t="str">
        <f>IFERROR(F60*((G60*(1+H60))),"")</f>
        <v/>
      </c>
      <c r="J60" s="988">
        <v>37414</v>
      </c>
      <c r="K60" s="52"/>
      <c r="L60" s="940"/>
    </row>
    <row r="61" spans="1:12" s="25" customFormat="1" ht="27" customHeight="1">
      <c r="A61" s="933"/>
      <c r="B61" s="933"/>
      <c r="C61" s="933"/>
      <c r="D61" s="984"/>
      <c r="E61" s="78"/>
      <c r="F61" s="936"/>
      <c r="G61" s="985"/>
      <c r="H61" s="986"/>
      <c r="I61" s="987"/>
      <c r="J61" s="988"/>
      <c r="K61" s="52"/>
      <c r="L61" s="940"/>
    </row>
    <row r="62" spans="1:12" s="25" customFormat="1" ht="27" customHeight="1">
      <c r="A62" s="975" t="s">
        <v>1435</v>
      </c>
      <c r="B62" s="976"/>
      <c r="C62" s="976"/>
      <c r="D62" s="977" t="s">
        <v>5615</v>
      </c>
      <c r="E62" s="978"/>
      <c r="F62" s="979"/>
      <c r="G62" s="980"/>
      <c r="H62" s="996"/>
      <c r="I62" s="981">
        <f>SUM(I63:I64)</f>
        <v>0</v>
      </c>
      <c r="J62" s="988"/>
      <c r="K62" s="52"/>
      <c r="L62" s="995"/>
    </row>
    <row r="63" spans="1:12" s="25" customFormat="1" ht="27" customHeight="1">
      <c r="A63" s="933" t="s">
        <v>5616</v>
      </c>
      <c r="B63" s="933" t="s">
        <v>4872</v>
      </c>
      <c r="C63" s="994">
        <v>200316</v>
      </c>
      <c r="D63" s="984" t="str">
        <f>IFERROR(UPPER(IF(B63="CPU",VLOOKUP(C63,#REF!,2,0),IF(B63="SINAPI",VLOOKUP(C63,#REF!,2,0),IF(B63="EDIF",VLOOKUP(C63,#REF!,2,0),IF(B63="CPOS",VLOOKUP(C63,#REF!,3,0),IF(B63="FDE",VLOOKUP(C63,#REF!,2,0),IF(B63="INFRA",VLOOKUP(C63,#REF!,2,0),""))))))),"")</f>
        <v/>
      </c>
      <c r="E63" s="78" t="str">
        <f>IFERROR(UPPER(IF(B63="CPU",VLOOKUP(C63,#REF!,3,0),IF(B63="SINAPI",VLOOKUP(C63,#REF!,3,0),IF(B63="EDIF",VLOOKUP(C63,#REF!,3,0),IF(B63="CPOS",VLOOKUP(C63,#REF!,4,0),IF(B63="FDE",VLOOKUP(C63,#REF!,3,0),IF(B63="INFRA",VLOOKUP(C63,#REF!,3,0),""))))))),"")</f>
        <v/>
      </c>
      <c r="F63" s="936">
        <v>25</v>
      </c>
      <c r="G63" s="985" t="str">
        <f>IFERROR(IF(B63="CPU",VLOOKUP(C63,#REF!,4,0),IF(B63="SINAPI",VLOOKUP(C63,#REF!,5,0),IF(B63="EDIF",VLOOKUP(C63,#REF!,4,0),IF(B63="CPOS",VLOOKUP(C63,#REF!,7,0),IF(B63="FDE",VLOOKUP(C63,#REF!,5,0),IF(B63="INFRA",VLOOKUP(C63,#REF!,4,0),""))))))*VLOOKUP(B63,#REF!,3,0),"")</f>
        <v/>
      </c>
      <c r="H63" s="986">
        <v>0.25</v>
      </c>
      <c r="I63" s="987" t="str">
        <f>IFERROR(F63*((G63*(1+H63))),"")</f>
        <v/>
      </c>
      <c r="J63" s="988">
        <v>169987.7</v>
      </c>
      <c r="K63" s="52"/>
      <c r="L63" s="940"/>
    </row>
    <row r="64" spans="1:12" s="25" customFormat="1" ht="27" customHeight="1">
      <c r="A64" s="933" t="s">
        <v>5617</v>
      </c>
      <c r="B64" s="933" t="s">
        <v>4872</v>
      </c>
      <c r="C64" s="994">
        <v>200317</v>
      </c>
      <c r="D64" s="984" t="str">
        <f>IFERROR(UPPER(IF(B64="CPU",VLOOKUP(C64,#REF!,2,0),IF(B64="SINAPI",VLOOKUP(C64,#REF!,2,0),IF(B64="EDIF",VLOOKUP(C64,#REF!,2,0),IF(B64="CPOS",VLOOKUP(C64,#REF!,3,0),IF(B64="FDE",VLOOKUP(C64,#REF!,2,0),IF(B64="INFRA",VLOOKUP(C64,#REF!,2,0),""))))))),"")</f>
        <v/>
      </c>
      <c r="E64" s="78" t="str">
        <f>IFERROR(UPPER(IF(B64="CPU",VLOOKUP(C64,#REF!,3,0),IF(B64="SINAPI",VLOOKUP(C64,#REF!,3,0),IF(B64="EDIF",VLOOKUP(C64,#REF!,3,0),IF(B64="CPOS",VLOOKUP(C64,#REF!,4,0),IF(B64="FDE",VLOOKUP(C64,#REF!,3,0),IF(B64="INFRA",VLOOKUP(C64,#REF!,3,0),""))))))),"")</f>
        <v/>
      </c>
      <c r="F64" s="936">
        <v>25</v>
      </c>
      <c r="G64" s="985" t="str">
        <f>IFERROR(IF(B64="CPU",VLOOKUP(C64,#REF!,4,0),IF(B64="SINAPI",VLOOKUP(C64,#REF!,5,0),IF(B64="EDIF",VLOOKUP(C64,#REF!,4,0),IF(B64="CPOS",VLOOKUP(C64,#REF!,7,0),IF(B64="FDE",VLOOKUP(C64,#REF!,5,0),IF(B64="INFRA",VLOOKUP(C64,#REF!,4,0),""))))))*VLOOKUP(B64,#REF!,3,0),"")</f>
        <v/>
      </c>
      <c r="H64" s="986">
        <v>0.25</v>
      </c>
      <c r="I64" s="987" t="str">
        <f>IFERROR(F64*((G64*(1+H64))),"")</f>
        <v/>
      </c>
      <c r="J64" s="988">
        <v>64838.400000000001</v>
      </c>
      <c r="K64" s="52"/>
      <c r="L64" s="940"/>
    </row>
    <row r="65" spans="1:12" s="25" customFormat="1" ht="27" customHeight="1">
      <c r="A65" s="933"/>
      <c r="B65" s="933"/>
      <c r="C65" s="933"/>
      <c r="D65" s="984"/>
      <c r="E65" s="78"/>
      <c r="F65" s="936"/>
      <c r="G65" s="985"/>
      <c r="H65" s="986"/>
      <c r="I65" s="987"/>
      <c r="J65" s="988"/>
      <c r="K65" s="52"/>
      <c r="L65" s="940"/>
    </row>
    <row r="66" spans="1:12" s="300" customFormat="1" ht="27" customHeight="1">
      <c r="A66" s="998">
        <v>2</v>
      </c>
      <c r="B66" s="999"/>
      <c r="C66" s="999"/>
      <c r="D66" s="1000" t="s">
        <v>4900</v>
      </c>
      <c r="E66" s="967"/>
      <c r="F66" s="968"/>
      <c r="G66" s="969" t="str">
        <f>IFERROR(IF(B66="CPU",VLOOKUP(C66,#REF!,4,0),IF(B66="SINAPI",VLOOKUP(C66,#REF!,5,0),IF(B66="EDIF",VLOOKUP(C66,#REF!,4,0),IF(B66="CPOS",VLOOKUP(C66,#REF!,7,0),IF(B66="FDE",VLOOKUP(C66,#REF!,5,0),"")))))*VLOOKUP(B66,#REF!,3,0),"")</f>
        <v/>
      </c>
      <c r="H66" s="968"/>
      <c r="I66" s="971">
        <f>SUM(I67+I88+I114+I100+I109)</f>
        <v>0</v>
      </c>
      <c r="J66" s="988"/>
      <c r="K66" s="52"/>
      <c r="L66" s="940"/>
    </row>
    <row r="67" spans="1:12" s="25" customFormat="1" ht="27" customHeight="1">
      <c r="A67" s="975" t="s">
        <v>39</v>
      </c>
      <c r="B67" s="976"/>
      <c r="C67" s="976"/>
      <c r="D67" s="977" t="s">
        <v>5618</v>
      </c>
      <c r="E67" s="978" t="str">
        <f>IFERROR(UPPER(IF(B67="CPU",VLOOKUP(C67,#REF!,3,0),IF(B67="SINAPI",VLOOKUP(C67,#REF!,3,0),IF(B67="EDIF",VLOOKUP(C67,#REF!,3,0),IF(B67="CPOS",VLOOKUP(C67,#REF!,4,0),IF(B67="FDE",VLOOKUP(C67,#REF!,3,0),IF(B67="INFRA",VLOOKUP(C67,#REF!,3,0),""))))))),"")</f>
        <v/>
      </c>
      <c r="F67" s="979"/>
      <c r="G67" s="980" t="str">
        <f>IFERROR(IF(B67="CPU",VLOOKUP(C67,#REF!,4,0),IF(B67="SINAPI",VLOOKUP(C67,#REF!,5,0),IF(B67="EDIF",VLOOKUP(C67,#REF!,4,0),IF(B67="CPOS",VLOOKUP(C67,#REF!,7,0),IF(B67="FDE",VLOOKUP(C67,#REF!,5,0),IF(B67="INFRA",VLOOKUP(C67,#REF!,4,0),""))))))*VLOOKUP(B67,#REF!,3,0),"")</f>
        <v/>
      </c>
      <c r="H67" s="979"/>
      <c r="I67" s="981">
        <f>SUM(I68:I86)</f>
        <v>0</v>
      </c>
      <c r="J67" s="988"/>
      <c r="K67" s="52"/>
      <c r="L67" s="932"/>
    </row>
    <row r="68" spans="1:12" s="25" customFormat="1" ht="27" customHeight="1">
      <c r="A68" s="933" t="s">
        <v>42</v>
      </c>
      <c r="B68" s="933" t="s">
        <v>4908</v>
      </c>
      <c r="C68" s="1001">
        <v>97624</v>
      </c>
      <c r="D68" s="984" t="str">
        <f>IFERROR(UPPER(IF(B68="CPU",VLOOKUP(C68,#REF!,2,0),IF(B68="SINAPI",VLOOKUP(C68,#REF!,2,0),IF(B68="EDIF",VLOOKUP(C68,#REF!,2,0),IF(B68="CPOS",VLOOKUP(C68,#REF!,3,0),IF(B68="FDE",VLOOKUP(C68,#REF!,2,0),IF(B68="INFRA",VLOOKUP(C68,#REF!,2,0),""))))))),"")</f>
        <v/>
      </c>
      <c r="E68" s="78" t="str">
        <f>IFERROR(UPPER(IF(B68="CPU",VLOOKUP(C68,#REF!,3,0),IF(B68="SINAPI",VLOOKUP(C68,#REF!,3,0),IF(B68="EDIF",VLOOKUP(C68,#REF!,3,0),IF(B68="CPOS",VLOOKUP(C68,#REF!,4,0),IF(B68="FDE",VLOOKUP(C68,#REF!,3,0),IF(B68="INFRA",VLOOKUP(C68,#REF!,3,0),""))))))),"")</f>
        <v/>
      </c>
      <c r="F68" s="936">
        <v>903.3</v>
      </c>
      <c r="G68" s="985" t="str">
        <f>IFERROR(IF(B68="CPU",VLOOKUP(C68,#REF!,4,0),IF(B68="SINAPI",VLOOKUP(C68,#REF!,5,0),IF(B68="EDIF",VLOOKUP(C68,#REF!,4,0),IF(B68="CPOS",VLOOKUP(C68,#REF!,7,0),IF(B68="FDE",VLOOKUP(C68,#REF!,5,0),IF(B68="INFRA",VLOOKUP(C68,#REF!,4,0),""))))))*VLOOKUP(B68,#REF!,3,0),"")</f>
        <v/>
      </c>
      <c r="H68" s="986">
        <v>0.25</v>
      </c>
      <c r="I68" s="987" t="str">
        <f t="shared" ref="I68:I86" si="3">IFERROR(F68*((G68*(1+H68))),"")</f>
        <v/>
      </c>
      <c r="J68" s="988">
        <v>108023.38875</v>
      </c>
      <c r="K68" s="52"/>
      <c r="L68" s="940"/>
    </row>
    <row r="69" spans="1:12" s="25" customFormat="1" ht="27" customHeight="1">
      <c r="A69" s="933" t="s">
        <v>44</v>
      </c>
      <c r="B69" s="933" t="s">
        <v>4872</v>
      </c>
      <c r="C69" s="994">
        <v>175023</v>
      </c>
      <c r="D69" s="984" t="str">
        <f>IFERROR(UPPER(IF(B69="CPU",VLOOKUP(C69,#REF!,2,0),IF(B69="SINAPI",VLOOKUP(C69,#REF!,2,0),IF(B69="EDIF",VLOOKUP(C69,#REF!,2,0),IF(B69="CPOS",VLOOKUP(C69,#REF!,3,0),IF(B69="FDE",VLOOKUP(C69,#REF!,2,0),IF(B69="INFRA",VLOOKUP(C69,#REF!,2,0),""))))))),"")</f>
        <v/>
      </c>
      <c r="E69" s="78" t="str">
        <f>IFERROR(UPPER(IF(B69="CPU",VLOOKUP(C69,#REF!,3,0),IF(B69="SINAPI",VLOOKUP(C69,#REF!,3,0),IF(B69="EDIF",VLOOKUP(C69,#REF!,3,0),IF(B69="CPOS",VLOOKUP(C69,#REF!,4,0),IF(B69="FDE",VLOOKUP(C69,#REF!,3,0),IF(B69="INFRA",VLOOKUP(C69,#REF!,3,0),""))))))),"")</f>
        <v/>
      </c>
      <c r="F69" s="936">
        <v>30</v>
      </c>
      <c r="G69" s="985" t="str">
        <f>IFERROR(IF(B69="CPU",VLOOKUP(C69,#REF!,4,0),IF(B69="SINAPI",VLOOKUP(C69,#REF!,5,0),IF(B69="EDIF",VLOOKUP(C69,#REF!,4,0),IF(B69="CPOS",VLOOKUP(C69,#REF!,7,0),IF(B69="FDE",VLOOKUP(C69,#REF!,5,0),IF(B69="INFRA",VLOOKUP(C69,#REF!,4,0),""))))))*VLOOKUP(B69,#REF!,3,0),"")</f>
        <v/>
      </c>
      <c r="H69" s="986">
        <v>0.25</v>
      </c>
      <c r="I69" s="987" t="str">
        <f t="shared" si="3"/>
        <v/>
      </c>
      <c r="J69" s="988">
        <v>9692.625</v>
      </c>
      <c r="K69" s="52"/>
      <c r="L69" s="940"/>
    </row>
    <row r="70" spans="1:12" s="25" customFormat="1" ht="27" customHeight="1">
      <c r="A70" s="933" t="s">
        <v>46</v>
      </c>
      <c r="B70" s="933" t="s">
        <v>4908</v>
      </c>
      <c r="C70" s="1001">
        <v>97626</v>
      </c>
      <c r="D70" s="984" t="str">
        <f>IFERROR(UPPER(IF(B70="CPU",VLOOKUP(C70,#REF!,2,0),IF(B70="SINAPI",VLOOKUP(C70,#REF!,2,0),IF(B70="EDIF",VLOOKUP(C70,#REF!,2,0),IF(B70="CPOS",VLOOKUP(C70,#REF!,3,0),IF(B70="FDE",VLOOKUP(C70,#REF!,2,0),IF(B70="INFRA",VLOOKUP(C70,#REF!,2,0),""))))))),"")</f>
        <v/>
      </c>
      <c r="E70" s="78" t="str">
        <f>IFERROR(UPPER(IF(B70="CPU",VLOOKUP(C70,#REF!,3,0),IF(B70="SINAPI",VLOOKUP(C70,#REF!,3,0),IF(B70="EDIF",VLOOKUP(C70,#REF!,3,0),IF(B70="CPOS",VLOOKUP(C70,#REF!,4,0),IF(B70="FDE",VLOOKUP(C70,#REF!,3,0),IF(B70="INFRA",VLOOKUP(C70,#REF!,3,0),""))))))),"")</f>
        <v/>
      </c>
      <c r="F70" s="936">
        <v>53.47</v>
      </c>
      <c r="G70" s="985" t="str">
        <f>IFERROR(IF(B70="CPU",VLOOKUP(C70,#REF!,4,0),IF(B70="SINAPI",VLOOKUP(C70,#REF!,5,0),IF(B70="EDIF",VLOOKUP(C70,#REF!,4,0),IF(B70="CPOS",VLOOKUP(C70,#REF!,7,0),IF(B70="FDE",VLOOKUP(C70,#REF!,5,0),IF(B70="INFRA",VLOOKUP(C70,#REF!,4,0),""))))))*VLOOKUP(B70,#REF!,3,0),"")</f>
        <v/>
      </c>
      <c r="H70" s="986">
        <v>0.25</v>
      </c>
      <c r="I70" s="987" t="str">
        <f t="shared" si="3"/>
        <v/>
      </c>
      <c r="J70" s="988">
        <v>35218.683875000002</v>
      </c>
      <c r="K70" s="52"/>
      <c r="L70" s="940"/>
    </row>
    <row r="71" spans="1:12" s="25" customFormat="1" ht="27" customHeight="1">
      <c r="A71" s="933" t="s">
        <v>48</v>
      </c>
      <c r="B71" s="933" t="s">
        <v>4908</v>
      </c>
      <c r="C71" s="1001">
        <v>97627</v>
      </c>
      <c r="D71" s="984" t="str">
        <f>IFERROR(UPPER(IF(B71="CPU",VLOOKUP(C71,#REF!,2,0),IF(B71="SINAPI",VLOOKUP(C71,#REF!,2,0),IF(B71="EDIF",VLOOKUP(C71,#REF!,2,0),IF(B71="CPOS",VLOOKUP(C71,#REF!,3,0),IF(B71="FDE",VLOOKUP(C71,#REF!,2,0),IF(B71="INFRA",VLOOKUP(C71,#REF!,2,0),""))))))),"")</f>
        <v/>
      </c>
      <c r="E71" s="78" t="str">
        <f>IFERROR(UPPER(IF(B71="CPU",VLOOKUP(C71,#REF!,3,0),IF(B71="SINAPI",VLOOKUP(C71,#REF!,3,0),IF(B71="EDIF",VLOOKUP(C71,#REF!,3,0),IF(B71="CPOS",VLOOKUP(C71,#REF!,4,0),IF(B71="FDE",VLOOKUP(C71,#REF!,3,0),IF(B71="INFRA",VLOOKUP(C71,#REF!,3,0),""))))))),"")</f>
        <v/>
      </c>
      <c r="F71" s="936">
        <v>723.17</v>
      </c>
      <c r="G71" s="985" t="str">
        <f>IFERROR(IF(B71="CPU",VLOOKUP(C71,#REF!,4,0),IF(B71="SINAPI",VLOOKUP(C71,#REF!,5,0),IF(B71="EDIF",VLOOKUP(C71,#REF!,4,0),IF(B71="CPOS",VLOOKUP(C71,#REF!,7,0),IF(B71="FDE",VLOOKUP(C71,#REF!,5,0),IF(B71="INFRA",VLOOKUP(C71,#REF!,4,0),""))))))*VLOOKUP(B71,#REF!,3,0),"")</f>
        <v/>
      </c>
      <c r="H71" s="986">
        <v>0.25</v>
      </c>
      <c r="I71" s="987" t="str">
        <f t="shared" si="3"/>
        <v/>
      </c>
      <c r="J71" s="988">
        <v>232851.70037499999</v>
      </c>
      <c r="K71" s="52"/>
      <c r="L71" s="940"/>
    </row>
    <row r="72" spans="1:12" s="25" customFormat="1" ht="27" customHeight="1">
      <c r="A72" s="933" t="s">
        <v>50</v>
      </c>
      <c r="B72" s="933" t="s">
        <v>4908</v>
      </c>
      <c r="C72" s="1001">
        <v>97628</v>
      </c>
      <c r="D72" s="984" t="str">
        <f>IFERROR(UPPER(IF(B72="CPU",VLOOKUP(C72,#REF!,2,0),IF(B72="SINAPI",VLOOKUP(C72,#REF!,2,0),IF(B72="EDIF",VLOOKUP(C72,#REF!,2,0),IF(B72="CPOS",VLOOKUP(C72,#REF!,3,0),IF(B72="FDE",VLOOKUP(C72,#REF!,2,0),IF(B72="INFRA",VLOOKUP(C72,#REF!,2,0),""))))))),"")</f>
        <v/>
      </c>
      <c r="E72" s="78" t="str">
        <f>IFERROR(UPPER(IF(B72="CPU",VLOOKUP(C72,#REF!,3,0),IF(B72="SINAPI",VLOOKUP(C72,#REF!,3,0),IF(B72="EDIF",VLOOKUP(C72,#REF!,3,0),IF(B72="CPOS",VLOOKUP(C72,#REF!,4,0),IF(B72="FDE",VLOOKUP(C72,#REF!,3,0),IF(B72="INFRA",VLOOKUP(C72,#REF!,3,0),""))))))),"")</f>
        <v/>
      </c>
      <c r="F72" s="936">
        <v>137.81</v>
      </c>
      <c r="G72" s="985" t="str">
        <f>IFERROR(IF(B72="CPU",VLOOKUP(C72,#REF!,4,0),IF(B72="SINAPI",VLOOKUP(C72,#REF!,5,0),IF(B72="EDIF",VLOOKUP(C72,#REF!,4,0),IF(B72="CPOS",VLOOKUP(C72,#REF!,7,0),IF(B72="FDE",VLOOKUP(C72,#REF!,5,0),IF(B72="INFRA",VLOOKUP(C72,#REF!,4,0),""))))))*VLOOKUP(B72,#REF!,3,0),"")</f>
        <v/>
      </c>
      <c r="H72" s="986">
        <v>0.25</v>
      </c>
      <c r="I72" s="987" t="str">
        <f t="shared" si="3"/>
        <v/>
      </c>
      <c r="J72" s="988">
        <v>43320.573499999999</v>
      </c>
      <c r="K72" s="52"/>
      <c r="L72" s="940"/>
    </row>
    <row r="73" spans="1:12" s="25" customFormat="1" ht="27" customHeight="1">
      <c r="A73" s="933" t="s">
        <v>5619</v>
      </c>
      <c r="B73" s="933" t="s">
        <v>4908</v>
      </c>
      <c r="C73" s="1001">
        <v>97640</v>
      </c>
      <c r="D73" s="984" t="str">
        <f>IFERROR(UPPER(IF(B73="CPU",VLOOKUP(C73,#REF!,2,0),IF(B73="SINAPI",VLOOKUP(C73,#REF!,2,0),IF(B73="EDIF",VLOOKUP(C73,#REF!,2,0),IF(B73="CPOS",VLOOKUP(C73,#REF!,3,0),IF(B73="FDE",VLOOKUP(C73,#REF!,2,0),IF(B73="INFRA",VLOOKUP(C73,#REF!,2,0),""))))))),"")</f>
        <v/>
      </c>
      <c r="E73" s="78" t="str">
        <f>IFERROR(UPPER(IF(B73="CPU",VLOOKUP(C73,#REF!,3,0),IF(B73="SINAPI",VLOOKUP(C73,#REF!,3,0),IF(B73="EDIF",VLOOKUP(C73,#REF!,3,0),IF(B73="CPOS",VLOOKUP(C73,#REF!,4,0),IF(B73="FDE",VLOOKUP(C73,#REF!,3,0),IF(B73="INFRA",VLOOKUP(C73,#REF!,3,0),""))))))),"")</f>
        <v/>
      </c>
      <c r="F73" s="936">
        <v>3594.66</v>
      </c>
      <c r="G73" s="985" t="str">
        <f>IFERROR(IF(B73="CPU",VLOOKUP(C73,#REF!,4,0),IF(B73="SINAPI",VLOOKUP(C73,#REF!,5,0),IF(B73="EDIF",VLOOKUP(C73,#REF!,4,0),IF(B73="CPOS",VLOOKUP(C73,#REF!,7,0),IF(B73="FDE",VLOOKUP(C73,#REF!,5,0),IF(B73="INFRA",VLOOKUP(C73,#REF!,4,0),""))))))*VLOOKUP(B73,#REF!,3,0),"")</f>
        <v/>
      </c>
      <c r="H73" s="986">
        <v>0.25</v>
      </c>
      <c r="I73" s="987" t="str">
        <f t="shared" si="3"/>
        <v/>
      </c>
      <c r="J73" s="988">
        <v>7279.1864999999998</v>
      </c>
      <c r="K73" s="52"/>
      <c r="L73" s="940"/>
    </row>
    <row r="74" spans="1:12" s="25" customFormat="1" ht="27" customHeight="1">
      <c r="A74" s="933" t="s">
        <v>5620</v>
      </c>
      <c r="B74" s="933" t="s">
        <v>4908</v>
      </c>
      <c r="C74" s="1001">
        <v>97641</v>
      </c>
      <c r="D74" s="984" t="str">
        <f>IFERROR(UPPER(IF(B74="CPU",VLOOKUP(C74,#REF!,2,0),IF(B74="SINAPI",VLOOKUP(C74,#REF!,2,0),IF(B74="EDIF",VLOOKUP(C74,#REF!,2,0),IF(B74="CPOS",VLOOKUP(C74,#REF!,3,0),IF(B74="FDE",VLOOKUP(C74,#REF!,2,0),IF(B74="INFRA",VLOOKUP(C74,#REF!,2,0),""))))))),"")</f>
        <v/>
      </c>
      <c r="E74" s="78" t="str">
        <f>IFERROR(UPPER(IF(B74="CPU",VLOOKUP(C74,#REF!,3,0),IF(B74="SINAPI",VLOOKUP(C74,#REF!,3,0),IF(B74="EDIF",VLOOKUP(C74,#REF!,3,0),IF(B74="CPOS",VLOOKUP(C74,#REF!,4,0),IF(B74="FDE",VLOOKUP(C74,#REF!,3,0),IF(B74="INFRA",VLOOKUP(C74,#REF!,3,0),""))))))),"")</f>
        <v/>
      </c>
      <c r="F74" s="936">
        <v>1279.22</v>
      </c>
      <c r="G74" s="985" t="str">
        <f>IFERROR(IF(B74="CPU",VLOOKUP(C74,#REF!,4,0),IF(B74="SINAPI",VLOOKUP(C74,#REF!,5,0),IF(B74="EDIF",VLOOKUP(C74,#REF!,4,0),IF(B74="CPOS",VLOOKUP(C74,#REF!,7,0),IF(B74="FDE",VLOOKUP(C74,#REF!,5,0),IF(B74="INFRA",VLOOKUP(C74,#REF!,4,0),""))))))*VLOOKUP(B74,#REF!,3,0),"")</f>
        <v/>
      </c>
      <c r="H74" s="986">
        <v>0.25</v>
      </c>
      <c r="I74" s="987" t="str">
        <f t="shared" si="3"/>
        <v/>
      </c>
      <c r="J74" s="988">
        <v>7099.6710000000003</v>
      </c>
      <c r="K74" s="52"/>
      <c r="L74" s="940"/>
    </row>
    <row r="75" spans="1:12" s="25" customFormat="1" ht="27" customHeight="1">
      <c r="A75" s="933" t="s">
        <v>5621</v>
      </c>
      <c r="B75" s="933" t="s">
        <v>4908</v>
      </c>
      <c r="C75" s="1001">
        <v>97642</v>
      </c>
      <c r="D75" s="984" t="str">
        <f>IFERROR(UPPER(IF(B75="CPU",VLOOKUP(C75,#REF!,2,0),IF(B75="SINAPI",VLOOKUP(C75,#REF!,2,0),IF(B75="EDIF",VLOOKUP(C75,#REF!,2,0),IF(B75="CPOS",VLOOKUP(C75,#REF!,3,0),IF(B75="FDE",VLOOKUP(C75,#REF!,2,0),IF(B75="INFRA",VLOOKUP(C75,#REF!,2,0),""))))))),"")</f>
        <v/>
      </c>
      <c r="E75" s="78" t="str">
        <f>IFERROR(UPPER(IF(B75="CPU",VLOOKUP(C75,#REF!,3,0),IF(B75="SINAPI",VLOOKUP(C75,#REF!,3,0),IF(B75="EDIF",VLOOKUP(C75,#REF!,3,0),IF(B75="CPOS",VLOOKUP(C75,#REF!,4,0),IF(B75="FDE",VLOOKUP(C75,#REF!,3,0),IF(B75="INFRA",VLOOKUP(C75,#REF!,3,0),""))))))),"")</f>
        <v/>
      </c>
      <c r="F75" s="936">
        <v>4873.88</v>
      </c>
      <c r="G75" s="985" t="str">
        <f>IFERROR(IF(B75="CPU",VLOOKUP(C75,#REF!,4,0),IF(B75="SINAPI",VLOOKUP(C75,#REF!,5,0),IF(B75="EDIF",VLOOKUP(C75,#REF!,4,0),IF(B75="CPOS",VLOOKUP(C75,#REF!,7,0),IF(B75="FDE",VLOOKUP(C75,#REF!,5,0),IF(B75="INFRA",VLOOKUP(C75,#REF!,4,0),""))))))*VLOOKUP(B75,#REF!,3,0),"")</f>
        <v/>
      </c>
      <c r="H75" s="986">
        <v>0.25</v>
      </c>
      <c r="I75" s="987" t="str">
        <f t="shared" si="3"/>
        <v/>
      </c>
      <c r="J75" s="988">
        <v>17667.814999999999</v>
      </c>
      <c r="K75" s="52"/>
      <c r="L75" s="940"/>
    </row>
    <row r="76" spans="1:12" s="25" customFormat="1" ht="27" customHeight="1">
      <c r="A76" s="933" t="s">
        <v>5622</v>
      </c>
      <c r="B76" s="933" t="s">
        <v>4908</v>
      </c>
      <c r="C76" s="1001">
        <v>97647</v>
      </c>
      <c r="D76" s="984" t="str">
        <f>IFERROR(UPPER(IF(B76="CPU",VLOOKUP(C76,#REF!,2,0),IF(B76="SINAPI",VLOOKUP(C76,#REF!,2,0),IF(B76="EDIF",VLOOKUP(C76,#REF!,2,0),IF(B76="CPOS",VLOOKUP(C76,#REF!,3,0),IF(B76="FDE",VLOOKUP(C76,#REF!,2,0),IF(B76="INFRA",VLOOKUP(C76,#REF!,2,0),""))))))),"")</f>
        <v/>
      </c>
      <c r="E76" s="78" t="str">
        <f>IFERROR(UPPER(IF(B76="CPU",VLOOKUP(C76,#REF!,3,0),IF(B76="SINAPI",VLOOKUP(C76,#REF!,3,0),IF(B76="EDIF",VLOOKUP(C76,#REF!,3,0),IF(B76="CPOS",VLOOKUP(C76,#REF!,4,0),IF(B76="FDE",VLOOKUP(C76,#REF!,3,0),IF(B76="INFRA",VLOOKUP(C76,#REF!,3,0),""))))))),"")</f>
        <v/>
      </c>
      <c r="F76" s="936">
        <v>2242</v>
      </c>
      <c r="G76" s="985" t="str">
        <f>IFERROR(IF(B76="CPU",VLOOKUP(C76,#REF!,4,0),IF(B76="SINAPI",VLOOKUP(C76,#REF!,5,0),IF(B76="EDIF",VLOOKUP(C76,#REF!,4,0),IF(B76="CPOS",VLOOKUP(C76,#REF!,7,0),IF(B76="FDE",VLOOKUP(C76,#REF!,5,0),IF(B76="INFRA",VLOOKUP(C76,#REF!,4,0),""))))))*VLOOKUP(B76,#REF!,3,0),"")</f>
        <v/>
      </c>
      <c r="H76" s="986">
        <v>0.25</v>
      </c>
      <c r="I76" s="987" t="str">
        <f t="shared" si="3"/>
        <v/>
      </c>
      <c r="J76" s="988">
        <v>8351.4500000000007</v>
      </c>
      <c r="K76" s="52"/>
      <c r="L76" s="940"/>
    </row>
    <row r="77" spans="1:12" s="25" customFormat="1" ht="27" customHeight="1">
      <c r="A77" s="933" t="s">
        <v>5623</v>
      </c>
      <c r="B77" s="933" t="s">
        <v>4908</v>
      </c>
      <c r="C77" s="1001">
        <v>97655</v>
      </c>
      <c r="D77" s="984" t="str">
        <f>IFERROR(UPPER(IF(B77="CPU",VLOOKUP(C77,#REF!,2,0),IF(B77="SINAPI",VLOOKUP(C77,#REF!,2,0),IF(B77="EDIF",VLOOKUP(C77,#REF!,2,0),IF(B77="CPOS",VLOOKUP(C77,#REF!,3,0),IF(B77="FDE",VLOOKUP(C77,#REF!,2,0),IF(B77="INFRA",VLOOKUP(C77,#REF!,2,0),""))))))),"")</f>
        <v/>
      </c>
      <c r="E77" s="78" t="str">
        <f>IFERROR(UPPER(IF(B77="CPU",VLOOKUP(C77,#REF!,3,0),IF(B77="SINAPI",VLOOKUP(C77,#REF!,3,0),IF(B77="EDIF",VLOOKUP(C77,#REF!,3,0),IF(B77="CPOS",VLOOKUP(C77,#REF!,4,0),IF(B77="FDE",VLOOKUP(C77,#REF!,3,0),IF(B77="INFRA",VLOOKUP(C77,#REF!,3,0),""))))))),"")</f>
        <v/>
      </c>
      <c r="F77" s="936">
        <v>2242</v>
      </c>
      <c r="G77" s="985" t="str">
        <f>IFERROR(IF(B77="CPU",VLOOKUP(C77,#REF!,4,0),IF(B77="SINAPI",VLOOKUP(C77,#REF!,5,0),IF(B77="EDIF",VLOOKUP(C77,#REF!,4,0),IF(B77="CPOS",VLOOKUP(C77,#REF!,7,0),IF(B77="FDE",VLOOKUP(C77,#REF!,5,0),IF(B77="INFRA",VLOOKUP(C77,#REF!,4,0),""))))))*VLOOKUP(B77,#REF!,3,0),"")</f>
        <v/>
      </c>
      <c r="H77" s="986">
        <v>0.25</v>
      </c>
      <c r="I77" s="987" t="str">
        <f t="shared" si="3"/>
        <v/>
      </c>
      <c r="J77" s="988">
        <v>48735.474999999999</v>
      </c>
      <c r="K77" s="52"/>
      <c r="L77" s="940"/>
    </row>
    <row r="78" spans="1:12" s="300" customFormat="1" ht="27" customHeight="1">
      <c r="A78" s="933" t="s">
        <v>5624</v>
      </c>
      <c r="B78" s="933" t="s">
        <v>4908</v>
      </c>
      <c r="C78" s="1001">
        <v>97631</v>
      </c>
      <c r="D78" s="984" t="str">
        <f>IFERROR(UPPER(IF(B78="CPU",VLOOKUP(C78,#REF!,2,0),IF(B78="SINAPI",VLOOKUP(C78,#REF!,2,0),IF(B78="EDIF",VLOOKUP(C78,#REF!,2,0),IF(B78="CPOS",VLOOKUP(C78,#REF!,3,0),IF(B78="FDE",VLOOKUP(C78,#REF!,2,0),IF(B78="INFRA",VLOOKUP(C78,#REF!,2,0),""))))))),"")</f>
        <v/>
      </c>
      <c r="E78" s="78" t="str">
        <f>IFERROR(UPPER(IF(B78="CPU",VLOOKUP(C78,#REF!,3,0),IF(B78="SINAPI",VLOOKUP(C78,#REF!,3,0),IF(B78="EDIF",VLOOKUP(C78,#REF!,3,0),IF(B78="CPOS",VLOOKUP(C78,#REF!,4,0),IF(B78="FDE",VLOOKUP(C78,#REF!,3,0),IF(B78="INFRA",VLOOKUP(C78,#REF!,3,0),""))))))),"")</f>
        <v/>
      </c>
      <c r="F78" s="936">
        <v>3600</v>
      </c>
      <c r="G78" s="985" t="str">
        <f>IFERROR(IF(B78="CPU",VLOOKUP(C78,#REF!,4,0),IF(B78="SINAPI",VLOOKUP(C78,#REF!,5,0),IF(B78="EDIF",VLOOKUP(C78,#REF!,4,0),IF(B78="CPOS",VLOOKUP(C78,#REF!,7,0),IF(B78="FDE",VLOOKUP(C78,#REF!,5,0),IF(B78="INFRA",VLOOKUP(C78,#REF!,4,0),""))))))*VLOOKUP(B78,#REF!,3,0),"")</f>
        <v/>
      </c>
      <c r="H78" s="986">
        <v>0.25</v>
      </c>
      <c r="I78" s="987" t="str">
        <f t="shared" si="3"/>
        <v/>
      </c>
      <c r="J78" s="988">
        <v>13275</v>
      </c>
      <c r="K78" s="52"/>
      <c r="L78" s="940"/>
    </row>
    <row r="79" spans="1:12" s="25" customFormat="1" ht="27" customHeight="1">
      <c r="A79" s="933" t="s">
        <v>5625</v>
      </c>
      <c r="B79" s="933" t="s">
        <v>4908</v>
      </c>
      <c r="C79" s="1001">
        <v>97633</v>
      </c>
      <c r="D79" s="984" t="str">
        <f>IFERROR(UPPER(IF(B79="CPU",VLOOKUP(C79,#REF!,2,0),IF(B79="SINAPI",VLOOKUP(C79,#REF!,2,0),IF(B79="EDIF",VLOOKUP(C79,#REF!,2,0),IF(B79="CPOS",VLOOKUP(C79,#REF!,3,0),IF(B79="FDE",VLOOKUP(C79,#REF!,2,0),IF(B79="INFRA",VLOOKUP(C79,#REF!,2,0),""))))))),"")</f>
        <v/>
      </c>
      <c r="E79" s="78" t="str">
        <f>IFERROR(UPPER(IF(B79="CPU",VLOOKUP(C79,#REF!,3,0),IF(B79="SINAPI",VLOOKUP(C79,#REF!,3,0),IF(B79="EDIF",VLOOKUP(C79,#REF!,3,0),IF(B79="CPOS",VLOOKUP(C79,#REF!,4,0),IF(B79="FDE",VLOOKUP(C79,#REF!,3,0),IF(B79="INFRA",VLOOKUP(C79,#REF!,3,0),""))))))),"")</f>
        <v/>
      </c>
      <c r="F79" s="936">
        <v>4873.88</v>
      </c>
      <c r="G79" s="985" t="str">
        <f>IFERROR(IF(B79="CPU",VLOOKUP(C79,#REF!,4,0),IF(B79="SINAPI",VLOOKUP(C79,#REF!,5,0),IF(B79="EDIF",VLOOKUP(C79,#REF!,4,0),IF(B79="CPOS",VLOOKUP(C79,#REF!,7,0),IF(B79="FDE",VLOOKUP(C79,#REF!,5,0),IF(B79="INFRA",VLOOKUP(C79,#REF!,4,0),""))))))*VLOOKUP(B79,#REF!,3,0),"")</f>
        <v/>
      </c>
      <c r="H79" s="986">
        <v>0.25</v>
      </c>
      <c r="I79" s="987" t="str">
        <f t="shared" si="3"/>
        <v/>
      </c>
      <c r="J79" s="988">
        <v>123004.5465</v>
      </c>
      <c r="K79" s="52"/>
      <c r="L79" s="940"/>
    </row>
    <row r="80" spans="1:12" s="25" customFormat="1" ht="27" customHeight="1">
      <c r="A80" s="933" t="s">
        <v>5626</v>
      </c>
      <c r="B80" s="933" t="s">
        <v>1479</v>
      </c>
      <c r="C80" s="1001" t="s">
        <v>5627</v>
      </c>
      <c r="D80" s="984" t="str">
        <f>IFERROR(UPPER(IF(B80="CPU",VLOOKUP(C80,#REF!,2,0),IF(B80="SINAPI",VLOOKUP(C80,#REF!,2,0),IF(B80="EDIF",VLOOKUP(C80,#REF!,2,0),IF(B80="CPOS",VLOOKUP(C80,#REF!,3,0),IF(B80="FDE",VLOOKUP(C80,#REF!,2,0),IF(B80="INFRA",VLOOKUP(C80,#REF!,2,0),""))))))),"")</f>
        <v/>
      </c>
      <c r="E80" s="78" t="str">
        <f>IFERROR(UPPER(IF(B80="CPU",VLOOKUP(C80,#REF!,3,0),IF(B80="SINAPI",VLOOKUP(C80,#REF!,3,0),IF(B80="EDIF",VLOOKUP(C80,#REF!,3,0),IF(B80="CPOS",VLOOKUP(C80,#REF!,4,0),IF(B80="FDE",VLOOKUP(C80,#REF!,3,0),IF(B80="INFRA",VLOOKUP(C80,#REF!,3,0),""))))))),"")</f>
        <v/>
      </c>
      <c r="F80" s="936">
        <v>296</v>
      </c>
      <c r="G80" s="985" t="str">
        <f>IFERROR(IF(B80="CPU",VLOOKUP(C80,#REF!,4,0),IF(B80="SINAPI",VLOOKUP(C80,#REF!,5,0),IF(B80="EDIF",VLOOKUP(C80,#REF!,4,0),IF(B80="CPOS",VLOOKUP(C80,#REF!,7,0),IF(B80="FDE",VLOOKUP(C80,#REF!,5,0),IF(B80="INFRA",VLOOKUP(C80,#REF!,4,0),""))))))*VLOOKUP(B80,#REF!,3,0),"")</f>
        <v/>
      </c>
      <c r="H80" s="986">
        <v>0.25</v>
      </c>
      <c r="I80" s="987" t="str">
        <f t="shared" si="3"/>
        <v/>
      </c>
      <c r="J80" s="988">
        <v>6164.2</v>
      </c>
      <c r="K80" s="52"/>
      <c r="L80" s="940"/>
    </row>
    <row r="81" spans="1:12" s="25" customFormat="1" ht="27" customHeight="1">
      <c r="A81" s="933" t="s">
        <v>5628</v>
      </c>
      <c r="B81" s="933" t="s">
        <v>1479</v>
      </c>
      <c r="C81" s="1001" t="s">
        <v>5629</v>
      </c>
      <c r="D81" s="984" t="str">
        <f>IFERROR(UPPER(IF(B81="CPU",VLOOKUP(C81,#REF!,2,0),IF(B81="SINAPI",VLOOKUP(C81,#REF!,2,0),IF(B81="EDIF",VLOOKUP(C81,#REF!,2,0),IF(B81="CPOS",VLOOKUP(C81,#REF!,3,0),IF(B81="FDE",VLOOKUP(C81,#REF!,2,0),IF(B81="INFRA",VLOOKUP(C81,#REF!,2,0),""))))))),"")</f>
        <v/>
      </c>
      <c r="E81" s="78" t="str">
        <f>IFERROR(UPPER(IF(B81="CPU",VLOOKUP(C81,#REF!,3,0),IF(B81="SINAPI",VLOOKUP(C81,#REF!,3,0),IF(B81="EDIF",VLOOKUP(C81,#REF!,3,0),IF(B81="CPOS",VLOOKUP(C81,#REF!,4,0),IF(B81="FDE",VLOOKUP(C81,#REF!,3,0),IF(B81="INFRA",VLOOKUP(C81,#REF!,3,0),""))))))),"")</f>
        <v/>
      </c>
      <c r="F81" s="936">
        <v>3428.4</v>
      </c>
      <c r="G81" s="985" t="str">
        <f>IFERROR(IF(B81="CPU",VLOOKUP(C81,#REF!,4,0),IF(B81="SINAPI",VLOOKUP(C81,#REF!,5,0),IF(B81="EDIF",VLOOKUP(C81,#REF!,4,0),IF(B81="CPOS",VLOOKUP(C81,#REF!,7,0),IF(B81="FDE",VLOOKUP(C81,#REF!,5,0),IF(B81="INFRA",VLOOKUP(C81,#REF!,4,0),""))))))*VLOOKUP(B81,#REF!,3,0),"")</f>
        <v/>
      </c>
      <c r="H81" s="986">
        <v>0.25</v>
      </c>
      <c r="I81" s="987" t="str">
        <f t="shared" si="3"/>
        <v/>
      </c>
      <c r="J81" s="988">
        <v>5485.44</v>
      </c>
      <c r="K81" s="52"/>
      <c r="L81" s="940"/>
    </row>
    <row r="82" spans="1:12" s="25" customFormat="1" ht="27" customHeight="1">
      <c r="A82" s="933" t="s">
        <v>5630</v>
      </c>
      <c r="B82" s="933" t="s">
        <v>1479</v>
      </c>
      <c r="C82" s="1001" t="s">
        <v>5631</v>
      </c>
      <c r="D82" s="984" t="str">
        <f>IFERROR(UPPER(IF(B82="CPU",VLOOKUP(C82,#REF!,2,0),IF(B82="SINAPI",VLOOKUP(C82,#REF!,2,0),IF(B82="EDIF",VLOOKUP(C82,#REF!,2,0),IF(B82="CPOS",VLOOKUP(C82,#REF!,3,0),IF(B82="FDE",VLOOKUP(C82,#REF!,2,0),IF(B82="INFRA",VLOOKUP(C82,#REF!,2,0),""))))))),"")</f>
        <v/>
      </c>
      <c r="E82" s="78" t="str">
        <f>IFERROR(UPPER(IF(B82="CPU",VLOOKUP(C82,#REF!,3,0),IF(B82="SINAPI",VLOOKUP(C82,#REF!,3,0),IF(B82="EDIF",VLOOKUP(C82,#REF!,3,0),IF(B82="CPOS",VLOOKUP(C82,#REF!,4,0),IF(B82="FDE",VLOOKUP(C82,#REF!,3,0),IF(B82="INFRA",VLOOKUP(C82,#REF!,3,0),""))))))),"")</f>
        <v/>
      </c>
      <c r="F82" s="936">
        <v>1539.2</v>
      </c>
      <c r="G82" s="985" t="str">
        <f>IFERROR(IF(B82="CPU",VLOOKUP(C82,#REF!,4,0),IF(B82="SINAPI",VLOOKUP(C82,#REF!,5,0),IF(B82="EDIF",VLOOKUP(C82,#REF!,4,0),IF(B82="CPOS",VLOOKUP(C82,#REF!,7,0),IF(B82="FDE",VLOOKUP(C82,#REF!,5,0),IF(B82="INFRA",VLOOKUP(C82,#REF!,4,0),""))))))*VLOOKUP(B82,#REF!,3,0),"")</f>
        <v/>
      </c>
      <c r="H82" s="986">
        <v>0.25</v>
      </c>
      <c r="I82" s="987" t="str">
        <f t="shared" si="3"/>
        <v/>
      </c>
      <c r="J82" s="988">
        <v>19220.759999999998</v>
      </c>
      <c r="K82" s="52"/>
      <c r="L82" s="940"/>
    </row>
    <row r="83" spans="1:12" s="25" customFormat="1" ht="27" customHeight="1">
      <c r="A83" s="933" t="s">
        <v>5632</v>
      </c>
      <c r="B83" s="933" t="s">
        <v>4908</v>
      </c>
      <c r="C83" s="1001">
        <v>97645</v>
      </c>
      <c r="D83" s="984" t="str">
        <f>IFERROR(UPPER(IF(B83="CPU",VLOOKUP(C83,#REF!,2,0),IF(B83="SINAPI",VLOOKUP(C83,#REF!,2,0),IF(B83="EDIF",VLOOKUP(C83,#REF!,2,0),IF(B83="CPOS",VLOOKUP(C83,#REF!,3,0),IF(B83="FDE",VLOOKUP(C83,#REF!,2,0),IF(B83="INFRA",VLOOKUP(C83,#REF!,2,0),""))))))),"")</f>
        <v/>
      </c>
      <c r="E83" s="78" t="str">
        <f>IFERROR(UPPER(IF(B83="CPU",VLOOKUP(C83,#REF!,3,0),IF(B83="SINAPI",VLOOKUP(C83,#REF!,3,0),IF(B83="EDIF",VLOOKUP(C83,#REF!,3,0),IF(B83="CPOS",VLOOKUP(C83,#REF!,4,0),IF(B83="FDE",VLOOKUP(C83,#REF!,3,0),IF(B83="INFRA",VLOOKUP(C83,#REF!,3,0),""))))))),"")</f>
        <v/>
      </c>
      <c r="F83" s="936">
        <v>324</v>
      </c>
      <c r="G83" s="985" t="str">
        <f>IFERROR(IF(B83="CPU",VLOOKUP(C83,#REF!,4,0),IF(B83="SINAPI",VLOOKUP(C83,#REF!,5,0),IF(B83="EDIF",VLOOKUP(C83,#REF!,4,0),IF(B83="CPOS",VLOOKUP(C83,#REF!,7,0),IF(B83="FDE",VLOOKUP(C83,#REF!,5,0),IF(B83="INFRA",VLOOKUP(C83,#REF!,4,0),""))))))*VLOOKUP(B83,#REF!,3,0),"")</f>
        <v/>
      </c>
      <c r="H83" s="986">
        <v>0.25</v>
      </c>
      <c r="I83" s="987" t="str">
        <f t="shared" si="3"/>
        <v/>
      </c>
      <c r="J83" s="988">
        <v>9529.65</v>
      </c>
      <c r="K83" s="52"/>
      <c r="L83" s="940"/>
    </row>
    <row r="84" spans="1:12" s="25" customFormat="1" ht="27" customHeight="1">
      <c r="A84" s="933" t="s">
        <v>5633</v>
      </c>
      <c r="B84" s="933" t="s">
        <v>1479</v>
      </c>
      <c r="C84" s="994" t="s">
        <v>5634</v>
      </c>
      <c r="D84" s="984" t="str">
        <f>IFERROR(UPPER(IF(B84="CPU",VLOOKUP(C84,#REF!,2,0),IF(B84="SINAPI",VLOOKUP(C84,#REF!,2,0),IF(B84="EDIF",VLOOKUP(C84,#REF!,2,0),IF(B84="CPOS",VLOOKUP(C84,#REF!,3,0),IF(B84="FDE",VLOOKUP(C84,#REF!,2,0),IF(B84="INFRA",VLOOKUP(C84,#REF!,2,0),""))))))),"")</f>
        <v/>
      </c>
      <c r="E84" s="78" t="str">
        <f>IFERROR(UPPER(IF(B84="CPU",VLOOKUP(C84,#REF!,3,0),IF(B84="SINAPI",VLOOKUP(C84,#REF!,3,0),IF(B84="EDIF",VLOOKUP(C84,#REF!,3,0),IF(B84="CPOS",VLOOKUP(C84,#REF!,4,0),IF(B84="FDE",VLOOKUP(C84,#REF!,3,0),IF(B84="INFRA",VLOOKUP(C84,#REF!,3,0),""))))))),"")</f>
        <v/>
      </c>
      <c r="F84" s="936">
        <v>4000</v>
      </c>
      <c r="G84" s="985" t="str">
        <f>IFERROR(IF(B84="CPU",VLOOKUP(C84,#REF!,4,0),IF(B84="SINAPI",VLOOKUP(C84,#REF!,5,0),IF(B84="EDIF",VLOOKUP(C84,#REF!,4,0),IF(B84="CPOS",VLOOKUP(C84,#REF!,7,0),IF(B84="FDE",VLOOKUP(C84,#REF!,5,0),IF(B84="INFRA",VLOOKUP(C84,#REF!,4,0),""))))))*VLOOKUP(B84,#REF!,3,0),"")</f>
        <v/>
      </c>
      <c r="H84" s="986">
        <v>0.25</v>
      </c>
      <c r="I84" s="987" t="str">
        <f t="shared" si="3"/>
        <v/>
      </c>
      <c r="J84" s="988">
        <v>399044.34675000003</v>
      </c>
      <c r="K84" s="52"/>
      <c r="L84" s="940"/>
    </row>
    <row r="85" spans="1:12" s="25" customFormat="1" ht="27" customHeight="1">
      <c r="A85" s="933" t="s">
        <v>5635</v>
      </c>
      <c r="B85" s="933" t="s">
        <v>1479</v>
      </c>
      <c r="C85" s="994" t="s">
        <v>5636</v>
      </c>
      <c r="D85" s="984" t="str">
        <f>IFERROR(UPPER(IF(B85="CPU",VLOOKUP(C85,#REF!,2,0),IF(B85="SINAPI",VLOOKUP(C85,#REF!,2,0),IF(B85="EDIF",VLOOKUP(C85,#REF!,2,0),IF(B85="CPOS",VLOOKUP(C85,#REF!,3,0),IF(B85="FDE",VLOOKUP(C85,#REF!,2,0),IF(B85="INFRA",VLOOKUP(C85,#REF!,2,0),""))))))),"")</f>
        <v/>
      </c>
      <c r="E85" s="78" t="str">
        <f>IFERROR(UPPER(IF(B85="CPU",VLOOKUP(C85,#REF!,3,0),IF(B85="SINAPI",VLOOKUP(C85,#REF!,3,0),IF(B85="EDIF",VLOOKUP(C85,#REF!,3,0),IF(B85="CPOS",VLOOKUP(C85,#REF!,4,0),IF(B85="FDE",VLOOKUP(C85,#REF!,3,0),IF(B85="INFRA",VLOOKUP(C85,#REF!,3,0),""))))))),"")</f>
        <v/>
      </c>
      <c r="F85" s="936">
        <v>350</v>
      </c>
      <c r="G85" s="985" t="str">
        <f>IFERROR(IF(B85="CPU",VLOOKUP(C85,#REF!,4,0),IF(B85="SINAPI",VLOOKUP(C85,#REF!,5,0),IF(B85="EDIF",VLOOKUP(C85,#REF!,4,0),IF(B85="CPOS",VLOOKUP(C85,#REF!,7,0),IF(B85="FDE",VLOOKUP(C85,#REF!,5,0),IF(B85="INFRA",VLOOKUP(C85,#REF!,4,0),""))))))*VLOOKUP(B85,#REF!,3,0),"")</f>
        <v/>
      </c>
      <c r="H85" s="986">
        <v>0.25</v>
      </c>
      <c r="I85" s="987" t="str">
        <f t="shared" si="3"/>
        <v/>
      </c>
      <c r="J85" s="988">
        <v>39729.246500000001</v>
      </c>
      <c r="K85" s="52"/>
      <c r="L85" s="940"/>
    </row>
    <row r="86" spans="1:12" s="25" customFormat="1" ht="27" customHeight="1">
      <c r="A86" s="933" t="s">
        <v>5637</v>
      </c>
      <c r="B86" s="933" t="s">
        <v>1479</v>
      </c>
      <c r="C86" s="994" t="s">
        <v>5638</v>
      </c>
      <c r="D86" s="984" t="str">
        <f>IFERROR(UPPER(IF(B86="CPU",VLOOKUP(C86,#REF!,2,0),IF(B86="SINAPI",VLOOKUP(C86,#REF!,2,0),IF(B86="EDIF",VLOOKUP(C86,#REF!,2,0),IF(B86="CPOS",VLOOKUP(C86,#REF!,3,0),IF(B86="FDE",VLOOKUP(C86,#REF!,2,0),IF(B86="INFRA",VLOOKUP(C86,#REF!,2,0),""))))))),"")</f>
        <v/>
      </c>
      <c r="E86" s="78" t="str">
        <f>IFERROR(UPPER(IF(B86="CPU",VLOOKUP(C86,#REF!,3,0),IF(B86="SINAPI",VLOOKUP(C86,#REF!,3,0),IF(B86="EDIF",VLOOKUP(C86,#REF!,3,0),IF(B86="CPOS",VLOOKUP(C86,#REF!,4,0),IF(B86="FDE",VLOOKUP(C86,#REF!,3,0),IF(B86="INFRA",VLOOKUP(C86,#REF!,3,0),""))))))),"")</f>
        <v/>
      </c>
      <c r="F86" s="989">
        <f>F84+F85</f>
        <v>4350</v>
      </c>
      <c r="G86" s="985" t="str">
        <f>IFERROR(IF(B86="CPU",VLOOKUP(C86,#REF!,4,0),IF(B86="SINAPI",VLOOKUP(C86,#REF!,5,0),IF(B86="EDIF",VLOOKUP(C86,#REF!,4,0),IF(B86="CPOS",VLOOKUP(C86,#REF!,7,0),IF(B86="FDE",VLOOKUP(C86,#REF!,5,0),IF(B86="INFRA",VLOOKUP(C86,#REF!,4,0),""))))))*VLOOKUP(B86,#REF!,3,0),"")</f>
        <v/>
      </c>
      <c r="H86" s="986">
        <v>0.25</v>
      </c>
      <c r="I86" s="987" t="str">
        <f t="shared" si="3"/>
        <v/>
      </c>
      <c r="J86" s="988">
        <v>404293.61499999999</v>
      </c>
      <c r="K86" s="52"/>
      <c r="L86" s="940"/>
    </row>
    <row r="87" spans="1:12" s="300" customFormat="1" ht="27" customHeight="1">
      <c r="A87" s="933"/>
      <c r="B87" s="933"/>
      <c r="C87" s="994"/>
      <c r="D87" s="984"/>
      <c r="E87" s="78"/>
      <c r="F87" s="936"/>
      <c r="G87" s="985"/>
      <c r="H87" s="986"/>
      <c r="I87" s="987"/>
      <c r="J87" s="988"/>
      <c r="K87" s="52"/>
      <c r="L87" s="940"/>
    </row>
    <row r="88" spans="1:12" s="25" customFormat="1" ht="27" customHeight="1">
      <c r="A88" s="975" t="s">
        <v>52</v>
      </c>
      <c r="B88" s="976"/>
      <c r="C88" s="976"/>
      <c r="D88" s="977" t="s">
        <v>5639</v>
      </c>
      <c r="E88" s="978" t="str">
        <f>IFERROR(UPPER(IF(B88="CPU",VLOOKUP(C88,#REF!,3,0),IF(B88="SINAPI",VLOOKUP(C88,#REF!,3,0),IF(B88="EDIF",VLOOKUP(C88,#REF!,3,0),IF(B88="CPOS",VLOOKUP(C88,#REF!,4,0),IF(B88="FDE",VLOOKUP(C88,#REF!,3,0),IF(B88="INFRA",VLOOKUP(C88,#REF!,3,0),""))))))),"")</f>
        <v/>
      </c>
      <c r="F88" s="979"/>
      <c r="G88" s="980" t="str">
        <f>IFERROR(IF(B88="CPU",VLOOKUP(C88,#REF!,4,0),IF(B88="SINAPI",VLOOKUP(C88,#REF!,5,0),IF(B88="EDIF",VLOOKUP(C88,#REF!,4,0),IF(B88="CPOS",VLOOKUP(C88,#REF!,7,0),IF(B88="FDE",VLOOKUP(C88,#REF!,5,0),IF(B88="INFRA",VLOOKUP(C88,#REF!,4,0),""))))))*VLOOKUP(B88,#REF!,3,0),"")</f>
        <v/>
      </c>
      <c r="H88" s="979"/>
      <c r="I88" s="981">
        <f>SUM(I89:I98)</f>
        <v>0</v>
      </c>
      <c r="J88" s="988"/>
      <c r="K88" s="52"/>
      <c r="L88" s="932"/>
    </row>
    <row r="89" spans="1:12" s="25" customFormat="1" ht="27" customHeight="1">
      <c r="A89" s="933" t="s">
        <v>55</v>
      </c>
      <c r="B89" s="933" t="s">
        <v>4908</v>
      </c>
      <c r="C89" s="1001">
        <v>97660</v>
      </c>
      <c r="D89" s="984" t="str">
        <f>IFERROR(UPPER(IF(B89="CPU",VLOOKUP(C89,#REF!,2,0),IF(B89="SINAPI",VLOOKUP(C89,#REF!,2,0),IF(B89="EDIF",VLOOKUP(C89,#REF!,2,0),IF(B89="CPOS",VLOOKUP(C89,#REF!,3,0),IF(B89="FDE",VLOOKUP(C89,#REF!,2,0),IF(B89="INFRA",VLOOKUP(C89,#REF!,2,0),""))))))),"")</f>
        <v/>
      </c>
      <c r="E89" s="78" t="str">
        <f>IFERROR(UPPER(IF(B89="CPU",VLOOKUP(C89,#REF!,3,0),IF(B89="SINAPI",VLOOKUP(C89,#REF!,3,0),IF(B89="EDIF",VLOOKUP(C89,#REF!,3,0),IF(B89="CPOS",VLOOKUP(C89,#REF!,4,0),IF(B89="FDE",VLOOKUP(C89,#REF!,3,0),IF(B89="INFRA",VLOOKUP(C89,#REF!,3,0),""))))))),"")</f>
        <v/>
      </c>
      <c r="F89" s="936">
        <v>1465</v>
      </c>
      <c r="G89" s="985" t="str">
        <f>IFERROR(IF(B89="CPU",VLOOKUP(C89,#REF!,4,0),IF(B89="SINAPI",VLOOKUP(C89,#REF!,5,0),IF(B89="EDIF",VLOOKUP(C89,#REF!,4,0),IF(B89="CPOS",VLOOKUP(C89,#REF!,7,0),IF(B89="FDE",VLOOKUP(C89,#REF!,5,0),IF(B89="INFRA",VLOOKUP(C89,#REF!,4,0),""))))))*VLOOKUP(B89,#REF!,3,0),"")</f>
        <v/>
      </c>
      <c r="H89" s="986">
        <v>0.25</v>
      </c>
      <c r="I89" s="987" t="str">
        <f t="shared" ref="I89:I99" si="4">IFERROR(F89*((G89*(1+H89))),"")</f>
        <v/>
      </c>
      <c r="J89" s="988">
        <v>1098.75</v>
      </c>
      <c r="K89" s="52"/>
      <c r="L89" s="940"/>
    </row>
    <row r="90" spans="1:12" s="25" customFormat="1" ht="27" customHeight="1">
      <c r="A90" s="933" t="s">
        <v>57</v>
      </c>
      <c r="B90" s="933" t="s">
        <v>4872</v>
      </c>
      <c r="C90" s="994">
        <v>95211</v>
      </c>
      <c r="D90" s="984" t="str">
        <f>IFERROR(UPPER(IF(B90="CPU",VLOOKUP(C90,#REF!,2,0),IF(B90="SINAPI",VLOOKUP(C90,#REF!,2,0),IF(B90="EDIF",VLOOKUP(C90,#REF!,2,0),IF(B90="CPOS",VLOOKUP(C90,#REF!,3,0),IF(B90="FDE",VLOOKUP(C90,#REF!,2,0),IF(B90="INFRA",VLOOKUP(C90,#REF!,2,0),""))))))),"")</f>
        <v/>
      </c>
      <c r="E90" s="78" t="str">
        <f>IFERROR(UPPER(IF(B90="CPU",VLOOKUP(C90,#REF!,3,0),IF(B90="SINAPI",VLOOKUP(C90,#REF!,3,0),IF(B90="EDIF",VLOOKUP(C90,#REF!,3,0),IF(B90="CPOS",VLOOKUP(C90,#REF!,4,0),IF(B90="FDE",VLOOKUP(C90,#REF!,3,0),IF(B90="INFRA",VLOOKUP(C90,#REF!,3,0),""))))))),"")</f>
        <v/>
      </c>
      <c r="F90" s="936">
        <v>586</v>
      </c>
      <c r="G90" s="985" t="str">
        <f>IFERROR(IF(B90="CPU",VLOOKUP(C90,#REF!,4,0),IF(B90="SINAPI",VLOOKUP(C90,#REF!,5,0),IF(B90="EDIF",VLOOKUP(C90,#REF!,4,0),IF(B90="CPOS",VLOOKUP(C90,#REF!,7,0),IF(B90="FDE",VLOOKUP(C90,#REF!,5,0),IF(B90="INFRA",VLOOKUP(C90,#REF!,4,0),""))))))*VLOOKUP(B90,#REF!,3,0),"")</f>
        <v/>
      </c>
      <c r="H90" s="986">
        <v>0.25</v>
      </c>
      <c r="I90" s="987" t="str">
        <f t="shared" si="4"/>
        <v/>
      </c>
      <c r="J90" s="988">
        <v>24260.400000000001</v>
      </c>
      <c r="K90" s="52"/>
      <c r="L90" s="940"/>
    </row>
    <row r="91" spans="1:12" s="25" customFormat="1" ht="27" customHeight="1">
      <c r="A91" s="933" t="s">
        <v>59</v>
      </c>
      <c r="B91" s="933" t="s">
        <v>4872</v>
      </c>
      <c r="C91" s="994">
        <v>96012</v>
      </c>
      <c r="D91" s="984" t="str">
        <f>IFERROR(UPPER(IF(B91="CPU",VLOOKUP(C91,#REF!,2,0),IF(B91="SINAPI",VLOOKUP(C91,#REF!,2,0),IF(B91="EDIF",VLOOKUP(C91,#REF!,2,0),IF(B91="CPOS",VLOOKUP(C91,#REF!,3,0),IF(B91="FDE",VLOOKUP(C91,#REF!,2,0),IF(B91="INFRA",VLOOKUP(C91,#REF!,2,0),""))))))),"")</f>
        <v/>
      </c>
      <c r="E91" s="78" t="str">
        <f>IFERROR(UPPER(IF(B91="CPU",VLOOKUP(C91,#REF!,3,0),IF(B91="SINAPI",VLOOKUP(C91,#REF!,3,0),IF(B91="EDIF",VLOOKUP(C91,#REF!,3,0),IF(B91="CPOS",VLOOKUP(C91,#REF!,4,0),IF(B91="FDE",VLOOKUP(C91,#REF!,3,0),IF(B91="INFRA",VLOOKUP(C91,#REF!,3,0),""))))))),"")</f>
        <v/>
      </c>
      <c r="F91" s="936">
        <v>3516</v>
      </c>
      <c r="G91" s="985" t="str">
        <f>IFERROR(IF(B91="CPU",VLOOKUP(C91,#REF!,4,0),IF(B91="SINAPI",VLOOKUP(C91,#REF!,5,0),IF(B91="EDIF",VLOOKUP(C91,#REF!,4,0),IF(B91="CPOS",VLOOKUP(C91,#REF!,7,0),IF(B91="FDE",VLOOKUP(C91,#REF!,5,0),IF(B91="INFRA",VLOOKUP(C91,#REF!,4,0),""))))))*VLOOKUP(B91,#REF!,3,0),"")</f>
        <v/>
      </c>
      <c r="H91" s="986">
        <v>0.25</v>
      </c>
      <c r="I91" s="987" t="str">
        <f t="shared" si="4"/>
        <v/>
      </c>
      <c r="J91" s="988">
        <v>48520.800000000003</v>
      </c>
      <c r="K91" s="52"/>
      <c r="L91" s="940"/>
    </row>
    <row r="92" spans="1:12" s="300" customFormat="1" ht="27" customHeight="1">
      <c r="A92" s="933" t="s">
        <v>61</v>
      </c>
      <c r="B92" s="933" t="s">
        <v>4872</v>
      </c>
      <c r="C92" s="994">
        <v>95009</v>
      </c>
      <c r="D92" s="984" t="str">
        <f>IFERROR(UPPER(IF(B92="CPU",VLOOKUP(C92,#REF!,2,0),IF(B92="SINAPI",VLOOKUP(C92,#REF!,2,0),IF(B92="EDIF",VLOOKUP(C92,#REF!,2,0),IF(B92="CPOS",VLOOKUP(C92,#REF!,3,0),IF(B92="FDE",VLOOKUP(C92,#REF!,2,0),IF(B92="INFRA",VLOOKUP(C92,#REF!,2,0),""))))))),"")</f>
        <v/>
      </c>
      <c r="E92" s="78" t="str">
        <f>IFERROR(UPPER(IF(B92="CPU",VLOOKUP(C92,#REF!,3,0),IF(B92="SINAPI",VLOOKUP(C92,#REF!,3,0),IF(B92="EDIF",VLOOKUP(C92,#REF!,3,0),IF(B92="CPOS",VLOOKUP(C92,#REF!,4,0),IF(B92="FDE",VLOOKUP(C92,#REF!,3,0),IF(B92="INFRA",VLOOKUP(C92,#REF!,3,0),""))))))),"")</f>
        <v/>
      </c>
      <c r="F92" s="936">
        <f>F94/8</f>
        <v>824.0625</v>
      </c>
      <c r="G92" s="985" t="str">
        <f>IFERROR(IF(B92="CPU",VLOOKUP(C92,#REF!,4,0),IF(B92="SINAPI",VLOOKUP(C92,#REF!,5,0),IF(B92="EDIF",VLOOKUP(C92,#REF!,4,0),IF(B92="CPOS",VLOOKUP(C92,#REF!,7,0),IF(B92="FDE",VLOOKUP(C92,#REF!,5,0),IF(B92="INFRA",VLOOKUP(C92,#REF!,4,0),""))))))*VLOOKUP(B92,#REF!,3,0),"")</f>
        <v/>
      </c>
      <c r="H92" s="986">
        <v>0.25</v>
      </c>
      <c r="I92" s="987" t="str">
        <f t="shared" si="4"/>
        <v/>
      </c>
      <c r="J92" s="988">
        <v>18191.1796875</v>
      </c>
      <c r="K92" s="52"/>
      <c r="L92" s="940"/>
    </row>
    <row r="93" spans="1:12" s="25" customFormat="1" ht="27" customHeight="1">
      <c r="A93" s="933" t="s">
        <v>63</v>
      </c>
      <c r="B93" s="933" t="s">
        <v>4872</v>
      </c>
      <c r="C93" s="994">
        <v>96014</v>
      </c>
      <c r="D93" s="984" t="str">
        <f>IFERROR(UPPER(IF(B93="CPU",VLOOKUP(C93,#REF!,2,0),IF(B93="SINAPI",VLOOKUP(C93,#REF!,2,0),IF(B93="EDIF",VLOOKUP(C93,#REF!,2,0),IF(B93="CPOS",VLOOKUP(C93,#REF!,3,0),IF(B93="FDE",VLOOKUP(C93,#REF!,2,0),IF(B93="INFRA",VLOOKUP(C93,#REF!,2,0),""))))))),"")</f>
        <v/>
      </c>
      <c r="E93" s="78" t="str">
        <f>IFERROR(UPPER(IF(B93="CPU",VLOOKUP(C93,#REF!,3,0),IF(B93="SINAPI",VLOOKUP(C93,#REF!,3,0),IF(B93="EDIF",VLOOKUP(C93,#REF!,3,0),IF(B93="CPOS",VLOOKUP(C93,#REF!,4,0),IF(B93="FDE",VLOOKUP(C93,#REF!,3,0),IF(B93="INFRA",VLOOKUP(C93,#REF!,3,0),""))))))),"")</f>
        <v/>
      </c>
      <c r="F93" s="936">
        <v>52740</v>
      </c>
      <c r="G93" s="985" t="str">
        <f>IFERROR(IF(B93="CPU",VLOOKUP(C93,#REF!,4,0),IF(B93="SINAPI",VLOOKUP(C93,#REF!,5,0),IF(B93="EDIF",VLOOKUP(C93,#REF!,4,0),IF(B93="CPOS",VLOOKUP(C93,#REF!,7,0),IF(B93="FDE",VLOOKUP(C93,#REF!,5,0),IF(B93="INFRA",VLOOKUP(C93,#REF!,4,0),""))))))*VLOOKUP(B93,#REF!,3,0),"")</f>
        <v/>
      </c>
      <c r="H93" s="986">
        <v>0.25</v>
      </c>
      <c r="I93" s="987" t="str">
        <f t="shared" si="4"/>
        <v/>
      </c>
      <c r="J93" s="988">
        <v>145694.25</v>
      </c>
      <c r="K93" s="52"/>
      <c r="L93" s="940"/>
    </row>
    <row r="94" spans="1:12" s="25" customFormat="1" ht="27" customHeight="1">
      <c r="A94" s="933" t="s">
        <v>65</v>
      </c>
      <c r="B94" s="933" t="s">
        <v>4872</v>
      </c>
      <c r="C94" s="994">
        <v>96015</v>
      </c>
      <c r="D94" s="984" t="str">
        <f>IFERROR(UPPER(IF(B94="CPU",VLOOKUP(C94,#REF!,2,0),IF(B94="SINAPI",VLOOKUP(C94,#REF!,2,0),IF(B94="EDIF",VLOOKUP(C94,#REF!,2,0),IF(B94="CPOS",VLOOKUP(C94,#REF!,3,0),IF(B94="FDE",VLOOKUP(C94,#REF!,2,0),IF(B94="INFRA",VLOOKUP(C94,#REF!,2,0),""))))))),"")</f>
        <v/>
      </c>
      <c r="E94" s="78" t="str">
        <f>IFERROR(UPPER(IF(B94="CPU",VLOOKUP(C94,#REF!,3,0),IF(B94="SINAPI",VLOOKUP(C94,#REF!,3,0),IF(B94="EDIF",VLOOKUP(C94,#REF!,3,0),IF(B94="CPOS",VLOOKUP(C94,#REF!,4,0),IF(B94="FDE",VLOOKUP(C94,#REF!,3,0),IF(B94="INFRA",VLOOKUP(C94,#REF!,3,0),""))))))),"")</f>
        <v/>
      </c>
      <c r="F94" s="936">
        <f>F93/8</f>
        <v>6592.5</v>
      </c>
      <c r="G94" s="985" t="str">
        <f>IFERROR(IF(B94="CPU",VLOOKUP(C94,#REF!,4,0),IF(B94="SINAPI",VLOOKUP(C94,#REF!,5,0),IF(B94="EDIF",VLOOKUP(C94,#REF!,4,0),IF(B94="CPOS",VLOOKUP(C94,#REF!,7,0),IF(B94="FDE",VLOOKUP(C94,#REF!,5,0),IF(B94="INFRA",VLOOKUP(C94,#REF!,4,0),""))))))*VLOOKUP(B94,#REF!,3,0),"")</f>
        <v/>
      </c>
      <c r="H94" s="986">
        <v>0.25</v>
      </c>
      <c r="I94" s="987" t="str">
        <f t="shared" si="4"/>
        <v/>
      </c>
      <c r="J94" s="988">
        <v>36423.5625</v>
      </c>
      <c r="K94" s="52"/>
      <c r="L94" s="940"/>
    </row>
    <row r="95" spans="1:12" s="25" customFormat="1" ht="27" customHeight="1">
      <c r="A95" s="933" t="s">
        <v>5640</v>
      </c>
      <c r="B95" s="933" t="s">
        <v>4872</v>
      </c>
      <c r="C95" s="994">
        <v>95126</v>
      </c>
      <c r="D95" s="984" t="str">
        <f>IFERROR(UPPER(IF(B95="CPU",VLOOKUP(C95,#REF!,2,0),IF(B95="SINAPI",VLOOKUP(C95,#REF!,2,0),IF(B95="EDIF",VLOOKUP(C95,#REF!,2,0),IF(B95="CPOS",VLOOKUP(C95,#REF!,3,0),IF(B95="FDE",VLOOKUP(C95,#REF!,2,0),IF(B95="INFRA",VLOOKUP(C95,#REF!,2,0),""))))))),"")</f>
        <v/>
      </c>
      <c r="E95" s="78" t="str">
        <f>IFERROR(UPPER(IF(B95="CPU",VLOOKUP(C95,#REF!,3,0),IF(B95="SINAPI",VLOOKUP(C95,#REF!,3,0),IF(B95="EDIF",VLOOKUP(C95,#REF!,3,0),IF(B95="CPOS",VLOOKUP(C95,#REF!,4,0),IF(B95="FDE",VLOOKUP(C95,#REF!,3,0),IF(B95="INFRA",VLOOKUP(C95,#REF!,3,0),""))))))),"")</f>
        <v/>
      </c>
      <c r="F95" s="936">
        <v>20</v>
      </c>
      <c r="G95" s="985" t="str">
        <f>IFERROR(IF(B95="CPU",VLOOKUP(C95,#REF!,4,0),IF(B95="SINAPI",VLOOKUP(C95,#REF!,5,0),IF(B95="EDIF",VLOOKUP(C95,#REF!,4,0),IF(B95="CPOS",VLOOKUP(C95,#REF!,7,0),IF(B95="FDE",VLOOKUP(C95,#REF!,5,0),IF(B95="INFRA",VLOOKUP(C95,#REF!,4,0),""))))))*VLOOKUP(B95,#REF!,3,0),"")</f>
        <v/>
      </c>
      <c r="H95" s="986">
        <v>0.25</v>
      </c>
      <c r="I95" s="987" t="str">
        <f t="shared" si="4"/>
        <v/>
      </c>
      <c r="J95" s="988">
        <v>1104</v>
      </c>
      <c r="K95" s="52"/>
      <c r="L95" s="940"/>
    </row>
    <row r="96" spans="1:12" s="25" customFormat="1" ht="27" customHeight="1">
      <c r="A96" s="933" t="s">
        <v>5641</v>
      </c>
      <c r="B96" s="933" t="s">
        <v>4872</v>
      </c>
      <c r="C96" s="994">
        <v>95115</v>
      </c>
      <c r="D96" s="984" t="str">
        <f>IFERROR(UPPER(IF(B96="CPU",VLOOKUP(C96,#REF!,2,0),IF(B96="SINAPI",VLOOKUP(C96,#REF!,2,0),IF(B96="EDIF",VLOOKUP(C96,#REF!,2,0),IF(B96="CPOS",VLOOKUP(C96,#REF!,3,0),IF(B96="FDE",VLOOKUP(C96,#REF!,2,0),IF(B96="INFRA",VLOOKUP(C96,#REF!,2,0),""))))))),"")</f>
        <v/>
      </c>
      <c r="E96" s="78" t="str">
        <f>IFERROR(UPPER(IF(B96="CPU",VLOOKUP(C96,#REF!,3,0),IF(B96="SINAPI",VLOOKUP(C96,#REF!,3,0),IF(B96="EDIF",VLOOKUP(C96,#REF!,3,0),IF(B96="CPOS",VLOOKUP(C96,#REF!,4,0),IF(B96="FDE",VLOOKUP(C96,#REF!,3,0),IF(B96="INFRA",VLOOKUP(C96,#REF!,3,0),""))))))),"")</f>
        <v/>
      </c>
      <c r="F96" s="936">
        <v>40</v>
      </c>
      <c r="G96" s="985" t="str">
        <f>IFERROR(IF(B96="CPU",VLOOKUP(C96,#REF!,4,0),IF(B96="SINAPI",VLOOKUP(C96,#REF!,5,0),IF(B96="EDIF",VLOOKUP(C96,#REF!,4,0),IF(B96="CPOS",VLOOKUP(C96,#REF!,7,0),IF(B96="FDE",VLOOKUP(C96,#REF!,5,0),IF(B96="INFRA",VLOOKUP(C96,#REF!,4,0),""))))))*VLOOKUP(B96,#REF!,3,0),"")</f>
        <v/>
      </c>
      <c r="H96" s="986">
        <v>0.25</v>
      </c>
      <c r="I96" s="987" t="str">
        <f t="shared" si="4"/>
        <v/>
      </c>
      <c r="J96" s="988">
        <v>662.5</v>
      </c>
      <c r="K96" s="52"/>
      <c r="L96" s="940"/>
    </row>
    <row r="97" spans="1:12" s="25" customFormat="1" ht="27" customHeight="1">
      <c r="A97" s="933" t="s">
        <v>5642</v>
      </c>
      <c r="B97" s="933" t="s">
        <v>4872</v>
      </c>
      <c r="C97" s="994">
        <v>95116</v>
      </c>
      <c r="D97" s="984" t="str">
        <f>IFERROR(UPPER(IF(B97="CPU",VLOOKUP(C97,#REF!,2,0),IF(B97="SINAPI",VLOOKUP(C97,#REF!,2,0),IF(B97="EDIF",VLOOKUP(C97,#REF!,2,0),IF(B97="CPOS",VLOOKUP(C97,#REF!,3,0),IF(B97="FDE",VLOOKUP(C97,#REF!,2,0),IF(B97="INFRA",VLOOKUP(C97,#REF!,2,0),""))))))),"")</f>
        <v/>
      </c>
      <c r="E97" s="78" t="str">
        <f>IFERROR(UPPER(IF(B97="CPU",VLOOKUP(C97,#REF!,3,0),IF(B97="SINAPI",VLOOKUP(C97,#REF!,3,0),IF(B97="EDIF",VLOOKUP(C97,#REF!,3,0),IF(B97="CPOS",VLOOKUP(C97,#REF!,4,0),IF(B97="FDE",VLOOKUP(C97,#REF!,3,0),IF(B97="INFRA",VLOOKUP(C97,#REF!,3,0),""))))))),"")</f>
        <v/>
      </c>
      <c r="F97" s="936">
        <v>200</v>
      </c>
      <c r="G97" s="985" t="str">
        <f>IFERROR(IF(B97="CPU",VLOOKUP(C97,#REF!,4,0),IF(B97="SINAPI",VLOOKUP(C97,#REF!,5,0),IF(B97="EDIF",VLOOKUP(C97,#REF!,4,0),IF(B97="CPOS",VLOOKUP(C97,#REF!,7,0),IF(B97="FDE",VLOOKUP(C97,#REF!,5,0),IF(B97="INFRA",VLOOKUP(C97,#REF!,4,0),""))))))*VLOOKUP(B97,#REF!,3,0),"")</f>
        <v/>
      </c>
      <c r="H97" s="986">
        <v>0.25</v>
      </c>
      <c r="I97" s="987" t="str">
        <f t="shared" si="4"/>
        <v/>
      </c>
      <c r="J97" s="988">
        <v>7727.5</v>
      </c>
      <c r="K97" s="52"/>
      <c r="L97" s="940"/>
    </row>
    <row r="98" spans="1:12" s="25" customFormat="1" ht="27" customHeight="1">
      <c r="A98" s="933" t="s">
        <v>5643</v>
      </c>
      <c r="B98" s="933" t="s">
        <v>4872</v>
      </c>
      <c r="C98" s="994">
        <v>95117</v>
      </c>
      <c r="D98" s="984" t="str">
        <f>IFERROR(UPPER(IF(B98="CPU",VLOOKUP(C98,#REF!,2,0),IF(B98="SINAPI",VLOOKUP(C98,#REF!,2,0),IF(B98="EDIF",VLOOKUP(C98,#REF!,2,0),IF(B98="CPOS",VLOOKUP(C98,#REF!,3,0),IF(B98="FDE",VLOOKUP(C98,#REF!,2,0),IF(B98="INFRA",VLOOKUP(C98,#REF!,2,0),""))))))),"")</f>
        <v/>
      </c>
      <c r="E98" s="78" t="str">
        <f>IFERROR(UPPER(IF(B98="CPU",VLOOKUP(C98,#REF!,3,0),IF(B98="SINAPI",VLOOKUP(C98,#REF!,3,0),IF(B98="EDIF",VLOOKUP(C98,#REF!,3,0),IF(B98="CPOS",VLOOKUP(C98,#REF!,4,0),IF(B98="FDE",VLOOKUP(C98,#REF!,3,0),IF(B98="INFRA",VLOOKUP(C98,#REF!,3,0),""))))))),"")</f>
        <v/>
      </c>
      <c r="F98" s="936">
        <v>20</v>
      </c>
      <c r="G98" s="985" t="str">
        <f>IFERROR(IF(B98="CPU",VLOOKUP(C98,#REF!,4,0),IF(B98="SINAPI",VLOOKUP(C98,#REF!,5,0),IF(B98="EDIF",VLOOKUP(C98,#REF!,4,0),IF(B98="CPOS",VLOOKUP(C98,#REF!,7,0),IF(B98="FDE",VLOOKUP(C98,#REF!,5,0),IF(B98="INFRA",VLOOKUP(C98,#REF!,4,0),""))))))*VLOOKUP(B98,#REF!,3,0),"")</f>
        <v/>
      </c>
      <c r="H98" s="986">
        <v>0.25</v>
      </c>
      <c r="I98" s="987" t="str">
        <f t="shared" si="4"/>
        <v/>
      </c>
      <c r="J98" s="988">
        <v>1435.25</v>
      </c>
      <c r="K98" s="52"/>
      <c r="L98" s="940"/>
    </row>
    <row r="99" spans="1:12" s="25" customFormat="1" ht="27" customHeight="1">
      <c r="A99" s="933"/>
      <c r="B99" s="933"/>
      <c r="C99" s="994"/>
      <c r="D99" s="1002" t="str">
        <f>IFERROR(UPPER(IF(B99="CPU",VLOOKUP(C99,#REF!,2,0),IF(B99="SINAPI",VLOOKUP(C99,#REF!,2,0),IF(B99="EDIF",VLOOKUP(C99,#REF!,2,0),IF(B99="CPOS",VLOOKUP(C99,#REF!,3,0),IF(B99="FDE",VLOOKUP(C99,#REF!,2,0),IF(B99="INFRA",VLOOKUP(C99,#REF!,2,0),""))))))),"")</f>
        <v/>
      </c>
      <c r="E99" s="78" t="str">
        <f>IFERROR(UPPER(IF(B99="CPU",VLOOKUP(C99,#REF!,3,0),IF(B99="SINAPI",VLOOKUP(C99,#REF!,3,0),IF(B99="EDIF",VLOOKUP(C99,#REF!,3,0),IF(B99="CPOS",VLOOKUP(C99,#REF!,4,0),IF(B99="FDE",VLOOKUP(C99,#REF!,3,0),IF(B99="INFRA",VLOOKUP(C99,#REF!,3,0),""))))))),"")</f>
        <v/>
      </c>
      <c r="F99" s="936"/>
      <c r="G99" s="985" t="str">
        <f>IFERROR(IF(B99="CPU",VLOOKUP(C99,#REF!,4,0),IF(B99="SINAPI",VLOOKUP(C99,#REF!,5,0),IF(B99="EDIF",VLOOKUP(C99,#REF!,4,0),IF(B99="CPOS",VLOOKUP(C99,#REF!,7,0),IF(B99="FDE",VLOOKUP(C99,#REF!,5,0),IF(B99="INFRA",VLOOKUP(C99,#REF!,4,0),""))))))*VLOOKUP(B99,#REF!,3,0),"")</f>
        <v/>
      </c>
      <c r="H99" s="986"/>
      <c r="I99" s="987" t="str">
        <f t="shared" si="4"/>
        <v/>
      </c>
      <c r="J99" s="988"/>
      <c r="K99" s="52"/>
      <c r="L99" s="940"/>
    </row>
    <row r="100" spans="1:12" s="25" customFormat="1" ht="27" customHeight="1">
      <c r="A100" s="975" t="s">
        <v>67</v>
      </c>
      <c r="B100" s="976"/>
      <c r="C100" s="976"/>
      <c r="D100" s="977" t="s">
        <v>5644</v>
      </c>
      <c r="E100" s="978" t="str">
        <f>IFERROR(UPPER(IF(B100="CPU",VLOOKUP(C100,#REF!,3,0),IF(B100="SINAPI",VLOOKUP(C100,#REF!,3,0),IF(B100="EDIF",VLOOKUP(C100,#REF!,3,0),IF(B100="CPOS",VLOOKUP(C100,#REF!,4,0),IF(B100="FDE",VLOOKUP(C100,#REF!,3,0),IF(B100="INFRA",VLOOKUP(C100,#REF!,3,0),""))))))),"")</f>
        <v/>
      </c>
      <c r="F100" s="979"/>
      <c r="G100" s="980" t="str">
        <f>IFERROR(IF(B100="CPU",VLOOKUP(C100,#REF!,4,0),IF(B100="SINAPI",VLOOKUP(C100,#REF!,5,0),IF(B100="EDIF",VLOOKUP(C100,#REF!,4,0),IF(B100="CPOS",VLOOKUP(C100,#REF!,7,0),IF(B100="FDE",VLOOKUP(C100,#REF!,5,0),IF(B100="INFRA",VLOOKUP(C100,#REF!,4,0),""))))))*VLOOKUP(B100,#REF!,3,0),"")</f>
        <v/>
      </c>
      <c r="H100" s="979"/>
      <c r="I100" s="981">
        <f>SUM(I101:I107)</f>
        <v>0</v>
      </c>
      <c r="J100" s="988"/>
      <c r="K100" s="52"/>
      <c r="L100" s="932"/>
    </row>
    <row r="101" spans="1:12" s="25" customFormat="1" ht="27" customHeight="1">
      <c r="A101" s="933" t="s">
        <v>70</v>
      </c>
      <c r="B101" s="933" t="s">
        <v>4872</v>
      </c>
      <c r="C101" s="994">
        <v>106003</v>
      </c>
      <c r="D101" s="984" t="str">
        <f>IFERROR(UPPER(IF(B101="CPU",VLOOKUP(C101,#REF!,2,0),IF(B101="SINAPI",VLOOKUP(C101,#REF!,2,0),IF(B101="EDIF",VLOOKUP(C101,#REF!,2,0),IF(B101="CPOS",VLOOKUP(C101,#REF!,3,0),IF(B101="FDE",VLOOKUP(C101,#REF!,2,0),IF(B101="INFRA",VLOOKUP(C101,#REF!,2,0),""))))))),"")</f>
        <v/>
      </c>
      <c r="E101" s="78" t="str">
        <f>IFERROR(UPPER(IF(B101="CPU",VLOOKUP(C101,#REF!,3,0),IF(B101="SINAPI",VLOOKUP(C101,#REF!,3,0),IF(B101="EDIF",VLOOKUP(C101,#REF!,3,0),IF(B101="CPOS",VLOOKUP(C101,#REF!,4,0),IF(B101="FDE",VLOOKUP(C101,#REF!,3,0),IF(B101="INFRA",VLOOKUP(C101,#REF!,3,0),""))))))),"")</f>
        <v/>
      </c>
      <c r="F101" s="936">
        <v>3600</v>
      </c>
      <c r="G101" s="985" t="str">
        <f>IFERROR(IF(B101="CPU",VLOOKUP(C101,#REF!,4,0),IF(B101="SINAPI",VLOOKUP(C101,#REF!,5,0),IF(B101="EDIF",VLOOKUP(C101,#REF!,4,0),IF(B101="CPOS",VLOOKUP(C101,#REF!,7,0),IF(B101="FDE",VLOOKUP(C101,#REF!,5,0),IF(B101="INFRA",VLOOKUP(C101,#REF!,4,0),""))))))*VLOOKUP(B101,#REF!,3,0),"")</f>
        <v/>
      </c>
      <c r="H101" s="986">
        <v>0.25</v>
      </c>
      <c r="I101" s="987" t="str">
        <f t="shared" ref="I101:I107" si="5">IFERROR(F101*((G101*(1+H101))),"")</f>
        <v/>
      </c>
      <c r="J101" s="988">
        <v>44550</v>
      </c>
      <c r="K101" s="52"/>
      <c r="L101" s="940"/>
    </row>
    <row r="102" spans="1:12" s="25" customFormat="1" ht="27" customHeight="1">
      <c r="A102" s="933" t="s">
        <v>5645</v>
      </c>
      <c r="B102" s="933" t="s">
        <v>4872</v>
      </c>
      <c r="C102" s="994">
        <v>106004</v>
      </c>
      <c r="D102" s="984" t="str">
        <f>IFERROR(UPPER(IF(B102="CPU",VLOOKUP(C102,#REF!,2,0),IF(B102="SINAPI",VLOOKUP(C102,#REF!,2,0),IF(B102="EDIF",VLOOKUP(C102,#REF!,2,0),IF(B102="CPOS",VLOOKUP(C102,#REF!,3,0),IF(B102="FDE",VLOOKUP(C102,#REF!,2,0),IF(B102="INFRA",VLOOKUP(C102,#REF!,2,0),""))))))),"")</f>
        <v/>
      </c>
      <c r="E102" s="78" t="str">
        <f>IFERROR(UPPER(IF(B102="CPU",VLOOKUP(C102,#REF!,3,0),IF(B102="SINAPI",VLOOKUP(C102,#REF!,3,0),IF(B102="EDIF",VLOOKUP(C102,#REF!,3,0),IF(B102="CPOS",VLOOKUP(C102,#REF!,4,0),IF(B102="FDE",VLOOKUP(C102,#REF!,3,0),IF(B102="INFRA",VLOOKUP(C102,#REF!,3,0),""))))))),"")</f>
        <v/>
      </c>
      <c r="F102" s="936">
        <v>250</v>
      </c>
      <c r="G102" s="985" t="str">
        <f>IFERROR(IF(B102="CPU",VLOOKUP(C102,#REF!,4,0),IF(B102="SINAPI",VLOOKUP(C102,#REF!,5,0),IF(B102="EDIF",VLOOKUP(C102,#REF!,4,0),IF(B102="CPOS",VLOOKUP(C102,#REF!,7,0),IF(B102="FDE",VLOOKUP(C102,#REF!,5,0),IF(B102="INFRA",VLOOKUP(C102,#REF!,4,0),""))))))*VLOOKUP(B102,#REF!,3,0),"")</f>
        <v/>
      </c>
      <c r="H102" s="986">
        <v>0.25</v>
      </c>
      <c r="I102" s="987" t="str">
        <f t="shared" si="5"/>
        <v/>
      </c>
      <c r="J102" s="988">
        <v>3778.125</v>
      </c>
      <c r="K102" s="52"/>
      <c r="L102" s="940"/>
    </row>
    <row r="103" spans="1:12" s="25" customFormat="1" ht="27" customHeight="1">
      <c r="A103" s="933" t="s">
        <v>5646</v>
      </c>
      <c r="B103" s="933" t="s">
        <v>4872</v>
      </c>
      <c r="C103" s="994">
        <v>106035</v>
      </c>
      <c r="D103" s="984" t="str">
        <f>IFERROR(UPPER(IF(B103="CPU",VLOOKUP(C103,#REF!,2,0),IF(B103="SINAPI",VLOOKUP(C103,#REF!,2,0),IF(B103="EDIF",VLOOKUP(C103,#REF!,2,0),IF(B103="CPOS",VLOOKUP(C103,#REF!,3,0),IF(B103="FDE",VLOOKUP(C103,#REF!,2,0),IF(B103="INFRA",VLOOKUP(C103,#REF!,2,0),""))))))),"")</f>
        <v/>
      </c>
      <c r="E103" s="78" t="str">
        <f>IFERROR(UPPER(IF(B103="CPU",VLOOKUP(C103,#REF!,3,0),IF(B103="SINAPI",VLOOKUP(C103,#REF!,3,0),IF(B103="EDIF",VLOOKUP(C103,#REF!,3,0),IF(B103="CPOS",VLOOKUP(C103,#REF!,4,0),IF(B103="FDE",VLOOKUP(C103,#REF!,3,0),IF(B103="INFRA",VLOOKUP(C103,#REF!,3,0),""))))))),"")</f>
        <v/>
      </c>
      <c r="F103" s="936">
        <v>200</v>
      </c>
      <c r="G103" s="985" t="str">
        <f>IFERROR(IF(B103="CPU",VLOOKUP(C103,#REF!,4,0),IF(B103="SINAPI",VLOOKUP(C103,#REF!,5,0),IF(B103="EDIF",VLOOKUP(C103,#REF!,4,0),IF(B103="CPOS",VLOOKUP(C103,#REF!,7,0),IF(B103="FDE",VLOOKUP(C103,#REF!,5,0),IF(B103="INFRA",VLOOKUP(C103,#REF!,4,0),""))))))*VLOOKUP(B103,#REF!,3,0),"")</f>
        <v/>
      </c>
      <c r="H103" s="986">
        <v>0.25</v>
      </c>
      <c r="I103" s="987" t="str">
        <f t="shared" si="5"/>
        <v/>
      </c>
      <c r="J103" s="988">
        <v>8247.5</v>
      </c>
      <c r="K103" s="52"/>
      <c r="L103" s="940"/>
    </row>
    <row r="104" spans="1:12" s="25" customFormat="1" ht="27" customHeight="1">
      <c r="A104" s="933" t="s">
        <v>5647</v>
      </c>
      <c r="B104" s="933" t="s">
        <v>4908</v>
      </c>
      <c r="C104" s="1001">
        <v>97666</v>
      </c>
      <c r="D104" s="984" t="str">
        <f>IFERROR(UPPER(IF(B104="CPU",VLOOKUP(C104,#REF!,2,0),IF(B104="SINAPI",VLOOKUP(C104,#REF!,2,0),IF(B104="EDIF",VLOOKUP(C104,#REF!,2,0),IF(B104="CPOS",VLOOKUP(C104,#REF!,3,0),IF(B104="FDE",VLOOKUP(C104,#REF!,2,0),IF(B104="INFRA",VLOOKUP(C104,#REF!,2,0),""))))))),"")</f>
        <v/>
      </c>
      <c r="E104" s="78" t="str">
        <f>IFERROR(UPPER(IF(B104="CPU",VLOOKUP(C104,#REF!,3,0),IF(B104="SINAPI",VLOOKUP(C104,#REF!,3,0),IF(B104="EDIF",VLOOKUP(C104,#REF!,3,0),IF(B104="CPOS",VLOOKUP(C104,#REF!,4,0),IF(B104="FDE",VLOOKUP(C104,#REF!,3,0),IF(B104="INFRA",VLOOKUP(C104,#REF!,3,0),""))))))),"")</f>
        <v/>
      </c>
      <c r="F104" s="936">
        <v>300</v>
      </c>
      <c r="G104" s="985" t="str">
        <f>IFERROR(IF(B104="CPU",VLOOKUP(C104,#REF!,4,0),IF(B104="SINAPI",VLOOKUP(C104,#REF!,5,0),IF(B104="EDIF",VLOOKUP(C104,#REF!,4,0),IF(B104="CPOS",VLOOKUP(C104,#REF!,7,0),IF(B104="FDE",VLOOKUP(C104,#REF!,5,0),IF(B104="INFRA",VLOOKUP(C104,#REF!,4,0),""))))))*VLOOKUP(B104,#REF!,3,0),"")</f>
        <v/>
      </c>
      <c r="H104" s="986">
        <v>0.25</v>
      </c>
      <c r="I104" s="987" t="str">
        <f t="shared" si="5"/>
        <v/>
      </c>
      <c r="J104" s="988">
        <v>3030</v>
      </c>
      <c r="K104" s="52"/>
      <c r="L104" s="940"/>
    </row>
    <row r="105" spans="1:12" s="25" customFormat="1" ht="27" customHeight="1">
      <c r="A105" s="933" t="s">
        <v>5648</v>
      </c>
      <c r="B105" s="933" t="s">
        <v>4872</v>
      </c>
      <c r="C105" s="994">
        <v>107018</v>
      </c>
      <c r="D105" s="984" t="str">
        <f>IFERROR(UPPER(IF(B105="CPU",VLOOKUP(C105,#REF!,2,0),IF(B105="SINAPI",VLOOKUP(C105,#REF!,2,0),IF(B105="EDIF",VLOOKUP(C105,#REF!,2,0),IF(B105="CPOS",VLOOKUP(C105,#REF!,3,0),IF(B105="FDE",VLOOKUP(C105,#REF!,2,0),IF(B105="INFRA",VLOOKUP(C105,#REF!,2,0),""))))))),"")</f>
        <v/>
      </c>
      <c r="E105" s="78" t="str">
        <f>IFERROR(UPPER(IF(B105="CPU",VLOOKUP(C105,#REF!,3,0),IF(B105="SINAPI",VLOOKUP(C105,#REF!,3,0),IF(B105="EDIF",VLOOKUP(C105,#REF!,3,0),IF(B105="CPOS",VLOOKUP(C105,#REF!,4,0),IF(B105="FDE",VLOOKUP(C105,#REF!,3,0),IF(B105="INFRA",VLOOKUP(C105,#REF!,3,0),""))))))),"")</f>
        <v/>
      </c>
      <c r="F105" s="936">
        <v>100</v>
      </c>
      <c r="G105" s="985" t="str">
        <f>IFERROR(IF(B105="CPU",VLOOKUP(C105,#REF!,4,0),IF(B105="SINAPI",VLOOKUP(C105,#REF!,5,0),IF(B105="EDIF",VLOOKUP(C105,#REF!,4,0),IF(B105="CPOS",VLOOKUP(C105,#REF!,7,0),IF(B105="FDE",VLOOKUP(C105,#REF!,5,0),IF(B105="INFRA",VLOOKUP(C105,#REF!,4,0),""))))))*VLOOKUP(B105,#REF!,3,0),"")</f>
        <v/>
      </c>
      <c r="H105" s="986">
        <v>0.25</v>
      </c>
      <c r="I105" s="987" t="str">
        <f t="shared" si="5"/>
        <v/>
      </c>
      <c r="J105" s="988">
        <v>9923.75</v>
      </c>
      <c r="K105" s="52"/>
      <c r="L105" s="940"/>
    </row>
    <row r="106" spans="1:12" s="25" customFormat="1" ht="27" customHeight="1">
      <c r="A106" s="933" t="s">
        <v>5649</v>
      </c>
      <c r="B106" s="933" t="s">
        <v>4872</v>
      </c>
      <c r="C106" s="994">
        <v>106005</v>
      </c>
      <c r="D106" s="984" t="str">
        <f>IFERROR(UPPER(IF(B106="CPU",VLOOKUP(C106,#REF!,2,0),IF(B106="SINAPI",VLOOKUP(C106,#REF!,2,0),IF(B106="EDIF",VLOOKUP(C106,#REF!,2,0),IF(B106="CPOS",VLOOKUP(C106,#REF!,3,0),IF(B106="FDE",VLOOKUP(C106,#REF!,2,0),IF(B106="INFRA",VLOOKUP(C106,#REF!,2,0),""))))))),"")</f>
        <v/>
      </c>
      <c r="E106" s="78" t="str">
        <f>IFERROR(UPPER(IF(B106="CPU",VLOOKUP(C106,#REF!,3,0),IF(B106="SINAPI",VLOOKUP(C106,#REF!,3,0),IF(B106="EDIF",VLOOKUP(C106,#REF!,3,0),IF(B106="CPOS",VLOOKUP(C106,#REF!,4,0),IF(B106="FDE",VLOOKUP(C106,#REF!,3,0),IF(B106="INFRA",VLOOKUP(C106,#REF!,3,0),""))))))),"")</f>
        <v/>
      </c>
      <c r="F106" s="936">
        <f>500*3</f>
        <v>1500</v>
      </c>
      <c r="G106" s="985" t="str">
        <f>IFERROR(IF(B106="CPU",VLOOKUP(C106,#REF!,4,0),IF(B106="SINAPI",VLOOKUP(C106,#REF!,5,0),IF(B106="EDIF",VLOOKUP(C106,#REF!,4,0),IF(B106="CPOS",VLOOKUP(C106,#REF!,7,0),IF(B106="FDE",VLOOKUP(C106,#REF!,5,0),IF(B106="INFRA",VLOOKUP(C106,#REF!,4,0),""))))))*VLOOKUP(B106,#REF!,3,0),"")</f>
        <v/>
      </c>
      <c r="H106" s="986">
        <v>0.25</v>
      </c>
      <c r="I106" s="987" t="str">
        <f t="shared" si="5"/>
        <v/>
      </c>
      <c r="J106" s="988">
        <v>20625</v>
      </c>
      <c r="K106" s="52"/>
      <c r="L106" s="940"/>
    </row>
    <row r="107" spans="1:12" s="25" customFormat="1" ht="27" customHeight="1">
      <c r="A107" s="933" t="s">
        <v>5650</v>
      </c>
      <c r="B107" s="933" t="s">
        <v>4872</v>
      </c>
      <c r="C107" s="994">
        <v>106001</v>
      </c>
      <c r="D107" s="984" t="str">
        <f>IFERROR(UPPER(IF(B107="CPU",VLOOKUP(C107,#REF!,2,0),IF(B107="SINAPI",VLOOKUP(C107,#REF!,2,0),IF(B107="EDIF",VLOOKUP(C107,#REF!,2,0),IF(B107="CPOS",VLOOKUP(C107,#REF!,3,0),IF(B107="FDE",VLOOKUP(C107,#REF!,2,0),IF(B107="INFRA",VLOOKUP(C107,#REF!,2,0),""))))))),"")</f>
        <v/>
      </c>
      <c r="E107" s="78" t="str">
        <f>IFERROR(UPPER(IF(B107="CPU",VLOOKUP(C107,#REF!,3,0),IF(B107="SINAPI",VLOOKUP(C107,#REF!,3,0),IF(B107="EDIF",VLOOKUP(C107,#REF!,3,0),IF(B107="CPOS",VLOOKUP(C107,#REF!,4,0),IF(B107="FDE",VLOOKUP(C107,#REF!,3,0),IF(B107="INFRA",VLOOKUP(C107,#REF!,3,0),""))))))),"")</f>
        <v/>
      </c>
      <c r="F107" s="936">
        <v>150</v>
      </c>
      <c r="G107" s="985" t="str">
        <f>IFERROR(IF(B107="CPU",VLOOKUP(C107,#REF!,4,0),IF(B107="SINAPI",VLOOKUP(C107,#REF!,5,0),IF(B107="EDIF",VLOOKUP(C107,#REF!,4,0),IF(B107="CPOS",VLOOKUP(C107,#REF!,7,0),IF(B107="FDE",VLOOKUP(C107,#REF!,5,0),IF(B107="INFRA",VLOOKUP(C107,#REF!,4,0),""))))))*VLOOKUP(B107,#REF!,3,0),"")</f>
        <v/>
      </c>
      <c r="H107" s="986">
        <v>0.25</v>
      </c>
      <c r="I107" s="987" t="str">
        <f t="shared" si="5"/>
        <v/>
      </c>
      <c r="J107" s="988">
        <v>2062.5</v>
      </c>
      <c r="K107" s="52"/>
      <c r="L107" s="940"/>
    </row>
    <row r="108" spans="1:12" s="25" customFormat="1" ht="27" customHeight="1">
      <c r="A108" s="933"/>
      <c r="B108" s="933"/>
      <c r="C108" s="934"/>
      <c r="D108" s="984"/>
      <c r="E108" s="78"/>
      <c r="F108" s="936"/>
      <c r="G108" s="985"/>
      <c r="H108" s="986"/>
      <c r="I108" s="987"/>
      <c r="J108" s="988"/>
      <c r="K108" s="52"/>
      <c r="L108" s="940"/>
    </row>
    <row r="109" spans="1:12" s="25" customFormat="1" ht="27" customHeight="1">
      <c r="A109" s="975" t="s">
        <v>72</v>
      </c>
      <c r="B109" s="976"/>
      <c r="C109" s="976"/>
      <c r="D109" s="977" t="s">
        <v>5651</v>
      </c>
      <c r="E109" s="978" t="str">
        <f>IFERROR(UPPER(IF(B109="CPU",VLOOKUP(C109,#REF!,3,0),IF(B109="SINAPI",VLOOKUP(C109,#REF!,3,0),IF(B109="EDIF",VLOOKUP(C109,#REF!,3,0),IF(B109="CPOS",VLOOKUP(C109,#REF!,4,0),IF(B109="FDE",VLOOKUP(C109,#REF!,3,0),IF(B109="INFRA",VLOOKUP(C109,#REF!,3,0),""))))))),"")</f>
        <v/>
      </c>
      <c r="F109" s="979"/>
      <c r="G109" s="980" t="str">
        <f>IFERROR(IF(B109="CPU",VLOOKUP(C109,#REF!,4,0),IF(B109="SINAPI",VLOOKUP(C109,#REF!,5,0),IF(B109="EDIF",VLOOKUP(C109,#REF!,4,0),IF(B109="CPOS",VLOOKUP(C109,#REF!,7,0),IF(B109="FDE",VLOOKUP(C109,#REF!,5,0),IF(B109="INFRA",VLOOKUP(C109,#REF!,4,0),""))))))*VLOOKUP(B109,#REF!,3,0),"")</f>
        <v/>
      </c>
      <c r="H109" s="979"/>
      <c r="I109" s="981">
        <f>SUM(I110:I113)</f>
        <v>0</v>
      </c>
      <c r="J109" s="988"/>
      <c r="K109" s="52"/>
      <c r="L109" s="932"/>
    </row>
    <row r="110" spans="1:12" s="25" customFormat="1" ht="27" customHeight="1">
      <c r="A110" s="933" t="s">
        <v>75</v>
      </c>
      <c r="B110" s="933" t="s">
        <v>4872</v>
      </c>
      <c r="C110" s="994">
        <v>176092</v>
      </c>
      <c r="D110" s="984" t="str">
        <f>IFERROR(UPPER(IF(B110="CPU",VLOOKUP(C110,#REF!,2,0),IF(B110="SINAPI",VLOOKUP(C110,#REF!,2,0),IF(B110="EDIF",VLOOKUP(C110,#REF!,2,0),IF(B110="CPOS",VLOOKUP(C110,#REF!,3,0),IF(B110="FDE",VLOOKUP(C110,#REF!,2,0),IF(B110="INFRA",VLOOKUP(C110,#REF!,2,0),""))))))),"")</f>
        <v/>
      </c>
      <c r="E110" s="78" t="str">
        <f>IFERROR(UPPER(IF(B110="CPU",VLOOKUP(C110,#REF!,3,0),IF(B110="SINAPI",VLOOKUP(C110,#REF!,3,0),IF(B110="EDIF",VLOOKUP(C110,#REF!,3,0),IF(B110="CPOS",VLOOKUP(C110,#REF!,4,0),IF(B110="FDE",VLOOKUP(C110,#REF!,3,0),IF(B110="INFRA",VLOOKUP(C110,#REF!,3,0),""))))))),"")</f>
        <v/>
      </c>
      <c r="F110" s="936">
        <v>20</v>
      </c>
      <c r="G110" s="985" t="str">
        <f>IFERROR(IF(B110="CPU",VLOOKUP(C110,#REF!,4,0),IF(B110="SINAPI",VLOOKUP(C110,#REF!,5,0),IF(B110="EDIF",VLOOKUP(C110,#REF!,4,0),IF(B110="CPOS",VLOOKUP(C110,#REF!,7,0),IF(B110="FDE",VLOOKUP(C110,#REF!,5,0),IF(B110="INFRA",VLOOKUP(C110,#REF!,4,0),""))))))*VLOOKUP(B110,#REF!,3,0),"")</f>
        <v/>
      </c>
      <c r="H110" s="986">
        <v>0.25</v>
      </c>
      <c r="I110" s="987" t="str">
        <f>IFERROR(F110*((G110*(1+H110))),"")</f>
        <v/>
      </c>
      <c r="J110" s="988">
        <v>189</v>
      </c>
      <c r="K110" s="52"/>
      <c r="L110" s="940"/>
    </row>
    <row r="111" spans="1:12" s="25" customFormat="1" ht="27" customHeight="1">
      <c r="A111" s="933" t="s">
        <v>77</v>
      </c>
      <c r="B111" s="933" t="s">
        <v>4872</v>
      </c>
      <c r="C111" s="994">
        <v>176093</v>
      </c>
      <c r="D111" s="984" t="str">
        <f>IFERROR(UPPER(IF(B111="CPU",VLOOKUP(C111,#REF!,2,0),IF(B111="SINAPI",VLOOKUP(C111,#REF!,2,0),IF(B111="EDIF",VLOOKUP(C111,#REF!,2,0),IF(B111="CPOS",VLOOKUP(C111,#REF!,3,0),IF(B111="FDE",VLOOKUP(C111,#REF!,2,0),IF(B111="INFRA",VLOOKUP(C111,#REF!,2,0),""))))))),"")</f>
        <v/>
      </c>
      <c r="E111" s="78" t="str">
        <f>IFERROR(UPPER(IF(B111="CPU",VLOOKUP(C111,#REF!,3,0),IF(B111="SINAPI",VLOOKUP(C111,#REF!,3,0),IF(B111="EDIF",VLOOKUP(C111,#REF!,3,0),IF(B111="CPOS",VLOOKUP(C111,#REF!,4,0),IF(B111="FDE",VLOOKUP(C111,#REF!,3,0),IF(B111="INFRA",VLOOKUP(C111,#REF!,3,0),""))))))),"")</f>
        <v/>
      </c>
      <c r="F111" s="936">
        <v>500</v>
      </c>
      <c r="G111" s="985" t="str">
        <f>IFERROR(IF(B111="CPU",VLOOKUP(C111,#REF!,4,0),IF(B111="SINAPI",VLOOKUP(C111,#REF!,5,0),IF(B111="EDIF",VLOOKUP(C111,#REF!,4,0),IF(B111="CPOS",VLOOKUP(C111,#REF!,7,0),IF(B111="FDE",VLOOKUP(C111,#REF!,5,0),IF(B111="INFRA",VLOOKUP(C111,#REF!,4,0),""))))))*VLOOKUP(B111,#REF!,3,0),"")</f>
        <v/>
      </c>
      <c r="H111" s="986">
        <v>0.25</v>
      </c>
      <c r="I111" s="987" t="str">
        <f>IFERROR(F111*((G111*(1+H111))),"")</f>
        <v/>
      </c>
      <c r="J111" s="988">
        <v>9100</v>
      </c>
      <c r="K111" s="52"/>
      <c r="L111" s="940"/>
    </row>
    <row r="112" spans="1:12" s="25" customFormat="1" ht="27" customHeight="1">
      <c r="A112" s="933" t="s">
        <v>5652</v>
      </c>
      <c r="B112" s="933" t="s">
        <v>26</v>
      </c>
      <c r="C112" s="1003" t="s">
        <v>5653</v>
      </c>
      <c r="D112" s="984" t="str">
        <f>IFERROR(UPPER(IF(B112="CPU",VLOOKUP(C112,#REF!,2,0),IF(B112="SINAPI",VLOOKUP(C112,#REF!,2,0),IF(B112="EDIF",VLOOKUP(C112,#REF!,2,0),IF(B112="CPOS",VLOOKUP(C112,#REF!,3,0),IF(B112="FDE",VLOOKUP(C112,#REF!,2,0),IF(B112="INFRA",VLOOKUP(C112,#REF!,2,0),""))))))),"")</f>
        <v/>
      </c>
      <c r="E112" s="78" t="str">
        <f>IFERROR(UPPER(IF(B112="CPU",VLOOKUP(C112,#REF!,3,0),IF(B112="SINAPI",VLOOKUP(C112,#REF!,3,0),IF(B112="EDIF",VLOOKUP(C112,#REF!,3,0),IF(B112="CPOS",VLOOKUP(C112,#REF!,4,0),IF(B112="FDE",VLOOKUP(C112,#REF!,3,0),IF(B112="INFRA",VLOOKUP(C112,#REF!,3,0),""))))))),"")</f>
        <v/>
      </c>
      <c r="F112" s="936">
        <v>200</v>
      </c>
      <c r="G112" s="985" t="str">
        <f>IFERROR(IF(B112="CPU",VLOOKUP(C112,#REF!,4,0),IF(B112="SINAPI",VLOOKUP(C112,#REF!,5,0),IF(B112="EDIF",VLOOKUP(C112,#REF!,4,0),IF(B112="CPOS",VLOOKUP(C112,#REF!,7,0),IF(B112="FDE",VLOOKUP(C112,#REF!,5,0),IF(B112="INFRA",VLOOKUP(C112,#REF!,4,0),""))))))*VLOOKUP(B112,#REF!,3,0),"")</f>
        <v/>
      </c>
      <c r="H112" s="986">
        <v>0.25</v>
      </c>
      <c r="I112" s="987" t="str">
        <f>IFERROR(F112*((G112*(1+H112))),"")</f>
        <v/>
      </c>
      <c r="J112" s="988">
        <v>90522.5</v>
      </c>
      <c r="K112" s="52"/>
      <c r="L112" s="940"/>
    </row>
    <row r="113" spans="1:12" s="25" customFormat="1" ht="27" customHeight="1">
      <c r="A113" s="933"/>
      <c r="B113" s="933"/>
      <c r="C113" s="994"/>
      <c r="D113" s="1002" t="str">
        <f>IFERROR(UPPER(IF(B113="CPU",VLOOKUP(C113,#REF!,2,0),IF(B113="SINAPI",VLOOKUP(C113,#REF!,2,0),IF(B113="EDIF",VLOOKUP(C113,#REF!,2,0),IF(B113="CPOS",VLOOKUP(C113,#REF!,3,0),IF(B113="FDE",VLOOKUP(C113,#REF!,2,0),IF(B113="INFRA",VLOOKUP(C113,#REF!,2,0),""))))))),"")</f>
        <v/>
      </c>
      <c r="E113" s="78" t="str">
        <f>IFERROR(UPPER(IF(B113="CPU",VLOOKUP(C113,#REF!,3,0),IF(B113="SINAPI",VLOOKUP(C113,#REF!,3,0),IF(B113="EDIF",VLOOKUP(C113,#REF!,3,0),IF(B113="CPOS",VLOOKUP(C113,#REF!,4,0),IF(B113="FDE",VLOOKUP(C113,#REF!,3,0),IF(B113="INFRA",VLOOKUP(C113,#REF!,3,0),""))))))),"")</f>
        <v/>
      </c>
      <c r="F113" s="936"/>
      <c r="G113" s="985" t="str">
        <f>IFERROR(IF(B113="CPU",VLOOKUP(C113,#REF!,4,0),IF(B113="SINAPI",VLOOKUP(C113,#REF!,5,0),IF(B113="EDIF",VLOOKUP(C113,#REF!,4,0),IF(B113="CPOS",VLOOKUP(C113,#REF!,7,0),IF(B113="FDE",VLOOKUP(C113,#REF!,5,0),IF(B113="INFRA",VLOOKUP(C113,#REF!,4,0),""))))))*VLOOKUP(B113,#REF!,3,0),"")</f>
        <v/>
      </c>
      <c r="H113" s="986"/>
      <c r="I113" s="987" t="str">
        <f>IFERROR(F113*((G113*(1+H113))),"")</f>
        <v/>
      </c>
      <c r="J113" s="988"/>
      <c r="K113" s="52"/>
      <c r="L113" s="940"/>
    </row>
    <row r="114" spans="1:12" s="25" customFormat="1" ht="27" customHeight="1">
      <c r="A114" s="975" t="s">
        <v>79</v>
      </c>
      <c r="B114" s="976"/>
      <c r="C114" s="976"/>
      <c r="D114" s="977" t="s">
        <v>5654</v>
      </c>
      <c r="E114" s="978" t="str">
        <f>IFERROR(UPPER(IF(B114="CPU",VLOOKUP(C114,#REF!,3,0),IF(B114="SINAPI",VLOOKUP(C114,#REF!,3,0),IF(B114="EDIF",VLOOKUP(C114,#REF!,3,0),IF(B114="CPOS",VLOOKUP(C114,#REF!,4,0),IF(B114="FDE",VLOOKUP(C114,#REF!,3,0),IF(B114="INFRA",VLOOKUP(C114,#REF!,3,0),""))))))),"")</f>
        <v/>
      </c>
      <c r="F114" s="979"/>
      <c r="G114" s="980" t="str">
        <f>IFERROR(IF(B114="CPU",VLOOKUP(C114,#REF!,4,0),IF(B114="SINAPI",VLOOKUP(C114,#REF!,5,0),IF(B114="EDIF",VLOOKUP(C114,#REF!,4,0),IF(B114="CPOS",VLOOKUP(C114,#REF!,7,0),IF(B114="FDE",VLOOKUP(C114,#REF!,5,0),IF(B114="INFRA",VLOOKUP(C114,#REF!,4,0),""))))))*VLOOKUP(B114,#REF!,3,0),"")</f>
        <v/>
      </c>
      <c r="H114" s="979"/>
      <c r="I114" s="981">
        <f>SUM(I115:I120)</f>
        <v>0</v>
      </c>
      <c r="J114" s="988"/>
      <c r="K114" s="52"/>
      <c r="L114" s="932"/>
    </row>
    <row r="115" spans="1:12" s="25" customFormat="1" ht="27" customHeight="1">
      <c r="A115" s="933" t="s">
        <v>82</v>
      </c>
      <c r="B115" s="933" t="s">
        <v>4872</v>
      </c>
      <c r="C115" s="994">
        <v>200603</v>
      </c>
      <c r="D115" s="984" t="str">
        <f>IFERROR(UPPER(IF(B115="CPU",VLOOKUP(C115,#REF!,2,0),IF(B115="SINAPI",VLOOKUP(C115,#REF!,2,0),IF(B115="EDIF",VLOOKUP(C115,#REF!,2,0),IF(B115="CPOS",VLOOKUP(C115,#REF!,3,0),IF(B115="FDE",VLOOKUP(C115,#REF!,2,0),IF(B115="INFRA",VLOOKUP(C115,#REF!,2,0),""))))))),"")</f>
        <v/>
      </c>
      <c r="E115" s="78" t="str">
        <f>IFERROR(UPPER(IF(B115="CPU",VLOOKUP(C115,#REF!,3,0),IF(B115="SINAPI",VLOOKUP(C115,#REF!,3,0),IF(B115="EDIF",VLOOKUP(C115,#REF!,3,0),IF(B115="CPOS",VLOOKUP(C115,#REF!,4,0),IF(B115="FDE",VLOOKUP(C115,#REF!,3,0),IF(B115="INFRA",VLOOKUP(C115,#REF!,3,0),""))))))),"")</f>
        <v/>
      </c>
      <c r="F115" s="936">
        <v>20</v>
      </c>
      <c r="G115" s="985" t="str">
        <f>IFERROR(IF(B115="CPU",VLOOKUP(C115,#REF!,4,0),IF(B115="SINAPI",VLOOKUP(C115,#REF!,5,0),IF(B115="EDIF",VLOOKUP(C115,#REF!,4,0),IF(B115="CPOS",VLOOKUP(C115,#REF!,7,0),IF(B115="FDE",VLOOKUP(C115,#REF!,5,0),IF(B115="INFRA",VLOOKUP(C115,#REF!,4,0),""))))))*VLOOKUP(B115,#REF!,3,0),"")</f>
        <v/>
      </c>
      <c r="H115" s="986">
        <v>0.25</v>
      </c>
      <c r="I115" s="987" t="str">
        <f>IFERROR(F115*((G115*(1+H115))),"")</f>
        <v/>
      </c>
      <c r="J115" s="988">
        <v>4252.25</v>
      </c>
      <c r="K115" s="52"/>
      <c r="L115" s="940"/>
    </row>
    <row r="116" spans="1:12" s="25" customFormat="1" ht="27" customHeight="1">
      <c r="A116" s="933" t="s">
        <v>84</v>
      </c>
      <c r="B116" s="933" t="s">
        <v>4872</v>
      </c>
      <c r="C116" s="994">
        <v>200601</v>
      </c>
      <c r="D116" s="984" t="str">
        <f>IFERROR(UPPER(IF(B116="CPU",VLOOKUP(C116,#REF!,2,0),IF(B116="SINAPI",VLOOKUP(C116,#REF!,2,0),IF(B116="EDIF",VLOOKUP(C116,#REF!,2,0),IF(B116="CPOS",VLOOKUP(C116,#REF!,3,0),IF(B116="FDE",VLOOKUP(C116,#REF!,2,0),IF(B116="INFRA",VLOOKUP(C116,#REF!,2,0),""))))))),"")</f>
        <v/>
      </c>
      <c r="E116" s="78" t="str">
        <f>IFERROR(UPPER(IF(B116="CPU",VLOOKUP(C116,#REF!,3,0),IF(B116="SINAPI",VLOOKUP(C116,#REF!,3,0),IF(B116="EDIF",VLOOKUP(C116,#REF!,3,0),IF(B116="CPOS",VLOOKUP(C116,#REF!,4,0),IF(B116="FDE",VLOOKUP(C116,#REF!,3,0),IF(B116="INFRA",VLOOKUP(C116,#REF!,3,0),""))))))),"")</f>
        <v/>
      </c>
      <c r="F116" s="936">
        <v>100</v>
      </c>
      <c r="G116" s="985" t="str">
        <f>IFERROR(IF(B116="CPU",VLOOKUP(C116,#REF!,4,0),IF(B116="SINAPI",VLOOKUP(C116,#REF!,5,0),IF(B116="EDIF",VLOOKUP(C116,#REF!,4,0),IF(B116="CPOS",VLOOKUP(C116,#REF!,7,0),IF(B116="FDE",VLOOKUP(C116,#REF!,5,0),IF(B116="INFRA",VLOOKUP(C116,#REF!,4,0),""))))))*VLOOKUP(B116,#REF!,3,0),"")</f>
        <v/>
      </c>
      <c r="H116" s="986">
        <v>0.25</v>
      </c>
      <c r="I116" s="987" t="str">
        <f>IFERROR(F116*((G116*(1+H116))),"")</f>
        <v/>
      </c>
      <c r="J116" s="988">
        <v>170215</v>
      </c>
      <c r="K116" s="52"/>
      <c r="L116" s="940"/>
    </row>
    <row r="117" spans="1:12" s="25" customFormat="1" ht="27" customHeight="1">
      <c r="A117" s="933" t="s">
        <v>5655</v>
      </c>
      <c r="B117" s="933" t="s">
        <v>4872</v>
      </c>
      <c r="C117" s="994">
        <v>200611</v>
      </c>
      <c r="D117" s="984" t="str">
        <f>IFERROR(UPPER(IF(B117="CPU",VLOOKUP(C117,#REF!,2,0),IF(B117="SINAPI",VLOOKUP(C117,#REF!,2,0),IF(B117="EDIF",VLOOKUP(C117,#REF!,2,0),IF(B117="CPOS",VLOOKUP(C117,#REF!,3,0),IF(B117="FDE",VLOOKUP(C117,#REF!,2,0),IF(B117="INFRA",VLOOKUP(C117,#REF!,2,0),""))))))),"")</f>
        <v/>
      </c>
      <c r="E117" s="78" t="str">
        <f>IFERROR(UPPER(IF(B117="CPU",VLOOKUP(C117,#REF!,3,0),IF(B117="SINAPI",VLOOKUP(C117,#REF!,3,0),IF(B117="EDIF",VLOOKUP(C117,#REF!,3,0),IF(B117="CPOS",VLOOKUP(C117,#REF!,4,0),IF(B117="FDE",VLOOKUP(C117,#REF!,3,0),IF(B117="INFRA",VLOOKUP(C117,#REF!,3,0),""))))))),"")</f>
        <v/>
      </c>
      <c r="F117" s="936">
        <v>100</v>
      </c>
      <c r="G117" s="985" t="str">
        <f>IFERROR(IF(B117="CPU",VLOOKUP(C117,#REF!,4,0),IF(B117="SINAPI",VLOOKUP(C117,#REF!,5,0),IF(B117="EDIF",VLOOKUP(C117,#REF!,4,0),IF(B117="CPOS",VLOOKUP(C117,#REF!,7,0),IF(B117="FDE",VLOOKUP(C117,#REF!,5,0),IF(B117="INFRA",VLOOKUP(C117,#REF!,4,0),""))))))*VLOOKUP(B117,#REF!,3,0),"")</f>
        <v/>
      </c>
      <c r="H117" s="986">
        <v>0.25</v>
      </c>
      <c r="I117" s="987" t="str">
        <f>IFERROR(F117*((G117*(1+H117))),"")</f>
        <v/>
      </c>
      <c r="J117" s="988">
        <v>4721.25</v>
      </c>
      <c r="K117" s="52"/>
      <c r="L117" s="940"/>
    </row>
    <row r="118" spans="1:12" s="25" customFormat="1" ht="27" customHeight="1">
      <c r="A118" s="933" t="s">
        <v>5656</v>
      </c>
      <c r="B118" s="933" t="s">
        <v>4872</v>
      </c>
      <c r="C118" s="994">
        <v>200605</v>
      </c>
      <c r="D118" s="984" t="str">
        <f>IFERROR(UPPER(IF(B118="CPU",VLOOKUP(C118,#REF!,2,0),IF(B118="SINAPI",VLOOKUP(C118,#REF!,2,0),IF(B118="EDIF",VLOOKUP(C118,#REF!,2,0),IF(B118="CPOS",VLOOKUP(C118,#REF!,3,0),IF(B118="FDE",VLOOKUP(C118,#REF!,2,0),IF(B118="INFRA",VLOOKUP(C118,#REF!,2,0),""))))))),"")</f>
        <v/>
      </c>
      <c r="E118" s="78" t="str">
        <f>IFERROR(UPPER(IF(B118="CPU",VLOOKUP(C118,#REF!,3,0),IF(B118="SINAPI",VLOOKUP(C118,#REF!,3,0),IF(B118="EDIF",VLOOKUP(C118,#REF!,3,0),IF(B118="CPOS",VLOOKUP(C118,#REF!,4,0),IF(B118="FDE",VLOOKUP(C118,#REF!,3,0),IF(B118="INFRA",VLOOKUP(C118,#REF!,3,0),""))))))),"")</f>
        <v/>
      </c>
      <c r="F118" s="936">
        <v>40</v>
      </c>
      <c r="G118" s="985" t="str">
        <f>IFERROR(IF(B118="CPU",VLOOKUP(C118,#REF!,4,0),IF(B118="SINAPI",VLOOKUP(C118,#REF!,5,0),IF(B118="EDIF",VLOOKUP(C118,#REF!,4,0),IF(B118="CPOS",VLOOKUP(C118,#REF!,7,0),IF(B118="FDE",VLOOKUP(C118,#REF!,5,0),IF(B118="INFRA",VLOOKUP(C118,#REF!,4,0),""))))))*VLOOKUP(B118,#REF!,3,0),"")</f>
        <v/>
      </c>
      <c r="H118" s="986">
        <v>0.25</v>
      </c>
      <c r="I118" s="987" t="str">
        <f>IFERROR(F118*((G118*(1+H118))),"")</f>
        <v/>
      </c>
      <c r="J118" s="988">
        <v>60795.5</v>
      </c>
      <c r="K118" s="52"/>
      <c r="L118" s="940"/>
    </row>
    <row r="119" spans="1:12" s="25" customFormat="1" ht="27" customHeight="1">
      <c r="A119" s="933" t="s">
        <v>5657</v>
      </c>
      <c r="B119" s="933" t="s">
        <v>4872</v>
      </c>
      <c r="C119" s="994">
        <v>200532</v>
      </c>
      <c r="D119" s="984" t="str">
        <f>IFERROR(UPPER(IF(B119="CPU",VLOOKUP(C119,#REF!,2,0),IF(B119="SINAPI",VLOOKUP(C119,#REF!,2,0),IF(B119="EDIF",VLOOKUP(C119,#REF!,2,0),IF(B119="CPOS",VLOOKUP(C119,#REF!,3,0),IF(B119="FDE",VLOOKUP(C119,#REF!,2,0),IF(B119="INFRA",VLOOKUP(C119,#REF!,2,0),""))))))),"")</f>
        <v/>
      </c>
      <c r="E119" s="78" t="str">
        <f>IFERROR(UPPER(IF(B119="CPU",VLOOKUP(C119,#REF!,3,0),IF(B119="SINAPI",VLOOKUP(C119,#REF!,3,0),IF(B119="EDIF",VLOOKUP(C119,#REF!,3,0),IF(B119="CPOS",VLOOKUP(C119,#REF!,4,0),IF(B119="FDE",VLOOKUP(C119,#REF!,3,0),IF(B119="INFRA",VLOOKUP(C119,#REF!,3,0),""))))))),"")</f>
        <v/>
      </c>
      <c r="F119" s="936">
        <v>1</v>
      </c>
      <c r="G119" s="985" t="str">
        <f>IFERROR(IF(B119="CPU",VLOOKUP(C119,#REF!,4,0),IF(B119="SINAPI",VLOOKUP(C119,#REF!,5,0),IF(B119="EDIF",VLOOKUP(C119,#REF!,4,0),IF(B119="CPOS",VLOOKUP(C119,#REF!,7,0),IF(B119="FDE",VLOOKUP(C119,#REF!,5,0),IF(B119="INFRA",VLOOKUP(C119,#REF!,4,0),""))))))*VLOOKUP(B119,#REF!,3,0),"")</f>
        <v/>
      </c>
      <c r="H119" s="986">
        <v>0.25</v>
      </c>
      <c r="I119" s="987" t="str">
        <f>IFERROR(F119*((G119*(1+H119))),"")</f>
        <v/>
      </c>
      <c r="J119" s="988">
        <v>12091.8375</v>
      </c>
      <c r="K119" s="52"/>
      <c r="L119" s="940"/>
    </row>
    <row r="120" spans="1:12" s="25" customFormat="1" ht="27" customHeight="1">
      <c r="A120" s="933"/>
      <c r="B120" s="933"/>
      <c r="C120" s="994"/>
      <c r="D120" s="984"/>
      <c r="E120" s="78"/>
      <c r="F120" s="936"/>
      <c r="G120" s="985"/>
      <c r="H120" s="986"/>
      <c r="I120" s="987"/>
      <c r="J120" s="988"/>
      <c r="K120" s="52"/>
      <c r="L120" s="940"/>
    </row>
    <row r="121" spans="1:12" s="25" customFormat="1" ht="27" customHeight="1">
      <c r="A121" s="998">
        <v>3</v>
      </c>
      <c r="B121" s="999"/>
      <c r="C121" s="999"/>
      <c r="D121" s="1000" t="s">
        <v>5658</v>
      </c>
      <c r="E121" s="967"/>
      <c r="F121" s="968"/>
      <c r="G121" s="969" t="str">
        <f>IFERROR(IF(B121="CPU",VLOOKUP(C121,#REF!,4,0),IF(B121="SINAPI",VLOOKUP(C121,#REF!,5,0),IF(B121="EDIF",VLOOKUP(C121,#REF!,4,0),IF(B121="CPOS",VLOOKUP(C121,#REF!,7,0),IF(B121="FDE",VLOOKUP(C121,#REF!,5,0),"")))))*VLOOKUP(B121,#REF!,3,0),"")</f>
        <v/>
      </c>
      <c r="H121" s="968"/>
      <c r="I121" s="971">
        <f>SUM(I122+I128)</f>
        <v>0</v>
      </c>
      <c r="J121" s="988"/>
      <c r="K121" s="52"/>
      <c r="L121" s="940"/>
    </row>
    <row r="122" spans="1:12" s="25" customFormat="1" ht="27" customHeight="1">
      <c r="A122" s="975" t="s">
        <v>98</v>
      </c>
      <c r="B122" s="976"/>
      <c r="C122" s="976"/>
      <c r="D122" s="977" t="s">
        <v>5659</v>
      </c>
      <c r="E122" s="978" t="str">
        <f>IFERROR(UPPER(IF(B122="CPU",VLOOKUP(C122,#REF!,3,0),IF(B122="SINAPI",VLOOKUP(C122,#REF!,3,0),IF(B122="EDIF",VLOOKUP(C122,#REF!,3,0),IF(B122="CPOS",VLOOKUP(C122,#REF!,4,0),IF(B122="FDE",VLOOKUP(C122,#REF!,3,0),IF(B122="INFRA",VLOOKUP(C122,#REF!,3,0),""))))))),"")</f>
        <v/>
      </c>
      <c r="F122" s="979"/>
      <c r="G122" s="980" t="str">
        <f>IFERROR(IF(B122="CPU",VLOOKUP(C122,#REF!,4,0),IF(B122="SINAPI",VLOOKUP(C122,#REF!,5,0),IF(B122="EDIF",VLOOKUP(C122,#REF!,4,0),IF(B122="CPOS",VLOOKUP(C122,#REF!,7,0),IF(B122="FDE",VLOOKUP(C122,#REF!,5,0),IF(B122="INFRA",VLOOKUP(C122,#REF!,4,0),""))))))*VLOOKUP(B122,#REF!,3,0),"")</f>
        <v/>
      </c>
      <c r="H122" s="979"/>
      <c r="I122" s="981">
        <f>SUM(I123:I127)</f>
        <v>0</v>
      </c>
      <c r="J122" s="988"/>
      <c r="K122" s="52"/>
      <c r="L122" s="940"/>
    </row>
    <row r="123" spans="1:12" s="25" customFormat="1" ht="27" customHeight="1">
      <c r="A123" s="933" t="s">
        <v>100</v>
      </c>
      <c r="B123" s="933" t="s">
        <v>4908</v>
      </c>
      <c r="C123" s="1001">
        <v>97082</v>
      </c>
      <c r="D123" s="984" t="str">
        <f>IFERROR(UPPER(IF(B123="CPU",VLOOKUP(C123,#REF!,2,0),IF(B123="SINAPI",VLOOKUP(C123,#REF!,2,0),IF(B123="EDIF",VLOOKUP(C123,#REF!,2,0),IF(B123="CPOS",VLOOKUP(C123,#REF!,3,0),IF(B123="FDE",VLOOKUP(C123,#REF!,2,0),IF(B123="INFRA",VLOOKUP(C123,#REF!,2,0),""))))))),"")</f>
        <v/>
      </c>
      <c r="E123" s="78" t="str">
        <f>IFERROR(UPPER(IF(B123="CPU",VLOOKUP(C123,#REF!,3,0),IF(B123="SINAPI",VLOOKUP(C123,#REF!,3,0),IF(B123="EDIF",VLOOKUP(C123,#REF!,3,0),IF(B123="CPOS",VLOOKUP(C123,#REF!,4,0),IF(B123="FDE",VLOOKUP(C123,#REF!,3,0),IF(B123="INFRA",VLOOKUP(C123,#REF!,3,0),""))))))),"")</f>
        <v/>
      </c>
      <c r="F123" s="936">
        <f>F124*0.2</f>
        <v>778.40000000000009</v>
      </c>
      <c r="G123" s="985" t="str">
        <f>IFERROR(IF(B123="CPU",VLOOKUP(C123,#REF!,4,0),IF(B123="SINAPI",VLOOKUP(C123,#REF!,5,0),IF(B123="EDIF",VLOOKUP(C123,#REF!,4,0),IF(B123="CPOS",VLOOKUP(C123,#REF!,7,0),IF(B123="FDE",VLOOKUP(C123,#REF!,5,0),IF(B123="INFRA",VLOOKUP(C123,#REF!,4,0),""))))))*VLOOKUP(B123,#REF!,3,0),"")</f>
        <v/>
      </c>
      <c r="H123" s="986">
        <v>0.25</v>
      </c>
      <c r="I123" s="987" t="str">
        <f>IFERROR(F123*((G123*(1+H123))),"")</f>
        <v/>
      </c>
      <c r="J123" s="988">
        <v>55266.400000000001</v>
      </c>
      <c r="K123" s="52"/>
      <c r="L123" s="940"/>
    </row>
    <row r="124" spans="1:12" s="25" customFormat="1" ht="27" customHeight="1">
      <c r="A124" s="933" t="s">
        <v>4948</v>
      </c>
      <c r="B124" s="933" t="s">
        <v>4908</v>
      </c>
      <c r="C124" s="1001">
        <v>97083</v>
      </c>
      <c r="D124" s="984" t="str">
        <f>IFERROR(UPPER(IF(B124="CPU",VLOOKUP(C124,#REF!,2,0),IF(B124="SINAPI",VLOOKUP(C124,#REF!,2,0),IF(B124="EDIF",VLOOKUP(C124,#REF!,2,0),IF(B124="CPOS",VLOOKUP(C124,#REF!,3,0),IF(B124="FDE",VLOOKUP(C124,#REF!,2,0),IF(B124="INFRA",VLOOKUP(C124,#REF!,2,0),""))))))),"")</f>
        <v/>
      </c>
      <c r="E124" s="78" t="str">
        <f>IFERROR(UPPER(IF(B124="CPU",VLOOKUP(C124,#REF!,3,0),IF(B124="SINAPI",VLOOKUP(C124,#REF!,3,0),IF(B124="EDIF",VLOOKUP(C124,#REF!,3,0),IF(B124="CPOS",VLOOKUP(C124,#REF!,4,0),IF(B124="FDE",VLOOKUP(C124,#REF!,3,0),IF(B124="INFRA",VLOOKUP(C124,#REF!,3,0),""))))))),"")</f>
        <v/>
      </c>
      <c r="F124" s="936">
        <v>3892</v>
      </c>
      <c r="G124" s="985" t="str">
        <f>IFERROR(IF(B124="CPU",VLOOKUP(C124,#REF!,4,0),IF(B124="SINAPI",VLOOKUP(C124,#REF!,5,0),IF(B124="EDIF",VLOOKUP(C124,#REF!,4,0),IF(B124="CPOS",VLOOKUP(C124,#REF!,7,0),IF(B124="FDE",VLOOKUP(C124,#REF!,5,0),IF(B124="INFRA",VLOOKUP(C124,#REF!,4,0),""))))))*VLOOKUP(B124,#REF!,3,0),"")</f>
        <v/>
      </c>
      <c r="H124" s="986">
        <v>0.25</v>
      </c>
      <c r="I124" s="987" t="str">
        <f>IFERROR(F124*((G124*(1+H124))),"")</f>
        <v/>
      </c>
      <c r="J124" s="988">
        <v>14205.8</v>
      </c>
      <c r="K124" s="52"/>
      <c r="L124" s="940"/>
    </row>
    <row r="125" spans="1:12" s="25" customFormat="1" ht="27" customHeight="1">
      <c r="A125" s="933" t="s">
        <v>4950</v>
      </c>
      <c r="B125" s="933" t="s">
        <v>4908</v>
      </c>
      <c r="C125" s="1001">
        <v>97095</v>
      </c>
      <c r="D125" s="984" t="str">
        <f>IFERROR(UPPER(IF(B125="CPU",VLOOKUP(C125,#REF!,2,0),IF(B125="SINAPI",VLOOKUP(C125,#REF!,2,0),IF(B125="EDIF",VLOOKUP(C125,#REF!,2,0),IF(B125="CPOS",VLOOKUP(C125,#REF!,3,0),IF(B125="FDE",VLOOKUP(C125,#REF!,2,0),IF(B125="INFRA",VLOOKUP(C125,#REF!,2,0),""))))))),"")</f>
        <v/>
      </c>
      <c r="E125" s="78" t="str">
        <f>IFERROR(UPPER(IF(B125="CPU",VLOOKUP(C125,#REF!,3,0),IF(B125="SINAPI",VLOOKUP(C125,#REF!,3,0),IF(B125="EDIF",VLOOKUP(C125,#REF!,3,0),IF(B125="CPOS",VLOOKUP(C125,#REF!,4,0),IF(B125="FDE",VLOOKUP(C125,#REF!,3,0),IF(B125="INFRA",VLOOKUP(C125,#REF!,3,0),""))))))),"")</f>
        <v/>
      </c>
      <c r="F125" s="936">
        <v>583.79999999999995</v>
      </c>
      <c r="G125" s="985" t="str">
        <f>IFERROR(IF(B125="CPU",VLOOKUP(C125,#REF!,4,0),IF(B125="SINAPI",VLOOKUP(C125,#REF!,5,0),IF(B125="EDIF",VLOOKUP(C125,#REF!,4,0),IF(B125="CPOS",VLOOKUP(C125,#REF!,7,0),IF(B125="FDE",VLOOKUP(C125,#REF!,5,0),IF(B125="INFRA",VLOOKUP(C125,#REF!,4,0),""))))))*VLOOKUP(B125,#REF!,3,0),"")</f>
        <v/>
      </c>
      <c r="H125" s="986">
        <v>0.25</v>
      </c>
      <c r="I125" s="987" t="str">
        <f>IFERROR(F125*((G125*(1+H125))),"")</f>
        <v/>
      </c>
      <c r="J125" s="988">
        <v>238657.44</v>
      </c>
      <c r="K125" s="52"/>
      <c r="L125" s="940"/>
    </row>
    <row r="126" spans="1:12" s="25" customFormat="1" ht="27" customHeight="1">
      <c r="A126" s="933" t="s">
        <v>4952</v>
      </c>
      <c r="B126" s="933" t="s">
        <v>4908</v>
      </c>
      <c r="C126" s="1001">
        <v>96995</v>
      </c>
      <c r="D126" s="984" t="str">
        <f>IFERROR(UPPER(IF(B126="CPU",VLOOKUP(C126,#REF!,2,0),IF(B126="SINAPI",VLOOKUP(C126,#REF!,2,0),IF(B126="EDIF",VLOOKUP(C126,#REF!,2,0),IF(B126="CPOS",VLOOKUP(C126,#REF!,3,0),IF(B126="FDE",VLOOKUP(C126,#REF!,2,0),IF(B126="INFRA",VLOOKUP(C126,#REF!,2,0),""))))))),"")</f>
        <v/>
      </c>
      <c r="E126" s="78" t="str">
        <f>IFERROR(UPPER(IF(B126="CPU",VLOOKUP(C126,#REF!,3,0),IF(B126="SINAPI",VLOOKUP(C126,#REF!,3,0),IF(B126="EDIF",VLOOKUP(C126,#REF!,3,0),IF(B126="CPOS",VLOOKUP(C126,#REF!,4,0),IF(B126="FDE",VLOOKUP(C126,#REF!,3,0),IF(B126="INFRA",VLOOKUP(C126,#REF!,3,0),""))))))),"")</f>
        <v/>
      </c>
      <c r="F126" s="936">
        <f>F123-F125</f>
        <v>194.60000000000014</v>
      </c>
      <c r="G126" s="985" t="str">
        <f>IFERROR(IF(B126="CPU",VLOOKUP(C126,#REF!,4,0),IF(B126="SINAPI",VLOOKUP(C126,#REF!,5,0),IF(B126="EDIF",VLOOKUP(C126,#REF!,4,0),IF(B126="CPOS",VLOOKUP(C126,#REF!,7,0),IF(B126="FDE",VLOOKUP(C126,#REF!,5,0),IF(B126="INFRA",VLOOKUP(C126,#REF!,4,0),""))))))*VLOOKUP(B126,#REF!,3,0),"")</f>
        <v/>
      </c>
      <c r="H126" s="986">
        <v>0.25</v>
      </c>
      <c r="I126" s="987" t="str">
        <f>IFERROR(F126*((G126*(1+H126))),"")</f>
        <v/>
      </c>
      <c r="J126" s="988">
        <v>11410.8575</v>
      </c>
      <c r="K126" s="52"/>
      <c r="L126" s="940"/>
    </row>
    <row r="127" spans="1:12" s="25" customFormat="1" ht="27" customHeight="1">
      <c r="A127" s="933"/>
      <c r="B127" s="933"/>
      <c r="C127" s="933"/>
      <c r="D127" s="1004"/>
      <c r="E127" s="78"/>
      <c r="F127" s="936"/>
      <c r="G127" s="985"/>
      <c r="H127" s="986"/>
      <c r="I127" s="987"/>
      <c r="J127" s="988"/>
      <c r="K127" s="52"/>
      <c r="L127" s="940"/>
    </row>
    <row r="128" spans="1:12" s="25" customFormat="1" ht="27" customHeight="1">
      <c r="A128" s="975" t="s">
        <v>102</v>
      </c>
      <c r="B128" s="976"/>
      <c r="C128" s="976"/>
      <c r="D128" s="977" t="s">
        <v>5658</v>
      </c>
      <c r="E128" s="978" t="str">
        <f>IFERROR(UPPER(IF(B128="CPU",VLOOKUP(C128,#REF!,3,0),IF(B128="SINAPI",VLOOKUP(C128,#REF!,3,0),IF(B128="EDIF",VLOOKUP(C128,#REF!,3,0),IF(B128="CPOS",VLOOKUP(C128,#REF!,4,0),IF(B128="FDE",VLOOKUP(C128,#REF!,3,0),IF(B128="INFRA",VLOOKUP(C128,#REF!,3,0),""))))))),"")</f>
        <v/>
      </c>
      <c r="F128" s="979"/>
      <c r="G128" s="980" t="str">
        <f>IFERROR(IF(B128="CPU",VLOOKUP(C128,#REF!,4,0),IF(B128="SINAPI",VLOOKUP(C128,#REF!,5,0),IF(B128="EDIF",VLOOKUP(C128,#REF!,4,0),IF(B128="CPOS",VLOOKUP(C128,#REF!,7,0),IF(B128="FDE",VLOOKUP(C128,#REF!,5,0),IF(B128="INFRA",VLOOKUP(C128,#REF!,4,0),""))))))*VLOOKUP(B128,#REF!,3,0),"")</f>
        <v/>
      </c>
      <c r="H128" s="979"/>
      <c r="I128" s="981">
        <f>SUM(I129:I139)</f>
        <v>0</v>
      </c>
      <c r="J128" s="988"/>
      <c r="K128" s="52"/>
      <c r="L128" s="940"/>
    </row>
    <row r="129" spans="1:12" s="25" customFormat="1" ht="27" customHeight="1">
      <c r="A129" s="933" t="s">
        <v>104</v>
      </c>
      <c r="B129" s="933" t="s">
        <v>4908</v>
      </c>
      <c r="C129" s="1001">
        <v>96527</v>
      </c>
      <c r="D129" s="984" t="str">
        <f>IFERROR(UPPER(IF(B129="CPU",VLOOKUP(C129,#REF!,2,0),IF(B129="SINAPI",VLOOKUP(C129,#REF!,2,0),IF(B129="EDIF",VLOOKUP(C129,#REF!,2,0),IF(B129="CPOS",VLOOKUP(C129,#REF!,3,0),IF(B129="FDE",VLOOKUP(C129,#REF!,2,0),IF(B129="INFRA",VLOOKUP(C129,#REF!,2,0),""))))))),"")</f>
        <v/>
      </c>
      <c r="E129" s="78" t="str">
        <f>IFERROR(UPPER(IF(B129="CPU",VLOOKUP(C129,#REF!,3,0),IF(B129="SINAPI",VLOOKUP(C129,#REF!,3,0),IF(B129="EDIF",VLOOKUP(C129,#REF!,3,0),IF(B129="CPOS",VLOOKUP(C129,#REF!,4,0),IF(B129="FDE",VLOOKUP(C129,#REF!,3,0),IF(B129="INFRA",VLOOKUP(C129,#REF!,3,0),""))))))),"")</f>
        <v/>
      </c>
      <c r="F129" s="936">
        <f>239*1.4</f>
        <v>334.59999999999997</v>
      </c>
      <c r="G129" s="985" t="str">
        <f>IFERROR(IF(B129="CPU",VLOOKUP(C129,#REF!,4,0),IF(B129="SINAPI",VLOOKUP(C129,#REF!,5,0),IF(B129="EDIF",VLOOKUP(C129,#REF!,4,0),IF(B129="CPOS",VLOOKUP(C129,#REF!,7,0),IF(B129="FDE",VLOOKUP(C129,#REF!,5,0),IF(B129="INFRA",VLOOKUP(C129,#REF!,4,0),""))))))*VLOOKUP(B129,#REF!,3,0),"")</f>
        <v/>
      </c>
      <c r="H129" s="986">
        <v>0.25</v>
      </c>
      <c r="I129" s="987" t="str">
        <f t="shared" ref="I129:I139" si="6">IFERROR(F129*((G129*(1+H129))),"")</f>
        <v/>
      </c>
      <c r="J129" s="988">
        <v>48546.277499999997</v>
      </c>
      <c r="K129" s="52"/>
      <c r="L129" s="940"/>
    </row>
    <row r="130" spans="1:12" s="25" customFormat="1" ht="27" customHeight="1">
      <c r="A130" s="933" t="s">
        <v>106</v>
      </c>
      <c r="B130" s="933" t="s">
        <v>4908</v>
      </c>
      <c r="C130" s="1001">
        <v>96528</v>
      </c>
      <c r="D130" s="984" t="str">
        <f>IFERROR(UPPER(IF(B130="CPU",VLOOKUP(C130,#REF!,2,0),IF(B130="SINAPI",VLOOKUP(C130,#REF!,2,0),IF(B130="EDIF",VLOOKUP(C130,#REF!,2,0),IF(B130="CPOS",VLOOKUP(C130,#REF!,3,0),IF(B130="FDE",VLOOKUP(C130,#REF!,2,0),IF(B130="INFRA",VLOOKUP(C130,#REF!,2,0),""))))))),"")</f>
        <v/>
      </c>
      <c r="E130" s="78" t="str">
        <f>IFERROR(UPPER(IF(B130="CPU",VLOOKUP(C130,#REF!,3,0),IF(B130="SINAPI",VLOOKUP(C130,#REF!,3,0),IF(B130="EDIF",VLOOKUP(C130,#REF!,3,0),IF(B130="CPOS",VLOOKUP(C130,#REF!,4,0),IF(B130="FDE",VLOOKUP(C130,#REF!,3,0),IF(B130="INFRA",VLOOKUP(C130,#REF!,3,0),""))))))),"")</f>
        <v/>
      </c>
      <c r="F130" s="936">
        <v>2868</v>
      </c>
      <c r="G130" s="985" t="str">
        <f>IFERROR(IF(B130="CPU",VLOOKUP(C130,#REF!,4,0),IF(B130="SINAPI",VLOOKUP(C130,#REF!,5,0),IF(B130="EDIF",VLOOKUP(C130,#REF!,4,0),IF(B130="CPOS",VLOOKUP(C130,#REF!,7,0),IF(B130="FDE",VLOOKUP(C130,#REF!,5,0),IF(B130="INFRA",VLOOKUP(C130,#REF!,4,0),""))))))*VLOOKUP(B130,#REF!,3,0),"")</f>
        <v/>
      </c>
      <c r="H130" s="986">
        <v>0.25</v>
      </c>
      <c r="I130" s="987" t="str">
        <f t="shared" si="6"/>
        <v/>
      </c>
      <c r="J130" s="988">
        <v>441062.55</v>
      </c>
      <c r="K130" s="52"/>
      <c r="L130" s="940"/>
    </row>
    <row r="131" spans="1:12" s="25" customFormat="1" ht="27" customHeight="1">
      <c r="A131" s="933" t="s">
        <v>108</v>
      </c>
      <c r="B131" s="933" t="s">
        <v>4908</v>
      </c>
      <c r="C131" s="1001">
        <v>96546</v>
      </c>
      <c r="D131" s="984" t="str">
        <f>IFERROR(UPPER(IF(B131="CPU",VLOOKUP(C131,#REF!,2,0),IF(B131="SINAPI",VLOOKUP(C131,#REF!,2,0),IF(B131="EDIF",VLOOKUP(C131,#REF!,2,0),IF(B131="CPOS",VLOOKUP(C131,#REF!,3,0),IF(B131="FDE",VLOOKUP(C131,#REF!,2,0),IF(B131="INFRA",VLOOKUP(C131,#REF!,2,0),""))))))),"")</f>
        <v/>
      </c>
      <c r="E131" s="78" t="str">
        <f>IFERROR(UPPER(IF(B131="CPU",VLOOKUP(C131,#REF!,3,0),IF(B131="SINAPI",VLOOKUP(C131,#REF!,3,0),IF(B131="EDIF",VLOOKUP(C131,#REF!,3,0),IF(B131="CPOS",VLOOKUP(C131,#REF!,4,0),IF(B131="FDE",VLOOKUP(C131,#REF!,3,0),IF(B131="INFRA",VLOOKUP(C131,#REF!,3,0),""))))))),"")</f>
        <v/>
      </c>
      <c r="F131" s="936">
        <v>52580</v>
      </c>
      <c r="G131" s="985" t="str">
        <f>IFERROR(IF(B131="CPU",VLOOKUP(C131,#REF!,4,0),IF(B131="SINAPI",VLOOKUP(C131,#REF!,5,0),IF(B131="EDIF",VLOOKUP(C131,#REF!,4,0),IF(B131="CPOS",VLOOKUP(C131,#REF!,7,0),IF(B131="FDE",VLOOKUP(C131,#REF!,5,0),IF(B131="INFRA",VLOOKUP(C131,#REF!,4,0),""))))))*VLOOKUP(B131,#REF!,3,0),"")</f>
        <v/>
      </c>
      <c r="H131" s="986">
        <v>0.25</v>
      </c>
      <c r="I131" s="987" t="str">
        <f t="shared" si="6"/>
        <v/>
      </c>
      <c r="J131" s="988">
        <v>558662.5</v>
      </c>
      <c r="K131" s="52"/>
      <c r="L131" s="940"/>
    </row>
    <row r="132" spans="1:12" s="25" customFormat="1" ht="27" customHeight="1">
      <c r="A132" s="933" t="s">
        <v>110</v>
      </c>
      <c r="B132" s="933" t="s">
        <v>4908</v>
      </c>
      <c r="C132" s="1001">
        <v>96556</v>
      </c>
      <c r="D132" s="984" t="str">
        <f>IFERROR(UPPER(IF(B132="CPU",VLOOKUP(C132,#REF!,2,0),IF(B132="SINAPI",VLOOKUP(C132,#REF!,2,0),IF(B132="EDIF",VLOOKUP(C132,#REF!,2,0),IF(B132="CPOS",VLOOKUP(C132,#REF!,3,0),IF(B132="FDE",VLOOKUP(C132,#REF!,2,0),IF(B132="INFRA",VLOOKUP(C132,#REF!,2,0),""))))))),"")</f>
        <v/>
      </c>
      <c r="E132" s="78" t="str">
        <f>IFERROR(UPPER(IF(B132="CPU",VLOOKUP(C132,#REF!,3,0),IF(B132="SINAPI",VLOOKUP(C132,#REF!,3,0),IF(B132="EDIF",VLOOKUP(C132,#REF!,3,0),IF(B132="CPOS",VLOOKUP(C132,#REF!,4,0),IF(B132="FDE",VLOOKUP(C132,#REF!,3,0),IF(B132="INFRA",VLOOKUP(C132,#REF!,3,0),""))))))),"")</f>
        <v/>
      </c>
      <c r="F132" s="936">
        <v>239</v>
      </c>
      <c r="G132" s="985" t="str">
        <f>IFERROR(IF(B132="CPU",VLOOKUP(C132,#REF!,4,0),IF(B132="SINAPI",VLOOKUP(C132,#REF!,5,0),IF(B132="EDIF",VLOOKUP(C132,#REF!,4,0),IF(B132="CPOS",VLOOKUP(C132,#REF!,7,0),IF(B132="FDE",VLOOKUP(C132,#REF!,5,0),IF(B132="INFRA",VLOOKUP(C132,#REF!,4,0),""))))))*VLOOKUP(B132,#REF!,3,0),"")</f>
        <v/>
      </c>
      <c r="H132" s="986">
        <v>0.25</v>
      </c>
      <c r="I132" s="987" t="str">
        <f t="shared" si="6"/>
        <v/>
      </c>
      <c r="J132" s="988">
        <v>156267.16250000001</v>
      </c>
      <c r="K132" s="52"/>
      <c r="L132" s="940"/>
    </row>
    <row r="133" spans="1:12" s="25" customFormat="1" ht="27" customHeight="1">
      <c r="A133" s="933" t="s">
        <v>112</v>
      </c>
      <c r="B133" s="933" t="s">
        <v>1479</v>
      </c>
      <c r="C133" s="1001" t="s">
        <v>5660</v>
      </c>
      <c r="D133" s="984" t="str">
        <f>IFERROR(UPPER(IF(B133="CPU",VLOOKUP(C133,#REF!,2,0),IF(B133="SINAPI",VLOOKUP(C133,#REF!,2,0),IF(B133="EDIF",VLOOKUP(C133,#REF!,2,0),IF(B133="CPOS",VLOOKUP(C133,#REF!,3,0),IF(B133="FDE",VLOOKUP(C133,#REF!,2,0),IF(B133="INFRA",VLOOKUP(C133,#REF!,2,0),""))))))),"")</f>
        <v/>
      </c>
      <c r="E133" s="78" t="str">
        <f>IFERROR(UPPER(IF(B133="CPU",VLOOKUP(C133,#REF!,3,0),IF(B133="SINAPI",VLOOKUP(C133,#REF!,3,0),IF(B133="EDIF",VLOOKUP(C133,#REF!,3,0),IF(B133="CPOS",VLOOKUP(C133,#REF!,4,0),IF(B133="FDE",VLOOKUP(C133,#REF!,3,0),IF(B133="INFRA",VLOOKUP(C133,#REF!,3,0),""))))))),"")</f>
        <v/>
      </c>
      <c r="F133" s="936">
        <v>1</v>
      </c>
      <c r="G133" s="985" t="str">
        <f>IFERROR(IF(B133="CPU",VLOOKUP(C133,#REF!,4,0),IF(B133="SINAPI",VLOOKUP(C133,#REF!,5,0),IF(B133="EDIF",VLOOKUP(C133,#REF!,4,0),IF(B133="CPOS",VLOOKUP(C133,#REF!,7,0),IF(B133="FDE",VLOOKUP(C133,#REF!,5,0),IF(B133="INFRA",VLOOKUP(C133,#REF!,4,0),""))))))*VLOOKUP(B133,#REF!,3,0),"")</f>
        <v/>
      </c>
      <c r="H133" s="986">
        <v>0.25</v>
      </c>
      <c r="I133" s="987" t="str">
        <f t="shared" si="6"/>
        <v/>
      </c>
      <c r="J133" s="988">
        <v>17938.887500000001</v>
      </c>
      <c r="K133" s="52"/>
      <c r="L133" s="940"/>
    </row>
    <row r="134" spans="1:12" s="25" customFormat="1" ht="27" customHeight="1">
      <c r="A134" s="933" t="s">
        <v>5661</v>
      </c>
      <c r="B134" s="933" t="s">
        <v>1479</v>
      </c>
      <c r="C134" s="1001" t="s">
        <v>5662</v>
      </c>
      <c r="D134" s="984" t="str">
        <f>IFERROR(UPPER(IF(B134="CPU",VLOOKUP(C134,#REF!,2,0),IF(B134="SINAPI",VLOOKUP(C134,#REF!,2,0),IF(B134="EDIF",VLOOKUP(C134,#REF!,2,0),IF(B134="CPOS",VLOOKUP(C134,#REF!,3,0),IF(B134="FDE",VLOOKUP(C134,#REF!,2,0),IF(B134="INFRA",VLOOKUP(C134,#REF!,2,0),""))))))),"")</f>
        <v/>
      </c>
      <c r="E134" s="78" t="str">
        <f>IFERROR(UPPER(IF(B134="CPU",VLOOKUP(C134,#REF!,3,0),IF(B134="SINAPI",VLOOKUP(C134,#REF!,3,0),IF(B134="EDIF",VLOOKUP(C134,#REF!,3,0),IF(B134="CPOS",VLOOKUP(C134,#REF!,4,0),IF(B134="FDE",VLOOKUP(C134,#REF!,3,0),IF(B134="INFRA",VLOOKUP(C134,#REF!,3,0),""))))))),"")</f>
        <v/>
      </c>
      <c r="F134" s="936">
        <v>500</v>
      </c>
      <c r="G134" s="985" t="str">
        <f>IFERROR(IF(B134="CPU",VLOOKUP(C134,#REF!,4,0),IF(B134="SINAPI",VLOOKUP(C134,#REF!,5,0),IF(B134="EDIF",VLOOKUP(C134,#REF!,4,0),IF(B134="CPOS",VLOOKUP(C134,#REF!,7,0),IF(B134="FDE",VLOOKUP(C134,#REF!,5,0),IF(B134="INFRA",VLOOKUP(C134,#REF!,4,0),""))))))*VLOOKUP(B134,#REF!,3,0),"")</f>
        <v/>
      </c>
      <c r="H134" s="986">
        <v>0.25</v>
      </c>
      <c r="I134" s="987" t="str">
        <f t="shared" si="6"/>
        <v/>
      </c>
      <c r="J134" s="988">
        <v>230318.75</v>
      </c>
      <c r="K134" s="52"/>
      <c r="L134" s="940"/>
    </row>
    <row r="135" spans="1:12" s="25" customFormat="1" ht="27" customHeight="1">
      <c r="A135" s="933" t="s">
        <v>5663</v>
      </c>
      <c r="B135" s="933" t="s">
        <v>4908</v>
      </c>
      <c r="C135" s="1001">
        <v>96995</v>
      </c>
      <c r="D135" s="984" t="str">
        <f>IFERROR(UPPER(IF(B135="CPU",VLOOKUP(C135,#REF!,2,0),IF(B135="SINAPI",VLOOKUP(C135,#REF!,2,0),IF(B135="EDIF",VLOOKUP(C135,#REF!,2,0),IF(B135="CPOS",VLOOKUP(C135,#REF!,3,0),IF(B135="FDE",VLOOKUP(C135,#REF!,2,0),IF(B135="INFRA",VLOOKUP(C135,#REF!,2,0),""))))))),"")</f>
        <v/>
      </c>
      <c r="E135" s="78" t="str">
        <f>IFERROR(UPPER(IF(B135="CPU",VLOOKUP(C135,#REF!,3,0),IF(B135="SINAPI",VLOOKUP(C135,#REF!,3,0),IF(B135="EDIF",VLOOKUP(C135,#REF!,3,0),IF(B135="CPOS",VLOOKUP(C135,#REF!,4,0),IF(B135="FDE",VLOOKUP(C135,#REF!,3,0),IF(B135="INFRA",VLOOKUP(C135,#REF!,3,0),""))))))),"")</f>
        <v/>
      </c>
      <c r="F135" s="936">
        <f>F129-F132</f>
        <v>95.599999999999966</v>
      </c>
      <c r="G135" s="985" t="str">
        <f>IFERROR(IF(B135="CPU",VLOOKUP(C135,#REF!,4,0),IF(B135="SINAPI",VLOOKUP(C135,#REF!,5,0),IF(B135="EDIF",VLOOKUP(C135,#REF!,4,0),IF(B135="CPOS",VLOOKUP(C135,#REF!,7,0),IF(B135="FDE",VLOOKUP(C135,#REF!,5,0),IF(B135="INFRA",VLOOKUP(C135,#REF!,4,0),""))))))*VLOOKUP(B135,#REF!,3,0),"")</f>
        <v/>
      </c>
      <c r="H135" s="986">
        <v>0.25</v>
      </c>
      <c r="I135" s="987" t="str">
        <f t="shared" si="6"/>
        <v/>
      </c>
      <c r="J135" s="988">
        <v>5605.7449999999999</v>
      </c>
      <c r="K135" s="52"/>
      <c r="L135" s="940"/>
    </row>
    <row r="136" spans="1:12" s="25" customFormat="1" ht="27" customHeight="1">
      <c r="A136" s="933" t="s">
        <v>5664</v>
      </c>
      <c r="B136" s="933" t="s">
        <v>4908</v>
      </c>
      <c r="C136" s="1001" t="s">
        <v>5665</v>
      </c>
      <c r="D136" s="984" t="str">
        <f>IFERROR(UPPER(IF(B136="CPU",VLOOKUP(C136,#REF!,2,0),IF(B136="SINAPI",VLOOKUP(C136,#REF!,2,0),IF(B136="EDIF",VLOOKUP(C136,#REF!,2,0),IF(B136="CPOS",VLOOKUP(C136,#REF!,3,0),IF(B136="FDE",VLOOKUP(C136,#REF!,2,0),IF(B136="INFRA",VLOOKUP(C136,#REF!,2,0),""))))))),"")</f>
        <v/>
      </c>
      <c r="E136" s="78" t="str">
        <f>IFERROR(UPPER(IF(B136="CPU",VLOOKUP(C136,#REF!,3,0),IF(B136="SINAPI",VLOOKUP(C136,#REF!,3,0),IF(B136="EDIF",VLOOKUP(C136,#REF!,3,0),IF(B136="CPOS",VLOOKUP(C136,#REF!,4,0),IF(B136="FDE",VLOOKUP(C136,#REF!,3,0),IF(B136="INFRA",VLOOKUP(C136,#REF!,3,0),""))))))),"")</f>
        <v/>
      </c>
      <c r="F136" s="936">
        <v>2868</v>
      </c>
      <c r="G136" s="985" t="str">
        <f>IFERROR(IF(B136="CPU",VLOOKUP(C136,#REF!,4,0),IF(B136="SINAPI",VLOOKUP(C136,#REF!,5,0),IF(B136="EDIF",VLOOKUP(C136,#REF!,4,0),IF(B136="CPOS",VLOOKUP(C136,#REF!,7,0),IF(B136="FDE",VLOOKUP(C136,#REF!,5,0),IF(B136="INFRA",VLOOKUP(C136,#REF!,4,0),""))))))*VLOOKUP(B136,#REF!,3,0),"")</f>
        <v/>
      </c>
      <c r="H136" s="986">
        <v>0.25</v>
      </c>
      <c r="I136" s="987" t="str">
        <f t="shared" si="6"/>
        <v/>
      </c>
      <c r="J136" s="988">
        <v>38646.300000000003</v>
      </c>
      <c r="K136" s="52"/>
      <c r="L136" s="940"/>
    </row>
    <row r="137" spans="1:12" s="25" customFormat="1" ht="27" customHeight="1">
      <c r="A137" s="933" t="s">
        <v>5666</v>
      </c>
      <c r="B137" s="933" t="s">
        <v>4908</v>
      </c>
      <c r="C137" s="1001">
        <v>72900</v>
      </c>
      <c r="D137" s="984" t="str">
        <f>IFERROR(UPPER(IF(B137="CPU",VLOOKUP(C137,#REF!,2,0),IF(B137="SINAPI",VLOOKUP(C137,#REF!,2,0),IF(B137="EDIF",VLOOKUP(C137,#REF!,2,0),IF(B137="CPOS",VLOOKUP(C137,#REF!,3,0),IF(B137="FDE",VLOOKUP(C137,#REF!,2,0),IF(B137="INFRA",VLOOKUP(C137,#REF!,2,0),""))))))),"")</f>
        <v/>
      </c>
      <c r="E137" s="78" t="str">
        <f>IFERROR(UPPER(IF(B137="CPU",VLOOKUP(C137,#REF!,3,0),IF(B137="SINAPI",VLOOKUP(C137,#REF!,3,0),IF(B137="EDIF",VLOOKUP(C137,#REF!,3,0),IF(B137="CPOS",VLOOKUP(C137,#REF!,4,0),IF(B137="FDE",VLOOKUP(C137,#REF!,3,0),IF(B137="INFRA",VLOOKUP(C137,#REF!,3,0),""))))))),"")</f>
        <v/>
      </c>
      <c r="F137" s="936">
        <f>F135</f>
        <v>95.599999999999966</v>
      </c>
      <c r="G137" s="985" t="str">
        <f>IFERROR(IF(B137="CPU",VLOOKUP(C137,#REF!,4,0),IF(B137="SINAPI",VLOOKUP(C137,#REF!,5,0),IF(B137="EDIF",VLOOKUP(C137,#REF!,4,0),IF(B137="CPOS",VLOOKUP(C137,#REF!,7,0),IF(B137="FDE",VLOOKUP(C137,#REF!,5,0),IF(B137="INFRA",VLOOKUP(C137,#REF!,4,0),""))))))*VLOOKUP(B137,#REF!,3,0),"")</f>
        <v/>
      </c>
      <c r="H137" s="986">
        <v>0.25</v>
      </c>
      <c r="I137" s="987" t="str">
        <f t="shared" si="6"/>
        <v/>
      </c>
      <c r="J137" s="988">
        <v>713.41499999999996</v>
      </c>
      <c r="K137" s="52"/>
      <c r="L137" s="940"/>
    </row>
    <row r="138" spans="1:12" s="25" customFormat="1" ht="27" customHeight="1">
      <c r="A138" s="933" t="s">
        <v>5667</v>
      </c>
      <c r="B138" s="933" t="s">
        <v>4908</v>
      </c>
      <c r="C138" s="1001">
        <v>99058</v>
      </c>
      <c r="D138" s="984" t="str">
        <f>IFERROR(UPPER(IF(B138="CPU",VLOOKUP(C138,#REF!,2,0),IF(B138="SINAPI",VLOOKUP(C138,#REF!,2,0),IF(B138="EDIF",VLOOKUP(C138,#REF!,2,0),IF(B138="CPOS",VLOOKUP(C138,#REF!,3,0),IF(B138="FDE",VLOOKUP(C138,#REF!,2,0),IF(B138="INFRA",VLOOKUP(C138,#REF!,2,0),""))))))),"")</f>
        <v/>
      </c>
      <c r="E138" s="78" t="str">
        <f>IFERROR(UPPER(IF(B138="CPU",VLOOKUP(C138,#REF!,3,0),IF(B138="SINAPI",VLOOKUP(C138,#REF!,3,0),IF(B138="EDIF",VLOOKUP(C138,#REF!,3,0),IF(B138="CPOS",VLOOKUP(C138,#REF!,4,0),IF(B138="FDE",VLOOKUP(C138,#REF!,3,0),IF(B138="INFRA",VLOOKUP(C138,#REF!,3,0),""))))))),"")</f>
        <v/>
      </c>
      <c r="F138" s="936">
        <v>200</v>
      </c>
      <c r="G138" s="985" t="str">
        <f>IFERROR(IF(B138="CPU",VLOOKUP(C138,#REF!,4,0),IF(B138="SINAPI",VLOOKUP(C138,#REF!,5,0),IF(B138="EDIF",VLOOKUP(C138,#REF!,4,0),IF(B138="CPOS",VLOOKUP(C138,#REF!,7,0),IF(B138="FDE",VLOOKUP(C138,#REF!,5,0),IF(B138="INFRA",VLOOKUP(C138,#REF!,4,0),""))))))*VLOOKUP(B138,#REF!,3,0),"")</f>
        <v/>
      </c>
      <c r="H138" s="986">
        <v>0.25</v>
      </c>
      <c r="I138" s="987" t="str">
        <f t="shared" si="6"/>
        <v/>
      </c>
      <c r="J138" s="988">
        <v>2300</v>
      </c>
      <c r="K138" s="52"/>
      <c r="L138" s="940"/>
    </row>
    <row r="139" spans="1:12" s="25" customFormat="1" ht="27" customHeight="1">
      <c r="A139" s="933"/>
      <c r="B139" s="933"/>
      <c r="C139" s="1001"/>
      <c r="D139" s="984" t="str">
        <f>IFERROR(UPPER(IF(B139="CPU",VLOOKUP(C139,#REF!,2,0),IF(B139="SINAPI",VLOOKUP(C139,#REF!,2,0),IF(B139="EDIF",VLOOKUP(C139,#REF!,2,0),IF(B139="CPOS",VLOOKUP(C139,#REF!,3,0),IF(B139="FDE",VLOOKUP(C139,#REF!,2,0),IF(B139="INFRA",VLOOKUP(C139,#REF!,2,0),""))))))),"")</f>
        <v/>
      </c>
      <c r="E139" s="78" t="str">
        <f>IFERROR(UPPER(IF(B139="CPU",VLOOKUP(C139,#REF!,3,0),IF(B139="SINAPI",VLOOKUP(C139,#REF!,3,0),IF(B139="EDIF",VLOOKUP(C139,#REF!,3,0),IF(B139="CPOS",VLOOKUP(C139,#REF!,4,0),IF(B139="FDE",VLOOKUP(C139,#REF!,3,0),IF(B139="INFRA",VLOOKUP(C139,#REF!,3,0),""))))))),"")</f>
        <v/>
      </c>
      <c r="F139" s="936"/>
      <c r="G139" s="985" t="str">
        <f>IFERROR(IF(B139="CPU",VLOOKUP(C139,#REF!,4,0),IF(B139="SINAPI",VLOOKUP(C139,#REF!,5,0),IF(B139="EDIF",VLOOKUP(C139,#REF!,4,0),IF(B139="CPOS",VLOOKUP(C139,#REF!,7,0),IF(B139="FDE",VLOOKUP(C139,#REF!,5,0),IF(B139="INFRA",VLOOKUP(C139,#REF!,4,0),""))))))*VLOOKUP(B139,#REF!,3,0),"")</f>
        <v/>
      </c>
      <c r="H139" s="986"/>
      <c r="I139" s="987" t="str">
        <f t="shared" si="6"/>
        <v/>
      </c>
      <c r="J139" s="988"/>
      <c r="K139" s="52"/>
      <c r="L139" s="940"/>
    </row>
    <row r="140" spans="1:12" s="25" customFormat="1" ht="27" customHeight="1">
      <c r="A140" s="933"/>
      <c r="B140" s="933"/>
      <c r="C140" s="933"/>
      <c r="D140" s="1004"/>
      <c r="E140" s="78"/>
      <c r="F140" s="936"/>
      <c r="G140" s="985"/>
      <c r="H140" s="986"/>
      <c r="I140" s="987"/>
      <c r="J140" s="988"/>
      <c r="K140" s="52"/>
      <c r="L140" s="940"/>
    </row>
    <row r="141" spans="1:12" s="25" customFormat="1" ht="27" customHeight="1">
      <c r="A141" s="998">
        <v>4</v>
      </c>
      <c r="B141" s="999"/>
      <c r="C141" s="999"/>
      <c r="D141" s="1000" t="s">
        <v>4979</v>
      </c>
      <c r="E141" s="967"/>
      <c r="F141" s="968"/>
      <c r="G141" s="969" t="str">
        <f>IFERROR(IF(B141="CPU",VLOOKUP(C141,#REF!,4,0),IF(B141="SINAPI",VLOOKUP(C141,#REF!,5,0),IF(B141="EDIF",VLOOKUP(C141,#REF!,4,0),IF(B141="CPOS",VLOOKUP(C141,#REF!,7,0),IF(B141="FDE",VLOOKUP(C141,#REF!,5,0),"")))))*VLOOKUP(B141,#REF!,3,0),"")</f>
        <v/>
      </c>
      <c r="H141" s="968"/>
      <c r="I141" s="1005">
        <f>SUM(I142:I150)</f>
        <v>0</v>
      </c>
      <c r="J141" s="988"/>
      <c r="K141" s="52"/>
      <c r="L141" s="940"/>
    </row>
    <row r="142" spans="1:12" s="25" customFormat="1" ht="27" customHeight="1">
      <c r="A142" s="933" t="s">
        <v>135</v>
      </c>
      <c r="B142" s="933" t="s">
        <v>4908</v>
      </c>
      <c r="C142" s="1001">
        <v>92264</v>
      </c>
      <c r="D142" s="984" t="str">
        <f>IFERROR(UPPER(IF(B142="CPU",VLOOKUP(C142,#REF!,2,0),IF(B142="SINAPI",VLOOKUP(C142,#REF!,2,0),IF(B142="EDIF",VLOOKUP(C142,#REF!,2,0),IF(B142="CPOS",VLOOKUP(C142,#REF!,3,0),IF(B142="FDE",VLOOKUP(C142,#REF!,2,0),IF(B142="INFRA",VLOOKUP(C142,#REF!,2,0),""))))))),"")</f>
        <v/>
      </c>
      <c r="E142" s="78" t="str">
        <f>IFERROR(UPPER(IF(B142="CPU",VLOOKUP(C142,#REF!,3,0),IF(B142="SINAPI",VLOOKUP(C142,#REF!,3,0),IF(B142="EDIF",VLOOKUP(C142,#REF!,3,0),IF(B142="CPOS",VLOOKUP(C142,#REF!,4,0),IF(B142="FDE",VLOOKUP(C142,#REF!,3,0),IF(B142="INFRA",VLOOKUP(C142,#REF!,3,0),""))))))),"")</f>
        <v/>
      </c>
      <c r="F142" s="936">
        <v>1242.8</v>
      </c>
      <c r="G142" s="985" t="str">
        <f>IFERROR(IF(B142="CPU",VLOOKUP(C142,#REF!,4,0),IF(B142="SINAPI",VLOOKUP(C142,#REF!,5,0),IF(B142="EDIF",VLOOKUP(C142,#REF!,4,0),IF(B142="CPOS",VLOOKUP(C142,#REF!,7,0),IF(B142="FDE",VLOOKUP(C142,#REF!,5,0),IF(B142="INFRA",VLOOKUP(C142,#REF!,4,0),""))))))*VLOOKUP(B142,#REF!,3,0),"")</f>
        <v/>
      </c>
      <c r="H142" s="986">
        <v>0.25</v>
      </c>
      <c r="I142" s="987" t="str">
        <f t="shared" ref="I142:I150" si="7">IFERROR(F142*((G142*(1+H142))),"")</f>
        <v/>
      </c>
      <c r="J142" s="988">
        <v>161626.14000000001</v>
      </c>
      <c r="K142" s="52"/>
      <c r="L142" s="940"/>
    </row>
    <row r="143" spans="1:12" s="25" customFormat="1" ht="27" customHeight="1">
      <c r="A143" s="933" t="s">
        <v>150</v>
      </c>
      <c r="B143" s="933" t="s">
        <v>4908</v>
      </c>
      <c r="C143" s="1001" t="s">
        <v>5668</v>
      </c>
      <c r="D143" s="984" t="str">
        <f>IFERROR(UPPER(IF(B143="CPU",VLOOKUP(C143,#REF!,2,0),IF(B143="SINAPI",VLOOKUP(C143,#REF!,2,0),IF(B143="EDIF",VLOOKUP(C143,#REF!,2,0),IF(B143="CPOS",VLOOKUP(C143,#REF!,3,0),IF(B143="FDE",VLOOKUP(C143,#REF!,2,0),IF(B143="INFRA",VLOOKUP(C143,#REF!,2,0),""))))))),"")</f>
        <v/>
      </c>
      <c r="E143" s="78" t="str">
        <f>IFERROR(UPPER(IF(B143="CPU",VLOOKUP(C143,#REF!,3,0),IF(B143="SINAPI",VLOOKUP(C143,#REF!,3,0),IF(B143="EDIF",VLOOKUP(C143,#REF!,3,0),IF(B143="CPOS",VLOOKUP(C143,#REF!,4,0),IF(B143="FDE",VLOOKUP(C143,#REF!,3,0),IF(B143="INFRA",VLOOKUP(C143,#REF!,3,0),""))))))),"")</f>
        <v/>
      </c>
      <c r="F143" s="936">
        <v>286.60000000000002</v>
      </c>
      <c r="G143" s="985" t="str">
        <f>IFERROR(IF(B143="CPU",VLOOKUP(C143,#REF!,4,0),IF(B143="SINAPI",VLOOKUP(C143,#REF!,5,0),IF(B143="EDIF",VLOOKUP(C143,#REF!,4,0),IF(B143="CPOS",VLOOKUP(C143,#REF!,7,0),IF(B143="FDE",VLOOKUP(C143,#REF!,5,0),IF(B143="INFRA",VLOOKUP(C143,#REF!,4,0),""))))))*VLOOKUP(B143,#REF!,3,0),"")</f>
        <v/>
      </c>
      <c r="H143" s="986">
        <v>0.25</v>
      </c>
      <c r="I143" s="987" t="str">
        <f t="shared" si="7"/>
        <v/>
      </c>
      <c r="J143" s="988">
        <v>200662.99</v>
      </c>
      <c r="K143" s="52"/>
      <c r="L143" s="940"/>
    </row>
    <row r="144" spans="1:12" s="25" customFormat="1" ht="27" customHeight="1">
      <c r="A144" s="933" t="s">
        <v>5669</v>
      </c>
      <c r="B144" s="933" t="s">
        <v>4908</v>
      </c>
      <c r="C144" s="1001">
        <v>92718</v>
      </c>
      <c r="D144" s="984" t="str">
        <f>IFERROR(UPPER(IF(B144="CPU",VLOOKUP(C144,#REF!,2,0),IF(B144="SINAPI",VLOOKUP(C144,#REF!,2,0),IF(B144="EDIF",VLOOKUP(C144,#REF!,2,0),IF(B144="CPOS",VLOOKUP(C144,#REF!,3,0),IF(B144="FDE",VLOOKUP(C144,#REF!,2,0),IF(B144="INFRA",VLOOKUP(C144,#REF!,2,0),""))))))),"")</f>
        <v/>
      </c>
      <c r="E144" s="78" t="str">
        <f>IFERROR(UPPER(IF(B144="CPU",VLOOKUP(C144,#REF!,3,0),IF(B144="SINAPI",VLOOKUP(C144,#REF!,3,0),IF(B144="EDIF",VLOOKUP(C144,#REF!,3,0),IF(B144="CPOS",VLOOKUP(C144,#REF!,4,0),IF(B144="FDE",VLOOKUP(C144,#REF!,3,0),IF(B144="INFRA",VLOOKUP(C144,#REF!,3,0),""))))))),"")</f>
        <v/>
      </c>
      <c r="F144" s="936">
        <v>286.8</v>
      </c>
      <c r="G144" s="985" t="str">
        <f>IFERROR(IF(B144="CPU",VLOOKUP(C144,#REF!,4,0),IF(B144="SINAPI",VLOOKUP(C144,#REF!,5,0),IF(B144="EDIF",VLOOKUP(C144,#REF!,4,0),IF(B144="CPOS",VLOOKUP(C144,#REF!,7,0),IF(B144="FDE",VLOOKUP(C144,#REF!,5,0),IF(B144="INFRA",VLOOKUP(C144,#REF!,4,0),""))))))*VLOOKUP(B144,#REF!,3,0),"")</f>
        <v/>
      </c>
      <c r="H144" s="986">
        <v>0.25</v>
      </c>
      <c r="I144" s="987" t="str">
        <f t="shared" si="7"/>
        <v/>
      </c>
      <c r="J144" s="988">
        <v>162049.17000000001</v>
      </c>
      <c r="K144" s="52"/>
      <c r="L144" s="940"/>
    </row>
    <row r="145" spans="1:12" s="25" customFormat="1" ht="27" customHeight="1">
      <c r="A145" s="933" t="s">
        <v>5670</v>
      </c>
      <c r="B145" s="933" t="s">
        <v>4908</v>
      </c>
      <c r="C145" s="1001">
        <v>92874</v>
      </c>
      <c r="D145" s="984" t="str">
        <f>IFERROR(UPPER(IF(B145="CPU",VLOOKUP(C145,#REF!,2,0),IF(B145="SINAPI",VLOOKUP(C145,#REF!,2,0),IF(B145="EDIF",VLOOKUP(C145,#REF!,2,0),IF(B145="CPOS",VLOOKUP(C145,#REF!,3,0),IF(B145="FDE",VLOOKUP(C145,#REF!,2,0),IF(B145="INFRA",VLOOKUP(C145,#REF!,2,0),""))))))),"")</f>
        <v/>
      </c>
      <c r="E145" s="78" t="str">
        <f>IFERROR(UPPER(IF(B145="CPU",VLOOKUP(C145,#REF!,3,0),IF(B145="SINAPI",VLOOKUP(C145,#REF!,3,0),IF(B145="EDIF",VLOOKUP(C145,#REF!,3,0),IF(B145="CPOS",VLOOKUP(C145,#REF!,4,0),IF(B145="FDE",VLOOKUP(C145,#REF!,3,0),IF(B145="INFRA",VLOOKUP(C145,#REF!,3,0),""))))))),"")</f>
        <v/>
      </c>
      <c r="F145" s="936">
        <v>286.8</v>
      </c>
      <c r="G145" s="985" t="str">
        <f>IFERROR(IF(B145="CPU",VLOOKUP(C145,#REF!,4,0),IF(B145="SINAPI",VLOOKUP(C145,#REF!,5,0),IF(B145="EDIF",VLOOKUP(C145,#REF!,4,0),IF(B145="CPOS",VLOOKUP(C145,#REF!,7,0),IF(B145="FDE",VLOOKUP(C145,#REF!,5,0),IF(B145="INFRA",VLOOKUP(C145,#REF!,4,0),""))))))*VLOOKUP(B145,#REF!,3,0),"")</f>
        <v/>
      </c>
      <c r="H145" s="986">
        <v>0.25</v>
      </c>
      <c r="I145" s="987" t="str">
        <f t="shared" si="7"/>
        <v/>
      </c>
      <c r="J145" s="988">
        <v>11701.44</v>
      </c>
      <c r="K145" s="52"/>
      <c r="L145" s="940"/>
    </row>
    <row r="146" spans="1:12" s="25" customFormat="1" ht="27" customHeight="1">
      <c r="A146" s="933" t="s">
        <v>5671</v>
      </c>
      <c r="B146" s="933" t="s">
        <v>4908</v>
      </c>
      <c r="C146" s="1001">
        <v>83730</v>
      </c>
      <c r="D146" s="984" t="str">
        <f>IFERROR(UPPER(IF(B146="CPU",VLOOKUP(C146,#REF!,2,0),IF(B146="SINAPI",VLOOKUP(C146,#REF!,2,0),IF(B146="EDIF",VLOOKUP(C146,#REF!,2,0),IF(B146="CPOS",VLOOKUP(C146,#REF!,3,0),IF(B146="FDE",VLOOKUP(C146,#REF!,2,0),IF(B146="INFRA",VLOOKUP(C146,#REF!,2,0),""))))))),"")</f>
        <v/>
      </c>
      <c r="E146" s="78" t="str">
        <f>IFERROR(UPPER(IF(B146="CPU",VLOOKUP(C146,#REF!,3,0),IF(B146="SINAPI",VLOOKUP(C146,#REF!,3,0),IF(B146="EDIF",VLOOKUP(C146,#REF!,3,0),IF(B146="CPOS",VLOOKUP(C146,#REF!,4,0),IF(B146="FDE",VLOOKUP(C146,#REF!,3,0),IF(B146="INFRA",VLOOKUP(C146,#REF!,3,0),""))))))),"")</f>
        <v/>
      </c>
      <c r="F146" s="936">
        <v>60</v>
      </c>
      <c r="G146" s="985" t="str">
        <f>IFERROR(IF(B146="CPU",VLOOKUP(C146,#REF!,4,0),IF(B146="SINAPI",VLOOKUP(C146,#REF!,5,0),IF(B146="EDIF",VLOOKUP(C146,#REF!,4,0),IF(B146="CPOS",VLOOKUP(C146,#REF!,7,0),IF(B146="FDE",VLOOKUP(C146,#REF!,5,0),IF(B146="INFRA",VLOOKUP(C146,#REF!,4,0),""))))))*VLOOKUP(B146,#REF!,3,0),"")</f>
        <v/>
      </c>
      <c r="H146" s="986">
        <v>0.25</v>
      </c>
      <c r="I146" s="987" t="str">
        <f t="shared" si="7"/>
        <v/>
      </c>
      <c r="J146" s="988">
        <v>15702</v>
      </c>
      <c r="K146" s="52"/>
      <c r="L146" s="940"/>
    </row>
    <row r="147" spans="1:12" s="25" customFormat="1" ht="27" customHeight="1">
      <c r="A147" s="933" t="s">
        <v>5672</v>
      </c>
      <c r="B147" s="933" t="s">
        <v>4908</v>
      </c>
      <c r="C147" s="1001">
        <v>83516</v>
      </c>
      <c r="D147" s="984" t="str">
        <f>IFERROR(UPPER(IF(B147="CPU",VLOOKUP(C147,#REF!,2,0),IF(B147="SINAPI",VLOOKUP(C147,#REF!,2,0),IF(B147="EDIF",VLOOKUP(C147,#REF!,2,0),IF(B147="CPOS",VLOOKUP(C147,#REF!,3,0),IF(B147="FDE",VLOOKUP(C147,#REF!,2,0),IF(B147="INFRA",VLOOKUP(C147,#REF!,2,0),""))))))),"")</f>
        <v/>
      </c>
      <c r="E147" s="78" t="str">
        <f>IFERROR(UPPER(IF(B147="CPU",VLOOKUP(C147,#REF!,3,0),IF(B147="SINAPI",VLOOKUP(C147,#REF!,3,0),IF(B147="EDIF",VLOOKUP(C147,#REF!,3,0),IF(B147="CPOS",VLOOKUP(C147,#REF!,4,0),IF(B147="FDE",VLOOKUP(C147,#REF!,3,0),IF(B147="INFRA",VLOOKUP(C147,#REF!,3,0),""))))))),"")</f>
        <v/>
      </c>
      <c r="F147" s="936">
        <v>4780</v>
      </c>
      <c r="G147" s="985" t="str">
        <f>IFERROR(IF(B147="CPU",VLOOKUP(C147,#REF!,4,0),IF(B147="SINAPI",VLOOKUP(C147,#REF!,5,0),IF(B147="EDIF",VLOOKUP(C147,#REF!,4,0),IF(B147="CPOS",VLOOKUP(C147,#REF!,7,0),IF(B147="FDE",VLOOKUP(C147,#REF!,5,0),IF(B147="INFRA",VLOOKUP(C147,#REF!,4,0),""))))))*VLOOKUP(B147,#REF!,3,0),"")</f>
        <v/>
      </c>
      <c r="H147" s="986">
        <v>0.25</v>
      </c>
      <c r="I147" s="987" t="str">
        <f t="shared" si="7"/>
        <v/>
      </c>
      <c r="J147" s="988">
        <v>116154</v>
      </c>
      <c r="K147" s="52"/>
      <c r="L147" s="940"/>
    </row>
    <row r="148" spans="1:12" s="25" customFormat="1" ht="27" customHeight="1">
      <c r="A148" s="933" t="s">
        <v>5673</v>
      </c>
      <c r="B148" s="933" t="s">
        <v>4908</v>
      </c>
      <c r="C148" s="1001">
        <v>83730</v>
      </c>
      <c r="D148" s="984" t="str">
        <f>IFERROR(UPPER(IF(B148="CPU",VLOOKUP(C148,#REF!,2,0),IF(B148="SINAPI",VLOOKUP(C148,#REF!,2,0),IF(B148="EDIF",VLOOKUP(C148,#REF!,2,0),IF(B148="CPOS",VLOOKUP(C148,#REF!,3,0),IF(B148="FDE",VLOOKUP(C148,#REF!,2,0),IF(B148="INFRA",VLOOKUP(C148,#REF!,2,0),""))))))),"")</f>
        <v/>
      </c>
      <c r="E148" s="78" t="str">
        <f>IFERROR(UPPER(IF(B148="CPU",VLOOKUP(C148,#REF!,3,0),IF(B148="SINAPI",VLOOKUP(C148,#REF!,3,0),IF(B148="EDIF",VLOOKUP(C148,#REF!,3,0),IF(B148="CPOS",VLOOKUP(C148,#REF!,4,0),IF(B148="FDE",VLOOKUP(C148,#REF!,3,0),IF(B148="INFRA",VLOOKUP(C148,#REF!,3,0),""))))))),"")</f>
        <v/>
      </c>
      <c r="F148" s="936">
        <v>1241.7</v>
      </c>
      <c r="G148" s="985" t="str">
        <f>IFERROR(IF(B148="CPU",VLOOKUP(C148,#REF!,4,0),IF(B148="SINAPI",VLOOKUP(C148,#REF!,5,0),IF(B148="EDIF",VLOOKUP(C148,#REF!,4,0),IF(B148="CPOS",VLOOKUP(C148,#REF!,7,0),IF(B148="FDE",VLOOKUP(C148,#REF!,5,0),IF(B148="INFRA",VLOOKUP(C148,#REF!,4,0),""))))))*VLOOKUP(B148,#REF!,3,0),"")</f>
        <v/>
      </c>
      <c r="H148" s="986">
        <v>0.25</v>
      </c>
      <c r="I148" s="987" t="str">
        <f t="shared" si="7"/>
        <v/>
      </c>
      <c r="J148" s="988">
        <v>324952.89</v>
      </c>
      <c r="K148" s="52"/>
      <c r="L148" s="940"/>
    </row>
    <row r="149" spans="1:12" s="25" customFormat="1" ht="27" customHeight="1">
      <c r="A149" s="933" t="s">
        <v>5674</v>
      </c>
      <c r="B149" s="933" t="s">
        <v>4908</v>
      </c>
      <c r="C149" s="1001">
        <v>83513</v>
      </c>
      <c r="D149" s="984" t="str">
        <f>IFERROR(UPPER(IF(B149="CPU",VLOOKUP(C149,#REF!,2,0),IF(B149="SINAPI",VLOOKUP(C149,#REF!,2,0),IF(B149="EDIF",VLOOKUP(C149,#REF!,2,0),IF(B149="CPOS",VLOOKUP(C149,#REF!,3,0),IF(B149="FDE",VLOOKUP(C149,#REF!,2,0),IF(B149="INFRA",VLOOKUP(C149,#REF!,2,0),""))))))),"")</f>
        <v/>
      </c>
      <c r="E149" s="78" t="str">
        <f>IFERROR(UPPER(IF(B149="CPU",VLOOKUP(C149,#REF!,3,0),IF(B149="SINAPI",VLOOKUP(C149,#REF!,3,0),IF(B149="EDIF",VLOOKUP(C149,#REF!,3,0),IF(B149="CPOS",VLOOKUP(C149,#REF!,4,0),IF(B149="FDE",VLOOKUP(C149,#REF!,3,0),IF(B149="INFRA",VLOOKUP(C149,#REF!,3,0),""))))))),"")</f>
        <v/>
      </c>
      <c r="F149" s="936">
        <f>2763*2</f>
        <v>5526</v>
      </c>
      <c r="G149" s="985" t="str">
        <f>IFERROR(IF(B149="CPU",VLOOKUP(C149,#REF!,4,0),IF(B149="SINAPI",VLOOKUP(C149,#REF!,5,0),IF(B149="EDIF",VLOOKUP(C149,#REF!,4,0),IF(B149="CPOS",VLOOKUP(C149,#REF!,7,0),IF(B149="FDE",VLOOKUP(C149,#REF!,5,0),IF(B149="INFRA",VLOOKUP(C149,#REF!,4,0),""))))))*VLOOKUP(B149,#REF!,3,0),"")</f>
        <v/>
      </c>
      <c r="H149" s="986">
        <v>0.25</v>
      </c>
      <c r="I149" s="987" t="str">
        <f t="shared" si="7"/>
        <v/>
      </c>
      <c r="J149" s="988">
        <v>54500.175000000003</v>
      </c>
      <c r="K149" s="52"/>
      <c r="L149" s="940"/>
    </row>
    <row r="150" spans="1:12" s="25" customFormat="1" ht="27" customHeight="1">
      <c r="A150" s="1006"/>
      <c r="B150" s="1006"/>
      <c r="C150" s="983"/>
      <c r="D150" s="1007" t="str">
        <f>IFERROR(UPPER(IF(B150="CPU",VLOOKUP(C150,#REF!,2,0),IF(B150="SINAPI",VLOOKUP(C150,#REF!,2,0),IF(B150="EDIF",VLOOKUP(C150,#REF!,2,0),IF(B150="CPOS",VLOOKUP(C150,#REF!,3,0),IF(B150="FDE",VLOOKUP(C150,#REF!,2,0),IF(B150="INFRA",VLOOKUP(C150,#REF!,2,0),""))))))),"")</f>
        <v/>
      </c>
      <c r="E150" s="1008" t="str">
        <f>IFERROR(UPPER(IF(B150="CPU",VLOOKUP(C150,#REF!,3,0),IF(B150="SINAPI",VLOOKUP(C150,#REF!,3,0),IF(B150="EDIF",VLOOKUP(C150,#REF!,3,0),IF(B150="CPOS",VLOOKUP(C150,#REF!,4,0),IF(B150="FDE",VLOOKUP(C150,#REF!,3,0),IF(B150="INFRA",VLOOKUP(C150,#REF!,3,0),""))))))),"")</f>
        <v/>
      </c>
      <c r="F150" s="1009"/>
      <c r="G150" s="985" t="str">
        <f>IFERROR(IF(B150="CPU",VLOOKUP(C150,#REF!,4,0),IF(B150="SINAPI",VLOOKUP(C150,#REF!,5,0),IF(B150="EDIF",VLOOKUP(C150,#REF!,4,0),IF(B150="CPOS",VLOOKUP(C150,#REF!,7,0),IF(B150="FDE",VLOOKUP(C150,#REF!,5,0),IF(B150="INFRA",VLOOKUP(C150,#REF!,4,0),""))))))*VLOOKUP(B150,#REF!,3,0),"")</f>
        <v/>
      </c>
      <c r="H150" s="986"/>
      <c r="I150" s="987" t="str">
        <f t="shared" si="7"/>
        <v/>
      </c>
      <c r="J150" s="988"/>
      <c r="K150" s="52"/>
      <c r="L150" s="940"/>
    </row>
    <row r="151" spans="1:12" s="25" customFormat="1" ht="27" customHeight="1">
      <c r="A151" s="998">
        <v>5</v>
      </c>
      <c r="B151" s="999"/>
      <c r="C151" s="999"/>
      <c r="D151" s="1000" t="s">
        <v>4987</v>
      </c>
      <c r="E151" s="967"/>
      <c r="F151" s="968"/>
      <c r="G151" s="969" t="str">
        <f>IFERROR(IF(B151="CPU",VLOOKUP(C151,#REF!,4,0),IF(B151="SINAPI",VLOOKUP(C151,#REF!,5,0),IF(B151="EDIF",VLOOKUP(C151,#REF!,4,0),IF(B151="CPOS",VLOOKUP(C151,#REF!,7,0),IF(B151="FDE",VLOOKUP(C151,#REF!,5,0),"")))))*VLOOKUP(B151,#REF!,3,0),"")</f>
        <v/>
      </c>
      <c r="H151" s="968"/>
      <c r="I151" s="1005">
        <f>SUM(I152:I171)</f>
        <v>33367.858999999997</v>
      </c>
      <c r="J151" s="988"/>
      <c r="K151" s="52"/>
      <c r="L151" s="940"/>
    </row>
    <row r="152" spans="1:12" s="25" customFormat="1" ht="27" customHeight="1">
      <c r="A152" s="933" t="s">
        <v>165</v>
      </c>
      <c r="B152" s="933" t="s">
        <v>4908</v>
      </c>
      <c r="C152" s="1010">
        <v>87465</v>
      </c>
      <c r="D152" s="1007" t="str">
        <f>IFERROR(UPPER(IF(B152="CPU",VLOOKUP(C152,#REF!,2,0),IF(B152="SINAPI",VLOOKUP(C152,#REF!,2,0),IF(B152="EDIF",VLOOKUP(C152,#REF!,2,0),IF(B152="CPOS",VLOOKUP(C152,#REF!,3,0),IF(B152="FDE",VLOOKUP(C152,#REF!,2,0),IF(B152="INFRA",VLOOKUP(C152,#REF!,2,0),""))))))),"")</f>
        <v/>
      </c>
      <c r="E152" s="1008" t="str">
        <f>IFERROR(UPPER(IF(B152="CPU",VLOOKUP(C152,#REF!,3,0),IF(B152="SINAPI",VLOOKUP(C152,#REF!,3,0),IF(B152="EDIF",VLOOKUP(C152,#REF!,3,0),IF(B152="CPOS",VLOOKUP(C152,#REF!,4,0),IF(B152="FDE",VLOOKUP(C152,#REF!,3,0),IF(B152="INFRA",VLOOKUP(C152,#REF!,3,0),""))))))),"")</f>
        <v/>
      </c>
      <c r="F152" s="1009">
        <v>539.76</v>
      </c>
      <c r="G152" s="985" t="str">
        <f>IFERROR(IF(B152="CPU",VLOOKUP(C152,#REF!,4,0),IF(B152="SINAPI",VLOOKUP(C152,#REF!,5,0),IF(B152="EDIF",VLOOKUP(C152,#REF!,4,0),IF(B152="CPOS",VLOOKUP(C152,#REF!,7,0),IF(B152="FDE",VLOOKUP(C152,#REF!,5,0),IF(B152="INFRA",VLOOKUP(C152,#REF!,4,0),""))))))*VLOOKUP(B152,#REF!,3,0),"")</f>
        <v/>
      </c>
      <c r="H152" s="986">
        <v>0.25</v>
      </c>
      <c r="I152" s="987" t="str">
        <f t="shared" ref="I152:I171" si="8">IFERROR(F152*((G152*(1+H152))),"")</f>
        <v/>
      </c>
      <c r="J152" s="988">
        <v>33944.156999999999</v>
      </c>
      <c r="K152" s="52"/>
      <c r="L152" s="940"/>
    </row>
    <row r="153" spans="1:12" s="25" customFormat="1" ht="27" customHeight="1">
      <c r="A153" s="933" t="s">
        <v>182</v>
      </c>
      <c r="B153" s="933" t="s">
        <v>4908</v>
      </c>
      <c r="C153" s="1010">
        <v>87467</v>
      </c>
      <c r="D153" s="1007" t="str">
        <f>IFERROR(UPPER(IF(B153="CPU",VLOOKUP(C153,#REF!,2,0),IF(B153="SINAPI",VLOOKUP(C153,#REF!,2,0),IF(B153="EDIF",VLOOKUP(C153,#REF!,2,0),IF(B153="CPOS",VLOOKUP(C153,#REF!,3,0),IF(B153="FDE",VLOOKUP(C153,#REF!,2,0),IF(B153="INFRA",VLOOKUP(C153,#REF!,2,0),""))))))),"")</f>
        <v/>
      </c>
      <c r="E153" s="1008" t="str">
        <f>IFERROR(UPPER(IF(B153="CPU",VLOOKUP(C153,#REF!,3,0),IF(B153="SINAPI",VLOOKUP(C153,#REF!,3,0),IF(B153="EDIF",VLOOKUP(C153,#REF!,3,0),IF(B153="CPOS",VLOOKUP(C153,#REF!,4,0),IF(B153="FDE",VLOOKUP(C153,#REF!,3,0),IF(B153="INFRA",VLOOKUP(C153,#REF!,3,0),""))))))),"")</f>
        <v/>
      </c>
      <c r="F153" s="1009">
        <v>3612.37</v>
      </c>
      <c r="G153" s="985" t="str">
        <f>IFERROR(IF(B153="CPU",VLOOKUP(C153,#REF!,4,0),IF(B153="SINAPI",VLOOKUP(C153,#REF!,5,0),IF(B153="EDIF",VLOOKUP(C153,#REF!,4,0),IF(B153="CPOS",VLOOKUP(C153,#REF!,7,0),IF(B153="FDE",VLOOKUP(C153,#REF!,5,0),IF(B153="INFRA",VLOOKUP(C153,#REF!,4,0),""))))))*VLOOKUP(B153,#REF!,3,0),"")</f>
        <v/>
      </c>
      <c r="H153" s="986">
        <v>0.25</v>
      </c>
      <c r="I153" s="987" t="str">
        <f t="shared" si="8"/>
        <v/>
      </c>
      <c r="J153" s="988">
        <v>290389.39337499999</v>
      </c>
      <c r="K153" s="52"/>
      <c r="L153" s="940"/>
    </row>
    <row r="154" spans="1:12" s="25" customFormat="1" ht="27" customHeight="1">
      <c r="A154" s="933" t="s">
        <v>5675</v>
      </c>
      <c r="B154" s="933" t="s">
        <v>4908</v>
      </c>
      <c r="C154" s="1010">
        <v>87469</v>
      </c>
      <c r="D154" s="1007" t="str">
        <f>IFERROR(UPPER(IF(B154="CPU",VLOOKUP(C154,#REF!,2,0),IF(B154="SINAPI",VLOOKUP(C154,#REF!,2,0),IF(B154="EDIF",VLOOKUP(C154,#REF!,2,0),IF(B154="CPOS",VLOOKUP(C154,#REF!,3,0),IF(B154="FDE",VLOOKUP(C154,#REF!,2,0),IF(B154="INFRA",VLOOKUP(C154,#REF!,2,0),""))))))),"")</f>
        <v/>
      </c>
      <c r="E154" s="1008" t="str">
        <f>IFERROR(UPPER(IF(B154="CPU",VLOOKUP(C154,#REF!,3,0),IF(B154="SINAPI",VLOOKUP(C154,#REF!,3,0),IF(B154="EDIF",VLOOKUP(C154,#REF!,3,0),IF(B154="CPOS",VLOOKUP(C154,#REF!,4,0),IF(B154="FDE",VLOOKUP(C154,#REF!,3,0),IF(B154="INFRA",VLOOKUP(C154,#REF!,3,0),""))))))),"")</f>
        <v/>
      </c>
      <c r="F154" s="1009">
        <v>546.41</v>
      </c>
      <c r="G154" s="985" t="str">
        <f>IFERROR(IF(B154="CPU",VLOOKUP(C154,#REF!,4,0),IF(B154="SINAPI",VLOOKUP(C154,#REF!,5,0),IF(B154="EDIF",VLOOKUP(C154,#REF!,4,0),IF(B154="CPOS",VLOOKUP(C154,#REF!,7,0),IF(B154="FDE",VLOOKUP(C154,#REF!,5,0),IF(B154="INFRA",VLOOKUP(C154,#REF!,4,0),""))))))*VLOOKUP(B154,#REF!,3,0),"")</f>
        <v/>
      </c>
      <c r="H154" s="986">
        <v>0.25</v>
      </c>
      <c r="I154" s="987" t="str">
        <f t="shared" si="8"/>
        <v/>
      </c>
      <c r="J154" s="988">
        <v>52571.472125</v>
      </c>
      <c r="K154" s="52"/>
      <c r="L154" s="940"/>
    </row>
    <row r="155" spans="1:12" s="25" customFormat="1" ht="27" customHeight="1">
      <c r="A155" s="933" t="s">
        <v>5676</v>
      </c>
      <c r="B155" s="933" t="s">
        <v>4908</v>
      </c>
      <c r="C155" s="1010">
        <v>89993</v>
      </c>
      <c r="D155" s="1007" t="str">
        <f>IFERROR(UPPER(IF(B155="CPU",VLOOKUP(C155,#REF!,2,0),IF(B155="SINAPI",VLOOKUP(C155,#REF!,2,0),IF(B155="EDIF",VLOOKUP(C155,#REF!,2,0),IF(B155="CPOS",VLOOKUP(C155,#REF!,3,0),IF(B155="FDE",VLOOKUP(C155,#REF!,2,0),IF(B155="INFRA",VLOOKUP(C155,#REF!,2,0),""))))))),"")</f>
        <v/>
      </c>
      <c r="E155" s="1008" t="str">
        <f>IFERROR(UPPER(IF(B155="CPU",VLOOKUP(C155,#REF!,3,0),IF(B155="SINAPI",VLOOKUP(C155,#REF!,3,0),IF(B155="EDIF",VLOOKUP(C155,#REF!,3,0),IF(B155="CPOS",VLOOKUP(C155,#REF!,4,0),IF(B155="FDE",VLOOKUP(C155,#REF!,3,0),IF(B155="INFRA",VLOOKUP(C155,#REF!,3,0),""))))))),"")</f>
        <v/>
      </c>
      <c r="F155" s="1011">
        <f>(((F154+F153+F152)/2))*2.8*0.14*0.14</f>
        <v>128.92793760000001</v>
      </c>
      <c r="G155" s="985" t="str">
        <f>IFERROR(IF(B155="CPU",VLOOKUP(C155,#REF!,4,0),IF(B155="SINAPI",VLOOKUP(C155,#REF!,5,0),IF(B155="EDIF",VLOOKUP(C155,#REF!,4,0),IF(B155="CPOS",VLOOKUP(C155,#REF!,7,0),IF(B155="FDE",VLOOKUP(C155,#REF!,5,0),IF(B155="INFRA",VLOOKUP(C155,#REF!,4,0),""))))))*VLOOKUP(B155,#REF!,3,0),"")</f>
        <v/>
      </c>
      <c r="H155" s="986">
        <v>0.25</v>
      </c>
      <c r="I155" s="987" t="str">
        <f t="shared" si="8"/>
        <v/>
      </c>
      <c r="J155" s="988">
        <v>105514.62413184</v>
      </c>
      <c r="K155" s="52"/>
      <c r="L155" s="940"/>
    </row>
    <row r="156" spans="1:12" s="25" customFormat="1" ht="27" customHeight="1">
      <c r="A156" s="933" t="s">
        <v>5677</v>
      </c>
      <c r="B156" s="933" t="s">
        <v>4908</v>
      </c>
      <c r="C156" s="1010">
        <v>89995</v>
      </c>
      <c r="D156" s="1007" t="str">
        <f>IFERROR(UPPER(IF(B156="CPU",VLOOKUP(C156,#REF!,2,0),IF(B156="SINAPI",VLOOKUP(C156,#REF!,2,0),IF(B156="EDIF",VLOOKUP(C156,#REF!,2,0),IF(B156="CPOS",VLOOKUP(C156,#REF!,3,0),IF(B156="FDE",VLOOKUP(C156,#REF!,2,0),IF(B156="INFRA",VLOOKUP(C156,#REF!,2,0),""))))))),"")</f>
        <v/>
      </c>
      <c r="E156" s="1008" t="str">
        <f>IFERROR(UPPER(IF(B156="CPU",VLOOKUP(C156,#REF!,3,0),IF(B156="SINAPI",VLOOKUP(C156,#REF!,3,0),IF(B156="EDIF",VLOOKUP(C156,#REF!,3,0),IF(B156="CPOS",VLOOKUP(C156,#REF!,4,0),IF(B156="FDE",VLOOKUP(C156,#REF!,3,0),IF(B156="INFRA",VLOOKUP(C156,#REF!,3,0),""))))))),"")</f>
        <v/>
      </c>
      <c r="F156" s="1011">
        <f>(F152*0.9*0.19+F153*0.14*0.19+F154*0.19*0.19)</f>
        <v>208.11340300000001</v>
      </c>
      <c r="G156" s="985" t="str">
        <f>IFERROR(IF(B156="CPU",VLOOKUP(C156,#REF!,4,0),IF(B156="SINAPI",VLOOKUP(C156,#REF!,5,0),IF(B156="EDIF",VLOOKUP(C156,#REF!,4,0),IF(B156="CPOS",VLOOKUP(C156,#REF!,7,0),IF(B156="FDE",VLOOKUP(C156,#REF!,5,0),IF(B156="INFRA",VLOOKUP(C156,#REF!,4,0),""))))))*VLOOKUP(B156,#REF!,3,0),"")</f>
        <v/>
      </c>
      <c r="H156" s="986">
        <v>0.25</v>
      </c>
      <c r="I156" s="987" t="str">
        <f t="shared" si="8"/>
        <v/>
      </c>
      <c r="J156" s="988">
        <v>161821.177920188</v>
      </c>
      <c r="K156" s="52"/>
      <c r="L156" s="940"/>
    </row>
    <row r="157" spans="1:12" s="25" customFormat="1" ht="27" customHeight="1">
      <c r="A157" s="933" t="s">
        <v>5678</v>
      </c>
      <c r="B157" s="933" t="s">
        <v>4872</v>
      </c>
      <c r="C157" s="994">
        <v>30204</v>
      </c>
      <c r="D157" s="1007" t="str">
        <f>IFERROR(UPPER(IF(B157="CPU",VLOOKUP(C157,#REF!,2,0),IF(B157="SINAPI",VLOOKUP(C157,#REF!,2,0),IF(B157="EDIF",VLOOKUP(C157,#REF!,2,0),IF(B157="CPOS",VLOOKUP(C157,#REF!,3,0),IF(B157="FDE",VLOOKUP(C157,#REF!,2,0),IF(B157="INFRA",VLOOKUP(C157,#REF!,2,0),""))))))),"")</f>
        <v/>
      </c>
      <c r="E157" s="1008" t="str">
        <f>IFERROR(UPPER(IF(B157="CPU",VLOOKUP(C157,#REF!,3,0),IF(B157="SINAPI",VLOOKUP(C157,#REF!,3,0),IF(B157="EDIF",VLOOKUP(C157,#REF!,3,0),IF(B157="CPOS",VLOOKUP(C157,#REF!,4,0),IF(B157="FDE",VLOOKUP(C157,#REF!,3,0),IF(B157="INFRA",VLOOKUP(C157,#REF!,3,0),""))))))),"")</f>
        <v/>
      </c>
      <c r="F157" s="1011">
        <f>(F155+F156)*30</f>
        <v>10111.240218000001</v>
      </c>
      <c r="G157" s="985" t="str">
        <f>IFERROR(IF(B157="CPU",VLOOKUP(C157,#REF!,4,0),IF(B157="SINAPI",VLOOKUP(C157,#REF!,5,0),IF(B157="EDIF",VLOOKUP(C157,#REF!,4,0),IF(B157="CPOS",VLOOKUP(C157,#REF!,7,0),IF(B157="FDE",VLOOKUP(C157,#REF!,5,0),IF(B157="INFRA",VLOOKUP(C157,#REF!,4,0),""))))))*VLOOKUP(B157,#REF!,3,0),"")</f>
        <v/>
      </c>
      <c r="H157" s="986">
        <v>0.25</v>
      </c>
      <c r="I157" s="987" t="str">
        <f t="shared" si="8"/>
        <v/>
      </c>
      <c r="J157" s="988">
        <v>97699.858606424998</v>
      </c>
      <c r="K157" s="52"/>
      <c r="L157" s="940"/>
    </row>
    <row r="158" spans="1:12" s="25" customFormat="1" ht="27" customHeight="1">
      <c r="A158" s="933" t="s">
        <v>5679</v>
      </c>
      <c r="B158" s="933" t="s">
        <v>4908</v>
      </c>
      <c r="C158" s="1010">
        <v>96369</v>
      </c>
      <c r="D158" s="1007" t="str">
        <f>IFERROR(UPPER(IF(B158="CPU",VLOOKUP(C158,#REF!,2,0),IF(B158="SINAPI",VLOOKUP(C158,#REF!,2,0),IF(B158="EDIF",VLOOKUP(C158,#REF!,2,0),IF(B158="CPOS",VLOOKUP(C158,#REF!,3,0),IF(B158="FDE",VLOOKUP(C158,#REF!,2,0),IF(B158="INFRA",VLOOKUP(C158,#REF!,2,0),""))))))),"")</f>
        <v/>
      </c>
      <c r="E158" s="1008" t="str">
        <f>IFERROR(UPPER(IF(B158="CPU",VLOOKUP(C158,#REF!,3,0),IF(B158="SINAPI",VLOOKUP(C158,#REF!,3,0),IF(B158="EDIF",VLOOKUP(C158,#REF!,3,0),IF(B158="CPOS",VLOOKUP(C158,#REF!,4,0),IF(B158="FDE",VLOOKUP(C158,#REF!,3,0),IF(B158="INFRA",VLOOKUP(C158,#REF!,3,0),""))))))),"")</f>
        <v/>
      </c>
      <c r="F158" s="1009">
        <v>999.13</v>
      </c>
      <c r="G158" s="985" t="str">
        <f>IFERROR(IF(B158="CPU",VLOOKUP(C158,#REF!,4,0),IF(B158="SINAPI",VLOOKUP(C158,#REF!,5,0),IF(B158="EDIF",VLOOKUP(C158,#REF!,4,0),IF(B158="CPOS",VLOOKUP(C158,#REF!,7,0),IF(B158="FDE",VLOOKUP(C158,#REF!,5,0),IF(B158="INFRA",VLOOKUP(C158,#REF!,4,0),""))))))*VLOOKUP(B158,#REF!,3,0),"")</f>
        <v/>
      </c>
      <c r="H158" s="986">
        <v>0.25</v>
      </c>
      <c r="I158" s="987" t="str">
        <f t="shared" si="8"/>
        <v/>
      </c>
      <c r="J158" s="988">
        <v>209567.51749999999</v>
      </c>
      <c r="K158" s="52"/>
      <c r="L158" s="940"/>
    </row>
    <row r="159" spans="1:12" s="25" customFormat="1" ht="27" customHeight="1">
      <c r="A159" s="933" t="s">
        <v>5680</v>
      </c>
      <c r="B159" s="933" t="s">
        <v>1479</v>
      </c>
      <c r="C159" s="1010" t="s">
        <v>5681</v>
      </c>
      <c r="D159" s="1007" t="str">
        <f>IFERROR(UPPER(IF(B159="CPU",VLOOKUP(C159,#REF!,2,0),IF(B159="SINAPI",VLOOKUP(C159,#REF!,2,0),IF(B159="EDIF",VLOOKUP(C159,#REF!,2,0),IF(B159="CPOS",VLOOKUP(C159,#REF!,3,0),IF(B159="FDE",VLOOKUP(C159,#REF!,2,0),IF(B159="INFRA",VLOOKUP(C159,#REF!,2,0),""))))))),"")</f>
        <v/>
      </c>
      <c r="E159" s="1008" t="str">
        <f>IFERROR(UPPER(IF(B159="CPU",VLOOKUP(C159,#REF!,3,0),IF(B159="SINAPI",VLOOKUP(C159,#REF!,3,0),IF(B159="EDIF",VLOOKUP(C159,#REF!,3,0),IF(B159="CPOS",VLOOKUP(C159,#REF!,4,0),IF(B159="FDE",VLOOKUP(C159,#REF!,3,0),IF(B159="INFRA",VLOOKUP(C159,#REF!,3,0),""))))))),"")</f>
        <v/>
      </c>
      <c r="F159" s="1009">
        <v>999.13</v>
      </c>
      <c r="G159" s="985" t="str">
        <f>IFERROR(IF(B159="CPU",VLOOKUP(C159,#REF!,4,0),IF(B159="SINAPI",VLOOKUP(C159,#REF!,5,0),IF(B159="EDIF",VLOOKUP(C159,#REF!,4,0),IF(B159="CPOS",VLOOKUP(C159,#REF!,7,0),IF(B159="FDE",VLOOKUP(C159,#REF!,5,0),IF(B159="INFRA",VLOOKUP(C159,#REF!,4,0),""))))))*VLOOKUP(B159,#REF!,3,0),"")</f>
        <v/>
      </c>
      <c r="H159" s="986">
        <v>0.25</v>
      </c>
      <c r="I159" s="987" t="str">
        <f t="shared" si="8"/>
        <v/>
      </c>
      <c r="J159" s="988">
        <v>25790.043125</v>
      </c>
      <c r="K159" s="52"/>
      <c r="L159" s="940"/>
    </row>
    <row r="160" spans="1:12" s="25" customFormat="1" ht="27" customHeight="1">
      <c r="A160" s="933" t="s">
        <v>5682</v>
      </c>
      <c r="B160" s="933" t="s">
        <v>1479</v>
      </c>
      <c r="C160" s="1012" t="s">
        <v>5683</v>
      </c>
      <c r="D160" s="1007" t="str">
        <f>IFERROR(UPPER(IF(B160="CPU",VLOOKUP(C160,#REF!,2,0),IF(B160="SINAPI",VLOOKUP(C160,#REF!,2,0),IF(B160="EDIF",VLOOKUP(C160,#REF!,2,0),IF(B160="CPOS",VLOOKUP(C160,#REF!,3,0),IF(B160="FDE",VLOOKUP(C160,#REF!,2,0),IF(B160="INFRA",VLOOKUP(C160,#REF!,2,0),""))))))),"")</f>
        <v/>
      </c>
      <c r="E160" s="1008" t="str">
        <f>IFERROR(UPPER(IF(B160="CPU",VLOOKUP(C160,#REF!,3,0),IF(B160="SINAPI",VLOOKUP(C160,#REF!,3,0),IF(B160="EDIF",VLOOKUP(C160,#REF!,3,0),IF(B160="CPOS",VLOOKUP(C160,#REF!,4,0),IF(B160="FDE",VLOOKUP(C160,#REF!,3,0),IF(B160="INFRA",VLOOKUP(C160,#REF!,3,0),""))))))),"")</f>
        <v/>
      </c>
      <c r="F160" s="1009">
        <v>133.54</v>
      </c>
      <c r="G160" s="985" t="str">
        <f>IFERROR(IF(B160="CPU",VLOOKUP(C160,#REF!,4,0),IF(B160="SINAPI",VLOOKUP(C160,#REF!,5,0),IF(B160="EDIF",VLOOKUP(C160,#REF!,4,0),IF(B160="CPOS",VLOOKUP(C160,#REF!,7,0),IF(B160="FDE",VLOOKUP(C160,#REF!,5,0),IF(B160="INFRA",VLOOKUP(C160,#REF!,4,0),""))))))*VLOOKUP(B160,#REF!,3,0),"")</f>
        <v/>
      </c>
      <c r="H160" s="986">
        <v>0.25</v>
      </c>
      <c r="I160" s="987" t="str">
        <f t="shared" si="8"/>
        <v/>
      </c>
      <c r="J160" s="988">
        <v>200577.08</v>
      </c>
      <c r="K160" s="52"/>
      <c r="L160" s="940"/>
    </row>
    <row r="161" spans="1:12" s="25" customFormat="1" ht="27" customHeight="1">
      <c r="A161" s="933" t="s">
        <v>5684</v>
      </c>
      <c r="B161" s="933" t="s">
        <v>1479</v>
      </c>
      <c r="C161" s="1012" t="s">
        <v>5685</v>
      </c>
      <c r="D161" s="1007" t="str">
        <f>IFERROR(UPPER(IF(B161="CPU",VLOOKUP(C161,#REF!,2,0),IF(B161="SINAPI",VLOOKUP(C161,#REF!,2,0),IF(B161="EDIF",VLOOKUP(C161,#REF!,2,0),IF(B161="CPOS",VLOOKUP(C161,#REF!,3,0),IF(B161="FDE",VLOOKUP(C161,#REF!,2,0),IF(B161="INFRA",VLOOKUP(C161,#REF!,2,0),""))))))),"")</f>
        <v/>
      </c>
      <c r="E161" s="1008" t="str">
        <f>IFERROR(UPPER(IF(B161="CPU",VLOOKUP(C161,#REF!,3,0),IF(B161="SINAPI",VLOOKUP(C161,#REF!,3,0),IF(B161="EDIF",VLOOKUP(C161,#REF!,3,0),IF(B161="CPOS",VLOOKUP(C161,#REF!,4,0),IF(B161="FDE",VLOOKUP(C161,#REF!,3,0),IF(B161="INFRA",VLOOKUP(C161,#REF!,3,0),""))))))),"")</f>
        <v/>
      </c>
      <c r="F161" s="1009">
        <v>149.19999999999999</v>
      </c>
      <c r="G161" s="985" t="str">
        <f>IFERROR(IF(B161="CPU",VLOOKUP(C161,#REF!,4,0),IF(B161="SINAPI",VLOOKUP(C161,#REF!,5,0),IF(B161="EDIF",VLOOKUP(C161,#REF!,4,0),IF(B161="CPOS",VLOOKUP(C161,#REF!,7,0),IF(B161="FDE",VLOOKUP(C161,#REF!,5,0),IF(B161="INFRA",VLOOKUP(C161,#REF!,4,0),""))))))*VLOOKUP(B161,#REF!,3,0),"")</f>
        <v/>
      </c>
      <c r="H161" s="986">
        <v>0.25</v>
      </c>
      <c r="I161" s="987" t="str">
        <f t="shared" si="8"/>
        <v/>
      </c>
      <c r="J161" s="988">
        <v>88249.934999999998</v>
      </c>
      <c r="K161" s="52"/>
      <c r="L161" s="940"/>
    </row>
    <row r="162" spans="1:12" s="25" customFormat="1" ht="27" customHeight="1">
      <c r="A162" s="933" t="s">
        <v>5686</v>
      </c>
      <c r="B162" s="933" t="s">
        <v>26</v>
      </c>
      <c r="C162" s="1013" t="s">
        <v>5687</v>
      </c>
      <c r="D162" s="1007" t="s">
        <v>5688</v>
      </c>
      <c r="E162" s="1008" t="s">
        <v>1462</v>
      </c>
      <c r="F162" s="1009">
        <v>38.479999999999997</v>
      </c>
      <c r="G162" s="985">
        <v>105.14</v>
      </c>
      <c r="H162" s="986">
        <v>0.25</v>
      </c>
      <c r="I162" s="987">
        <f t="shared" si="8"/>
        <v>5057.2340000000004</v>
      </c>
      <c r="J162" s="988">
        <v>5057.2340000000004</v>
      </c>
      <c r="K162" s="52"/>
      <c r="L162" s="940"/>
    </row>
    <row r="163" spans="1:12" s="25" customFormat="1" ht="27" customHeight="1">
      <c r="A163" s="933" t="s">
        <v>5689</v>
      </c>
      <c r="B163" s="933" t="s">
        <v>5022</v>
      </c>
      <c r="C163" s="1013"/>
      <c r="D163" s="1007" t="s">
        <v>5690</v>
      </c>
      <c r="E163" s="1008" t="s">
        <v>1240</v>
      </c>
      <c r="F163" s="1009">
        <v>21.57</v>
      </c>
      <c r="G163" s="985">
        <v>1050</v>
      </c>
      <c r="H163" s="986">
        <v>0.25</v>
      </c>
      <c r="I163" s="987">
        <f t="shared" si="8"/>
        <v>28310.625</v>
      </c>
      <c r="J163" s="988">
        <v>28310.625</v>
      </c>
      <c r="K163" s="52"/>
      <c r="L163" s="940"/>
    </row>
    <row r="164" spans="1:12" s="25" customFormat="1" ht="27" customHeight="1">
      <c r="A164" s="933" t="s">
        <v>5691</v>
      </c>
      <c r="B164" s="933" t="s">
        <v>4908</v>
      </c>
      <c r="C164" s="1013" t="s">
        <v>5692</v>
      </c>
      <c r="D164" s="1007" t="str">
        <f>IFERROR(UPPER(IF(B164="CPU",VLOOKUP(C164,#REF!,2,0),IF(B164="SINAPI",VLOOKUP(C164,#REF!,2,0),IF(B164="EDIF",VLOOKUP(C164,#REF!,2,0),IF(B164="CPOS",VLOOKUP(C164,#REF!,3,0),IF(B164="FDE",VLOOKUP(C164,#REF!,2,0),IF(B164="INFRA",VLOOKUP(C164,#REF!,2,0),""))))))),"")</f>
        <v/>
      </c>
      <c r="E164" s="1008" t="str">
        <f>IFERROR(UPPER(IF(B164="CPU",VLOOKUP(C164,#REF!,3,0),IF(B164="SINAPI",VLOOKUP(C164,#REF!,3,0),IF(B164="EDIF",VLOOKUP(C164,#REF!,3,0),IF(B164="CPOS",VLOOKUP(C164,#REF!,4,0),IF(B164="FDE",VLOOKUP(C164,#REF!,3,0),IF(B164="INFRA",VLOOKUP(C164,#REF!,3,0),""))))))),"")</f>
        <v/>
      </c>
      <c r="F164" s="1009">
        <v>1879.42</v>
      </c>
      <c r="G164" s="985" t="str">
        <f>IFERROR(IF(B164="CPU",VLOOKUP(C164,#REF!,4,0),IF(B164="SINAPI",VLOOKUP(C164,#REF!,5,0),IF(B164="EDIF",VLOOKUP(C164,#REF!,4,0),IF(B164="CPOS",VLOOKUP(C164,#REF!,7,0),IF(B164="FDE",VLOOKUP(C164,#REF!,5,0),IF(B164="INFRA",VLOOKUP(C164,#REF!,4,0),""))))))*VLOOKUP(B164,#REF!,3,0),"")</f>
        <v/>
      </c>
      <c r="H164" s="986">
        <v>0.25</v>
      </c>
      <c r="I164" s="987" t="str">
        <f t="shared" si="8"/>
        <v/>
      </c>
      <c r="J164" s="988">
        <v>97823.811000000002</v>
      </c>
      <c r="K164" s="52"/>
      <c r="L164" s="940"/>
    </row>
    <row r="165" spans="1:12" s="25" customFormat="1" ht="27" customHeight="1">
      <c r="A165" s="933" t="s">
        <v>5693</v>
      </c>
      <c r="B165" s="933" t="s">
        <v>4908</v>
      </c>
      <c r="C165" s="1013">
        <v>93189</v>
      </c>
      <c r="D165" s="1007" t="str">
        <f>IFERROR(UPPER(IF(B165="CPU",VLOOKUP(C165,#REF!,2,0),IF(B165="SINAPI",VLOOKUP(C165,#REF!,2,0),IF(B165="EDIF",VLOOKUP(C165,#REF!,2,0),IF(B165="CPOS",VLOOKUP(C165,#REF!,3,0),IF(B165="FDE",VLOOKUP(C165,#REF!,2,0),IF(B165="INFRA",VLOOKUP(C165,#REF!,2,0),""))))))),"")</f>
        <v/>
      </c>
      <c r="E165" s="1008" t="str">
        <f>IFERROR(UPPER(IF(B165="CPU",VLOOKUP(C165,#REF!,3,0),IF(B165="SINAPI",VLOOKUP(C165,#REF!,3,0),IF(B165="EDIF",VLOOKUP(C165,#REF!,3,0),IF(B165="CPOS",VLOOKUP(C165,#REF!,4,0),IF(B165="FDE",VLOOKUP(C165,#REF!,3,0),IF(B165="INFRA",VLOOKUP(C165,#REF!,3,0),""))))))),"")</f>
        <v/>
      </c>
      <c r="F165" s="1009">
        <v>864</v>
      </c>
      <c r="G165" s="985" t="str">
        <f>IFERROR(IF(B165="CPU",VLOOKUP(C165,#REF!,4,0),IF(B165="SINAPI",VLOOKUP(C165,#REF!,5,0),IF(B165="EDIF",VLOOKUP(C165,#REF!,4,0),IF(B165="CPOS",VLOOKUP(C165,#REF!,7,0),IF(B165="FDE",VLOOKUP(C165,#REF!,5,0),IF(B165="INFRA",VLOOKUP(C165,#REF!,4,0),""))))))*VLOOKUP(B165,#REF!,3,0),"")</f>
        <v/>
      </c>
      <c r="H165" s="986">
        <v>0.25</v>
      </c>
      <c r="I165" s="987" t="str">
        <f t="shared" si="8"/>
        <v/>
      </c>
      <c r="J165" s="988">
        <v>57682.8</v>
      </c>
      <c r="K165" s="52"/>
      <c r="L165" s="940"/>
    </row>
    <row r="166" spans="1:12" s="25" customFormat="1" ht="27" customHeight="1">
      <c r="A166" s="933" t="s">
        <v>5694</v>
      </c>
      <c r="B166" s="933" t="s">
        <v>4908</v>
      </c>
      <c r="C166" s="1013">
        <v>93197</v>
      </c>
      <c r="D166" s="1007" t="str">
        <f>IFERROR(UPPER(IF(B166="CPU",VLOOKUP(C166,#REF!,2,0),IF(B166="SINAPI",VLOOKUP(C166,#REF!,2,0),IF(B166="EDIF",VLOOKUP(C166,#REF!,2,0),IF(B166="CPOS",VLOOKUP(C166,#REF!,3,0),IF(B166="FDE",VLOOKUP(C166,#REF!,2,0),IF(B166="INFRA",VLOOKUP(C166,#REF!,2,0),""))))))),"")</f>
        <v/>
      </c>
      <c r="E166" s="1008" t="str">
        <f>IFERROR(UPPER(IF(B166="CPU",VLOOKUP(C166,#REF!,3,0),IF(B166="SINAPI",VLOOKUP(C166,#REF!,3,0),IF(B166="EDIF",VLOOKUP(C166,#REF!,3,0),IF(B166="CPOS",VLOOKUP(C166,#REF!,4,0),IF(B166="FDE",VLOOKUP(C166,#REF!,3,0),IF(B166="INFRA",VLOOKUP(C166,#REF!,3,0),""))))))),"")</f>
        <v/>
      </c>
      <c r="F166" s="1009">
        <v>864</v>
      </c>
      <c r="G166" s="985" t="str">
        <f>IFERROR(IF(B166="CPU",VLOOKUP(C166,#REF!,4,0),IF(B166="SINAPI",VLOOKUP(C166,#REF!,5,0),IF(B166="EDIF",VLOOKUP(C166,#REF!,4,0),IF(B166="CPOS",VLOOKUP(C166,#REF!,7,0),IF(B166="FDE",VLOOKUP(C166,#REF!,5,0),IF(B166="INFRA",VLOOKUP(C166,#REF!,4,0),""))))))*VLOOKUP(B166,#REF!,3,0),"")</f>
        <v/>
      </c>
      <c r="H166" s="986">
        <v>0.25</v>
      </c>
      <c r="I166" s="987" t="str">
        <f t="shared" si="8"/>
        <v/>
      </c>
      <c r="J166" s="988">
        <v>54453.599999999999</v>
      </c>
      <c r="K166" s="52"/>
      <c r="L166" s="940"/>
    </row>
    <row r="167" spans="1:12" s="25" customFormat="1" ht="27" customHeight="1">
      <c r="A167" s="933" t="s">
        <v>5695</v>
      </c>
      <c r="B167" s="933" t="s">
        <v>4908</v>
      </c>
      <c r="C167" s="1013">
        <v>93202</v>
      </c>
      <c r="D167" s="1007" t="str">
        <f>IFERROR(UPPER(IF(B167="CPU",VLOOKUP(C167,#REF!,2,0),IF(B167="SINAPI",VLOOKUP(C167,#REF!,2,0),IF(B167="EDIF",VLOOKUP(C167,#REF!,2,0),IF(B167="CPOS",VLOOKUP(C167,#REF!,3,0),IF(B167="FDE",VLOOKUP(C167,#REF!,2,0),IF(B167="INFRA",VLOOKUP(C167,#REF!,2,0),""))))))),"")</f>
        <v/>
      </c>
      <c r="E167" s="1008" t="str">
        <f>IFERROR(UPPER(IF(B167="CPU",VLOOKUP(C167,#REF!,3,0),IF(B167="SINAPI",VLOOKUP(C167,#REF!,3,0),IF(B167="EDIF",VLOOKUP(C167,#REF!,3,0),IF(B167="CPOS",VLOOKUP(C167,#REF!,4,0),IF(B167="FDE",VLOOKUP(C167,#REF!,3,0),IF(B167="INFRA",VLOOKUP(C167,#REF!,3,0),""))))))),"")</f>
        <v/>
      </c>
      <c r="F167" s="1009">
        <v>2281.4299999999998</v>
      </c>
      <c r="G167" s="985" t="str">
        <f>IFERROR(IF(B167="CPU",VLOOKUP(C167,#REF!,4,0),IF(B167="SINAPI",VLOOKUP(C167,#REF!,5,0),IF(B167="EDIF",VLOOKUP(C167,#REF!,4,0),IF(B167="CPOS",VLOOKUP(C167,#REF!,7,0),IF(B167="FDE",VLOOKUP(C167,#REF!,5,0),IF(B167="INFRA",VLOOKUP(C167,#REF!,4,0),""))))))*VLOOKUP(B167,#REF!,3,0),"")</f>
        <v/>
      </c>
      <c r="H167" s="986">
        <v>0.25</v>
      </c>
      <c r="I167" s="987" t="str">
        <f t="shared" si="8"/>
        <v/>
      </c>
      <c r="J167" s="988">
        <v>56180.213750000003</v>
      </c>
      <c r="K167" s="52"/>
      <c r="L167" s="940"/>
    </row>
    <row r="168" spans="1:12" s="25" customFormat="1" ht="27" customHeight="1">
      <c r="A168" s="933" t="s">
        <v>5696</v>
      </c>
      <c r="B168" s="933" t="s">
        <v>4908</v>
      </c>
      <c r="C168" s="1013">
        <v>96373</v>
      </c>
      <c r="D168" s="1007" t="str">
        <f>IFERROR(UPPER(IF(B168="CPU",VLOOKUP(C168,#REF!,2,0),IF(B168="SINAPI",VLOOKUP(C168,#REF!,2,0),IF(B168="EDIF",VLOOKUP(C168,#REF!,2,0),IF(B168="CPOS",VLOOKUP(C168,#REF!,3,0),IF(B168="FDE",VLOOKUP(C168,#REF!,2,0),IF(B168="INFRA",VLOOKUP(C168,#REF!,2,0),""))))))),"")</f>
        <v/>
      </c>
      <c r="E168" s="1008" t="str">
        <f>IFERROR(UPPER(IF(B168="CPU",VLOOKUP(C168,#REF!,3,0),IF(B168="SINAPI",VLOOKUP(C168,#REF!,3,0),IF(B168="EDIF",VLOOKUP(C168,#REF!,3,0),IF(B168="CPOS",VLOOKUP(C168,#REF!,4,0),IF(B168="FDE",VLOOKUP(C168,#REF!,3,0),IF(B168="INFRA",VLOOKUP(C168,#REF!,3,0),""))))))),"")</f>
        <v/>
      </c>
      <c r="F168" s="1009">
        <v>964.8</v>
      </c>
      <c r="G168" s="985" t="str">
        <f>IFERROR(IF(B168="CPU",VLOOKUP(C168,#REF!,4,0),IF(B168="SINAPI",VLOOKUP(C168,#REF!,5,0),IF(B168="EDIF",VLOOKUP(C168,#REF!,4,0),IF(B168="CPOS",VLOOKUP(C168,#REF!,7,0),IF(B168="FDE",VLOOKUP(C168,#REF!,5,0),IF(B168="INFRA",VLOOKUP(C168,#REF!,4,0),""))))))*VLOOKUP(B168,#REF!,3,0),"")</f>
        <v/>
      </c>
      <c r="H168" s="986">
        <v>0.25</v>
      </c>
      <c r="I168" s="987" t="str">
        <f t="shared" si="8"/>
        <v/>
      </c>
      <c r="J168" s="988">
        <v>8405.82</v>
      </c>
      <c r="K168" s="52"/>
      <c r="L168" s="940"/>
    </row>
    <row r="169" spans="1:12" s="25" customFormat="1" ht="27" customHeight="1">
      <c r="A169" s="933" t="s">
        <v>5697</v>
      </c>
      <c r="B169" s="933" t="s">
        <v>4908</v>
      </c>
      <c r="C169" s="1013">
        <v>84089</v>
      </c>
      <c r="D169" s="1007" t="str">
        <f>IFERROR(UPPER(IF(B169="CPU",VLOOKUP(C169,#REF!,2,0),IF(B169="SINAPI",VLOOKUP(C169,#REF!,2,0),IF(B169="EDIF",VLOOKUP(C169,#REF!,2,0),IF(B169="CPOS",VLOOKUP(C169,#REF!,3,0),IF(B169="FDE",VLOOKUP(C169,#REF!,2,0),IF(B169="INFRA",VLOOKUP(C169,#REF!,2,0),""))))))),"")</f>
        <v/>
      </c>
      <c r="E169" s="1008" t="str">
        <f>IFERROR(UPPER(IF(B169="CPU",VLOOKUP(C169,#REF!,3,0),IF(B169="SINAPI",VLOOKUP(C169,#REF!,3,0),IF(B169="EDIF",VLOOKUP(C169,#REF!,3,0),IF(B169="CPOS",VLOOKUP(C169,#REF!,4,0),IF(B169="FDE",VLOOKUP(C169,#REF!,3,0),IF(B169="INFRA",VLOOKUP(C169,#REF!,3,0),""))))))),"")</f>
        <v/>
      </c>
      <c r="F169" s="1009">
        <v>252</v>
      </c>
      <c r="G169" s="985" t="str">
        <f>IFERROR(IF(B169="CPU",VLOOKUP(C169,#REF!,4,0),IF(B169="SINAPI",VLOOKUP(C169,#REF!,5,0),IF(B169="EDIF",VLOOKUP(C169,#REF!,4,0),IF(B169="CPOS",VLOOKUP(C169,#REF!,7,0),IF(B169="FDE",VLOOKUP(C169,#REF!,5,0),IF(B169="INFRA",VLOOKUP(C169,#REF!,4,0),""))))))*VLOOKUP(B169,#REF!,3,0),"")</f>
        <v/>
      </c>
      <c r="H169" s="986">
        <v>0.25</v>
      </c>
      <c r="I169" s="987" t="str">
        <f t="shared" si="8"/>
        <v/>
      </c>
      <c r="J169" s="988">
        <v>41025.599999999999</v>
      </c>
      <c r="K169" s="52"/>
      <c r="L169" s="940"/>
    </row>
    <row r="170" spans="1:12" s="25" customFormat="1" ht="27" customHeight="1">
      <c r="A170" s="933" t="s">
        <v>5698</v>
      </c>
      <c r="B170" s="933" t="s">
        <v>4908</v>
      </c>
      <c r="C170" s="1010">
        <v>88039</v>
      </c>
      <c r="D170" s="1007" t="str">
        <f>IFERROR(UPPER(IF(B170="CPU",VLOOKUP(C170,#REF!,2,0),IF(B170="SINAPI",VLOOKUP(C170,#REF!,2,0),IF(B170="EDIF",VLOOKUP(C170,#REF!,2,0),IF(B170="CPOS",VLOOKUP(C170,#REF!,3,0),IF(B170="FDE",VLOOKUP(C170,#REF!,2,0),IF(B170="INFRA",VLOOKUP(C170,#REF!,2,0),""))))))),"")</f>
        <v/>
      </c>
      <c r="E170" s="1008" t="str">
        <f>IFERROR(UPPER(IF(B170="CPU",VLOOKUP(C170,#REF!,3,0),IF(B170="SINAPI",VLOOKUP(C170,#REF!,3,0),IF(B170="EDIF",VLOOKUP(C170,#REF!,3,0),IF(B170="CPOS",VLOOKUP(C170,#REF!,4,0),IF(B170="FDE",VLOOKUP(C170,#REF!,3,0),IF(B170="INFRA",VLOOKUP(C170,#REF!,3,0),""))))))),"")</f>
        <v/>
      </c>
      <c r="F170" s="1011">
        <f>F190*0.1</f>
        <v>2483.3966</v>
      </c>
      <c r="G170" s="985" t="str">
        <f>IFERROR(IF(B170="CPU",VLOOKUP(C170,#REF!,4,0),IF(B170="SINAPI",VLOOKUP(C170,#REF!,5,0),IF(B170="EDIF",VLOOKUP(C170,#REF!,4,0),IF(B170="CPOS",VLOOKUP(C170,#REF!,7,0),IF(B170="FDE",VLOOKUP(C170,#REF!,5,0),IF(B170="INFRA",VLOOKUP(C170,#REF!,4,0),""))))))*VLOOKUP(B170,#REF!,3,0),"")</f>
        <v/>
      </c>
      <c r="H170" s="986">
        <v>0.25</v>
      </c>
      <c r="I170" s="987" t="str">
        <f t="shared" si="8"/>
        <v/>
      </c>
      <c r="J170" s="988">
        <v>253120.19845500001</v>
      </c>
      <c r="K170" s="52"/>
      <c r="L170" s="940"/>
    </row>
    <row r="171" spans="1:12" s="25" customFormat="1" ht="27" customHeight="1">
      <c r="A171" s="933" t="s">
        <v>5699</v>
      </c>
      <c r="B171" s="933" t="s">
        <v>4908</v>
      </c>
      <c r="C171" s="1010">
        <v>88052</v>
      </c>
      <c r="D171" s="1007" t="str">
        <f>IFERROR(UPPER(IF(B171="CPU",VLOOKUP(C171,#REF!,2,0),IF(B171="SINAPI",VLOOKUP(C171,#REF!,2,0),IF(B171="EDIF",VLOOKUP(C171,#REF!,2,0),IF(B171="CPOS",VLOOKUP(C171,#REF!,3,0),IF(B171="FDE",VLOOKUP(C171,#REF!,2,0),IF(B171="INFRA",VLOOKUP(C171,#REF!,2,0),""))))))),"")</f>
        <v/>
      </c>
      <c r="E171" s="1008" t="str">
        <f>IFERROR(UPPER(IF(B171="CPU",VLOOKUP(C171,#REF!,3,0),IF(B171="SINAPI",VLOOKUP(C171,#REF!,3,0),IF(B171="EDIF",VLOOKUP(C171,#REF!,3,0),IF(B171="CPOS",VLOOKUP(C171,#REF!,4,0),IF(B171="FDE",VLOOKUP(C171,#REF!,3,0),IF(B171="INFRA",VLOOKUP(C171,#REF!,3,0),""))))))),"")</f>
        <v/>
      </c>
      <c r="F171" s="1011">
        <f>(F152+F153+F154)*14</f>
        <v>65779.56</v>
      </c>
      <c r="G171" s="985" t="str">
        <f>IFERROR(IF(B171="CPU",VLOOKUP(C171,#REF!,4,0),IF(B171="SINAPI",VLOOKUP(C171,#REF!,5,0),IF(B171="EDIF",VLOOKUP(C171,#REF!,4,0),IF(B171="CPOS",VLOOKUP(C171,#REF!,7,0),IF(B171="FDE",VLOOKUP(C171,#REF!,5,0),IF(B171="INFRA",VLOOKUP(C171,#REF!,4,0),""))))))*VLOOKUP(B171,#REF!,3,0),"")</f>
        <v/>
      </c>
      <c r="H171" s="986">
        <v>0.25</v>
      </c>
      <c r="I171" s="987" t="str">
        <f t="shared" si="8"/>
        <v/>
      </c>
      <c r="J171" s="988">
        <v>53445.892500000002</v>
      </c>
      <c r="K171" s="52"/>
      <c r="L171" s="940"/>
    </row>
    <row r="172" spans="1:12" s="25" customFormat="1" ht="27" customHeight="1">
      <c r="A172" s="933"/>
      <c r="B172" s="933"/>
      <c r="C172" s="933"/>
      <c r="D172" s="1007"/>
      <c r="E172" s="1008"/>
      <c r="F172" s="1009"/>
      <c r="G172" s="985"/>
      <c r="H172" s="986"/>
      <c r="I172" s="987"/>
      <c r="J172" s="988"/>
      <c r="K172" s="52"/>
      <c r="L172" s="940"/>
    </row>
    <row r="173" spans="1:12" s="25" customFormat="1" ht="27" customHeight="1">
      <c r="A173" s="998">
        <v>6</v>
      </c>
      <c r="B173" s="999"/>
      <c r="C173" s="999"/>
      <c r="D173" s="1000" t="s">
        <v>969</v>
      </c>
      <c r="E173" s="967"/>
      <c r="F173" s="968"/>
      <c r="G173" s="969" t="str">
        <f>IFERROR(IF(B173="CPU",VLOOKUP(C173,#REF!,4,0),IF(B173="SINAPI",VLOOKUP(C173,#REF!,5,0),IF(B173="EDIF",VLOOKUP(C173,#REF!,4,0),IF(B173="CPOS",VLOOKUP(C173,#REF!,7,0),IF(B173="FDE",VLOOKUP(C173,#REF!,5,0),"")))))*VLOOKUP(B173,#REF!,3,0),"")</f>
        <v/>
      </c>
      <c r="H173" s="968"/>
      <c r="I173" s="1005">
        <f>SUM(I174:I186)</f>
        <v>0</v>
      </c>
      <c r="J173" s="988"/>
      <c r="K173" s="52"/>
      <c r="L173" s="940"/>
    </row>
    <row r="174" spans="1:12" s="25" customFormat="1" ht="27" customHeight="1">
      <c r="A174" s="933" t="s">
        <v>227</v>
      </c>
      <c r="B174" s="933" t="s">
        <v>4908</v>
      </c>
      <c r="C174" s="1010">
        <v>68053</v>
      </c>
      <c r="D174" s="1007" t="str">
        <f>IFERROR(UPPER(IF(B174="CPU",VLOOKUP(C174,#REF!,2,0),IF(B174="SINAPI",VLOOKUP(C174,#REF!,2,0),IF(B174="EDIF",VLOOKUP(C174,#REF!,2,0),IF(B174="CPOS",VLOOKUP(C174,#REF!,3,0),IF(B174="FDE",VLOOKUP(C174,#REF!,2,0),IF(B174="INFRA",VLOOKUP(C174,#REF!,2,0),""))))))),"")</f>
        <v/>
      </c>
      <c r="E174" s="1008" t="str">
        <f>IFERROR(UPPER(IF(B174="CPU",VLOOKUP(C174,#REF!,3,0),IF(B174="SINAPI",VLOOKUP(C174,#REF!,3,0),IF(B174="EDIF",VLOOKUP(C174,#REF!,3,0),IF(B174="CPOS",VLOOKUP(C174,#REF!,4,0),IF(B174="FDE",VLOOKUP(C174,#REF!,3,0),IF(B174="INFRA",VLOOKUP(C174,#REF!,3,0),""))))))),"")</f>
        <v/>
      </c>
      <c r="F174" s="1009">
        <f>F124</f>
        <v>3892</v>
      </c>
      <c r="G174" s="985" t="str">
        <f>IFERROR(IF(B174="CPU",VLOOKUP(C174,#REF!,4,0),IF(B174="SINAPI",VLOOKUP(C174,#REF!,5,0),IF(B174="EDIF",VLOOKUP(C174,#REF!,4,0),IF(B174="CPOS",VLOOKUP(C174,#REF!,7,0),IF(B174="FDE",VLOOKUP(C174,#REF!,5,0),IF(B174="INFRA",VLOOKUP(C174,#REF!,4,0),""))))))*VLOOKUP(B174,#REF!,3,0),"")</f>
        <v/>
      </c>
      <c r="H174" s="986">
        <v>0.25</v>
      </c>
      <c r="I174" s="987" t="str">
        <f t="shared" ref="I174:I186" si="9">IFERROR(F174*((G174*(1+H174))),"")</f>
        <v/>
      </c>
      <c r="J174" s="988">
        <v>27827.8</v>
      </c>
      <c r="K174" s="52"/>
      <c r="L174" s="940"/>
    </row>
    <row r="175" spans="1:12" s="25" customFormat="1" ht="27" customHeight="1">
      <c r="A175" s="933" t="s">
        <v>252</v>
      </c>
      <c r="B175" s="933" t="s">
        <v>4908</v>
      </c>
      <c r="C175" s="1010">
        <v>96622</v>
      </c>
      <c r="D175" s="1007" t="str">
        <f>IFERROR(UPPER(IF(B175="CPU",VLOOKUP(C175,#REF!,2,0),IF(B175="SINAPI",VLOOKUP(C175,#REF!,2,0),IF(B175="EDIF",VLOOKUP(C175,#REF!,2,0),IF(B175="CPOS",VLOOKUP(C175,#REF!,3,0),IF(B175="FDE",VLOOKUP(C175,#REF!,2,0),IF(B175="INFRA",VLOOKUP(C175,#REF!,2,0),""))))))),"")</f>
        <v/>
      </c>
      <c r="E175" s="1008" t="str">
        <f>IFERROR(UPPER(IF(B175="CPU",VLOOKUP(C175,#REF!,3,0),IF(B175="SINAPI",VLOOKUP(C175,#REF!,3,0),IF(B175="EDIF",VLOOKUP(C175,#REF!,3,0),IF(B175="CPOS",VLOOKUP(C175,#REF!,4,0),IF(B175="FDE",VLOOKUP(C175,#REF!,3,0),IF(B175="INFRA",VLOOKUP(C175,#REF!,3,0),""))))))),"")</f>
        <v/>
      </c>
      <c r="F175" s="1009">
        <f>F174*0.05</f>
        <v>194.60000000000002</v>
      </c>
      <c r="G175" s="985" t="str">
        <f>IFERROR(IF(B175="CPU",VLOOKUP(C175,#REF!,4,0),IF(B175="SINAPI",VLOOKUP(C175,#REF!,5,0),IF(B175="EDIF",VLOOKUP(C175,#REF!,4,0),IF(B175="CPOS",VLOOKUP(C175,#REF!,7,0),IF(B175="FDE",VLOOKUP(C175,#REF!,5,0),IF(B175="INFRA",VLOOKUP(C175,#REF!,4,0),""))))))*VLOOKUP(B175,#REF!,3,0),"")</f>
        <v/>
      </c>
      <c r="H175" s="986">
        <v>0.25</v>
      </c>
      <c r="I175" s="987" t="str">
        <f t="shared" si="9"/>
        <v/>
      </c>
      <c r="J175" s="988">
        <v>22116.29</v>
      </c>
      <c r="K175" s="52"/>
      <c r="L175" s="940"/>
    </row>
    <row r="176" spans="1:12" s="25" customFormat="1" ht="27" customHeight="1">
      <c r="A176" s="933" t="s">
        <v>275</v>
      </c>
      <c r="B176" s="933" t="s">
        <v>4908</v>
      </c>
      <c r="C176" s="1010">
        <v>90903</v>
      </c>
      <c r="D176" s="1007" t="str">
        <f>IFERROR(UPPER(IF(B176="CPU",VLOOKUP(C176,#REF!,2,0),IF(B176="SINAPI",VLOOKUP(C176,#REF!,2,0),IF(B176="EDIF",VLOOKUP(C176,#REF!,2,0),IF(B176="CPOS",VLOOKUP(C176,#REF!,3,0),IF(B176="FDE",VLOOKUP(C176,#REF!,2,0),IF(B176="INFRA",VLOOKUP(C176,#REF!,2,0),""))))))),"")</f>
        <v/>
      </c>
      <c r="E176" s="1008" t="str">
        <f>IFERROR(UPPER(IF(B176="CPU",VLOOKUP(C176,#REF!,3,0),IF(B176="SINAPI",VLOOKUP(C176,#REF!,3,0),IF(B176="EDIF",VLOOKUP(C176,#REF!,3,0),IF(B176="CPOS",VLOOKUP(C176,#REF!,4,0),IF(B176="FDE",VLOOKUP(C176,#REF!,3,0),IF(B176="INFRA",VLOOKUP(C176,#REF!,3,0),""))))))),"")</f>
        <v/>
      </c>
      <c r="F176" s="1011">
        <f>1380.77+1383.55</f>
        <v>2764.3199999999997</v>
      </c>
      <c r="G176" s="985" t="str">
        <f>IFERROR(IF(B176="CPU",VLOOKUP(C176,#REF!,4,0),IF(B176="SINAPI",VLOOKUP(C176,#REF!,5,0),IF(B176="EDIF",VLOOKUP(C176,#REF!,4,0),IF(B176="CPOS",VLOOKUP(C176,#REF!,7,0),IF(B176="FDE",VLOOKUP(C176,#REF!,5,0),IF(B176="INFRA",VLOOKUP(C176,#REF!,4,0),""))))))*VLOOKUP(B176,#REF!,3,0),"")</f>
        <v/>
      </c>
      <c r="H176" s="986">
        <v>0.25</v>
      </c>
      <c r="I176" s="987" t="str">
        <f t="shared" si="9"/>
        <v/>
      </c>
      <c r="J176" s="988">
        <v>387764.98800000001</v>
      </c>
      <c r="K176" s="52"/>
      <c r="L176" s="940"/>
    </row>
    <row r="177" spans="1:12" s="25" customFormat="1" ht="27" customHeight="1">
      <c r="A177" s="933" t="s">
        <v>5700</v>
      </c>
      <c r="B177" s="933" t="s">
        <v>1479</v>
      </c>
      <c r="C177" s="1012" t="s">
        <v>5701</v>
      </c>
      <c r="D177" s="1007" t="str">
        <f>IFERROR(UPPER(IF(B177="CPU",VLOOKUP(C177,#REF!,2,0),IF(B177="SINAPI",VLOOKUP(C177,#REF!,2,0),IF(B177="EDIF",VLOOKUP(C177,#REF!,2,0),IF(B177="CPOS",VLOOKUP(C177,#REF!,3,0),IF(B177="FDE",VLOOKUP(C177,#REF!,2,0),IF(B177="INFRA",VLOOKUP(C177,#REF!,2,0),""))))))),"")</f>
        <v/>
      </c>
      <c r="E177" s="1008" t="str">
        <f>IFERROR(UPPER(IF(B177="CPU",VLOOKUP(C177,#REF!,3,0),IF(B177="SINAPI",VLOOKUP(C177,#REF!,3,0),IF(B177="EDIF",VLOOKUP(C177,#REF!,3,0),IF(B177="CPOS",VLOOKUP(C177,#REF!,4,0),IF(B177="FDE",VLOOKUP(C177,#REF!,3,0),IF(B177="INFRA",VLOOKUP(C177,#REF!,3,0),""))))))),"")</f>
        <v/>
      </c>
      <c r="F177" s="1011">
        <v>2764.32</v>
      </c>
      <c r="G177" s="985" t="str">
        <f>IFERROR(IF(B177="CPU",VLOOKUP(C177,#REF!,4,0),IF(B177="SINAPI",VLOOKUP(C177,#REF!,5,0),IF(B177="EDIF",VLOOKUP(C177,#REF!,4,0),IF(B177="CPOS",VLOOKUP(C177,#REF!,7,0),IF(B177="FDE",VLOOKUP(C177,#REF!,5,0),IF(B177="INFRA",VLOOKUP(C177,#REF!,4,0),""))))))*VLOOKUP(B177,#REF!,3,0),"")</f>
        <v/>
      </c>
      <c r="H177" s="986">
        <v>0.25</v>
      </c>
      <c r="I177" s="987" t="str">
        <f t="shared" si="9"/>
        <v/>
      </c>
      <c r="J177" s="988">
        <v>80960.021999999997</v>
      </c>
      <c r="K177" s="52"/>
      <c r="L177" s="940"/>
    </row>
    <row r="178" spans="1:12" s="25" customFormat="1" ht="27" customHeight="1">
      <c r="A178" s="933" t="s">
        <v>5702</v>
      </c>
      <c r="B178" s="933" t="s">
        <v>4908</v>
      </c>
      <c r="C178" s="1010">
        <v>87258</v>
      </c>
      <c r="D178" s="1007" t="str">
        <f>IFERROR(UPPER(IF(B178="CPU",VLOOKUP(C178,#REF!,2,0),IF(B178="SINAPI",VLOOKUP(C178,#REF!,2,0),IF(B178="EDIF",VLOOKUP(C178,#REF!,2,0),IF(B178="CPOS",VLOOKUP(C178,#REF!,3,0),IF(B178="FDE",VLOOKUP(C178,#REF!,2,0),IF(B178="INFRA",VLOOKUP(C178,#REF!,2,0),""))))))),"")</f>
        <v/>
      </c>
      <c r="E178" s="1008" t="str">
        <f>IFERROR(UPPER(IF(B178="CPU",VLOOKUP(C178,#REF!,3,0),IF(B178="SINAPI",VLOOKUP(C178,#REF!,3,0),IF(B178="EDIF",VLOOKUP(C178,#REF!,3,0),IF(B178="CPOS",VLOOKUP(C178,#REF!,4,0),IF(B178="FDE",VLOOKUP(C178,#REF!,3,0),IF(B178="INFRA",VLOOKUP(C178,#REF!,3,0),""))))))),"")</f>
        <v/>
      </c>
      <c r="F178" s="1009">
        <v>1283.6199999999999</v>
      </c>
      <c r="G178" s="985" t="str">
        <f>IFERROR(IF(B178="CPU",VLOOKUP(C178,#REF!,4,0),IF(B178="SINAPI",VLOOKUP(C178,#REF!,5,0),IF(B178="EDIF",VLOOKUP(C178,#REF!,4,0),IF(B178="CPOS",VLOOKUP(C178,#REF!,7,0),IF(B178="FDE",VLOOKUP(C178,#REF!,5,0),IF(B178="INFRA",VLOOKUP(C178,#REF!,4,0),""))))))*VLOOKUP(B178,#REF!,3,0),"")</f>
        <v/>
      </c>
      <c r="H178" s="986">
        <v>0.25</v>
      </c>
      <c r="I178" s="987" t="str">
        <f t="shared" si="9"/>
        <v/>
      </c>
      <c r="J178" s="988">
        <v>186654.39324999999</v>
      </c>
      <c r="K178" s="52"/>
      <c r="L178" s="940"/>
    </row>
    <row r="179" spans="1:12" s="25" customFormat="1" ht="27" customHeight="1">
      <c r="A179" s="933" t="s">
        <v>5703</v>
      </c>
      <c r="B179" s="933" t="s">
        <v>4908</v>
      </c>
      <c r="C179" s="1010">
        <v>87261</v>
      </c>
      <c r="D179" s="1007" t="str">
        <f>IFERROR(UPPER(IF(B179="CPU",VLOOKUP(C179,#REF!,2,0),IF(B179="SINAPI",VLOOKUP(C179,#REF!,2,0),IF(B179="EDIF",VLOOKUP(C179,#REF!,2,0),IF(B179="CPOS",VLOOKUP(C179,#REF!,3,0),IF(B179="FDE",VLOOKUP(C179,#REF!,2,0),IF(B179="INFRA",VLOOKUP(C179,#REF!,2,0),""))))))),"")</f>
        <v/>
      </c>
      <c r="E179" s="1008" t="str">
        <f>IFERROR(UPPER(IF(B179="CPU",VLOOKUP(C179,#REF!,3,0),IF(B179="SINAPI",VLOOKUP(C179,#REF!,3,0),IF(B179="EDIF",VLOOKUP(C179,#REF!,3,0),IF(B179="CPOS",VLOOKUP(C179,#REF!,4,0),IF(B179="FDE",VLOOKUP(C179,#REF!,3,0),IF(B179="INFRA",VLOOKUP(C179,#REF!,3,0),""))))))),"")</f>
        <v/>
      </c>
      <c r="F179" s="1009">
        <v>1708.44</v>
      </c>
      <c r="G179" s="985" t="str">
        <f>IFERROR(IF(B179="CPU",VLOOKUP(C179,#REF!,4,0),IF(B179="SINAPI",VLOOKUP(C179,#REF!,5,0),IF(B179="EDIF",VLOOKUP(C179,#REF!,4,0),IF(B179="CPOS",VLOOKUP(C179,#REF!,7,0),IF(B179="FDE",VLOOKUP(C179,#REF!,5,0),IF(B179="INFRA",VLOOKUP(C179,#REF!,4,0),""))))))*VLOOKUP(B179,#REF!,3,0),"")</f>
        <v/>
      </c>
      <c r="H179" s="986">
        <v>0.25</v>
      </c>
      <c r="I179" s="987" t="str">
        <f t="shared" si="9"/>
        <v/>
      </c>
      <c r="J179" s="988">
        <v>286868.43150000001</v>
      </c>
      <c r="K179" s="52"/>
      <c r="L179" s="940"/>
    </row>
    <row r="180" spans="1:12" s="25" customFormat="1" ht="27" customHeight="1">
      <c r="A180" s="933" t="s">
        <v>5704</v>
      </c>
      <c r="B180" s="933" t="s">
        <v>4908</v>
      </c>
      <c r="C180" s="1010">
        <v>88650</v>
      </c>
      <c r="D180" s="1007" t="str">
        <f>IFERROR(UPPER(IF(B180="CPU",VLOOKUP(C180,#REF!,2,0),IF(B180="SINAPI",VLOOKUP(C180,#REF!,2,0),IF(B180="EDIF",VLOOKUP(C180,#REF!,2,0),IF(B180="CPOS",VLOOKUP(C180,#REF!,3,0),IF(B180="FDE",VLOOKUP(C180,#REF!,2,0),IF(B180="INFRA",VLOOKUP(C180,#REF!,2,0),""))))))),"")</f>
        <v/>
      </c>
      <c r="E180" s="1008" t="str">
        <f>IFERROR(UPPER(IF(B180="CPU",VLOOKUP(C180,#REF!,3,0),IF(B180="SINAPI",VLOOKUP(C180,#REF!,3,0),IF(B180="EDIF",VLOOKUP(C180,#REF!,3,0),IF(B180="CPOS",VLOOKUP(C180,#REF!,4,0),IF(B180="FDE",VLOOKUP(C180,#REF!,3,0),IF(B180="INFRA",VLOOKUP(C180,#REF!,3,0),""))))))),"")</f>
        <v/>
      </c>
      <c r="F180" s="1009">
        <v>1940.72</v>
      </c>
      <c r="G180" s="985" t="str">
        <f>IFERROR(IF(B180="CPU",VLOOKUP(C180,#REF!,4,0),IF(B180="SINAPI",VLOOKUP(C180,#REF!,5,0),IF(B180="EDIF",VLOOKUP(C180,#REF!,4,0),IF(B180="CPOS",VLOOKUP(C180,#REF!,7,0),IF(B180="FDE",VLOOKUP(C180,#REF!,5,0),IF(B180="INFRA",VLOOKUP(C180,#REF!,4,0),""))))))*VLOOKUP(B180,#REF!,3,0),"")</f>
        <v/>
      </c>
      <c r="H180" s="986">
        <v>0.25</v>
      </c>
      <c r="I180" s="987" t="str">
        <f t="shared" si="9"/>
        <v/>
      </c>
      <c r="J180" s="988">
        <v>30760.412</v>
      </c>
      <c r="K180" s="52"/>
      <c r="L180" s="940"/>
    </row>
    <row r="181" spans="1:12" s="25" customFormat="1" ht="27" customHeight="1">
      <c r="A181" s="933" t="s">
        <v>5705</v>
      </c>
      <c r="B181" s="933" t="s">
        <v>1479</v>
      </c>
      <c r="C181" s="1010" t="s">
        <v>5706</v>
      </c>
      <c r="D181" s="1007" t="str">
        <f>IFERROR(UPPER(IF(B181="CPU",VLOOKUP(C181,#REF!,2,0),IF(B181="SINAPI",VLOOKUP(C181,#REF!,2,0),IF(B181="EDIF",VLOOKUP(C181,#REF!,2,0),IF(B181="CPOS",VLOOKUP(C181,#REF!,3,0),IF(B181="FDE",VLOOKUP(C181,#REF!,2,0),IF(B181="INFRA",VLOOKUP(C181,#REF!,2,0),""))))))),"")</f>
        <v/>
      </c>
      <c r="E181" s="1008" t="str">
        <f>IFERROR(UPPER(IF(B181="CPU",VLOOKUP(C181,#REF!,3,0),IF(B181="SINAPI",VLOOKUP(C181,#REF!,3,0),IF(B181="EDIF",VLOOKUP(C181,#REF!,3,0),IF(B181="CPOS",VLOOKUP(C181,#REF!,4,0),IF(B181="FDE",VLOOKUP(C181,#REF!,3,0),IF(B181="INFRA",VLOOKUP(C181,#REF!,3,0),""))))))),"")</f>
        <v/>
      </c>
      <c r="F181" s="1009">
        <v>221.92</v>
      </c>
      <c r="G181" s="985" t="str">
        <f>IFERROR(IF(B181="CPU",VLOOKUP(C181,#REF!,4,0),IF(B181="SINAPI",VLOOKUP(C181,#REF!,5,0),IF(B181="EDIF",VLOOKUP(C181,#REF!,4,0),IF(B181="CPOS",VLOOKUP(C181,#REF!,7,0),IF(B181="FDE",VLOOKUP(C181,#REF!,5,0),IF(B181="INFRA",VLOOKUP(C181,#REF!,4,0),""))))))*VLOOKUP(B181,#REF!,3,0),"")</f>
        <v/>
      </c>
      <c r="H181" s="986">
        <v>0.25</v>
      </c>
      <c r="I181" s="987" t="str">
        <f t="shared" si="9"/>
        <v/>
      </c>
      <c r="J181" s="988">
        <v>61790.85</v>
      </c>
      <c r="K181" s="52"/>
      <c r="L181" s="940"/>
    </row>
    <row r="182" spans="1:12" s="25" customFormat="1" ht="27" customHeight="1">
      <c r="A182" s="933" t="s">
        <v>5707</v>
      </c>
      <c r="B182" s="933" t="s">
        <v>1479</v>
      </c>
      <c r="C182" s="1012" t="s">
        <v>5708</v>
      </c>
      <c r="D182" s="1007" t="str">
        <f>IFERROR(UPPER(IF(B182="CPU",VLOOKUP(C182,#REF!,2,0),IF(B182="SINAPI",VLOOKUP(C182,#REF!,2,0),IF(B182="EDIF",VLOOKUP(C182,#REF!,2,0),IF(B182="CPOS",VLOOKUP(C182,#REF!,3,0),IF(B182="FDE",VLOOKUP(C182,#REF!,2,0),IF(B182="INFRA",VLOOKUP(C182,#REF!,2,0),""))))))),"")</f>
        <v/>
      </c>
      <c r="E182" s="1008" t="str">
        <f>IFERROR(UPPER(IF(B182="CPU",VLOOKUP(C182,#REF!,3,0),IF(B182="SINAPI",VLOOKUP(C182,#REF!,3,0),IF(B182="EDIF",VLOOKUP(C182,#REF!,3,0),IF(B182="CPOS",VLOOKUP(C182,#REF!,4,0),IF(B182="FDE",VLOOKUP(C182,#REF!,3,0),IF(B182="INFRA",VLOOKUP(C182,#REF!,3,0),""))))))),"")</f>
        <v/>
      </c>
      <c r="F182" s="1009">
        <v>221.92</v>
      </c>
      <c r="G182" s="985" t="str">
        <f>IFERROR(IF(B182="CPU",VLOOKUP(C182,#REF!,4,0),IF(B182="SINAPI",VLOOKUP(C182,#REF!,5,0),IF(B182="EDIF",VLOOKUP(C182,#REF!,4,0),IF(B182="CPOS",VLOOKUP(C182,#REF!,7,0),IF(B182="FDE",VLOOKUP(C182,#REF!,5,0),IF(B182="INFRA",VLOOKUP(C182,#REF!,4,0),""))))))*VLOOKUP(B182,#REF!,3,0),"")</f>
        <v/>
      </c>
      <c r="H182" s="986">
        <v>0.25</v>
      </c>
      <c r="I182" s="987" t="str">
        <f t="shared" si="9"/>
        <v/>
      </c>
      <c r="J182" s="988">
        <v>12102.962</v>
      </c>
      <c r="K182" s="52"/>
      <c r="L182" s="940"/>
    </row>
    <row r="183" spans="1:12" s="25" customFormat="1" ht="27" customHeight="1">
      <c r="A183" s="933" t="s">
        <v>5709</v>
      </c>
      <c r="B183" s="933" t="s">
        <v>1479</v>
      </c>
      <c r="C183" s="1012" t="s">
        <v>5710</v>
      </c>
      <c r="D183" s="1007" t="str">
        <f>IFERROR(UPPER(IF(B183="CPU",VLOOKUP(C183,#REF!,2,0),IF(B183="SINAPI",VLOOKUP(C183,#REF!,2,0),IF(B183="EDIF",VLOOKUP(C183,#REF!,2,0),IF(B183="CPOS",VLOOKUP(C183,#REF!,3,0),IF(B183="FDE",VLOOKUP(C183,#REF!,2,0),IF(B183="INFRA",VLOOKUP(C183,#REF!,2,0),""))))))),"")</f>
        <v/>
      </c>
      <c r="E183" s="1008" t="str">
        <f>IFERROR(UPPER(IF(B183="CPU",VLOOKUP(C183,#REF!,3,0),IF(B183="SINAPI",VLOOKUP(C183,#REF!,3,0),IF(B183="EDIF",VLOOKUP(C183,#REF!,3,0),IF(B183="CPOS",VLOOKUP(C183,#REF!,4,0),IF(B183="FDE",VLOOKUP(C183,#REF!,3,0),IF(B183="INFRA",VLOOKUP(C183,#REF!,3,0),""))))))),"")</f>
        <v/>
      </c>
      <c r="F183" s="1009">
        <v>1779.38</v>
      </c>
      <c r="G183" s="985" t="str">
        <f>IFERROR(IF(B183="CPU",VLOOKUP(C183,#REF!,4,0),IF(B183="SINAPI",VLOOKUP(C183,#REF!,5,0),IF(B183="EDIF",VLOOKUP(C183,#REF!,4,0),IF(B183="CPOS",VLOOKUP(C183,#REF!,7,0),IF(B183="FDE",VLOOKUP(C183,#REF!,5,0),IF(B183="INFRA",VLOOKUP(C183,#REF!,4,0),""))))))*VLOOKUP(B183,#REF!,3,0),"")</f>
        <v/>
      </c>
      <c r="H183" s="986">
        <v>0.25</v>
      </c>
      <c r="I183" s="987" t="str">
        <f t="shared" si="9"/>
        <v/>
      </c>
      <c r="J183" s="988">
        <v>360613.59925000003</v>
      </c>
      <c r="K183" s="52"/>
      <c r="L183" s="940"/>
    </row>
    <row r="184" spans="1:12" s="25" customFormat="1" ht="27" customHeight="1">
      <c r="A184" s="933" t="s">
        <v>5711</v>
      </c>
      <c r="B184" s="933" t="s">
        <v>1479</v>
      </c>
      <c r="C184" s="1012" t="s">
        <v>5712</v>
      </c>
      <c r="D184" s="1007" t="str">
        <f>IFERROR(UPPER(IF(B184="CPU",VLOOKUP(C184,#REF!,2,0),IF(B184="SINAPI",VLOOKUP(C184,#REF!,2,0),IF(B184="EDIF",VLOOKUP(C184,#REF!,2,0),IF(B184="CPOS",VLOOKUP(C184,#REF!,3,0),IF(B184="FDE",VLOOKUP(C184,#REF!,2,0),IF(B184="INFRA",VLOOKUP(C184,#REF!,2,0),""))))))),"")</f>
        <v/>
      </c>
      <c r="E184" s="1008" t="str">
        <f>IFERROR(UPPER(IF(B184="CPU",VLOOKUP(C184,#REF!,3,0),IF(B184="SINAPI",VLOOKUP(C184,#REF!,3,0),IF(B184="EDIF",VLOOKUP(C184,#REF!,3,0),IF(B184="CPOS",VLOOKUP(C184,#REF!,4,0),IF(B184="FDE",VLOOKUP(C184,#REF!,3,0),IF(B184="INFRA",VLOOKUP(C184,#REF!,3,0),""))))))),"")</f>
        <v/>
      </c>
      <c r="F184" s="1009">
        <v>1758.8</v>
      </c>
      <c r="G184" s="985" t="str">
        <f>IFERROR(IF(B184="CPU",VLOOKUP(C184,#REF!,4,0),IF(B184="SINAPI",VLOOKUP(C184,#REF!,5,0),IF(B184="EDIF",VLOOKUP(C184,#REF!,4,0),IF(B184="CPOS",VLOOKUP(C184,#REF!,7,0),IF(B184="FDE",VLOOKUP(C184,#REF!,5,0),IF(B184="INFRA",VLOOKUP(C184,#REF!,4,0),""))))))*VLOOKUP(B184,#REF!,3,0),"")</f>
        <v/>
      </c>
      <c r="H184" s="986">
        <v>0.25</v>
      </c>
      <c r="I184" s="987" t="str">
        <f t="shared" si="9"/>
        <v/>
      </c>
      <c r="J184" s="988">
        <v>69538.554999999993</v>
      </c>
      <c r="K184" s="52"/>
      <c r="L184" s="940"/>
    </row>
    <row r="185" spans="1:12" s="25" customFormat="1" ht="27" customHeight="1">
      <c r="A185" s="933" t="s">
        <v>5713</v>
      </c>
      <c r="B185" s="933" t="s">
        <v>4908</v>
      </c>
      <c r="C185" s="1012">
        <v>98689</v>
      </c>
      <c r="D185" s="1007" t="str">
        <f>IFERROR(UPPER(IF(B185="CPU",VLOOKUP(C185,#REF!,2,0),IF(B185="SINAPI",VLOOKUP(C185,#REF!,2,0),IF(B185="EDIF",VLOOKUP(C185,#REF!,2,0),IF(B185="CPOS",VLOOKUP(C185,#REF!,3,0),IF(B185="FDE",VLOOKUP(C185,#REF!,2,0),IF(B185="INFRA",VLOOKUP(C185,#REF!,2,0),""))))))),"")</f>
        <v/>
      </c>
      <c r="E185" s="1008" t="str">
        <f>IFERROR(UPPER(IF(B185="CPU",VLOOKUP(C185,#REF!,3,0),IF(B185="SINAPI",VLOOKUP(C185,#REF!,3,0),IF(B185="EDIF",VLOOKUP(C185,#REF!,3,0),IF(B185="CPOS",VLOOKUP(C185,#REF!,4,0),IF(B185="FDE",VLOOKUP(C185,#REF!,3,0),IF(B185="INFRA",VLOOKUP(C185,#REF!,3,0),""))))))),"")</f>
        <v/>
      </c>
      <c r="F185" s="1009">
        <v>264</v>
      </c>
      <c r="G185" s="985" t="str">
        <f>IFERROR(IF(B185="CPU",VLOOKUP(C185,#REF!,4,0),IF(B185="SINAPI",VLOOKUP(C185,#REF!,5,0),IF(B185="EDIF",VLOOKUP(C185,#REF!,4,0),IF(B185="CPOS",VLOOKUP(C185,#REF!,7,0),IF(B185="FDE",VLOOKUP(C185,#REF!,5,0),IF(B185="INFRA",VLOOKUP(C185,#REF!,4,0),""))))))*VLOOKUP(B185,#REF!,3,0),"")</f>
        <v/>
      </c>
      <c r="H185" s="986">
        <v>0.25</v>
      </c>
      <c r="I185" s="987" t="str">
        <f t="shared" si="9"/>
        <v/>
      </c>
      <c r="J185" s="988">
        <v>26136</v>
      </c>
      <c r="K185" s="52"/>
      <c r="L185" s="940"/>
    </row>
    <row r="186" spans="1:12" s="25" customFormat="1" ht="27" customHeight="1">
      <c r="A186" s="933" t="s">
        <v>5714</v>
      </c>
      <c r="B186" s="933" t="s">
        <v>4908</v>
      </c>
      <c r="C186" s="1010">
        <v>88082</v>
      </c>
      <c r="D186" s="1007" t="str">
        <f>IFERROR(UPPER(IF(B186="CPU",VLOOKUP(C186,#REF!,2,0),IF(B186="SINAPI",VLOOKUP(C186,#REF!,2,0),IF(B186="EDIF",VLOOKUP(C186,#REF!,2,0),IF(B186="CPOS",VLOOKUP(C186,#REF!,3,0),IF(B186="FDE",VLOOKUP(C186,#REF!,2,0),IF(B186="INFRA",VLOOKUP(C186,#REF!,2,0),""))))))),"")</f>
        <v/>
      </c>
      <c r="E186" s="1008" t="str">
        <f>IFERROR(UPPER(IF(B186="CPU",VLOOKUP(C186,#REF!,3,0),IF(B186="SINAPI",VLOOKUP(C186,#REF!,3,0),IF(B186="EDIF",VLOOKUP(C186,#REF!,3,0),IF(B186="CPOS",VLOOKUP(C186,#REF!,4,0),IF(B186="FDE",VLOOKUP(C186,#REF!,3,0),IF(B186="INFRA",VLOOKUP(C186,#REF!,3,0),""))))))),"")</f>
        <v/>
      </c>
      <c r="F186" s="1011">
        <f>F178+F179+F181</f>
        <v>3213.98</v>
      </c>
      <c r="G186" s="985" t="str">
        <f>IFERROR(IF(B186="CPU",VLOOKUP(C186,#REF!,4,0),IF(B186="SINAPI",VLOOKUP(C186,#REF!,5,0),IF(B186="EDIF",VLOOKUP(C186,#REF!,4,0),IF(B186="CPOS",VLOOKUP(C186,#REF!,7,0),IF(B186="FDE",VLOOKUP(C186,#REF!,5,0),IF(B186="INFRA",VLOOKUP(C186,#REF!,4,0),""))))))*VLOOKUP(B186,#REF!,3,0),"")</f>
        <v/>
      </c>
      <c r="H186" s="986">
        <v>0.25</v>
      </c>
      <c r="I186" s="987" t="str">
        <f t="shared" si="9"/>
        <v/>
      </c>
      <c r="J186" s="988">
        <v>2330.1354999999999</v>
      </c>
      <c r="K186" s="52"/>
      <c r="L186" s="940"/>
    </row>
    <row r="187" spans="1:12" s="25" customFormat="1" ht="27" customHeight="1">
      <c r="A187" s="933"/>
      <c r="B187" s="933"/>
      <c r="C187" s="933"/>
      <c r="D187" s="1007"/>
      <c r="E187" s="1008"/>
      <c r="F187" s="1009"/>
      <c r="G187" s="985"/>
      <c r="H187" s="986"/>
      <c r="I187" s="987"/>
      <c r="J187" s="988"/>
      <c r="K187" s="52"/>
      <c r="L187" s="940"/>
    </row>
    <row r="188" spans="1:12" s="25" customFormat="1" ht="27" customHeight="1">
      <c r="A188" s="998">
        <v>7</v>
      </c>
      <c r="B188" s="999"/>
      <c r="C188" s="999"/>
      <c r="D188" s="1000" t="s">
        <v>1453</v>
      </c>
      <c r="E188" s="967"/>
      <c r="F188" s="968"/>
      <c r="G188" s="969" t="str">
        <f>IFERROR(IF(B188="CPU",VLOOKUP(C188,#REF!,4,0),IF(B188="SINAPI",VLOOKUP(C188,#REF!,5,0),IF(B188="EDIF",VLOOKUP(C188,#REF!,4,0),IF(B188="CPOS",VLOOKUP(C188,#REF!,7,0),IF(B188="FDE",VLOOKUP(C188,#REF!,5,0),"")))))*VLOOKUP(B188,#REF!,3,0),"")</f>
        <v/>
      </c>
      <c r="H188" s="968"/>
      <c r="I188" s="1005">
        <f>SUM(I189:I195)</f>
        <v>0</v>
      </c>
      <c r="J188" s="988"/>
      <c r="K188" s="52"/>
      <c r="L188" s="940"/>
    </row>
    <row r="189" spans="1:12" s="25" customFormat="1" ht="27" customHeight="1">
      <c r="A189" s="933" t="s">
        <v>296</v>
      </c>
      <c r="B189" s="933" t="s">
        <v>4872</v>
      </c>
      <c r="C189" s="994">
        <v>110201</v>
      </c>
      <c r="D189" s="1007" t="str">
        <f>IFERROR(UPPER(IF(B189="CPU",VLOOKUP(C189,#REF!,2,0),IF(B189="SINAPI",VLOOKUP(C189,#REF!,2,0),IF(B189="EDIF",VLOOKUP(C189,#REF!,2,0),IF(B189="CPOS",VLOOKUP(C189,#REF!,3,0),IF(B189="FDE",VLOOKUP(C189,#REF!,2,0),IF(B189="INFRA",VLOOKUP(C189,#REF!,2,0),""))))))),"")</f>
        <v/>
      </c>
      <c r="E189" s="1008" t="str">
        <f>IFERROR(UPPER(IF(B189="CPU",VLOOKUP(C189,#REF!,3,0),IF(B189="SINAPI",VLOOKUP(C189,#REF!,3,0),IF(B189="EDIF",VLOOKUP(C189,#REF!,3,0),IF(B189="CPOS",VLOOKUP(C189,#REF!,4,0),IF(B189="FDE",VLOOKUP(C189,#REF!,3,0),IF(B189="INFRA",VLOOKUP(C189,#REF!,3,0),""))))))),"")</f>
        <v/>
      </c>
      <c r="F189" s="1009">
        <v>24833.96</v>
      </c>
      <c r="G189" s="985" t="str">
        <f>IFERROR(IF(B189="CPU",VLOOKUP(C189,#REF!,4,0),IF(B189="SINAPI",VLOOKUP(C189,#REF!,5,0),IF(B189="EDIF",VLOOKUP(C189,#REF!,4,0),IF(B189="CPOS",VLOOKUP(C189,#REF!,7,0),IF(B189="FDE",VLOOKUP(C189,#REF!,5,0),IF(B189="INFRA",VLOOKUP(C189,#REF!,4,0),""))))))*VLOOKUP(B189,#REF!,3,0),"")</f>
        <v/>
      </c>
      <c r="H189" s="986">
        <v>0.25</v>
      </c>
      <c r="I189" s="987" t="str">
        <f t="shared" ref="I189:I195" si="10">IFERROR(F189*((G189*(1+H189))),"")</f>
        <v/>
      </c>
      <c r="J189" s="988">
        <v>193394.46350000001</v>
      </c>
      <c r="K189" s="52"/>
      <c r="L189" s="940"/>
    </row>
    <row r="190" spans="1:12" s="25" customFormat="1" ht="27" customHeight="1">
      <c r="A190" s="933" t="s">
        <v>301</v>
      </c>
      <c r="B190" s="933" t="s">
        <v>4872</v>
      </c>
      <c r="C190" s="994">
        <v>110109</v>
      </c>
      <c r="D190" s="1007" t="str">
        <f>IFERROR(UPPER(IF(B190="CPU",VLOOKUP(C190,#REF!,2,0),IF(B190="SINAPI",VLOOKUP(C190,#REF!,2,0),IF(B190="EDIF",VLOOKUP(C190,#REF!,2,0),IF(B190="CPOS",VLOOKUP(C190,#REF!,3,0),IF(B190="FDE",VLOOKUP(C190,#REF!,2,0),IF(B190="INFRA",VLOOKUP(C190,#REF!,2,0),""))))))),"")</f>
        <v/>
      </c>
      <c r="E190" s="1008" t="str">
        <f>IFERROR(UPPER(IF(B190="CPU",VLOOKUP(C190,#REF!,3,0),IF(B190="SINAPI",VLOOKUP(C190,#REF!,3,0),IF(B190="EDIF",VLOOKUP(C190,#REF!,3,0),IF(B190="CPOS",VLOOKUP(C190,#REF!,4,0),IF(B190="FDE",VLOOKUP(C190,#REF!,3,0),IF(B190="INFRA",VLOOKUP(C190,#REF!,3,0),""))))))),"")</f>
        <v/>
      </c>
      <c r="F190" s="1009">
        <v>24833.966</v>
      </c>
      <c r="G190" s="985" t="str">
        <f>IFERROR(IF(B190="CPU",VLOOKUP(C190,#REF!,4,0),IF(B190="SINAPI",VLOOKUP(C190,#REF!,5,0),IF(B190="EDIF",VLOOKUP(C190,#REF!,4,0),IF(B190="CPOS",VLOOKUP(C190,#REF!,7,0),IF(B190="FDE",VLOOKUP(C190,#REF!,5,0),IF(B190="INFRA",VLOOKUP(C190,#REF!,4,0),""))))))*VLOOKUP(B190,#REF!,3,0),"")</f>
        <v/>
      </c>
      <c r="H190" s="986">
        <v>0.25</v>
      </c>
      <c r="I190" s="987" t="str">
        <f t="shared" si="10"/>
        <v/>
      </c>
      <c r="J190" s="988">
        <v>1102007.24125</v>
      </c>
      <c r="K190" s="52"/>
      <c r="L190" s="940"/>
    </row>
    <row r="191" spans="1:12" s="25" customFormat="1" ht="27" customHeight="1">
      <c r="A191" s="933" t="s">
        <v>309</v>
      </c>
      <c r="B191" s="933" t="s">
        <v>4908</v>
      </c>
      <c r="C191" s="1010">
        <v>87272</v>
      </c>
      <c r="D191" s="1007" t="str">
        <f>IFERROR(UPPER(IF(B191="CPU",VLOOKUP(C191,#REF!,2,0),IF(B191="SINAPI",VLOOKUP(C191,#REF!,2,0),IF(B191="EDIF",VLOOKUP(C191,#REF!,2,0),IF(B191="CPOS",VLOOKUP(C191,#REF!,3,0),IF(B191="FDE",VLOOKUP(C191,#REF!,2,0),IF(B191="INFRA",VLOOKUP(C191,#REF!,2,0),""))))))),"")</f>
        <v/>
      </c>
      <c r="E191" s="1008" t="str">
        <f>IFERROR(UPPER(IF(B191="CPU",VLOOKUP(C191,#REF!,3,0),IF(B191="SINAPI",VLOOKUP(C191,#REF!,3,0),IF(B191="EDIF",VLOOKUP(C191,#REF!,3,0),IF(B191="CPOS",VLOOKUP(C191,#REF!,4,0),IF(B191="FDE",VLOOKUP(C191,#REF!,3,0),IF(B191="INFRA",VLOOKUP(C191,#REF!,3,0),""))))))),"")</f>
        <v/>
      </c>
      <c r="F191" s="1009">
        <v>5986.26</v>
      </c>
      <c r="G191" s="985" t="str">
        <f>IFERROR(IF(B191="CPU",VLOOKUP(C191,#REF!,4,0),IF(B191="SINAPI",VLOOKUP(C191,#REF!,5,0),IF(B191="EDIF",VLOOKUP(C191,#REF!,4,0),IF(B191="CPOS",VLOOKUP(C191,#REF!,7,0),IF(B191="FDE",VLOOKUP(C191,#REF!,5,0),IF(B191="INFRA",VLOOKUP(C191,#REF!,4,0),""))))))*VLOOKUP(B191,#REF!,3,0),"")</f>
        <v/>
      </c>
      <c r="H191" s="986">
        <v>0.25</v>
      </c>
      <c r="I191" s="987" t="str">
        <f t="shared" si="10"/>
        <v/>
      </c>
      <c r="J191" s="988">
        <v>464833.08899999998</v>
      </c>
      <c r="K191" s="52"/>
      <c r="L191" s="940"/>
    </row>
    <row r="192" spans="1:12" s="25" customFormat="1" ht="27" customHeight="1">
      <c r="A192" s="933" t="s">
        <v>316</v>
      </c>
      <c r="B192" s="933" t="s">
        <v>1479</v>
      </c>
      <c r="C192" s="1010" t="s">
        <v>5715</v>
      </c>
      <c r="D192" s="1007" t="str">
        <f>IFERROR(UPPER(IF(B192="CPU",VLOOKUP(C192,#REF!,2,0),IF(B192="SINAPI",VLOOKUP(C192,#REF!,2,0),IF(B192="EDIF",VLOOKUP(C192,#REF!,2,0),IF(B192="CPOS",VLOOKUP(C192,#REF!,3,0),IF(B192="FDE",VLOOKUP(C192,#REF!,2,0),IF(B192="INFRA",VLOOKUP(C192,#REF!,2,0),""))))))),"")</f>
        <v/>
      </c>
      <c r="E192" s="1008" t="str">
        <f>IFERROR(UPPER(IF(B192="CPU",VLOOKUP(C192,#REF!,3,0),IF(B192="SINAPI",VLOOKUP(C192,#REF!,3,0),IF(B192="EDIF",VLOOKUP(C192,#REF!,3,0),IF(B192="CPOS",VLOOKUP(C192,#REF!,4,0),IF(B192="FDE",VLOOKUP(C192,#REF!,3,0),IF(B192="INFRA",VLOOKUP(C192,#REF!,3,0),""))))))),"")</f>
        <v/>
      </c>
      <c r="F192" s="1009">
        <v>27.58</v>
      </c>
      <c r="G192" s="985" t="str">
        <f>IFERROR(IF(B192="CPU",VLOOKUP(C192,#REF!,4,0),IF(B192="SINAPI",VLOOKUP(C192,#REF!,5,0),IF(B192="EDIF",VLOOKUP(C192,#REF!,4,0),IF(B192="CPOS",VLOOKUP(C192,#REF!,7,0),IF(B192="FDE",VLOOKUP(C192,#REF!,5,0),IF(B192="INFRA",VLOOKUP(C192,#REF!,4,0),""))))))*VLOOKUP(B192,#REF!,3,0),"")</f>
        <v/>
      </c>
      <c r="H192" s="986">
        <v>0.25</v>
      </c>
      <c r="I192" s="987" t="str">
        <f t="shared" si="10"/>
        <v/>
      </c>
      <c r="J192" s="988">
        <v>15037.650250000001</v>
      </c>
      <c r="K192" s="52"/>
      <c r="L192" s="940"/>
    </row>
    <row r="193" spans="1:12" s="25" customFormat="1" ht="27" customHeight="1">
      <c r="A193" s="933" t="s">
        <v>5716</v>
      </c>
      <c r="B193" s="933" t="s">
        <v>5543</v>
      </c>
      <c r="C193" s="983" t="s">
        <v>5547</v>
      </c>
      <c r="D193" s="1007" t="str">
        <f>IFERROR(UPPER(IF(B193="CPU",VLOOKUP(C193,#REF!,2,0),IF(B193="SINAPI",VLOOKUP(C193,#REF!,2,0),IF(B193="EDIF",VLOOKUP(C193,#REF!,2,0),IF(B193="CPOS",VLOOKUP(C193,#REF!,3,0),IF(B193="FDE",VLOOKUP(C193,#REF!,2,0),IF(B193="INFRA",VLOOKUP(C193,#REF!,2,0),""))))))),"")</f>
        <v/>
      </c>
      <c r="E193" s="1008" t="s">
        <v>1240</v>
      </c>
      <c r="F193" s="1009">
        <v>167.48</v>
      </c>
      <c r="G193" s="985" t="str">
        <f>IFERROR(IF(B193="CPU",VLOOKUP(C193,#REF!,4,0),IF(B193="SINAPI",VLOOKUP(C193,#REF!,5,0),IF(B193="EDIF",VLOOKUP(C193,#REF!,4,0),IF(B193="CPOS",VLOOKUP(C193,#REF!,7,0),IF(B193="FDE",VLOOKUP(C193,#REF!,5,0),IF(B193="INFRA",VLOOKUP(C193,#REF!,4,0),""))))))*VLOOKUP(B193,#REF!,3,0),"")</f>
        <v/>
      </c>
      <c r="H193" s="986">
        <v>0.25</v>
      </c>
      <c r="I193" s="987" t="str">
        <f t="shared" si="10"/>
        <v/>
      </c>
      <c r="J193" s="988">
        <v>10871.5455</v>
      </c>
      <c r="K193" s="52"/>
      <c r="L193" s="940"/>
    </row>
    <row r="194" spans="1:12" s="25" customFormat="1" ht="27" customHeight="1">
      <c r="A194" s="933" t="s">
        <v>5717</v>
      </c>
      <c r="B194" s="933" t="s">
        <v>4908</v>
      </c>
      <c r="C194" s="1010">
        <v>98561</v>
      </c>
      <c r="D194" s="1007" t="str">
        <f>IFERROR(UPPER(IF(B194="CPU",VLOOKUP(C194,#REF!,2,0),IF(B194="SINAPI",VLOOKUP(C194,#REF!,2,0),IF(B194="EDIF",VLOOKUP(C194,#REF!,2,0),IF(B194="CPOS",VLOOKUP(C194,#REF!,3,0),IF(B194="FDE",VLOOKUP(C194,#REF!,2,0),IF(B194="INFRA",VLOOKUP(C194,#REF!,2,0),""))))))),"")</f>
        <v/>
      </c>
      <c r="E194" s="1008" t="str">
        <f>IFERROR(UPPER(IF(B194="CPU",VLOOKUP(C194,#REF!,3,0),IF(B194="SINAPI",VLOOKUP(C194,#REF!,3,0),IF(B194="EDIF",VLOOKUP(C194,#REF!,3,0),IF(B194="CPOS",VLOOKUP(C194,#REF!,4,0),IF(B194="FDE",VLOOKUP(C194,#REF!,3,0),IF(B194="INFRA",VLOOKUP(C194,#REF!,3,0),""))))))),"")</f>
        <v/>
      </c>
      <c r="F194" s="1011">
        <v>24833.96</v>
      </c>
      <c r="G194" s="985" t="str">
        <f>IFERROR(IF(B194="CPU",VLOOKUP(C194,#REF!,4,0),IF(B194="SINAPI",VLOOKUP(C194,#REF!,5,0),IF(B194="EDIF",VLOOKUP(C194,#REF!,4,0),IF(B194="CPOS",VLOOKUP(C194,#REF!,7,0),IF(B194="FDE",VLOOKUP(C194,#REF!,5,0),IF(B194="INFRA",VLOOKUP(C194,#REF!,4,0),""))))))*VLOOKUP(B194,#REF!,3,0),"")</f>
        <v/>
      </c>
      <c r="H194" s="986">
        <v>0.25</v>
      </c>
      <c r="I194" s="987" t="str">
        <f t="shared" si="10"/>
        <v/>
      </c>
      <c r="J194" s="988">
        <v>1018502.7845</v>
      </c>
      <c r="K194" s="52"/>
      <c r="L194" s="940"/>
    </row>
    <row r="195" spans="1:12" s="25" customFormat="1" ht="27" customHeight="1">
      <c r="A195" s="933" t="s">
        <v>5718</v>
      </c>
      <c r="B195" s="933" t="s">
        <v>4908</v>
      </c>
      <c r="C195" s="1010">
        <v>88082</v>
      </c>
      <c r="D195" s="1007" t="str">
        <f>IFERROR(UPPER(IF(B195="CPU",VLOOKUP(C195,#REF!,2,0),IF(B195="SINAPI",VLOOKUP(C195,#REF!,2,0),IF(B195="EDIF",VLOOKUP(C195,#REF!,2,0),IF(B195="CPOS",VLOOKUP(C195,#REF!,3,0),IF(B195="FDE",VLOOKUP(C195,#REF!,2,0),IF(B195="INFRA",VLOOKUP(C195,#REF!,2,0),""))))))),"")</f>
        <v/>
      </c>
      <c r="E195" s="1008" t="str">
        <f>IFERROR(UPPER(IF(B195="CPU",VLOOKUP(C195,#REF!,3,0),IF(B195="SINAPI",VLOOKUP(C195,#REF!,3,0),IF(B195="EDIF",VLOOKUP(C195,#REF!,3,0),IF(B195="CPOS",VLOOKUP(C195,#REF!,4,0),IF(B195="FDE",VLOOKUP(C195,#REF!,3,0),IF(B195="INFRA",VLOOKUP(C195,#REF!,3,0),""))))))),"")</f>
        <v/>
      </c>
      <c r="F195" s="1011">
        <f>F192+F191</f>
        <v>6013.84</v>
      </c>
      <c r="G195" s="985" t="str">
        <f>IFERROR(IF(B195="CPU",VLOOKUP(C195,#REF!,4,0),IF(B195="SINAPI",VLOOKUP(C195,#REF!,5,0),IF(B195="EDIF",VLOOKUP(C195,#REF!,4,0),IF(B195="CPOS",VLOOKUP(C195,#REF!,7,0),IF(B195="FDE",VLOOKUP(C195,#REF!,5,0),IF(B195="INFRA",VLOOKUP(C195,#REF!,4,0),""))))))*VLOOKUP(B195,#REF!,3,0),"")</f>
        <v/>
      </c>
      <c r="H195" s="986">
        <v>0.25</v>
      </c>
      <c r="I195" s="987" t="str">
        <f t="shared" si="10"/>
        <v/>
      </c>
      <c r="J195" s="988">
        <v>4360.0339999999997</v>
      </c>
      <c r="K195" s="52"/>
      <c r="L195" s="940"/>
    </row>
    <row r="196" spans="1:12" s="25" customFormat="1" ht="27" customHeight="1">
      <c r="A196" s="933"/>
      <c r="B196" s="933"/>
      <c r="C196" s="933"/>
      <c r="D196" s="1007"/>
      <c r="E196" s="1008"/>
      <c r="F196" s="1009"/>
      <c r="G196" s="985"/>
      <c r="H196" s="986"/>
      <c r="I196" s="987"/>
      <c r="J196" s="988"/>
      <c r="K196" s="52"/>
      <c r="L196" s="940"/>
    </row>
    <row r="197" spans="1:12" s="25" customFormat="1" ht="27" customHeight="1">
      <c r="A197" s="998">
        <v>8</v>
      </c>
      <c r="B197" s="999"/>
      <c r="C197" s="999"/>
      <c r="D197" s="1000" t="s">
        <v>295</v>
      </c>
      <c r="E197" s="967"/>
      <c r="F197" s="968"/>
      <c r="G197" s="969" t="str">
        <f>IFERROR(IF(B197="CPU",VLOOKUP(C197,#REF!,4,0),IF(B197="SINAPI",VLOOKUP(C197,#REF!,5,0),IF(B197="EDIF",VLOOKUP(C197,#REF!,4,0),IF(B197="CPOS",VLOOKUP(C197,#REF!,7,0),IF(B197="FDE",VLOOKUP(C197,#REF!,5,0),"")))))*VLOOKUP(B197,#REF!,3,0),"")</f>
        <v/>
      </c>
      <c r="H197" s="968"/>
      <c r="I197" s="1005">
        <f>SUM(I198:I204)</f>
        <v>0</v>
      </c>
      <c r="J197" s="988"/>
      <c r="K197" s="52"/>
      <c r="L197" s="940"/>
    </row>
    <row r="198" spans="1:12" s="25" customFormat="1" ht="27" customHeight="1">
      <c r="A198" s="933" t="s">
        <v>325</v>
      </c>
      <c r="B198" s="933" t="s">
        <v>1479</v>
      </c>
      <c r="C198" s="934" t="s">
        <v>5719</v>
      </c>
      <c r="D198" s="1007" t="str">
        <f>IFERROR(UPPER(IF(B198="CPU",VLOOKUP(C198,#REF!,2,0),IF(B198="SINAPI",VLOOKUP(C198,#REF!,2,0),IF(B198="EDIF",VLOOKUP(C198,#REF!,2,0),IF(B198="CPOS",VLOOKUP(C198,#REF!,3,0),IF(B198="FDE",VLOOKUP(C198,#REF!,2,0),IF(B198="INFRA",VLOOKUP(C198,#REF!,2,0),""))))))),"")</f>
        <v/>
      </c>
      <c r="E198" s="1008" t="str">
        <f>IFERROR(UPPER(IF(B198="CPU",VLOOKUP(C198,#REF!,3,0),IF(B198="SINAPI",VLOOKUP(C198,#REF!,3,0),IF(B198="EDIF",VLOOKUP(C198,#REF!,3,0),IF(B198="CPOS",VLOOKUP(C198,#REF!,4,0),IF(B198="FDE",VLOOKUP(C198,#REF!,3,0),IF(B198="INFRA",VLOOKUP(C198,#REF!,3,0),""))))))),"")</f>
        <v/>
      </c>
      <c r="F198" s="1009">
        <v>23485</v>
      </c>
      <c r="G198" s="985" t="str">
        <f>IFERROR(IF(B198="CPU",VLOOKUP(C198,#REF!,4,0),IF(B198="SINAPI",VLOOKUP(C198,#REF!,5,0),IF(B198="EDIF",VLOOKUP(C198,#REF!,4,0),IF(B198="CPOS",VLOOKUP(C198,#REF!,7,0),IF(B198="FDE",VLOOKUP(C198,#REF!,5,0),IF(B198="INFRA",VLOOKUP(C198,#REF!,4,0),""))))))*VLOOKUP(B198,#REF!,3,0),"")</f>
        <v/>
      </c>
      <c r="H198" s="986">
        <v>0.25</v>
      </c>
      <c r="I198" s="987" t="str">
        <f t="shared" ref="I198:I204" si="11">IFERROR(F198*((G198*(1+H198))),"")</f>
        <v/>
      </c>
      <c r="J198" s="988">
        <v>636737.0625</v>
      </c>
      <c r="K198" s="52"/>
      <c r="L198" s="940"/>
    </row>
    <row r="199" spans="1:12" s="25" customFormat="1" ht="27" customHeight="1">
      <c r="A199" s="933" t="s">
        <v>330</v>
      </c>
      <c r="B199" s="933" t="s">
        <v>4908</v>
      </c>
      <c r="C199" s="1014">
        <v>92580</v>
      </c>
      <c r="D199" s="1007" t="str">
        <f>IFERROR(UPPER(IF(B199="CPU",VLOOKUP(C199,#REF!,2,0),IF(B199="SINAPI",VLOOKUP(C199,#REF!,2,0),IF(B199="EDIF",VLOOKUP(C199,#REF!,2,0),IF(B199="CPOS",VLOOKUP(C199,#REF!,3,0),IF(B199="FDE",VLOOKUP(C199,#REF!,2,0),IF(B199="INFRA",VLOOKUP(C199,#REF!,2,0),""))))))),"")</f>
        <v/>
      </c>
      <c r="E199" s="1008" t="str">
        <f>IFERROR(UPPER(IF(B199="CPU",VLOOKUP(C199,#REF!,3,0),IF(B199="SINAPI",VLOOKUP(C199,#REF!,3,0),IF(B199="EDIF",VLOOKUP(C199,#REF!,3,0),IF(B199="CPOS",VLOOKUP(C199,#REF!,4,0),IF(B199="FDE",VLOOKUP(C199,#REF!,3,0),IF(B199="INFRA",VLOOKUP(C199,#REF!,3,0),""))))))),"")</f>
        <v/>
      </c>
      <c r="F199" s="1009">
        <v>2600</v>
      </c>
      <c r="G199" s="985" t="str">
        <f>IFERROR(IF(B199="CPU",VLOOKUP(C199,#REF!,4,0),IF(B199="SINAPI",VLOOKUP(C199,#REF!,5,0),IF(B199="EDIF",VLOOKUP(C199,#REF!,4,0),IF(B199="CPOS",VLOOKUP(C199,#REF!,7,0),IF(B199="FDE",VLOOKUP(C199,#REF!,5,0),IF(B199="INFRA",VLOOKUP(C199,#REF!,4,0),""))))))*VLOOKUP(B199,#REF!,3,0),"")</f>
        <v/>
      </c>
      <c r="H199" s="986">
        <v>0.25</v>
      </c>
      <c r="I199" s="987" t="str">
        <f t="shared" si="11"/>
        <v/>
      </c>
      <c r="J199" s="988">
        <v>115765</v>
      </c>
      <c r="K199" s="52"/>
      <c r="L199" s="940"/>
    </row>
    <row r="200" spans="1:12" s="25" customFormat="1" ht="27" customHeight="1">
      <c r="A200" s="933" t="s">
        <v>341</v>
      </c>
      <c r="B200" s="933" t="s">
        <v>4872</v>
      </c>
      <c r="C200" s="994">
        <v>60243</v>
      </c>
      <c r="D200" s="1007" t="str">
        <f>IFERROR(UPPER(IF(B200="CPU",VLOOKUP(C200,#REF!,2,0),IF(B200="SINAPI",VLOOKUP(C200,#REF!,2,0),IF(B200="EDIF",VLOOKUP(C200,#REF!,2,0),IF(B200="CPOS",VLOOKUP(C200,#REF!,3,0),IF(B200="FDE",VLOOKUP(C200,#REF!,2,0),IF(B200="INFRA",VLOOKUP(C200,#REF!,2,0),""))))))),"")</f>
        <v/>
      </c>
      <c r="E200" s="1008" t="str">
        <f>IFERROR(UPPER(IF(B200="CPU",VLOOKUP(C200,#REF!,3,0),IF(B200="SINAPI",VLOOKUP(C200,#REF!,3,0),IF(B200="EDIF",VLOOKUP(C200,#REF!,3,0),IF(B200="CPOS",VLOOKUP(C200,#REF!,4,0),IF(B200="FDE",VLOOKUP(C200,#REF!,3,0),IF(B200="INFRA",VLOOKUP(C200,#REF!,3,0),""))))))),"")</f>
        <v/>
      </c>
      <c r="F200" s="1009">
        <v>2600</v>
      </c>
      <c r="G200" s="985" t="str">
        <f>IFERROR(IF(B200="CPU",VLOOKUP(C200,#REF!,4,0),IF(B200="SINAPI",VLOOKUP(C200,#REF!,5,0),IF(B200="EDIF",VLOOKUP(C200,#REF!,4,0),IF(B200="CPOS",VLOOKUP(C200,#REF!,7,0),IF(B200="FDE",VLOOKUP(C200,#REF!,5,0),IF(B200="INFRA",VLOOKUP(C200,#REF!,4,0),""))))))*VLOOKUP(B200,#REF!,3,0),"")</f>
        <v/>
      </c>
      <c r="H200" s="986">
        <v>0.25</v>
      </c>
      <c r="I200" s="987" t="str">
        <f t="shared" si="11"/>
        <v/>
      </c>
      <c r="J200" s="988">
        <v>607880</v>
      </c>
      <c r="K200" s="52"/>
      <c r="L200" s="940"/>
    </row>
    <row r="201" spans="1:12" s="25" customFormat="1" ht="27" customHeight="1">
      <c r="A201" s="933" t="s">
        <v>364</v>
      </c>
      <c r="B201" s="933" t="s">
        <v>1479</v>
      </c>
      <c r="C201" s="934" t="s">
        <v>5720</v>
      </c>
      <c r="D201" s="1007" t="str">
        <f>IFERROR(UPPER(IF(B201="CPU",VLOOKUP(C201,#REF!,2,0),IF(B201="SINAPI",VLOOKUP(C201,#REF!,2,0),IF(B201="EDIF",VLOOKUP(C201,#REF!,2,0),IF(B201="CPOS",VLOOKUP(C201,#REF!,3,0),IF(B201="FDE",VLOOKUP(C201,#REF!,2,0),IF(B201="INFRA",VLOOKUP(C201,#REF!,2,0),""))))))),"")</f>
        <v/>
      </c>
      <c r="E201" s="1008" t="str">
        <f>IFERROR(UPPER(IF(B201="CPU",VLOOKUP(C201,#REF!,3,0),IF(B201="SINAPI",VLOOKUP(C201,#REF!,3,0),IF(B201="EDIF",VLOOKUP(C201,#REF!,3,0),IF(B201="CPOS",VLOOKUP(C201,#REF!,4,0),IF(B201="FDE",VLOOKUP(C201,#REF!,3,0),IF(B201="INFRA",VLOOKUP(C201,#REF!,3,0),""))))))),"")</f>
        <v/>
      </c>
      <c r="F201" s="1009">
        <v>76</v>
      </c>
      <c r="G201" s="985" t="str">
        <f>IFERROR(IF(B201="CPU",VLOOKUP(C201,#REF!,4,0),IF(B201="SINAPI",VLOOKUP(C201,#REF!,5,0),IF(B201="EDIF",VLOOKUP(C201,#REF!,4,0),IF(B201="CPOS",VLOOKUP(C201,#REF!,7,0),IF(B201="FDE",VLOOKUP(C201,#REF!,5,0),IF(B201="INFRA",VLOOKUP(C201,#REF!,4,0),""))))))*VLOOKUP(B201,#REF!,3,0),"")</f>
        <v/>
      </c>
      <c r="H201" s="986">
        <v>0.25</v>
      </c>
      <c r="I201" s="987" t="str">
        <f t="shared" si="11"/>
        <v/>
      </c>
      <c r="J201" s="988">
        <v>67413.899999999994</v>
      </c>
      <c r="K201" s="52"/>
      <c r="L201" s="940"/>
    </row>
    <row r="202" spans="1:12" s="25" customFormat="1" ht="27" customHeight="1">
      <c r="A202" s="933" t="s">
        <v>383</v>
      </c>
      <c r="B202" s="933" t="s">
        <v>4908</v>
      </c>
      <c r="C202" s="1014">
        <v>94231</v>
      </c>
      <c r="D202" s="1007" t="str">
        <f>IFERROR(UPPER(IF(B202="CPU",VLOOKUP(C202,#REF!,2,0),IF(B202="SINAPI",VLOOKUP(C202,#REF!,2,0),IF(B202="EDIF",VLOOKUP(C202,#REF!,2,0),IF(B202="CPOS",VLOOKUP(C202,#REF!,3,0),IF(B202="FDE",VLOOKUP(C202,#REF!,2,0),IF(B202="INFRA",VLOOKUP(C202,#REF!,2,0),""))))))),"")</f>
        <v/>
      </c>
      <c r="E202" s="1008" t="str">
        <f>IFERROR(UPPER(IF(B202="CPU",VLOOKUP(C202,#REF!,3,0),IF(B202="SINAPI",VLOOKUP(C202,#REF!,3,0),IF(B202="EDIF",VLOOKUP(C202,#REF!,3,0),IF(B202="CPOS",VLOOKUP(C202,#REF!,4,0),IF(B202="FDE",VLOOKUP(C202,#REF!,3,0),IF(B202="INFRA",VLOOKUP(C202,#REF!,3,0),""))))))),"")</f>
        <v/>
      </c>
      <c r="F202" s="1009">
        <v>795.6</v>
      </c>
      <c r="G202" s="985" t="str">
        <f>IFERROR(IF(B202="CPU",VLOOKUP(C202,#REF!,4,0),IF(B202="SINAPI",VLOOKUP(C202,#REF!,5,0),IF(B202="EDIF",VLOOKUP(C202,#REF!,4,0),IF(B202="CPOS",VLOOKUP(C202,#REF!,7,0),IF(B202="FDE",VLOOKUP(C202,#REF!,5,0),IF(B202="INFRA",VLOOKUP(C202,#REF!,4,0),""))))))*VLOOKUP(B202,#REF!,3,0),"")</f>
        <v/>
      </c>
      <c r="H202" s="986">
        <v>0.25</v>
      </c>
      <c r="I202" s="987" t="str">
        <f t="shared" si="11"/>
        <v/>
      </c>
      <c r="J202" s="988">
        <v>31267.08</v>
      </c>
      <c r="K202" s="52"/>
      <c r="L202" s="940"/>
    </row>
    <row r="203" spans="1:12" s="25" customFormat="1" ht="27" customHeight="1">
      <c r="A203" s="933" t="s">
        <v>392</v>
      </c>
      <c r="B203" s="933" t="s">
        <v>4908</v>
      </c>
      <c r="C203" s="1014">
        <v>94229</v>
      </c>
      <c r="D203" s="1007" t="str">
        <f>IFERROR(UPPER(IF(B203="CPU",VLOOKUP(C203,#REF!,2,0),IF(B203="SINAPI",VLOOKUP(C203,#REF!,2,0),IF(B203="EDIF",VLOOKUP(C203,#REF!,2,0),IF(B203="CPOS",VLOOKUP(C203,#REF!,3,0),IF(B203="FDE",VLOOKUP(C203,#REF!,2,0),IF(B203="INFRA",VLOOKUP(C203,#REF!,2,0),""))))))),"")</f>
        <v/>
      </c>
      <c r="E203" s="1008" t="str">
        <f>IFERROR(UPPER(IF(B203="CPU",VLOOKUP(C203,#REF!,3,0),IF(B203="SINAPI",VLOOKUP(C203,#REF!,3,0),IF(B203="EDIF",VLOOKUP(C203,#REF!,3,0),IF(B203="CPOS",VLOOKUP(C203,#REF!,4,0),IF(B203="FDE",VLOOKUP(C203,#REF!,3,0),IF(B203="INFRA",VLOOKUP(C203,#REF!,3,0),""))))))),"")</f>
        <v/>
      </c>
      <c r="F203" s="1009">
        <v>648</v>
      </c>
      <c r="G203" s="985" t="str">
        <f>IFERROR(IF(B203="CPU",VLOOKUP(C203,#REF!,4,0),IF(B203="SINAPI",VLOOKUP(C203,#REF!,5,0),IF(B203="EDIF",VLOOKUP(C203,#REF!,4,0),IF(B203="CPOS",VLOOKUP(C203,#REF!,7,0),IF(B203="FDE",VLOOKUP(C203,#REF!,5,0),IF(B203="INFRA",VLOOKUP(C203,#REF!,4,0),""))))))*VLOOKUP(B203,#REF!,3,0),"")</f>
        <v/>
      </c>
      <c r="H203" s="986">
        <v>0.25</v>
      </c>
      <c r="I203" s="987" t="str">
        <f t="shared" si="11"/>
        <v/>
      </c>
      <c r="J203" s="988">
        <v>95158.8</v>
      </c>
      <c r="K203" s="52"/>
      <c r="L203" s="940"/>
    </row>
    <row r="204" spans="1:12" s="25" customFormat="1" ht="27" customHeight="1">
      <c r="A204" s="933" t="s">
        <v>417</v>
      </c>
      <c r="B204" s="933" t="s">
        <v>4908</v>
      </c>
      <c r="C204" s="1010" t="s">
        <v>5721</v>
      </c>
      <c r="D204" s="1007" t="str">
        <f>IFERROR(UPPER(IF(B204="CPU",VLOOKUP(C204,#REF!,2,0),IF(B204="SINAPI",VLOOKUP(C204,#REF!,2,0),IF(B204="EDIF",VLOOKUP(C204,#REF!,2,0),IF(B204="CPOS",VLOOKUP(C204,#REF!,3,0),IF(B204="FDE",VLOOKUP(C204,#REF!,2,0),IF(B204="INFRA",VLOOKUP(C204,#REF!,2,0),""))))))),"")</f>
        <v/>
      </c>
      <c r="E204" s="1008" t="str">
        <f>IFERROR(UPPER(IF(B204="CPU",VLOOKUP(C204,#REF!,3,0),IF(B204="SINAPI",VLOOKUP(C204,#REF!,3,0),IF(B204="EDIF",VLOOKUP(C204,#REF!,3,0),IF(B204="CPOS",VLOOKUP(C204,#REF!,4,0),IF(B204="FDE",VLOOKUP(C204,#REF!,3,0),IF(B204="INFRA",VLOOKUP(C204,#REF!,3,0),""))))))),"")</f>
        <v/>
      </c>
      <c r="F204" s="1009">
        <v>3976.23</v>
      </c>
      <c r="G204" s="985" t="str">
        <f>IFERROR(IF(B204="CPU",VLOOKUP(C204,#REF!,4,0),IF(B204="SINAPI",VLOOKUP(C204,#REF!,5,0),IF(B204="EDIF",VLOOKUP(C204,#REF!,4,0),IF(B204="CPOS",VLOOKUP(C204,#REF!,7,0),IF(B204="FDE",VLOOKUP(C204,#REF!,5,0),IF(B204="INFRA",VLOOKUP(C204,#REF!,4,0),""))))))*VLOOKUP(B204,#REF!,3,0),"")</f>
        <v/>
      </c>
      <c r="H204" s="986">
        <v>0.25</v>
      </c>
      <c r="I204" s="987" t="str">
        <f t="shared" si="11"/>
        <v/>
      </c>
      <c r="J204" s="988">
        <v>107855.23875</v>
      </c>
      <c r="K204" s="52"/>
      <c r="L204" s="940"/>
    </row>
    <row r="205" spans="1:12" s="25" customFormat="1" ht="27" customHeight="1">
      <c r="A205" s="933"/>
      <c r="B205" s="933"/>
      <c r="C205" s="934"/>
      <c r="D205" s="984"/>
      <c r="E205" s="78"/>
      <c r="F205" s="936"/>
      <c r="G205" s="985"/>
      <c r="H205" s="986"/>
      <c r="I205" s="987"/>
      <c r="J205" s="988"/>
      <c r="K205" s="52"/>
      <c r="L205" s="940"/>
    </row>
    <row r="206" spans="1:12" s="25" customFormat="1" ht="27" customHeight="1">
      <c r="A206" s="998">
        <v>9</v>
      </c>
      <c r="B206" s="999"/>
      <c r="C206" s="999"/>
      <c r="D206" s="1000" t="s">
        <v>1771</v>
      </c>
      <c r="E206" s="967"/>
      <c r="F206" s="968"/>
      <c r="G206" s="969" t="str">
        <f>IFERROR(IF(B206="CPU",VLOOKUP(C206,#REF!,4,0),IF(B206="SINAPI",VLOOKUP(C206,#REF!,5,0),IF(B206="EDIF",VLOOKUP(C206,#REF!,4,0),IF(B206="CPOS",VLOOKUP(C206,#REF!,7,0),IF(B206="FDE",VLOOKUP(C206,#REF!,5,0),"")))))*VLOOKUP(B206,#REF!,3,0),"")</f>
        <v/>
      </c>
      <c r="H206" s="968"/>
      <c r="I206" s="1005">
        <f>SUM(I207:I213)</f>
        <v>0</v>
      </c>
      <c r="J206" s="988"/>
      <c r="K206" s="52"/>
      <c r="L206" s="940"/>
    </row>
    <row r="207" spans="1:12" s="25" customFormat="1" ht="27" customHeight="1">
      <c r="A207" s="933" t="s">
        <v>576</v>
      </c>
      <c r="B207" s="933" t="s">
        <v>4872</v>
      </c>
      <c r="C207" s="1012">
        <v>50140</v>
      </c>
      <c r="D207" s="984" t="str">
        <f>IFERROR(UPPER(IF(B207="CPU",VLOOKUP(C207,#REF!,2,0),IF(B207="SINAPI",VLOOKUP(C207,#REF!,2,0),IF(B207="EDIF",VLOOKUP(C207,#REF!,2,0),IF(B207="CPOS",VLOOKUP(C207,#REF!,3,0),IF(B207="FDE",VLOOKUP(C207,#REF!,2,0),IF(B207="INFRA",VLOOKUP(C207,#REF!,2,0),""))))))),"")</f>
        <v/>
      </c>
      <c r="E207" s="78" t="str">
        <f>IFERROR(UPPER(IF(B207="CPU",VLOOKUP(C207,#REF!,3,0),IF(B207="SINAPI",VLOOKUP(C207,#REF!,3,0),IF(B207="EDIF",VLOOKUP(C207,#REF!,3,0),IF(B207="CPOS",VLOOKUP(C207,#REF!,4,0),IF(B207="FDE",VLOOKUP(C207,#REF!,3,0),IF(B207="INFRA",VLOOKUP(C207,#REF!,3,0),""))))))),"")</f>
        <v/>
      </c>
      <c r="F207" s="936">
        <v>108.28</v>
      </c>
      <c r="G207" s="985" t="str">
        <f>IFERROR(IF(B207="CPU",VLOOKUP(C207,#REF!,4,0),IF(B207="SINAPI",VLOOKUP(C207,#REF!,5,0),IF(B207="EDIF",VLOOKUP(C207,#REF!,4,0),IF(B207="CPOS",VLOOKUP(C207,#REF!,7,0),IF(B207="FDE",VLOOKUP(C207,#REF!,5,0),IF(B207="INFRA",VLOOKUP(C207,#REF!,4,0),""))))))*VLOOKUP(B207,#REF!,3,0),"")</f>
        <v/>
      </c>
      <c r="H207" s="986">
        <v>0.25</v>
      </c>
      <c r="I207" s="987" t="str">
        <f t="shared" ref="I207:I213" si="12">IFERROR(F207*((G207*(1+H207))),"")</f>
        <v/>
      </c>
      <c r="J207" s="988">
        <v>4347.442</v>
      </c>
      <c r="K207" s="52"/>
      <c r="L207" s="940"/>
    </row>
    <row r="208" spans="1:12" s="25" customFormat="1" ht="27" customHeight="1">
      <c r="A208" s="933" t="s">
        <v>593</v>
      </c>
      <c r="B208" s="933" t="s">
        <v>4908</v>
      </c>
      <c r="C208" s="1010">
        <v>98546</v>
      </c>
      <c r="D208" s="984" t="str">
        <f>IFERROR(UPPER(IF(B208="CPU",VLOOKUP(C208,#REF!,2,0),IF(B208="SINAPI",VLOOKUP(C208,#REF!,2,0),IF(B208="EDIF",VLOOKUP(C208,#REF!,2,0),IF(B208="CPOS",VLOOKUP(C208,#REF!,3,0),IF(B208="FDE",VLOOKUP(C208,#REF!,2,0),IF(B208="INFRA",VLOOKUP(C208,#REF!,2,0),""))))))),"")</f>
        <v/>
      </c>
      <c r="E208" s="78" t="str">
        <f>IFERROR(UPPER(IF(B208="CPU",VLOOKUP(C208,#REF!,3,0),IF(B208="SINAPI",VLOOKUP(C208,#REF!,3,0),IF(B208="EDIF",VLOOKUP(C208,#REF!,3,0),IF(B208="CPOS",VLOOKUP(C208,#REF!,4,0),IF(B208="FDE",VLOOKUP(C208,#REF!,3,0),IF(B208="INFRA",VLOOKUP(C208,#REF!,3,0),""))))))),"")</f>
        <v/>
      </c>
      <c r="F208" s="936">
        <v>108.28</v>
      </c>
      <c r="G208" s="985" t="str">
        <f>IFERROR(IF(B208="CPU",VLOOKUP(C208,#REF!,4,0),IF(B208="SINAPI",VLOOKUP(C208,#REF!,5,0),IF(B208="EDIF",VLOOKUP(C208,#REF!,4,0),IF(B208="CPOS",VLOOKUP(C208,#REF!,7,0),IF(B208="FDE",VLOOKUP(C208,#REF!,5,0),IF(B208="INFRA",VLOOKUP(C208,#REF!,4,0),""))))))*VLOOKUP(B208,#REF!,3,0),"")</f>
        <v/>
      </c>
      <c r="H208" s="986">
        <v>0.25</v>
      </c>
      <c r="I208" s="987" t="str">
        <f t="shared" si="12"/>
        <v/>
      </c>
      <c r="J208" s="988">
        <v>9780.3909999999996</v>
      </c>
      <c r="K208" s="52"/>
      <c r="L208" s="940"/>
    </row>
    <row r="209" spans="1:12" s="25" customFormat="1" ht="27" customHeight="1">
      <c r="A209" s="933" t="s">
        <v>612</v>
      </c>
      <c r="B209" s="933" t="s">
        <v>4908</v>
      </c>
      <c r="C209" s="1010">
        <v>98565</v>
      </c>
      <c r="D209" s="984" t="str">
        <f>IFERROR(UPPER(IF(B209="CPU",VLOOKUP(C209,#REF!,2,0),IF(B209="SINAPI",VLOOKUP(C209,#REF!,2,0),IF(B209="EDIF",VLOOKUP(C209,#REF!,2,0),IF(B209="CPOS",VLOOKUP(C209,#REF!,3,0),IF(B209="FDE",VLOOKUP(C209,#REF!,2,0),IF(B209="INFRA",VLOOKUP(C209,#REF!,2,0),""))))))),"")</f>
        <v/>
      </c>
      <c r="E209" s="78" t="str">
        <f>IFERROR(UPPER(IF(B209="CPU",VLOOKUP(C209,#REF!,3,0),IF(B209="SINAPI",VLOOKUP(C209,#REF!,3,0),IF(B209="EDIF",VLOOKUP(C209,#REF!,3,0),IF(B209="CPOS",VLOOKUP(C209,#REF!,4,0),IF(B209="FDE",VLOOKUP(C209,#REF!,3,0),IF(B209="INFRA",VLOOKUP(C209,#REF!,3,0),""))))))),"")</f>
        <v/>
      </c>
      <c r="F209" s="936">
        <v>108.28</v>
      </c>
      <c r="G209" s="985" t="str">
        <f>IFERROR(IF(B209="CPU",VLOOKUP(C209,#REF!,4,0),IF(B209="SINAPI",VLOOKUP(C209,#REF!,5,0),IF(B209="EDIF",VLOOKUP(C209,#REF!,4,0),IF(B209="CPOS",VLOOKUP(C209,#REF!,7,0),IF(B209="FDE",VLOOKUP(C209,#REF!,5,0),IF(B209="INFRA",VLOOKUP(C209,#REF!,4,0),""))))))*VLOOKUP(B209,#REF!,3,0),"")</f>
        <v/>
      </c>
      <c r="H209" s="986">
        <v>0.25</v>
      </c>
      <c r="I209" s="987" t="str">
        <f t="shared" si="12"/>
        <v/>
      </c>
      <c r="J209" s="988">
        <v>5090.5135</v>
      </c>
      <c r="K209" s="52"/>
      <c r="L209" s="940"/>
    </row>
    <row r="210" spans="1:12" s="25" customFormat="1" ht="27" customHeight="1">
      <c r="A210" s="933" t="s">
        <v>631</v>
      </c>
      <c r="B210" s="933" t="s">
        <v>4908</v>
      </c>
      <c r="C210" s="1010">
        <v>98555</v>
      </c>
      <c r="D210" s="984" t="str">
        <f>IFERROR(UPPER(IF(B210="CPU",VLOOKUP(C210,#REF!,2,0),IF(B210="SINAPI",VLOOKUP(C210,#REF!,2,0),IF(B210="EDIF",VLOOKUP(C210,#REF!,2,0),IF(B210="CPOS",VLOOKUP(C210,#REF!,3,0),IF(B210="FDE",VLOOKUP(C210,#REF!,2,0),IF(B210="INFRA",VLOOKUP(C210,#REF!,2,0),""))))))),"")</f>
        <v/>
      </c>
      <c r="E210" s="78" t="str">
        <f>IFERROR(UPPER(IF(B210="CPU",VLOOKUP(C210,#REF!,3,0),IF(B210="SINAPI",VLOOKUP(C210,#REF!,3,0),IF(B210="EDIF",VLOOKUP(C210,#REF!,3,0),IF(B210="CPOS",VLOOKUP(C210,#REF!,4,0),IF(B210="FDE",VLOOKUP(C210,#REF!,3,0),IF(B210="INFRA",VLOOKUP(C210,#REF!,3,0),""))))))),"")</f>
        <v/>
      </c>
      <c r="F210" s="936">
        <v>1470.7</v>
      </c>
      <c r="G210" s="985" t="str">
        <f>IFERROR(IF(B210="CPU",VLOOKUP(C210,#REF!,4,0),IF(B210="SINAPI",VLOOKUP(C210,#REF!,5,0),IF(B210="EDIF",VLOOKUP(C210,#REF!,4,0),IF(B210="CPOS",VLOOKUP(C210,#REF!,7,0),IF(B210="FDE",VLOOKUP(C210,#REF!,5,0),IF(B210="INFRA",VLOOKUP(C210,#REF!,4,0),""))))))*VLOOKUP(B210,#REF!,3,0),"")</f>
        <v/>
      </c>
      <c r="H210" s="986">
        <v>0.25</v>
      </c>
      <c r="I210" s="987" t="str">
        <f t="shared" si="12"/>
        <v/>
      </c>
      <c r="J210" s="988">
        <v>59544.966249999998</v>
      </c>
      <c r="K210" s="52"/>
      <c r="L210" s="940"/>
    </row>
    <row r="211" spans="1:12" s="25" customFormat="1" ht="27" customHeight="1">
      <c r="A211" s="933" t="s">
        <v>678</v>
      </c>
      <c r="B211" s="933" t="s">
        <v>4908</v>
      </c>
      <c r="C211" s="1010">
        <v>98556</v>
      </c>
      <c r="D211" s="984" t="str">
        <f>IFERROR(UPPER(IF(B211="CPU",VLOOKUP(C211,#REF!,2,0),IF(B211="SINAPI",VLOOKUP(C211,#REF!,2,0),IF(B211="EDIF",VLOOKUP(C211,#REF!,2,0),IF(B211="CPOS",VLOOKUP(C211,#REF!,3,0),IF(B211="FDE",VLOOKUP(C211,#REF!,2,0),IF(B211="INFRA",VLOOKUP(C211,#REF!,2,0),""))))))),"")</f>
        <v/>
      </c>
      <c r="E211" s="78" t="str">
        <f>IFERROR(UPPER(IF(B211="CPU",VLOOKUP(C211,#REF!,3,0),IF(B211="SINAPI",VLOOKUP(C211,#REF!,3,0),IF(B211="EDIF",VLOOKUP(C211,#REF!,3,0),IF(B211="CPOS",VLOOKUP(C211,#REF!,4,0),IF(B211="FDE",VLOOKUP(C211,#REF!,3,0),IF(B211="INFRA",VLOOKUP(C211,#REF!,3,0),""))))))),"")</f>
        <v/>
      </c>
      <c r="F211" s="936">
        <v>1712.86</v>
      </c>
      <c r="G211" s="985" t="str">
        <f>IFERROR(IF(B211="CPU",VLOOKUP(C211,#REF!,4,0),IF(B211="SINAPI",VLOOKUP(C211,#REF!,5,0),IF(B211="EDIF",VLOOKUP(C211,#REF!,4,0),IF(B211="CPOS",VLOOKUP(C211,#REF!,7,0),IF(B211="FDE",VLOOKUP(C211,#REF!,5,0),IF(B211="INFRA",VLOOKUP(C211,#REF!,4,0),""))))))*VLOOKUP(B211,#REF!,3,0),"")</f>
        <v/>
      </c>
      <c r="H211" s="986">
        <v>0.25</v>
      </c>
      <c r="I211" s="987" t="str">
        <f t="shared" si="12"/>
        <v/>
      </c>
      <c r="J211" s="988">
        <v>114440.45875000001</v>
      </c>
      <c r="K211" s="52"/>
      <c r="L211" s="940"/>
    </row>
    <row r="212" spans="1:12" s="25" customFormat="1" ht="27" customHeight="1">
      <c r="A212" s="933" t="s">
        <v>693</v>
      </c>
      <c r="B212" s="933" t="s">
        <v>4908</v>
      </c>
      <c r="C212" s="1010">
        <v>98558</v>
      </c>
      <c r="D212" s="984" t="str">
        <f>IFERROR(UPPER(IF(B212="CPU",VLOOKUP(C212,#REF!,2,0),IF(B212="SINAPI",VLOOKUP(C212,#REF!,2,0),IF(B212="EDIF",VLOOKUP(C212,#REF!,2,0),IF(B212="CPOS",VLOOKUP(C212,#REF!,3,0),IF(B212="FDE",VLOOKUP(C212,#REF!,2,0),IF(B212="INFRA",VLOOKUP(C212,#REF!,2,0),""))))))),"")</f>
        <v/>
      </c>
      <c r="E212" s="78" t="str">
        <f>IFERROR(UPPER(IF(B212="CPU",VLOOKUP(C212,#REF!,3,0),IF(B212="SINAPI",VLOOKUP(C212,#REF!,3,0),IF(B212="EDIF",VLOOKUP(C212,#REF!,3,0),IF(B212="CPOS",VLOOKUP(C212,#REF!,4,0),IF(B212="FDE",VLOOKUP(C212,#REF!,3,0),IF(B212="INFRA",VLOOKUP(C212,#REF!,3,0),""))))))),"")</f>
        <v/>
      </c>
      <c r="F212" s="936">
        <v>85</v>
      </c>
      <c r="G212" s="985" t="str">
        <f>IFERROR(IF(B212="CPU",VLOOKUP(C212,#REF!,4,0),IF(B212="SINAPI",VLOOKUP(C212,#REF!,5,0),IF(B212="EDIF",VLOOKUP(C212,#REF!,4,0),IF(B212="CPOS",VLOOKUP(C212,#REF!,7,0),IF(B212="FDE",VLOOKUP(C212,#REF!,5,0),IF(B212="INFRA",VLOOKUP(C212,#REF!,4,0),""))))))*VLOOKUP(B212,#REF!,3,0),"")</f>
        <v/>
      </c>
      <c r="H212" s="986">
        <v>0.25</v>
      </c>
      <c r="I212" s="987" t="str">
        <f t="shared" si="12"/>
        <v/>
      </c>
      <c r="J212" s="988">
        <v>863.8125</v>
      </c>
      <c r="K212" s="52"/>
      <c r="L212" s="940"/>
    </row>
    <row r="213" spans="1:12" s="25" customFormat="1" ht="27" customHeight="1">
      <c r="A213" s="933" t="s">
        <v>708</v>
      </c>
      <c r="B213" s="933" t="s">
        <v>4908</v>
      </c>
      <c r="C213" s="1010">
        <v>98559</v>
      </c>
      <c r="D213" s="984" t="str">
        <f>IFERROR(UPPER(IF(B213="CPU",VLOOKUP(C213,#REF!,2,0),IF(B213="SINAPI",VLOOKUP(C213,#REF!,2,0),IF(B213="EDIF",VLOOKUP(C213,#REF!,2,0),IF(B213="CPOS",VLOOKUP(C213,#REF!,3,0),IF(B213="FDE",VLOOKUP(C213,#REF!,2,0),IF(B213="INFRA",VLOOKUP(C213,#REF!,2,0),""))))))),"")</f>
        <v/>
      </c>
      <c r="E213" s="78" t="str">
        <f>IFERROR(UPPER(IF(B213="CPU",VLOOKUP(C213,#REF!,3,0),IF(B213="SINAPI",VLOOKUP(C213,#REF!,3,0),IF(B213="EDIF",VLOOKUP(C213,#REF!,3,0),IF(B213="CPOS",VLOOKUP(C213,#REF!,4,0),IF(B213="FDE",VLOOKUP(C213,#REF!,3,0),IF(B213="INFRA",VLOOKUP(C213,#REF!,3,0),""))))))),"")</f>
        <v/>
      </c>
      <c r="F213" s="936">
        <v>456.6</v>
      </c>
      <c r="G213" s="985" t="str">
        <f>IFERROR(IF(B213="CPU",VLOOKUP(C213,#REF!,4,0),IF(B213="SINAPI",VLOOKUP(C213,#REF!,5,0),IF(B213="EDIF",VLOOKUP(C213,#REF!,4,0),IF(B213="CPOS",VLOOKUP(C213,#REF!,7,0),IF(B213="FDE",VLOOKUP(C213,#REF!,5,0),IF(B213="INFRA",VLOOKUP(C213,#REF!,4,0),""))))))*VLOOKUP(B213,#REF!,3,0),"")</f>
        <v/>
      </c>
      <c r="H213" s="986">
        <v>0.25</v>
      </c>
      <c r="I213" s="987" t="str">
        <f t="shared" si="12"/>
        <v/>
      </c>
      <c r="J213" s="988">
        <v>1906.3050000000001</v>
      </c>
      <c r="K213" s="52"/>
      <c r="L213" s="940"/>
    </row>
    <row r="214" spans="1:12" s="25" customFormat="1" ht="27" customHeight="1">
      <c r="A214" s="933"/>
      <c r="B214" s="933"/>
      <c r="C214" s="933"/>
      <c r="D214" s="984"/>
      <c r="E214" s="78"/>
      <c r="F214" s="936"/>
      <c r="G214" s="985"/>
      <c r="H214" s="986"/>
      <c r="I214" s="987"/>
      <c r="J214" s="988"/>
      <c r="K214" s="52"/>
      <c r="L214" s="940"/>
    </row>
    <row r="215" spans="1:12" s="25" customFormat="1" ht="27" customHeight="1">
      <c r="A215" s="998">
        <v>10</v>
      </c>
      <c r="B215" s="999"/>
      <c r="C215" s="999"/>
      <c r="D215" s="1000" t="s">
        <v>802</v>
      </c>
      <c r="E215" s="967"/>
      <c r="F215" s="968"/>
      <c r="G215" s="969" t="str">
        <f>IFERROR(IF(B215="CPU",VLOOKUP(C215,#REF!,4,0),IF(B215="SINAPI",VLOOKUP(C215,#REF!,5,0),IF(B215="EDIF",VLOOKUP(C215,#REF!,4,0),IF(B215="CPOS",VLOOKUP(C215,#REF!,7,0),IF(B215="FDE",VLOOKUP(C215,#REF!,5,0),"")))))*VLOOKUP(B215,#REF!,3,0),"")</f>
        <v/>
      </c>
      <c r="H215" s="968"/>
      <c r="I215" s="1005">
        <f>SUM(I216:I221)</f>
        <v>0</v>
      </c>
      <c r="J215" s="988"/>
      <c r="K215" s="52"/>
      <c r="L215" s="940"/>
    </row>
    <row r="216" spans="1:12" s="25" customFormat="1" ht="27" customHeight="1">
      <c r="A216" s="933" t="s">
        <v>803</v>
      </c>
      <c r="B216" s="933" t="s">
        <v>1479</v>
      </c>
      <c r="C216" s="1012" t="s">
        <v>5722</v>
      </c>
      <c r="D216" s="984" t="str">
        <f>IFERROR(UPPER(IF(B216="CPU",VLOOKUP(C216,#REF!,2,0),IF(B216="SINAPI",VLOOKUP(C216,#REF!,2,0),IF(B216="EDIF",VLOOKUP(C216,#REF!,2,0),IF(B216="CPOS",VLOOKUP(C216,#REF!,3,0),IF(B216="FDE",VLOOKUP(C216,#REF!,2,0),IF(B216="INFRA",VLOOKUP(C216,#REF!,2,0),""))))))),"")</f>
        <v/>
      </c>
      <c r="E216" s="78" t="str">
        <f>IFERROR(UPPER(IF(B216="CPU",VLOOKUP(C216,#REF!,3,0),IF(B216="SINAPI",VLOOKUP(C216,#REF!,3,0),IF(B216="EDIF",VLOOKUP(C216,#REF!,3,0),IF(B216="CPOS",VLOOKUP(C216,#REF!,4,0),IF(B216="FDE",VLOOKUP(C216,#REF!,3,0),IF(B216="INFRA",VLOOKUP(C216,#REF!,3,0),""))))))),"")</f>
        <v/>
      </c>
      <c r="F216" s="936">
        <v>3272.29</v>
      </c>
      <c r="G216" s="985" t="str">
        <f>IFERROR(IF(B216="CPU",VLOOKUP(C216,#REF!,4,0),IF(B216="SINAPI",VLOOKUP(C216,#REF!,5,0),IF(B216="EDIF",VLOOKUP(C216,#REF!,4,0),IF(B216="CPOS",VLOOKUP(C216,#REF!,7,0),IF(B216="FDE",VLOOKUP(C216,#REF!,5,0),IF(B216="INFRA",VLOOKUP(C216,#REF!,4,0),""))))))*VLOOKUP(B216,#REF!,3,0),"")</f>
        <v/>
      </c>
      <c r="H216" s="986">
        <v>0.25</v>
      </c>
      <c r="I216" s="987" t="str">
        <f t="shared" ref="I216:I221" si="13">IFERROR(F216*((G216*(1+H216))),"")</f>
        <v/>
      </c>
      <c r="J216" s="988">
        <v>307022.60924999998</v>
      </c>
      <c r="K216" s="52"/>
      <c r="L216" s="940"/>
    </row>
    <row r="217" spans="1:12" s="25" customFormat="1" ht="27" customHeight="1">
      <c r="A217" s="933" t="s">
        <v>1491</v>
      </c>
      <c r="B217" s="933" t="s">
        <v>1479</v>
      </c>
      <c r="C217" s="1012" t="s">
        <v>5723</v>
      </c>
      <c r="D217" s="984" t="str">
        <f>IFERROR(UPPER(IF(B217="CPU",VLOOKUP(C217,#REF!,2,0),IF(B217="SINAPI",VLOOKUP(C217,#REF!,2,0),IF(B217="EDIF",VLOOKUP(C217,#REF!,2,0),IF(B217="CPOS",VLOOKUP(C217,#REF!,3,0),IF(B217="FDE",VLOOKUP(C217,#REF!,2,0),IF(B217="INFRA",VLOOKUP(C217,#REF!,2,0),""))))))),"")</f>
        <v/>
      </c>
      <c r="E217" s="78" t="str">
        <f>IFERROR(UPPER(IF(B217="CPU",VLOOKUP(C217,#REF!,3,0),IF(B217="SINAPI",VLOOKUP(C217,#REF!,3,0),IF(B217="EDIF",VLOOKUP(C217,#REF!,3,0),IF(B217="CPOS",VLOOKUP(C217,#REF!,4,0),IF(B217="FDE",VLOOKUP(C217,#REF!,3,0),IF(B217="INFRA",VLOOKUP(C217,#REF!,3,0),""))))))),"")</f>
        <v/>
      </c>
      <c r="F217" s="936">
        <v>2788.31</v>
      </c>
      <c r="G217" s="985" t="str">
        <f>IFERROR(IF(B217="CPU",VLOOKUP(C217,#REF!,4,0),IF(B217="SINAPI",VLOOKUP(C217,#REF!,5,0),IF(B217="EDIF",VLOOKUP(C217,#REF!,4,0),IF(B217="CPOS",VLOOKUP(C217,#REF!,7,0),IF(B217="FDE",VLOOKUP(C217,#REF!,5,0),IF(B217="INFRA",VLOOKUP(C217,#REF!,4,0),""))))))*VLOOKUP(B217,#REF!,3,0),"")</f>
        <v/>
      </c>
      <c r="H217" s="986">
        <v>0.25</v>
      </c>
      <c r="I217" s="987" t="str">
        <f t="shared" si="13"/>
        <v/>
      </c>
      <c r="J217" s="988">
        <v>332784.79849999998</v>
      </c>
      <c r="K217" s="52"/>
      <c r="L217" s="940"/>
    </row>
    <row r="218" spans="1:12" s="25" customFormat="1" ht="27" customHeight="1">
      <c r="A218" s="933" t="s">
        <v>1494</v>
      </c>
      <c r="B218" s="933" t="s">
        <v>1479</v>
      </c>
      <c r="C218" s="1012" t="s">
        <v>5724</v>
      </c>
      <c r="D218" s="984" t="str">
        <f>IFERROR(UPPER(IF(B218="CPU",VLOOKUP(C218,#REF!,2,0),IF(B218="SINAPI",VLOOKUP(C218,#REF!,2,0),IF(B218="EDIF",VLOOKUP(C218,#REF!,2,0),IF(B218="CPOS",VLOOKUP(C218,#REF!,3,0),IF(B218="FDE",VLOOKUP(C218,#REF!,2,0),IF(B218="INFRA",VLOOKUP(C218,#REF!,2,0),""))))))),"")</f>
        <v/>
      </c>
      <c r="E218" s="78" t="str">
        <f>IFERROR(UPPER(IF(B218="CPU",VLOOKUP(C218,#REF!,3,0),IF(B218="SINAPI",VLOOKUP(C218,#REF!,3,0),IF(B218="EDIF",VLOOKUP(C218,#REF!,3,0),IF(B218="CPOS",VLOOKUP(C218,#REF!,4,0),IF(B218="FDE",VLOOKUP(C218,#REF!,3,0),IF(B218="INFRA",VLOOKUP(C218,#REF!,3,0),""))))))),"")</f>
        <v/>
      </c>
      <c r="F218" s="936">
        <v>733</v>
      </c>
      <c r="G218" s="985" t="str">
        <f>IFERROR(IF(B218="CPU",VLOOKUP(C218,#REF!,4,0),IF(B218="SINAPI",VLOOKUP(C218,#REF!,5,0),IF(B218="EDIF",VLOOKUP(C218,#REF!,4,0),IF(B218="CPOS",VLOOKUP(C218,#REF!,7,0),IF(B218="FDE",VLOOKUP(C218,#REF!,5,0),IF(B218="INFRA",VLOOKUP(C218,#REF!,4,0),""))))))*VLOOKUP(B218,#REF!,3,0),"")</f>
        <v/>
      </c>
      <c r="H218" s="986">
        <v>0.25</v>
      </c>
      <c r="I218" s="987" t="str">
        <f t="shared" si="13"/>
        <v/>
      </c>
      <c r="J218" s="988">
        <v>11865.4375</v>
      </c>
      <c r="K218" s="52"/>
      <c r="L218" s="940"/>
    </row>
    <row r="219" spans="1:12" s="25" customFormat="1" ht="27" customHeight="1">
      <c r="A219" s="933" t="s">
        <v>5725</v>
      </c>
      <c r="B219" s="933" t="s">
        <v>1479</v>
      </c>
      <c r="C219" s="1012" t="s">
        <v>5726</v>
      </c>
      <c r="D219" s="984" t="str">
        <f>IFERROR(UPPER(IF(B219="CPU",VLOOKUP(C219,#REF!,2,0),IF(B219="SINAPI",VLOOKUP(C219,#REF!,2,0),IF(B219="EDIF",VLOOKUP(C219,#REF!,2,0),IF(B219="CPOS",VLOOKUP(C219,#REF!,3,0),IF(B219="FDE",VLOOKUP(C219,#REF!,2,0),IF(B219="INFRA",VLOOKUP(C219,#REF!,2,0),""))))))),"")</f>
        <v/>
      </c>
      <c r="E219" s="78" t="str">
        <f>IFERROR(UPPER(IF(B219="CPU",VLOOKUP(C219,#REF!,3,0),IF(B219="SINAPI",VLOOKUP(C219,#REF!,3,0),IF(B219="EDIF",VLOOKUP(C219,#REF!,3,0),IF(B219="CPOS",VLOOKUP(C219,#REF!,4,0),IF(B219="FDE",VLOOKUP(C219,#REF!,3,0),IF(B219="INFRA",VLOOKUP(C219,#REF!,3,0),""))))))),"")</f>
        <v/>
      </c>
      <c r="F219" s="936">
        <v>113.41</v>
      </c>
      <c r="G219" s="985" t="str">
        <f>IFERROR(IF(B219="CPU",VLOOKUP(C219,#REF!,4,0),IF(B219="SINAPI",VLOOKUP(C219,#REF!,5,0),IF(B219="EDIF",VLOOKUP(C219,#REF!,4,0),IF(B219="CPOS",VLOOKUP(C219,#REF!,7,0),IF(B219="FDE",VLOOKUP(C219,#REF!,5,0),IF(B219="INFRA",VLOOKUP(C219,#REF!,4,0),""))))))*VLOOKUP(B219,#REF!,3,0),"")</f>
        <v/>
      </c>
      <c r="H219" s="986">
        <v>0.25</v>
      </c>
      <c r="I219" s="987" t="str">
        <f t="shared" si="13"/>
        <v/>
      </c>
      <c r="J219" s="988">
        <v>173646.30387500001</v>
      </c>
      <c r="K219" s="52"/>
      <c r="L219" s="940"/>
    </row>
    <row r="220" spans="1:12" s="25" customFormat="1" ht="27" customHeight="1">
      <c r="A220" s="933" t="s">
        <v>5727</v>
      </c>
      <c r="B220" s="933" t="s">
        <v>4908</v>
      </c>
      <c r="C220" s="1010">
        <v>96121</v>
      </c>
      <c r="D220" s="984" t="str">
        <f>IFERROR(UPPER(IF(B220="CPU",VLOOKUP(C220,#REF!,2,0),IF(B220="SINAPI",VLOOKUP(C220,#REF!,2,0),IF(B220="EDIF",VLOOKUP(C220,#REF!,2,0),IF(B220="CPOS",VLOOKUP(C220,#REF!,3,0),IF(B220="FDE",VLOOKUP(C220,#REF!,2,0),IF(B220="INFRA",VLOOKUP(C220,#REF!,2,0),""))))))),"")</f>
        <v/>
      </c>
      <c r="E220" s="78" t="str">
        <f>IFERROR(UPPER(IF(B220="CPU",VLOOKUP(C220,#REF!,3,0),IF(B220="SINAPI",VLOOKUP(C220,#REF!,3,0),IF(B220="EDIF",VLOOKUP(C220,#REF!,3,0),IF(B220="CPOS",VLOOKUP(C220,#REF!,4,0),IF(B220="FDE",VLOOKUP(C220,#REF!,3,0),IF(B220="INFRA",VLOOKUP(C220,#REF!,3,0),""))))))),"")</f>
        <v/>
      </c>
      <c r="F220" s="936">
        <v>4562</v>
      </c>
      <c r="G220" s="985" t="str">
        <f>IFERROR(IF(B220="CPU",VLOOKUP(C220,#REF!,4,0),IF(B220="SINAPI",VLOOKUP(C220,#REF!,5,0),IF(B220="EDIF",VLOOKUP(C220,#REF!,4,0),IF(B220="CPOS",VLOOKUP(C220,#REF!,7,0),IF(B220="FDE",VLOOKUP(C220,#REF!,5,0),IF(B220="INFRA",VLOOKUP(C220,#REF!,4,0),""))))))*VLOOKUP(B220,#REF!,3,0),"")</f>
        <v/>
      </c>
      <c r="H220" s="986">
        <v>0.25</v>
      </c>
      <c r="I220" s="987" t="str">
        <f t="shared" si="13"/>
        <v/>
      </c>
      <c r="J220" s="988">
        <v>49155.55</v>
      </c>
      <c r="K220" s="52"/>
      <c r="L220" s="940"/>
    </row>
    <row r="221" spans="1:12" s="25" customFormat="1" ht="27" customHeight="1">
      <c r="A221" s="1015"/>
      <c r="B221" s="1015"/>
      <c r="C221" s="1016"/>
      <c r="D221" s="1017" t="str">
        <f>IFERROR(UPPER(IF(B221="CPU",VLOOKUP(C221,#REF!,2,0),IF(B221="SINAPI",VLOOKUP(C221,#REF!,2,0),IF(B221="EDIF",VLOOKUP(C221,#REF!,2,0),IF(B221="CPOS",VLOOKUP(C221,#REF!,3,0),IF(B221="FDE",VLOOKUP(C221,#REF!,2,0),IF(B221="INFRA",VLOOKUP(C221,#REF!,2,0),""))))))),"")</f>
        <v/>
      </c>
      <c r="E221" s="1018" t="str">
        <f>IFERROR(UPPER(IF(B221="CPU",VLOOKUP(C221,#REF!,3,0),IF(B221="SINAPI",VLOOKUP(C221,#REF!,3,0),IF(B221="EDIF",VLOOKUP(C221,#REF!,3,0),IF(B221="CPOS",VLOOKUP(C221,#REF!,4,0),IF(B221="FDE",VLOOKUP(C221,#REF!,3,0),IF(B221="INFRA",VLOOKUP(C221,#REF!,3,0),""))))))),"")</f>
        <v/>
      </c>
      <c r="F221" s="1019"/>
      <c r="G221" s="1020" t="str">
        <f>IFERROR(IF(B221="CPU",VLOOKUP(C221,#REF!,4,0),IF(B221="SINAPI",VLOOKUP(C221,#REF!,5,0),IF(B221="EDIF",VLOOKUP(C221,#REF!,4,0),IF(B221="CPOS",VLOOKUP(C221,#REF!,7,0),IF(B221="FDE",VLOOKUP(C221,#REF!,5,0),IF(B221="INFRA",VLOOKUP(C221,#REF!,4,0),""))))))*VLOOKUP(B221,#REF!,3,0),"")</f>
        <v/>
      </c>
      <c r="H221" s="1021"/>
      <c r="I221" s="1022" t="str">
        <f t="shared" si="13"/>
        <v/>
      </c>
      <c r="J221" s="988"/>
      <c r="K221" s="52"/>
      <c r="L221" s="940"/>
    </row>
    <row r="222" spans="1:12" s="25" customFormat="1" ht="27" customHeight="1">
      <c r="A222" s="1015"/>
      <c r="B222" s="1015"/>
      <c r="C222" s="1023"/>
      <c r="D222" s="1017"/>
      <c r="E222" s="1018"/>
      <c r="F222" s="1019"/>
      <c r="G222" s="1020"/>
      <c r="H222" s="1021"/>
      <c r="I222" s="1022"/>
      <c r="J222" s="988"/>
      <c r="K222" s="52"/>
      <c r="L222" s="940"/>
    </row>
    <row r="223" spans="1:12" s="25" customFormat="1" ht="27" customHeight="1">
      <c r="A223" s="998">
        <v>11</v>
      </c>
      <c r="B223" s="999"/>
      <c r="C223" s="999"/>
      <c r="D223" s="1000" t="s">
        <v>5728</v>
      </c>
      <c r="E223" s="967"/>
      <c r="F223" s="968"/>
      <c r="G223" s="969" t="str">
        <f>IFERROR(IF(B223="CPU",VLOOKUP(C223,#REF!,4,0),IF(B223="SINAPI",VLOOKUP(C223,#REF!,5,0),IF(B223="EDIF",VLOOKUP(C223,#REF!,4,0),IF(B223="CPOS",VLOOKUP(C223,#REF!,7,0),IF(B223="FDE",VLOOKUP(C223,#REF!,5,0),"")))))*VLOOKUP(B223,#REF!,3,0),"")</f>
        <v/>
      </c>
      <c r="H223" s="968"/>
      <c r="I223" s="1005">
        <f>SUM(I224:I235)</f>
        <v>0</v>
      </c>
      <c r="J223" s="988"/>
      <c r="K223" s="52"/>
      <c r="L223" s="940"/>
    </row>
    <row r="224" spans="1:12" s="25" customFormat="1" ht="27" customHeight="1">
      <c r="A224" s="933" t="s">
        <v>809</v>
      </c>
      <c r="B224" s="933" t="s">
        <v>1479</v>
      </c>
      <c r="C224" s="1012" t="s">
        <v>5729</v>
      </c>
      <c r="D224" s="984" t="str">
        <f>IFERROR(UPPER(IF(B224="CPU",VLOOKUP(C224,#REF!,2,0),IF(B224="SINAPI",VLOOKUP(C224,#REF!,2,0),IF(B224="EDIF",VLOOKUP(C224,#REF!,2,0),IF(B224="CPOS",VLOOKUP(C224,#REF!,3,0),IF(B224="FDE",VLOOKUP(C224,#REF!,2,0),IF(B224="INFRA",VLOOKUP(C224,#REF!,2,0),""))))))),"")</f>
        <v/>
      </c>
      <c r="E224" s="78" t="str">
        <f>IFERROR(UPPER(IF(B224="CPU",VLOOKUP(C224,#REF!,3,0),IF(B224="SINAPI",VLOOKUP(C224,#REF!,3,0),IF(B224="EDIF",VLOOKUP(C224,#REF!,3,0),IF(B224="CPOS",VLOOKUP(C224,#REF!,4,0),IF(B224="FDE",VLOOKUP(C224,#REF!,3,0),IF(B224="INFRA",VLOOKUP(C224,#REF!,3,0),""))))))),"")</f>
        <v/>
      </c>
      <c r="F224" s="936">
        <v>95</v>
      </c>
      <c r="G224" s="985" t="str">
        <f>IFERROR(IF(B224="CPU",VLOOKUP(C224,#REF!,4,0),IF(B224="SINAPI",VLOOKUP(C224,#REF!,5,0),IF(B224="EDIF",VLOOKUP(C224,#REF!,4,0),IF(B224="CPOS",VLOOKUP(C224,#REF!,7,0),IF(B224="FDE",VLOOKUP(C224,#REF!,5,0),IF(B224="INFRA",VLOOKUP(C224,#REF!,4,0),""))))))*VLOOKUP(B224,#REF!,3,0),"")</f>
        <v/>
      </c>
      <c r="H224" s="986">
        <v>0.25</v>
      </c>
      <c r="I224" s="987" t="str">
        <f t="shared" ref="I224:I235" si="14">IFERROR(F224*((G224*(1+H224))),"")</f>
        <v/>
      </c>
      <c r="J224" s="988">
        <v>128850.875</v>
      </c>
      <c r="K224" s="52"/>
      <c r="L224" s="940"/>
    </row>
    <row r="225" spans="1:12" s="25" customFormat="1" ht="27" customHeight="1">
      <c r="A225" s="933" t="s">
        <v>818</v>
      </c>
      <c r="B225" s="933" t="s">
        <v>1479</v>
      </c>
      <c r="C225" s="78" t="s">
        <v>5730</v>
      </c>
      <c r="D225" s="984" t="str">
        <f>IFERROR(UPPER(IF(B225="CPU",VLOOKUP(C225,#REF!,2,0),IF(B225="SINAPI",VLOOKUP(C225,#REF!,2,0),IF(B225="EDIF",VLOOKUP(C225,#REF!,2,0),IF(B225="CPOS",VLOOKUP(C225,#REF!,3,0),IF(B225="FDE",VLOOKUP(C225,#REF!,2,0),IF(B225="INFRA",VLOOKUP(C225,#REF!,2,0),""))))))),"")</f>
        <v/>
      </c>
      <c r="E225" s="78" t="str">
        <f>IFERROR(UPPER(IF(B225="CPU",VLOOKUP(C225,#REF!,3,0),IF(B225="SINAPI",VLOOKUP(C225,#REF!,3,0),IF(B225="EDIF",VLOOKUP(C225,#REF!,3,0),IF(B225="CPOS",VLOOKUP(C225,#REF!,4,0),IF(B225="FDE",VLOOKUP(C225,#REF!,3,0),IF(B225="INFRA",VLOOKUP(C225,#REF!,3,0),""))))))),"")</f>
        <v/>
      </c>
      <c r="F225" s="936">
        <v>101</v>
      </c>
      <c r="G225" s="985" t="str">
        <f>IFERROR(IF(B225="CPU",VLOOKUP(C225,#REF!,4,0),IF(B225="SINAPI",VLOOKUP(C225,#REF!,5,0),IF(B225="EDIF",VLOOKUP(C225,#REF!,4,0),IF(B225="CPOS",VLOOKUP(C225,#REF!,7,0),IF(B225="FDE",VLOOKUP(C225,#REF!,5,0),IF(B225="INFRA",VLOOKUP(C225,#REF!,4,0),""))))))*VLOOKUP(B225,#REF!,3,0),"")</f>
        <v/>
      </c>
      <c r="H225" s="986">
        <v>0.25</v>
      </c>
      <c r="I225" s="987" t="str">
        <f t="shared" si="14"/>
        <v/>
      </c>
      <c r="J225" s="988">
        <v>143630.83749999999</v>
      </c>
      <c r="K225" s="52"/>
      <c r="L225" s="940"/>
    </row>
    <row r="226" spans="1:12" s="25" customFormat="1" ht="27" customHeight="1">
      <c r="A226" s="933" t="s">
        <v>825</v>
      </c>
      <c r="B226" s="933" t="s">
        <v>1479</v>
      </c>
      <c r="C226" s="1012" t="s">
        <v>5731</v>
      </c>
      <c r="D226" s="984" t="str">
        <f>IFERROR(UPPER(IF(B226="CPU",VLOOKUP(C226,#REF!,2,0),IF(B226="SINAPI",VLOOKUP(C226,#REF!,2,0),IF(B226="EDIF",VLOOKUP(C226,#REF!,2,0),IF(B226="CPOS",VLOOKUP(C226,#REF!,3,0),IF(B226="FDE",VLOOKUP(C226,#REF!,2,0),IF(B226="INFRA",VLOOKUP(C226,#REF!,2,0),""))))))),"")</f>
        <v/>
      </c>
      <c r="E226" s="78" t="str">
        <f>IFERROR(UPPER(IF(B226="CPU",VLOOKUP(C226,#REF!,3,0),IF(B226="SINAPI",VLOOKUP(C226,#REF!,3,0),IF(B226="EDIF",VLOOKUP(C226,#REF!,3,0),IF(B226="CPOS",VLOOKUP(C226,#REF!,4,0),IF(B226="FDE",VLOOKUP(C226,#REF!,3,0),IF(B226="INFRA",VLOOKUP(C226,#REF!,3,0),""))))))),"")</f>
        <v/>
      </c>
      <c r="F226" s="936">
        <v>63</v>
      </c>
      <c r="G226" s="985" t="str">
        <f>IFERROR(IF(B226="CPU",VLOOKUP(C226,#REF!,4,0),IF(B226="SINAPI",VLOOKUP(C226,#REF!,5,0),IF(B226="EDIF",VLOOKUP(C226,#REF!,4,0),IF(B226="CPOS",VLOOKUP(C226,#REF!,7,0),IF(B226="FDE",VLOOKUP(C226,#REF!,5,0),IF(B226="INFRA",VLOOKUP(C226,#REF!,4,0),""))))))*VLOOKUP(B226,#REF!,3,0),"")</f>
        <v/>
      </c>
      <c r="H226" s="986">
        <v>0.25</v>
      </c>
      <c r="I226" s="987" t="str">
        <f t="shared" si="14"/>
        <v/>
      </c>
      <c r="J226" s="988">
        <v>135214.53750000001</v>
      </c>
      <c r="K226" s="52"/>
      <c r="L226" s="940"/>
    </row>
    <row r="227" spans="1:12" s="25" customFormat="1" ht="27" customHeight="1">
      <c r="A227" s="933" t="s">
        <v>5055</v>
      </c>
      <c r="B227" s="933" t="s">
        <v>1479</v>
      </c>
      <c r="C227" s="1012" t="s">
        <v>5732</v>
      </c>
      <c r="D227" s="984" t="str">
        <f>IFERROR(UPPER(IF(B227="CPU",VLOOKUP(C227,#REF!,2,0),IF(B227="SINAPI",VLOOKUP(C227,#REF!,2,0),IF(B227="EDIF",VLOOKUP(C227,#REF!,2,0),IF(B227="CPOS",VLOOKUP(C227,#REF!,3,0),IF(B227="FDE",VLOOKUP(C227,#REF!,2,0),IF(B227="INFRA",VLOOKUP(C227,#REF!,2,0),""))))))),"")</f>
        <v/>
      </c>
      <c r="E227" s="78" t="str">
        <f>IFERROR(UPPER(IF(B227="CPU",VLOOKUP(C227,#REF!,3,0),IF(B227="SINAPI",VLOOKUP(C227,#REF!,3,0),IF(B227="EDIF",VLOOKUP(C227,#REF!,3,0),IF(B227="CPOS",VLOOKUP(C227,#REF!,4,0),IF(B227="FDE",VLOOKUP(C227,#REF!,3,0),IF(B227="INFRA",VLOOKUP(C227,#REF!,3,0),""))))))),"")</f>
        <v/>
      </c>
      <c r="F227" s="936">
        <v>16</v>
      </c>
      <c r="G227" s="985" t="str">
        <f>IFERROR(IF(B227="CPU",VLOOKUP(C227,#REF!,4,0),IF(B227="SINAPI",VLOOKUP(C227,#REF!,5,0),IF(B227="EDIF",VLOOKUP(C227,#REF!,4,0),IF(B227="CPOS",VLOOKUP(C227,#REF!,7,0),IF(B227="FDE",VLOOKUP(C227,#REF!,5,0),IF(B227="INFRA",VLOOKUP(C227,#REF!,4,0),""))))))*VLOOKUP(B227,#REF!,3,0),"")</f>
        <v/>
      </c>
      <c r="H227" s="986">
        <v>0.25</v>
      </c>
      <c r="I227" s="987" t="str">
        <f t="shared" si="14"/>
        <v/>
      </c>
      <c r="J227" s="988">
        <v>35996.800000000003</v>
      </c>
      <c r="K227" s="52"/>
      <c r="L227" s="940"/>
    </row>
    <row r="228" spans="1:12" s="25" customFormat="1" ht="27" customHeight="1">
      <c r="A228" s="933" t="s">
        <v>5733</v>
      </c>
      <c r="B228" s="933" t="s">
        <v>1479</v>
      </c>
      <c r="C228" s="1012" t="s">
        <v>5734</v>
      </c>
      <c r="D228" s="984" t="str">
        <f>IFERROR(UPPER(IF(B228="CPU",VLOOKUP(C228,#REF!,2,0),IF(B228="SINAPI",VLOOKUP(C228,#REF!,2,0),IF(B228="EDIF",VLOOKUP(C228,#REF!,2,0),IF(B228="CPOS",VLOOKUP(C228,#REF!,3,0),IF(B228="FDE",VLOOKUP(C228,#REF!,2,0),IF(B228="INFRA",VLOOKUP(C228,#REF!,2,0),""))))))),"")</f>
        <v/>
      </c>
      <c r="E228" s="78" t="str">
        <f>IFERROR(UPPER(IF(B228="CPU",VLOOKUP(C228,#REF!,3,0),IF(B228="SINAPI",VLOOKUP(C228,#REF!,3,0),IF(B228="EDIF",VLOOKUP(C228,#REF!,3,0),IF(B228="CPOS",VLOOKUP(C228,#REF!,4,0),IF(B228="FDE",VLOOKUP(C228,#REF!,3,0),IF(B228="INFRA",VLOOKUP(C228,#REF!,3,0),""))))))),"")</f>
        <v/>
      </c>
      <c r="F228" s="936">
        <v>33</v>
      </c>
      <c r="G228" s="985" t="str">
        <f>IFERROR(IF(B228="CPU",VLOOKUP(C228,#REF!,4,0),IF(B228="SINAPI",VLOOKUP(C228,#REF!,5,0),IF(B228="EDIF",VLOOKUP(C228,#REF!,4,0),IF(B228="CPOS",VLOOKUP(C228,#REF!,7,0),IF(B228="FDE",VLOOKUP(C228,#REF!,5,0),IF(B228="INFRA",VLOOKUP(C228,#REF!,4,0),""))))))*VLOOKUP(B228,#REF!,3,0),"")</f>
        <v/>
      </c>
      <c r="H228" s="986">
        <v>0.25</v>
      </c>
      <c r="I228" s="987" t="str">
        <f t="shared" si="14"/>
        <v/>
      </c>
      <c r="J228" s="988">
        <v>40815.224999999999</v>
      </c>
      <c r="K228" s="52"/>
      <c r="L228" s="940"/>
    </row>
    <row r="229" spans="1:12" s="25" customFormat="1" ht="27" customHeight="1">
      <c r="A229" s="933" t="s">
        <v>5557</v>
      </c>
      <c r="B229" s="933" t="s">
        <v>1479</v>
      </c>
      <c r="C229" s="1012" t="s">
        <v>5735</v>
      </c>
      <c r="D229" s="984" t="str">
        <f>IFERROR(UPPER(IF(B229="CPU",VLOOKUP(C229,#REF!,2,0),IF(B229="SINAPI",VLOOKUP(C229,#REF!,2,0),IF(B229="EDIF",VLOOKUP(C229,#REF!,2,0),IF(B229="CPOS",VLOOKUP(C229,#REF!,3,0),IF(B229="FDE",VLOOKUP(C229,#REF!,2,0),IF(B229="INFRA",VLOOKUP(C229,#REF!,2,0),""))))))),"")</f>
        <v/>
      </c>
      <c r="E229" s="78" t="str">
        <f>IFERROR(UPPER(IF(B229="CPU",VLOOKUP(C229,#REF!,3,0),IF(B229="SINAPI",VLOOKUP(C229,#REF!,3,0),IF(B229="EDIF",VLOOKUP(C229,#REF!,3,0),IF(B229="CPOS",VLOOKUP(C229,#REF!,4,0),IF(B229="FDE",VLOOKUP(C229,#REF!,3,0),IF(B229="INFRA",VLOOKUP(C229,#REF!,3,0),""))))))),"")</f>
        <v/>
      </c>
      <c r="F229" s="936">
        <v>1</v>
      </c>
      <c r="G229" s="985" t="str">
        <f>IFERROR(IF(B229="CPU",VLOOKUP(C229,#REF!,4,0),IF(B229="SINAPI",VLOOKUP(C229,#REF!,5,0),IF(B229="EDIF",VLOOKUP(C229,#REF!,4,0),IF(B229="CPOS",VLOOKUP(C229,#REF!,7,0),IF(B229="FDE",VLOOKUP(C229,#REF!,5,0),IF(B229="INFRA",VLOOKUP(C229,#REF!,4,0),""))))))*VLOOKUP(B229,#REF!,3,0),"")</f>
        <v/>
      </c>
      <c r="H229" s="986">
        <v>0.25</v>
      </c>
      <c r="I229" s="987" t="str">
        <f t="shared" si="14"/>
        <v/>
      </c>
      <c r="J229" s="988">
        <v>4005.0749999999998</v>
      </c>
      <c r="K229" s="52"/>
      <c r="L229" s="940"/>
    </row>
    <row r="230" spans="1:12" s="25" customFormat="1" ht="27" customHeight="1">
      <c r="A230" s="933" t="s">
        <v>5736</v>
      </c>
      <c r="B230" s="933" t="s">
        <v>1479</v>
      </c>
      <c r="C230" s="1012" t="s">
        <v>5737</v>
      </c>
      <c r="D230" s="984" t="str">
        <f>IFERROR(UPPER(IF(B230="CPU",VLOOKUP(C230,#REF!,2,0),IF(B230="SINAPI",VLOOKUP(C230,#REF!,2,0),IF(B230="EDIF",VLOOKUP(C230,#REF!,2,0),IF(B230="CPOS",VLOOKUP(C230,#REF!,3,0),IF(B230="FDE",VLOOKUP(C230,#REF!,2,0),IF(B230="INFRA",VLOOKUP(C230,#REF!,2,0),""))))))),"")</f>
        <v/>
      </c>
      <c r="E230" s="78" t="str">
        <f>IFERROR(UPPER(IF(B230="CPU",VLOOKUP(C230,#REF!,3,0),IF(B230="SINAPI",VLOOKUP(C230,#REF!,3,0),IF(B230="EDIF",VLOOKUP(C230,#REF!,3,0),IF(B230="CPOS",VLOOKUP(C230,#REF!,4,0),IF(B230="FDE",VLOOKUP(C230,#REF!,3,0),IF(B230="INFRA",VLOOKUP(C230,#REF!,3,0),""))))))),"")</f>
        <v/>
      </c>
      <c r="F230" s="936">
        <v>625.91999999999996</v>
      </c>
      <c r="G230" s="985" t="str">
        <f>IFERROR(IF(B230="CPU",VLOOKUP(C230,#REF!,4,0),IF(B230="SINAPI",VLOOKUP(C230,#REF!,5,0),IF(B230="EDIF",VLOOKUP(C230,#REF!,4,0),IF(B230="CPOS",VLOOKUP(C230,#REF!,7,0),IF(B230="FDE",VLOOKUP(C230,#REF!,5,0),IF(B230="INFRA",VLOOKUP(C230,#REF!,4,0),""))))))*VLOOKUP(B230,#REF!,3,0),"")</f>
        <v/>
      </c>
      <c r="H230" s="986">
        <v>0.25</v>
      </c>
      <c r="I230" s="987" t="str">
        <f t="shared" si="14"/>
        <v/>
      </c>
      <c r="J230" s="988">
        <v>235338.09599999999</v>
      </c>
      <c r="K230" s="52"/>
      <c r="L230" s="940"/>
    </row>
    <row r="231" spans="1:12" s="25" customFormat="1" ht="27" customHeight="1">
      <c r="A231" s="933" t="s">
        <v>5738</v>
      </c>
      <c r="B231" s="933" t="s">
        <v>1479</v>
      </c>
      <c r="C231" s="1012" t="s">
        <v>5739</v>
      </c>
      <c r="D231" s="984" t="str">
        <f>IFERROR(UPPER(IF(B231="CPU",VLOOKUP(C231,#REF!,2,0),IF(B231="SINAPI",VLOOKUP(C231,#REF!,2,0),IF(B231="EDIF",VLOOKUP(C231,#REF!,2,0),IF(B231="CPOS",VLOOKUP(C231,#REF!,3,0),IF(B231="FDE",VLOOKUP(C231,#REF!,2,0),IF(B231="INFRA",VLOOKUP(C231,#REF!,2,0),""))))))),"")</f>
        <v/>
      </c>
      <c r="E231" s="78" t="str">
        <f>IFERROR(UPPER(IF(B231="CPU",VLOOKUP(C231,#REF!,3,0),IF(B231="SINAPI",VLOOKUP(C231,#REF!,3,0),IF(B231="EDIF",VLOOKUP(C231,#REF!,3,0),IF(B231="CPOS",VLOOKUP(C231,#REF!,4,0),IF(B231="FDE",VLOOKUP(C231,#REF!,3,0),IF(B231="INFRA",VLOOKUP(C231,#REF!,3,0),""))))))),"")</f>
        <v/>
      </c>
      <c r="F231" s="936">
        <v>2307.36</v>
      </c>
      <c r="G231" s="985" t="str">
        <f>IFERROR(IF(B231="CPU",VLOOKUP(C231,#REF!,4,0),IF(B231="SINAPI",VLOOKUP(C231,#REF!,5,0),IF(B231="EDIF",VLOOKUP(C231,#REF!,4,0),IF(B231="CPOS",VLOOKUP(C231,#REF!,7,0),IF(B231="FDE",VLOOKUP(C231,#REF!,5,0),IF(B231="INFRA",VLOOKUP(C231,#REF!,4,0),""))))))*VLOOKUP(B231,#REF!,3,0),"")</f>
        <v/>
      </c>
      <c r="H231" s="986">
        <v>0.25</v>
      </c>
      <c r="I231" s="987" t="str">
        <f t="shared" si="14"/>
        <v/>
      </c>
      <c r="J231" s="988">
        <v>159900.04800000001</v>
      </c>
      <c r="K231" s="52"/>
      <c r="L231" s="940"/>
    </row>
    <row r="232" spans="1:12" s="25" customFormat="1" ht="27" customHeight="1">
      <c r="A232" s="933" t="s">
        <v>5740</v>
      </c>
      <c r="B232" s="933" t="s">
        <v>1479</v>
      </c>
      <c r="C232" s="1012" t="s">
        <v>5741</v>
      </c>
      <c r="D232" s="984" t="str">
        <f>IFERROR(UPPER(IF(B232="CPU",VLOOKUP(C232,#REF!,2,0),IF(B232="SINAPI",VLOOKUP(C232,#REF!,2,0),IF(B232="EDIF",VLOOKUP(C232,#REF!,2,0),IF(B232="CPOS",VLOOKUP(C232,#REF!,3,0),IF(B232="FDE",VLOOKUP(C232,#REF!,2,0),IF(B232="INFRA",VLOOKUP(C232,#REF!,2,0),""))))))),"")</f>
        <v/>
      </c>
      <c r="E232" s="78" t="str">
        <f>IFERROR(UPPER(IF(B232="CPU",VLOOKUP(C232,#REF!,3,0),IF(B232="SINAPI",VLOOKUP(C232,#REF!,3,0),IF(B232="EDIF",VLOOKUP(C232,#REF!,3,0),IF(B232="CPOS",VLOOKUP(C232,#REF!,4,0),IF(B232="FDE",VLOOKUP(C232,#REF!,3,0),IF(B232="INFRA",VLOOKUP(C232,#REF!,3,0),""))))))),"")</f>
        <v/>
      </c>
      <c r="F232" s="936">
        <v>2307.36</v>
      </c>
      <c r="G232" s="985" t="str">
        <f>IFERROR(IF(B232="CPU",VLOOKUP(C232,#REF!,4,0),IF(B232="SINAPI",VLOOKUP(C232,#REF!,5,0),IF(B232="EDIF",VLOOKUP(C232,#REF!,4,0),IF(B232="CPOS",VLOOKUP(C232,#REF!,7,0),IF(B232="FDE",VLOOKUP(C232,#REF!,5,0),IF(B232="INFRA",VLOOKUP(C232,#REF!,4,0),""))))))*VLOOKUP(B232,#REF!,3,0),"")</f>
        <v/>
      </c>
      <c r="H232" s="986">
        <v>0.25</v>
      </c>
      <c r="I232" s="987" t="str">
        <f t="shared" si="14"/>
        <v/>
      </c>
      <c r="J232" s="988">
        <v>13728.791999999999</v>
      </c>
      <c r="K232" s="52"/>
      <c r="L232" s="940"/>
    </row>
    <row r="233" spans="1:12" s="25" customFormat="1" ht="27" customHeight="1">
      <c r="A233" s="933" t="s">
        <v>5742</v>
      </c>
      <c r="B233" s="933" t="s">
        <v>1479</v>
      </c>
      <c r="C233" s="1012" t="s">
        <v>5743</v>
      </c>
      <c r="D233" s="984" t="str">
        <f>IFERROR(UPPER(IF(B233="CPU",VLOOKUP(C233,#REF!,2,0),IF(B233="SINAPI",VLOOKUP(C233,#REF!,2,0),IF(B233="EDIF",VLOOKUP(C233,#REF!,2,0),IF(B233="CPOS",VLOOKUP(C233,#REF!,3,0),IF(B233="FDE",VLOOKUP(C233,#REF!,2,0),IF(B233="INFRA",VLOOKUP(C233,#REF!,2,0),""))))))),"")</f>
        <v/>
      </c>
      <c r="E233" s="78" t="str">
        <f>IFERROR(UPPER(IF(B233="CPU",VLOOKUP(C233,#REF!,3,0),IF(B233="SINAPI",VLOOKUP(C233,#REF!,3,0),IF(B233="EDIF",VLOOKUP(C233,#REF!,3,0),IF(B233="CPOS",VLOOKUP(C233,#REF!,4,0),IF(B233="FDE",VLOOKUP(C233,#REF!,3,0),IF(B233="INFRA",VLOOKUP(C233,#REF!,3,0),""))))))),"")</f>
        <v/>
      </c>
      <c r="F233" s="936">
        <v>159</v>
      </c>
      <c r="G233" s="985" t="str">
        <f>IFERROR(IF(B233="CPU",VLOOKUP(C233,#REF!,4,0),IF(B233="SINAPI",VLOOKUP(C233,#REF!,5,0),IF(B233="EDIF",VLOOKUP(C233,#REF!,4,0),IF(B233="CPOS",VLOOKUP(C233,#REF!,7,0),IF(B233="FDE",VLOOKUP(C233,#REF!,5,0),IF(B233="INFRA",VLOOKUP(C233,#REF!,4,0),""))))))*VLOOKUP(B233,#REF!,3,0),"")</f>
        <v/>
      </c>
      <c r="H233" s="986">
        <v>0.25</v>
      </c>
      <c r="I233" s="987" t="str">
        <f t="shared" si="14"/>
        <v/>
      </c>
      <c r="J233" s="988">
        <v>42926.025000000001</v>
      </c>
      <c r="K233" s="52"/>
      <c r="L233" s="940"/>
    </row>
    <row r="234" spans="1:12" s="25" customFormat="1" ht="27" customHeight="1">
      <c r="A234" s="933" t="s">
        <v>5744</v>
      </c>
      <c r="B234" s="933" t="s">
        <v>1479</v>
      </c>
      <c r="C234" s="1012" t="s">
        <v>5745</v>
      </c>
      <c r="D234" s="984" t="str">
        <f>IFERROR(UPPER(IF(B234="CPU",VLOOKUP(C234,#REF!,2,0),IF(B234="SINAPI",VLOOKUP(C234,#REF!,2,0),IF(B234="EDIF",VLOOKUP(C234,#REF!,2,0),IF(B234="CPOS",VLOOKUP(C234,#REF!,3,0),IF(B234="FDE",VLOOKUP(C234,#REF!,2,0),IF(B234="INFRA",VLOOKUP(C234,#REF!,2,0),""))))))),"")</f>
        <v/>
      </c>
      <c r="E234" s="78" t="str">
        <f>IFERROR(UPPER(IF(B234="CPU",VLOOKUP(C234,#REF!,3,0),IF(B234="SINAPI",VLOOKUP(C234,#REF!,3,0),IF(B234="EDIF",VLOOKUP(C234,#REF!,3,0),IF(B234="CPOS",VLOOKUP(C234,#REF!,4,0),IF(B234="FDE",VLOOKUP(C234,#REF!,3,0),IF(B234="INFRA",VLOOKUP(C234,#REF!,3,0),""))))))),"")</f>
        <v/>
      </c>
      <c r="F234" s="936">
        <v>25.24</v>
      </c>
      <c r="G234" s="985" t="str">
        <f>IFERROR(IF(B234="CPU",VLOOKUP(C234,#REF!,4,0),IF(B234="SINAPI",VLOOKUP(C234,#REF!,5,0),IF(B234="EDIF",VLOOKUP(C234,#REF!,4,0),IF(B234="CPOS",VLOOKUP(C234,#REF!,7,0),IF(B234="FDE",VLOOKUP(C234,#REF!,5,0),IF(B234="INFRA",VLOOKUP(C234,#REF!,4,0),""))))))*VLOOKUP(B234,#REF!,3,0),"")</f>
        <v/>
      </c>
      <c r="H234" s="986">
        <v>0.25</v>
      </c>
      <c r="I234" s="987" t="str">
        <f t="shared" si="14"/>
        <v/>
      </c>
      <c r="J234" s="988">
        <v>22270.513999999999</v>
      </c>
      <c r="K234" s="52"/>
      <c r="L234" s="940"/>
    </row>
    <row r="235" spans="1:12" s="25" customFormat="1" ht="27" customHeight="1">
      <c r="A235" s="933" t="s">
        <v>5746</v>
      </c>
      <c r="B235" s="933" t="s">
        <v>1479</v>
      </c>
      <c r="C235" s="1012" t="s">
        <v>5747</v>
      </c>
      <c r="D235" s="984" t="str">
        <f>IFERROR(UPPER(IF(B235="CPU",VLOOKUP(C235,#REF!,2,0),IF(B235="SINAPI",VLOOKUP(C235,#REF!,2,0),IF(B235="EDIF",VLOOKUP(C235,#REF!,2,0),IF(B235="CPOS",VLOOKUP(C235,#REF!,3,0),IF(B235="FDE",VLOOKUP(C235,#REF!,2,0),IF(B235="INFRA",VLOOKUP(C235,#REF!,2,0),""))))))),"")</f>
        <v/>
      </c>
      <c r="E235" s="78" t="str">
        <f>IFERROR(UPPER(IF(B235="CPU",VLOOKUP(C235,#REF!,3,0),IF(B235="SINAPI",VLOOKUP(C235,#REF!,3,0),IF(B235="EDIF",VLOOKUP(C235,#REF!,3,0),IF(B235="CPOS",VLOOKUP(C235,#REF!,4,0),IF(B235="FDE",VLOOKUP(C235,#REF!,3,0),IF(B235="INFRA",VLOOKUP(C235,#REF!,3,0),""))))))),"")</f>
        <v/>
      </c>
      <c r="F235" s="936">
        <v>57.77</v>
      </c>
      <c r="G235" s="985" t="str">
        <f>IFERROR(IF(B235="CPU",VLOOKUP(C235,#REF!,4,0),IF(B235="SINAPI",VLOOKUP(C235,#REF!,5,0),IF(B235="EDIF",VLOOKUP(C235,#REF!,4,0),IF(B235="CPOS",VLOOKUP(C235,#REF!,7,0),IF(B235="FDE",VLOOKUP(C235,#REF!,5,0),IF(B235="INFRA",VLOOKUP(C235,#REF!,4,0),""))))))*VLOOKUP(B235,#REF!,3,0),"")</f>
        <v/>
      </c>
      <c r="H235" s="986">
        <v>0.25</v>
      </c>
      <c r="I235" s="987" t="str">
        <f t="shared" si="14"/>
        <v/>
      </c>
      <c r="J235" s="988">
        <v>74945.020999999993</v>
      </c>
      <c r="K235" s="52"/>
      <c r="L235" s="940"/>
    </row>
    <row r="236" spans="1:12" s="25" customFormat="1" ht="27" customHeight="1">
      <c r="A236" s="1015"/>
      <c r="B236" s="1015"/>
      <c r="C236" s="1023"/>
      <c r="D236" s="1017"/>
      <c r="E236" s="1018"/>
      <c r="F236" s="1019"/>
      <c r="G236" s="1020"/>
      <c r="H236" s="1021"/>
      <c r="I236" s="1022"/>
      <c r="J236" s="988"/>
      <c r="K236" s="52"/>
      <c r="L236" s="940"/>
    </row>
    <row r="237" spans="1:12" s="25" customFormat="1" ht="27" customHeight="1">
      <c r="A237" s="998">
        <v>12</v>
      </c>
      <c r="B237" s="999"/>
      <c r="C237" s="999"/>
      <c r="D237" s="1000" t="s">
        <v>5748</v>
      </c>
      <c r="E237" s="967"/>
      <c r="F237" s="968"/>
      <c r="G237" s="969" t="str">
        <f>IFERROR(IF(B237="CPU",VLOOKUP(C237,#REF!,4,0),IF(B237="SINAPI",VLOOKUP(C237,#REF!,5,0),IF(B237="EDIF",VLOOKUP(C237,#REF!,4,0),IF(B237="CPOS",VLOOKUP(C237,#REF!,7,0),IF(B237="FDE",VLOOKUP(C237,#REF!,5,0),"")))))*VLOOKUP(B237,#REF!,3,0),"")</f>
        <v/>
      </c>
      <c r="H237" s="968"/>
      <c r="I237" s="1005">
        <f>SUM(I238:I245)</f>
        <v>0</v>
      </c>
      <c r="J237" s="988"/>
      <c r="K237" s="52"/>
      <c r="L237" s="940"/>
    </row>
    <row r="238" spans="1:12" s="25" customFormat="1" ht="27" customHeight="1">
      <c r="A238" s="933" t="s">
        <v>832</v>
      </c>
      <c r="B238" s="933" t="s">
        <v>1479</v>
      </c>
      <c r="C238" s="934" t="s">
        <v>5749</v>
      </c>
      <c r="D238" s="984" t="str">
        <f>IFERROR(UPPER(IF(B238="CPU",VLOOKUP(C238,#REF!,2,0),IF(B238="SINAPI",VLOOKUP(C238,#REF!,2,0),IF(B238="EDIF",VLOOKUP(C238,#REF!,2,0),IF(B238="CPOS",VLOOKUP(C238,#REF!,3,0),IF(B238="FDE",VLOOKUP(C238,#REF!,2,0),IF(B238="INFRA",VLOOKUP(C238,#REF!,2,0),""))))))),"")</f>
        <v/>
      </c>
      <c r="E238" s="78" t="str">
        <f>IFERROR(UPPER(IF(B238="CPU",VLOOKUP(C238,#REF!,3,0),IF(B238="SINAPI",VLOOKUP(C238,#REF!,3,0),IF(B238="EDIF",VLOOKUP(C238,#REF!,3,0),IF(B238="CPOS",VLOOKUP(C238,#REF!,4,0),IF(B238="FDE",VLOOKUP(C238,#REF!,3,0),IF(B238="INFRA",VLOOKUP(C238,#REF!,3,0),""))))))),"")</f>
        <v/>
      </c>
      <c r="F238" s="936">
        <v>39.42</v>
      </c>
      <c r="G238" s="985" t="str">
        <f>IFERROR(IF(B238="CPU",VLOOKUP(C238,#REF!,4,0),IF(B238="SINAPI",VLOOKUP(C238,#REF!,5,0),IF(B238="EDIF",VLOOKUP(C238,#REF!,4,0),IF(B238="CPOS",VLOOKUP(C238,#REF!,7,0),IF(B238="FDE",VLOOKUP(C238,#REF!,5,0),IF(B238="INFRA",VLOOKUP(C238,#REF!,4,0),""))))))*VLOOKUP(B238,#REF!,3,0),"")</f>
        <v/>
      </c>
      <c r="H238" s="986">
        <v>0.25</v>
      </c>
      <c r="I238" s="987" t="str">
        <f t="shared" ref="I238:I245" si="15">IFERROR(F238*((G238*(1+H238))),"")</f>
        <v/>
      </c>
      <c r="J238" s="988">
        <v>25902.882000000001</v>
      </c>
      <c r="K238" s="52"/>
      <c r="L238" s="940"/>
    </row>
    <row r="239" spans="1:12" s="25" customFormat="1" ht="27" customHeight="1">
      <c r="A239" s="933" t="s">
        <v>839</v>
      </c>
      <c r="B239" s="933" t="s">
        <v>1479</v>
      </c>
      <c r="C239" s="934" t="s">
        <v>5750</v>
      </c>
      <c r="D239" s="984" t="str">
        <f>IFERROR(UPPER(IF(B239="CPU",VLOOKUP(C239,#REF!,2,0),IF(B239="SINAPI",VLOOKUP(C239,#REF!,2,0),IF(B239="EDIF",VLOOKUP(C239,#REF!,2,0),IF(B239="CPOS",VLOOKUP(C239,#REF!,3,0),IF(B239="FDE",VLOOKUP(C239,#REF!,2,0),IF(B239="INFRA",VLOOKUP(C239,#REF!,2,0),""))))))),"")</f>
        <v/>
      </c>
      <c r="E239" s="78" t="str">
        <f>IFERROR(UPPER(IF(B239="CPU",VLOOKUP(C239,#REF!,3,0),IF(B239="SINAPI",VLOOKUP(C239,#REF!,3,0),IF(B239="EDIF",VLOOKUP(C239,#REF!,3,0),IF(B239="CPOS",VLOOKUP(C239,#REF!,4,0),IF(B239="FDE",VLOOKUP(C239,#REF!,3,0),IF(B239="INFRA",VLOOKUP(C239,#REF!,3,0),""))))))),"")</f>
        <v/>
      </c>
      <c r="F239" s="936">
        <v>182.96</v>
      </c>
      <c r="G239" s="985" t="str">
        <f>IFERROR(IF(B239="CPU",VLOOKUP(C239,#REF!,4,0),IF(B239="SINAPI",VLOOKUP(C239,#REF!,5,0),IF(B239="EDIF",VLOOKUP(C239,#REF!,4,0),IF(B239="CPOS",VLOOKUP(C239,#REF!,7,0),IF(B239="FDE",VLOOKUP(C239,#REF!,5,0),IF(B239="INFRA",VLOOKUP(C239,#REF!,4,0),""))))))*VLOOKUP(B239,#REF!,3,0),"")</f>
        <v/>
      </c>
      <c r="H239" s="986">
        <v>0.25</v>
      </c>
      <c r="I239" s="987" t="str">
        <f t="shared" si="15"/>
        <v/>
      </c>
      <c r="J239" s="988">
        <v>280109.473</v>
      </c>
      <c r="K239" s="52"/>
      <c r="L239" s="940"/>
    </row>
    <row r="240" spans="1:12" s="25" customFormat="1" ht="27" customHeight="1">
      <c r="A240" s="933" t="s">
        <v>854</v>
      </c>
      <c r="B240" s="933" t="s">
        <v>1479</v>
      </c>
      <c r="C240" s="934" t="s">
        <v>5751</v>
      </c>
      <c r="D240" s="984" t="str">
        <f>IFERROR(UPPER(IF(B240="CPU",VLOOKUP(C240,#REF!,2,0),IF(B240="SINAPI",VLOOKUP(C240,#REF!,2,0),IF(B240="EDIF",VLOOKUP(C240,#REF!,2,0),IF(B240="CPOS",VLOOKUP(C240,#REF!,3,0),IF(B240="FDE",VLOOKUP(C240,#REF!,2,0),IF(B240="INFRA",VLOOKUP(C240,#REF!,2,0),""))))))),"")</f>
        <v/>
      </c>
      <c r="E240" s="78" t="str">
        <f>IFERROR(UPPER(IF(B240="CPU",VLOOKUP(C240,#REF!,3,0),IF(B240="SINAPI",VLOOKUP(C240,#REF!,3,0),IF(B240="EDIF",VLOOKUP(C240,#REF!,3,0),IF(B240="CPOS",VLOOKUP(C240,#REF!,4,0),IF(B240="FDE",VLOOKUP(C240,#REF!,3,0),IF(B240="INFRA",VLOOKUP(C240,#REF!,3,0),""))))))),"")</f>
        <v/>
      </c>
      <c r="F240" s="936">
        <v>75.489999999999995</v>
      </c>
      <c r="G240" s="985" t="str">
        <f>IFERROR(IF(B240="CPU",VLOOKUP(C240,#REF!,4,0),IF(B240="SINAPI",VLOOKUP(C240,#REF!,5,0),IF(B240="EDIF",VLOOKUP(C240,#REF!,4,0),IF(B240="CPOS",VLOOKUP(C240,#REF!,7,0),IF(B240="FDE",VLOOKUP(C240,#REF!,5,0),IF(B240="INFRA",VLOOKUP(C240,#REF!,4,0),""))))))*VLOOKUP(B240,#REF!,3,0),"")</f>
        <v/>
      </c>
      <c r="H240" s="986">
        <v>0.25</v>
      </c>
      <c r="I240" s="987" t="str">
        <f t="shared" si="15"/>
        <v/>
      </c>
      <c r="J240" s="988">
        <v>62297.178874999998</v>
      </c>
      <c r="K240" s="52"/>
      <c r="L240" s="940"/>
    </row>
    <row r="241" spans="1:12" s="25" customFormat="1" ht="27" customHeight="1">
      <c r="A241" s="933" t="s">
        <v>5752</v>
      </c>
      <c r="B241" s="933" t="s">
        <v>1479</v>
      </c>
      <c r="C241" s="934" t="s">
        <v>5753</v>
      </c>
      <c r="D241" s="984" t="str">
        <f>IFERROR(UPPER(IF(B241="CPU",VLOOKUP(C241,#REF!,2,0),IF(B241="SINAPI",VLOOKUP(C241,#REF!,2,0),IF(B241="EDIF",VLOOKUP(C241,#REF!,2,0),IF(B241="CPOS",VLOOKUP(C241,#REF!,3,0),IF(B241="FDE",VLOOKUP(C241,#REF!,2,0),IF(B241="INFRA",VLOOKUP(C241,#REF!,2,0),""))))))),"")</f>
        <v/>
      </c>
      <c r="E241" s="78" t="str">
        <f>IFERROR(UPPER(IF(B241="CPU",VLOOKUP(C241,#REF!,3,0),IF(B241="SINAPI",VLOOKUP(C241,#REF!,3,0),IF(B241="EDIF",VLOOKUP(C241,#REF!,3,0),IF(B241="CPOS",VLOOKUP(C241,#REF!,4,0),IF(B241="FDE",VLOOKUP(C241,#REF!,3,0),IF(B241="INFRA",VLOOKUP(C241,#REF!,3,0),""))))))),"")</f>
        <v/>
      </c>
      <c r="F241" s="936">
        <v>263.64999999999998</v>
      </c>
      <c r="G241" s="985" t="str">
        <f>IFERROR(IF(B241="CPU",VLOOKUP(C241,#REF!,4,0),IF(B241="SINAPI",VLOOKUP(C241,#REF!,5,0),IF(B241="EDIF",VLOOKUP(C241,#REF!,4,0),IF(B241="CPOS",VLOOKUP(C241,#REF!,7,0),IF(B241="FDE",VLOOKUP(C241,#REF!,5,0),IF(B241="INFRA",VLOOKUP(C241,#REF!,4,0),""))))))*VLOOKUP(B241,#REF!,3,0),"")</f>
        <v/>
      </c>
      <c r="H241" s="986">
        <v>0.25</v>
      </c>
      <c r="I241" s="987" t="str">
        <f t="shared" si="15"/>
        <v/>
      </c>
      <c r="J241" s="988">
        <v>129946.49374999999</v>
      </c>
      <c r="K241" s="52"/>
      <c r="L241" s="940"/>
    </row>
    <row r="242" spans="1:12" s="25" customFormat="1" ht="27" customHeight="1">
      <c r="A242" s="933" t="s">
        <v>5754</v>
      </c>
      <c r="B242" s="933" t="s">
        <v>1479</v>
      </c>
      <c r="C242" s="934" t="s">
        <v>5755</v>
      </c>
      <c r="D242" s="984" t="str">
        <f>IFERROR(UPPER(IF(B242="CPU",VLOOKUP(C242,#REF!,2,0),IF(B242="SINAPI",VLOOKUP(C242,#REF!,2,0),IF(B242="EDIF",VLOOKUP(C242,#REF!,2,0),IF(B242="CPOS",VLOOKUP(C242,#REF!,3,0),IF(B242="FDE",VLOOKUP(C242,#REF!,2,0),IF(B242="INFRA",VLOOKUP(C242,#REF!,2,0),""))))))),"")</f>
        <v/>
      </c>
      <c r="E242" s="78" t="str">
        <f>IFERROR(UPPER(IF(B242="CPU",VLOOKUP(C242,#REF!,3,0),IF(B242="SINAPI",VLOOKUP(C242,#REF!,3,0),IF(B242="EDIF",VLOOKUP(C242,#REF!,3,0),IF(B242="CPOS",VLOOKUP(C242,#REF!,4,0),IF(B242="FDE",VLOOKUP(C242,#REF!,3,0),IF(B242="INFRA",VLOOKUP(C242,#REF!,3,0),""))))))),"")</f>
        <v/>
      </c>
      <c r="F242" s="936">
        <v>43.17</v>
      </c>
      <c r="G242" s="985" t="str">
        <f>IFERROR(IF(B242="CPU",VLOOKUP(C242,#REF!,4,0),IF(B242="SINAPI",VLOOKUP(C242,#REF!,5,0),IF(B242="EDIF",VLOOKUP(C242,#REF!,4,0),IF(B242="CPOS",VLOOKUP(C242,#REF!,7,0),IF(B242="FDE",VLOOKUP(C242,#REF!,5,0),IF(B242="INFRA",VLOOKUP(C242,#REF!,4,0),""))))))*VLOOKUP(B242,#REF!,3,0),"")</f>
        <v/>
      </c>
      <c r="H242" s="986">
        <v>0.25</v>
      </c>
      <c r="I242" s="987" t="str">
        <f t="shared" si="15"/>
        <v/>
      </c>
      <c r="J242" s="988">
        <v>51571.96125</v>
      </c>
      <c r="K242" s="52"/>
      <c r="L242" s="940"/>
    </row>
    <row r="243" spans="1:12" s="25" customFormat="1" ht="27" customHeight="1">
      <c r="A243" s="933" t="s">
        <v>5756</v>
      </c>
      <c r="B243" s="933" t="s">
        <v>1479</v>
      </c>
      <c r="C243" s="934" t="s">
        <v>5757</v>
      </c>
      <c r="D243" s="984" t="str">
        <f>IFERROR(UPPER(IF(B243="CPU",VLOOKUP(C243,#REF!,2,0),IF(B243="SINAPI",VLOOKUP(C243,#REF!,2,0),IF(B243="EDIF",VLOOKUP(C243,#REF!,2,0),IF(B243="CPOS",VLOOKUP(C243,#REF!,3,0),IF(B243="FDE",VLOOKUP(C243,#REF!,2,0),IF(B243="INFRA",VLOOKUP(C243,#REF!,2,0),""))))))),"")</f>
        <v/>
      </c>
      <c r="E243" s="78" t="str">
        <f>IFERROR(UPPER(IF(B243="CPU",VLOOKUP(C243,#REF!,3,0),IF(B243="SINAPI",VLOOKUP(C243,#REF!,3,0),IF(B243="EDIF",VLOOKUP(C243,#REF!,3,0),IF(B243="CPOS",VLOOKUP(C243,#REF!,4,0),IF(B243="FDE",VLOOKUP(C243,#REF!,3,0),IF(B243="INFRA",VLOOKUP(C243,#REF!,3,0),""))))))),"")</f>
        <v/>
      </c>
      <c r="F243" s="936">
        <v>40.31</v>
      </c>
      <c r="G243" s="985" t="str">
        <f>IFERROR(IF(B243="CPU",VLOOKUP(C243,#REF!,4,0),IF(B243="SINAPI",VLOOKUP(C243,#REF!,5,0),IF(B243="EDIF",VLOOKUP(C243,#REF!,4,0),IF(B243="CPOS",VLOOKUP(C243,#REF!,7,0),IF(B243="FDE",VLOOKUP(C243,#REF!,5,0),IF(B243="INFRA",VLOOKUP(C243,#REF!,4,0),""))))))*VLOOKUP(B243,#REF!,3,0),"")</f>
        <v/>
      </c>
      <c r="H243" s="986">
        <v>0.25</v>
      </c>
      <c r="I243" s="987" t="str">
        <f t="shared" si="15"/>
        <v/>
      </c>
      <c r="J243" s="988">
        <v>42413.174249999996</v>
      </c>
      <c r="K243" s="52"/>
      <c r="L243" s="940"/>
    </row>
    <row r="244" spans="1:12" s="25" customFormat="1" ht="27" customHeight="1">
      <c r="A244" s="933" t="s">
        <v>5758</v>
      </c>
      <c r="B244" s="933" t="s">
        <v>1479</v>
      </c>
      <c r="C244" s="934" t="s">
        <v>5759</v>
      </c>
      <c r="D244" s="984" t="str">
        <f>IFERROR(UPPER(IF(B244="CPU",VLOOKUP(C244,#REF!,2,0),IF(B244="SINAPI",VLOOKUP(C244,#REF!,2,0),IF(B244="EDIF",VLOOKUP(C244,#REF!,2,0),IF(B244="CPOS",VLOOKUP(C244,#REF!,3,0),IF(B244="FDE",VLOOKUP(C244,#REF!,2,0),IF(B244="INFRA",VLOOKUP(C244,#REF!,2,0),""))))))),"")</f>
        <v/>
      </c>
      <c r="E244" s="78" t="str">
        <f>IFERROR(UPPER(IF(B244="CPU",VLOOKUP(C244,#REF!,3,0),IF(B244="SINAPI",VLOOKUP(C244,#REF!,3,0),IF(B244="EDIF",VLOOKUP(C244,#REF!,3,0),IF(B244="CPOS",VLOOKUP(C244,#REF!,4,0),IF(B244="FDE",VLOOKUP(C244,#REF!,3,0),IF(B244="INFRA",VLOOKUP(C244,#REF!,3,0),""))))))),"")</f>
        <v/>
      </c>
      <c r="F244" s="936">
        <v>18</v>
      </c>
      <c r="G244" s="985" t="str">
        <f>IFERROR(IF(B244="CPU",VLOOKUP(C244,#REF!,4,0),IF(B244="SINAPI",VLOOKUP(C244,#REF!,5,0),IF(B244="EDIF",VLOOKUP(C244,#REF!,4,0),IF(B244="CPOS",VLOOKUP(C244,#REF!,7,0),IF(B244="FDE",VLOOKUP(C244,#REF!,5,0),IF(B244="INFRA",VLOOKUP(C244,#REF!,4,0),""))))))*VLOOKUP(B244,#REF!,3,0),"")</f>
        <v/>
      </c>
      <c r="H244" s="986">
        <v>0.25</v>
      </c>
      <c r="I244" s="987" t="str">
        <f t="shared" si="15"/>
        <v/>
      </c>
      <c r="J244" s="988">
        <v>20762.099999999999</v>
      </c>
      <c r="K244" s="52"/>
      <c r="L244" s="940"/>
    </row>
    <row r="245" spans="1:12" s="25" customFormat="1" ht="27" customHeight="1">
      <c r="A245" s="933" t="s">
        <v>5760</v>
      </c>
      <c r="B245" s="933" t="s">
        <v>1479</v>
      </c>
      <c r="C245" s="934" t="s">
        <v>5761</v>
      </c>
      <c r="D245" s="984" t="str">
        <f>IFERROR(UPPER(IF(B245="CPU",VLOOKUP(C245,#REF!,2,0),IF(B245="SINAPI",VLOOKUP(C245,#REF!,2,0),IF(B245="EDIF",VLOOKUP(C245,#REF!,2,0),IF(B245="CPOS",VLOOKUP(C245,#REF!,3,0),IF(B245="FDE",VLOOKUP(C245,#REF!,2,0),IF(B245="INFRA",VLOOKUP(C245,#REF!,2,0),""))))))),"")</f>
        <v/>
      </c>
      <c r="E245" s="78" t="str">
        <f>IFERROR(UPPER(IF(B245="CPU",VLOOKUP(C245,#REF!,3,0),IF(B245="SINAPI",VLOOKUP(C245,#REF!,3,0),IF(B245="EDIF",VLOOKUP(C245,#REF!,3,0),IF(B245="CPOS",VLOOKUP(C245,#REF!,4,0),IF(B245="FDE",VLOOKUP(C245,#REF!,3,0),IF(B245="INFRA",VLOOKUP(C245,#REF!,3,0),""))))))),"")</f>
        <v/>
      </c>
      <c r="F245" s="936">
        <v>22.26</v>
      </c>
      <c r="G245" s="985" t="str">
        <f>IFERROR(IF(B245="CPU",VLOOKUP(C245,#REF!,4,0),IF(B245="SINAPI",VLOOKUP(C245,#REF!,5,0),IF(B245="EDIF",VLOOKUP(C245,#REF!,4,0),IF(B245="CPOS",VLOOKUP(C245,#REF!,7,0),IF(B245="FDE",VLOOKUP(C245,#REF!,5,0),IF(B245="INFRA",VLOOKUP(C245,#REF!,4,0),""))))))*VLOOKUP(B245,#REF!,3,0),"")</f>
        <v/>
      </c>
      <c r="H245" s="986">
        <v>0.25</v>
      </c>
      <c r="I245" s="987" t="str">
        <f t="shared" si="15"/>
        <v/>
      </c>
      <c r="J245" s="988">
        <v>11925.516750000001</v>
      </c>
      <c r="K245" s="52"/>
      <c r="L245" s="940"/>
    </row>
    <row r="246" spans="1:12" s="25" customFormat="1" ht="27" customHeight="1">
      <c r="A246" s="1015"/>
      <c r="B246" s="1015"/>
      <c r="C246" s="1023"/>
      <c r="D246" s="1017"/>
      <c r="E246" s="1018"/>
      <c r="F246" s="1019"/>
      <c r="G246" s="1020"/>
      <c r="H246" s="1021"/>
      <c r="I246" s="1022"/>
      <c r="J246" s="988"/>
      <c r="K246" s="52"/>
      <c r="L246" s="940"/>
    </row>
    <row r="247" spans="1:12" s="25" customFormat="1" ht="27" customHeight="1">
      <c r="A247" s="998">
        <v>13</v>
      </c>
      <c r="B247" s="999"/>
      <c r="C247" s="999"/>
      <c r="D247" s="1000" t="s">
        <v>910</v>
      </c>
      <c r="E247" s="967"/>
      <c r="F247" s="968"/>
      <c r="G247" s="969" t="str">
        <f>IFERROR(IF(B247="CPU",VLOOKUP(C247,#REF!,4,0),IF(B247="SINAPI",VLOOKUP(C247,#REF!,5,0),IF(B247="EDIF",VLOOKUP(C247,#REF!,4,0),IF(B247="CPOS",VLOOKUP(C247,#REF!,7,0),IF(B247="FDE",VLOOKUP(C247,#REF!,5,0),"")))))*VLOOKUP(B247,#REF!,3,0),"")</f>
        <v/>
      </c>
      <c r="H247" s="968"/>
      <c r="I247" s="1005">
        <f>SUM(I248:I250)</f>
        <v>0</v>
      </c>
      <c r="J247" s="988"/>
      <c r="K247" s="52"/>
      <c r="L247" s="940"/>
    </row>
    <row r="248" spans="1:12" s="25" customFormat="1" ht="27" customHeight="1">
      <c r="A248" s="933" t="s">
        <v>863</v>
      </c>
      <c r="B248" s="933" t="s">
        <v>4908</v>
      </c>
      <c r="C248" s="934">
        <v>72120</v>
      </c>
      <c r="D248" s="984" t="str">
        <f>IFERROR(UPPER(IF(B248="CPU",VLOOKUP(C248,#REF!,2,0),IF(B248="SINAPI",VLOOKUP(C248,#REF!,2,0),IF(B248="EDIF",VLOOKUP(C248,#REF!,2,0),IF(B248="CPOS",VLOOKUP(C248,#REF!,3,0),IF(B248="FDE",VLOOKUP(C248,#REF!,2,0),IF(B248="INFRA",VLOOKUP(C248,#REF!,2,0),""))))))),"")</f>
        <v/>
      </c>
      <c r="E248" s="78" t="str">
        <f>IFERROR(UPPER(IF(B248="CPU",VLOOKUP(C248,#REF!,3,0),IF(B248="SINAPI",VLOOKUP(C248,#REF!,3,0),IF(B248="EDIF",VLOOKUP(C248,#REF!,3,0),IF(B248="CPOS",VLOOKUP(C248,#REF!,4,0),IF(B248="FDE",VLOOKUP(C248,#REF!,3,0),IF(B248="INFRA",VLOOKUP(C248,#REF!,3,0),""))))))),"")</f>
        <v/>
      </c>
      <c r="F248" s="936">
        <v>10.29</v>
      </c>
      <c r="G248" s="985" t="str">
        <f>IFERROR(IF(B248="CPU",VLOOKUP(C248,#REF!,4,0),IF(B248="SINAPI",VLOOKUP(C248,#REF!,5,0),IF(B248="EDIF",VLOOKUP(C248,#REF!,4,0),IF(B248="CPOS",VLOOKUP(C248,#REF!,7,0),IF(B248="FDE",VLOOKUP(C248,#REF!,5,0),IF(B248="INFRA",VLOOKUP(C248,#REF!,4,0),""))))))*VLOOKUP(B248,#REF!,3,0),"")</f>
        <v/>
      </c>
      <c r="H248" s="986">
        <v>0.25</v>
      </c>
      <c r="I248" s="987" t="str">
        <f>IFERROR(F248*((G248*(1+H248))),"")</f>
        <v/>
      </c>
      <c r="J248" s="988">
        <v>3777.9735000000001</v>
      </c>
      <c r="K248" s="52"/>
      <c r="L248" s="940"/>
    </row>
    <row r="249" spans="1:12" s="25" customFormat="1" ht="27" customHeight="1">
      <c r="A249" s="933" t="s">
        <v>872</v>
      </c>
      <c r="B249" s="933" t="s">
        <v>4908</v>
      </c>
      <c r="C249" s="934">
        <v>84959</v>
      </c>
      <c r="D249" s="984" t="str">
        <f>IFERROR(UPPER(IF(B249="CPU",VLOOKUP(C249,#REF!,2,0),IF(B249="SINAPI",VLOOKUP(C249,#REF!,2,0),IF(B249="EDIF",VLOOKUP(C249,#REF!,2,0),IF(B249="CPOS",VLOOKUP(C249,#REF!,3,0),IF(B249="FDE",VLOOKUP(C249,#REF!,2,0),IF(B249="INFRA",VLOOKUP(C249,#REF!,2,0),""))))))),"")</f>
        <v/>
      </c>
      <c r="E249" s="78" t="str">
        <f>IFERROR(UPPER(IF(B249="CPU",VLOOKUP(C249,#REF!,3,0),IF(B249="SINAPI",VLOOKUP(C249,#REF!,3,0),IF(B249="EDIF",VLOOKUP(C249,#REF!,3,0),IF(B249="CPOS",VLOOKUP(C249,#REF!,4,0),IF(B249="FDE",VLOOKUP(C249,#REF!,3,0),IF(B249="INFRA",VLOOKUP(C249,#REF!,3,0),""))))))),"")</f>
        <v/>
      </c>
      <c r="F249" s="936">
        <v>297.33</v>
      </c>
      <c r="G249" s="985" t="str">
        <f>IFERROR(IF(B249="CPU",VLOOKUP(C249,#REF!,4,0),IF(B249="SINAPI",VLOOKUP(C249,#REF!,5,0),IF(B249="EDIF",VLOOKUP(C249,#REF!,4,0),IF(B249="CPOS",VLOOKUP(C249,#REF!,7,0),IF(B249="FDE",VLOOKUP(C249,#REF!,5,0),IF(B249="INFRA",VLOOKUP(C249,#REF!,4,0),""))))))*VLOOKUP(B249,#REF!,3,0),"")</f>
        <v/>
      </c>
      <c r="H249" s="986">
        <v>0.25</v>
      </c>
      <c r="I249" s="987" t="str">
        <f>IFERROR(F249*((G249*(1+H249))),"")</f>
        <v/>
      </c>
      <c r="J249" s="988">
        <v>65940.360750000007</v>
      </c>
      <c r="K249" s="52"/>
      <c r="L249" s="940"/>
    </row>
    <row r="250" spans="1:12" s="25" customFormat="1" ht="27" customHeight="1">
      <c r="A250" s="933" t="s">
        <v>883</v>
      </c>
      <c r="B250" s="933" t="s">
        <v>4908</v>
      </c>
      <c r="C250" s="934">
        <v>85005</v>
      </c>
      <c r="D250" s="984" t="str">
        <f>IFERROR(UPPER(IF(B250="CPU",VLOOKUP(C250,#REF!,2,0),IF(B250="SINAPI",VLOOKUP(C250,#REF!,2,0),IF(B250="EDIF",VLOOKUP(C250,#REF!,2,0),IF(B250="CPOS",VLOOKUP(C250,#REF!,3,0),IF(B250="FDE",VLOOKUP(C250,#REF!,2,0),IF(B250="INFRA",VLOOKUP(C250,#REF!,2,0),""))))))),"")</f>
        <v/>
      </c>
      <c r="E250" s="78" t="str">
        <f>IFERROR(UPPER(IF(B250="CPU",VLOOKUP(C250,#REF!,3,0),IF(B250="SINAPI",VLOOKUP(C250,#REF!,3,0),IF(B250="EDIF",VLOOKUP(C250,#REF!,3,0),IF(B250="CPOS",VLOOKUP(C250,#REF!,4,0),IF(B250="FDE",VLOOKUP(C250,#REF!,3,0),IF(B250="INFRA",VLOOKUP(C250,#REF!,3,0),""))))))),"")</f>
        <v/>
      </c>
      <c r="F250" s="936">
        <v>38.200000000000003</v>
      </c>
      <c r="G250" s="985" t="str">
        <f>IFERROR(IF(B250="CPU",VLOOKUP(C250,#REF!,4,0),IF(B250="SINAPI",VLOOKUP(C250,#REF!,5,0),IF(B250="EDIF",VLOOKUP(C250,#REF!,4,0),IF(B250="CPOS",VLOOKUP(C250,#REF!,7,0),IF(B250="FDE",VLOOKUP(C250,#REF!,5,0),IF(B250="INFRA",VLOOKUP(C250,#REF!,4,0),""))))))*VLOOKUP(B250,#REF!,3,0),"")</f>
        <v/>
      </c>
      <c r="H250" s="986">
        <v>0.25</v>
      </c>
      <c r="I250" s="987" t="str">
        <f>IFERROR(F250*((G250*(1+H250))),"")</f>
        <v/>
      </c>
      <c r="J250" s="988">
        <v>16492.372500000001</v>
      </c>
      <c r="K250" s="52"/>
      <c r="L250" s="940"/>
    </row>
    <row r="251" spans="1:12" s="25" customFormat="1" ht="27" customHeight="1">
      <c r="A251" s="1015"/>
      <c r="B251" s="1015"/>
      <c r="C251" s="1023"/>
      <c r="D251" s="1017"/>
      <c r="E251" s="1018"/>
      <c r="F251" s="1019"/>
      <c r="G251" s="1020"/>
      <c r="H251" s="1021"/>
      <c r="I251" s="1022"/>
      <c r="J251" s="988"/>
      <c r="K251" s="52"/>
      <c r="L251" s="940"/>
    </row>
    <row r="252" spans="1:12" s="25" customFormat="1" ht="27" customHeight="1">
      <c r="A252" s="998">
        <v>14</v>
      </c>
      <c r="B252" s="999"/>
      <c r="C252" s="999"/>
      <c r="D252" s="1000" t="s">
        <v>5762</v>
      </c>
      <c r="E252" s="967"/>
      <c r="F252" s="968"/>
      <c r="G252" s="969" t="str">
        <f>IFERROR(IF(B252="CPU",VLOOKUP(C252,#REF!,4,0),IF(B252="SINAPI",VLOOKUP(C252,#REF!,5,0),IF(B252="EDIF",VLOOKUP(C252,#REF!,4,0),IF(B252="CPOS",VLOOKUP(C252,#REF!,7,0),IF(B252="FDE",VLOOKUP(C252,#REF!,5,0),"")))))*VLOOKUP(B252,#REF!,3,0),"")</f>
        <v/>
      </c>
      <c r="H252" s="968"/>
      <c r="I252" s="1005">
        <f>SUM(I253:I261)</f>
        <v>14873.5</v>
      </c>
      <c r="J252" s="988"/>
      <c r="K252" s="52"/>
      <c r="L252" s="940"/>
    </row>
    <row r="253" spans="1:12" s="25" customFormat="1" ht="27" customHeight="1">
      <c r="A253" s="933" t="s">
        <v>911</v>
      </c>
      <c r="B253" s="933" t="s">
        <v>1479</v>
      </c>
      <c r="C253" s="1012" t="s">
        <v>5763</v>
      </c>
      <c r="D253" s="984" t="str">
        <f>IFERROR(UPPER(IF(B253="CPU",VLOOKUP(C253,#REF!,2,0),IF(B253="SINAPI",VLOOKUP(C253,#REF!,2,0),IF(B253="EDIF",VLOOKUP(C253,#REF!,2,0),IF(B253="CPOS",VLOOKUP(C253,#REF!,3,0),IF(B253="FDE",VLOOKUP(C253,#REF!,2,0),IF(B253="INFRA",VLOOKUP(C253,#REF!,2,0),""))))))),"")</f>
        <v/>
      </c>
      <c r="E253" s="78" t="str">
        <f>IFERROR(UPPER(IF(B253="CPU",VLOOKUP(C253,#REF!,3,0),IF(B253="SINAPI",VLOOKUP(C253,#REF!,3,0),IF(B253="EDIF",VLOOKUP(C253,#REF!,3,0),IF(B253="CPOS",VLOOKUP(C253,#REF!,4,0),IF(B253="FDE",VLOOKUP(C253,#REF!,3,0),IF(B253="INFRA",VLOOKUP(C253,#REF!,3,0),""))))))),"")</f>
        <v/>
      </c>
      <c r="F253" s="936">
        <v>264.39999999999998</v>
      </c>
      <c r="G253" s="985" t="str">
        <f>IFERROR(IF(B253="CPU",VLOOKUP(C253,#REF!,4,0),IF(B253="SINAPI",VLOOKUP(C253,#REF!,5,0),IF(B253="EDIF",VLOOKUP(C253,#REF!,4,0),IF(B253="CPOS",VLOOKUP(C253,#REF!,7,0),IF(B253="FDE",VLOOKUP(C253,#REF!,5,0),IF(B253="INFRA",VLOOKUP(C253,#REF!,4,0),""))))))*VLOOKUP(B253,#REF!,3,0),"")</f>
        <v/>
      </c>
      <c r="H253" s="986">
        <v>0.25</v>
      </c>
      <c r="I253" s="987" t="str">
        <f t="shared" ref="I253:I260" si="16">IFERROR(F253*((G253*(1+H253))),"")</f>
        <v/>
      </c>
      <c r="J253" s="988">
        <v>219878.345</v>
      </c>
      <c r="K253" s="52"/>
      <c r="L253" s="940"/>
    </row>
    <row r="254" spans="1:12" s="25" customFormat="1" ht="27" customHeight="1">
      <c r="A254" s="933" t="s">
        <v>917</v>
      </c>
      <c r="B254" s="933" t="s">
        <v>1479</v>
      </c>
      <c r="C254" s="934" t="s">
        <v>5764</v>
      </c>
      <c r="D254" s="984" t="str">
        <f>IFERROR(UPPER(IF(B254="CPU",VLOOKUP(C254,#REF!,2,0),IF(B254="SINAPI",VLOOKUP(C254,#REF!,2,0),IF(B254="EDIF",VLOOKUP(C254,#REF!,2,0),IF(B254="CPOS",VLOOKUP(C254,#REF!,3,0),IF(B254="FDE",VLOOKUP(C254,#REF!,2,0),IF(B254="INFRA",VLOOKUP(C254,#REF!,2,0),""))))))),"")</f>
        <v/>
      </c>
      <c r="E254" s="78" t="str">
        <f>IFERROR(UPPER(IF(B254="CPU",VLOOKUP(C254,#REF!,3,0),IF(B254="SINAPI",VLOOKUP(C254,#REF!,3,0),IF(B254="EDIF",VLOOKUP(C254,#REF!,3,0),IF(B254="CPOS",VLOOKUP(C254,#REF!,4,0),IF(B254="FDE",VLOOKUP(C254,#REF!,3,0),IF(B254="INFRA",VLOOKUP(C254,#REF!,3,0),""))))))),"")</f>
        <v/>
      </c>
      <c r="F254" s="936">
        <v>657.82</v>
      </c>
      <c r="G254" s="985" t="str">
        <f>IFERROR(IF(B254="CPU",VLOOKUP(C254,#REF!,4,0),IF(B254="SINAPI",VLOOKUP(C254,#REF!,5,0),IF(B254="EDIF",VLOOKUP(C254,#REF!,4,0),IF(B254="CPOS",VLOOKUP(C254,#REF!,7,0),IF(B254="FDE",VLOOKUP(C254,#REF!,5,0),IF(B254="INFRA",VLOOKUP(C254,#REF!,4,0),""))))))*VLOOKUP(B254,#REF!,3,0),"")</f>
        <v/>
      </c>
      <c r="H254" s="986">
        <v>0.25</v>
      </c>
      <c r="I254" s="987" t="str">
        <f t="shared" si="16"/>
        <v/>
      </c>
      <c r="J254" s="988">
        <v>231486.85800000001</v>
      </c>
      <c r="K254" s="52"/>
      <c r="L254" s="940"/>
    </row>
    <row r="255" spans="1:12" s="25" customFormat="1" ht="27" customHeight="1">
      <c r="A255" s="933" t="s">
        <v>5141</v>
      </c>
      <c r="B255" s="933" t="s">
        <v>4908</v>
      </c>
      <c r="C255" s="934">
        <v>90838</v>
      </c>
      <c r="D255" s="984" t="str">
        <f>IFERROR(UPPER(IF(B255="CPU",VLOOKUP(C255,#REF!,2,0),IF(B255="SINAPI",VLOOKUP(C255,#REF!,2,0),IF(B255="EDIF",VLOOKUP(C255,#REF!,2,0),IF(B255="CPOS",VLOOKUP(C255,#REF!,3,0),IF(B255="FDE",VLOOKUP(C255,#REF!,2,0),IF(B255="INFRA",VLOOKUP(C255,#REF!,2,0),""))))))),"")</f>
        <v/>
      </c>
      <c r="E255" s="78" t="str">
        <f>IFERROR(UPPER(IF(B255="CPU",VLOOKUP(C255,#REF!,3,0),IF(B255="SINAPI",VLOOKUP(C255,#REF!,3,0),IF(B255="EDIF",VLOOKUP(C255,#REF!,3,0),IF(B255="CPOS",VLOOKUP(C255,#REF!,4,0),IF(B255="FDE",VLOOKUP(C255,#REF!,3,0),IF(B255="INFRA",VLOOKUP(C255,#REF!,3,0),""))))))),"")</f>
        <v/>
      </c>
      <c r="F255" s="936">
        <v>3</v>
      </c>
      <c r="G255" s="985" t="str">
        <f>IFERROR(IF(B255="CPU",VLOOKUP(C255,#REF!,4,0),IF(B255="SINAPI",VLOOKUP(C255,#REF!,5,0),IF(B255="EDIF",VLOOKUP(C255,#REF!,4,0),IF(B255="CPOS",VLOOKUP(C255,#REF!,7,0),IF(B255="FDE",VLOOKUP(C255,#REF!,5,0),IF(B255="INFRA",VLOOKUP(C255,#REF!,4,0),""))))))*VLOOKUP(B255,#REF!,3,0),"")</f>
        <v/>
      </c>
      <c r="H255" s="986">
        <v>0.25</v>
      </c>
      <c r="I255" s="987" t="str">
        <f t="shared" si="16"/>
        <v/>
      </c>
      <c r="J255" s="988">
        <v>3794.5124999999998</v>
      </c>
      <c r="K255" s="52"/>
      <c r="L255" s="940"/>
    </row>
    <row r="256" spans="1:12" s="25" customFormat="1" ht="27" customHeight="1">
      <c r="A256" s="933" t="s">
        <v>5155</v>
      </c>
      <c r="B256" s="933" t="s">
        <v>5022</v>
      </c>
      <c r="C256" s="934"/>
      <c r="D256" s="984" t="s">
        <v>5765</v>
      </c>
      <c r="E256" s="78" t="s">
        <v>1615</v>
      </c>
      <c r="F256" s="936">
        <v>1</v>
      </c>
      <c r="G256" s="985">
        <v>7658.2</v>
      </c>
      <c r="H256" s="986">
        <v>0.25</v>
      </c>
      <c r="I256" s="987">
        <f t="shared" si="16"/>
        <v>9572.75</v>
      </c>
      <c r="J256" s="988">
        <v>9572.75</v>
      </c>
      <c r="K256" s="52"/>
      <c r="L256" s="940"/>
    </row>
    <row r="257" spans="1:12" s="25" customFormat="1" ht="27" customHeight="1">
      <c r="A257" s="933" t="s">
        <v>5184</v>
      </c>
      <c r="B257" s="933" t="s">
        <v>5022</v>
      </c>
      <c r="C257" s="934"/>
      <c r="D257" s="984" t="s">
        <v>5766</v>
      </c>
      <c r="E257" s="78" t="s">
        <v>1615</v>
      </c>
      <c r="F257" s="936">
        <v>2</v>
      </c>
      <c r="G257" s="985">
        <v>2120.3000000000002</v>
      </c>
      <c r="H257" s="986">
        <v>0.25</v>
      </c>
      <c r="I257" s="987">
        <f t="shared" si="16"/>
        <v>5300.75</v>
      </c>
      <c r="J257" s="988">
        <v>5300.75</v>
      </c>
      <c r="K257" s="52"/>
      <c r="L257" s="940"/>
    </row>
    <row r="258" spans="1:12" s="25" customFormat="1" ht="27" customHeight="1">
      <c r="A258" s="933" t="s">
        <v>5767</v>
      </c>
      <c r="B258" s="933" t="s">
        <v>1479</v>
      </c>
      <c r="C258" s="934" t="s">
        <v>5768</v>
      </c>
      <c r="D258" s="984" t="str">
        <f>IFERROR(UPPER(IF(B258="CPU",VLOOKUP(C258,#REF!,2,0),IF(B258="SINAPI",VLOOKUP(C258,#REF!,2,0),IF(B258="EDIF",VLOOKUP(C258,#REF!,2,0),IF(B258="CPOS",VLOOKUP(C258,#REF!,3,0),IF(B258="FDE",VLOOKUP(C258,#REF!,2,0),IF(B258="INFRA",VLOOKUP(C258,#REF!,2,0),""))))))),"")</f>
        <v/>
      </c>
      <c r="E258" s="78" t="str">
        <f>IFERROR(UPPER(IF(B258="CPU",VLOOKUP(C258,#REF!,3,0),IF(B258="SINAPI",VLOOKUP(C258,#REF!,3,0),IF(B258="EDIF",VLOOKUP(C258,#REF!,3,0),IF(B258="CPOS",VLOOKUP(C258,#REF!,4,0),IF(B258="FDE",VLOOKUP(C258,#REF!,3,0),IF(B258="INFRA",VLOOKUP(C258,#REF!,3,0),""))))))),"")</f>
        <v/>
      </c>
      <c r="F258" s="936">
        <v>356.2</v>
      </c>
      <c r="G258" s="985" t="str">
        <f>IFERROR(IF(B258="CPU",VLOOKUP(C258,#REF!,4,0),IF(B258="SINAPI",VLOOKUP(C258,#REF!,5,0),IF(B258="EDIF",VLOOKUP(C258,#REF!,4,0),IF(B258="CPOS",VLOOKUP(C258,#REF!,7,0),IF(B258="FDE",VLOOKUP(C258,#REF!,5,0),IF(B258="INFRA",VLOOKUP(C258,#REF!,4,0),""))))))*VLOOKUP(B258,#REF!,3,0),"")</f>
        <v/>
      </c>
      <c r="H258" s="986">
        <v>0.25</v>
      </c>
      <c r="I258" s="987" t="str">
        <f t="shared" si="16"/>
        <v/>
      </c>
      <c r="J258" s="988">
        <v>10378.7775</v>
      </c>
      <c r="K258" s="52"/>
      <c r="L258" s="940"/>
    </row>
    <row r="259" spans="1:12" s="25" customFormat="1" ht="27" customHeight="1">
      <c r="A259" s="933" t="s">
        <v>5769</v>
      </c>
      <c r="B259" s="933" t="s">
        <v>1479</v>
      </c>
      <c r="C259" s="934" t="s">
        <v>5770</v>
      </c>
      <c r="D259" s="984" t="str">
        <f>IFERROR(UPPER(IF(B259="CPU",VLOOKUP(C259,#REF!,2,0),IF(B259="SINAPI",VLOOKUP(C259,#REF!,2,0),IF(B259="EDIF",VLOOKUP(C259,#REF!,2,0),IF(B259="CPOS",VLOOKUP(C259,#REF!,3,0),IF(B259="FDE",VLOOKUP(C259,#REF!,2,0),IF(B259="INFRA",VLOOKUP(C259,#REF!,2,0),""))))))),"")</f>
        <v/>
      </c>
      <c r="E259" s="78" t="str">
        <f>IFERROR(UPPER(IF(B259="CPU",VLOOKUP(C259,#REF!,3,0),IF(B259="SINAPI",VLOOKUP(C259,#REF!,3,0),IF(B259="EDIF",VLOOKUP(C259,#REF!,3,0),IF(B259="CPOS",VLOOKUP(C259,#REF!,4,0),IF(B259="FDE",VLOOKUP(C259,#REF!,3,0),IF(B259="INFRA",VLOOKUP(C259,#REF!,3,0),""))))))),"")</f>
        <v/>
      </c>
      <c r="F259" s="936">
        <v>225</v>
      </c>
      <c r="G259" s="985" t="str">
        <f>IFERROR(IF(B259="CPU",VLOOKUP(C259,#REF!,4,0),IF(B259="SINAPI",VLOOKUP(C259,#REF!,5,0),IF(B259="EDIF",VLOOKUP(C259,#REF!,4,0),IF(B259="CPOS",VLOOKUP(C259,#REF!,7,0),IF(B259="FDE",VLOOKUP(C259,#REF!,5,0),IF(B259="INFRA",VLOOKUP(C259,#REF!,4,0),""))))))*VLOOKUP(B259,#REF!,3,0),"")</f>
        <v/>
      </c>
      <c r="H259" s="986">
        <v>0.25</v>
      </c>
      <c r="I259" s="987" t="str">
        <f t="shared" si="16"/>
        <v/>
      </c>
      <c r="J259" s="988">
        <v>147903.75</v>
      </c>
      <c r="K259" s="52"/>
      <c r="L259" s="940"/>
    </row>
    <row r="260" spans="1:12" s="25" customFormat="1" ht="27" customHeight="1">
      <c r="A260" s="933" t="s">
        <v>5771</v>
      </c>
      <c r="B260" s="933" t="s">
        <v>1479</v>
      </c>
      <c r="C260" s="934" t="s">
        <v>5772</v>
      </c>
      <c r="D260" s="984" t="str">
        <f>IFERROR(UPPER(IF(B260="CPU",VLOOKUP(C260,#REF!,2,0),IF(B260="SINAPI",VLOOKUP(C260,#REF!,2,0),IF(B260="EDIF",VLOOKUP(C260,#REF!,2,0),IF(B260="CPOS",VLOOKUP(C260,#REF!,3,0),IF(B260="FDE",VLOOKUP(C260,#REF!,2,0),IF(B260="INFRA",VLOOKUP(C260,#REF!,2,0),""))))))),"")</f>
        <v/>
      </c>
      <c r="E260" s="78" t="str">
        <f>IFERROR(UPPER(IF(B260="CPU",VLOOKUP(C260,#REF!,3,0),IF(B260="SINAPI",VLOOKUP(C260,#REF!,3,0),IF(B260="EDIF",VLOOKUP(C260,#REF!,3,0),IF(B260="CPOS",VLOOKUP(C260,#REF!,4,0),IF(B260="FDE",VLOOKUP(C260,#REF!,3,0),IF(B260="INFRA",VLOOKUP(C260,#REF!,3,0),""))))))),"")</f>
        <v/>
      </c>
      <c r="F260" s="936">
        <v>169.86</v>
      </c>
      <c r="G260" s="985" t="str">
        <f>IFERROR(IF(B260="CPU",VLOOKUP(C260,#REF!,4,0),IF(B260="SINAPI",VLOOKUP(C260,#REF!,5,0),IF(B260="EDIF",VLOOKUP(C260,#REF!,4,0),IF(B260="CPOS",VLOOKUP(C260,#REF!,7,0),IF(B260="FDE",VLOOKUP(C260,#REF!,5,0),IF(B260="INFRA",VLOOKUP(C260,#REF!,4,0),""))))))*VLOOKUP(B260,#REF!,3,0),"")</f>
        <v/>
      </c>
      <c r="H260" s="986">
        <v>0.25</v>
      </c>
      <c r="I260" s="987" t="str">
        <f t="shared" si="16"/>
        <v/>
      </c>
      <c r="J260" s="988">
        <v>98329.830749999994</v>
      </c>
      <c r="K260" s="52"/>
      <c r="L260" s="940"/>
    </row>
    <row r="261" spans="1:12" s="25" customFormat="1" ht="27" customHeight="1">
      <c r="A261" s="933"/>
      <c r="B261" s="933"/>
      <c r="C261" s="934"/>
      <c r="D261" s="984"/>
      <c r="E261" s="78"/>
      <c r="F261" s="936"/>
      <c r="G261" s="985"/>
      <c r="H261" s="986"/>
      <c r="I261" s="987"/>
      <c r="J261" s="988"/>
      <c r="K261" s="52"/>
      <c r="L261" s="940"/>
    </row>
    <row r="262" spans="1:12" s="25" customFormat="1" ht="27" customHeight="1">
      <c r="A262" s="998">
        <v>15</v>
      </c>
      <c r="B262" s="999"/>
      <c r="C262" s="999"/>
      <c r="D262" s="1000" t="s">
        <v>5773</v>
      </c>
      <c r="E262" s="967"/>
      <c r="F262" s="968"/>
      <c r="G262" s="969" t="str">
        <f>IFERROR(IF(B262="CPU",VLOOKUP(C262,#REF!,4,0),IF(B262="SINAPI",VLOOKUP(C262,#REF!,5,0),IF(B262="EDIF",VLOOKUP(C262,#REF!,4,0),IF(B262="CPOS",VLOOKUP(C262,#REF!,7,0),IF(B262="FDE",VLOOKUP(C262,#REF!,5,0),"")))))*VLOOKUP(B262,#REF!,3,0),"")</f>
        <v/>
      </c>
      <c r="H262" s="968"/>
      <c r="I262" s="1005">
        <f>SUM(I263:I264)</f>
        <v>0</v>
      </c>
      <c r="J262" s="988"/>
      <c r="K262" s="52"/>
      <c r="L262" s="940"/>
    </row>
    <row r="263" spans="1:12" s="25" customFormat="1" ht="27" customHeight="1">
      <c r="A263" s="933" t="s">
        <v>924</v>
      </c>
      <c r="B263" s="933" t="s">
        <v>26</v>
      </c>
      <c r="C263" s="934" t="s">
        <v>216</v>
      </c>
      <c r="D263" s="984" t="str">
        <f>IFERROR(UPPER(IF(B263="CPU",VLOOKUP(C263,#REF!,2,0),IF(B263="SINAPI",VLOOKUP(C263,#REF!,2,0),IF(B263="EDIF",VLOOKUP(C263,#REF!,2,0),IF(B263="CPOS",VLOOKUP(C263,#REF!,3,0),IF(B263="FDE",VLOOKUP(C263,#REF!,2,0),IF(B263="INFRA",VLOOKUP(C263,#REF!,2,0),""))))))),"")</f>
        <v/>
      </c>
      <c r="E263" s="78" t="str">
        <f>IFERROR(UPPER(IF(B263="CPU",VLOOKUP(C263,#REF!,3,0),IF(B263="SINAPI",VLOOKUP(C263,#REF!,3,0),IF(B263="EDIF",VLOOKUP(C263,#REF!,3,0),IF(B263="CPOS",VLOOKUP(C263,#REF!,4,0),IF(B263="FDE",VLOOKUP(C263,#REF!,3,0),IF(B263="INFRA",VLOOKUP(C263,#REF!,3,0),""))))))),"")</f>
        <v/>
      </c>
      <c r="F263" s="936">
        <v>5</v>
      </c>
      <c r="G263" s="985" t="str">
        <f>IFERROR(IF(B263="CPU",VLOOKUP(C263,#REF!,4,0),IF(B263="SINAPI",VLOOKUP(C263,#REF!,5,0),IF(B263="EDIF",VLOOKUP(C263,#REF!,4,0),IF(B263="CPOS",VLOOKUP(C263,#REF!,7,0),IF(B263="FDE",VLOOKUP(C263,#REF!,5,0),IF(B263="INFRA",VLOOKUP(C263,#REF!,4,0),""))))))*VLOOKUP(B263,#REF!,3,0),"")</f>
        <v/>
      </c>
      <c r="H263" s="986">
        <v>0.25</v>
      </c>
      <c r="I263" s="987" t="str">
        <f>IFERROR(F263*((G263*(1+H263))),"")</f>
        <v/>
      </c>
      <c r="J263" s="988">
        <v>30503.3125</v>
      </c>
      <c r="K263" s="52"/>
      <c r="L263" s="940"/>
    </row>
    <row r="264" spans="1:12" s="25" customFormat="1" ht="27" customHeight="1">
      <c r="A264" s="933"/>
      <c r="B264" s="933"/>
      <c r="C264" s="934"/>
      <c r="D264" s="984" t="str">
        <f>IFERROR(UPPER(IF(B264="CPU",VLOOKUP(C264,#REF!,2,0),IF(B264="SINAPI",VLOOKUP(C264,#REF!,2,0),IF(B264="EDIF",VLOOKUP(C264,#REF!,2,0),IF(B264="CPOS",VLOOKUP(C264,#REF!,3,0),IF(B264="FDE",VLOOKUP(C264,#REF!,2,0),IF(B264="INFRA",VLOOKUP(C264,#REF!,2,0),""))))))),"")</f>
        <v/>
      </c>
      <c r="E264" s="78" t="str">
        <f>IFERROR(UPPER(IF(B264="CPU",VLOOKUP(C264,#REF!,3,0),IF(B264="SINAPI",VLOOKUP(C264,#REF!,3,0),IF(B264="EDIF",VLOOKUP(C264,#REF!,3,0),IF(B264="CPOS",VLOOKUP(C264,#REF!,4,0),IF(B264="FDE",VLOOKUP(C264,#REF!,3,0),IF(B264="INFRA",VLOOKUP(C264,#REF!,3,0),""))))))),"")</f>
        <v/>
      </c>
      <c r="F264" s="936"/>
      <c r="G264" s="985" t="str">
        <f>IFERROR(IF(B264="CPU",VLOOKUP(C264,#REF!,4,0),IF(B264="SINAPI",VLOOKUP(C264,#REF!,5,0),IF(B264="EDIF",VLOOKUP(C264,#REF!,4,0),IF(B264="CPOS",VLOOKUP(C264,#REF!,7,0),IF(B264="FDE",VLOOKUP(C264,#REF!,5,0),IF(B264="INFRA",VLOOKUP(C264,#REF!,4,0),""))))))*VLOOKUP(B264,#REF!,3,0),"")</f>
        <v/>
      </c>
      <c r="H264" s="986"/>
      <c r="I264" s="987" t="str">
        <f>IFERROR(F264*((G264*(1+H264))),"")</f>
        <v/>
      </c>
      <c r="J264" s="988"/>
      <c r="K264" s="52"/>
      <c r="L264" s="940"/>
    </row>
    <row r="265" spans="1:12" s="25" customFormat="1" ht="27" customHeight="1">
      <c r="A265" s="998">
        <v>16</v>
      </c>
      <c r="B265" s="1024"/>
      <c r="C265" s="1024"/>
      <c r="D265" s="1000" t="s">
        <v>5774</v>
      </c>
      <c r="E265" s="1025"/>
      <c r="F265" s="1026"/>
      <c r="G265" s="1027"/>
      <c r="H265" s="1026"/>
      <c r="I265" s="1005">
        <f>SUM(I266:I272)</f>
        <v>0</v>
      </c>
      <c r="J265" s="988"/>
      <c r="K265" s="52"/>
      <c r="L265" s="940"/>
    </row>
    <row r="266" spans="1:12" s="25" customFormat="1" ht="27" customHeight="1">
      <c r="A266" s="933" t="s">
        <v>952</v>
      </c>
      <c r="B266" s="933" t="s">
        <v>1479</v>
      </c>
      <c r="C266" s="1028" t="s">
        <v>5775</v>
      </c>
      <c r="D266" s="984" t="str">
        <f>IFERROR(UPPER(IF(B266="CPU",VLOOKUP(C266,#REF!,2,0),IF(B266="SINAPI",VLOOKUP(C266,#REF!,2,0),IF(B266="EDIF",VLOOKUP(C266,#REF!,2,0),IF(B266="CPOS",VLOOKUP(C266,#REF!,3,0),IF(B266="FDE",VLOOKUP(C266,#REF!,2,0),IF(B266="INFRA",VLOOKUP(C266,#REF!,2,0),""))))))),"")</f>
        <v/>
      </c>
      <c r="E266" s="78" t="str">
        <f>IFERROR(UPPER(IF(B266="CPU",VLOOKUP(C266,#REF!,3,0),IF(B266="SINAPI",VLOOKUP(C266,#REF!,3,0),IF(B266="EDIF",VLOOKUP(C266,#REF!,3,0),IF(B266="CPOS",VLOOKUP(C266,#REF!,4,0),IF(B266="FDE",VLOOKUP(C266,#REF!,3,0),IF(B266="INFRA",VLOOKUP(C266,#REF!,3,0),""))))))),"")</f>
        <v/>
      </c>
      <c r="F266" s="936">
        <v>252</v>
      </c>
      <c r="G266" s="985" t="str">
        <f>IFERROR(IF(B266="CPU",VLOOKUP(C266,#REF!,4,0),IF(B266="SINAPI",VLOOKUP(C266,#REF!,5,0),IF(B266="EDIF",VLOOKUP(C266,#REF!,4,0),IF(B266="CPOS",VLOOKUP(C266,#REF!,7,0),IF(B266="FDE",VLOOKUP(C266,#REF!,5,0),IF(B266="INFRA",VLOOKUP(C266,#REF!,4,0),""))))))*VLOOKUP(B266,#REF!,3,0),"")</f>
        <v/>
      </c>
      <c r="H266" s="986">
        <v>0.25</v>
      </c>
      <c r="I266" s="987" t="str">
        <f t="shared" ref="I266:I272" si="17">IFERROR(F266*((G266*(1+H266))),"")</f>
        <v/>
      </c>
      <c r="J266" s="988">
        <v>63781.2</v>
      </c>
      <c r="K266" s="52"/>
      <c r="L266" s="940"/>
    </row>
    <row r="267" spans="1:12" s="25" customFormat="1" ht="27" customHeight="1">
      <c r="A267" s="933" t="s">
        <v>967</v>
      </c>
      <c r="B267" s="933" t="s">
        <v>1479</v>
      </c>
      <c r="C267" s="1028" t="s">
        <v>5776</v>
      </c>
      <c r="D267" s="984" t="str">
        <f>IFERROR(UPPER(IF(B267="CPU",VLOOKUP(C267,#REF!,2,0),IF(B267="SINAPI",VLOOKUP(C267,#REF!,2,0),IF(B267="EDIF",VLOOKUP(C267,#REF!,2,0),IF(B267="CPOS",VLOOKUP(C267,#REF!,3,0),IF(B267="FDE",VLOOKUP(C267,#REF!,2,0),IF(B267="INFRA",VLOOKUP(C267,#REF!,2,0),""))))))),"")</f>
        <v/>
      </c>
      <c r="E267" s="78" t="str">
        <f>IFERROR(UPPER(IF(B267="CPU",VLOOKUP(C267,#REF!,3,0),IF(B267="SINAPI",VLOOKUP(C267,#REF!,3,0),IF(B267="EDIF",VLOOKUP(C267,#REF!,3,0),IF(B267="CPOS",VLOOKUP(C267,#REF!,4,0),IF(B267="FDE",VLOOKUP(C267,#REF!,3,0),IF(B267="INFRA",VLOOKUP(C267,#REF!,3,0),""))))))),"")</f>
        <v/>
      </c>
      <c r="F267" s="936">
        <v>41</v>
      </c>
      <c r="G267" s="985" t="str">
        <f>IFERROR(IF(B267="CPU",VLOOKUP(C267,#REF!,4,0),IF(B267="SINAPI",VLOOKUP(C267,#REF!,5,0),IF(B267="EDIF",VLOOKUP(C267,#REF!,4,0),IF(B267="CPOS",VLOOKUP(C267,#REF!,7,0),IF(B267="FDE",VLOOKUP(C267,#REF!,5,0),IF(B267="INFRA",VLOOKUP(C267,#REF!,4,0),""))))))*VLOOKUP(B267,#REF!,3,0),"")</f>
        <v/>
      </c>
      <c r="H267" s="986">
        <v>0.25</v>
      </c>
      <c r="I267" s="987" t="str">
        <f t="shared" si="17"/>
        <v/>
      </c>
      <c r="J267" s="988">
        <v>21501.424999999999</v>
      </c>
      <c r="K267" s="52"/>
      <c r="L267" s="940"/>
    </row>
    <row r="268" spans="1:12" s="25" customFormat="1" ht="27" customHeight="1">
      <c r="A268" s="933" t="s">
        <v>984</v>
      </c>
      <c r="B268" s="933" t="s">
        <v>1479</v>
      </c>
      <c r="C268" s="1028" t="s">
        <v>5777</v>
      </c>
      <c r="D268" s="984" t="str">
        <f>IFERROR(UPPER(IF(B268="CPU",VLOOKUP(C268,#REF!,2,0),IF(B268="SINAPI",VLOOKUP(C268,#REF!,2,0),IF(B268="EDIF",VLOOKUP(C268,#REF!,2,0),IF(B268="CPOS",VLOOKUP(C268,#REF!,3,0),IF(B268="FDE",VLOOKUP(C268,#REF!,2,0),IF(B268="INFRA",VLOOKUP(C268,#REF!,2,0),""))))))),"")</f>
        <v/>
      </c>
      <c r="E268" s="78" t="str">
        <f>IFERROR(UPPER(IF(B268="CPU",VLOOKUP(C268,#REF!,3,0),IF(B268="SINAPI",VLOOKUP(C268,#REF!,3,0),IF(B268="EDIF",VLOOKUP(C268,#REF!,3,0),IF(B268="CPOS",VLOOKUP(C268,#REF!,4,0),IF(B268="FDE",VLOOKUP(C268,#REF!,3,0),IF(B268="INFRA",VLOOKUP(C268,#REF!,3,0),""))))))),"")</f>
        <v/>
      </c>
      <c r="F268" s="936">
        <v>33</v>
      </c>
      <c r="G268" s="985" t="str">
        <f>IFERROR(IF(B268="CPU",VLOOKUP(C268,#REF!,4,0),IF(B268="SINAPI",VLOOKUP(C268,#REF!,5,0),IF(B268="EDIF",VLOOKUP(C268,#REF!,4,0),IF(B268="CPOS",VLOOKUP(C268,#REF!,7,0),IF(B268="FDE",VLOOKUP(C268,#REF!,5,0),IF(B268="INFRA",VLOOKUP(C268,#REF!,4,0),""))))))*VLOOKUP(B268,#REF!,3,0),"")</f>
        <v/>
      </c>
      <c r="H268" s="986">
        <v>0.25</v>
      </c>
      <c r="I268" s="987" t="str">
        <f t="shared" si="17"/>
        <v/>
      </c>
      <c r="J268" s="988">
        <v>6159.0375000000004</v>
      </c>
      <c r="K268" s="52"/>
      <c r="L268" s="940"/>
    </row>
    <row r="269" spans="1:12" s="25" customFormat="1" ht="27" customHeight="1">
      <c r="A269" s="933" t="s">
        <v>995</v>
      </c>
      <c r="B269" s="933" t="s">
        <v>1479</v>
      </c>
      <c r="C269" s="1028" t="s">
        <v>5778</v>
      </c>
      <c r="D269" s="984" t="str">
        <f>IFERROR(UPPER(IF(B269="CPU",VLOOKUP(C269,#REF!,2,0),IF(B269="SINAPI",VLOOKUP(C269,#REF!,2,0),IF(B269="EDIF",VLOOKUP(C269,#REF!,2,0),IF(B269="CPOS",VLOOKUP(C269,#REF!,3,0),IF(B269="FDE",VLOOKUP(C269,#REF!,2,0),IF(B269="INFRA",VLOOKUP(C269,#REF!,2,0),""))))))),"")</f>
        <v/>
      </c>
      <c r="E269" s="78" t="str">
        <f>IFERROR(UPPER(IF(B269="CPU",VLOOKUP(C269,#REF!,3,0),IF(B269="SINAPI",VLOOKUP(C269,#REF!,3,0),IF(B269="EDIF",VLOOKUP(C269,#REF!,3,0),IF(B269="CPOS",VLOOKUP(C269,#REF!,4,0),IF(B269="FDE",VLOOKUP(C269,#REF!,3,0),IF(B269="INFRA",VLOOKUP(C269,#REF!,3,0),""))))))),"")</f>
        <v/>
      </c>
      <c r="F269" s="936">
        <v>3</v>
      </c>
      <c r="G269" s="985" t="str">
        <f>IFERROR(IF(B269="CPU",VLOOKUP(C269,#REF!,4,0),IF(B269="SINAPI",VLOOKUP(C269,#REF!,5,0),IF(B269="EDIF",VLOOKUP(C269,#REF!,4,0),IF(B269="CPOS",VLOOKUP(C269,#REF!,7,0),IF(B269="FDE",VLOOKUP(C269,#REF!,5,0),IF(B269="INFRA",VLOOKUP(C269,#REF!,4,0),""))))))*VLOOKUP(B269,#REF!,3,0),"")</f>
        <v/>
      </c>
      <c r="H269" s="986">
        <v>0.25</v>
      </c>
      <c r="I269" s="987" t="str">
        <f t="shared" si="17"/>
        <v/>
      </c>
      <c r="J269" s="988">
        <v>897.75</v>
      </c>
      <c r="K269" s="52"/>
      <c r="L269" s="940"/>
    </row>
    <row r="270" spans="1:12" s="25" customFormat="1" ht="27" customHeight="1">
      <c r="A270" s="933" t="s">
        <v>1026</v>
      </c>
      <c r="B270" s="933" t="s">
        <v>4908</v>
      </c>
      <c r="C270" s="1028">
        <v>84885</v>
      </c>
      <c r="D270" s="984" t="str">
        <f>IFERROR(UPPER(IF(B270="CPU",VLOOKUP(C270,#REF!,2,0),IF(B270="SINAPI",VLOOKUP(C270,#REF!,2,0),IF(B270="EDIF",VLOOKUP(C270,#REF!,2,0),IF(B270="CPOS",VLOOKUP(C270,#REF!,3,0),IF(B270="FDE",VLOOKUP(C270,#REF!,2,0),IF(B270="INFRA",VLOOKUP(C270,#REF!,2,0),""))))))),"")</f>
        <v/>
      </c>
      <c r="E270" s="78" t="str">
        <f>IFERROR(UPPER(IF(B270="CPU",VLOOKUP(C270,#REF!,3,0),IF(B270="SINAPI",VLOOKUP(C270,#REF!,3,0),IF(B270="EDIF",VLOOKUP(C270,#REF!,3,0),IF(B270="CPOS",VLOOKUP(C270,#REF!,4,0),IF(B270="FDE",VLOOKUP(C270,#REF!,3,0),IF(B270="INFRA",VLOOKUP(C270,#REF!,3,0),""))))))),"")</f>
        <v/>
      </c>
      <c r="F270" s="936">
        <v>4</v>
      </c>
      <c r="G270" s="985" t="str">
        <f>IFERROR(IF(B270="CPU",VLOOKUP(C270,#REF!,4,0),IF(B270="SINAPI",VLOOKUP(C270,#REF!,5,0),IF(B270="EDIF",VLOOKUP(C270,#REF!,4,0),IF(B270="CPOS",VLOOKUP(C270,#REF!,7,0),IF(B270="FDE",VLOOKUP(C270,#REF!,5,0),IF(B270="INFRA",VLOOKUP(C270,#REF!,4,0),""))))))*VLOOKUP(B270,#REF!,3,0),"")</f>
        <v/>
      </c>
      <c r="H270" s="986">
        <v>0.25</v>
      </c>
      <c r="I270" s="987" t="str">
        <f t="shared" si="17"/>
        <v/>
      </c>
      <c r="J270" s="988">
        <v>4290.2</v>
      </c>
      <c r="K270" s="52"/>
      <c r="L270" s="940"/>
    </row>
    <row r="271" spans="1:12" s="25" customFormat="1" ht="27" customHeight="1">
      <c r="A271" s="933" t="s">
        <v>1055</v>
      </c>
      <c r="B271" s="933" t="s">
        <v>4908</v>
      </c>
      <c r="C271" s="1028">
        <v>84886</v>
      </c>
      <c r="D271" s="984" t="str">
        <f>IFERROR(UPPER(IF(B271="CPU",VLOOKUP(C271,#REF!,2,0),IF(B271="SINAPI",VLOOKUP(C271,#REF!,2,0),IF(B271="EDIF",VLOOKUP(C271,#REF!,2,0),IF(B271="CPOS",VLOOKUP(C271,#REF!,3,0),IF(B271="FDE",VLOOKUP(C271,#REF!,2,0),IF(B271="INFRA",VLOOKUP(C271,#REF!,2,0),""))))))),"")</f>
        <v/>
      </c>
      <c r="E271" s="78" t="str">
        <f>IFERROR(UPPER(IF(B271="CPU",VLOOKUP(C271,#REF!,3,0),IF(B271="SINAPI",VLOOKUP(C271,#REF!,3,0),IF(B271="EDIF",VLOOKUP(C271,#REF!,3,0),IF(B271="CPOS",VLOOKUP(C271,#REF!,4,0),IF(B271="FDE",VLOOKUP(C271,#REF!,3,0),IF(B271="INFRA",VLOOKUP(C271,#REF!,3,0),""))))))),"")</f>
        <v/>
      </c>
      <c r="F271" s="936">
        <v>2</v>
      </c>
      <c r="G271" s="985" t="str">
        <f>IFERROR(IF(B271="CPU",VLOOKUP(C271,#REF!,4,0),IF(B271="SINAPI",VLOOKUP(C271,#REF!,5,0),IF(B271="EDIF",VLOOKUP(C271,#REF!,4,0),IF(B271="CPOS",VLOOKUP(C271,#REF!,7,0),IF(B271="FDE",VLOOKUP(C271,#REF!,5,0),IF(B271="INFRA",VLOOKUP(C271,#REF!,4,0),""))))))*VLOOKUP(B271,#REF!,3,0),"")</f>
        <v/>
      </c>
      <c r="H271" s="986">
        <v>0.25</v>
      </c>
      <c r="I271" s="987" t="str">
        <f t="shared" si="17"/>
        <v/>
      </c>
      <c r="J271" s="988">
        <v>4290.7749999999996</v>
      </c>
      <c r="K271" s="52"/>
      <c r="L271" s="940"/>
    </row>
    <row r="272" spans="1:12" s="25" customFormat="1" ht="27" customHeight="1">
      <c r="A272" s="933" t="s">
        <v>1062</v>
      </c>
      <c r="B272" s="933" t="s">
        <v>1479</v>
      </c>
      <c r="C272" s="1012" t="s">
        <v>5779</v>
      </c>
      <c r="D272" s="984" t="str">
        <f>IFERROR(UPPER(IF(B272="CPU",VLOOKUP(C272,#REF!,2,0),IF(B272="SINAPI",VLOOKUP(C272,#REF!,2,0),IF(B272="EDIF",VLOOKUP(C272,#REF!,2,0),IF(B272="CPOS",VLOOKUP(C272,#REF!,3,0),IF(B272="FDE",VLOOKUP(C272,#REF!,2,0),IF(B272="INFRA",VLOOKUP(C272,#REF!,2,0),""))))))),"")</f>
        <v/>
      </c>
      <c r="E272" s="78" t="str">
        <f>IFERROR(UPPER(IF(B272="CPU",VLOOKUP(C272,#REF!,3,0),IF(B272="SINAPI",VLOOKUP(C272,#REF!,3,0),IF(B272="EDIF",VLOOKUP(C272,#REF!,3,0),IF(B272="CPOS",VLOOKUP(C272,#REF!,4,0),IF(B272="FDE",VLOOKUP(C272,#REF!,3,0),IF(B272="INFRA",VLOOKUP(C272,#REF!,3,0),""))))))),"")</f>
        <v/>
      </c>
      <c r="F272" s="936">
        <v>44</v>
      </c>
      <c r="G272" s="985" t="str">
        <f>IFERROR(IF(B272="CPU",VLOOKUP(C272,#REF!,4,0),IF(B272="SINAPI",VLOOKUP(C272,#REF!,5,0),IF(B272="EDIF",VLOOKUP(C272,#REF!,4,0),IF(B272="CPOS",VLOOKUP(C272,#REF!,7,0),IF(B272="FDE",VLOOKUP(C272,#REF!,5,0),IF(B272="INFRA",VLOOKUP(C272,#REF!,4,0),""))))))*VLOOKUP(B272,#REF!,3,0),"")</f>
        <v/>
      </c>
      <c r="H272" s="986">
        <v>0.25</v>
      </c>
      <c r="I272" s="987" t="str">
        <f t="shared" si="17"/>
        <v/>
      </c>
      <c r="J272" s="988">
        <v>39436.1</v>
      </c>
      <c r="K272" s="52"/>
      <c r="L272" s="940"/>
    </row>
    <row r="273" spans="1:12" s="25" customFormat="1" ht="27" customHeight="1">
      <c r="A273" s="1015"/>
      <c r="B273" s="1015"/>
      <c r="C273" s="1023"/>
      <c r="D273" s="1017"/>
      <c r="E273" s="1018"/>
      <c r="F273" s="1019"/>
      <c r="G273" s="1029"/>
      <c r="H273" s="1021"/>
      <c r="I273" s="1022"/>
      <c r="J273" s="988"/>
      <c r="K273" s="52"/>
      <c r="L273" s="940"/>
    </row>
    <row r="274" spans="1:12" s="25" customFormat="1" ht="27" customHeight="1">
      <c r="A274" s="998">
        <v>17</v>
      </c>
      <c r="B274" s="1024"/>
      <c r="C274" s="1024"/>
      <c r="D274" s="1000" t="s">
        <v>5780</v>
      </c>
      <c r="E274" s="1025"/>
      <c r="F274" s="1026"/>
      <c r="G274" s="1027"/>
      <c r="H274" s="1026"/>
      <c r="I274" s="1005">
        <f>SUM(I275:I279)</f>
        <v>0</v>
      </c>
      <c r="J274" s="988"/>
      <c r="K274" s="52"/>
      <c r="L274" s="940"/>
    </row>
    <row r="275" spans="1:12" s="25" customFormat="1" ht="27" customHeight="1">
      <c r="A275" s="933" t="s">
        <v>5494</v>
      </c>
      <c r="B275" s="933" t="s">
        <v>1479</v>
      </c>
      <c r="C275" s="1012" t="s">
        <v>5781</v>
      </c>
      <c r="D275" s="984" t="str">
        <f>IFERROR(UPPER(IF(B275="CPU",VLOOKUP(C275,#REF!,2,0),IF(B275="SINAPI",VLOOKUP(C275,#REF!,2,0),IF(B275="EDIF",VLOOKUP(C275,#REF!,2,0),IF(B275="CPOS",VLOOKUP(C275,#REF!,3,0),IF(B275="FDE",VLOOKUP(C275,#REF!,2,0),IF(B275="INFRA",VLOOKUP(C275,#REF!,2,0),""))))))),"")</f>
        <v/>
      </c>
      <c r="E275" s="78" t="str">
        <f>IFERROR(UPPER(IF(B275="CPU",VLOOKUP(C275,#REF!,3,0),IF(B275="SINAPI",VLOOKUP(C275,#REF!,3,0),IF(B275="EDIF",VLOOKUP(C275,#REF!,3,0),IF(B275="CPOS",VLOOKUP(C275,#REF!,4,0),IF(B275="FDE",VLOOKUP(C275,#REF!,3,0),IF(B275="INFRA",VLOOKUP(C275,#REF!,3,0),""))))))),"")</f>
        <v/>
      </c>
      <c r="F275" s="936">
        <v>120</v>
      </c>
      <c r="G275" s="985" t="str">
        <f>IFERROR(IF(B275="CPU",VLOOKUP(C275,#REF!,4,0),IF(B275="SINAPI",VLOOKUP(C275,#REF!,5,0),IF(B275="EDIF",VLOOKUP(C275,#REF!,4,0),IF(B275="CPOS",VLOOKUP(C275,#REF!,7,0),IF(B275="FDE",VLOOKUP(C275,#REF!,5,0),IF(B275="INFRA",VLOOKUP(C275,#REF!,4,0),""))))))*VLOOKUP(B275,#REF!,3,0),"")</f>
        <v/>
      </c>
      <c r="H275" s="986">
        <v>0.25</v>
      </c>
      <c r="I275" s="987" t="str">
        <f>IFERROR(F275*((G275*(1+H275))),"")</f>
        <v/>
      </c>
      <c r="J275" s="988">
        <v>14598</v>
      </c>
      <c r="K275" s="52"/>
      <c r="L275" s="940"/>
    </row>
    <row r="276" spans="1:12" s="25" customFormat="1" ht="27" customHeight="1">
      <c r="A276" s="933" t="s">
        <v>5496</v>
      </c>
      <c r="B276" s="933" t="s">
        <v>1479</v>
      </c>
      <c r="C276" s="1012" t="s">
        <v>5782</v>
      </c>
      <c r="D276" s="984" t="str">
        <f>IFERROR(UPPER(IF(B276="CPU",VLOOKUP(C276,#REF!,2,0),IF(B276="SINAPI",VLOOKUP(C276,#REF!,2,0),IF(B276="EDIF",VLOOKUP(C276,#REF!,2,0),IF(B276="CPOS",VLOOKUP(C276,#REF!,3,0),IF(B276="FDE",VLOOKUP(C276,#REF!,2,0),IF(B276="INFRA",VLOOKUP(C276,#REF!,2,0),""))))))),"")</f>
        <v/>
      </c>
      <c r="E276" s="78" t="str">
        <f>IFERROR(UPPER(IF(B276="CPU",VLOOKUP(C276,#REF!,3,0),IF(B276="SINAPI",VLOOKUP(C276,#REF!,3,0),IF(B276="EDIF",VLOOKUP(C276,#REF!,3,0),IF(B276="CPOS",VLOOKUP(C276,#REF!,4,0),IF(B276="FDE",VLOOKUP(C276,#REF!,3,0),IF(B276="INFRA",VLOOKUP(C276,#REF!,3,0),""))))))),"")</f>
        <v/>
      </c>
      <c r="F276" s="936">
        <v>60</v>
      </c>
      <c r="G276" s="985" t="str">
        <f>IFERROR(IF(B276="CPU",VLOOKUP(C276,#REF!,4,0),IF(B276="SINAPI",VLOOKUP(C276,#REF!,5,0),IF(B276="EDIF",VLOOKUP(C276,#REF!,4,0),IF(B276="CPOS",VLOOKUP(C276,#REF!,7,0),IF(B276="FDE",VLOOKUP(C276,#REF!,5,0),IF(B276="INFRA",VLOOKUP(C276,#REF!,4,0),""))))))*VLOOKUP(B276,#REF!,3,0),"")</f>
        <v/>
      </c>
      <c r="H276" s="986">
        <v>0.25</v>
      </c>
      <c r="I276" s="987" t="str">
        <f>IFERROR(F276*((G276*(1+H276))),"")</f>
        <v/>
      </c>
      <c r="J276" s="988">
        <v>9416.25</v>
      </c>
      <c r="K276" s="52"/>
      <c r="L276" s="940"/>
    </row>
    <row r="277" spans="1:12" s="25" customFormat="1" ht="27" customHeight="1">
      <c r="A277" s="933" t="s">
        <v>5499</v>
      </c>
      <c r="B277" s="933" t="s">
        <v>1479</v>
      </c>
      <c r="C277" s="1012" t="s">
        <v>5783</v>
      </c>
      <c r="D277" s="984" t="str">
        <f>IFERROR(UPPER(IF(B277="CPU",VLOOKUP(C277,#REF!,2,0),IF(B277="SINAPI",VLOOKUP(C277,#REF!,2,0),IF(B277="EDIF",VLOOKUP(C277,#REF!,2,0),IF(B277="CPOS",VLOOKUP(C277,#REF!,3,0),IF(B277="FDE",VLOOKUP(C277,#REF!,2,0),IF(B277="INFRA",VLOOKUP(C277,#REF!,2,0),""))))))),"")</f>
        <v/>
      </c>
      <c r="E277" s="78" t="str">
        <f>IFERROR(UPPER(IF(B277="CPU",VLOOKUP(C277,#REF!,3,0),IF(B277="SINAPI",VLOOKUP(C277,#REF!,3,0),IF(B277="EDIF",VLOOKUP(C277,#REF!,3,0),IF(B277="CPOS",VLOOKUP(C277,#REF!,4,0),IF(B277="FDE",VLOOKUP(C277,#REF!,3,0),IF(B277="INFRA",VLOOKUP(C277,#REF!,3,0),""))))))),"")</f>
        <v/>
      </c>
      <c r="F277" s="936">
        <v>57</v>
      </c>
      <c r="G277" s="985" t="str">
        <f>IFERROR(IF(B277="CPU",VLOOKUP(C277,#REF!,4,0),IF(B277="SINAPI",VLOOKUP(C277,#REF!,5,0),IF(B277="EDIF",VLOOKUP(C277,#REF!,4,0),IF(B277="CPOS",VLOOKUP(C277,#REF!,7,0),IF(B277="FDE",VLOOKUP(C277,#REF!,5,0),IF(B277="INFRA",VLOOKUP(C277,#REF!,4,0),""))))))*VLOOKUP(B277,#REF!,3,0),"")</f>
        <v/>
      </c>
      <c r="H277" s="986">
        <v>0.25</v>
      </c>
      <c r="I277" s="987" t="str">
        <f>IFERROR(F277*((G277*(1+H277))),"")</f>
        <v/>
      </c>
      <c r="J277" s="988">
        <v>17957.849999999999</v>
      </c>
      <c r="K277" s="52"/>
      <c r="L277" s="940"/>
    </row>
    <row r="278" spans="1:12" s="25" customFormat="1" ht="27" customHeight="1">
      <c r="A278" s="933" t="s">
        <v>5501</v>
      </c>
      <c r="B278" s="933" t="s">
        <v>1479</v>
      </c>
      <c r="C278" s="1012" t="s">
        <v>5784</v>
      </c>
      <c r="D278" s="984" t="str">
        <f>IFERROR(UPPER(IF(B278="CPU",VLOOKUP(C278,#REF!,2,0),IF(B278="SINAPI",VLOOKUP(C278,#REF!,2,0),IF(B278="EDIF",VLOOKUP(C278,#REF!,2,0),IF(B278="CPOS",VLOOKUP(C278,#REF!,3,0),IF(B278="FDE",VLOOKUP(C278,#REF!,2,0),IF(B278="INFRA",VLOOKUP(C278,#REF!,2,0),""))))))),"")</f>
        <v/>
      </c>
      <c r="E278" s="78" t="str">
        <f>IFERROR(UPPER(IF(B278="CPU",VLOOKUP(C278,#REF!,3,0),IF(B278="SINAPI",VLOOKUP(C278,#REF!,3,0),IF(B278="EDIF",VLOOKUP(C278,#REF!,3,0),IF(B278="CPOS",VLOOKUP(C278,#REF!,4,0),IF(B278="FDE",VLOOKUP(C278,#REF!,3,0),IF(B278="INFRA",VLOOKUP(C278,#REF!,3,0),""))))))),"")</f>
        <v/>
      </c>
      <c r="F278" s="936">
        <v>60</v>
      </c>
      <c r="G278" s="985" t="str">
        <f>IFERROR(IF(B278="CPU",VLOOKUP(C278,#REF!,4,0),IF(B278="SINAPI",VLOOKUP(C278,#REF!,5,0),IF(B278="EDIF",VLOOKUP(C278,#REF!,4,0),IF(B278="CPOS",VLOOKUP(C278,#REF!,7,0),IF(B278="FDE",VLOOKUP(C278,#REF!,5,0),IF(B278="INFRA",VLOOKUP(C278,#REF!,4,0),""))))))*VLOOKUP(B278,#REF!,3,0),"")</f>
        <v/>
      </c>
      <c r="H278" s="986">
        <v>0.25</v>
      </c>
      <c r="I278" s="987" t="str">
        <f>IFERROR(F278*((G278*(1+H278))),"")</f>
        <v/>
      </c>
      <c r="J278" s="988">
        <v>25975.5</v>
      </c>
      <c r="K278" s="52"/>
      <c r="L278" s="940"/>
    </row>
    <row r="279" spans="1:12" s="25" customFormat="1" ht="27" customHeight="1">
      <c r="A279" s="933" t="s">
        <v>5785</v>
      </c>
      <c r="B279" s="933" t="s">
        <v>1479</v>
      </c>
      <c r="C279" s="934" t="s">
        <v>5786</v>
      </c>
      <c r="D279" s="984" t="str">
        <f>IFERROR(UPPER(IF(B279="CPU",VLOOKUP(C279,#REF!,2,0),IF(B279="SINAPI",VLOOKUP(C279,#REF!,2,0),IF(B279="EDIF",VLOOKUP(C279,#REF!,2,0),IF(B279="CPOS",VLOOKUP(C279,#REF!,3,0),IF(B279="FDE",VLOOKUP(C279,#REF!,2,0),IF(B279="INFRA",VLOOKUP(C279,#REF!,2,0),""))))))),"")</f>
        <v/>
      </c>
      <c r="E279" s="78" t="str">
        <f>IFERROR(UPPER(IF(B279="CPU",VLOOKUP(C279,#REF!,3,0),IF(B279="SINAPI",VLOOKUP(C279,#REF!,3,0),IF(B279="EDIF",VLOOKUP(C279,#REF!,3,0),IF(B279="CPOS",VLOOKUP(C279,#REF!,4,0),IF(B279="FDE",VLOOKUP(C279,#REF!,3,0),IF(B279="INFRA",VLOOKUP(C279,#REF!,3,0),""))))))),"")</f>
        <v/>
      </c>
      <c r="F279" s="936">
        <v>57</v>
      </c>
      <c r="G279" s="985" t="str">
        <f>IFERROR(IF(B279="CPU",VLOOKUP(C279,#REF!,4,0),IF(B279="SINAPI",VLOOKUP(C279,#REF!,5,0),IF(B279="EDIF",VLOOKUP(C279,#REF!,4,0),IF(B279="CPOS",VLOOKUP(C279,#REF!,7,0),IF(B279="FDE",VLOOKUP(C279,#REF!,5,0),IF(B279="INFRA",VLOOKUP(C279,#REF!,4,0),""))))))*VLOOKUP(B279,#REF!,3,0),"")</f>
        <v/>
      </c>
      <c r="H279" s="986">
        <v>0.25</v>
      </c>
      <c r="I279" s="987" t="str">
        <f>IFERROR(F279*((G279*(1+H279))),"")</f>
        <v/>
      </c>
      <c r="J279" s="988">
        <v>48023.925000000003</v>
      </c>
      <c r="K279" s="52"/>
      <c r="L279" s="940"/>
    </row>
    <row r="280" spans="1:12" s="25" customFormat="1" ht="27" customHeight="1">
      <c r="A280" s="1015"/>
      <c r="B280" s="1015"/>
      <c r="C280" s="1023"/>
      <c r="D280" s="984"/>
      <c r="E280" s="78"/>
      <c r="F280" s="936"/>
      <c r="G280" s="985"/>
      <c r="H280" s="986"/>
      <c r="I280" s="987"/>
      <c r="J280" s="988"/>
      <c r="K280" s="52"/>
      <c r="L280" s="940"/>
    </row>
    <row r="281" spans="1:12" s="25" customFormat="1" ht="27" customHeight="1">
      <c r="A281" s="998">
        <v>18</v>
      </c>
      <c r="B281" s="1024"/>
      <c r="C281" s="1024"/>
      <c r="D281" s="1000" t="s">
        <v>923</v>
      </c>
      <c r="E281" s="1025"/>
      <c r="F281" s="1026"/>
      <c r="G281" s="1027"/>
      <c r="H281" s="1026"/>
      <c r="I281" s="1005">
        <f>SUM(I282:I287)</f>
        <v>0</v>
      </c>
      <c r="J281" s="988"/>
      <c r="K281" s="52"/>
      <c r="L281" s="940"/>
    </row>
    <row r="282" spans="1:12" s="25" customFormat="1" ht="27" customHeight="1">
      <c r="A282" s="933" t="s">
        <v>5504</v>
      </c>
      <c r="B282" s="933" t="s">
        <v>4908</v>
      </c>
      <c r="C282" s="934">
        <v>88484</v>
      </c>
      <c r="D282" s="984" t="str">
        <f>IFERROR(UPPER(IF(B282="CPU",VLOOKUP(C282,#REF!,2,0),IF(B282="SINAPI",VLOOKUP(C282,#REF!,2,0),IF(B282="EDIF",VLOOKUP(C282,#REF!,2,0),IF(B282="CPOS",VLOOKUP(C282,#REF!,3,0),IF(B282="FDE",VLOOKUP(C282,#REF!,2,0),IF(B282="INFRA",VLOOKUP(C282,#REF!,2,0),""))))))),"")</f>
        <v/>
      </c>
      <c r="E282" s="78" t="str">
        <f>IFERROR(UPPER(IF(B282="CPU",VLOOKUP(C282,#REF!,3,0),IF(B282="SINAPI",VLOOKUP(C282,#REF!,3,0),IF(B282="EDIF",VLOOKUP(C282,#REF!,3,0),IF(B282="CPOS",VLOOKUP(C282,#REF!,4,0),IF(B282="FDE",VLOOKUP(C282,#REF!,3,0),IF(B282="INFRA",VLOOKUP(C282,#REF!,3,0),""))))))),"")</f>
        <v/>
      </c>
      <c r="F282" s="936">
        <v>5059.5200000000004</v>
      </c>
      <c r="G282" s="985" t="str">
        <f>IFERROR(IF(B282="CPU",VLOOKUP(C282,#REF!,4,0),IF(B282="SINAPI",VLOOKUP(C282,#REF!,5,0),IF(B282="EDIF",VLOOKUP(C282,#REF!,4,0),IF(B282="CPOS",VLOOKUP(C282,#REF!,7,0),IF(B282="FDE",VLOOKUP(C282,#REF!,5,0),IF(B282="INFRA",VLOOKUP(C282,#REF!,4,0),""))))))*VLOOKUP(B282,#REF!,3,0),"")</f>
        <v/>
      </c>
      <c r="H282" s="986">
        <v>0.25</v>
      </c>
      <c r="I282" s="987" t="str">
        <f t="shared" ref="I282:I287" si="18">IFERROR(F282*((G282*(1+H282))),"")</f>
        <v/>
      </c>
      <c r="J282" s="988">
        <v>16886.148000000001</v>
      </c>
      <c r="K282" s="52"/>
      <c r="L282" s="940"/>
    </row>
    <row r="283" spans="1:12" s="25" customFormat="1" ht="27" customHeight="1">
      <c r="A283" s="933" t="s">
        <v>5506</v>
      </c>
      <c r="B283" s="933" t="s">
        <v>4908</v>
      </c>
      <c r="C283" s="934">
        <v>88485</v>
      </c>
      <c r="D283" s="984" t="str">
        <f>IFERROR(UPPER(IF(B283="CPU",VLOOKUP(C283,#REF!,2,0),IF(B283="SINAPI",VLOOKUP(C283,#REF!,2,0),IF(B283="EDIF",VLOOKUP(C283,#REF!,2,0),IF(B283="CPOS",VLOOKUP(C283,#REF!,3,0),IF(B283="FDE",VLOOKUP(C283,#REF!,2,0),IF(B283="INFRA",VLOOKUP(C283,#REF!,2,0),""))))))),"")</f>
        <v/>
      </c>
      <c r="E283" s="78" t="str">
        <f>IFERROR(UPPER(IF(B283="CPU",VLOOKUP(C283,#REF!,3,0),IF(B283="SINAPI",VLOOKUP(C283,#REF!,3,0),IF(B283="EDIF",VLOOKUP(C283,#REF!,3,0),IF(B283="CPOS",VLOOKUP(C283,#REF!,4,0),IF(B283="FDE",VLOOKUP(C283,#REF!,3,0),IF(B283="INFRA",VLOOKUP(C283,#REF!,3,0),""))))))),"")</f>
        <v/>
      </c>
      <c r="F283" s="936">
        <v>19806.55</v>
      </c>
      <c r="G283" s="985" t="str">
        <f>IFERROR(IF(B283="CPU",VLOOKUP(C283,#REF!,4,0),IF(B283="SINAPI",VLOOKUP(C283,#REF!,5,0),IF(B283="EDIF",VLOOKUP(C283,#REF!,4,0),IF(B283="CPOS",VLOOKUP(C283,#REF!,7,0),IF(B283="FDE",VLOOKUP(C283,#REF!,5,0),IF(B283="INFRA",VLOOKUP(C283,#REF!,4,0),""))))))*VLOOKUP(B283,#REF!,3,0),"")</f>
        <v/>
      </c>
      <c r="H283" s="986">
        <v>0.25</v>
      </c>
      <c r="I283" s="987" t="str">
        <f t="shared" si="18"/>
        <v/>
      </c>
      <c r="J283" s="988">
        <v>56201.085625</v>
      </c>
      <c r="K283" s="52"/>
      <c r="L283" s="940"/>
    </row>
    <row r="284" spans="1:12" s="25" customFormat="1" ht="27" customHeight="1">
      <c r="A284" s="933" t="s">
        <v>5508</v>
      </c>
      <c r="B284" s="933" t="s">
        <v>4908</v>
      </c>
      <c r="C284" s="934">
        <v>96128</v>
      </c>
      <c r="D284" s="984" t="str">
        <f>IFERROR(UPPER(IF(B284="CPU",VLOOKUP(C284,#REF!,2,0),IF(B284="SINAPI",VLOOKUP(C284,#REF!,2,0),IF(B284="EDIF",VLOOKUP(C284,#REF!,2,0),IF(B284="CPOS",VLOOKUP(C284,#REF!,3,0),IF(B284="FDE",VLOOKUP(C284,#REF!,2,0),IF(B284="INFRA",VLOOKUP(C284,#REF!,2,0),""))))))),"")</f>
        <v/>
      </c>
      <c r="E284" s="78" t="str">
        <f>IFERROR(UPPER(IF(B284="CPU",VLOOKUP(C284,#REF!,3,0),IF(B284="SINAPI",VLOOKUP(C284,#REF!,3,0),IF(B284="EDIF",VLOOKUP(C284,#REF!,3,0),IF(B284="CPOS",VLOOKUP(C284,#REF!,4,0),IF(B284="FDE",VLOOKUP(C284,#REF!,3,0),IF(B284="INFRA",VLOOKUP(C284,#REF!,3,0),""))))))),"")</f>
        <v/>
      </c>
      <c r="F284" s="936">
        <v>24866.06</v>
      </c>
      <c r="G284" s="985" t="str">
        <f>IFERROR(IF(B284="CPU",VLOOKUP(C284,#REF!,4,0),IF(B284="SINAPI",VLOOKUP(C284,#REF!,5,0),IF(B284="EDIF",VLOOKUP(C284,#REF!,4,0),IF(B284="CPOS",VLOOKUP(C284,#REF!,7,0),IF(B284="FDE",VLOOKUP(C284,#REF!,5,0),IF(B284="INFRA",VLOOKUP(C284,#REF!,4,0),""))))))*VLOOKUP(B284,#REF!,3,0),"")</f>
        <v/>
      </c>
      <c r="H284" s="986">
        <v>0.25</v>
      </c>
      <c r="I284" s="987" t="str">
        <f t="shared" si="18"/>
        <v/>
      </c>
      <c r="J284" s="988">
        <v>747846.75450000004</v>
      </c>
      <c r="K284" s="52"/>
      <c r="L284" s="940"/>
    </row>
    <row r="285" spans="1:12" s="25" customFormat="1" ht="27" customHeight="1">
      <c r="A285" s="933" t="s">
        <v>5510</v>
      </c>
      <c r="B285" s="933" t="s">
        <v>4908</v>
      </c>
      <c r="C285" s="934">
        <v>95625</v>
      </c>
      <c r="D285" s="984" t="str">
        <f>IFERROR(UPPER(IF(B285="CPU",VLOOKUP(C285,#REF!,2,0),IF(B285="SINAPI",VLOOKUP(C285,#REF!,2,0),IF(B285="EDIF",VLOOKUP(C285,#REF!,2,0),IF(B285="CPOS",VLOOKUP(C285,#REF!,3,0),IF(B285="FDE",VLOOKUP(C285,#REF!,2,0),IF(B285="INFRA",VLOOKUP(C285,#REF!,2,0),""))))))),"")</f>
        <v/>
      </c>
      <c r="E285" s="78" t="str">
        <f>IFERROR(UPPER(IF(B285="CPU",VLOOKUP(C285,#REF!,3,0),IF(B285="SINAPI",VLOOKUP(C285,#REF!,3,0),IF(B285="EDIF",VLOOKUP(C285,#REF!,3,0),IF(B285="CPOS",VLOOKUP(C285,#REF!,4,0),IF(B285="FDE",VLOOKUP(C285,#REF!,3,0),IF(B285="INFRA",VLOOKUP(C285,#REF!,3,0),""))))))),"")</f>
        <v/>
      </c>
      <c r="F285" s="936">
        <v>25132.62</v>
      </c>
      <c r="G285" s="985" t="str">
        <f>IFERROR(IF(B285="CPU",VLOOKUP(C285,#REF!,4,0),IF(B285="SINAPI",VLOOKUP(C285,#REF!,5,0),IF(B285="EDIF",VLOOKUP(C285,#REF!,4,0),IF(B285="CPOS",VLOOKUP(C285,#REF!,7,0),IF(B285="FDE",VLOOKUP(C285,#REF!,5,0),IF(B285="INFRA",VLOOKUP(C285,#REF!,4,0),""))))))*VLOOKUP(B285,#REF!,3,0),"")</f>
        <v/>
      </c>
      <c r="H285" s="986">
        <v>0.25</v>
      </c>
      <c r="I285" s="987" t="str">
        <f t="shared" si="18"/>
        <v/>
      </c>
      <c r="J285" s="988">
        <v>661930.37925</v>
      </c>
      <c r="K285" s="52"/>
      <c r="L285" s="940"/>
    </row>
    <row r="286" spans="1:12" s="25" customFormat="1" ht="27" customHeight="1">
      <c r="A286" s="933" t="s">
        <v>5787</v>
      </c>
      <c r="B286" s="933" t="s">
        <v>4908</v>
      </c>
      <c r="C286" s="1014" t="s">
        <v>5788</v>
      </c>
      <c r="D286" s="984" t="str">
        <f>IFERROR(UPPER(IF(B286="CPU",VLOOKUP(C286,#REF!,2,0),IF(B286="SINAPI",VLOOKUP(C286,#REF!,2,0),IF(B286="EDIF",VLOOKUP(C286,#REF!,2,0),IF(B286="CPOS",VLOOKUP(C286,#REF!,3,0),IF(B286="FDE",VLOOKUP(C286,#REF!,2,0),IF(B286="INFRA",VLOOKUP(C286,#REF!,2,0),""))))))),"")</f>
        <v/>
      </c>
      <c r="E286" s="78" t="str">
        <f>IFERROR(UPPER(IF(B286="CPU",VLOOKUP(C286,#REF!,3,0),IF(B286="SINAPI",VLOOKUP(C286,#REF!,3,0),IF(B286="EDIF",VLOOKUP(C286,#REF!,3,0),IF(B286="CPOS",VLOOKUP(C286,#REF!,4,0),IF(B286="FDE",VLOOKUP(C286,#REF!,3,0),IF(B286="INFRA",VLOOKUP(C286,#REF!,3,0),""))))))),"")</f>
        <v/>
      </c>
      <c r="F286" s="936">
        <v>80.52</v>
      </c>
      <c r="G286" s="985" t="str">
        <f>IFERROR(IF(B286="CPU",VLOOKUP(C286,#REF!,4,0),IF(B286="SINAPI",VLOOKUP(C286,#REF!,5,0),IF(B286="EDIF",VLOOKUP(C286,#REF!,4,0),IF(B286="CPOS",VLOOKUP(C286,#REF!,7,0),IF(B286="FDE",VLOOKUP(C286,#REF!,5,0),IF(B286="INFRA",VLOOKUP(C286,#REF!,4,0),""))))))*VLOOKUP(B286,#REF!,3,0),"")</f>
        <v/>
      </c>
      <c r="H286" s="986">
        <v>0.25</v>
      </c>
      <c r="I286" s="987" t="str">
        <f t="shared" si="18"/>
        <v/>
      </c>
      <c r="J286" s="988">
        <v>4003.857</v>
      </c>
      <c r="K286" s="52"/>
      <c r="L286" s="940"/>
    </row>
    <row r="287" spans="1:12" s="25" customFormat="1" ht="27" customHeight="1">
      <c r="A287" s="933" t="s">
        <v>5789</v>
      </c>
      <c r="B287" s="933" t="s">
        <v>4908</v>
      </c>
      <c r="C287" s="1014" t="s">
        <v>5790</v>
      </c>
      <c r="D287" s="1030" t="str">
        <f>IFERROR(UPPER(IF(B287="CPU",VLOOKUP(C287,#REF!,2,0),IF(B287="SINAPI",VLOOKUP(C287,#REF!,2,0),IF(B287="EDIF",VLOOKUP(C287,#REF!,2,0),IF(B287="CPOS",VLOOKUP(C287,#REF!,3,0),IF(B287="FDE",VLOOKUP(C287,#REF!,2,0),IF(B287="INFRA",VLOOKUP(C287,#REF!,2,0),""))))))),"")</f>
        <v/>
      </c>
      <c r="E287" s="78" t="str">
        <f>IFERROR(UPPER(IF(B287="CPU",VLOOKUP(C287,#REF!,3,0),IF(B287="SINAPI",VLOOKUP(C287,#REF!,3,0),IF(B287="EDIF",VLOOKUP(C287,#REF!,3,0),IF(B287="CPOS",VLOOKUP(C287,#REF!,4,0),IF(B287="FDE",VLOOKUP(C287,#REF!,3,0),IF(B287="INFRA",VLOOKUP(C287,#REF!,3,0),""))))))),"")</f>
        <v/>
      </c>
      <c r="F287" s="936">
        <v>80.52</v>
      </c>
      <c r="G287" s="985" t="str">
        <f>IFERROR(IF(B287="CPU",VLOOKUP(C287,#REF!,4,0),IF(B287="SINAPI",VLOOKUP(C287,#REF!,5,0),IF(B287="EDIF",VLOOKUP(C287,#REF!,4,0),IF(B287="CPOS",VLOOKUP(C287,#REF!,7,0),IF(B287="FDE",VLOOKUP(C287,#REF!,5,0),IF(B287="INFRA",VLOOKUP(C287,#REF!,4,0),""))))))*VLOOKUP(B287,#REF!,3,0),"")</f>
        <v/>
      </c>
      <c r="H287" s="986">
        <v>0.25</v>
      </c>
      <c r="I287" s="987" t="str">
        <f t="shared" si="18"/>
        <v/>
      </c>
      <c r="J287" s="988">
        <v>2904.759</v>
      </c>
      <c r="K287" s="52"/>
      <c r="L287" s="940"/>
    </row>
    <row r="288" spans="1:12" s="25" customFormat="1" ht="27" customHeight="1">
      <c r="A288" s="1015"/>
      <c r="B288" s="1031"/>
      <c r="C288" s="1032"/>
      <c r="D288" s="935"/>
      <c r="E288" s="1033"/>
      <c r="F288" s="936"/>
      <c r="G288" s="985"/>
      <c r="H288" s="986"/>
      <c r="I288" s="987"/>
      <c r="J288" s="988"/>
      <c r="K288" s="52"/>
      <c r="L288" s="940"/>
    </row>
    <row r="289" spans="1:12" s="25" customFormat="1" ht="27" customHeight="1">
      <c r="A289" s="998">
        <v>19</v>
      </c>
      <c r="B289" s="1024"/>
      <c r="C289" s="1024"/>
      <c r="D289" s="1034" t="s">
        <v>5791</v>
      </c>
      <c r="E289" s="1025"/>
      <c r="F289" s="1026"/>
      <c r="G289" s="1027"/>
      <c r="H289" s="1026"/>
      <c r="I289" s="1005">
        <f>SUM(I290+I302+I331+I309+I315+I326+I338+I360+I373+I385+I393+I397+I400+I403+I408+I411+I416+I425+I430)</f>
        <v>333499.77500000002</v>
      </c>
      <c r="J289" s="988"/>
      <c r="K289" s="52"/>
      <c r="L289" s="940"/>
    </row>
    <row r="290" spans="1:12" s="25" customFormat="1" ht="27" customHeight="1">
      <c r="A290" s="975" t="s">
        <v>5513</v>
      </c>
      <c r="B290" s="976"/>
      <c r="C290" s="976"/>
      <c r="D290" s="977" t="s">
        <v>5792</v>
      </c>
      <c r="E290" s="978" t="str">
        <f>IFERROR(UPPER(IF(B290="CPU",VLOOKUP(C290,#REF!,3,0),IF(B290="SINAPI",VLOOKUP(C290,#REF!,3,0),IF(B290="EDIF",VLOOKUP(C290,#REF!,3,0),IF(B290="CPOS",VLOOKUP(C290,#REF!,4,0),IF(B290="FDE",VLOOKUP(C290,#REF!,3,0),IF(B290="INFRA",VLOOKUP(C290,#REF!,3,0),""))))))),"")</f>
        <v/>
      </c>
      <c r="F290" s="979"/>
      <c r="G290" s="980" t="str">
        <f>IFERROR(IF(B290="CPU",VLOOKUP(C290,#REF!,4,0),IF(B290="SINAPI",VLOOKUP(C290,#REF!,5,0),IF(B290="EDIF",VLOOKUP(C290,#REF!,4,0),IF(B290="CPOS",VLOOKUP(C290,#REF!,7,0),IF(B290="FDE",VLOOKUP(C290,#REF!,5,0),IF(B290="INFRA",VLOOKUP(C290,#REF!,4,0),""))))))*VLOOKUP(B290,#REF!,3,0),"")</f>
        <v/>
      </c>
      <c r="H290" s="979"/>
      <c r="I290" s="981">
        <f>SUM(I291:I300)</f>
        <v>0</v>
      </c>
      <c r="J290" s="988"/>
      <c r="K290" s="52"/>
      <c r="L290" s="940"/>
    </row>
    <row r="291" spans="1:12" s="25" customFormat="1" ht="27" customHeight="1">
      <c r="A291" s="933" t="s">
        <v>5793</v>
      </c>
      <c r="B291" s="933" t="s">
        <v>1479</v>
      </c>
      <c r="C291" s="934" t="s">
        <v>5794</v>
      </c>
      <c r="D291" s="984" t="str">
        <f>IFERROR(UPPER(IF(B291="CPU",VLOOKUP(C291,#REF!,2,0),IF(B291="SINAPI",VLOOKUP(C291,#REF!,2,0),IF(B291="EDIF",VLOOKUP(C291,#REF!,2,0),IF(B291="CPOS",VLOOKUP(C291,#REF!,3,0),IF(B291="FDE",VLOOKUP(C291,#REF!,2,0),IF(B291="INFRA",VLOOKUP(C291,#REF!,2,0),""))))))),"")</f>
        <v/>
      </c>
      <c r="E291" s="78" t="str">
        <f>IFERROR(UPPER(IF(B291="CPU",VLOOKUP(C291,#REF!,3,0),IF(B291="SINAPI",VLOOKUP(C291,#REF!,3,0),IF(B291="EDIF",VLOOKUP(C291,#REF!,3,0),IF(B291="CPOS",VLOOKUP(C291,#REF!,4,0),IF(B291="FDE",VLOOKUP(C291,#REF!,3,0),IF(B291="INFRA",VLOOKUP(C291,#REF!,3,0),""))))))),"")</f>
        <v/>
      </c>
      <c r="F291" s="936">
        <v>24</v>
      </c>
      <c r="G291" s="985" t="str">
        <f>IFERROR(IF(B291="CPU",VLOOKUP(C291,#REF!,4,0),IF(B291="SINAPI",VLOOKUP(C291,#REF!,5,0),IF(B291="EDIF",VLOOKUP(C291,#REF!,4,0),IF(B291="CPOS",VLOOKUP(C291,#REF!,7,0),IF(B291="FDE",VLOOKUP(C291,#REF!,5,0),IF(B291="INFRA",VLOOKUP(C291,#REF!,4,0),""))))))*VLOOKUP(B291,#REF!,3,0),"")</f>
        <v/>
      </c>
      <c r="H291" s="986">
        <v>0.25</v>
      </c>
      <c r="I291" s="987" t="str">
        <f t="shared" ref="I291:I301" si="19">IFERROR(F291*((G291*(1+H291))),"")</f>
        <v/>
      </c>
      <c r="J291" s="988">
        <v>14565.6</v>
      </c>
      <c r="K291" s="52"/>
      <c r="L291" s="940"/>
    </row>
    <row r="292" spans="1:12" s="25" customFormat="1" ht="27" customHeight="1">
      <c r="A292" s="933" t="s">
        <v>5795</v>
      </c>
      <c r="B292" s="933" t="s">
        <v>1479</v>
      </c>
      <c r="C292" s="934" t="s">
        <v>5796</v>
      </c>
      <c r="D292" s="984" t="str">
        <f>IFERROR(UPPER(IF(B292="CPU",VLOOKUP(C292,#REF!,2,0),IF(B292="SINAPI",VLOOKUP(C292,#REF!,2,0),IF(B292="EDIF",VLOOKUP(C292,#REF!,2,0),IF(B292="CPOS",VLOOKUP(C292,#REF!,3,0),IF(B292="FDE",VLOOKUP(C292,#REF!,2,0),IF(B292="INFRA",VLOOKUP(C292,#REF!,2,0),""))))))),"")</f>
        <v/>
      </c>
      <c r="E292" s="78" t="str">
        <f>IFERROR(UPPER(IF(B292="CPU",VLOOKUP(C292,#REF!,3,0),IF(B292="SINAPI",VLOOKUP(C292,#REF!,3,0),IF(B292="EDIF",VLOOKUP(C292,#REF!,3,0),IF(B292="CPOS",VLOOKUP(C292,#REF!,4,0),IF(B292="FDE",VLOOKUP(C292,#REF!,3,0),IF(B292="INFRA",VLOOKUP(C292,#REF!,3,0),""))))))),"")</f>
        <v/>
      </c>
      <c r="F292" s="936">
        <v>3</v>
      </c>
      <c r="G292" s="985" t="str">
        <f>IFERROR(IF(B292="CPU",VLOOKUP(C292,#REF!,4,0),IF(B292="SINAPI",VLOOKUP(C292,#REF!,5,0),IF(B292="EDIF",VLOOKUP(C292,#REF!,4,0),IF(B292="CPOS",VLOOKUP(C292,#REF!,7,0),IF(B292="FDE",VLOOKUP(C292,#REF!,5,0),IF(B292="INFRA",VLOOKUP(C292,#REF!,4,0),""))))))*VLOOKUP(B292,#REF!,3,0),"")</f>
        <v/>
      </c>
      <c r="H292" s="986">
        <v>0.25</v>
      </c>
      <c r="I292" s="987" t="str">
        <f t="shared" si="19"/>
        <v/>
      </c>
      <c r="J292" s="988">
        <v>3474.6374999999998</v>
      </c>
      <c r="K292" s="52"/>
      <c r="L292" s="940"/>
    </row>
    <row r="293" spans="1:12" s="25" customFormat="1" ht="27" customHeight="1">
      <c r="A293" s="933" t="s">
        <v>5797</v>
      </c>
      <c r="B293" s="933" t="s">
        <v>1479</v>
      </c>
      <c r="C293" s="934" t="s">
        <v>5798</v>
      </c>
      <c r="D293" s="984" t="str">
        <f>IFERROR(UPPER(IF(B293="CPU",VLOOKUP(C293,#REF!,2,0),IF(B293="SINAPI",VLOOKUP(C293,#REF!,2,0),IF(B293="EDIF",VLOOKUP(C293,#REF!,2,0),IF(B293="CPOS",VLOOKUP(C293,#REF!,3,0),IF(B293="FDE",VLOOKUP(C293,#REF!,2,0),IF(B293="INFRA",VLOOKUP(C293,#REF!,2,0),""))))))),"")</f>
        <v/>
      </c>
      <c r="E293" s="78" t="str">
        <f>IFERROR(UPPER(IF(B293="CPU",VLOOKUP(C293,#REF!,3,0),IF(B293="SINAPI",VLOOKUP(C293,#REF!,3,0),IF(B293="EDIF",VLOOKUP(C293,#REF!,3,0),IF(B293="CPOS",VLOOKUP(C293,#REF!,4,0),IF(B293="FDE",VLOOKUP(C293,#REF!,3,0),IF(B293="INFRA",VLOOKUP(C293,#REF!,3,0),""))))))),"")</f>
        <v/>
      </c>
      <c r="F293" s="936">
        <v>162</v>
      </c>
      <c r="G293" s="985" t="str">
        <f>IFERROR(IF(B293="CPU",VLOOKUP(C293,#REF!,4,0),IF(B293="SINAPI",VLOOKUP(C293,#REF!,5,0),IF(B293="EDIF",VLOOKUP(C293,#REF!,4,0),IF(B293="CPOS",VLOOKUP(C293,#REF!,7,0),IF(B293="FDE",VLOOKUP(C293,#REF!,5,0),IF(B293="INFRA",VLOOKUP(C293,#REF!,4,0),""))))))*VLOOKUP(B293,#REF!,3,0),"")</f>
        <v/>
      </c>
      <c r="H293" s="986">
        <v>0.25</v>
      </c>
      <c r="I293" s="987" t="str">
        <f t="shared" si="19"/>
        <v/>
      </c>
      <c r="J293" s="988">
        <v>10809.45</v>
      </c>
      <c r="K293" s="52"/>
      <c r="L293" s="940"/>
    </row>
    <row r="294" spans="1:12" s="25" customFormat="1" ht="27" customHeight="1">
      <c r="A294" s="933" t="s">
        <v>5799</v>
      </c>
      <c r="B294" s="933" t="s">
        <v>1479</v>
      </c>
      <c r="C294" s="934" t="s">
        <v>5800</v>
      </c>
      <c r="D294" s="984" t="str">
        <f>IFERROR(UPPER(IF(B294="CPU",VLOOKUP(C294,#REF!,2,0),IF(B294="SINAPI",VLOOKUP(C294,#REF!,2,0),IF(B294="EDIF",VLOOKUP(C294,#REF!,2,0),IF(B294="CPOS",VLOOKUP(C294,#REF!,3,0),IF(B294="FDE",VLOOKUP(C294,#REF!,2,0),IF(B294="INFRA",VLOOKUP(C294,#REF!,2,0),""))))))),"")</f>
        <v/>
      </c>
      <c r="E294" s="78" t="str">
        <f>IFERROR(UPPER(IF(B294="CPU",VLOOKUP(C294,#REF!,3,0),IF(B294="SINAPI",VLOOKUP(C294,#REF!,3,0),IF(B294="EDIF",VLOOKUP(C294,#REF!,3,0),IF(B294="CPOS",VLOOKUP(C294,#REF!,4,0),IF(B294="FDE",VLOOKUP(C294,#REF!,3,0),IF(B294="INFRA",VLOOKUP(C294,#REF!,3,0),""))))))),"")</f>
        <v/>
      </c>
      <c r="F294" s="936">
        <v>700</v>
      </c>
      <c r="G294" s="985" t="str">
        <f>IFERROR(IF(B294="CPU",VLOOKUP(C294,#REF!,4,0),IF(B294="SINAPI",VLOOKUP(C294,#REF!,5,0),IF(B294="EDIF",VLOOKUP(C294,#REF!,4,0),IF(B294="CPOS",VLOOKUP(C294,#REF!,7,0),IF(B294="FDE",VLOOKUP(C294,#REF!,5,0),IF(B294="INFRA",VLOOKUP(C294,#REF!,4,0),""))))))*VLOOKUP(B294,#REF!,3,0),"")</f>
        <v/>
      </c>
      <c r="H294" s="986">
        <v>0.25</v>
      </c>
      <c r="I294" s="987" t="str">
        <f t="shared" si="19"/>
        <v/>
      </c>
      <c r="J294" s="988">
        <v>18453.75</v>
      </c>
      <c r="K294" s="52"/>
      <c r="L294" s="940"/>
    </row>
    <row r="295" spans="1:12" s="25" customFormat="1" ht="27" customHeight="1">
      <c r="A295" s="933" t="s">
        <v>5801</v>
      </c>
      <c r="B295" s="933" t="s">
        <v>1479</v>
      </c>
      <c r="C295" s="934" t="s">
        <v>5802</v>
      </c>
      <c r="D295" s="984" t="str">
        <f>IFERROR(UPPER(IF(B295="CPU",VLOOKUP(C295,#REF!,2,0),IF(B295="SINAPI",VLOOKUP(C295,#REF!,2,0),IF(B295="EDIF",VLOOKUP(C295,#REF!,2,0),IF(B295="CPOS",VLOOKUP(C295,#REF!,3,0),IF(B295="FDE",VLOOKUP(C295,#REF!,2,0),IF(B295="INFRA",VLOOKUP(C295,#REF!,2,0),""))))))),"")</f>
        <v/>
      </c>
      <c r="E295" s="78" t="str">
        <f>IFERROR(UPPER(IF(B295="CPU",VLOOKUP(C295,#REF!,3,0),IF(B295="SINAPI",VLOOKUP(C295,#REF!,3,0),IF(B295="EDIF",VLOOKUP(C295,#REF!,3,0),IF(B295="CPOS",VLOOKUP(C295,#REF!,4,0),IF(B295="FDE",VLOOKUP(C295,#REF!,3,0),IF(B295="INFRA",VLOOKUP(C295,#REF!,3,0),""))))))),"")</f>
        <v/>
      </c>
      <c r="F295" s="936">
        <v>166</v>
      </c>
      <c r="G295" s="985" t="str">
        <f>IFERROR(IF(B295="CPU",VLOOKUP(C295,#REF!,4,0),IF(B295="SINAPI",VLOOKUP(C295,#REF!,5,0),IF(B295="EDIF",VLOOKUP(C295,#REF!,4,0),IF(B295="CPOS",VLOOKUP(C295,#REF!,7,0),IF(B295="FDE",VLOOKUP(C295,#REF!,5,0),IF(B295="INFRA",VLOOKUP(C295,#REF!,4,0),""))))))*VLOOKUP(B295,#REF!,3,0),"")</f>
        <v/>
      </c>
      <c r="H295" s="986">
        <v>0.25</v>
      </c>
      <c r="I295" s="987" t="str">
        <f t="shared" si="19"/>
        <v/>
      </c>
      <c r="J295" s="988">
        <v>18098.150000000001</v>
      </c>
      <c r="K295" s="52"/>
      <c r="L295" s="940"/>
    </row>
    <row r="296" spans="1:12" s="25" customFormat="1" ht="27" customHeight="1">
      <c r="A296" s="933" t="s">
        <v>5803</v>
      </c>
      <c r="B296" s="933" t="s">
        <v>1479</v>
      </c>
      <c r="C296" s="934" t="s">
        <v>5804</v>
      </c>
      <c r="D296" s="984" t="str">
        <f>IFERROR(UPPER(IF(B296="CPU",VLOOKUP(C296,#REF!,2,0),IF(B296="SINAPI",VLOOKUP(C296,#REF!,2,0),IF(B296="EDIF",VLOOKUP(C296,#REF!,2,0),IF(B296="CPOS",VLOOKUP(C296,#REF!,3,0),IF(B296="FDE",VLOOKUP(C296,#REF!,2,0),IF(B296="INFRA",VLOOKUP(C296,#REF!,2,0),""))))))),"")</f>
        <v/>
      </c>
      <c r="E296" s="78" t="str">
        <f>IFERROR(UPPER(IF(B296="CPU",VLOOKUP(C296,#REF!,3,0),IF(B296="SINAPI",VLOOKUP(C296,#REF!,3,0),IF(B296="EDIF",VLOOKUP(C296,#REF!,3,0),IF(B296="CPOS",VLOOKUP(C296,#REF!,4,0),IF(B296="FDE",VLOOKUP(C296,#REF!,3,0),IF(B296="INFRA",VLOOKUP(C296,#REF!,3,0),""))))))),"")</f>
        <v/>
      </c>
      <c r="F296" s="936">
        <v>140</v>
      </c>
      <c r="G296" s="985" t="str">
        <f>IFERROR(IF(B296="CPU",VLOOKUP(C296,#REF!,4,0),IF(B296="SINAPI",VLOOKUP(C296,#REF!,5,0),IF(B296="EDIF",VLOOKUP(C296,#REF!,4,0),IF(B296="CPOS",VLOOKUP(C296,#REF!,7,0),IF(B296="FDE",VLOOKUP(C296,#REF!,5,0),IF(B296="INFRA",VLOOKUP(C296,#REF!,4,0),""))))))*VLOOKUP(B296,#REF!,3,0),"")</f>
        <v/>
      </c>
      <c r="H296" s="986">
        <v>0.25</v>
      </c>
      <c r="I296" s="987" t="str">
        <f t="shared" si="19"/>
        <v/>
      </c>
      <c r="J296" s="988">
        <v>19626.25</v>
      </c>
      <c r="K296" s="52"/>
      <c r="L296" s="940"/>
    </row>
    <row r="297" spans="1:12" s="25" customFormat="1" ht="27" customHeight="1">
      <c r="A297" s="933" t="s">
        <v>5805</v>
      </c>
      <c r="B297" s="933" t="s">
        <v>1479</v>
      </c>
      <c r="C297" s="934" t="s">
        <v>5806</v>
      </c>
      <c r="D297" s="984" t="str">
        <f>IFERROR(UPPER(IF(B297="CPU",VLOOKUP(C297,#REF!,2,0),IF(B297="SINAPI",VLOOKUP(C297,#REF!,2,0),IF(B297="EDIF",VLOOKUP(C297,#REF!,2,0),IF(B297="CPOS",VLOOKUP(C297,#REF!,3,0),IF(B297="FDE",VLOOKUP(C297,#REF!,2,0),IF(B297="INFRA",VLOOKUP(C297,#REF!,2,0),""))))))),"")</f>
        <v/>
      </c>
      <c r="E297" s="78" t="str">
        <f>IFERROR(UPPER(IF(B297="CPU",VLOOKUP(C297,#REF!,3,0),IF(B297="SINAPI",VLOOKUP(C297,#REF!,3,0),IF(B297="EDIF",VLOOKUP(C297,#REF!,3,0),IF(B297="CPOS",VLOOKUP(C297,#REF!,4,0),IF(B297="FDE",VLOOKUP(C297,#REF!,3,0),IF(B297="INFRA",VLOOKUP(C297,#REF!,3,0),""))))))),"")</f>
        <v/>
      </c>
      <c r="F297" s="936">
        <v>48</v>
      </c>
      <c r="G297" s="985" t="str">
        <f>IFERROR(IF(B297="CPU",VLOOKUP(C297,#REF!,4,0),IF(B297="SINAPI",VLOOKUP(C297,#REF!,5,0),IF(B297="EDIF",VLOOKUP(C297,#REF!,4,0),IF(B297="CPOS",VLOOKUP(C297,#REF!,7,0),IF(B297="FDE",VLOOKUP(C297,#REF!,5,0),IF(B297="INFRA",VLOOKUP(C297,#REF!,4,0),""))))))*VLOOKUP(B297,#REF!,3,0),"")</f>
        <v/>
      </c>
      <c r="H297" s="986">
        <v>0.25</v>
      </c>
      <c r="I297" s="987" t="str">
        <f t="shared" si="19"/>
        <v/>
      </c>
      <c r="J297" s="988">
        <v>106487.4</v>
      </c>
      <c r="K297" s="52"/>
      <c r="L297" s="940"/>
    </row>
    <row r="298" spans="1:12" s="25" customFormat="1" ht="27" customHeight="1">
      <c r="A298" s="933" t="s">
        <v>5807</v>
      </c>
      <c r="B298" s="933" t="s">
        <v>1479</v>
      </c>
      <c r="C298" s="934" t="s">
        <v>5808</v>
      </c>
      <c r="D298" s="984" t="str">
        <f>IFERROR(UPPER(IF(B298="CPU",VLOOKUP(C298,#REF!,2,0),IF(B298="SINAPI",VLOOKUP(C298,#REF!,2,0),IF(B298="EDIF",VLOOKUP(C298,#REF!,2,0),IF(B298="CPOS",VLOOKUP(C298,#REF!,3,0),IF(B298="FDE",VLOOKUP(C298,#REF!,2,0),IF(B298="INFRA",VLOOKUP(C298,#REF!,2,0),""))))))),"")</f>
        <v/>
      </c>
      <c r="E298" s="78" t="str">
        <f>IFERROR(UPPER(IF(B298="CPU",VLOOKUP(C298,#REF!,3,0),IF(B298="SINAPI",VLOOKUP(C298,#REF!,3,0),IF(B298="EDIF",VLOOKUP(C298,#REF!,3,0),IF(B298="CPOS",VLOOKUP(C298,#REF!,4,0),IF(B298="FDE",VLOOKUP(C298,#REF!,3,0),IF(B298="INFRA",VLOOKUP(C298,#REF!,3,0),""))))))),"")</f>
        <v/>
      </c>
      <c r="F298" s="936">
        <v>6</v>
      </c>
      <c r="G298" s="985" t="str">
        <f>IFERROR(IF(B298="CPU",VLOOKUP(C298,#REF!,4,0),IF(B298="SINAPI",VLOOKUP(C298,#REF!,5,0),IF(B298="EDIF",VLOOKUP(C298,#REF!,4,0),IF(B298="CPOS",VLOOKUP(C298,#REF!,7,0),IF(B298="FDE",VLOOKUP(C298,#REF!,5,0),IF(B298="INFRA",VLOOKUP(C298,#REF!,4,0),""))))))*VLOOKUP(B298,#REF!,3,0),"")</f>
        <v/>
      </c>
      <c r="H298" s="986">
        <v>0.25</v>
      </c>
      <c r="I298" s="987" t="str">
        <f t="shared" si="19"/>
        <v/>
      </c>
      <c r="J298" s="988">
        <v>21210.375</v>
      </c>
      <c r="K298" s="52"/>
      <c r="L298" s="940"/>
    </row>
    <row r="299" spans="1:12" s="25" customFormat="1" ht="27" customHeight="1">
      <c r="A299" s="933" t="s">
        <v>5809</v>
      </c>
      <c r="B299" s="933" t="s">
        <v>1479</v>
      </c>
      <c r="C299" s="934" t="s">
        <v>5810</v>
      </c>
      <c r="D299" s="984" t="str">
        <f>IFERROR(UPPER(IF(B299="CPU",VLOOKUP(C299,#REF!,2,0),IF(B299="SINAPI",VLOOKUP(C299,#REF!,2,0),IF(B299="EDIF",VLOOKUP(C299,#REF!,2,0),IF(B299="CPOS",VLOOKUP(C299,#REF!,3,0),IF(B299="FDE",VLOOKUP(C299,#REF!,2,0),IF(B299="INFRA",VLOOKUP(C299,#REF!,2,0),""))))))),"")</f>
        <v/>
      </c>
      <c r="E299" s="78" t="str">
        <f>IFERROR(UPPER(IF(B299="CPU",VLOOKUP(C299,#REF!,3,0),IF(B299="SINAPI",VLOOKUP(C299,#REF!,3,0),IF(B299="EDIF",VLOOKUP(C299,#REF!,3,0),IF(B299="CPOS",VLOOKUP(C299,#REF!,4,0),IF(B299="FDE",VLOOKUP(C299,#REF!,3,0),IF(B299="INFRA",VLOOKUP(C299,#REF!,3,0),""))))))),"")</f>
        <v/>
      </c>
      <c r="F299" s="936">
        <v>54</v>
      </c>
      <c r="G299" s="985" t="str">
        <f>IFERROR(IF(B299="CPU",VLOOKUP(C299,#REF!,4,0),IF(B299="SINAPI",VLOOKUP(C299,#REF!,5,0),IF(B299="EDIF",VLOOKUP(C299,#REF!,4,0),IF(B299="CPOS",VLOOKUP(C299,#REF!,7,0),IF(B299="FDE",VLOOKUP(C299,#REF!,5,0),IF(B299="INFRA",VLOOKUP(C299,#REF!,4,0),""))))))*VLOOKUP(B299,#REF!,3,0),"")</f>
        <v/>
      </c>
      <c r="H299" s="986">
        <v>0.25</v>
      </c>
      <c r="I299" s="987" t="str">
        <f t="shared" si="19"/>
        <v/>
      </c>
      <c r="J299" s="988">
        <v>25523.775000000001</v>
      </c>
      <c r="K299" s="52"/>
      <c r="L299" s="940"/>
    </row>
    <row r="300" spans="1:12" s="25" customFormat="1" ht="27" customHeight="1">
      <c r="A300" s="933" t="s">
        <v>5811</v>
      </c>
      <c r="B300" s="933" t="s">
        <v>1479</v>
      </c>
      <c r="C300" s="934" t="s">
        <v>5812</v>
      </c>
      <c r="D300" s="984" t="str">
        <f>IFERROR(UPPER(IF(B300="CPU",VLOOKUP(C300,#REF!,2,0),IF(B300="SINAPI",VLOOKUP(C300,#REF!,2,0),IF(B300="EDIF",VLOOKUP(C300,#REF!,2,0),IF(B300="CPOS",VLOOKUP(C300,#REF!,3,0),IF(B300="FDE",VLOOKUP(C300,#REF!,2,0),IF(B300="INFRA",VLOOKUP(C300,#REF!,2,0),""))))))),"")</f>
        <v/>
      </c>
      <c r="E300" s="78" t="str">
        <f>IFERROR(UPPER(IF(B300="CPU",VLOOKUP(C300,#REF!,3,0),IF(B300="SINAPI",VLOOKUP(C300,#REF!,3,0),IF(B300="EDIF",VLOOKUP(C300,#REF!,3,0),IF(B300="CPOS",VLOOKUP(C300,#REF!,4,0),IF(B300="FDE",VLOOKUP(C300,#REF!,3,0),IF(B300="INFRA",VLOOKUP(C300,#REF!,3,0),""))))))),"")</f>
        <v/>
      </c>
      <c r="F300" s="936">
        <v>54</v>
      </c>
      <c r="G300" s="985" t="str">
        <f>IFERROR(IF(B300="CPU",VLOOKUP(C300,#REF!,4,0),IF(B300="SINAPI",VLOOKUP(C300,#REF!,5,0),IF(B300="EDIF",VLOOKUP(C300,#REF!,4,0),IF(B300="CPOS",VLOOKUP(C300,#REF!,7,0),IF(B300="FDE",VLOOKUP(C300,#REF!,5,0),IF(B300="INFRA",VLOOKUP(C300,#REF!,4,0),""))))))*VLOOKUP(B300,#REF!,3,0),"")</f>
        <v/>
      </c>
      <c r="H300" s="986">
        <v>0.25</v>
      </c>
      <c r="I300" s="987" t="str">
        <f t="shared" si="19"/>
        <v/>
      </c>
      <c r="J300" s="988">
        <v>11887.424999999999</v>
      </c>
      <c r="K300" s="52"/>
      <c r="L300" s="940"/>
    </row>
    <row r="301" spans="1:12" s="25" customFormat="1" ht="27" customHeight="1">
      <c r="A301" s="1015"/>
      <c r="B301" s="1015"/>
      <c r="C301" s="1023"/>
      <c r="D301" s="984" t="str">
        <f>IFERROR(UPPER(IF(B301="CPU",VLOOKUP(C301,#REF!,2,0),IF(B301="SINAPI",VLOOKUP(C301,#REF!,2,0),IF(B301="EDIF",VLOOKUP(C301,#REF!,2,0),IF(B301="CPOS",VLOOKUP(C301,#REF!,3,0),IF(B301="FDE",VLOOKUP(C301,#REF!,2,0),IF(B301="INFRA",VLOOKUP(C301,#REF!,2,0),""))))))),"")</f>
        <v/>
      </c>
      <c r="E301" s="78" t="str">
        <f>IFERROR(UPPER(IF(B301="CPU",VLOOKUP(C301,#REF!,3,0),IF(B301="SINAPI",VLOOKUP(C301,#REF!,3,0),IF(B301="EDIF",VLOOKUP(C301,#REF!,3,0),IF(B301="CPOS",VLOOKUP(C301,#REF!,4,0),IF(B301="FDE",VLOOKUP(C301,#REF!,3,0),IF(B301="INFRA",VLOOKUP(C301,#REF!,3,0),""))))))),"")</f>
        <v/>
      </c>
      <c r="F301" s="936"/>
      <c r="G301" s="985" t="str">
        <f>IFERROR(IF(B301="CPU",VLOOKUP(C301,#REF!,4,0),IF(B301="SINAPI",VLOOKUP(C301,#REF!,5,0),IF(B301="EDIF",VLOOKUP(C301,#REF!,4,0),IF(B301="CPOS",VLOOKUP(C301,#REF!,7,0),IF(B301="FDE",VLOOKUP(C301,#REF!,5,0),IF(B301="INFRA",VLOOKUP(C301,#REF!,4,0),""))))))*VLOOKUP(B301,#REF!,3,0),"")</f>
        <v/>
      </c>
      <c r="H301" s="986"/>
      <c r="I301" s="987" t="str">
        <f t="shared" si="19"/>
        <v/>
      </c>
      <c r="J301" s="988"/>
      <c r="K301" s="52"/>
      <c r="L301" s="940"/>
    </row>
    <row r="302" spans="1:12" s="25" customFormat="1" ht="27" customHeight="1">
      <c r="A302" s="975" t="s">
        <v>5515</v>
      </c>
      <c r="B302" s="976"/>
      <c r="C302" s="976"/>
      <c r="D302" s="977" t="s">
        <v>5813</v>
      </c>
      <c r="E302" s="978" t="str">
        <f>IFERROR(UPPER(IF(B302="CPU",VLOOKUP(C302,#REF!,3,0),IF(B302="SINAPI",VLOOKUP(C302,#REF!,3,0),IF(B302="EDIF",VLOOKUP(C302,#REF!,3,0),IF(B302="CPOS",VLOOKUP(C302,#REF!,4,0),IF(B302="FDE",VLOOKUP(C302,#REF!,3,0),IF(B302="INFRA",VLOOKUP(C302,#REF!,3,0),""))))))),"")</f>
        <v/>
      </c>
      <c r="F302" s="979"/>
      <c r="G302" s="980" t="str">
        <f>IFERROR(IF(B302="CPU",VLOOKUP(C302,#REF!,4,0),IF(B302="SINAPI",VLOOKUP(C302,#REF!,5,0),IF(B302="EDIF",VLOOKUP(C302,#REF!,4,0),IF(B302="CPOS",VLOOKUP(C302,#REF!,7,0),IF(B302="FDE",VLOOKUP(C302,#REF!,5,0),IF(B302="INFRA",VLOOKUP(C302,#REF!,4,0),""))))))*VLOOKUP(B302,#REF!,3,0),"")</f>
        <v/>
      </c>
      <c r="H302" s="979"/>
      <c r="I302" s="981">
        <f>SUM(I303:I307)</f>
        <v>0</v>
      </c>
      <c r="J302" s="988"/>
      <c r="K302" s="52"/>
      <c r="L302" s="940"/>
    </row>
    <row r="303" spans="1:12" s="25" customFormat="1" ht="27" customHeight="1">
      <c r="A303" s="933" t="s">
        <v>5814</v>
      </c>
      <c r="B303" s="933" t="s">
        <v>4872</v>
      </c>
      <c r="C303" s="1012">
        <v>90202</v>
      </c>
      <c r="D303" s="984" t="str">
        <f>IFERROR(UPPER(IF(B303="CPU",VLOOKUP(C303,#REF!,2,0),IF(B303="SINAPI",VLOOKUP(C303,#REF!,2,0),IF(B303="EDIF",VLOOKUP(C303,#REF!,2,0),IF(B303="CPOS",VLOOKUP(C303,#REF!,3,0),IF(B303="FDE",VLOOKUP(C303,#REF!,2,0),IF(B303="INFRA",VLOOKUP(C303,#REF!,2,0),""))))))),"")</f>
        <v/>
      </c>
      <c r="E303" s="78" t="str">
        <f>IFERROR(UPPER(IF(B303="CPU",VLOOKUP(C303,#REF!,3,0),IF(B303="SINAPI",VLOOKUP(C303,#REF!,3,0),IF(B303="EDIF",VLOOKUP(C303,#REF!,3,0),IF(B303="CPOS",VLOOKUP(C303,#REF!,4,0),IF(B303="FDE",VLOOKUP(C303,#REF!,3,0),IF(B303="INFRA",VLOOKUP(C303,#REF!,3,0),""))))))),"")</f>
        <v/>
      </c>
      <c r="F303" s="989">
        <v>4519.5</v>
      </c>
      <c r="G303" s="985" t="str">
        <f>IFERROR(IF(B303="CPU",VLOOKUP(C303,#REF!,4,0),IF(B303="SINAPI",VLOOKUP(C303,#REF!,5,0),IF(B303="EDIF",VLOOKUP(C303,#REF!,4,0),IF(B303="CPOS",VLOOKUP(C303,#REF!,7,0),IF(B303="FDE",VLOOKUP(C303,#REF!,5,0),IF(B303="INFRA",VLOOKUP(C303,#REF!,4,0),""))))))*VLOOKUP(B303,#REF!,3,0),"")</f>
        <v/>
      </c>
      <c r="H303" s="986">
        <v>0.25</v>
      </c>
      <c r="I303" s="987" t="str">
        <f>IFERROR(F303*((G303*(1+H303))),"")</f>
        <v/>
      </c>
      <c r="J303" s="988">
        <v>92480.268750000003</v>
      </c>
      <c r="K303" s="52"/>
      <c r="L303" s="940"/>
    </row>
    <row r="304" spans="1:12" s="25" customFormat="1" ht="27" customHeight="1">
      <c r="A304" s="933" t="s">
        <v>5815</v>
      </c>
      <c r="B304" s="933" t="s">
        <v>4872</v>
      </c>
      <c r="C304" s="1012">
        <v>90203</v>
      </c>
      <c r="D304" s="984" t="str">
        <f>IFERROR(UPPER(IF(B304="CPU",VLOOKUP(C304,#REF!,2,0),IF(B304="SINAPI",VLOOKUP(C304,#REF!,2,0),IF(B304="EDIF",VLOOKUP(C304,#REF!,2,0),IF(B304="CPOS",VLOOKUP(C304,#REF!,3,0),IF(B304="FDE",VLOOKUP(C304,#REF!,2,0),IF(B304="INFRA",VLOOKUP(C304,#REF!,2,0),""))))))),"")</f>
        <v/>
      </c>
      <c r="E304" s="78" t="str">
        <f>IFERROR(UPPER(IF(B304="CPU",VLOOKUP(C304,#REF!,3,0),IF(B304="SINAPI",VLOOKUP(C304,#REF!,3,0),IF(B304="EDIF",VLOOKUP(C304,#REF!,3,0),IF(B304="CPOS",VLOOKUP(C304,#REF!,4,0),IF(B304="FDE",VLOOKUP(C304,#REF!,3,0),IF(B304="INFRA",VLOOKUP(C304,#REF!,3,0),""))))))),"")</f>
        <v/>
      </c>
      <c r="F304" s="989">
        <v>4192</v>
      </c>
      <c r="G304" s="985" t="str">
        <f>IFERROR(IF(B304="CPU",VLOOKUP(C304,#REF!,4,0),IF(B304="SINAPI",VLOOKUP(C304,#REF!,5,0),IF(B304="EDIF",VLOOKUP(C304,#REF!,4,0),IF(B304="CPOS",VLOOKUP(C304,#REF!,7,0),IF(B304="FDE",VLOOKUP(C304,#REF!,5,0),IF(B304="INFRA",VLOOKUP(C304,#REF!,4,0),""))))))*VLOOKUP(B304,#REF!,3,0),"")</f>
        <v/>
      </c>
      <c r="H304" s="986">
        <v>0.25</v>
      </c>
      <c r="I304" s="987" t="str">
        <f>IFERROR(F304*((G304*(1+H304))),"")</f>
        <v/>
      </c>
      <c r="J304" s="988">
        <v>94215.2</v>
      </c>
      <c r="K304" s="52"/>
      <c r="L304" s="940"/>
    </row>
    <row r="305" spans="1:12" s="25" customFormat="1" ht="27" customHeight="1">
      <c r="A305" s="933" t="s">
        <v>5816</v>
      </c>
      <c r="B305" s="933" t="s">
        <v>4872</v>
      </c>
      <c r="C305" s="1012">
        <v>90204</v>
      </c>
      <c r="D305" s="984" t="str">
        <f>IFERROR(UPPER(IF(B305="CPU",VLOOKUP(C305,#REF!,2,0),IF(B305="SINAPI",VLOOKUP(C305,#REF!,2,0),IF(B305="EDIF",VLOOKUP(C305,#REF!,2,0),IF(B305="CPOS",VLOOKUP(C305,#REF!,3,0),IF(B305="FDE",VLOOKUP(C305,#REF!,2,0),IF(B305="INFRA",VLOOKUP(C305,#REF!,2,0),""))))))),"")</f>
        <v/>
      </c>
      <c r="E305" s="78" t="str">
        <f>IFERROR(UPPER(IF(B305="CPU",VLOOKUP(C305,#REF!,3,0),IF(B305="SINAPI",VLOOKUP(C305,#REF!,3,0),IF(B305="EDIF",VLOOKUP(C305,#REF!,3,0),IF(B305="CPOS",VLOOKUP(C305,#REF!,4,0),IF(B305="FDE",VLOOKUP(C305,#REF!,3,0),IF(B305="INFRA",VLOOKUP(C305,#REF!,3,0),""))))))),"")</f>
        <v/>
      </c>
      <c r="F305" s="989">
        <v>1441</v>
      </c>
      <c r="G305" s="985" t="str">
        <f>IFERROR(IF(B305="CPU",VLOOKUP(C305,#REF!,4,0),IF(B305="SINAPI",VLOOKUP(C305,#REF!,5,0),IF(B305="EDIF",VLOOKUP(C305,#REF!,4,0),IF(B305="CPOS",VLOOKUP(C305,#REF!,7,0),IF(B305="FDE",VLOOKUP(C305,#REF!,5,0),IF(B305="INFRA",VLOOKUP(C305,#REF!,4,0),""))))))*VLOOKUP(B305,#REF!,3,0),"")</f>
        <v/>
      </c>
      <c r="H305" s="986">
        <v>0.25</v>
      </c>
      <c r="I305" s="987" t="str">
        <f>IFERROR(F305*((G305*(1+H305))),"")</f>
        <v/>
      </c>
      <c r="J305" s="988">
        <v>47246.787499999999</v>
      </c>
      <c r="K305" s="52"/>
      <c r="L305" s="940"/>
    </row>
    <row r="306" spans="1:12" s="25" customFormat="1" ht="27" customHeight="1">
      <c r="A306" s="933" t="s">
        <v>5817</v>
      </c>
      <c r="B306" s="933" t="s">
        <v>4872</v>
      </c>
      <c r="C306" s="1012">
        <v>90205</v>
      </c>
      <c r="D306" s="984" t="str">
        <f>IFERROR(UPPER(IF(B306="CPU",VLOOKUP(C306,#REF!,2,0),IF(B306="SINAPI",VLOOKUP(C306,#REF!,2,0),IF(B306="EDIF",VLOOKUP(C306,#REF!,2,0),IF(B306="CPOS",VLOOKUP(C306,#REF!,3,0),IF(B306="FDE",VLOOKUP(C306,#REF!,2,0),IF(B306="INFRA",VLOOKUP(C306,#REF!,2,0),""))))))),"")</f>
        <v/>
      </c>
      <c r="E306" s="78" t="str">
        <f>IFERROR(UPPER(IF(B306="CPU",VLOOKUP(C306,#REF!,3,0),IF(B306="SINAPI",VLOOKUP(C306,#REF!,3,0),IF(B306="EDIF",VLOOKUP(C306,#REF!,3,0),IF(B306="CPOS",VLOOKUP(C306,#REF!,4,0),IF(B306="FDE",VLOOKUP(C306,#REF!,3,0),IF(B306="INFRA",VLOOKUP(C306,#REF!,3,0),""))))))),"")</f>
        <v/>
      </c>
      <c r="F306" s="989">
        <v>851.5</v>
      </c>
      <c r="G306" s="985" t="str">
        <f>IFERROR(IF(B306="CPU",VLOOKUP(C306,#REF!,4,0),IF(B306="SINAPI",VLOOKUP(C306,#REF!,5,0),IF(B306="EDIF",VLOOKUP(C306,#REF!,4,0),IF(B306="CPOS",VLOOKUP(C306,#REF!,7,0),IF(B306="FDE",VLOOKUP(C306,#REF!,5,0),IF(B306="INFRA",VLOOKUP(C306,#REF!,4,0),""))))))*VLOOKUP(B306,#REF!,3,0),"")</f>
        <v/>
      </c>
      <c r="H306" s="986">
        <v>0.25</v>
      </c>
      <c r="I306" s="987" t="str">
        <f>IFERROR(F306*((G306*(1+H306))),"")</f>
        <v/>
      </c>
      <c r="J306" s="988">
        <v>29057.4375</v>
      </c>
      <c r="K306" s="52"/>
      <c r="L306" s="940"/>
    </row>
    <row r="307" spans="1:12" s="25" customFormat="1" ht="27" customHeight="1">
      <c r="A307" s="933" t="s">
        <v>5818</v>
      </c>
      <c r="B307" s="933" t="s">
        <v>4872</v>
      </c>
      <c r="C307" s="1012">
        <v>90206</v>
      </c>
      <c r="D307" s="984" t="str">
        <f>IFERROR(UPPER(IF(B307="CPU",VLOOKUP(C307,#REF!,2,0),IF(B307="SINAPI",VLOOKUP(C307,#REF!,2,0),IF(B307="EDIF",VLOOKUP(C307,#REF!,2,0),IF(B307="CPOS",VLOOKUP(C307,#REF!,3,0),IF(B307="FDE",VLOOKUP(C307,#REF!,2,0),IF(B307="INFRA",VLOOKUP(C307,#REF!,2,0),""))))))),"")</f>
        <v/>
      </c>
      <c r="E307" s="78" t="str">
        <f>IFERROR(UPPER(IF(B307="CPU",VLOOKUP(C307,#REF!,3,0),IF(B307="SINAPI",VLOOKUP(C307,#REF!,3,0),IF(B307="EDIF",VLOOKUP(C307,#REF!,3,0),IF(B307="CPOS",VLOOKUP(C307,#REF!,4,0),IF(B307="FDE",VLOOKUP(C307,#REF!,3,0),IF(B307="INFRA",VLOOKUP(C307,#REF!,3,0),""))))))),"")</f>
        <v/>
      </c>
      <c r="F307" s="989">
        <v>500</v>
      </c>
      <c r="G307" s="985" t="str">
        <f>IFERROR(IF(B307="CPU",VLOOKUP(C307,#REF!,4,0),IF(B307="SINAPI",VLOOKUP(C307,#REF!,5,0),IF(B307="EDIF",VLOOKUP(C307,#REF!,4,0),IF(B307="CPOS",VLOOKUP(C307,#REF!,7,0),IF(B307="FDE",VLOOKUP(C307,#REF!,5,0),IF(B307="INFRA",VLOOKUP(C307,#REF!,4,0),""))))))*VLOOKUP(B307,#REF!,3,0),"")</f>
        <v/>
      </c>
      <c r="H307" s="986">
        <v>0.25</v>
      </c>
      <c r="I307" s="987" t="str">
        <f>IFERROR(F307*((G307*(1+H307))),"")</f>
        <v/>
      </c>
      <c r="J307" s="988">
        <v>18268.75</v>
      </c>
      <c r="K307" s="52"/>
      <c r="L307" s="940"/>
    </row>
    <row r="308" spans="1:12" s="25" customFormat="1" ht="27" customHeight="1">
      <c r="A308" s="1015"/>
      <c r="B308" s="1015"/>
      <c r="C308" s="1023"/>
      <c r="D308" s="1017"/>
      <c r="E308" s="1018"/>
      <c r="F308" s="1019"/>
      <c r="G308" s="1020"/>
      <c r="H308" s="1021"/>
      <c r="I308" s="1022"/>
      <c r="J308" s="988"/>
      <c r="K308" s="52"/>
      <c r="L308" s="940"/>
    </row>
    <row r="309" spans="1:12" s="25" customFormat="1" ht="27" customHeight="1">
      <c r="A309" s="975" t="s">
        <v>5517</v>
      </c>
      <c r="B309" s="976"/>
      <c r="C309" s="976"/>
      <c r="D309" s="977" t="s">
        <v>5819</v>
      </c>
      <c r="E309" s="978" t="str">
        <f>IFERROR(UPPER(IF(B309="CPU",VLOOKUP(C309,#REF!,3,0),IF(B309="SINAPI",VLOOKUP(C309,#REF!,3,0),IF(B309="EDIF",VLOOKUP(C309,#REF!,3,0),IF(B309="CPOS",VLOOKUP(C309,#REF!,4,0),IF(B309="FDE",VLOOKUP(C309,#REF!,3,0),IF(B309="INFRA",VLOOKUP(C309,#REF!,3,0),""))))))),"")</f>
        <v/>
      </c>
      <c r="F309" s="979"/>
      <c r="G309" s="980" t="str">
        <f>IFERROR(IF(B309="CPU",VLOOKUP(C309,#REF!,4,0),IF(B309="SINAPI",VLOOKUP(C309,#REF!,5,0),IF(B309="EDIF",VLOOKUP(C309,#REF!,4,0),IF(B309="CPOS",VLOOKUP(C309,#REF!,7,0),IF(B309="FDE",VLOOKUP(C309,#REF!,5,0),IF(B309="INFRA",VLOOKUP(C309,#REF!,4,0),""))))))*VLOOKUP(B309,#REF!,3,0),"")</f>
        <v/>
      </c>
      <c r="H309" s="979"/>
      <c r="I309" s="981">
        <f>SUM(I310:I314)</f>
        <v>0</v>
      </c>
      <c r="J309" s="988"/>
      <c r="K309" s="52"/>
      <c r="L309" s="940"/>
    </row>
    <row r="310" spans="1:12" s="25" customFormat="1" ht="27" customHeight="1">
      <c r="A310" s="933" t="s">
        <v>5820</v>
      </c>
      <c r="B310" s="933" t="s">
        <v>4872</v>
      </c>
      <c r="C310" s="1012">
        <v>90221</v>
      </c>
      <c r="D310" s="984" t="str">
        <f>IFERROR(UPPER(IF(B310="CPU",VLOOKUP(C310,#REF!,2,0),IF(B310="SINAPI",VLOOKUP(C310,#REF!,2,0),IF(B310="EDIF",VLOOKUP(C310,#REF!,2,0),IF(B310="CPOS",VLOOKUP(C310,#REF!,3,0),IF(B310="FDE",VLOOKUP(C310,#REF!,2,0),IF(B310="INFRA",VLOOKUP(C310,#REF!,2,0),""))))))),"")</f>
        <v/>
      </c>
      <c r="E310" s="78" t="str">
        <f>IFERROR(UPPER(IF(B310="CPU",VLOOKUP(C310,#REF!,3,0),IF(B310="SINAPI",VLOOKUP(C310,#REF!,3,0),IF(B310="EDIF",VLOOKUP(C310,#REF!,3,0),IF(B310="CPOS",VLOOKUP(C310,#REF!,4,0),IF(B310="FDE",VLOOKUP(C310,#REF!,3,0),IF(B310="INFRA",VLOOKUP(C310,#REF!,3,0),""))))))),"")</f>
        <v/>
      </c>
      <c r="F310" s="936">
        <v>6288</v>
      </c>
      <c r="G310" s="985" t="str">
        <f>IFERROR(IF(B310="CPU",VLOOKUP(C310,#REF!,4,0),IF(B310="SINAPI",VLOOKUP(C310,#REF!,5,0),IF(B310="EDIF",VLOOKUP(C310,#REF!,4,0),IF(B310="CPOS",VLOOKUP(C310,#REF!,7,0),IF(B310="FDE",VLOOKUP(C310,#REF!,5,0),IF(B310="INFRA",VLOOKUP(C310,#REF!,4,0),""))))))*VLOOKUP(B310,#REF!,3,0),"")</f>
        <v/>
      </c>
      <c r="H310" s="986">
        <v>0.25</v>
      </c>
      <c r="I310" s="987" t="str">
        <f>IFERROR(F310*((G310*(1+H310))),"")</f>
        <v/>
      </c>
      <c r="J310" s="988">
        <v>263860.2</v>
      </c>
      <c r="K310" s="52"/>
      <c r="L310" s="940"/>
    </row>
    <row r="311" spans="1:12" s="25" customFormat="1" ht="27" customHeight="1">
      <c r="A311" s="933" t="s">
        <v>5821</v>
      </c>
      <c r="B311" s="933" t="s">
        <v>1479</v>
      </c>
      <c r="C311" s="1012" t="s">
        <v>5822</v>
      </c>
      <c r="D311" s="984" t="str">
        <f>IFERROR(UPPER(IF(B311="CPU",VLOOKUP(C311,#REF!,2,0),IF(B311="SINAPI",VLOOKUP(C311,#REF!,2,0),IF(B311="EDIF",VLOOKUP(C311,#REF!,2,0),IF(B311="CPOS",VLOOKUP(C311,#REF!,3,0),IF(B311="FDE",VLOOKUP(C311,#REF!,2,0),IF(B311="INFRA",VLOOKUP(C311,#REF!,2,0),""))))))),"")</f>
        <v/>
      </c>
      <c r="E311" s="78" t="str">
        <f>IFERROR(UPPER(IF(B311="CPU",VLOOKUP(C311,#REF!,3,0),IF(B311="SINAPI",VLOOKUP(C311,#REF!,3,0),IF(B311="EDIF",VLOOKUP(C311,#REF!,3,0),IF(B311="CPOS",VLOOKUP(C311,#REF!,4,0),IF(B311="FDE",VLOOKUP(C311,#REF!,3,0),IF(B311="INFRA",VLOOKUP(C311,#REF!,3,0),""))))))),"")</f>
        <v/>
      </c>
      <c r="F311" s="936">
        <v>3602.5</v>
      </c>
      <c r="G311" s="985" t="str">
        <f>IFERROR(IF(B311="CPU",VLOOKUP(C311,#REF!,4,0),IF(B311="SINAPI",VLOOKUP(C311,#REF!,5,0),IF(B311="EDIF",VLOOKUP(C311,#REF!,4,0),IF(B311="CPOS",VLOOKUP(C311,#REF!,7,0),IF(B311="FDE",VLOOKUP(C311,#REF!,5,0),IF(B311="INFRA",VLOOKUP(C311,#REF!,4,0),""))))))*VLOOKUP(B311,#REF!,3,0),"")</f>
        <v/>
      </c>
      <c r="H311" s="986">
        <v>0.25</v>
      </c>
      <c r="I311" s="987" t="str">
        <f>IFERROR(F311*((G311*(1+H311))),"")</f>
        <v/>
      </c>
      <c r="J311" s="988">
        <v>145856.21875</v>
      </c>
      <c r="K311" s="52"/>
      <c r="L311" s="940"/>
    </row>
    <row r="312" spans="1:12" s="25" customFormat="1" ht="27" customHeight="1">
      <c r="A312" s="933" t="s">
        <v>5823</v>
      </c>
      <c r="B312" s="933" t="s">
        <v>4872</v>
      </c>
      <c r="C312" s="1012">
        <v>90224</v>
      </c>
      <c r="D312" s="984" t="str">
        <f>IFERROR(UPPER(IF(B312="CPU",VLOOKUP(C312,#REF!,2,0),IF(B312="SINAPI",VLOOKUP(C312,#REF!,2,0),IF(B312="EDIF",VLOOKUP(C312,#REF!,2,0),IF(B312="CPOS",VLOOKUP(C312,#REF!,3,0),IF(B312="FDE",VLOOKUP(C312,#REF!,2,0),IF(B312="INFRA",VLOOKUP(C312,#REF!,2,0),""))))))),"")</f>
        <v/>
      </c>
      <c r="E312" s="78" t="str">
        <f>IFERROR(UPPER(IF(B312="CPU",VLOOKUP(C312,#REF!,3,0),IF(B312="SINAPI",VLOOKUP(C312,#REF!,3,0),IF(B312="EDIF",VLOOKUP(C312,#REF!,3,0),IF(B312="CPOS",VLOOKUP(C312,#REF!,4,0),IF(B312="FDE",VLOOKUP(C312,#REF!,3,0),IF(B312="INFRA",VLOOKUP(C312,#REF!,3,0),""))))))),"")</f>
        <v/>
      </c>
      <c r="F312" s="936">
        <v>1886.4</v>
      </c>
      <c r="G312" s="985" t="str">
        <f>IFERROR(IF(B312="CPU",VLOOKUP(C312,#REF!,4,0),IF(B312="SINAPI",VLOOKUP(C312,#REF!,5,0),IF(B312="EDIF",VLOOKUP(C312,#REF!,4,0),IF(B312="CPOS",VLOOKUP(C312,#REF!,7,0),IF(B312="FDE",VLOOKUP(C312,#REF!,5,0),IF(B312="INFRA",VLOOKUP(C312,#REF!,4,0),""))))))*VLOOKUP(B312,#REF!,3,0),"")</f>
        <v/>
      </c>
      <c r="H312" s="986">
        <v>0.25</v>
      </c>
      <c r="I312" s="987" t="str">
        <f>IFERROR(F312*((G312*(1+H312))),"")</f>
        <v/>
      </c>
      <c r="J312" s="988">
        <v>124903.26</v>
      </c>
      <c r="K312" s="52"/>
      <c r="L312" s="940"/>
    </row>
    <row r="313" spans="1:12" s="25" customFormat="1" ht="27" customHeight="1">
      <c r="A313" s="933" t="s">
        <v>5824</v>
      </c>
      <c r="B313" s="933" t="s">
        <v>4872</v>
      </c>
      <c r="C313" s="1012">
        <v>90227</v>
      </c>
      <c r="D313" s="984" t="str">
        <f>IFERROR(UPPER(IF(B313="CPU",VLOOKUP(C313,#REF!,2,0),IF(B313="SINAPI",VLOOKUP(C313,#REF!,2,0),IF(B313="EDIF",VLOOKUP(C313,#REF!,2,0),IF(B313="CPOS",VLOOKUP(C313,#REF!,3,0),IF(B313="FDE",VLOOKUP(C313,#REF!,2,0),IF(B313="INFRA",VLOOKUP(C313,#REF!,2,0),""))))))),"")</f>
        <v/>
      </c>
      <c r="E313" s="78" t="str">
        <f>IFERROR(UPPER(IF(B313="CPU",VLOOKUP(C313,#REF!,3,0),IF(B313="SINAPI",VLOOKUP(C313,#REF!,3,0),IF(B313="EDIF",VLOOKUP(C313,#REF!,3,0),IF(B313="CPOS",VLOOKUP(C313,#REF!,4,0),IF(B313="FDE",VLOOKUP(C313,#REF!,3,0),IF(B313="INFRA",VLOOKUP(C313,#REF!,3,0),""))))))),"")</f>
        <v/>
      </c>
      <c r="F313" s="936">
        <v>503.04</v>
      </c>
      <c r="G313" s="985" t="str">
        <f>IFERROR(IF(B313="CPU",VLOOKUP(C313,#REF!,4,0),IF(B313="SINAPI",VLOOKUP(C313,#REF!,5,0),IF(B313="EDIF",VLOOKUP(C313,#REF!,4,0),IF(B313="CPOS",VLOOKUP(C313,#REF!,7,0),IF(B313="FDE",VLOOKUP(C313,#REF!,5,0),IF(B313="INFRA",VLOOKUP(C313,#REF!,4,0),""))))))*VLOOKUP(B313,#REF!,3,0),"")</f>
        <v/>
      </c>
      <c r="H313" s="986">
        <v>0.25</v>
      </c>
      <c r="I313" s="987" t="str">
        <f>IFERROR(F313*((G313*(1+H313))),"")</f>
        <v/>
      </c>
      <c r="J313" s="988">
        <v>52951.248</v>
      </c>
      <c r="K313" s="52"/>
      <c r="L313" s="940"/>
    </row>
    <row r="314" spans="1:12" s="25" customFormat="1" ht="27" customHeight="1">
      <c r="A314" s="1015"/>
      <c r="B314" s="1015"/>
      <c r="C314" s="1023"/>
      <c r="D314" s="984" t="str">
        <f>IFERROR(UPPER(IF(B314="CPU",VLOOKUP(C314,#REF!,2,0),IF(B314="SINAPI",VLOOKUP(C314,#REF!,2,0),IF(B314="EDIF",VLOOKUP(C314,#REF!,2,0),IF(B314="CPOS",VLOOKUP(C314,#REF!,3,0),IF(B314="FDE",VLOOKUP(C314,#REF!,2,0),IF(B314="INFRA",VLOOKUP(C314,#REF!,2,0),""))))))),"")</f>
        <v/>
      </c>
      <c r="E314" s="78" t="str">
        <f>IFERROR(UPPER(IF(B314="CPU",VLOOKUP(C314,#REF!,3,0),IF(B314="SINAPI",VLOOKUP(C314,#REF!,3,0),IF(B314="EDIF",VLOOKUP(C314,#REF!,3,0),IF(B314="CPOS",VLOOKUP(C314,#REF!,4,0),IF(B314="FDE",VLOOKUP(C314,#REF!,3,0),IF(B314="INFRA",VLOOKUP(C314,#REF!,3,0),""))))))),"")</f>
        <v/>
      </c>
      <c r="F314" s="936"/>
      <c r="G314" s="985" t="str">
        <f>IFERROR(IF(B314="CPU",VLOOKUP(C314,#REF!,4,0),IF(B314="SINAPI",VLOOKUP(C314,#REF!,5,0),IF(B314="EDIF",VLOOKUP(C314,#REF!,4,0),IF(B314="CPOS",VLOOKUP(C314,#REF!,7,0),IF(B314="FDE",VLOOKUP(C314,#REF!,5,0),IF(B314="INFRA",VLOOKUP(C314,#REF!,4,0),""))))))*VLOOKUP(B314,#REF!,3,0),"")</f>
        <v/>
      </c>
      <c r="H314" s="986"/>
      <c r="I314" s="987" t="str">
        <f>IFERROR(F314*((G314*(1+H314))),"")</f>
        <v/>
      </c>
      <c r="J314" s="988"/>
      <c r="K314" s="52"/>
      <c r="L314" s="940"/>
    </row>
    <row r="315" spans="1:12" s="25" customFormat="1" ht="27" customHeight="1">
      <c r="A315" s="975" t="s">
        <v>5519</v>
      </c>
      <c r="B315" s="976"/>
      <c r="C315" s="976"/>
      <c r="D315" s="977" t="s">
        <v>5825</v>
      </c>
      <c r="E315" s="978" t="str">
        <f>IFERROR(UPPER(IF(B315="CPU",VLOOKUP(C315,#REF!,3,0),IF(B315="SINAPI",VLOOKUP(C315,#REF!,3,0),IF(B315="EDIF",VLOOKUP(C315,#REF!,3,0),IF(B315="CPOS",VLOOKUP(C315,#REF!,4,0),IF(B315="FDE",VLOOKUP(C315,#REF!,3,0),IF(B315="INFRA",VLOOKUP(C315,#REF!,3,0),""))))))),"")</f>
        <v/>
      </c>
      <c r="F315" s="979"/>
      <c r="G315" s="980" t="str">
        <f>IFERROR(IF(B315="CPU",VLOOKUP(C315,#REF!,4,0),IF(B315="SINAPI",VLOOKUP(C315,#REF!,5,0),IF(B315="EDIF",VLOOKUP(C315,#REF!,4,0),IF(B315="CPOS",VLOOKUP(C315,#REF!,7,0),IF(B315="FDE",VLOOKUP(C315,#REF!,5,0),IF(B315="INFRA",VLOOKUP(C315,#REF!,4,0),""))))))*VLOOKUP(B315,#REF!,3,0),"")</f>
        <v/>
      </c>
      <c r="H315" s="979"/>
      <c r="I315" s="981">
        <f>SUM(I316:I324)</f>
        <v>0</v>
      </c>
      <c r="J315" s="988"/>
      <c r="K315" s="52"/>
      <c r="L315" s="940"/>
    </row>
    <row r="316" spans="1:12" s="25" customFormat="1" ht="27" customHeight="1">
      <c r="A316" s="933" t="s">
        <v>5826</v>
      </c>
      <c r="B316" s="933" t="s">
        <v>1479</v>
      </c>
      <c r="C316" s="934" t="s">
        <v>5827</v>
      </c>
      <c r="D316" s="984" t="str">
        <f>IFERROR(UPPER(IF(B316="CPU",VLOOKUP(C316,#REF!,2,0),IF(B316="SINAPI",VLOOKUP(C316,#REF!,2,0),IF(B316="EDIF",VLOOKUP(C316,#REF!,2,0),IF(B316="CPOS",VLOOKUP(C316,#REF!,3,0),IF(B316="FDE",VLOOKUP(C316,#REF!,2,0),IF(B316="INFRA",VLOOKUP(C316,#REF!,2,0),""))))))),"")</f>
        <v/>
      </c>
      <c r="E316" s="78" t="str">
        <f>IFERROR(UPPER(IF(B316="CPU",VLOOKUP(C316,#REF!,3,0),IF(B316="SINAPI",VLOOKUP(C316,#REF!,3,0),IF(B316="EDIF",VLOOKUP(C316,#REF!,3,0),IF(B316="CPOS",VLOOKUP(C316,#REF!,4,0),IF(B316="FDE",VLOOKUP(C316,#REF!,3,0),IF(B316="INFRA",VLOOKUP(C316,#REF!,3,0),""))))))),"")</f>
        <v/>
      </c>
      <c r="F316" s="936">
        <v>1920</v>
      </c>
      <c r="G316" s="985" t="str">
        <f>IFERROR(IF(B316="CPU",VLOOKUP(C316,#REF!,4,0),IF(B316="SINAPI",VLOOKUP(C316,#REF!,5,0),IF(B316="EDIF",VLOOKUP(C316,#REF!,4,0),IF(B316="CPOS",VLOOKUP(C316,#REF!,7,0),IF(B316="FDE",VLOOKUP(C316,#REF!,5,0),IF(B316="INFRA",VLOOKUP(C316,#REF!,4,0),""))))))*VLOOKUP(B316,#REF!,3,0),"")</f>
        <v/>
      </c>
      <c r="H316" s="986">
        <v>0.25</v>
      </c>
      <c r="I316" s="987" t="str">
        <f t="shared" ref="I316:I325" si="20">IFERROR(F316*((G316*(1+H316))),"")</f>
        <v/>
      </c>
      <c r="J316" s="988">
        <v>12000</v>
      </c>
      <c r="K316" s="52"/>
      <c r="L316" s="940"/>
    </row>
    <row r="317" spans="1:12" s="25" customFormat="1" ht="27" customHeight="1">
      <c r="A317" s="933" t="s">
        <v>5828</v>
      </c>
      <c r="B317" s="933" t="s">
        <v>1479</v>
      </c>
      <c r="C317" s="934" t="s">
        <v>5829</v>
      </c>
      <c r="D317" s="984" t="str">
        <f>IFERROR(UPPER(IF(B317="CPU",VLOOKUP(C317,#REF!,2,0),IF(B317="SINAPI",VLOOKUP(C317,#REF!,2,0),IF(B317="EDIF",VLOOKUP(C317,#REF!,2,0),IF(B317="CPOS",VLOOKUP(C317,#REF!,3,0),IF(B317="FDE",VLOOKUP(C317,#REF!,2,0),IF(B317="INFRA",VLOOKUP(C317,#REF!,2,0),""))))))),"")</f>
        <v/>
      </c>
      <c r="E317" s="78" t="str">
        <f>IFERROR(UPPER(IF(B317="CPU",VLOOKUP(C317,#REF!,3,0),IF(B317="SINAPI",VLOOKUP(C317,#REF!,3,0),IF(B317="EDIF",VLOOKUP(C317,#REF!,3,0),IF(B317="CPOS",VLOOKUP(C317,#REF!,4,0),IF(B317="FDE",VLOOKUP(C317,#REF!,3,0),IF(B317="INFRA",VLOOKUP(C317,#REF!,3,0),""))))))),"")</f>
        <v/>
      </c>
      <c r="F317" s="936">
        <v>1600</v>
      </c>
      <c r="G317" s="985" t="str">
        <f>IFERROR(IF(B317="CPU",VLOOKUP(C317,#REF!,4,0),IF(B317="SINAPI",VLOOKUP(C317,#REF!,5,0),IF(B317="EDIF",VLOOKUP(C317,#REF!,4,0),IF(B317="CPOS",VLOOKUP(C317,#REF!,7,0),IF(B317="FDE",VLOOKUP(C317,#REF!,5,0),IF(B317="INFRA",VLOOKUP(C317,#REF!,4,0),""))))))*VLOOKUP(B317,#REF!,3,0),"")</f>
        <v/>
      </c>
      <c r="H317" s="986">
        <v>0.25</v>
      </c>
      <c r="I317" s="987" t="str">
        <f t="shared" si="20"/>
        <v/>
      </c>
      <c r="J317" s="988">
        <v>16160</v>
      </c>
      <c r="K317" s="52"/>
      <c r="L317" s="940"/>
    </row>
    <row r="318" spans="1:12" s="25" customFormat="1" ht="27" customHeight="1">
      <c r="A318" s="933" t="s">
        <v>5830</v>
      </c>
      <c r="B318" s="933" t="s">
        <v>1479</v>
      </c>
      <c r="C318" s="934" t="s">
        <v>5831</v>
      </c>
      <c r="D318" s="984" t="str">
        <f>IFERROR(UPPER(IF(B318="CPU",VLOOKUP(C318,#REF!,2,0),IF(B318="SINAPI",VLOOKUP(C318,#REF!,2,0),IF(B318="EDIF",VLOOKUP(C318,#REF!,2,0),IF(B318="CPOS",VLOOKUP(C318,#REF!,3,0),IF(B318="FDE",VLOOKUP(C318,#REF!,2,0),IF(B318="INFRA",VLOOKUP(C318,#REF!,2,0),""))))))),"")</f>
        <v/>
      </c>
      <c r="E318" s="78" t="str">
        <f>IFERROR(UPPER(IF(B318="CPU",VLOOKUP(C318,#REF!,3,0),IF(B318="SINAPI",VLOOKUP(C318,#REF!,3,0),IF(B318="EDIF",VLOOKUP(C318,#REF!,3,0),IF(B318="CPOS",VLOOKUP(C318,#REF!,4,0),IF(B318="FDE",VLOOKUP(C318,#REF!,3,0),IF(B318="INFRA",VLOOKUP(C318,#REF!,3,0),""))))))),"")</f>
        <v/>
      </c>
      <c r="F318" s="936">
        <v>480</v>
      </c>
      <c r="G318" s="985" t="str">
        <f>IFERROR(IF(B318="CPU",VLOOKUP(C318,#REF!,4,0),IF(B318="SINAPI",VLOOKUP(C318,#REF!,5,0),IF(B318="EDIF",VLOOKUP(C318,#REF!,4,0),IF(B318="CPOS",VLOOKUP(C318,#REF!,7,0),IF(B318="FDE",VLOOKUP(C318,#REF!,5,0),IF(B318="INFRA",VLOOKUP(C318,#REF!,4,0),""))))))*VLOOKUP(B318,#REF!,3,0),"")</f>
        <v/>
      </c>
      <c r="H318" s="986">
        <v>0.25</v>
      </c>
      <c r="I318" s="987" t="str">
        <f t="shared" si="20"/>
        <v/>
      </c>
      <c r="J318" s="988">
        <v>4536</v>
      </c>
      <c r="K318" s="52"/>
      <c r="L318" s="940"/>
    </row>
    <row r="319" spans="1:12" s="25" customFormat="1" ht="27" customHeight="1">
      <c r="A319" s="933" t="s">
        <v>5832</v>
      </c>
      <c r="B319" s="933" t="s">
        <v>1479</v>
      </c>
      <c r="C319" s="934" t="s">
        <v>5833</v>
      </c>
      <c r="D319" s="984" t="str">
        <f>IFERROR(UPPER(IF(B319="CPU",VLOOKUP(C319,#REF!,2,0),IF(B319="SINAPI",VLOOKUP(C319,#REF!,2,0),IF(B319="EDIF",VLOOKUP(C319,#REF!,2,0),IF(B319="CPOS",VLOOKUP(C319,#REF!,3,0),IF(B319="FDE",VLOOKUP(C319,#REF!,2,0),IF(B319="INFRA",VLOOKUP(C319,#REF!,2,0),""))))))),"")</f>
        <v/>
      </c>
      <c r="E319" s="78" t="str">
        <f>IFERROR(UPPER(IF(B319="CPU",VLOOKUP(C319,#REF!,3,0),IF(B319="SINAPI",VLOOKUP(C319,#REF!,3,0),IF(B319="EDIF",VLOOKUP(C319,#REF!,3,0),IF(B319="CPOS",VLOOKUP(C319,#REF!,4,0),IF(B319="FDE",VLOOKUP(C319,#REF!,3,0),IF(B319="INFRA",VLOOKUP(C319,#REF!,3,0),""))))))),"")</f>
        <v/>
      </c>
      <c r="F319" s="936">
        <v>320</v>
      </c>
      <c r="G319" s="985" t="str">
        <f>IFERROR(IF(B319="CPU",VLOOKUP(C319,#REF!,4,0),IF(B319="SINAPI",VLOOKUP(C319,#REF!,5,0),IF(B319="EDIF",VLOOKUP(C319,#REF!,4,0),IF(B319="CPOS",VLOOKUP(C319,#REF!,7,0),IF(B319="FDE",VLOOKUP(C319,#REF!,5,0),IF(B319="INFRA",VLOOKUP(C319,#REF!,4,0),""))))))*VLOOKUP(B319,#REF!,3,0),"")</f>
        <v/>
      </c>
      <c r="H319" s="986">
        <v>0.25</v>
      </c>
      <c r="I319" s="987" t="str">
        <f t="shared" si="20"/>
        <v/>
      </c>
      <c r="J319" s="988">
        <v>11964</v>
      </c>
      <c r="K319" s="52"/>
      <c r="L319" s="940"/>
    </row>
    <row r="320" spans="1:12" s="25" customFormat="1" ht="27" customHeight="1">
      <c r="A320" s="933" t="s">
        <v>5834</v>
      </c>
      <c r="B320" s="933" t="s">
        <v>1479</v>
      </c>
      <c r="C320" s="934" t="s">
        <v>5835</v>
      </c>
      <c r="D320" s="984" t="str">
        <f>IFERROR(UPPER(IF(B320="CPU",VLOOKUP(C320,#REF!,2,0),IF(B320="SINAPI",VLOOKUP(C320,#REF!,2,0),IF(B320="EDIF",VLOOKUP(C320,#REF!,2,0),IF(B320="CPOS",VLOOKUP(C320,#REF!,3,0),IF(B320="FDE",VLOOKUP(C320,#REF!,2,0),IF(B320="INFRA",VLOOKUP(C320,#REF!,2,0),""))))))),"")</f>
        <v/>
      </c>
      <c r="E320" s="78" t="str">
        <f>IFERROR(UPPER(IF(B320="CPU",VLOOKUP(C320,#REF!,3,0),IF(B320="SINAPI",VLOOKUP(C320,#REF!,3,0),IF(B320="EDIF",VLOOKUP(C320,#REF!,3,0),IF(B320="CPOS",VLOOKUP(C320,#REF!,4,0),IF(B320="FDE",VLOOKUP(C320,#REF!,3,0),IF(B320="INFRA",VLOOKUP(C320,#REF!,3,0),""))))))),"")</f>
        <v/>
      </c>
      <c r="F320" s="936">
        <v>160</v>
      </c>
      <c r="G320" s="985" t="str">
        <f>IFERROR(IF(B320="CPU",VLOOKUP(C320,#REF!,4,0),IF(B320="SINAPI",VLOOKUP(C320,#REF!,5,0),IF(B320="EDIF",VLOOKUP(C320,#REF!,4,0),IF(B320="CPOS",VLOOKUP(C320,#REF!,7,0),IF(B320="FDE",VLOOKUP(C320,#REF!,5,0),IF(B320="INFRA",VLOOKUP(C320,#REF!,4,0),""))))))*VLOOKUP(B320,#REF!,3,0),"")</f>
        <v/>
      </c>
      <c r="H320" s="986">
        <v>0.25</v>
      </c>
      <c r="I320" s="987" t="str">
        <f t="shared" si="20"/>
        <v/>
      </c>
      <c r="J320" s="988">
        <v>8522</v>
      </c>
      <c r="K320" s="52"/>
      <c r="L320" s="940"/>
    </row>
    <row r="321" spans="1:12" s="25" customFormat="1" ht="27" customHeight="1">
      <c r="A321" s="933" t="s">
        <v>5836</v>
      </c>
      <c r="B321" s="933" t="s">
        <v>1479</v>
      </c>
      <c r="C321" s="934" t="s">
        <v>5837</v>
      </c>
      <c r="D321" s="984" t="str">
        <f>IFERROR(UPPER(IF(B321="CPU",VLOOKUP(C321,#REF!,2,0),IF(B321="SINAPI",VLOOKUP(C321,#REF!,2,0),IF(B321="EDIF",VLOOKUP(C321,#REF!,2,0),IF(B321="CPOS",VLOOKUP(C321,#REF!,3,0),IF(B321="FDE",VLOOKUP(C321,#REF!,2,0),IF(B321="INFRA",VLOOKUP(C321,#REF!,2,0),""))))))),"")</f>
        <v/>
      </c>
      <c r="E321" s="78" t="str">
        <f>IFERROR(UPPER(IF(B321="CPU",VLOOKUP(C321,#REF!,3,0),IF(B321="SINAPI",VLOOKUP(C321,#REF!,3,0),IF(B321="EDIF",VLOOKUP(C321,#REF!,3,0),IF(B321="CPOS",VLOOKUP(C321,#REF!,4,0),IF(B321="FDE",VLOOKUP(C321,#REF!,3,0),IF(B321="INFRA",VLOOKUP(C321,#REF!,3,0),""))))))),"")</f>
        <v/>
      </c>
      <c r="F321" s="936">
        <v>5030.3999999999996</v>
      </c>
      <c r="G321" s="985" t="str">
        <f>IFERROR(IF(B321="CPU",VLOOKUP(C321,#REF!,4,0),IF(B321="SINAPI",VLOOKUP(C321,#REF!,5,0),IF(B321="EDIF",VLOOKUP(C321,#REF!,4,0),IF(B321="CPOS",VLOOKUP(C321,#REF!,7,0),IF(B321="FDE",VLOOKUP(C321,#REF!,5,0),IF(B321="INFRA",VLOOKUP(C321,#REF!,4,0),""))))))*VLOOKUP(B321,#REF!,3,0),"")</f>
        <v/>
      </c>
      <c r="H321" s="986">
        <v>0.25</v>
      </c>
      <c r="I321" s="987" t="str">
        <f t="shared" si="20"/>
        <v/>
      </c>
      <c r="J321" s="988">
        <v>54076.800000000003</v>
      </c>
      <c r="K321" s="52"/>
      <c r="L321" s="940"/>
    </row>
    <row r="322" spans="1:12" s="25" customFormat="1" ht="27" customHeight="1">
      <c r="A322" s="933" t="s">
        <v>5838</v>
      </c>
      <c r="B322" s="933" t="s">
        <v>4872</v>
      </c>
      <c r="C322" s="1012">
        <v>91313</v>
      </c>
      <c r="D322" s="984" t="str">
        <f>IFERROR(UPPER(IF(B322="CPU",VLOOKUP(C322,#REF!,2,0),IF(B322="SINAPI",VLOOKUP(C322,#REF!,2,0),IF(B322="EDIF",VLOOKUP(C322,#REF!,2,0),IF(B322="CPOS",VLOOKUP(C322,#REF!,3,0),IF(B322="FDE",VLOOKUP(C322,#REF!,2,0),IF(B322="INFRA",VLOOKUP(C322,#REF!,2,0),""))))))),"")</f>
        <v/>
      </c>
      <c r="E322" s="78" t="str">
        <f>IFERROR(UPPER(IF(B322="CPU",VLOOKUP(C322,#REF!,3,0),IF(B322="SINAPI",VLOOKUP(C322,#REF!,3,0),IF(B322="EDIF",VLOOKUP(C322,#REF!,3,0),IF(B322="CPOS",VLOOKUP(C322,#REF!,4,0),IF(B322="FDE",VLOOKUP(C322,#REF!,3,0),IF(B322="INFRA",VLOOKUP(C322,#REF!,3,0),""))))))),"")</f>
        <v/>
      </c>
      <c r="F322" s="936">
        <v>2554.5</v>
      </c>
      <c r="G322" s="985" t="str">
        <f>IFERROR(IF(B322="CPU",VLOOKUP(C322,#REF!,4,0),IF(B322="SINAPI",VLOOKUP(C322,#REF!,5,0),IF(B322="EDIF",VLOOKUP(C322,#REF!,4,0),IF(B322="CPOS",VLOOKUP(C322,#REF!,7,0),IF(B322="FDE",VLOOKUP(C322,#REF!,5,0),IF(B322="INFRA",VLOOKUP(C322,#REF!,4,0),""))))))*VLOOKUP(B322,#REF!,3,0),"")</f>
        <v/>
      </c>
      <c r="H322" s="986">
        <v>0.25</v>
      </c>
      <c r="I322" s="987" t="str">
        <f t="shared" si="20"/>
        <v/>
      </c>
      <c r="J322" s="988">
        <v>184179.45</v>
      </c>
      <c r="K322" s="52"/>
      <c r="L322" s="940"/>
    </row>
    <row r="323" spans="1:12" s="25" customFormat="1" ht="27" customHeight="1">
      <c r="A323" s="933" t="s">
        <v>5839</v>
      </c>
      <c r="B323" s="933" t="s">
        <v>4872</v>
      </c>
      <c r="C323" s="1012">
        <v>91314</v>
      </c>
      <c r="D323" s="984" t="str">
        <f>IFERROR(UPPER(IF(B323="CPU",VLOOKUP(C323,#REF!,2,0),IF(B323="SINAPI",VLOOKUP(C323,#REF!,2,0),IF(B323="EDIF",VLOOKUP(C323,#REF!,2,0),IF(B323="CPOS",VLOOKUP(C323,#REF!,3,0),IF(B323="FDE",VLOOKUP(C323,#REF!,2,0),IF(B323="INFRA",VLOOKUP(C323,#REF!,2,0),""))))))),"")</f>
        <v/>
      </c>
      <c r="E323" s="78" t="str">
        <f>IFERROR(UPPER(IF(B323="CPU",VLOOKUP(C323,#REF!,3,0),IF(B323="SINAPI",VLOOKUP(C323,#REF!,3,0),IF(B323="EDIF",VLOOKUP(C323,#REF!,3,0),IF(B323="CPOS",VLOOKUP(C323,#REF!,4,0),IF(B323="FDE",VLOOKUP(C323,#REF!,3,0),IF(B323="INFRA",VLOOKUP(C323,#REF!,3,0),""))))))),"")</f>
        <v/>
      </c>
      <c r="F323" s="936">
        <v>251.52</v>
      </c>
      <c r="G323" s="985" t="str">
        <f>IFERROR(IF(B323="CPU",VLOOKUP(C323,#REF!,4,0),IF(B323="SINAPI",VLOOKUP(C323,#REF!,5,0),IF(B323="EDIF",VLOOKUP(C323,#REF!,4,0),IF(B323="CPOS",VLOOKUP(C323,#REF!,7,0),IF(B323="FDE",VLOOKUP(C323,#REF!,5,0),IF(B323="INFRA",VLOOKUP(C323,#REF!,4,0),""))))))*VLOOKUP(B323,#REF!,3,0),"")</f>
        <v/>
      </c>
      <c r="H323" s="986">
        <v>0.25</v>
      </c>
      <c r="I323" s="987" t="str">
        <f t="shared" si="20"/>
        <v/>
      </c>
      <c r="J323" s="988">
        <v>22174.632000000001</v>
      </c>
      <c r="K323" s="52"/>
      <c r="L323" s="940"/>
    </row>
    <row r="324" spans="1:12" s="25" customFormat="1" ht="27" customHeight="1">
      <c r="A324" s="933" t="s">
        <v>5840</v>
      </c>
      <c r="B324" s="933" t="s">
        <v>4872</v>
      </c>
      <c r="C324" s="1012">
        <v>91307</v>
      </c>
      <c r="D324" s="984" t="str">
        <f>IFERROR(UPPER(IF(B324="CPU",VLOOKUP(C324,#REF!,2,0),IF(B324="SINAPI",VLOOKUP(C324,#REF!,2,0),IF(B324="EDIF",VLOOKUP(C324,#REF!,2,0),IF(B324="CPOS",VLOOKUP(C324,#REF!,3,0),IF(B324="FDE",VLOOKUP(C324,#REF!,2,0),IF(B324="INFRA",VLOOKUP(C324,#REF!,2,0),""))))))),"")</f>
        <v/>
      </c>
      <c r="E324" s="78" t="str">
        <f>IFERROR(UPPER(IF(B324="CPU",VLOOKUP(C324,#REF!,3,0),IF(B324="SINAPI",VLOOKUP(C324,#REF!,3,0),IF(B324="EDIF",VLOOKUP(C324,#REF!,3,0),IF(B324="CPOS",VLOOKUP(C324,#REF!,4,0),IF(B324="FDE",VLOOKUP(C324,#REF!,3,0),IF(B324="INFRA",VLOOKUP(C324,#REF!,3,0),""))))))),"")</f>
        <v/>
      </c>
      <c r="F324" s="936">
        <v>104.8</v>
      </c>
      <c r="G324" s="985" t="str">
        <f>IFERROR(IF(B324="CPU",VLOOKUP(C324,#REF!,4,0),IF(B324="SINAPI",VLOOKUP(C324,#REF!,5,0),IF(B324="EDIF",VLOOKUP(C324,#REF!,4,0),IF(B324="CPOS",VLOOKUP(C324,#REF!,7,0),IF(B324="FDE",VLOOKUP(C324,#REF!,5,0),IF(B324="INFRA",VLOOKUP(C324,#REF!,4,0),""))))))*VLOOKUP(B324,#REF!,3,0),"")</f>
        <v/>
      </c>
      <c r="H324" s="986">
        <v>0.25</v>
      </c>
      <c r="I324" s="987" t="str">
        <f t="shared" si="20"/>
        <v/>
      </c>
      <c r="J324" s="988">
        <v>7562.63</v>
      </c>
      <c r="K324" s="52"/>
      <c r="L324" s="940"/>
    </row>
    <row r="325" spans="1:12" s="25" customFormat="1" ht="27" customHeight="1">
      <c r="A325" s="1015"/>
      <c r="B325" s="1015"/>
      <c r="C325" s="1015"/>
      <c r="D325" s="984" t="str">
        <f>IFERROR(UPPER(IF(B325="CPU",VLOOKUP(C325,#REF!,2,0),IF(B325="SINAPI",VLOOKUP(C325,#REF!,2,0),IF(B325="EDIF",VLOOKUP(C325,#REF!,2,0),IF(B325="CPOS",VLOOKUP(C325,#REF!,3,0),IF(B325="FDE",VLOOKUP(C325,#REF!,2,0),IF(B325="INFRA",VLOOKUP(C325,#REF!,2,0),""))))))),"")</f>
        <v/>
      </c>
      <c r="E325" s="78" t="str">
        <f>IFERROR(UPPER(IF(B325="CPU",VLOOKUP(C325,#REF!,3,0),IF(B325="SINAPI",VLOOKUP(C325,#REF!,3,0),IF(B325="EDIF",VLOOKUP(C325,#REF!,3,0),IF(B325="CPOS",VLOOKUP(C325,#REF!,4,0),IF(B325="FDE",VLOOKUP(C325,#REF!,3,0),IF(B325="INFRA",VLOOKUP(C325,#REF!,3,0),""))))))),"")</f>
        <v/>
      </c>
      <c r="F325" s="936"/>
      <c r="G325" s="985" t="str">
        <f>IFERROR(IF(B325="CPU",VLOOKUP(C325,#REF!,4,0),IF(B325="SINAPI",VLOOKUP(C325,#REF!,5,0),IF(B325="EDIF",VLOOKUP(C325,#REF!,4,0),IF(B325="CPOS",VLOOKUP(C325,#REF!,7,0),IF(B325="FDE",VLOOKUP(C325,#REF!,5,0),IF(B325="INFRA",VLOOKUP(C325,#REF!,4,0),""))))))*VLOOKUP(B325,#REF!,3,0),"")</f>
        <v/>
      </c>
      <c r="H325" s="986"/>
      <c r="I325" s="987" t="str">
        <f t="shared" si="20"/>
        <v/>
      </c>
      <c r="J325" s="988"/>
      <c r="K325" s="52"/>
      <c r="L325" s="940"/>
    </row>
    <row r="326" spans="1:12" s="25" customFormat="1" ht="27" customHeight="1">
      <c r="A326" s="975" t="s">
        <v>5521</v>
      </c>
      <c r="B326" s="976"/>
      <c r="C326" s="976"/>
      <c r="D326" s="977" t="s">
        <v>5841</v>
      </c>
      <c r="E326" s="978" t="str">
        <f>IFERROR(UPPER(IF(B326="CPU",VLOOKUP(C326,#REF!,3,0),IF(B326="SINAPI",VLOOKUP(C326,#REF!,3,0),IF(B326="EDIF",VLOOKUP(C326,#REF!,3,0),IF(B326="CPOS",VLOOKUP(C326,#REF!,4,0),IF(B326="FDE",VLOOKUP(C326,#REF!,3,0),IF(B326="INFRA",VLOOKUP(C326,#REF!,3,0),""))))))),"")</f>
        <v/>
      </c>
      <c r="F326" s="979"/>
      <c r="G326" s="980" t="str">
        <f>IFERROR(IF(B326="CPU",VLOOKUP(C326,#REF!,4,0),IF(B326="SINAPI",VLOOKUP(C326,#REF!,5,0),IF(B326="EDIF",VLOOKUP(C326,#REF!,4,0),IF(B326="CPOS",VLOOKUP(C326,#REF!,7,0),IF(B326="FDE",VLOOKUP(C326,#REF!,5,0),IF(B326="INFRA",VLOOKUP(C326,#REF!,4,0),""))))))*VLOOKUP(B326,#REF!,3,0),"")</f>
        <v/>
      </c>
      <c r="H326" s="979"/>
      <c r="I326" s="981">
        <f>SUM(I327:I329)</f>
        <v>0</v>
      </c>
      <c r="J326" s="988"/>
      <c r="K326" s="52"/>
      <c r="L326" s="940"/>
    </row>
    <row r="327" spans="1:12" s="25" customFormat="1" ht="27" customHeight="1">
      <c r="A327" s="933" t="s">
        <v>5842</v>
      </c>
      <c r="B327" s="933" t="s">
        <v>1479</v>
      </c>
      <c r="C327" s="934" t="s">
        <v>5843</v>
      </c>
      <c r="D327" s="984" t="str">
        <f>IFERROR(UPPER(IF(B327="CPU",VLOOKUP(C327,#REF!,2,0),IF(B327="SINAPI",VLOOKUP(C327,#REF!,2,0),IF(B327="EDIF",VLOOKUP(C327,#REF!,2,0),IF(B327="CPOS",VLOOKUP(C327,#REF!,3,0),IF(B327="FDE",VLOOKUP(C327,#REF!,2,0),IF(B327="INFRA",VLOOKUP(C327,#REF!,2,0),""))))))),"")</f>
        <v/>
      </c>
      <c r="E327" s="78" t="str">
        <f>IFERROR(UPPER(IF(B327="CPU",VLOOKUP(C327,#REF!,3,0),IF(B327="SINAPI",VLOOKUP(C327,#REF!,3,0),IF(B327="EDIF",VLOOKUP(C327,#REF!,3,0),IF(B327="CPOS",VLOOKUP(C327,#REF!,4,0),IF(B327="FDE",VLOOKUP(C327,#REF!,3,0),IF(B327="INFRA",VLOOKUP(C327,#REF!,3,0),""))))))),"")</f>
        <v/>
      </c>
      <c r="F327" s="936">
        <f>419.2*2</f>
        <v>838.4</v>
      </c>
      <c r="G327" s="985" t="str">
        <f>IFERROR(IF(B327="CPU",VLOOKUP(C327,#REF!,4,0),IF(B327="SINAPI",VLOOKUP(C327,#REF!,5,0),IF(B327="EDIF",VLOOKUP(C327,#REF!,4,0),IF(B327="CPOS",VLOOKUP(C327,#REF!,7,0),IF(B327="FDE",VLOOKUP(C327,#REF!,5,0),IF(B327="INFRA",VLOOKUP(C327,#REF!,4,0),""))))))*VLOOKUP(B327,#REF!,3,0),"")</f>
        <v/>
      </c>
      <c r="H327" s="986">
        <v>0.25</v>
      </c>
      <c r="I327" s="987" t="str">
        <f>IFERROR(F327*((G327*(1+H327))),"")</f>
        <v/>
      </c>
      <c r="J327" s="988">
        <v>22919.759999999998</v>
      </c>
      <c r="K327" s="52"/>
      <c r="L327" s="940"/>
    </row>
    <row r="328" spans="1:12" s="25" customFormat="1" ht="27" customHeight="1">
      <c r="A328" s="933" t="s">
        <v>5844</v>
      </c>
      <c r="B328" s="933" t="s">
        <v>1479</v>
      </c>
      <c r="C328" s="934" t="s">
        <v>5845</v>
      </c>
      <c r="D328" s="984" t="str">
        <f>IFERROR(UPPER(IF(B328="CPU",VLOOKUP(C328,#REF!,2,0),IF(B328="SINAPI",VLOOKUP(C328,#REF!,2,0),IF(B328="EDIF",VLOOKUP(C328,#REF!,2,0),IF(B328="CPOS",VLOOKUP(C328,#REF!,3,0),IF(B328="FDE",VLOOKUP(C328,#REF!,2,0),IF(B328="INFRA",VLOOKUP(C328,#REF!,2,0),""))))))),"")</f>
        <v/>
      </c>
      <c r="E328" s="78" t="str">
        <f>IFERROR(UPPER(IF(B328="CPU",VLOOKUP(C328,#REF!,3,0),IF(B328="SINAPI",VLOOKUP(C328,#REF!,3,0),IF(B328="EDIF",VLOOKUP(C328,#REF!,3,0),IF(B328="CPOS",VLOOKUP(C328,#REF!,4,0),IF(B328="FDE",VLOOKUP(C328,#REF!,3,0),IF(B328="INFRA",VLOOKUP(C328,#REF!,3,0),""))))))),"")</f>
        <v/>
      </c>
      <c r="F328" s="936">
        <v>1637.5</v>
      </c>
      <c r="G328" s="985" t="str">
        <f>IFERROR(IF(B328="CPU",VLOOKUP(C328,#REF!,4,0),IF(B328="SINAPI",VLOOKUP(C328,#REF!,5,0),IF(B328="EDIF",VLOOKUP(C328,#REF!,4,0),IF(B328="CPOS",VLOOKUP(C328,#REF!,7,0),IF(B328="FDE",VLOOKUP(C328,#REF!,5,0),IF(B328="INFRA",VLOOKUP(C328,#REF!,4,0),""))))))*VLOOKUP(B328,#REF!,3,0),"")</f>
        <v/>
      </c>
      <c r="H328" s="986">
        <v>0.25</v>
      </c>
      <c r="I328" s="987" t="str">
        <f>IFERROR(F328*((G328*(1+H328))),"")</f>
        <v/>
      </c>
      <c r="J328" s="988">
        <v>26425.15625</v>
      </c>
      <c r="K328" s="52"/>
      <c r="L328" s="940"/>
    </row>
    <row r="329" spans="1:12" s="25" customFormat="1" ht="27" customHeight="1">
      <c r="A329" s="933" t="s">
        <v>5846</v>
      </c>
      <c r="B329" s="933" t="s">
        <v>1479</v>
      </c>
      <c r="C329" s="934" t="s">
        <v>5847</v>
      </c>
      <c r="D329" s="984" t="str">
        <f>IFERROR(UPPER(IF(B329="CPU",VLOOKUP(C329,#REF!,2,0),IF(B329="SINAPI",VLOOKUP(C329,#REF!,2,0),IF(B329="EDIF",VLOOKUP(C329,#REF!,2,0),IF(B329="CPOS",VLOOKUP(C329,#REF!,3,0),IF(B329="FDE",VLOOKUP(C329,#REF!,2,0),IF(B329="INFRA",VLOOKUP(C329,#REF!,2,0),""))))))),"")</f>
        <v/>
      </c>
      <c r="E329" s="78" t="str">
        <f>IFERROR(UPPER(IF(B329="CPU",VLOOKUP(C329,#REF!,3,0),IF(B329="SINAPI",VLOOKUP(C329,#REF!,3,0),IF(B329="EDIF",VLOOKUP(C329,#REF!,3,0),IF(B329="CPOS",VLOOKUP(C329,#REF!,4,0),IF(B329="FDE",VLOOKUP(C329,#REF!,3,0),IF(B329="INFRA",VLOOKUP(C329,#REF!,3,0),""))))))),"")</f>
        <v/>
      </c>
      <c r="F329" s="936">
        <v>720.5</v>
      </c>
      <c r="G329" s="985" t="str">
        <f>IFERROR(IF(B329="CPU",VLOOKUP(C329,#REF!,4,0),IF(B329="SINAPI",VLOOKUP(C329,#REF!,5,0),IF(B329="EDIF",VLOOKUP(C329,#REF!,4,0),IF(B329="CPOS",VLOOKUP(C329,#REF!,7,0),IF(B329="FDE",VLOOKUP(C329,#REF!,5,0),IF(B329="INFRA",VLOOKUP(C329,#REF!,4,0),""))))))*VLOOKUP(B329,#REF!,3,0),"")</f>
        <v/>
      </c>
      <c r="H329" s="986">
        <v>0.25</v>
      </c>
      <c r="I329" s="987" t="str">
        <f>IFERROR(F329*((G329*(1+H329))),"")</f>
        <v/>
      </c>
      <c r="J329" s="988">
        <v>12626.762500000001</v>
      </c>
      <c r="K329" s="52"/>
      <c r="L329" s="940"/>
    </row>
    <row r="330" spans="1:12" s="25" customFormat="1" ht="27" customHeight="1">
      <c r="A330" s="1015"/>
      <c r="B330" s="1015"/>
      <c r="C330" s="1023"/>
      <c r="D330" s="984" t="str">
        <f>IFERROR(UPPER(IF(B330="CPU",VLOOKUP(C330,#REF!,2,0),IF(B330="SINAPI",VLOOKUP(C330,#REF!,2,0),IF(B330="EDIF",VLOOKUP(C330,#REF!,2,0),IF(B330="CPOS",VLOOKUP(C330,#REF!,3,0),IF(B330="FDE",VLOOKUP(C330,#REF!,2,0),IF(B330="INFRA",VLOOKUP(C330,#REF!,2,0),""))))))),"")</f>
        <v/>
      </c>
      <c r="E330" s="78" t="str">
        <f>IFERROR(UPPER(IF(B330="CPU",VLOOKUP(C330,#REF!,3,0),IF(B330="SINAPI",VLOOKUP(C330,#REF!,3,0),IF(B330="EDIF",VLOOKUP(C330,#REF!,3,0),IF(B330="CPOS",VLOOKUP(C330,#REF!,4,0),IF(B330="FDE",VLOOKUP(C330,#REF!,3,0),IF(B330="INFRA",VLOOKUP(C330,#REF!,3,0),""))))))),"")</f>
        <v/>
      </c>
      <c r="F330" s="936"/>
      <c r="G330" s="985" t="str">
        <f>IFERROR(IF(B330="CPU",VLOOKUP(C330,#REF!,4,0),IF(B330="SINAPI",VLOOKUP(C330,#REF!,5,0),IF(B330="EDIF",VLOOKUP(C330,#REF!,4,0),IF(B330="CPOS",VLOOKUP(C330,#REF!,7,0),IF(B330="FDE",VLOOKUP(C330,#REF!,5,0),IF(B330="INFRA",VLOOKUP(C330,#REF!,4,0),""))))))*VLOOKUP(B330,#REF!,3,0),"")</f>
        <v/>
      </c>
      <c r="H330" s="986"/>
      <c r="I330" s="987" t="str">
        <f>IFERROR(F330*((G330*(1+H330))),"")</f>
        <v/>
      </c>
      <c r="J330" s="988"/>
      <c r="K330" s="52"/>
      <c r="L330" s="940"/>
    </row>
    <row r="331" spans="1:12" s="25" customFormat="1" ht="27" customHeight="1">
      <c r="A331" s="975" t="s">
        <v>5524</v>
      </c>
      <c r="B331" s="976"/>
      <c r="C331" s="976"/>
      <c r="D331" s="977" t="s">
        <v>5848</v>
      </c>
      <c r="E331" s="978" t="str">
        <f>IFERROR(UPPER(IF(B331="CPU",VLOOKUP(C331,#REF!,3,0),IF(B331="SINAPI",VLOOKUP(C331,#REF!,3,0),IF(B331="EDIF",VLOOKUP(C331,#REF!,3,0),IF(B331="CPOS",VLOOKUP(C331,#REF!,4,0),IF(B331="FDE",VLOOKUP(C331,#REF!,3,0),IF(B331="INFRA",VLOOKUP(C331,#REF!,3,0),""))))))),"")</f>
        <v/>
      </c>
      <c r="F331" s="979"/>
      <c r="G331" s="980" t="str">
        <f>IFERROR(IF(B331="CPU",VLOOKUP(C331,#REF!,4,0),IF(B331="SINAPI",VLOOKUP(C331,#REF!,5,0),IF(B331="EDIF",VLOOKUP(C331,#REF!,4,0),IF(B331="CPOS",VLOOKUP(C331,#REF!,7,0),IF(B331="FDE",VLOOKUP(C331,#REF!,5,0),IF(B331="INFRA",VLOOKUP(C331,#REF!,4,0),""))))))*VLOOKUP(B331,#REF!,3,0),"")</f>
        <v/>
      </c>
      <c r="H331" s="979"/>
      <c r="I331" s="981">
        <f>SUM(I332:I336)</f>
        <v>0</v>
      </c>
      <c r="J331" s="988"/>
      <c r="K331" s="52"/>
      <c r="L331" s="940"/>
    </row>
    <row r="332" spans="1:12" s="25" customFormat="1" ht="27" customHeight="1">
      <c r="A332" s="933" t="s">
        <v>5849</v>
      </c>
      <c r="B332" s="933" t="s">
        <v>1479</v>
      </c>
      <c r="C332" s="934" t="s">
        <v>5850</v>
      </c>
      <c r="D332" s="984" t="str">
        <f>IFERROR(UPPER(IF(B332="CPU",VLOOKUP(C332,#REF!,2,0),IF(B332="SINAPI",VLOOKUP(C332,#REF!,2,0),IF(B332="EDIF",VLOOKUP(C332,#REF!,2,0),IF(B332="CPOS",VLOOKUP(C332,#REF!,3,0),IF(B332="FDE",VLOOKUP(C332,#REF!,2,0),IF(B332="INFRA",VLOOKUP(C332,#REF!,2,0),""))))))),"")</f>
        <v/>
      </c>
      <c r="E332" s="78" t="str">
        <f>IFERROR(UPPER(IF(B332="CPU",VLOOKUP(C332,#REF!,3,0),IF(B332="SINAPI",VLOOKUP(C332,#REF!,3,0),IF(B332="EDIF",VLOOKUP(C332,#REF!,3,0),IF(B332="CPOS",VLOOKUP(C332,#REF!,4,0),IF(B332="FDE",VLOOKUP(C332,#REF!,3,0),IF(B332="INFRA",VLOOKUP(C332,#REF!,3,0),""))))))),"")</f>
        <v/>
      </c>
      <c r="F332" s="936">
        <v>838.4</v>
      </c>
      <c r="G332" s="985" t="str">
        <f>IFERROR(IF(B332="CPU",VLOOKUP(C332,#REF!,4,0),IF(B332="SINAPI",VLOOKUP(C332,#REF!,5,0),IF(B332="EDIF",VLOOKUP(C332,#REF!,4,0),IF(B332="CPOS",VLOOKUP(C332,#REF!,7,0),IF(B332="FDE",VLOOKUP(C332,#REF!,5,0),IF(B332="INFRA",VLOOKUP(C332,#REF!,4,0),""))))))*VLOOKUP(B332,#REF!,3,0),"")</f>
        <v/>
      </c>
      <c r="H332" s="986">
        <v>0.25</v>
      </c>
      <c r="I332" s="987" t="str">
        <f>IFERROR(F332*((G332*(1+H332))),"")</f>
        <v/>
      </c>
      <c r="J332" s="988">
        <v>51247.199999999997</v>
      </c>
      <c r="K332" s="52"/>
      <c r="L332" s="940"/>
    </row>
    <row r="333" spans="1:12" s="25" customFormat="1" ht="27" customHeight="1">
      <c r="A333" s="933" t="s">
        <v>5851</v>
      </c>
      <c r="B333" s="933" t="s">
        <v>1479</v>
      </c>
      <c r="C333" s="934" t="s">
        <v>5852</v>
      </c>
      <c r="D333" s="984" t="str">
        <f>IFERROR(UPPER(IF(B333="CPU",VLOOKUP(C333,#REF!,2,0),IF(B333="SINAPI",VLOOKUP(C333,#REF!,2,0),IF(B333="EDIF",VLOOKUP(C333,#REF!,2,0),IF(B333="CPOS",VLOOKUP(C333,#REF!,3,0),IF(B333="FDE",VLOOKUP(C333,#REF!,2,0),IF(B333="INFRA",VLOOKUP(C333,#REF!,2,0),""))))))),"")</f>
        <v/>
      </c>
      <c r="E333" s="78" t="str">
        <f>IFERROR(UPPER(IF(B333="CPU",VLOOKUP(C333,#REF!,3,0),IF(B333="SINAPI",VLOOKUP(C333,#REF!,3,0),IF(B333="EDIF",VLOOKUP(C333,#REF!,3,0),IF(B333="CPOS",VLOOKUP(C333,#REF!,4,0),IF(B333="FDE",VLOOKUP(C333,#REF!,3,0),IF(B333="INFRA",VLOOKUP(C333,#REF!,3,0),""))))))),"")</f>
        <v/>
      </c>
      <c r="F333" s="936">
        <v>2096</v>
      </c>
      <c r="G333" s="985" t="str">
        <f>IFERROR(IF(B333="CPU",VLOOKUP(C333,#REF!,4,0),IF(B333="SINAPI",VLOOKUP(C333,#REF!,5,0),IF(B333="EDIF",VLOOKUP(C333,#REF!,4,0),IF(B333="CPOS",VLOOKUP(C333,#REF!,7,0),IF(B333="FDE",VLOOKUP(C333,#REF!,5,0),IF(B333="INFRA",VLOOKUP(C333,#REF!,4,0),""))))))*VLOOKUP(B333,#REF!,3,0),"")</f>
        <v/>
      </c>
      <c r="H333" s="986">
        <v>0.25</v>
      </c>
      <c r="I333" s="987" t="str">
        <f>IFERROR(F333*((G333*(1+H333))),"")</f>
        <v/>
      </c>
      <c r="J333" s="988">
        <v>239546.6</v>
      </c>
      <c r="K333" s="52"/>
      <c r="L333" s="940"/>
    </row>
    <row r="334" spans="1:12" s="25" customFormat="1" ht="27" customHeight="1">
      <c r="A334" s="933" t="s">
        <v>5853</v>
      </c>
      <c r="B334" s="933" t="s">
        <v>1479</v>
      </c>
      <c r="C334" s="934" t="s">
        <v>5854</v>
      </c>
      <c r="D334" s="984" t="str">
        <f>IFERROR(UPPER(IF(B334="CPU",VLOOKUP(C334,#REF!,2,0),IF(B334="SINAPI",VLOOKUP(C334,#REF!,2,0),IF(B334="EDIF",VLOOKUP(C334,#REF!,2,0),IF(B334="CPOS",VLOOKUP(C334,#REF!,3,0),IF(B334="FDE",VLOOKUP(C334,#REF!,2,0),IF(B334="INFRA",VLOOKUP(C334,#REF!,2,0),""))))))),"")</f>
        <v/>
      </c>
      <c r="E334" s="78" t="str">
        <f>IFERROR(UPPER(IF(B334="CPU",VLOOKUP(C334,#REF!,3,0),IF(B334="SINAPI",VLOOKUP(C334,#REF!,3,0),IF(B334="EDIF",VLOOKUP(C334,#REF!,3,0),IF(B334="CPOS",VLOOKUP(C334,#REF!,4,0),IF(B334="FDE",VLOOKUP(C334,#REF!,3,0),IF(B334="INFRA",VLOOKUP(C334,#REF!,3,0),""))))))),"")</f>
        <v/>
      </c>
      <c r="F334" s="936">
        <v>838.4</v>
      </c>
      <c r="G334" s="985" t="str">
        <f>IFERROR(IF(B334="CPU",VLOOKUP(C334,#REF!,4,0),IF(B334="SINAPI",VLOOKUP(C334,#REF!,5,0),IF(B334="EDIF",VLOOKUP(C334,#REF!,4,0),IF(B334="CPOS",VLOOKUP(C334,#REF!,7,0),IF(B334="FDE",VLOOKUP(C334,#REF!,5,0),IF(B334="INFRA",VLOOKUP(C334,#REF!,4,0),""))))))*VLOOKUP(B334,#REF!,3,0),"")</f>
        <v/>
      </c>
      <c r="H334" s="986">
        <v>0.25</v>
      </c>
      <c r="I334" s="987" t="str">
        <f>IFERROR(F334*((G334*(1+H334))),"")</f>
        <v/>
      </c>
      <c r="J334" s="988">
        <v>18905.919999999998</v>
      </c>
      <c r="K334" s="52"/>
      <c r="L334" s="940"/>
    </row>
    <row r="335" spans="1:12" s="25" customFormat="1" ht="27" customHeight="1">
      <c r="A335" s="933" t="s">
        <v>5855</v>
      </c>
      <c r="B335" s="933" t="s">
        <v>1479</v>
      </c>
      <c r="C335" s="934" t="s">
        <v>5856</v>
      </c>
      <c r="D335" s="984" t="str">
        <f>IFERROR(UPPER(IF(B335="CPU",VLOOKUP(C335,#REF!,2,0),IF(B335="SINAPI",VLOOKUP(C335,#REF!,2,0),IF(B335="EDIF",VLOOKUP(C335,#REF!,2,0),IF(B335="CPOS",VLOOKUP(C335,#REF!,3,0),IF(B335="FDE",VLOOKUP(C335,#REF!,2,0),IF(B335="INFRA",VLOOKUP(C335,#REF!,2,0),""))))))),"")</f>
        <v/>
      </c>
      <c r="E335" s="78" t="str">
        <f>IFERROR(UPPER(IF(B335="CPU",VLOOKUP(C335,#REF!,3,0),IF(B335="SINAPI",VLOOKUP(C335,#REF!,3,0),IF(B335="EDIF",VLOOKUP(C335,#REF!,3,0),IF(B335="CPOS",VLOOKUP(C335,#REF!,4,0),IF(B335="FDE",VLOOKUP(C335,#REF!,3,0),IF(B335="INFRA",VLOOKUP(C335,#REF!,3,0),""))))))),"")</f>
        <v/>
      </c>
      <c r="F335" s="936">
        <v>2096</v>
      </c>
      <c r="G335" s="985" t="str">
        <f>IFERROR(IF(B335="CPU",VLOOKUP(C335,#REF!,4,0),IF(B335="SINAPI",VLOOKUP(C335,#REF!,5,0),IF(B335="EDIF",VLOOKUP(C335,#REF!,4,0),IF(B335="CPOS",VLOOKUP(C335,#REF!,7,0),IF(B335="FDE",VLOOKUP(C335,#REF!,5,0),IF(B335="INFRA",VLOOKUP(C335,#REF!,4,0),""))))))*VLOOKUP(B335,#REF!,3,0),"")</f>
        <v/>
      </c>
      <c r="H335" s="986">
        <v>0.25</v>
      </c>
      <c r="I335" s="987" t="str">
        <f>IFERROR(F335*((G335*(1+H335))),"")</f>
        <v/>
      </c>
      <c r="J335" s="988">
        <v>106450.6</v>
      </c>
      <c r="K335" s="52"/>
      <c r="L335" s="940"/>
    </row>
    <row r="336" spans="1:12" s="25" customFormat="1" ht="27" customHeight="1">
      <c r="A336" s="933" t="s">
        <v>5857</v>
      </c>
      <c r="B336" s="933" t="s">
        <v>1479</v>
      </c>
      <c r="C336" s="934" t="s">
        <v>5858</v>
      </c>
      <c r="D336" s="984" t="str">
        <f>IFERROR(UPPER(IF(B336="CPU",VLOOKUP(C336,#REF!,2,0),IF(B336="SINAPI",VLOOKUP(C336,#REF!,2,0),IF(B336="EDIF",VLOOKUP(C336,#REF!,2,0),IF(B336="CPOS",VLOOKUP(C336,#REF!,3,0),IF(B336="FDE",VLOOKUP(C336,#REF!,2,0),IF(B336="INFRA",VLOOKUP(C336,#REF!,2,0),""))))))),"")</f>
        <v/>
      </c>
      <c r="E336" s="78" t="str">
        <f>IFERROR(UPPER(IF(B336="CPU",VLOOKUP(C336,#REF!,3,0),IF(B336="SINAPI",VLOOKUP(C336,#REF!,3,0),IF(B336="EDIF",VLOOKUP(C336,#REF!,3,0),IF(B336="CPOS",VLOOKUP(C336,#REF!,4,0),IF(B336="FDE",VLOOKUP(C336,#REF!,3,0),IF(B336="INFRA",VLOOKUP(C336,#REF!,3,0),""))))))),"")</f>
        <v/>
      </c>
      <c r="F336" s="936">
        <v>838.4</v>
      </c>
      <c r="G336" s="985" t="str">
        <f>IFERROR(IF(B336="CPU",VLOOKUP(C336,#REF!,4,0),IF(B336="SINAPI",VLOOKUP(C336,#REF!,5,0),IF(B336="EDIF",VLOOKUP(C336,#REF!,4,0),IF(B336="CPOS",VLOOKUP(C336,#REF!,7,0),IF(B336="FDE",VLOOKUP(C336,#REF!,5,0),IF(B336="INFRA",VLOOKUP(C336,#REF!,4,0),""))))))*VLOOKUP(B336,#REF!,3,0),"")</f>
        <v/>
      </c>
      <c r="H336" s="986">
        <v>0.25</v>
      </c>
      <c r="I336" s="987" t="str">
        <f>IFERROR(F336*((G336*(1+H336))),"")</f>
        <v/>
      </c>
      <c r="J336" s="988">
        <v>16223.04</v>
      </c>
      <c r="K336" s="52"/>
      <c r="L336" s="940"/>
    </row>
    <row r="337" spans="1:12" s="25" customFormat="1" ht="27" customHeight="1">
      <c r="A337" s="933"/>
      <c r="B337" s="933"/>
      <c r="C337" s="934"/>
      <c r="D337" s="984"/>
      <c r="E337" s="78"/>
      <c r="F337" s="936"/>
      <c r="G337" s="985"/>
      <c r="H337" s="986"/>
      <c r="I337" s="987"/>
      <c r="J337" s="988"/>
      <c r="K337" s="52"/>
      <c r="L337" s="940"/>
    </row>
    <row r="338" spans="1:12" s="25" customFormat="1" ht="27" customHeight="1">
      <c r="A338" s="975" t="s">
        <v>5526</v>
      </c>
      <c r="B338" s="976"/>
      <c r="C338" s="976"/>
      <c r="D338" s="977" t="s">
        <v>5859</v>
      </c>
      <c r="E338" s="978" t="str">
        <f>IFERROR(UPPER(IF(B338="CPU",VLOOKUP(C338,#REF!,3,0),IF(B338="SINAPI",VLOOKUP(C338,#REF!,3,0),IF(B338="EDIF",VLOOKUP(C338,#REF!,3,0),IF(B338="CPOS",VLOOKUP(C338,#REF!,4,0),IF(B338="FDE",VLOOKUP(C338,#REF!,3,0),IF(B338="INFRA",VLOOKUP(C338,#REF!,3,0),""))))))),"")</f>
        <v/>
      </c>
      <c r="F338" s="979"/>
      <c r="G338" s="980" t="str">
        <f>IFERROR(IF(B338="CPU",VLOOKUP(C338,#REF!,4,0),IF(B338="SINAPI",VLOOKUP(C338,#REF!,5,0),IF(B338="EDIF",VLOOKUP(C338,#REF!,4,0),IF(B338="CPOS",VLOOKUP(C338,#REF!,7,0),IF(B338="FDE",VLOOKUP(C338,#REF!,5,0),IF(B338="INFRA",VLOOKUP(C338,#REF!,4,0),""))))))*VLOOKUP(B338,#REF!,3,0),"")</f>
        <v/>
      </c>
      <c r="H338" s="979"/>
      <c r="I338" s="981">
        <f>SUM(I339:I358)</f>
        <v>0</v>
      </c>
      <c r="J338" s="988"/>
      <c r="K338" s="52"/>
      <c r="L338" s="940"/>
    </row>
    <row r="339" spans="1:12" s="25" customFormat="1" ht="27" customHeight="1">
      <c r="A339" s="933" t="s">
        <v>5860</v>
      </c>
      <c r="B339" s="933" t="s">
        <v>4872</v>
      </c>
      <c r="C339" s="1012">
        <v>90328</v>
      </c>
      <c r="D339" s="984" t="str">
        <f>IFERROR(UPPER(IF(B339="CPU",VLOOKUP(C339,#REF!,2,0),IF(B339="SINAPI",VLOOKUP(C339,#REF!,2,0),IF(B339="EDIF",VLOOKUP(C339,#REF!,2,0),IF(B339="CPOS",VLOOKUP(C339,#REF!,3,0),IF(B339="FDE",VLOOKUP(C339,#REF!,2,0),IF(B339="INFRA",VLOOKUP(C339,#REF!,2,0),""))))))),"")</f>
        <v/>
      </c>
      <c r="E339" s="78" t="str">
        <f>IFERROR(UPPER(IF(B339="CPU",VLOOKUP(C339,#REF!,3,0),IF(B339="SINAPI",VLOOKUP(C339,#REF!,3,0),IF(B339="EDIF",VLOOKUP(C339,#REF!,3,0),IF(B339="CPOS",VLOOKUP(C339,#REF!,4,0),IF(B339="FDE",VLOOKUP(C339,#REF!,3,0),IF(B339="INFRA",VLOOKUP(C339,#REF!,3,0),""))))))),"")</f>
        <v/>
      </c>
      <c r="F339" s="936">
        <v>6812</v>
      </c>
      <c r="G339" s="985" t="str">
        <f>IFERROR(IF(B339="CPU",VLOOKUP(C339,#REF!,4,0),IF(B339="SINAPI",VLOOKUP(C339,#REF!,5,0),IF(B339="EDIF",VLOOKUP(C339,#REF!,4,0),IF(B339="CPOS",VLOOKUP(C339,#REF!,7,0),IF(B339="FDE",VLOOKUP(C339,#REF!,5,0),IF(B339="INFRA",VLOOKUP(C339,#REF!,4,0),""))))))*VLOOKUP(B339,#REF!,3,0),"")</f>
        <v/>
      </c>
      <c r="H339" s="986">
        <v>0.25</v>
      </c>
      <c r="I339" s="987" t="str">
        <f t="shared" ref="I339:I358" si="21">IFERROR(F339*((G339*(1+H339))),"")</f>
        <v/>
      </c>
      <c r="J339" s="988">
        <v>23927.15</v>
      </c>
      <c r="K339" s="52"/>
      <c r="L339" s="940"/>
    </row>
    <row r="340" spans="1:12" s="25" customFormat="1" ht="27" customHeight="1">
      <c r="A340" s="933" t="s">
        <v>5861</v>
      </c>
      <c r="B340" s="933" t="s">
        <v>4872</v>
      </c>
      <c r="C340" s="1012">
        <v>90329</v>
      </c>
      <c r="D340" s="984" t="str">
        <f>IFERROR(UPPER(IF(B340="CPU",VLOOKUP(C340,#REF!,2,0),IF(B340="SINAPI",VLOOKUP(C340,#REF!,2,0),IF(B340="EDIF",VLOOKUP(C340,#REF!,2,0),IF(B340="CPOS",VLOOKUP(C340,#REF!,3,0),IF(B340="FDE",VLOOKUP(C340,#REF!,2,0),IF(B340="INFRA",VLOOKUP(C340,#REF!,2,0),""))))))),"")</f>
        <v/>
      </c>
      <c r="E340" s="78" t="str">
        <f>IFERROR(UPPER(IF(B340="CPU",VLOOKUP(C340,#REF!,3,0),IF(B340="SINAPI",VLOOKUP(C340,#REF!,3,0),IF(B340="EDIF",VLOOKUP(C340,#REF!,3,0),IF(B340="CPOS",VLOOKUP(C340,#REF!,4,0),IF(B340="FDE",VLOOKUP(C340,#REF!,3,0),IF(B340="INFRA",VLOOKUP(C340,#REF!,3,0),""))))))),"")</f>
        <v/>
      </c>
      <c r="F340" s="936">
        <v>112660</v>
      </c>
      <c r="G340" s="985" t="str">
        <f>IFERROR(IF(B340="CPU",VLOOKUP(C340,#REF!,4,0),IF(B340="SINAPI",VLOOKUP(C340,#REF!,5,0),IF(B340="EDIF",VLOOKUP(C340,#REF!,4,0),IF(B340="CPOS",VLOOKUP(C340,#REF!,7,0),IF(B340="FDE",VLOOKUP(C340,#REF!,5,0),IF(B340="INFRA",VLOOKUP(C340,#REF!,4,0),""))))))*VLOOKUP(B340,#REF!,3,0),"")</f>
        <v/>
      </c>
      <c r="H340" s="986">
        <v>0.25</v>
      </c>
      <c r="I340" s="987" t="str">
        <f t="shared" si="21"/>
        <v/>
      </c>
      <c r="J340" s="988">
        <v>511194.75</v>
      </c>
      <c r="K340" s="52"/>
      <c r="L340" s="940"/>
    </row>
    <row r="341" spans="1:12" s="25" customFormat="1" ht="27" customHeight="1">
      <c r="A341" s="933" t="s">
        <v>5862</v>
      </c>
      <c r="B341" s="933" t="s">
        <v>4872</v>
      </c>
      <c r="C341" s="1012">
        <v>90330</v>
      </c>
      <c r="D341" s="984" t="str">
        <f>IFERROR(UPPER(IF(B341="CPU",VLOOKUP(C341,#REF!,2,0),IF(B341="SINAPI",VLOOKUP(C341,#REF!,2,0),IF(B341="EDIF",VLOOKUP(C341,#REF!,2,0),IF(B341="CPOS",VLOOKUP(C341,#REF!,3,0),IF(B341="FDE",VLOOKUP(C341,#REF!,2,0),IF(B341="INFRA",VLOOKUP(C341,#REF!,2,0),""))))))),"")</f>
        <v/>
      </c>
      <c r="E341" s="78" t="str">
        <f>IFERROR(UPPER(IF(B341="CPU",VLOOKUP(C341,#REF!,3,0),IF(B341="SINAPI",VLOOKUP(C341,#REF!,3,0),IF(B341="EDIF",VLOOKUP(C341,#REF!,3,0),IF(B341="CPOS",VLOOKUP(C341,#REF!,4,0),IF(B341="FDE",VLOOKUP(C341,#REF!,3,0),IF(B341="INFRA",VLOOKUP(C341,#REF!,3,0),""))))))),"")</f>
        <v/>
      </c>
      <c r="F341" s="936">
        <v>5043.5</v>
      </c>
      <c r="G341" s="985" t="str">
        <f>IFERROR(IF(B341="CPU",VLOOKUP(C341,#REF!,4,0),IF(B341="SINAPI",VLOOKUP(C341,#REF!,5,0),IF(B341="EDIF",VLOOKUP(C341,#REF!,4,0),IF(B341="CPOS",VLOOKUP(C341,#REF!,7,0),IF(B341="FDE",VLOOKUP(C341,#REF!,5,0),IF(B341="INFRA",VLOOKUP(C341,#REF!,4,0),""))))))*VLOOKUP(B341,#REF!,3,0),"")</f>
        <v/>
      </c>
      <c r="H341" s="986">
        <v>0.25</v>
      </c>
      <c r="I341" s="987" t="str">
        <f t="shared" si="21"/>
        <v/>
      </c>
      <c r="J341" s="988">
        <v>31017.525000000001</v>
      </c>
      <c r="K341" s="52"/>
      <c r="L341" s="940"/>
    </row>
    <row r="342" spans="1:12" s="25" customFormat="1" ht="27" customHeight="1">
      <c r="A342" s="933" t="s">
        <v>5863</v>
      </c>
      <c r="B342" s="933" t="s">
        <v>4872</v>
      </c>
      <c r="C342" s="1012">
        <v>90331</v>
      </c>
      <c r="D342" s="984" t="str">
        <f>IFERROR(UPPER(IF(B342="CPU",VLOOKUP(C342,#REF!,2,0),IF(B342="SINAPI",VLOOKUP(C342,#REF!,2,0),IF(B342="EDIF",VLOOKUP(C342,#REF!,2,0),IF(B342="CPOS",VLOOKUP(C342,#REF!,3,0),IF(B342="FDE",VLOOKUP(C342,#REF!,2,0),IF(B342="INFRA",VLOOKUP(C342,#REF!,2,0),""))))))),"")</f>
        <v/>
      </c>
      <c r="E342" s="78" t="str">
        <f>IFERROR(UPPER(IF(B342="CPU",VLOOKUP(C342,#REF!,3,0),IF(B342="SINAPI",VLOOKUP(C342,#REF!,3,0),IF(B342="EDIF",VLOOKUP(C342,#REF!,3,0),IF(B342="CPOS",VLOOKUP(C342,#REF!,4,0),IF(B342="FDE",VLOOKUP(C342,#REF!,3,0),IF(B342="INFRA",VLOOKUP(C342,#REF!,3,0),""))))))),"")</f>
        <v/>
      </c>
      <c r="F342" s="936">
        <v>10414.5</v>
      </c>
      <c r="G342" s="985" t="str">
        <f>IFERROR(IF(B342="CPU",VLOOKUP(C342,#REF!,4,0),IF(B342="SINAPI",VLOOKUP(C342,#REF!,5,0),IF(B342="EDIF",VLOOKUP(C342,#REF!,4,0),IF(B342="CPOS",VLOOKUP(C342,#REF!,7,0),IF(B342="FDE",VLOOKUP(C342,#REF!,5,0),IF(B342="INFRA",VLOOKUP(C342,#REF!,4,0),""))))))*VLOOKUP(B342,#REF!,3,0),"")</f>
        <v/>
      </c>
      <c r="H342" s="986">
        <v>0.25</v>
      </c>
      <c r="I342" s="987" t="str">
        <f t="shared" si="21"/>
        <v/>
      </c>
      <c r="J342" s="988">
        <v>77327.662500000006</v>
      </c>
      <c r="K342" s="52"/>
      <c r="L342" s="940"/>
    </row>
    <row r="343" spans="1:12" s="25" customFormat="1" ht="27" customHeight="1">
      <c r="A343" s="933" t="s">
        <v>5864</v>
      </c>
      <c r="B343" s="933" t="s">
        <v>4872</v>
      </c>
      <c r="C343" s="1012">
        <v>90332</v>
      </c>
      <c r="D343" s="984" t="str">
        <f>IFERROR(UPPER(IF(B343="CPU",VLOOKUP(C343,#REF!,2,0),IF(B343="SINAPI",VLOOKUP(C343,#REF!,2,0),IF(B343="EDIF",VLOOKUP(C343,#REF!,2,0),IF(B343="CPOS",VLOOKUP(C343,#REF!,3,0),IF(B343="FDE",VLOOKUP(C343,#REF!,2,0),IF(B343="INFRA",VLOOKUP(C343,#REF!,2,0),""))))))),"")</f>
        <v/>
      </c>
      <c r="E343" s="78" t="str">
        <f>IFERROR(UPPER(IF(B343="CPU",VLOOKUP(C343,#REF!,3,0),IF(B343="SINAPI",VLOOKUP(C343,#REF!,3,0),IF(B343="EDIF",VLOOKUP(C343,#REF!,3,0),IF(B343="CPOS",VLOOKUP(C343,#REF!,4,0),IF(B343="FDE",VLOOKUP(C343,#REF!,3,0),IF(B343="INFRA",VLOOKUP(C343,#REF!,3,0),""))))))),"")</f>
        <v/>
      </c>
      <c r="F343" s="936">
        <v>3602.5</v>
      </c>
      <c r="G343" s="985" t="str">
        <f>IFERROR(IF(B343="CPU",VLOOKUP(C343,#REF!,4,0),IF(B343="SINAPI",VLOOKUP(C343,#REF!,5,0),IF(B343="EDIF",VLOOKUP(C343,#REF!,4,0),IF(B343="CPOS",VLOOKUP(C343,#REF!,7,0),IF(B343="FDE",VLOOKUP(C343,#REF!,5,0),IF(B343="INFRA",VLOOKUP(C343,#REF!,4,0),""))))))*VLOOKUP(B343,#REF!,3,0),"")</f>
        <v/>
      </c>
      <c r="H343" s="986">
        <v>0.25</v>
      </c>
      <c r="I343" s="987" t="str">
        <f t="shared" si="21"/>
        <v/>
      </c>
      <c r="J343" s="988">
        <v>37916.3125</v>
      </c>
      <c r="K343" s="52"/>
      <c r="L343" s="940"/>
    </row>
    <row r="344" spans="1:12" s="25" customFormat="1" ht="27" customHeight="1">
      <c r="A344" s="933" t="s">
        <v>5865</v>
      </c>
      <c r="B344" s="933" t="s">
        <v>4872</v>
      </c>
      <c r="C344" s="1012">
        <v>90333</v>
      </c>
      <c r="D344" s="984" t="str">
        <f>IFERROR(UPPER(IF(B344="CPU",VLOOKUP(C344,#REF!,2,0),IF(B344="SINAPI",VLOOKUP(C344,#REF!,2,0),IF(B344="EDIF",VLOOKUP(C344,#REF!,2,0),IF(B344="CPOS",VLOOKUP(C344,#REF!,3,0),IF(B344="FDE",VLOOKUP(C344,#REF!,2,0),IF(B344="INFRA",VLOOKUP(C344,#REF!,2,0),""))))))),"")</f>
        <v/>
      </c>
      <c r="E344" s="78" t="str">
        <f>IFERROR(UPPER(IF(B344="CPU",VLOOKUP(C344,#REF!,3,0),IF(B344="SINAPI",VLOOKUP(C344,#REF!,3,0),IF(B344="EDIF",VLOOKUP(C344,#REF!,3,0),IF(B344="CPOS",VLOOKUP(C344,#REF!,4,0),IF(B344="FDE",VLOOKUP(C344,#REF!,3,0),IF(B344="INFRA",VLOOKUP(C344,#REF!,3,0),""))))))),"")</f>
        <v/>
      </c>
      <c r="F344" s="936">
        <v>4585</v>
      </c>
      <c r="G344" s="985" t="str">
        <f>IFERROR(IF(B344="CPU",VLOOKUP(C344,#REF!,4,0),IF(B344="SINAPI",VLOOKUP(C344,#REF!,5,0),IF(B344="EDIF",VLOOKUP(C344,#REF!,4,0),IF(B344="CPOS",VLOOKUP(C344,#REF!,7,0),IF(B344="FDE",VLOOKUP(C344,#REF!,5,0),IF(B344="INFRA",VLOOKUP(C344,#REF!,4,0),""))))))*VLOOKUP(B344,#REF!,3,0),"")</f>
        <v/>
      </c>
      <c r="H344" s="986">
        <v>0.25</v>
      </c>
      <c r="I344" s="987" t="str">
        <f t="shared" si="21"/>
        <v/>
      </c>
      <c r="J344" s="988">
        <v>65680.125</v>
      </c>
      <c r="K344" s="52"/>
      <c r="L344" s="940"/>
    </row>
    <row r="345" spans="1:12" s="25" customFormat="1" ht="27" customHeight="1">
      <c r="A345" s="933" t="s">
        <v>5866</v>
      </c>
      <c r="B345" s="933" t="s">
        <v>4872</v>
      </c>
      <c r="C345" s="1012">
        <v>90334</v>
      </c>
      <c r="D345" s="984" t="str">
        <f>IFERROR(UPPER(IF(B345="CPU",VLOOKUP(C345,#REF!,2,0),IF(B345="SINAPI",VLOOKUP(C345,#REF!,2,0),IF(B345="EDIF",VLOOKUP(C345,#REF!,2,0),IF(B345="CPOS",VLOOKUP(C345,#REF!,3,0),IF(B345="FDE",VLOOKUP(C345,#REF!,2,0),IF(B345="INFRA",VLOOKUP(C345,#REF!,2,0),""))))))),"")</f>
        <v/>
      </c>
      <c r="E345" s="78" t="str">
        <f>IFERROR(UPPER(IF(B345="CPU",VLOOKUP(C345,#REF!,3,0),IF(B345="SINAPI",VLOOKUP(C345,#REF!,3,0),IF(B345="EDIF",VLOOKUP(C345,#REF!,3,0),IF(B345="CPOS",VLOOKUP(C345,#REF!,4,0),IF(B345="FDE",VLOOKUP(C345,#REF!,3,0),IF(B345="INFRA",VLOOKUP(C345,#REF!,3,0),""))))))),"")</f>
        <v/>
      </c>
      <c r="F345" s="936">
        <v>1965</v>
      </c>
      <c r="G345" s="985" t="str">
        <f>IFERROR(IF(B345="CPU",VLOOKUP(C345,#REF!,4,0),IF(B345="SINAPI",VLOOKUP(C345,#REF!,5,0),IF(B345="EDIF",VLOOKUP(C345,#REF!,4,0),IF(B345="CPOS",VLOOKUP(C345,#REF!,7,0),IF(B345="FDE",VLOOKUP(C345,#REF!,5,0),IF(B345="INFRA",VLOOKUP(C345,#REF!,4,0),""))))))*VLOOKUP(B345,#REF!,3,0),"")</f>
        <v/>
      </c>
      <c r="H345" s="986">
        <v>0.25</v>
      </c>
      <c r="I345" s="987" t="str">
        <f t="shared" si="21"/>
        <v/>
      </c>
      <c r="J345" s="988">
        <v>39643.875</v>
      </c>
      <c r="K345" s="52"/>
      <c r="L345" s="940"/>
    </row>
    <row r="346" spans="1:12" s="25" customFormat="1" ht="27" customHeight="1">
      <c r="A346" s="933" t="s">
        <v>5867</v>
      </c>
      <c r="B346" s="933" t="s">
        <v>4872</v>
      </c>
      <c r="C346" s="1012">
        <v>90335</v>
      </c>
      <c r="D346" s="984" t="str">
        <f>IFERROR(UPPER(IF(B346="CPU",VLOOKUP(C346,#REF!,2,0),IF(B346="SINAPI",VLOOKUP(C346,#REF!,2,0),IF(B346="EDIF",VLOOKUP(C346,#REF!,2,0),IF(B346="CPOS",VLOOKUP(C346,#REF!,3,0),IF(B346="FDE",VLOOKUP(C346,#REF!,2,0),IF(B346="INFRA",VLOOKUP(C346,#REF!,2,0),""))))))),"")</f>
        <v/>
      </c>
      <c r="E346" s="78" t="str">
        <f>IFERROR(UPPER(IF(B346="CPU",VLOOKUP(C346,#REF!,3,0),IF(B346="SINAPI",VLOOKUP(C346,#REF!,3,0),IF(B346="EDIF",VLOOKUP(C346,#REF!,3,0),IF(B346="CPOS",VLOOKUP(C346,#REF!,4,0),IF(B346="FDE",VLOOKUP(C346,#REF!,3,0),IF(B346="INFRA",VLOOKUP(C346,#REF!,3,0),""))))))),"")</f>
        <v/>
      </c>
      <c r="F346" s="936">
        <v>5240</v>
      </c>
      <c r="G346" s="985" t="str">
        <f>IFERROR(IF(B346="CPU",VLOOKUP(C346,#REF!,4,0),IF(B346="SINAPI",VLOOKUP(C346,#REF!,5,0),IF(B346="EDIF",VLOOKUP(C346,#REF!,4,0),IF(B346="CPOS",VLOOKUP(C346,#REF!,7,0),IF(B346="FDE",VLOOKUP(C346,#REF!,5,0),IF(B346="INFRA",VLOOKUP(C346,#REF!,4,0),""))))))*VLOOKUP(B346,#REF!,3,0),"")</f>
        <v/>
      </c>
      <c r="H346" s="986">
        <v>0.25</v>
      </c>
      <c r="I346" s="987" t="str">
        <f t="shared" si="21"/>
        <v/>
      </c>
      <c r="J346" s="988">
        <v>148619.5</v>
      </c>
      <c r="K346" s="52"/>
      <c r="L346" s="940"/>
    </row>
    <row r="347" spans="1:12" s="25" customFormat="1" ht="27" customHeight="1">
      <c r="A347" s="933" t="s">
        <v>5868</v>
      </c>
      <c r="B347" s="933" t="s">
        <v>4872</v>
      </c>
      <c r="C347" s="1012">
        <v>90336</v>
      </c>
      <c r="D347" s="984" t="str">
        <f>IFERROR(UPPER(IF(B347="CPU",VLOOKUP(C347,#REF!,2,0),IF(B347="SINAPI",VLOOKUP(C347,#REF!,2,0),IF(B347="EDIF",VLOOKUP(C347,#REF!,2,0),IF(B347="CPOS",VLOOKUP(C347,#REF!,3,0),IF(B347="FDE",VLOOKUP(C347,#REF!,2,0),IF(B347="INFRA",VLOOKUP(C347,#REF!,2,0),""))))))),"")</f>
        <v/>
      </c>
      <c r="E347" s="78" t="str">
        <f>IFERROR(UPPER(IF(B347="CPU",VLOOKUP(C347,#REF!,3,0),IF(B347="SINAPI",VLOOKUP(C347,#REF!,3,0),IF(B347="EDIF",VLOOKUP(C347,#REF!,3,0),IF(B347="CPOS",VLOOKUP(C347,#REF!,4,0),IF(B347="FDE",VLOOKUP(C347,#REF!,3,0),IF(B347="INFRA",VLOOKUP(C347,#REF!,3,0),""))))))),"")</f>
        <v/>
      </c>
      <c r="F347" s="936">
        <v>4585</v>
      </c>
      <c r="G347" s="985" t="str">
        <f>IFERROR(IF(B347="CPU",VLOOKUP(C347,#REF!,4,0),IF(B347="SINAPI",VLOOKUP(C347,#REF!,5,0),IF(B347="EDIF",VLOOKUP(C347,#REF!,4,0),IF(B347="CPOS",VLOOKUP(C347,#REF!,7,0),IF(B347="FDE",VLOOKUP(C347,#REF!,5,0),IF(B347="INFRA",VLOOKUP(C347,#REF!,4,0),""))))))*VLOOKUP(B347,#REF!,3,0),"")</f>
        <v/>
      </c>
      <c r="H347" s="986">
        <v>0.25</v>
      </c>
      <c r="I347" s="987" t="str">
        <f t="shared" si="21"/>
        <v/>
      </c>
      <c r="J347" s="988">
        <v>188156.9375</v>
      </c>
      <c r="K347" s="52"/>
      <c r="L347" s="940"/>
    </row>
    <row r="348" spans="1:12" s="25" customFormat="1" ht="27" customHeight="1">
      <c r="A348" s="933" t="s">
        <v>5869</v>
      </c>
      <c r="B348" s="933" t="s">
        <v>4872</v>
      </c>
      <c r="C348" s="1012">
        <v>90337</v>
      </c>
      <c r="D348" s="984" t="str">
        <f>IFERROR(UPPER(IF(B348="CPU",VLOOKUP(C348,#REF!,2,0),IF(B348="SINAPI",VLOOKUP(C348,#REF!,2,0),IF(B348="EDIF",VLOOKUP(C348,#REF!,2,0),IF(B348="CPOS",VLOOKUP(C348,#REF!,3,0),IF(B348="FDE",VLOOKUP(C348,#REF!,2,0),IF(B348="INFRA",VLOOKUP(C348,#REF!,2,0),""))))))),"")</f>
        <v/>
      </c>
      <c r="E348" s="78" t="str">
        <f>IFERROR(UPPER(IF(B348="CPU",VLOOKUP(C348,#REF!,3,0),IF(B348="SINAPI",VLOOKUP(C348,#REF!,3,0),IF(B348="EDIF",VLOOKUP(C348,#REF!,3,0),IF(B348="CPOS",VLOOKUP(C348,#REF!,4,0),IF(B348="FDE",VLOOKUP(C348,#REF!,3,0),IF(B348="INFRA",VLOOKUP(C348,#REF!,3,0),""))))))),"")</f>
        <v/>
      </c>
      <c r="F348" s="936">
        <v>1048</v>
      </c>
      <c r="G348" s="985" t="str">
        <f>IFERROR(IF(B348="CPU",VLOOKUP(C348,#REF!,4,0),IF(B348="SINAPI",VLOOKUP(C348,#REF!,5,0),IF(B348="EDIF",VLOOKUP(C348,#REF!,4,0),IF(B348="CPOS",VLOOKUP(C348,#REF!,7,0),IF(B348="FDE",VLOOKUP(C348,#REF!,5,0),IF(B348="INFRA",VLOOKUP(C348,#REF!,4,0),""))))))*VLOOKUP(B348,#REF!,3,0),"")</f>
        <v/>
      </c>
      <c r="H348" s="986">
        <v>0.25</v>
      </c>
      <c r="I348" s="987" t="str">
        <f t="shared" si="21"/>
        <v/>
      </c>
      <c r="J348" s="988">
        <v>57679.3</v>
      </c>
      <c r="K348" s="52"/>
      <c r="L348" s="940"/>
    </row>
    <row r="349" spans="1:12" s="25" customFormat="1" ht="27" customHeight="1">
      <c r="A349" s="933" t="s">
        <v>5870</v>
      </c>
      <c r="B349" s="933" t="s">
        <v>4872</v>
      </c>
      <c r="C349" s="1012">
        <v>90338</v>
      </c>
      <c r="D349" s="984" t="str">
        <f>IFERROR(UPPER(IF(B349="CPU",VLOOKUP(C349,#REF!,2,0),IF(B349="SINAPI",VLOOKUP(C349,#REF!,2,0),IF(B349="EDIF",VLOOKUP(C349,#REF!,2,0),IF(B349="CPOS",VLOOKUP(C349,#REF!,3,0),IF(B349="FDE",VLOOKUP(C349,#REF!,2,0),IF(B349="INFRA",VLOOKUP(C349,#REF!,2,0),""))))))),"")</f>
        <v/>
      </c>
      <c r="E349" s="78" t="str">
        <f>IFERROR(UPPER(IF(B349="CPU",VLOOKUP(C349,#REF!,3,0),IF(B349="SINAPI",VLOOKUP(C349,#REF!,3,0),IF(B349="EDIF",VLOOKUP(C349,#REF!,3,0),IF(B349="CPOS",VLOOKUP(C349,#REF!,4,0),IF(B349="FDE",VLOOKUP(C349,#REF!,3,0),IF(B349="INFRA",VLOOKUP(C349,#REF!,3,0),""))))))),"")</f>
        <v/>
      </c>
      <c r="F349" s="936">
        <v>480</v>
      </c>
      <c r="G349" s="985" t="str">
        <f>IFERROR(IF(B349="CPU",VLOOKUP(C349,#REF!,4,0),IF(B349="SINAPI",VLOOKUP(C349,#REF!,5,0),IF(B349="EDIF",VLOOKUP(C349,#REF!,4,0),IF(B349="CPOS",VLOOKUP(C349,#REF!,7,0),IF(B349="FDE",VLOOKUP(C349,#REF!,5,0),IF(B349="INFRA",VLOOKUP(C349,#REF!,4,0),""))))))*VLOOKUP(B349,#REF!,3,0),"")</f>
        <v/>
      </c>
      <c r="H349" s="986">
        <v>0.25</v>
      </c>
      <c r="I349" s="987" t="str">
        <f t="shared" si="21"/>
        <v/>
      </c>
      <c r="J349" s="988">
        <v>33174</v>
      </c>
      <c r="K349" s="52"/>
      <c r="L349" s="940"/>
    </row>
    <row r="350" spans="1:12" s="25" customFormat="1" ht="27" customHeight="1">
      <c r="A350" s="933" t="s">
        <v>5871</v>
      </c>
      <c r="B350" s="933" t="s">
        <v>4872</v>
      </c>
      <c r="C350" s="1012">
        <v>90339</v>
      </c>
      <c r="D350" s="984" t="str">
        <f>IFERROR(UPPER(IF(B350="CPU",VLOOKUP(C350,#REF!,2,0),IF(B350="SINAPI",VLOOKUP(C350,#REF!,2,0),IF(B350="EDIF",VLOOKUP(C350,#REF!,2,0),IF(B350="CPOS",VLOOKUP(C350,#REF!,3,0),IF(B350="FDE",VLOOKUP(C350,#REF!,2,0),IF(B350="INFRA",VLOOKUP(C350,#REF!,2,0),""))))))),"")</f>
        <v/>
      </c>
      <c r="E350" s="78" t="str">
        <f>IFERROR(UPPER(IF(B350="CPU",VLOOKUP(C350,#REF!,3,0),IF(B350="SINAPI",VLOOKUP(C350,#REF!,3,0),IF(B350="EDIF",VLOOKUP(C350,#REF!,3,0),IF(B350="CPOS",VLOOKUP(C350,#REF!,4,0),IF(B350="FDE",VLOOKUP(C350,#REF!,3,0),IF(B350="INFRA",VLOOKUP(C350,#REF!,3,0),""))))))),"")</f>
        <v/>
      </c>
      <c r="F350" s="936">
        <v>1179</v>
      </c>
      <c r="G350" s="985" t="str">
        <f>IFERROR(IF(B350="CPU",VLOOKUP(C350,#REF!,4,0),IF(B350="SINAPI",VLOOKUP(C350,#REF!,5,0),IF(B350="EDIF",VLOOKUP(C350,#REF!,4,0),IF(B350="CPOS",VLOOKUP(C350,#REF!,7,0),IF(B350="FDE",VLOOKUP(C350,#REF!,5,0),IF(B350="INFRA",VLOOKUP(C350,#REF!,4,0),""))))))*VLOOKUP(B350,#REF!,3,0),"")</f>
        <v/>
      </c>
      <c r="H350" s="986">
        <v>0.25</v>
      </c>
      <c r="I350" s="987" t="str">
        <f t="shared" si="21"/>
        <v/>
      </c>
      <c r="J350" s="988">
        <v>119359.0125</v>
      </c>
      <c r="K350" s="52"/>
      <c r="L350" s="940"/>
    </row>
    <row r="351" spans="1:12" s="25" customFormat="1" ht="27" customHeight="1">
      <c r="A351" s="933" t="s">
        <v>5872</v>
      </c>
      <c r="B351" s="933" t="s">
        <v>4872</v>
      </c>
      <c r="C351" s="1012">
        <v>90340</v>
      </c>
      <c r="D351" s="984" t="str">
        <f>IFERROR(UPPER(IF(B351="CPU",VLOOKUP(C351,#REF!,2,0),IF(B351="SINAPI",VLOOKUP(C351,#REF!,2,0),IF(B351="EDIF",VLOOKUP(C351,#REF!,2,0),IF(B351="CPOS",VLOOKUP(C351,#REF!,3,0),IF(B351="FDE",VLOOKUP(C351,#REF!,2,0),IF(B351="INFRA",VLOOKUP(C351,#REF!,2,0),""))))))),"")</f>
        <v/>
      </c>
      <c r="E351" s="78" t="str">
        <f>IFERROR(UPPER(IF(B351="CPU",VLOOKUP(C351,#REF!,3,0),IF(B351="SINAPI",VLOOKUP(C351,#REF!,3,0),IF(B351="EDIF",VLOOKUP(C351,#REF!,3,0),IF(B351="CPOS",VLOOKUP(C351,#REF!,4,0),IF(B351="FDE",VLOOKUP(C351,#REF!,3,0),IF(B351="INFRA",VLOOKUP(C351,#REF!,3,0),""))))))),"")</f>
        <v/>
      </c>
      <c r="F351" s="936">
        <v>480</v>
      </c>
      <c r="G351" s="985" t="str">
        <f>IFERROR(IF(B351="CPU",VLOOKUP(C351,#REF!,4,0),IF(B351="SINAPI",VLOOKUP(C351,#REF!,5,0),IF(B351="EDIF",VLOOKUP(C351,#REF!,4,0),IF(B351="CPOS",VLOOKUP(C351,#REF!,7,0),IF(B351="FDE",VLOOKUP(C351,#REF!,5,0),IF(B351="INFRA",VLOOKUP(C351,#REF!,4,0),""))))))*VLOOKUP(B351,#REF!,3,0),"")</f>
        <v/>
      </c>
      <c r="H351" s="986">
        <v>0.25</v>
      </c>
      <c r="I351" s="987" t="str">
        <f t="shared" si="21"/>
        <v/>
      </c>
      <c r="J351" s="988">
        <v>54750</v>
      </c>
      <c r="K351" s="52"/>
      <c r="L351" s="940"/>
    </row>
    <row r="352" spans="1:12" s="25" customFormat="1" ht="27" customHeight="1">
      <c r="A352" s="933" t="s">
        <v>5873</v>
      </c>
      <c r="B352" s="933" t="s">
        <v>4872</v>
      </c>
      <c r="C352" s="1012">
        <v>90341</v>
      </c>
      <c r="D352" s="984" t="str">
        <f>IFERROR(UPPER(IF(B352="CPU",VLOOKUP(C352,#REF!,2,0),IF(B352="SINAPI",VLOOKUP(C352,#REF!,2,0),IF(B352="EDIF",VLOOKUP(C352,#REF!,2,0),IF(B352="CPOS",VLOOKUP(C352,#REF!,3,0),IF(B352="FDE",VLOOKUP(C352,#REF!,2,0),IF(B352="INFRA",VLOOKUP(C352,#REF!,2,0),""))))))),"")</f>
        <v/>
      </c>
      <c r="E352" s="78" t="str">
        <f>IFERROR(UPPER(IF(B352="CPU",VLOOKUP(C352,#REF!,3,0),IF(B352="SINAPI",VLOOKUP(C352,#REF!,3,0),IF(B352="EDIF",VLOOKUP(C352,#REF!,3,0),IF(B352="CPOS",VLOOKUP(C352,#REF!,4,0),IF(B352="FDE",VLOOKUP(C352,#REF!,3,0),IF(B352="INFRA",VLOOKUP(C352,#REF!,3,0),""))))))),"")</f>
        <v/>
      </c>
      <c r="F352" s="936">
        <v>1048</v>
      </c>
      <c r="G352" s="985" t="str">
        <f>IFERROR(IF(B352="CPU",VLOOKUP(C352,#REF!,4,0),IF(B352="SINAPI",VLOOKUP(C352,#REF!,5,0),IF(B352="EDIF",VLOOKUP(C352,#REF!,4,0),IF(B352="CPOS",VLOOKUP(C352,#REF!,7,0),IF(B352="FDE",VLOOKUP(C352,#REF!,5,0),IF(B352="INFRA",VLOOKUP(C352,#REF!,4,0),""))))))*VLOOKUP(B352,#REF!,3,0),"")</f>
        <v/>
      </c>
      <c r="H352" s="986">
        <v>0.25</v>
      </c>
      <c r="I352" s="987" t="str">
        <f t="shared" si="21"/>
        <v/>
      </c>
      <c r="J352" s="988">
        <v>158510</v>
      </c>
      <c r="K352" s="52"/>
      <c r="L352" s="940"/>
    </row>
    <row r="353" spans="1:12" s="25" customFormat="1" ht="27" customHeight="1">
      <c r="A353" s="933" t="s">
        <v>5874</v>
      </c>
      <c r="B353" s="933" t="s">
        <v>4872</v>
      </c>
      <c r="C353" s="1012">
        <v>90342</v>
      </c>
      <c r="D353" s="984" t="str">
        <f>IFERROR(UPPER(IF(B353="CPU",VLOOKUP(C353,#REF!,2,0),IF(B353="SINAPI",VLOOKUP(C353,#REF!,2,0),IF(B353="EDIF",VLOOKUP(C353,#REF!,2,0),IF(B353="CPOS",VLOOKUP(C353,#REF!,3,0),IF(B353="FDE",VLOOKUP(C353,#REF!,2,0),IF(B353="INFRA",VLOOKUP(C353,#REF!,2,0),""))))))),"")</f>
        <v/>
      </c>
      <c r="E353" s="78" t="str">
        <f>IFERROR(UPPER(IF(B353="CPU",VLOOKUP(C353,#REF!,3,0),IF(B353="SINAPI",VLOOKUP(C353,#REF!,3,0),IF(B353="EDIF",VLOOKUP(C353,#REF!,3,0),IF(B353="CPOS",VLOOKUP(C353,#REF!,4,0),IF(B353="FDE",VLOOKUP(C353,#REF!,3,0),IF(B353="INFRA",VLOOKUP(C353,#REF!,3,0),""))))))),"")</f>
        <v/>
      </c>
      <c r="F353" s="936">
        <v>200</v>
      </c>
      <c r="G353" s="985" t="str">
        <f>IFERROR(IF(B353="CPU",VLOOKUP(C353,#REF!,4,0),IF(B353="SINAPI",VLOOKUP(C353,#REF!,5,0),IF(B353="EDIF",VLOOKUP(C353,#REF!,4,0),IF(B353="CPOS",VLOOKUP(C353,#REF!,7,0),IF(B353="FDE",VLOOKUP(C353,#REF!,5,0),IF(B353="INFRA",VLOOKUP(C353,#REF!,4,0),""))))))*VLOOKUP(B353,#REF!,3,0),"")</f>
        <v/>
      </c>
      <c r="H353" s="986">
        <v>0.25</v>
      </c>
      <c r="I353" s="987" t="str">
        <f t="shared" si="21"/>
        <v/>
      </c>
      <c r="J353" s="988">
        <v>38675</v>
      </c>
      <c r="K353" s="52"/>
      <c r="L353" s="940"/>
    </row>
    <row r="354" spans="1:12" s="25" customFormat="1" ht="27" customHeight="1">
      <c r="A354" s="933" t="s">
        <v>5875</v>
      </c>
      <c r="B354" s="933" t="s">
        <v>4872</v>
      </c>
      <c r="C354" s="1012">
        <v>90376</v>
      </c>
      <c r="D354" s="984" t="str">
        <f>IFERROR(UPPER(IF(B354="CPU",VLOOKUP(C354,#REF!,2,0),IF(B354="SINAPI",VLOOKUP(C354,#REF!,2,0),IF(B354="EDIF",VLOOKUP(C354,#REF!,2,0),IF(B354="CPOS",VLOOKUP(C354,#REF!,3,0),IF(B354="FDE",VLOOKUP(C354,#REF!,2,0),IF(B354="INFRA",VLOOKUP(C354,#REF!,2,0),""))))))),"")</f>
        <v/>
      </c>
      <c r="E354" s="78" t="str">
        <f>IFERROR(UPPER(IF(B354="CPU",VLOOKUP(C354,#REF!,3,0),IF(B354="SINAPI",VLOOKUP(C354,#REF!,3,0),IF(B354="EDIF",VLOOKUP(C354,#REF!,3,0),IF(B354="CPOS",VLOOKUP(C354,#REF!,4,0),IF(B354="FDE",VLOOKUP(C354,#REF!,3,0),IF(B354="INFRA",VLOOKUP(C354,#REF!,3,0),""))))))),"")</f>
        <v/>
      </c>
      <c r="F354" s="936">
        <v>2200</v>
      </c>
      <c r="G354" s="985" t="str">
        <f>IFERROR(IF(B354="CPU",VLOOKUP(C354,#REF!,4,0),IF(B354="SINAPI",VLOOKUP(C354,#REF!,5,0),IF(B354="EDIF",VLOOKUP(C354,#REF!,4,0),IF(B354="CPOS",VLOOKUP(C354,#REF!,7,0),IF(B354="FDE",VLOOKUP(C354,#REF!,5,0),IF(B354="INFRA",VLOOKUP(C354,#REF!,4,0),""))))))*VLOOKUP(B354,#REF!,3,0),"")</f>
        <v/>
      </c>
      <c r="H354" s="986">
        <v>0.25</v>
      </c>
      <c r="I354" s="987" t="str">
        <f t="shared" si="21"/>
        <v/>
      </c>
      <c r="J354" s="988">
        <v>18755</v>
      </c>
      <c r="K354" s="52"/>
      <c r="L354" s="940"/>
    </row>
    <row r="355" spans="1:12" s="25" customFormat="1" ht="27" customHeight="1">
      <c r="A355" s="933" t="s">
        <v>5876</v>
      </c>
      <c r="B355" s="933" t="s">
        <v>4872</v>
      </c>
      <c r="C355" s="1012">
        <v>98020</v>
      </c>
      <c r="D355" s="984" t="str">
        <f>IFERROR(UPPER(IF(B355="CPU",VLOOKUP(C355,#REF!,2,0),IF(B355="SINAPI",VLOOKUP(C355,#REF!,2,0),IF(B355="EDIF",VLOOKUP(C355,#REF!,2,0),IF(B355="CPOS",VLOOKUP(C355,#REF!,3,0),IF(B355="FDE",VLOOKUP(C355,#REF!,2,0),IF(B355="INFRA",VLOOKUP(C355,#REF!,2,0),""))))))),"")</f>
        <v/>
      </c>
      <c r="E355" s="78" t="str">
        <f>IFERROR(UPPER(IF(B355="CPU",VLOOKUP(C355,#REF!,3,0),IF(B355="SINAPI",VLOOKUP(C355,#REF!,3,0),IF(B355="EDIF",VLOOKUP(C355,#REF!,3,0),IF(B355="CPOS",VLOOKUP(C355,#REF!,4,0),IF(B355="FDE",VLOOKUP(C355,#REF!,3,0),IF(B355="INFRA",VLOOKUP(C355,#REF!,3,0),""))))))),"")</f>
        <v/>
      </c>
      <c r="F355" s="936">
        <v>960</v>
      </c>
      <c r="G355" s="985" t="str">
        <f>IFERROR(IF(B355="CPU",VLOOKUP(C355,#REF!,4,0),IF(B355="SINAPI",VLOOKUP(C355,#REF!,5,0),IF(B355="EDIF",VLOOKUP(C355,#REF!,4,0),IF(B355="CPOS",VLOOKUP(C355,#REF!,7,0),IF(B355="FDE",VLOOKUP(C355,#REF!,5,0),IF(B355="INFRA",VLOOKUP(C355,#REF!,4,0),""))))))*VLOOKUP(B355,#REF!,3,0),"")</f>
        <v/>
      </c>
      <c r="H355" s="986">
        <v>0.25</v>
      </c>
      <c r="I355" s="987" t="str">
        <f t="shared" si="21"/>
        <v/>
      </c>
      <c r="J355" s="988">
        <v>21588</v>
      </c>
      <c r="K355" s="52"/>
      <c r="L355" s="940"/>
    </row>
    <row r="356" spans="1:12" s="25" customFormat="1" ht="27" customHeight="1">
      <c r="A356" s="933" t="s">
        <v>5877</v>
      </c>
      <c r="B356" s="933" t="s">
        <v>4872</v>
      </c>
      <c r="C356" s="1012">
        <v>98021</v>
      </c>
      <c r="D356" s="984" t="str">
        <f>IFERROR(UPPER(IF(B356="CPU",VLOOKUP(C356,#REF!,2,0),IF(B356="SINAPI",VLOOKUP(C356,#REF!,2,0),IF(B356="EDIF",VLOOKUP(C356,#REF!,2,0),IF(B356="CPOS",VLOOKUP(C356,#REF!,3,0),IF(B356="FDE",VLOOKUP(C356,#REF!,2,0),IF(B356="INFRA",VLOOKUP(C356,#REF!,2,0),""))))))),"")</f>
        <v/>
      </c>
      <c r="E356" s="78" t="str">
        <f>IFERROR(UPPER(IF(B356="CPU",VLOOKUP(C356,#REF!,3,0),IF(B356="SINAPI",VLOOKUP(C356,#REF!,3,0),IF(B356="EDIF",VLOOKUP(C356,#REF!,3,0),IF(B356="CPOS",VLOOKUP(C356,#REF!,4,0),IF(B356="FDE",VLOOKUP(C356,#REF!,3,0),IF(B356="INFRA",VLOOKUP(C356,#REF!,3,0),""))))))),"")</f>
        <v/>
      </c>
      <c r="F356" s="936">
        <v>200</v>
      </c>
      <c r="G356" s="985" t="str">
        <f>IFERROR(IF(B356="CPU",VLOOKUP(C356,#REF!,4,0),IF(B356="SINAPI",VLOOKUP(C356,#REF!,5,0),IF(B356="EDIF",VLOOKUP(C356,#REF!,4,0),IF(B356="CPOS",VLOOKUP(C356,#REF!,7,0),IF(B356="FDE",VLOOKUP(C356,#REF!,5,0),IF(B356="INFRA",VLOOKUP(C356,#REF!,4,0),""))))))*VLOOKUP(B356,#REF!,3,0),"")</f>
        <v/>
      </c>
      <c r="H356" s="986">
        <v>0.25</v>
      </c>
      <c r="I356" s="987" t="str">
        <f t="shared" si="21"/>
        <v/>
      </c>
      <c r="J356" s="988">
        <v>4475</v>
      </c>
      <c r="K356" s="52"/>
      <c r="L356" s="940"/>
    </row>
    <row r="357" spans="1:12" s="25" customFormat="1" ht="27" customHeight="1">
      <c r="A357" s="933" t="s">
        <v>5878</v>
      </c>
      <c r="B357" s="933" t="s">
        <v>4872</v>
      </c>
      <c r="C357" s="1012">
        <v>98022</v>
      </c>
      <c r="D357" s="984" t="str">
        <f>IFERROR(UPPER(IF(B357="CPU",VLOOKUP(C357,#REF!,2,0),IF(B357="SINAPI",VLOOKUP(C357,#REF!,2,0),IF(B357="EDIF",VLOOKUP(C357,#REF!,2,0),IF(B357="CPOS",VLOOKUP(C357,#REF!,3,0),IF(B357="FDE",VLOOKUP(C357,#REF!,2,0),IF(B357="INFRA",VLOOKUP(C357,#REF!,2,0),""))))))),"")</f>
        <v/>
      </c>
      <c r="E357" s="78" t="str">
        <f>IFERROR(UPPER(IF(B357="CPU",VLOOKUP(C357,#REF!,3,0),IF(B357="SINAPI",VLOOKUP(C357,#REF!,3,0),IF(B357="EDIF",VLOOKUP(C357,#REF!,3,0),IF(B357="CPOS",VLOOKUP(C357,#REF!,4,0),IF(B357="FDE",VLOOKUP(C357,#REF!,3,0),IF(B357="INFRA",VLOOKUP(C357,#REF!,3,0),""))))))),"")</f>
        <v/>
      </c>
      <c r="F357" s="936">
        <v>200</v>
      </c>
      <c r="G357" s="985" t="str">
        <f>IFERROR(IF(B357="CPU",VLOOKUP(C357,#REF!,4,0),IF(B357="SINAPI",VLOOKUP(C357,#REF!,5,0),IF(B357="EDIF",VLOOKUP(C357,#REF!,4,0),IF(B357="CPOS",VLOOKUP(C357,#REF!,7,0),IF(B357="FDE",VLOOKUP(C357,#REF!,5,0),IF(B357="INFRA",VLOOKUP(C357,#REF!,4,0),""))))))*VLOOKUP(B357,#REF!,3,0),"")</f>
        <v/>
      </c>
      <c r="H357" s="986">
        <v>0.25</v>
      </c>
      <c r="I357" s="987" t="str">
        <f t="shared" si="21"/>
        <v/>
      </c>
      <c r="J357" s="988">
        <v>4527.5</v>
      </c>
      <c r="K357" s="52"/>
      <c r="L357" s="940"/>
    </row>
    <row r="358" spans="1:12" s="25" customFormat="1" ht="27" customHeight="1">
      <c r="A358" s="933" t="s">
        <v>5879</v>
      </c>
      <c r="B358" s="933" t="s">
        <v>4872</v>
      </c>
      <c r="C358" s="1012">
        <v>98023</v>
      </c>
      <c r="D358" s="984" t="str">
        <f>IFERROR(UPPER(IF(B358="CPU",VLOOKUP(C358,#REF!,2,0),IF(B358="SINAPI",VLOOKUP(C358,#REF!,2,0),IF(B358="EDIF",VLOOKUP(C358,#REF!,2,0),IF(B358="CPOS",VLOOKUP(C358,#REF!,3,0),IF(B358="FDE",VLOOKUP(C358,#REF!,2,0),IF(B358="INFRA",VLOOKUP(C358,#REF!,2,0),""))))))),"")</f>
        <v/>
      </c>
      <c r="E358" s="78" t="str">
        <f>IFERROR(UPPER(IF(B358="CPU",VLOOKUP(C358,#REF!,3,0),IF(B358="SINAPI",VLOOKUP(C358,#REF!,3,0),IF(B358="EDIF",VLOOKUP(C358,#REF!,3,0),IF(B358="CPOS",VLOOKUP(C358,#REF!,4,0),IF(B358="FDE",VLOOKUP(C358,#REF!,3,0),IF(B358="INFRA",VLOOKUP(C358,#REF!,3,0),""))))))),"")</f>
        <v/>
      </c>
      <c r="F358" s="936">
        <v>50</v>
      </c>
      <c r="G358" s="985" t="str">
        <f>IFERROR(IF(B358="CPU",VLOOKUP(C358,#REF!,4,0),IF(B358="SINAPI",VLOOKUP(C358,#REF!,5,0),IF(B358="EDIF",VLOOKUP(C358,#REF!,4,0),IF(B358="CPOS",VLOOKUP(C358,#REF!,7,0),IF(B358="FDE",VLOOKUP(C358,#REF!,5,0),IF(B358="INFRA",VLOOKUP(C358,#REF!,4,0),""))))))*VLOOKUP(B358,#REF!,3,0),"")</f>
        <v/>
      </c>
      <c r="H358" s="986">
        <v>0.25</v>
      </c>
      <c r="I358" s="987" t="str">
        <f t="shared" si="21"/>
        <v/>
      </c>
      <c r="J358" s="988">
        <v>1542.5</v>
      </c>
      <c r="K358" s="52"/>
      <c r="L358" s="940"/>
    </row>
    <row r="359" spans="1:12" s="25" customFormat="1" ht="27" customHeight="1">
      <c r="A359" s="1015"/>
      <c r="B359" s="1015"/>
      <c r="C359" s="1023"/>
      <c r="D359" s="984"/>
      <c r="E359" s="78"/>
      <c r="F359" s="936"/>
      <c r="G359" s="985"/>
      <c r="H359" s="986"/>
      <c r="I359" s="987"/>
      <c r="J359" s="988"/>
      <c r="K359" s="52"/>
      <c r="L359" s="940"/>
    </row>
    <row r="360" spans="1:12" s="25" customFormat="1" ht="27" customHeight="1">
      <c r="A360" s="975" t="s">
        <v>5880</v>
      </c>
      <c r="B360" s="976"/>
      <c r="C360" s="976"/>
      <c r="D360" s="977" t="s">
        <v>5881</v>
      </c>
      <c r="E360" s="978" t="str">
        <f>IFERROR(UPPER(IF(B360="CPU",VLOOKUP(C360,#REF!,3,0),IF(B360="SINAPI",VLOOKUP(C360,#REF!,3,0),IF(B360="EDIF",VLOOKUP(C360,#REF!,3,0),IF(B360="CPOS",VLOOKUP(C360,#REF!,4,0),IF(B360="FDE",VLOOKUP(C360,#REF!,3,0),IF(B360="INFRA",VLOOKUP(C360,#REF!,3,0),""))))))),"")</f>
        <v/>
      </c>
      <c r="F360" s="979"/>
      <c r="G360" s="980" t="str">
        <f>IFERROR(IF(B360="CPU",VLOOKUP(C360,#REF!,4,0),IF(B360="SINAPI",VLOOKUP(C360,#REF!,5,0),IF(B360="EDIF",VLOOKUP(C360,#REF!,4,0),IF(B360="CPOS",VLOOKUP(C360,#REF!,7,0),IF(B360="FDE",VLOOKUP(C360,#REF!,5,0),IF(B360="INFRA",VLOOKUP(C360,#REF!,4,0),""))))))*VLOOKUP(B360,#REF!,3,0),"")</f>
        <v/>
      </c>
      <c r="H360" s="979"/>
      <c r="I360" s="981">
        <f>SUM(I361:I371)</f>
        <v>0</v>
      </c>
      <c r="J360" s="988"/>
      <c r="K360" s="52"/>
      <c r="L360" s="940"/>
    </row>
    <row r="361" spans="1:12" s="25" customFormat="1" ht="27" customHeight="1">
      <c r="A361" s="933" t="s">
        <v>5882</v>
      </c>
      <c r="B361" s="933" t="s">
        <v>4872</v>
      </c>
      <c r="C361" s="1012">
        <v>90525</v>
      </c>
      <c r="D361" s="984" t="str">
        <f>IFERROR(UPPER(IF(B361="CPU",VLOOKUP(C361,#REF!,2,0),IF(B361="SINAPI",VLOOKUP(C361,#REF!,2,0),IF(B361="EDIF",VLOOKUP(C361,#REF!,2,0),IF(B361="CPOS",VLOOKUP(C361,#REF!,3,0),IF(B361="FDE",VLOOKUP(C361,#REF!,2,0),IF(B361="INFRA",VLOOKUP(C361,#REF!,2,0),""))))))),"")</f>
        <v/>
      </c>
      <c r="E361" s="78" t="str">
        <f>IFERROR(UPPER(IF(B361="CPU",VLOOKUP(C361,#REF!,3,0),IF(B361="SINAPI",VLOOKUP(C361,#REF!,3,0),IF(B361="EDIF",VLOOKUP(C361,#REF!,3,0),IF(B361="CPOS",VLOOKUP(C361,#REF!,4,0),IF(B361="FDE",VLOOKUP(C361,#REF!,3,0),IF(B361="INFRA",VLOOKUP(C361,#REF!,3,0),""))))))),"")</f>
        <v/>
      </c>
      <c r="F361" s="936">
        <v>1830</v>
      </c>
      <c r="G361" s="985" t="str">
        <f>IFERROR(IF(B361="CPU",VLOOKUP(C361,#REF!,4,0),IF(B361="SINAPI",VLOOKUP(C361,#REF!,5,0),IF(B361="EDIF",VLOOKUP(C361,#REF!,4,0),IF(B361="CPOS",VLOOKUP(C361,#REF!,7,0),IF(B361="FDE",VLOOKUP(C361,#REF!,5,0),IF(B361="INFRA",VLOOKUP(C361,#REF!,4,0),""))))))*VLOOKUP(B361,#REF!,3,0),"")</f>
        <v/>
      </c>
      <c r="H361" s="986">
        <v>0.25</v>
      </c>
      <c r="I361" s="987" t="str">
        <f t="shared" ref="I361:I372" si="22">IFERROR(F361*((G361*(1+H361))),"")</f>
        <v/>
      </c>
      <c r="J361" s="988">
        <v>27541.5</v>
      </c>
      <c r="K361" s="52"/>
      <c r="L361" s="940"/>
    </row>
    <row r="362" spans="1:12" s="25" customFormat="1" ht="27" customHeight="1">
      <c r="A362" s="933" t="s">
        <v>5883</v>
      </c>
      <c r="B362" s="933" t="s">
        <v>4872</v>
      </c>
      <c r="C362" s="1012">
        <v>90526</v>
      </c>
      <c r="D362" s="984" t="str">
        <f>IFERROR(UPPER(IF(B362="CPU",VLOOKUP(C362,#REF!,2,0),IF(B362="SINAPI",VLOOKUP(C362,#REF!,2,0),IF(B362="EDIF",VLOOKUP(C362,#REF!,2,0),IF(B362="CPOS",VLOOKUP(C362,#REF!,3,0),IF(B362="FDE",VLOOKUP(C362,#REF!,2,0),IF(B362="INFRA",VLOOKUP(C362,#REF!,2,0),""))))))),"")</f>
        <v/>
      </c>
      <c r="E362" s="78" t="str">
        <f>IFERROR(UPPER(IF(B362="CPU",VLOOKUP(C362,#REF!,3,0),IF(B362="SINAPI",VLOOKUP(C362,#REF!,3,0),IF(B362="EDIF",VLOOKUP(C362,#REF!,3,0),IF(B362="CPOS",VLOOKUP(C362,#REF!,4,0),IF(B362="FDE",VLOOKUP(C362,#REF!,3,0),IF(B362="INFRA",VLOOKUP(C362,#REF!,3,0),""))))))),"")</f>
        <v/>
      </c>
      <c r="F362" s="936">
        <v>930</v>
      </c>
      <c r="G362" s="985" t="str">
        <f>IFERROR(IF(B362="CPU",VLOOKUP(C362,#REF!,4,0),IF(B362="SINAPI",VLOOKUP(C362,#REF!,5,0),IF(B362="EDIF",VLOOKUP(C362,#REF!,4,0),IF(B362="CPOS",VLOOKUP(C362,#REF!,7,0),IF(B362="FDE",VLOOKUP(C362,#REF!,5,0),IF(B362="INFRA",VLOOKUP(C362,#REF!,4,0),""))))))*VLOOKUP(B362,#REF!,3,0),"")</f>
        <v/>
      </c>
      <c r="H362" s="986">
        <v>0.25</v>
      </c>
      <c r="I362" s="987" t="str">
        <f t="shared" si="22"/>
        <v/>
      </c>
      <c r="J362" s="988">
        <v>24214.875</v>
      </c>
      <c r="K362" s="52"/>
      <c r="L362" s="940"/>
    </row>
    <row r="363" spans="1:12" s="25" customFormat="1" ht="27" customHeight="1">
      <c r="A363" s="933" t="s">
        <v>5884</v>
      </c>
      <c r="B363" s="933" t="s">
        <v>4872</v>
      </c>
      <c r="C363" s="1012">
        <v>90521</v>
      </c>
      <c r="D363" s="984" t="str">
        <f>IFERROR(UPPER(IF(B363="CPU",VLOOKUP(C363,#REF!,2,0),IF(B363="SINAPI",VLOOKUP(C363,#REF!,2,0),IF(B363="EDIF",VLOOKUP(C363,#REF!,2,0),IF(B363="CPOS",VLOOKUP(C363,#REF!,3,0),IF(B363="FDE",VLOOKUP(C363,#REF!,2,0),IF(B363="INFRA",VLOOKUP(C363,#REF!,2,0),""))))))),"")</f>
        <v/>
      </c>
      <c r="E363" s="78" t="str">
        <f>IFERROR(UPPER(IF(B363="CPU",VLOOKUP(C363,#REF!,3,0),IF(B363="SINAPI",VLOOKUP(C363,#REF!,3,0),IF(B363="EDIF",VLOOKUP(C363,#REF!,3,0),IF(B363="CPOS",VLOOKUP(C363,#REF!,4,0),IF(B363="FDE",VLOOKUP(C363,#REF!,3,0),IF(B363="INFRA",VLOOKUP(C363,#REF!,3,0),""))))))),"")</f>
        <v/>
      </c>
      <c r="F363" s="936">
        <v>450</v>
      </c>
      <c r="G363" s="985" t="str">
        <f>IFERROR(IF(B363="CPU",VLOOKUP(C363,#REF!,4,0),IF(B363="SINAPI",VLOOKUP(C363,#REF!,5,0),IF(B363="EDIF",VLOOKUP(C363,#REF!,4,0),IF(B363="CPOS",VLOOKUP(C363,#REF!,7,0),IF(B363="FDE",VLOOKUP(C363,#REF!,5,0),IF(B363="INFRA",VLOOKUP(C363,#REF!,4,0),""))))))*VLOOKUP(B363,#REF!,3,0),"")</f>
        <v/>
      </c>
      <c r="H363" s="986">
        <v>0.25</v>
      </c>
      <c r="I363" s="987" t="str">
        <f t="shared" si="22"/>
        <v/>
      </c>
      <c r="J363" s="988">
        <v>7976.25</v>
      </c>
      <c r="K363" s="52"/>
      <c r="L363" s="940"/>
    </row>
    <row r="364" spans="1:12" s="25" customFormat="1" ht="27" customHeight="1">
      <c r="A364" s="933" t="s">
        <v>5885</v>
      </c>
      <c r="B364" s="933" t="s">
        <v>4872</v>
      </c>
      <c r="C364" s="1012">
        <v>90539</v>
      </c>
      <c r="D364" s="984" t="str">
        <f>IFERROR(UPPER(IF(B364="CPU",VLOOKUP(C364,#REF!,2,0),IF(B364="SINAPI",VLOOKUP(C364,#REF!,2,0),IF(B364="EDIF",VLOOKUP(C364,#REF!,2,0),IF(B364="CPOS",VLOOKUP(C364,#REF!,3,0),IF(B364="FDE",VLOOKUP(C364,#REF!,2,0),IF(B364="INFRA",VLOOKUP(C364,#REF!,2,0),""))))))),"")</f>
        <v/>
      </c>
      <c r="E364" s="78" t="str">
        <f>IFERROR(UPPER(IF(B364="CPU",VLOOKUP(C364,#REF!,3,0),IF(B364="SINAPI",VLOOKUP(C364,#REF!,3,0),IF(B364="EDIF",VLOOKUP(C364,#REF!,3,0),IF(B364="CPOS",VLOOKUP(C364,#REF!,4,0),IF(B364="FDE",VLOOKUP(C364,#REF!,3,0),IF(B364="INFRA",VLOOKUP(C364,#REF!,3,0),""))))))),"")</f>
        <v/>
      </c>
      <c r="F364" s="936">
        <v>210</v>
      </c>
      <c r="G364" s="985" t="str">
        <f>IFERROR(IF(B364="CPU",VLOOKUP(C364,#REF!,4,0),IF(B364="SINAPI",VLOOKUP(C364,#REF!,5,0),IF(B364="EDIF",VLOOKUP(C364,#REF!,4,0),IF(B364="CPOS",VLOOKUP(C364,#REF!,7,0),IF(B364="FDE",VLOOKUP(C364,#REF!,5,0),IF(B364="INFRA",VLOOKUP(C364,#REF!,4,0),""))))))*VLOOKUP(B364,#REF!,3,0),"")</f>
        <v/>
      </c>
      <c r="H364" s="986">
        <v>0.25</v>
      </c>
      <c r="I364" s="987" t="str">
        <f t="shared" si="22"/>
        <v/>
      </c>
      <c r="J364" s="988">
        <v>8400</v>
      </c>
      <c r="K364" s="52"/>
      <c r="L364" s="940"/>
    </row>
    <row r="365" spans="1:12" s="25" customFormat="1" ht="27" customHeight="1">
      <c r="A365" s="933" t="s">
        <v>5886</v>
      </c>
      <c r="B365" s="933" t="s">
        <v>4872</v>
      </c>
      <c r="C365" s="1012">
        <v>90540</v>
      </c>
      <c r="D365" s="984" t="str">
        <f>IFERROR(UPPER(IF(B365="CPU",VLOOKUP(C365,#REF!,2,0),IF(B365="SINAPI",VLOOKUP(C365,#REF!,2,0),IF(B365="EDIF",VLOOKUP(C365,#REF!,2,0),IF(B365="CPOS",VLOOKUP(C365,#REF!,3,0),IF(B365="FDE",VLOOKUP(C365,#REF!,2,0),IF(B365="INFRA",VLOOKUP(C365,#REF!,2,0),""))))))),"")</f>
        <v/>
      </c>
      <c r="E365" s="78" t="str">
        <f>IFERROR(UPPER(IF(B365="CPU",VLOOKUP(C365,#REF!,3,0),IF(B365="SINAPI",VLOOKUP(C365,#REF!,3,0),IF(B365="EDIF",VLOOKUP(C365,#REF!,3,0),IF(B365="CPOS",VLOOKUP(C365,#REF!,4,0),IF(B365="FDE",VLOOKUP(C365,#REF!,3,0),IF(B365="INFRA",VLOOKUP(C365,#REF!,3,0),""))))))),"")</f>
        <v/>
      </c>
      <c r="F365" s="936">
        <v>64</v>
      </c>
      <c r="G365" s="985" t="str">
        <f>IFERROR(IF(B365="CPU",VLOOKUP(C365,#REF!,4,0),IF(B365="SINAPI",VLOOKUP(C365,#REF!,5,0),IF(B365="EDIF",VLOOKUP(C365,#REF!,4,0),IF(B365="CPOS",VLOOKUP(C365,#REF!,7,0),IF(B365="FDE",VLOOKUP(C365,#REF!,5,0),IF(B365="INFRA",VLOOKUP(C365,#REF!,4,0),""))))))*VLOOKUP(B365,#REF!,3,0),"")</f>
        <v/>
      </c>
      <c r="H365" s="986">
        <v>0.25</v>
      </c>
      <c r="I365" s="987" t="str">
        <f t="shared" si="22"/>
        <v/>
      </c>
      <c r="J365" s="988">
        <v>4222.3999999999996</v>
      </c>
      <c r="K365" s="52"/>
      <c r="L365" s="940"/>
    </row>
    <row r="366" spans="1:12" s="25" customFormat="1" ht="27" customHeight="1">
      <c r="A366" s="933" t="s">
        <v>5887</v>
      </c>
      <c r="B366" s="933" t="s">
        <v>4872</v>
      </c>
      <c r="C366" s="1012">
        <v>90542</v>
      </c>
      <c r="D366" s="984" t="str">
        <f>IFERROR(UPPER(IF(B366="CPU",VLOOKUP(C366,#REF!,2,0),IF(B366="SINAPI",VLOOKUP(C366,#REF!,2,0),IF(B366="EDIF",VLOOKUP(C366,#REF!,2,0),IF(B366="CPOS",VLOOKUP(C366,#REF!,3,0),IF(B366="FDE",VLOOKUP(C366,#REF!,2,0),IF(B366="INFRA",VLOOKUP(C366,#REF!,2,0),""))))))),"")</f>
        <v/>
      </c>
      <c r="E366" s="78" t="str">
        <f>IFERROR(UPPER(IF(B366="CPU",VLOOKUP(C366,#REF!,3,0),IF(B366="SINAPI",VLOOKUP(C366,#REF!,3,0),IF(B366="EDIF",VLOOKUP(C366,#REF!,3,0),IF(B366="CPOS",VLOOKUP(C366,#REF!,4,0),IF(B366="FDE",VLOOKUP(C366,#REF!,3,0),IF(B366="INFRA",VLOOKUP(C366,#REF!,3,0),""))))))),"")</f>
        <v/>
      </c>
      <c r="F366" s="936">
        <v>160</v>
      </c>
      <c r="G366" s="985" t="str">
        <f>IFERROR(IF(B366="CPU",VLOOKUP(C366,#REF!,4,0),IF(B366="SINAPI",VLOOKUP(C366,#REF!,5,0),IF(B366="EDIF",VLOOKUP(C366,#REF!,4,0),IF(B366="CPOS",VLOOKUP(C366,#REF!,7,0),IF(B366="FDE",VLOOKUP(C366,#REF!,5,0),IF(B366="INFRA",VLOOKUP(C366,#REF!,4,0),""))))))*VLOOKUP(B366,#REF!,3,0),"")</f>
        <v/>
      </c>
      <c r="H366" s="986">
        <v>0.25</v>
      </c>
      <c r="I366" s="987" t="str">
        <f t="shared" si="22"/>
        <v/>
      </c>
      <c r="J366" s="988">
        <v>23992</v>
      </c>
      <c r="K366" s="52"/>
      <c r="L366" s="940"/>
    </row>
    <row r="367" spans="1:12" s="25" customFormat="1" ht="27" customHeight="1">
      <c r="A367" s="933" t="s">
        <v>5888</v>
      </c>
      <c r="B367" s="933" t="s">
        <v>4872</v>
      </c>
      <c r="C367" s="1012">
        <v>98207</v>
      </c>
      <c r="D367" s="984" t="str">
        <f>IFERROR(UPPER(IF(B367="CPU",VLOOKUP(C367,#REF!,2,0),IF(B367="SINAPI",VLOOKUP(C367,#REF!,2,0),IF(B367="EDIF",VLOOKUP(C367,#REF!,2,0),IF(B367="CPOS",VLOOKUP(C367,#REF!,3,0),IF(B367="FDE",VLOOKUP(C367,#REF!,2,0),IF(B367="INFRA",VLOOKUP(C367,#REF!,2,0),""))))))),"")</f>
        <v/>
      </c>
      <c r="E367" s="78" t="str">
        <f>IFERROR(UPPER(IF(B367="CPU",VLOOKUP(C367,#REF!,3,0),IF(B367="SINAPI",VLOOKUP(C367,#REF!,3,0),IF(B367="EDIF",VLOOKUP(C367,#REF!,3,0),IF(B367="CPOS",VLOOKUP(C367,#REF!,4,0),IF(B367="FDE",VLOOKUP(C367,#REF!,3,0),IF(B367="INFRA",VLOOKUP(C367,#REF!,3,0),""))))))),"")</f>
        <v/>
      </c>
      <c r="F367" s="936">
        <v>3100</v>
      </c>
      <c r="G367" s="985" t="str">
        <f>IFERROR(IF(B367="CPU",VLOOKUP(C367,#REF!,4,0),IF(B367="SINAPI",VLOOKUP(C367,#REF!,5,0),IF(B367="EDIF",VLOOKUP(C367,#REF!,4,0),IF(B367="CPOS",VLOOKUP(C367,#REF!,7,0),IF(B367="FDE",VLOOKUP(C367,#REF!,5,0),IF(B367="INFRA",VLOOKUP(C367,#REF!,4,0),""))))))*VLOOKUP(B367,#REF!,3,0),"")</f>
        <v/>
      </c>
      <c r="H367" s="986">
        <v>0.25</v>
      </c>
      <c r="I367" s="987" t="str">
        <f t="shared" si="22"/>
        <v/>
      </c>
      <c r="J367" s="988">
        <v>15112.5</v>
      </c>
      <c r="K367" s="52"/>
      <c r="L367" s="940"/>
    </row>
    <row r="368" spans="1:12" s="25" customFormat="1" ht="27" customHeight="1">
      <c r="A368" s="933" t="s">
        <v>5889</v>
      </c>
      <c r="B368" s="933" t="s">
        <v>4872</v>
      </c>
      <c r="C368" s="1012">
        <v>98208</v>
      </c>
      <c r="D368" s="984" t="str">
        <f>IFERROR(UPPER(IF(B368="CPU",VLOOKUP(C368,#REF!,2,0),IF(B368="SINAPI",VLOOKUP(C368,#REF!,2,0),IF(B368="EDIF",VLOOKUP(C368,#REF!,2,0),IF(B368="CPOS",VLOOKUP(C368,#REF!,3,0),IF(B368="FDE",VLOOKUP(C368,#REF!,2,0),IF(B368="INFRA",VLOOKUP(C368,#REF!,2,0),""))))))),"")</f>
        <v/>
      </c>
      <c r="E368" s="78" t="str">
        <f>IFERROR(UPPER(IF(B368="CPU",VLOOKUP(C368,#REF!,3,0),IF(B368="SINAPI",VLOOKUP(C368,#REF!,3,0),IF(B368="EDIF",VLOOKUP(C368,#REF!,3,0),IF(B368="CPOS",VLOOKUP(C368,#REF!,4,0),IF(B368="FDE",VLOOKUP(C368,#REF!,3,0),IF(B368="INFRA",VLOOKUP(C368,#REF!,3,0),""))))))),"")</f>
        <v/>
      </c>
      <c r="F368" s="936">
        <v>1090</v>
      </c>
      <c r="G368" s="985" t="str">
        <f>IFERROR(IF(B368="CPU",VLOOKUP(C368,#REF!,4,0),IF(B368="SINAPI",VLOOKUP(C368,#REF!,5,0),IF(B368="EDIF",VLOOKUP(C368,#REF!,4,0),IF(B368="CPOS",VLOOKUP(C368,#REF!,7,0),IF(B368="FDE",VLOOKUP(C368,#REF!,5,0),IF(B368="INFRA",VLOOKUP(C368,#REF!,4,0),""))))))*VLOOKUP(B368,#REF!,3,0),"")</f>
        <v/>
      </c>
      <c r="H368" s="986">
        <v>0.25</v>
      </c>
      <c r="I368" s="987" t="str">
        <f t="shared" si="22"/>
        <v/>
      </c>
      <c r="J368" s="988">
        <v>10423.125</v>
      </c>
      <c r="K368" s="52"/>
      <c r="L368" s="940"/>
    </row>
    <row r="369" spans="1:12" s="25" customFormat="1" ht="27" customHeight="1">
      <c r="A369" s="933" t="s">
        <v>5890</v>
      </c>
      <c r="B369" s="933" t="s">
        <v>4872</v>
      </c>
      <c r="C369" s="1012">
        <v>90529</v>
      </c>
      <c r="D369" s="984" t="str">
        <f>IFERROR(UPPER(IF(B369="CPU",VLOOKUP(C369,#REF!,2,0),IF(B369="SINAPI",VLOOKUP(C369,#REF!,2,0),IF(B369="EDIF",VLOOKUP(C369,#REF!,2,0),IF(B369="CPOS",VLOOKUP(C369,#REF!,3,0),IF(B369="FDE",VLOOKUP(C369,#REF!,2,0),IF(B369="INFRA",VLOOKUP(C369,#REF!,2,0),""))))))),"")</f>
        <v/>
      </c>
      <c r="E369" s="78" t="str">
        <f>IFERROR(UPPER(IF(B369="CPU",VLOOKUP(C369,#REF!,3,0),IF(B369="SINAPI",VLOOKUP(C369,#REF!,3,0),IF(B369="EDIF",VLOOKUP(C369,#REF!,3,0),IF(B369="CPOS",VLOOKUP(C369,#REF!,4,0),IF(B369="FDE",VLOOKUP(C369,#REF!,3,0),IF(B369="INFRA",VLOOKUP(C369,#REF!,3,0),""))))))),"")</f>
        <v/>
      </c>
      <c r="F369" s="989">
        <v>1000</v>
      </c>
      <c r="G369" s="985" t="str">
        <f>IFERROR(IF(B369="CPU",VLOOKUP(C369,#REF!,4,0),IF(B369="SINAPI",VLOOKUP(C369,#REF!,5,0),IF(B369="EDIF",VLOOKUP(C369,#REF!,4,0),IF(B369="CPOS",VLOOKUP(C369,#REF!,7,0),IF(B369="FDE",VLOOKUP(C369,#REF!,5,0),IF(B369="INFRA",VLOOKUP(C369,#REF!,4,0),""))))))*VLOOKUP(B369,#REF!,3,0),"")</f>
        <v/>
      </c>
      <c r="H369" s="986">
        <v>0.25</v>
      </c>
      <c r="I369" s="987" t="str">
        <f t="shared" si="22"/>
        <v/>
      </c>
      <c r="J369" s="988">
        <v>32062.5</v>
      </c>
      <c r="K369" s="52"/>
      <c r="L369" s="940"/>
    </row>
    <row r="370" spans="1:12" s="25" customFormat="1" ht="27" customHeight="1">
      <c r="A370" s="933" t="s">
        <v>5891</v>
      </c>
      <c r="B370" s="933" t="s">
        <v>4872</v>
      </c>
      <c r="C370" s="1012">
        <v>90530</v>
      </c>
      <c r="D370" s="984" t="str">
        <f>IFERROR(UPPER(IF(B370="CPU",VLOOKUP(C370,#REF!,2,0),IF(B370="SINAPI",VLOOKUP(C370,#REF!,2,0),IF(B370="EDIF",VLOOKUP(C370,#REF!,2,0),IF(B370="CPOS",VLOOKUP(C370,#REF!,3,0),IF(B370="FDE",VLOOKUP(C370,#REF!,2,0),IF(B370="INFRA",VLOOKUP(C370,#REF!,2,0),""))))))),"")</f>
        <v/>
      </c>
      <c r="E370" s="78" t="str">
        <f>IFERROR(UPPER(IF(B370="CPU",VLOOKUP(C370,#REF!,3,0),IF(B370="SINAPI",VLOOKUP(C370,#REF!,3,0),IF(B370="EDIF",VLOOKUP(C370,#REF!,3,0),IF(B370="CPOS",VLOOKUP(C370,#REF!,4,0),IF(B370="FDE",VLOOKUP(C370,#REF!,3,0),IF(B370="INFRA",VLOOKUP(C370,#REF!,3,0),""))))))),"")</f>
        <v/>
      </c>
      <c r="F370" s="989">
        <v>500</v>
      </c>
      <c r="G370" s="985" t="str">
        <f>IFERROR(IF(B370="CPU",VLOOKUP(C370,#REF!,4,0),IF(B370="SINAPI",VLOOKUP(C370,#REF!,5,0),IF(B370="EDIF",VLOOKUP(C370,#REF!,4,0),IF(B370="CPOS",VLOOKUP(C370,#REF!,7,0),IF(B370="FDE",VLOOKUP(C370,#REF!,5,0),IF(B370="INFRA",VLOOKUP(C370,#REF!,4,0),""))))))*VLOOKUP(B370,#REF!,3,0),"")</f>
        <v/>
      </c>
      <c r="H370" s="986">
        <v>0.25</v>
      </c>
      <c r="I370" s="987" t="str">
        <f t="shared" si="22"/>
        <v/>
      </c>
      <c r="J370" s="988">
        <v>22056.25</v>
      </c>
      <c r="K370" s="52"/>
      <c r="L370" s="940"/>
    </row>
    <row r="371" spans="1:12" s="25" customFormat="1" ht="27" customHeight="1">
      <c r="A371" s="933" t="s">
        <v>5892</v>
      </c>
      <c r="B371" s="933" t="s">
        <v>4872</v>
      </c>
      <c r="C371" s="1012">
        <v>90532</v>
      </c>
      <c r="D371" s="984" t="str">
        <f>IFERROR(UPPER(IF(B371="CPU",VLOOKUP(C371,#REF!,2,0),IF(B371="SINAPI",VLOOKUP(C371,#REF!,2,0),IF(B371="EDIF",VLOOKUP(C371,#REF!,2,0),IF(B371="CPOS",VLOOKUP(C371,#REF!,3,0),IF(B371="FDE",VLOOKUP(C371,#REF!,2,0),IF(B371="INFRA",VLOOKUP(C371,#REF!,2,0),""))))))),"")</f>
        <v/>
      </c>
      <c r="E371" s="78" t="str">
        <f>IFERROR(UPPER(IF(B371="CPU",VLOOKUP(C371,#REF!,3,0),IF(B371="SINAPI",VLOOKUP(C371,#REF!,3,0),IF(B371="EDIF",VLOOKUP(C371,#REF!,3,0),IF(B371="CPOS",VLOOKUP(C371,#REF!,4,0),IF(B371="FDE",VLOOKUP(C371,#REF!,3,0),IF(B371="INFRA",VLOOKUP(C371,#REF!,3,0),""))))))),"")</f>
        <v/>
      </c>
      <c r="F371" s="989">
        <v>650</v>
      </c>
      <c r="G371" s="985" t="str">
        <f>IFERROR(IF(B371="CPU",VLOOKUP(C371,#REF!,4,0),IF(B371="SINAPI",VLOOKUP(C371,#REF!,5,0),IF(B371="EDIF",VLOOKUP(C371,#REF!,4,0),IF(B371="CPOS",VLOOKUP(C371,#REF!,7,0),IF(B371="FDE",VLOOKUP(C371,#REF!,5,0),IF(B371="INFRA",VLOOKUP(C371,#REF!,4,0),""))))))*VLOOKUP(B371,#REF!,3,0),"")</f>
        <v/>
      </c>
      <c r="H371" s="986">
        <v>0.25</v>
      </c>
      <c r="I371" s="987" t="str">
        <f t="shared" si="22"/>
        <v/>
      </c>
      <c r="J371" s="988">
        <v>45264.375</v>
      </c>
      <c r="K371" s="52"/>
      <c r="L371" s="940"/>
    </row>
    <row r="372" spans="1:12" s="25" customFormat="1" ht="27" customHeight="1">
      <c r="A372" s="1015"/>
      <c r="B372" s="1015"/>
      <c r="C372" s="1023"/>
      <c r="D372" s="984" t="str">
        <f>IFERROR(UPPER(IF(B372="CPU",VLOOKUP(C372,#REF!,2,0),IF(B372="SINAPI",VLOOKUP(C372,#REF!,2,0),IF(B372="EDIF",VLOOKUP(C372,#REF!,2,0),IF(B372="CPOS",VLOOKUP(C372,#REF!,3,0),IF(B372="FDE",VLOOKUP(C372,#REF!,2,0),IF(B372="INFRA",VLOOKUP(C372,#REF!,2,0),""))))))),"")</f>
        <v/>
      </c>
      <c r="E372" s="78" t="str">
        <f>IFERROR(UPPER(IF(B372="CPU",VLOOKUP(C372,#REF!,3,0),IF(B372="SINAPI",VLOOKUP(C372,#REF!,3,0),IF(B372="EDIF",VLOOKUP(C372,#REF!,3,0),IF(B372="CPOS",VLOOKUP(C372,#REF!,4,0),IF(B372="FDE",VLOOKUP(C372,#REF!,3,0),IF(B372="INFRA",VLOOKUP(C372,#REF!,3,0),""))))))),"")</f>
        <v/>
      </c>
      <c r="F372" s="936"/>
      <c r="G372" s="985" t="str">
        <f>IFERROR(IF(B372="CPU",VLOOKUP(C372,#REF!,4,0),IF(B372="SINAPI",VLOOKUP(C372,#REF!,5,0),IF(B372="EDIF",VLOOKUP(C372,#REF!,4,0),IF(B372="CPOS",VLOOKUP(C372,#REF!,7,0),IF(B372="FDE",VLOOKUP(C372,#REF!,5,0),IF(B372="INFRA",VLOOKUP(C372,#REF!,4,0),""))))))*VLOOKUP(B372,#REF!,3,0),"")</f>
        <v/>
      </c>
      <c r="H372" s="986"/>
      <c r="I372" s="987" t="str">
        <f t="shared" si="22"/>
        <v/>
      </c>
      <c r="J372" s="988"/>
      <c r="K372" s="52"/>
      <c r="L372" s="940"/>
    </row>
    <row r="373" spans="1:12" s="25" customFormat="1" ht="27" customHeight="1">
      <c r="A373" s="975" t="s">
        <v>5893</v>
      </c>
      <c r="B373" s="976"/>
      <c r="C373" s="976"/>
      <c r="D373" s="977" t="s">
        <v>5894</v>
      </c>
      <c r="E373" s="978" t="str">
        <f>IFERROR(UPPER(IF(B373="CPU",VLOOKUP(C373,#REF!,3,0),IF(B373="SINAPI",VLOOKUP(C373,#REF!,3,0),IF(B373="EDIF",VLOOKUP(C373,#REF!,3,0),IF(B373="CPOS",VLOOKUP(C373,#REF!,4,0),IF(B373="FDE",VLOOKUP(C373,#REF!,3,0),IF(B373="INFRA",VLOOKUP(C373,#REF!,3,0),""))))))),"")</f>
        <v/>
      </c>
      <c r="F373" s="979"/>
      <c r="G373" s="980" t="str">
        <f>IFERROR(IF(B373="CPU",VLOOKUP(C373,#REF!,4,0),IF(B373="SINAPI",VLOOKUP(C373,#REF!,5,0),IF(B373="EDIF",VLOOKUP(C373,#REF!,4,0),IF(B373="CPOS",VLOOKUP(C373,#REF!,7,0),IF(B373="FDE",VLOOKUP(C373,#REF!,5,0),IF(B373="INFRA",VLOOKUP(C373,#REF!,4,0),""))))))*VLOOKUP(B373,#REF!,3,0),"")</f>
        <v/>
      </c>
      <c r="H373" s="979"/>
      <c r="I373" s="981">
        <f>SUM(I374:I383)</f>
        <v>0</v>
      </c>
      <c r="J373" s="988"/>
      <c r="K373" s="52"/>
      <c r="L373" s="940"/>
    </row>
    <row r="374" spans="1:12" s="25" customFormat="1" ht="27" customHeight="1">
      <c r="A374" s="933" t="s">
        <v>5895</v>
      </c>
      <c r="B374" s="933" t="s">
        <v>1479</v>
      </c>
      <c r="C374" s="934" t="s">
        <v>5896</v>
      </c>
      <c r="D374" s="984" t="str">
        <f>IFERROR(UPPER(IF(B374="CPU",VLOOKUP(C374,#REF!,2,0),IF(B374="SINAPI",VLOOKUP(C374,#REF!,2,0),IF(B374="EDIF",VLOOKUP(C374,#REF!,2,0),IF(B374="CPOS",VLOOKUP(C374,#REF!,3,0),IF(B374="FDE",VLOOKUP(C374,#REF!,2,0),IF(B374="INFRA",VLOOKUP(C374,#REF!,2,0),""))))))),"")</f>
        <v/>
      </c>
      <c r="E374" s="78" t="str">
        <f>IFERROR(UPPER(IF(B374="CPU",VLOOKUP(C374,#REF!,3,0),IF(B374="SINAPI",VLOOKUP(C374,#REF!,3,0),IF(B374="EDIF",VLOOKUP(C374,#REF!,3,0),IF(B374="CPOS",VLOOKUP(C374,#REF!,4,0),IF(B374="FDE",VLOOKUP(C374,#REF!,3,0),IF(B374="INFRA",VLOOKUP(C374,#REF!,3,0),""))))))),"")</f>
        <v/>
      </c>
      <c r="F374" s="936">
        <v>1680</v>
      </c>
      <c r="G374" s="985" t="str">
        <f>IFERROR(IF(B374="CPU",VLOOKUP(C374,#REF!,4,0),IF(B374="SINAPI",VLOOKUP(C374,#REF!,5,0),IF(B374="EDIF",VLOOKUP(C374,#REF!,4,0),IF(B374="CPOS",VLOOKUP(C374,#REF!,7,0),IF(B374="FDE",VLOOKUP(C374,#REF!,5,0),IF(B374="INFRA",VLOOKUP(C374,#REF!,4,0),""))))))*VLOOKUP(B374,#REF!,3,0),"")</f>
        <v/>
      </c>
      <c r="H374" s="986">
        <v>0.25</v>
      </c>
      <c r="I374" s="987" t="str">
        <f t="shared" ref="I374:I383" si="23">IFERROR(F374*((G374*(1+H374))),"")</f>
        <v/>
      </c>
      <c r="J374" s="988">
        <v>39186</v>
      </c>
      <c r="K374" s="52"/>
      <c r="L374" s="940"/>
    </row>
    <row r="375" spans="1:12" s="25" customFormat="1" ht="27" customHeight="1">
      <c r="A375" s="933" t="s">
        <v>5897</v>
      </c>
      <c r="B375" s="933" t="s">
        <v>1479</v>
      </c>
      <c r="C375" s="934" t="s">
        <v>5898</v>
      </c>
      <c r="D375" s="984" t="str">
        <f>IFERROR(UPPER(IF(B375="CPU",VLOOKUP(C375,#REF!,2,0),IF(B375="SINAPI",VLOOKUP(C375,#REF!,2,0),IF(B375="EDIF",VLOOKUP(C375,#REF!,2,0),IF(B375="CPOS",VLOOKUP(C375,#REF!,3,0),IF(B375="FDE",VLOOKUP(C375,#REF!,2,0),IF(B375="INFRA",VLOOKUP(C375,#REF!,2,0),""))))))),"")</f>
        <v/>
      </c>
      <c r="E375" s="78" t="str">
        <f>IFERROR(UPPER(IF(B375="CPU",VLOOKUP(C375,#REF!,3,0),IF(B375="SINAPI",VLOOKUP(C375,#REF!,3,0),IF(B375="EDIF",VLOOKUP(C375,#REF!,3,0),IF(B375="CPOS",VLOOKUP(C375,#REF!,4,0),IF(B375="FDE",VLOOKUP(C375,#REF!,3,0),IF(B375="INFRA",VLOOKUP(C375,#REF!,3,0),""))))))),"")</f>
        <v/>
      </c>
      <c r="F375" s="936">
        <v>580</v>
      </c>
      <c r="G375" s="985" t="str">
        <f>IFERROR(IF(B375="CPU",VLOOKUP(C375,#REF!,4,0),IF(B375="SINAPI",VLOOKUP(C375,#REF!,5,0),IF(B375="EDIF",VLOOKUP(C375,#REF!,4,0),IF(B375="CPOS",VLOOKUP(C375,#REF!,7,0),IF(B375="FDE",VLOOKUP(C375,#REF!,5,0),IF(B375="INFRA",VLOOKUP(C375,#REF!,4,0),""))))))*VLOOKUP(B375,#REF!,3,0),"")</f>
        <v/>
      </c>
      <c r="H375" s="986">
        <v>0.25</v>
      </c>
      <c r="I375" s="987" t="str">
        <f t="shared" si="23"/>
        <v/>
      </c>
      <c r="J375" s="988">
        <v>15515</v>
      </c>
      <c r="K375" s="52"/>
      <c r="L375" s="940"/>
    </row>
    <row r="376" spans="1:12" s="25" customFormat="1" ht="27" customHeight="1">
      <c r="A376" s="933" t="s">
        <v>5899</v>
      </c>
      <c r="B376" s="933" t="s">
        <v>1479</v>
      </c>
      <c r="C376" s="934" t="s">
        <v>5900</v>
      </c>
      <c r="D376" s="984" t="str">
        <f>IFERROR(UPPER(IF(B376="CPU",VLOOKUP(C376,#REF!,2,0),IF(B376="SINAPI",VLOOKUP(C376,#REF!,2,0),IF(B376="EDIF",VLOOKUP(C376,#REF!,2,0),IF(B376="CPOS",VLOOKUP(C376,#REF!,3,0),IF(B376="FDE",VLOOKUP(C376,#REF!,2,0),IF(B376="INFRA",VLOOKUP(C376,#REF!,2,0),""))))))),"")</f>
        <v/>
      </c>
      <c r="E376" s="78" t="str">
        <f>IFERROR(UPPER(IF(B376="CPU",VLOOKUP(C376,#REF!,3,0),IF(B376="SINAPI",VLOOKUP(C376,#REF!,3,0),IF(B376="EDIF",VLOOKUP(C376,#REF!,3,0),IF(B376="CPOS",VLOOKUP(C376,#REF!,4,0),IF(B376="FDE",VLOOKUP(C376,#REF!,3,0),IF(B376="INFRA",VLOOKUP(C376,#REF!,3,0),""))))))),"")</f>
        <v/>
      </c>
      <c r="F376" s="936">
        <v>450</v>
      </c>
      <c r="G376" s="985" t="str">
        <f>IFERROR(IF(B376="CPU",VLOOKUP(C376,#REF!,4,0),IF(B376="SINAPI",VLOOKUP(C376,#REF!,5,0),IF(B376="EDIF",VLOOKUP(C376,#REF!,4,0),IF(B376="CPOS",VLOOKUP(C376,#REF!,7,0),IF(B376="FDE",VLOOKUP(C376,#REF!,5,0),IF(B376="INFRA",VLOOKUP(C376,#REF!,4,0),""))))))*VLOOKUP(B376,#REF!,3,0),"")</f>
        <v/>
      </c>
      <c r="H376" s="986">
        <v>0.25</v>
      </c>
      <c r="I376" s="987" t="str">
        <f t="shared" si="23"/>
        <v/>
      </c>
      <c r="J376" s="988">
        <v>6856.875</v>
      </c>
      <c r="K376" s="52"/>
      <c r="L376" s="940"/>
    </row>
    <row r="377" spans="1:12" s="25" customFormat="1" ht="27" customHeight="1">
      <c r="A377" s="933" t="s">
        <v>5901</v>
      </c>
      <c r="B377" s="933" t="s">
        <v>1479</v>
      </c>
      <c r="C377" s="934" t="s">
        <v>5902</v>
      </c>
      <c r="D377" s="984" t="str">
        <f>IFERROR(UPPER(IF(B377="CPU",VLOOKUP(C377,#REF!,2,0),IF(B377="SINAPI",VLOOKUP(C377,#REF!,2,0),IF(B377="EDIF",VLOOKUP(C377,#REF!,2,0),IF(B377="CPOS",VLOOKUP(C377,#REF!,3,0),IF(B377="FDE",VLOOKUP(C377,#REF!,2,0),IF(B377="INFRA",VLOOKUP(C377,#REF!,2,0),""))))))),"")</f>
        <v/>
      </c>
      <c r="E377" s="78" t="str">
        <f>IFERROR(UPPER(IF(B377="CPU",VLOOKUP(C377,#REF!,3,0),IF(B377="SINAPI",VLOOKUP(C377,#REF!,3,0),IF(B377="EDIF",VLOOKUP(C377,#REF!,3,0),IF(B377="CPOS",VLOOKUP(C377,#REF!,4,0),IF(B377="FDE",VLOOKUP(C377,#REF!,3,0),IF(B377="INFRA",VLOOKUP(C377,#REF!,3,0),""))))))),"")</f>
        <v/>
      </c>
      <c r="F377" s="936">
        <v>250</v>
      </c>
      <c r="G377" s="985" t="str">
        <f>IFERROR(IF(B377="CPU",VLOOKUP(C377,#REF!,4,0),IF(B377="SINAPI",VLOOKUP(C377,#REF!,5,0),IF(B377="EDIF",VLOOKUP(C377,#REF!,4,0),IF(B377="CPOS",VLOOKUP(C377,#REF!,7,0),IF(B377="FDE",VLOOKUP(C377,#REF!,5,0),IF(B377="INFRA",VLOOKUP(C377,#REF!,4,0),""))))))*VLOOKUP(B377,#REF!,3,0),"")</f>
        <v/>
      </c>
      <c r="H377" s="986">
        <v>0.25</v>
      </c>
      <c r="I377" s="987" t="str">
        <f t="shared" si="23"/>
        <v/>
      </c>
      <c r="J377" s="988">
        <v>8881.25</v>
      </c>
      <c r="K377" s="52"/>
      <c r="L377" s="940"/>
    </row>
    <row r="378" spans="1:12" s="25" customFormat="1" ht="27" customHeight="1">
      <c r="A378" s="933" t="s">
        <v>5903</v>
      </c>
      <c r="B378" s="933" t="s">
        <v>1479</v>
      </c>
      <c r="C378" s="934" t="s">
        <v>5904</v>
      </c>
      <c r="D378" s="984" t="str">
        <f>IFERROR(UPPER(IF(B378="CPU",VLOOKUP(C378,#REF!,2,0),IF(B378="SINAPI",VLOOKUP(C378,#REF!,2,0),IF(B378="EDIF",VLOOKUP(C378,#REF!,2,0),IF(B378="CPOS",VLOOKUP(C378,#REF!,3,0),IF(B378="FDE",VLOOKUP(C378,#REF!,2,0),IF(B378="INFRA",VLOOKUP(C378,#REF!,2,0),""))))))),"")</f>
        <v/>
      </c>
      <c r="E378" s="78" t="str">
        <f>IFERROR(UPPER(IF(B378="CPU",VLOOKUP(C378,#REF!,3,0),IF(B378="SINAPI",VLOOKUP(C378,#REF!,3,0),IF(B378="EDIF",VLOOKUP(C378,#REF!,3,0),IF(B378="CPOS",VLOOKUP(C378,#REF!,4,0),IF(B378="FDE",VLOOKUP(C378,#REF!,3,0),IF(B378="INFRA",VLOOKUP(C378,#REF!,3,0),""))))))),"")</f>
        <v/>
      </c>
      <c r="F378" s="936">
        <v>385</v>
      </c>
      <c r="G378" s="985" t="str">
        <f>IFERROR(IF(B378="CPU",VLOOKUP(C378,#REF!,4,0),IF(B378="SINAPI",VLOOKUP(C378,#REF!,5,0),IF(B378="EDIF",VLOOKUP(C378,#REF!,4,0),IF(B378="CPOS",VLOOKUP(C378,#REF!,7,0),IF(B378="FDE",VLOOKUP(C378,#REF!,5,0),IF(B378="INFRA",VLOOKUP(C378,#REF!,4,0),""))))))*VLOOKUP(B378,#REF!,3,0),"")</f>
        <v/>
      </c>
      <c r="H378" s="986">
        <v>0.25</v>
      </c>
      <c r="I378" s="987" t="str">
        <f t="shared" si="23"/>
        <v/>
      </c>
      <c r="J378" s="988">
        <v>24409</v>
      </c>
      <c r="K378" s="52"/>
      <c r="L378" s="940"/>
    </row>
    <row r="379" spans="1:12" s="25" customFormat="1" ht="27" customHeight="1">
      <c r="A379" s="933" t="s">
        <v>5905</v>
      </c>
      <c r="B379" s="933" t="s">
        <v>1479</v>
      </c>
      <c r="C379" s="934" t="s">
        <v>5906</v>
      </c>
      <c r="D379" s="984" t="str">
        <f>IFERROR(UPPER(IF(B379="CPU",VLOOKUP(C379,#REF!,2,0),IF(B379="SINAPI",VLOOKUP(C379,#REF!,2,0),IF(B379="EDIF",VLOOKUP(C379,#REF!,2,0),IF(B379="CPOS",VLOOKUP(C379,#REF!,3,0),IF(B379="FDE",VLOOKUP(C379,#REF!,2,0),IF(B379="INFRA",VLOOKUP(C379,#REF!,2,0),""))))))),"")</f>
        <v/>
      </c>
      <c r="E379" s="78" t="str">
        <f>IFERROR(UPPER(IF(B379="CPU",VLOOKUP(C379,#REF!,3,0),IF(B379="SINAPI",VLOOKUP(C379,#REF!,3,0),IF(B379="EDIF",VLOOKUP(C379,#REF!,3,0),IF(B379="CPOS",VLOOKUP(C379,#REF!,4,0),IF(B379="FDE",VLOOKUP(C379,#REF!,3,0),IF(B379="INFRA",VLOOKUP(C379,#REF!,3,0),""))))))),"")</f>
        <v/>
      </c>
      <c r="F379" s="936">
        <v>385</v>
      </c>
      <c r="G379" s="985" t="str">
        <f>IFERROR(IF(B379="CPU",VLOOKUP(C379,#REF!,4,0),IF(B379="SINAPI",VLOOKUP(C379,#REF!,5,0),IF(B379="EDIF",VLOOKUP(C379,#REF!,4,0),IF(B379="CPOS",VLOOKUP(C379,#REF!,7,0),IF(B379="FDE",VLOOKUP(C379,#REF!,5,0),IF(B379="INFRA",VLOOKUP(C379,#REF!,4,0),""))))))*VLOOKUP(B379,#REF!,3,0),"")</f>
        <v/>
      </c>
      <c r="H379" s="986">
        <v>0.25</v>
      </c>
      <c r="I379" s="987" t="str">
        <f t="shared" si="23"/>
        <v/>
      </c>
      <c r="J379" s="988">
        <v>14822.5</v>
      </c>
      <c r="K379" s="52"/>
      <c r="L379" s="940"/>
    </row>
    <row r="380" spans="1:12" s="25" customFormat="1" ht="27" customHeight="1">
      <c r="A380" s="933" t="s">
        <v>5907</v>
      </c>
      <c r="B380" s="933" t="s">
        <v>1479</v>
      </c>
      <c r="C380" s="934" t="s">
        <v>5908</v>
      </c>
      <c r="D380" s="984" t="str">
        <f>IFERROR(UPPER(IF(B380="CPU",VLOOKUP(C380,#REF!,2,0),IF(B380="SINAPI",VLOOKUP(C380,#REF!,2,0),IF(B380="EDIF",VLOOKUP(C380,#REF!,2,0),IF(B380="CPOS",VLOOKUP(C380,#REF!,3,0),IF(B380="FDE",VLOOKUP(C380,#REF!,2,0),IF(B380="INFRA",VLOOKUP(C380,#REF!,2,0),""))))))),"")</f>
        <v/>
      </c>
      <c r="E380" s="78" t="str">
        <f>IFERROR(UPPER(IF(B380="CPU",VLOOKUP(C380,#REF!,3,0),IF(B380="SINAPI",VLOOKUP(C380,#REF!,3,0),IF(B380="EDIF",VLOOKUP(C380,#REF!,3,0),IF(B380="CPOS",VLOOKUP(C380,#REF!,4,0),IF(B380="FDE",VLOOKUP(C380,#REF!,3,0),IF(B380="INFRA",VLOOKUP(C380,#REF!,3,0),""))))))),"")</f>
        <v/>
      </c>
      <c r="F380" s="936">
        <v>340</v>
      </c>
      <c r="G380" s="985" t="str">
        <f>IFERROR(IF(B380="CPU",VLOOKUP(C380,#REF!,4,0),IF(B380="SINAPI",VLOOKUP(C380,#REF!,5,0),IF(B380="EDIF",VLOOKUP(C380,#REF!,4,0),IF(B380="CPOS",VLOOKUP(C380,#REF!,7,0),IF(B380="FDE",VLOOKUP(C380,#REF!,5,0),IF(B380="INFRA",VLOOKUP(C380,#REF!,4,0),""))))))*VLOOKUP(B380,#REF!,3,0),"")</f>
        <v/>
      </c>
      <c r="H380" s="986">
        <v>0.25</v>
      </c>
      <c r="I380" s="987" t="str">
        <f t="shared" si="23"/>
        <v/>
      </c>
      <c r="J380" s="988">
        <v>7769</v>
      </c>
      <c r="K380" s="52"/>
      <c r="L380" s="940"/>
    </row>
    <row r="381" spans="1:12" s="25" customFormat="1" ht="27" customHeight="1">
      <c r="A381" s="933" t="s">
        <v>5909</v>
      </c>
      <c r="B381" s="933" t="s">
        <v>1479</v>
      </c>
      <c r="C381" s="934" t="s">
        <v>5910</v>
      </c>
      <c r="D381" s="984" t="str">
        <f>IFERROR(UPPER(IF(B381="CPU",VLOOKUP(C381,#REF!,2,0),IF(B381="SINAPI",VLOOKUP(C381,#REF!,2,0),IF(B381="EDIF",VLOOKUP(C381,#REF!,2,0),IF(B381="CPOS",VLOOKUP(C381,#REF!,3,0),IF(B381="FDE",VLOOKUP(C381,#REF!,2,0),IF(B381="INFRA",VLOOKUP(C381,#REF!,2,0),""))))))),"")</f>
        <v/>
      </c>
      <c r="E381" s="78" t="str">
        <f>IFERROR(UPPER(IF(B381="CPU",VLOOKUP(C381,#REF!,3,0),IF(B381="SINAPI",VLOOKUP(C381,#REF!,3,0),IF(B381="EDIF",VLOOKUP(C381,#REF!,3,0),IF(B381="CPOS",VLOOKUP(C381,#REF!,4,0),IF(B381="FDE",VLOOKUP(C381,#REF!,3,0),IF(B381="INFRA",VLOOKUP(C381,#REF!,3,0),""))))))),"")</f>
        <v/>
      </c>
      <c r="F381" s="936">
        <v>60</v>
      </c>
      <c r="G381" s="985" t="str">
        <f>IFERROR(IF(B381="CPU",VLOOKUP(C381,#REF!,4,0),IF(B381="SINAPI",VLOOKUP(C381,#REF!,5,0),IF(B381="EDIF",VLOOKUP(C381,#REF!,4,0),IF(B381="CPOS",VLOOKUP(C381,#REF!,7,0),IF(B381="FDE",VLOOKUP(C381,#REF!,5,0),IF(B381="INFRA",VLOOKUP(C381,#REF!,4,0),""))))))*VLOOKUP(B381,#REF!,3,0),"")</f>
        <v/>
      </c>
      <c r="H381" s="986">
        <v>0.25</v>
      </c>
      <c r="I381" s="987" t="str">
        <f t="shared" si="23"/>
        <v/>
      </c>
      <c r="J381" s="988">
        <v>1893</v>
      </c>
      <c r="K381" s="52"/>
      <c r="L381" s="940"/>
    </row>
    <row r="382" spans="1:12" s="25" customFormat="1" ht="27" customHeight="1">
      <c r="A382" s="933" t="s">
        <v>5911</v>
      </c>
      <c r="B382" s="933" t="s">
        <v>1479</v>
      </c>
      <c r="C382" s="934" t="s">
        <v>5912</v>
      </c>
      <c r="D382" s="984" t="str">
        <f>IFERROR(UPPER(IF(B382="CPU",VLOOKUP(C382,#REF!,2,0),IF(B382="SINAPI",VLOOKUP(C382,#REF!,2,0),IF(B382="EDIF",VLOOKUP(C382,#REF!,2,0),IF(B382="CPOS",VLOOKUP(C382,#REF!,3,0),IF(B382="FDE",VLOOKUP(C382,#REF!,2,0),IF(B382="INFRA",VLOOKUP(C382,#REF!,2,0),""))))))),"")</f>
        <v/>
      </c>
      <c r="E382" s="78" t="str">
        <f>IFERROR(UPPER(IF(B382="CPU",VLOOKUP(C382,#REF!,3,0),IF(B382="SINAPI",VLOOKUP(C382,#REF!,3,0),IF(B382="EDIF",VLOOKUP(C382,#REF!,3,0),IF(B382="CPOS",VLOOKUP(C382,#REF!,4,0),IF(B382="FDE",VLOOKUP(C382,#REF!,3,0),IF(B382="INFRA",VLOOKUP(C382,#REF!,3,0),""))))))),"")</f>
        <v/>
      </c>
      <c r="F382" s="936">
        <v>60</v>
      </c>
      <c r="G382" s="985" t="str">
        <f>IFERROR(IF(B382="CPU",VLOOKUP(C382,#REF!,4,0),IF(B382="SINAPI",VLOOKUP(C382,#REF!,5,0),IF(B382="EDIF",VLOOKUP(C382,#REF!,4,0),IF(B382="CPOS",VLOOKUP(C382,#REF!,7,0),IF(B382="FDE",VLOOKUP(C382,#REF!,5,0),IF(B382="INFRA",VLOOKUP(C382,#REF!,4,0),""))))))*VLOOKUP(B382,#REF!,3,0),"")</f>
        <v/>
      </c>
      <c r="H382" s="986">
        <v>0.25</v>
      </c>
      <c r="I382" s="987" t="str">
        <f t="shared" si="23"/>
        <v/>
      </c>
      <c r="J382" s="988">
        <v>1345.5</v>
      </c>
      <c r="K382" s="52"/>
      <c r="L382" s="940"/>
    </row>
    <row r="383" spans="1:12" s="25" customFormat="1" ht="27" customHeight="1">
      <c r="A383" s="933" t="s">
        <v>5913</v>
      </c>
      <c r="B383" s="933" t="s">
        <v>1479</v>
      </c>
      <c r="C383" s="934" t="s">
        <v>5914</v>
      </c>
      <c r="D383" s="984" t="str">
        <f>IFERROR(UPPER(IF(B383="CPU",VLOOKUP(C383,#REF!,2,0),IF(B383="SINAPI",VLOOKUP(C383,#REF!,2,0),IF(B383="EDIF",VLOOKUP(C383,#REF!,2,0),IF(B383="CPOS",VLOOKUP(C383,#REF!,3,0),IF(B383="FDE",VLOOKUP(C383,#REF!,2,0),IF(B383="INFRA",VLOOKUP(C383,#REF!,2,0),""))))))),"")</f>
        <v/>
      </c>
      <c r="E383" s="78" t="str">
        <f>IFERROR(UPPER(IF(B383="CPU",VLOOKUP(C383,#REF!,3,0),IF(B383="SINAPI",VLOOKUP(C383,#REF!,3,0),IF(B383="EDIF",VLOOKUP(C383,#REF!,3,0),IF(B383="CPOS",VLOOKUP(C383,#REF!,4,0),IF(B383="FDE",VLOOKUP(C383,#REF!,3,0),IF(B383="INFRA",VLOOKUP(C383,#REF!,3,0),""))))))),"")</f>
        <v/>
      </c>
      <c r="F383" s="936">
        <v>30</v>
      </c>
      <c r="G383" s="985" t="str">
        <f>IFERROR(IF(B383="CPU",VLOOKUP(C383,#REF!,4,0),IF(B383="SINAPI",VLOOKUP(C383,#REF!,5,0),IF(B383="EDIF",VLOOKUP(C383,#REF!,4,0),IF(B383="CPOS",VLOOKUP(C383,#REF!,7,0),IF(B383="FDE",VLOOKUP(C383,#REF!,5,0),IF(B383="INFRA",VLOOKUP(C383,#REF!,4,0),""))))))*VLOOKUP(B383,#REF!,3,0),"")</f>
        <v/>
      </c>
      <c r="H383" s="986">
        <v>0.25</v>
      </c>
      <c r="I383" s="987" t="str">
        <f t="shared" si="23"/>
        <v/>
      </c>
      <c r="J383" s="988">
        <v>8606.625</v>
      </c>
      <c r="K383" s="52"/>
      <c r="L383" s="940"/>
    </row>
    <row r="384" spans="1:12" s="25" customFormat="1" ht="27" customHeight="1">
      <c r="A384" s="1015"/>
      <c r="B384" s="1015"/>
      <c r="C384" s="1023"/>
      <c r="D384" s="984"/>
      <c r="E384" s="78"/>
      <c r="F384" s="936"/>
      <c r="G384" s="985"/>
      <c r="H384" s="986"/>
      <c r="I384" s="987"/>
      <c r="J384" s="988"/>
      <c r="K384" s="52"/>
      <c r="L384" s="940"/>
    </row>
    <row r="385" spans="1:12" s="25" customFormat="1" ht="27" customHeight="1">
      <c r="A385" s="975" t="s">
        <v>5915</v>
      </c>
      <c r="B385" s="976"/>
      <c r="C385" s="976"/>
      <c r="D385" s="977" t="s">
        <v>5916</v>
      </c>
      <c r="E385" s="978" t="str">
        <f>IFERROR(UPPER(IF(B385="CPU",VLOOKUP(C385,#REF!,3,0),IF(B385="SINAPI",VLOOKUP(C385,#REF!,3,0),IF(B385="EDIF",VLOOKUP(C385,#REF!,3,0),IF(B385="CPOS",VLOOKUP(C385,#REF!,4,0),IF(B385="FDE",VLOOKUP(C385,#REF!,3,0),IF(B385="INFRA",VLOOKUP(C385,#REF!,3,0),""))))))),"")</f>
        <v/>
      </c>
      <c r="F385" s="979"/>
      <c r="G385" s="980" t="str">
        <f>IFERROR(IF(B385="CPU",VLOOKUP(C385,#REF!,4,0),IF(B385="SINAPI",VLOOKUP(C385,#REF!,5,0),IF(B385="EDIF",VLOOKUP(C385,#REF!,4,0),IF(B385="CPOS",VLOOKUP(C385,#REF!,7,0),IF(B385="FDE",VLOOKUP(C385,#REF!,5,0),IF(B385="INFRA",VLOOKUP(C385,#REF!,4,0),""))))))*VLOOKUP(B385,#REF!,3,0),"")</f>
        <v/>
      </c>
      <c r="H385" s="979"/>
      <c r="I385" s="981">
        <f>SUM(I386:I391)</f>
        <v>0</v>
      </c>
      <c r="J385" s="988"/>
      <c r="K385" s="52"/>
      <c r="L385" s="940"/>
    </row>
    <row r="386" spans="1:12" s="25" customFormat="1" ht="27" customHeight="1">
      <c r="A386" s="933" t="s">
        <v>5917</v>
      </c>
      <c r="B386" s="933" t="s">
        <v>1479</v>
      </c>
      <c r="C386" s="934" t="s">
        <v>5918</v>
      </c>
      <c r="D386" s="984" t="str">
        <f>IFERROR(UPPER(IF(B386="CPU",VLOOKUP(C386,#REF!,2,0),IF(B386="SINAPI",VLOOKUP(C386,#REF!,2,0),IF(B386="EDIF",VLOOKUP(C386,#REF!,2,0),IF(B386="CPOS",VLOOKUP(C386,#REF!,3,0),IF(B386="FDE",VLOOKUP(C386,#REF!,2,0),IF(B386="INFRA",VLOOKUP(C386,#REF!,2,0),""))))))),"")</f>
        <v/>
      </c>
      <c r="E386" s="78" t="str">
        <f>IFERROR(UPPER(IF(B386="CPU",VLOOKUP(C386,#REF!,3,0),IF(B386="SINAPI",VLOOKUP(C386,#REF!,3,0),IF(B386="EDIF",VLOOKUP(C386,#REF!,3,0),IF(B386="CPOS",VLOOKUP(C386,#REF!,4,0),IF(B386="FDE",VLOOKUP(C386,#REF!,3,0),IF(B386="INFRA",VLOOKUP(C386,#REF!,3,0),""))))))),"")</f>
        <v/>
      </c>
      <c r="F386" s="936">
        <v>12</v>
      </c>
      <c r="G386" s="985" t="str">
        <f>IFERROR(IF(B386="CPU",VLOOKUP(C386,#REF!,4,0),IF(B386="SINAPI",VLOOKUP(C386,#REF!,5,0),IF(B386="EDIF",VLOOKUP(C386,#REF!,4,0),IF(B386="CPOS",VLOOKUP(C386,#REF!,7,0),IF(B386="FDE",VLOOKUP(C386,#REF!,5,0),IF(B386="INFRA",VLOOKUP(C386,#REF!,4,0),""))))))*VLOOKUP(B386,#REF!,3,0),"")</f>
        <v/>
      </c>
      <c r="H386" s="986">
        <v>0.25</v>
      </c>
      <c r="I386" s="987" t="str">
        <f t="shared" ref="I386:I391" si="24">IFERROR(F386*((G386*(1+H386))),"")</f>
        <v/>
      </c>
      <c r="J386" s="988">
        <v>5682.15</v>
      </c>
      <c r="K386" s="52"/>
      <c r="L386" s="940"/>
    </row>
    <row r="387" spans="1:12" s="25" customFormat="1" ht="27" customHeight="1">
      <c r="A387" s="933" t="s">
        <v>5919</v>
      </c>
      <c r="B387" s="933" t="s">
        <v>1479</v>
      </c>
      <c r="C387" s="934" t="s">
        <v>5920</v>
      </c>
      <c r="D387" s="984" t="str">
        <f>IFERROR(UPPER(IF(B387="CPU",VLOOKUP(C387,#REF!,2,0),IF(B387="SINAPI",VLOOKUP(C387,#REF!,2,0),IF(B387="EDIF",VLOOKUP(C387,#REF!,2,0),IF(B387="CPOS",VLOOKUP(C387,#REF!,3,0),IF(B387="FDE",VLOOKUP(C387,#REF!,2,0),IF(B387="INFRA",VLOOKUP(C387,#REF!,2,0),""))))))),"")</f>
        <v/>
      </c>
      <c r="E387" s="78" t="str">
        <f>IFERROR(UPPER(IF(B387="CPU",VLOOKUP(C387,#REF!,3,0),IF(B387="SINAPI",VLOOKUP(C387,#REF!,3,0),IF(B387="EDIF",VLOOKUP(C387,#REF!,3,0),IF(B387="CPOS",VLOOKUP(C387,#REF!,4,0),IF(B387="FDE",VLOOKUP(C387,#REF!,3,0),IF(B387="INFRA",VLOOKUP(C387,#REF!,3,0),""))))))),"")</f>
        <v/>
      </c>
      <c r="F387" s="936">
        <v>3</v>
      </c>
      <c r="G387" s="985" t="str">
        <f>IFERROR(IF(B387="CPU",VLOOKUP(C387,#REF!,4,0),IF(B387="SINAPI",VLOOKUP(C387,#REF!,5,0),IF(B387="EDIF",VLOOKUP(C387,#REF!,4,0),IF(B387="CPOS",VLOOKUP(C387,#REF!,7,0),IF(B387="FDE",VLOOKUP(C387,#REF!,5,0),IF(B387="INFRA",VLOOKUP(C387,#REF!,4,0),""))))))*VLOOKUP(B387,#REF!,3,0),"")</f>
        <v/>
      </c>
      <c r="H387" s="986">
        <v>0.25</v>
      </c>
      <c r="I387" s="987" t="str">
        <f t="shared" si="24"/>
        <v/>
      </c>
      <c r="J387" s="988">
        <v>2433.5250000000001</v>
      </c>
      <c r="K387" s="52"/>
      <c r="L387" s="940"/>
    </row>
    <row r="388" spans="1:12" s="25" customFormat="1" ht="27" customHeight="1">
      <c r="A388" s="933" t="s">
        <v>5921</v>
      </c>
      <c r="B388" s="933" t="s">
        <v>1479</v>
      </c>
      <c r="C388" s="934" t="s">
        <v>5922</v>
      </c>
      <c r="D388" s="984" t="str">
        <f>IFERROR(UPPER(IF(B388="CPU",VLOOKUP(C388,#REF!,2,0),IF(B388="SINAPI",VLOOKUP(C388,#REF!,2,0),IF(B388="EDIF",VLOOKUP(C388,#REF!,2,0),IF(B388="CPOS",VLOOKUP(C388,#REF!,3,0),IF(B388="FDE",VLOOKUP(C388,#REF!,2,0),IF(B388="INFRA",VLOOKUP(C388,#REF!,2,0),""))))))),"")</f>
        <v/>
      </c>
      <c r="E388" s="78" t="str">
        <f>IFERROR(UPPER(IF(B388="CPU",VLOOKUP(C388,#REF!,3,0),IF(B388="SINAPI",VLOOKUP(C388,#REF!,3,0),IF(B388="EDIF",VLOOKUP(C388,#REF!,3,0),IF(B388="CPOS",VLOOKUP(C388,#REF!,4,0),IF(B388="FDE",VLOOKUP(C388,#REF!,3,0),IF(B388="INFRA",VLOOKUP(C388,#REF!,3,0),""))))))),"")</f>
        <v/>
      </c>
      <c r="F388" s="936">
        <v>6</v>
      </c>
      <c r="G388" s="985" t="str">
        <f>IFERROR(IF(B388="CPU",VLOOKUP(C388,#REF!,4,0),IF(B388="SINAPI",VLOOKUP(C388,#REF!,5,0),IF(B388="EDIF",VLOOKUP(C388,#REF!,4,0),IF(B388="CPOS",VLOOKUP(C388,#REF!,7,0),IF(B388="FDE",VLOOKUP(C388,#REF!,5,0),IF(B388="INFRA",VLOOKUP(C388,#REF!,4,0),""))))))*VLOOKUP(B388,#REF!,3,0),"")</f>
        <v/>
      </c>
      <c r="H388" s="986">
        <v>0.25</v>
      </c>
      <c r="I388" s="987" t="str">
        <f t="shared" si="24"/>
        <v/>
      </c>
      <c r="J388" s="988">
        <v>9813.6749999999993</v>
      </c>
      <c r="K388" s="52"/>
      <c r="L388" s="940"/>
    </row>
    <row r="389" spans="1:12" s="25" customFormat="1" ht="27" customHeight="1">
      <c r="A389" s="933" t="s">
        <v>5923</v>
      </c>
      <c r="B389" s="933" t="s">
        <v>1479</v>
      </c>
      <c r="C389" s="934" t="s">
        <v>5924</v>
      </c>
      <c r="D389" s="984" t="str">
        <f>IFERROR(UPPER(IF(B389="CPU",VLOOKUP(C389,#REF!,2,0),IF(B389="SINAPI",VLOOKUP(C389,#REF!,2,0),IF(B389="EDIF",VLOOKUP(C389,#REF!,2,0),IF(B389="CPOS",VLOOKUP(C389,#REF!,3,0),IF(B389="FDE",VLOOKUP(C389,#REF!,2,0),IF(B389="INFRA",VLOOKUP(C389,#REF!,2,0),""))))))),"")</f>
        <v/>
      </c>
      <c r="E389" s="78" t="str">
        <f>IFERROR(UPPER(IF(B389="CPU",VLOOKUP(C389,#REF!,3,0),IF(B389="SINAPI",VLOOKUP(C389,#REF!,3,0),IF(B389="EDIF",VLOOKUP(C389,#REF!,3,0),IF(B389="CPOS",VLOOKUP(C389,#REF!,4,0),IF(B389="FDE",VLOOKUP(C389,#REF!,3,0),IF(B389="INFRA",VLOOKUP(C389,#REF!,3,0),""))))))),"")</f>
        <v/>
      </c>
      <c r="F389" s="936">
        <v>4800</v>
      </c>
      <c r="G389" s="985" t="str">
        <f>IFERROR(IF(B389="CPU",VLOOKUP(C389,#REF!,4,0),IF(B389="SINAPI",VLOOKUP(C389,#REF!,5,0),IF(B389="EDIF",VLOOKUP(C389,#REF!,4,0),IF(B389="CPOS",VLOOKUP(C389,#REF!,7,0),IF(B389="FDE",VLOOKUP(C389,#REF!,5,0),IF(B389="INFRA",VLOOKUP(C389,#REF!,4,0),""))))))*VLOOKUP(B389,#REF!,3,0),"")</f>
        <v/>
      </c>
      <c r="H389" s="986">
        <v>0.25</v>
      </c>
      <c r="I389" s="987" t="str">
        <f t="shared" si="24"/>
        <v/>
      </c>
      <c r="J389" s="988">
        <v>52920</v>
      </c>
      <c r="K389" s="52"/>
      <c r="L389" s="940"/>
    </row>
    <row r="390" spans="1:12" s="25" customFormat="1" ht="27" customHeight="1">
      <c r="A390" s="933" t="s">
        <v>5925</v>
      </c>
      <c r="B390" s="933" t="s">
        <v>1479</v>
      </c>
      <c r="C390" s="934" t="s">
        <v>5926</v>
      </c>
      <c r="D390" s="984" t="str">
        <f>IFERROR(UPPER(IF(B390="CPU",VLOOKUP(C390,#REF!,2,0),IF(B390="SINAPI",VLOOKUP(C390,#REF!,2,0),IF(B390="EDIF",VLOOKUP(C390,#REF!,2,0),IF(B390="CPOS",VLOOKUP(C390,#REF!,3,0),IF(B390="FDE",VLOOKUP(C390,#REF!,2,0),IF(B390="INFRA",VLOOKUP(C390,#REF!,2,0),""))))))),"")</f>
        <v/>
      </c>
      <c r="E390" s="78" t="str">
        <f>IFERROR(UPPER(IF(B390="CPU",VLOOKUP(C390,#REF!,3,0),IF(B390="SINAPI",VLOOKUP(C390,#REF!,3,0),IF(B390="EDIF",VLOOKUP(C390,#REF!,3,0),IF(B390="CPOS",VLOOKUP(C390,#REF!,4,0),IF(B390="FDE",VLOOKUP(C390,#REF!,3,0),IF(B390="INFRA",VLOOKUP(C390,#REF!,3,0),""))))))),"")</f>
        <v/>
      </c>
      <c r="F390" s="936">
        <v>1000</v>
      </c>
      <c r="G390" s="985" t="str">
        <f>IFERROR(IF(B390="CPU",VLOOKUP(C390,#REF!,4,0),IF(B390="SINAPI",VLOOKUP(C390,#REF!,5,0),IF(B390="EDIF",VLOOKUP(C390,#REF!,4,0),IF(B390="CPOS",VLOOKUP(C390,#REF!,7,0),IF(B390="FDE",VLOOKUP(C390,#REF!,5,0),IF(B390="INFRA",VLOOKUP(C390,#REF!,4,0),""))))))*VLOOKUP(B390,#REF!,3,0),"")</f>
        <v/>
      </c>
      <c r="H390" s="986">
        <v>0.25</v>
      </c>
      <c r="I390" s="987" t="str">
        <f t="shared" si="24"/>
        <v/>
      </c>
      <c r="J390" s="988">
        <v>14312.5</v>
      </c>
      <c r="K390" s="52"/>
      <c r="L390" s="940"/>
    </row>
    <row r="391" spans="1:12" s="25" customFormat="1" ht="27" customHeight="1">
      <c r="A391" s="933" t="s">
        <v>5927</v>
      </c>
      <c r="B391" s="933" t="s">
        <v>1479</v>
      </c>
      <c r="C391" s="934" t="s">
        <v>5928</v>
      </c>
      <c r="D391" s="984" t="str">
        <f>IFERROR(UPPER(IF(B391="CPU",VLOOKUP(C391,#REF!,2,0),IF(B391="SINAPI",VLOOKUP(C391,#REF!,2,0),IF(B391="EDIF",VLOOKUP(C391,#REF!,2,0),IF(B391="CPOS",VLOOKUP(C391,#REF!,3,0),IF(B391="FDE",VLOOKUP(C391,#REF!,2,0),IF(B391="INFRA",VLOOKUP(C391,#REF!,2,0),""))))))),"")</f>
        <v/>
      </c>
      <c r="E391" s="78" t="str">
        <f>IFERROR(UPPER(IF(B391="CPU",VLOOKUP(C391,#REF!,3,0),IF(B391="SINAPI",VLOOKUP(C391,#REF!,3,0),IF(B391="EDIF",VLOOKUP(C391,#REF!,3,0),IF(B391="CPOS",VLOOKUP(C391,#REF!,4,0),IF(B391="FDE",VLOOKUP(C391,#REF!,3,0),IF(B391="INFRA",VLOOKUP(C391,#REF!,3,0),""))))))),"")</f>
        <v/>
      </c>
      <c r="F391" s="936">
        <v>14000</v>
      </c>
      <c r="G391" s="985" t="str">
        <f>IFERROR(IF(B391="CPU",VLOOKUP(C391,#REF!,4,0),IF(B391="SINAPI",VLOOKUP(C391,#REF!,5,0),IF(B391="EDIF",VLOOKUP(C391,#REF!,4,0),IF(B391="CPOS",VLOOKUP(C391,#REF!,7,0),IF(B391="FDE",VLOOKUP(C391,#REF!,5,0),IF(B391="INFRA",VLOOKUP(C391,#REF!,4,0),""))))))*VLOOKUP(B391,#REF!,3,0),"")</f>
        <v/>
      </c>
      <c r="H391" s="986">
        <v>0.25</v>
      </c>
      <c r="I391" s="987" t="str">
        <f t="shared" si="24"/>
        <v/>
      </c>
      <c r="J391" s="988">
        <v>131600</v>
      </c>
      <c r="K391" s="52"/>
      <c r="L391" s="940"/>
    </row>
    <row r="392" spans="1:12" s="25" customFormat="1" ht="27" customHeight="1">
      <c r="A392" s="1015"/>
      <c r="B392" s="933"/>
      <c r="C392" s="1023"/>
      <c r="D392" s="984"/>
      <c r="E392" s="78"/>
      <c r="F392" s="936"/>
      <c r="G392" s="985"/>
      <c r="H392" s="986"/>
      <c r="I392" s="987"/>
      <c r="J392" s="988"/>
      <c r="K392" s="52"/>
      <c r="L392" s="940"/>
    </row>
    <row r="393" spans="1:12" s="25" customFormat="1" ht="27" customHeight="1">
      <c r="A393" s="975" t="s">
        <v>5929</v>
      </c>
      <c r="B393" s="976"/>
      <c r="C393" s="976"/>
      <c r="D393" s="977" t="s">
        <v>5930</v>
      </c>
      <c r="E393" s="978" t="str">
        <f>IFERROR(UPPER(IF(B393="CPU",VLOOKUP(C393,#REF!,3,0),IF(B393="SINAPI",VLOOKUP(C393,#REF!,3,0),IF(B393="EDIF",VLOOKUP(C393,#REF!,3,0),IF(B393="CPOS",VLOOKUP(C393,#REF!,4,0),IF(B393="FDE",VLOOKUP(C393,#REF!,3,0),IF(B393="INFRA",VLOOKUP(C393,#REF!,3,0),""))))))),"")</f>
        <v/>
      </c>
      <c r="F393" s="979"/>
      <c r="G393" s="980" t="str">
        <f>IFERROR(IF(B393="CPU",VLOOKUP(C393,#REF!,4,0),IF(B393="SINAPI",VLOOKUP(C393,#REF!,5,0),IF(B393="EDIF",VLOOKUP(C393,#REF!,4,0),IF(B393="CPOS",VLOOKUP(C393,#REF!,7,0),IF(B393="FDE",VLOOKUP(C393,#REF!,5,0),IF(B393="INFRA",VLOOKUP(C393,#REF!,4,0),""))))))*VLOOKUP(B393,#REF!,3,0),"")</f>
        <v/>
      </c>
      <c r="H393" s="979"/>
      <c r="I393" s="981">
        <f>SUM(I394:I395)</f>
        <v>0</v>
      </c>
      <c r="J393" s="988"/>
      <c r="K393" s="52"/>
      <c r="L393" s="940"/>
    </row>
    <row r="394" spans="1:12" s="25" customFormat="1" ht="27" customHeight="1">
      <c r="A394" s="933" t="s">
        <v>5931</v>
      </c>
      <c r="B394" s="933" t="s">
        <v>1479</v>
      </c>
      <c r="C394" s="934" t="s">
        <v>5932</v>
      </c>
      <c r="D394" s="984" t="str">
        <f>IFERROR(UPPER(IF(B394="CPU",VLOOKUP(C394,#REF!,2,0),IF(B394="SINAPI",VLOOKUP(C394,#REF!,2,0),IF(B394="EDIF",VLOOKUP(C394,#REF!,2,0),IF(B394="CPOS",VLOOKUP(C394,#REF!,3,0),IF(B394="FDE",VLOOKUP(C394,#REF!,2,0),IF(B394="INFRA",VLOOKUP(C394,#REF!,2,0),""))))))),"")</f>
        <v/>
      </c>
      <c r="E394" s="78" t="str">
        <f>IFERROR(UPPER(IF(B394="CPU",VLOOKUP(C394,#REF!,3,0),IF(B394="SINAPI",VLOOKUP(C394,#REF!,3,0),IF(B394="EDIF",VLOOKUP(C394,#REF!,3,0),IF(B394="CPOS",VLOOKUP(C394,#REF!,4,0),IF(B394="FDE",VLOOKUP(C394,#REF!,3,0),IF(B394="INFRA",VLOOKUP(C394,#REF!,3,0),""))))))),"")</f>
        <v/>
      </c>
      <c r="F394" s="936">
        <v>16000</v>
      </c>
      <c r="G394" s="985" t="str">
        <f>IFERROR(IF(B394="CPU",VLOOKUP(C394,#REF!,4,0),IF(B394="SINAPI",VLOOKUP(C394,#REF!,5,0),IF(B394="EDIF",VLOOKUP(C394,#REF!,4,0),IF(B394="CPOS",VLOOKUP(C394,#REF!,7,0),IF(B394="FDE",VLOOKUP(C394,#REF!,5,0),IF(B394="INFRA",VLOOKUP(C394,#REF!,4,0),""))))))*VLOOKUP(B394,#REF!,3,0),"")</f>
        <v/>
      </c>
      <c r="H394" s="986">
        <v>0.25</v>
      </c>
      <c r="I394" s="987" t="str">
        <f>IFERROR(F394*((G394*(1+H394))),"")</f>
        <v/>
      </c>
      <c r="J394" s="988">
        <v>266000</v>
      </c>
      <c r="K394" s="52"/>
      <c r="L394" s="940"/>
    </row>
    <row r="395" spans="1:12" s="25" customFormat="1" ht="27" customHeight="1">
      <c r="A395" s="933" t="s">
        <v>5933</v>
      </c>
      <c r="B395" s="933" t="s">
        <v>1479</v>
      </c>
      <c r="C395" s="934" t="s">
        <v>5934</v>
      </c>
      <c r="D395" s="984" t="str">
        <f>IFERROR(UPPER(IF(B395="CPU",VLOOKUP(C395,#REF!,2,0),IF(B395="SINAPI",VLOOKUP(C395,#REF!,2,0),IF(B395="EDIF",VLOOKUP(C395,#REF!,2,0),IF(B395="CPOS",VLOOKUP(C395,#REF!,3,0),IF(B395="FDE",VLOOKUP(C395,#REF!,2,0),IF(B395="INFRA",VLOOKUP(C395,#REF!,2,0),""))))))),"")</f>
        <v/>
      </c>
      <c r="E395" s="78" t="str">
        <f>IFERROR(UPPER(IF(B395="CPU",VLOOKUP(C395,#REF!,3,0),IF(B395="SINAPI",VLOOKUP(C395,#REF!,3,0),IF(B395="EDIF",VLOOKUP(C395,#REF!,3,0),IF(B395="CPOS",VLOOKUP(C395,#REF!,4,0),IF(B395="FDE",VLOOKUP(C395,#REF!,3,0),IF(B395="INFRA",VLOOKUP(C395,#REF!,3,0),""))))))),"")</f>
        <v/>
      </c>
      <c r="F395" s="936">
        <v>400</v>
      </c>
      <c r="G395" s="985" t="str">
        <f>IFERROR(IF(B395="CPU",VLOOKUP(C395,#REF!,4,0),IF(B395="SINAPI",VLOOKUP(C395,#REF!,5,0),IF(B395="EDIF",VLOOKUP(C395,#REF!,4,0),IF(B395="CPOS",VLOOKUP(C395,#REF!,7,0),IF(B395="FDE",VLOOKUP(C395,#REF!,5,0),IF(B395="INFRA",VLOOKUP(C395,#REF!,4,0),""))))))*VLOOKUP(B395,#REF!,3,0),"")</f>
        <v/>
      </c>
      <c r="H395" s="986">
        <v>0.25</v>
      </c>
      <c r="I395" s="987" t="str">
        <f>IFERROR(F395*((G395*(1+H395))),"")</f>
        <v/>
      </c>
      <c r="J395" s="988">
        <v>16375</v>
      </c>
      <c r="K395" s="52"/>
      <c r="L395" s="940"/>
    </row>
    <row r="396" spans="1:12" s="25" customFormat="1" ht="27" customHeight="1">
      <c r="A396" s="1015"/>
      <c r="B396" s="933"/>
      <c r="C396" s="1035"/>
      <c r="D396" s="984"/>
      <c r="E396" s="78"/>
      <c r="F396" s="936"/>
      <c r="G396" s="985"/>
      <c r="H396" s="986"/>
      <c r="I396" s="987"/>
      <c r="J396" s="988"/>
      <c r="K396" s="52"/>
      <c r="L396" s="940"/>
    </row>
    <row r="397" spans="1:12" s="25" customFormat="1" ht="27" customHeight="1">
      <c r="A397" s="975" t="s">
        <v>5935</v>
      </c>
      <c r="B397" s="976"/>
      <c r="C397" s="976"/>
      <c r="D397" s="977" t="s">
        <v>5936</v>
      </c>
      <c r="E397" s="978" t="str">
        <f>IFERROR(UPPER(IF(B397="CPU",VLOOKUP(C397,#REF!,3,0),IF(B397="SINAPI",VLOOKUP(C397,#REF!,3,0),IF(B397="EDIF",VLOOKUP(C397,#REF!,3,0),IF(B397="CPOS",VLOOKUP(C397,#REF!,4,0),IF(B397="FDE",VLOOKUP(C397,#REF!,3,0),IF(B397="INFRA",VLOOKUP(C397,#REF!,3,0),""))))))),"")</f>
        <v/>
      </c>
      <c r="F397" s="979"/>
      <c r="G397" s="980" t="str">
        <f>IFERROR(IF(B397="CPU",VLOOKUP(C397,#REF!,4,0),IF(B397="SINAPI",VLOOKUP(C397,#REF!,5,0),IF(B397="EDIF",VLOOKUP(C397,#REF!,4,0),IF(B397="CPOS",VLOOKUP(C397,#REF!,7,0),IF(B397="FDE",VLOOKUP(C397,#REF!,5,0),IF(B397="INFRA",VLOOKUP(C397,#REF!,4,0),""))))))*VLOOKUP(B397,#REF!,3,0),"")</f>
        <v/>
      </c>
      <c r="H397" s="979"/>
      <c r="I397" s="981">
        <f>SUM(I398)</f>
        <v>0</v>
      </c>
      <c r="J397" s="988"/>
      <c r="K397" s="52"/>
      <c r="L397" s="940"/>
    </row>
    <row r="398" spans="1:12" ht="27" customHeight="1">
      <c r="A398" s="933" t="s">
        <v>5937</v>
      </c>
      <c r="B398" s="933" t="s">
        <v>1479</v>
      </c>
      <c r="C398" s="934" t="s">
        <v>5938</v>
      </c>
      <c r="D398" s="984" t="str">
        <f>IFERROR(UPPER(IF(B398="CPU",VLOOKUP(C398,#REF!,2,0),IF(B398="SINAPI",VLOOKUP(C398,#REF!,2,0),IF(B398="EDIF",VLOOKUP(C398,#REF!,2,0),IF(B398="CPOS",VLOOKUP(C398,#REF!,3,0),IF(B398="FDE",VLOOKUP(C398,#REF!,2,0),IF(B398="INFRA",VLOOKUP(C398,#REF!,2,0),""))))))),"")</f>
        <v/>
      </c>
      <c r="E398" s="78" t="str">
        <f>IFERROR(UPPER(IF(B398="CPU",VLOOKUP(C398,#REF!,3,0),IF(B398="SINAPI",VLOOKUP(C398,#REF!,3,0),IF(B398="EDIF",VLOOKUP(C398,#REF!,3,0),IF(B398="CPOS",VLOOKUP(C398,#REF!,4,0),IF(B398="FDE",VLOOKUP(C398,#REF!,3,0),IF(B398="INFRA",VLOOKUP(C398,#REF!,3,0),""))))))),"")</f>
        <v/>
      </c>
      <c r="F398" s="936">
        <v>800</v>
      </c>
      <c r="G398" s="985" t="str">
        <f>IFERROR(IF(B398="CPU",VLOOKUP(C398,#REF!,4,0),IF(B398="SINAPI",VLOOKUP(C398,#REF!,5,0),IF(B398="EDIF",VLOOKUP(C398,#REF!,4,0),IF(B398="CPOS",VLOOKUP(C398,#REF!,7,0),IF(B398="FDE",VLOOKUP(C398,#REF!,5,0),IF(B398="INFRA",VLOOKUP(C398,#REF!,4,0),""))))))*VLOOKUP(B398,#REF!,3,0),"")</f>
        <v/>
      </c>
      <c r="H398" s="986">
        <v>0.25</v>
      </c>
      <c r="I398" s="987" t="str">
        <f>IFERROR(F398*((G398*(1+H398))),"")</f>
        <v/>
      </c>
      <c r="J398" s="988">
        <v>11860</v>
      </c>
      <c r="K398" s="52"/>
      <c r="L398" s="940"/>
    </row>
    <row r="399" spans="1:12" ht="27" customHeight="1">
      <c r="A399" s="1015"/>
      <c r="B399" s="933"/>
      <c r="C399" s="934"/>
      <c r="D399" s="984"/>
      <c r="E399" s="78"/>
      <c r="F399" s="936"/>
      <c r="G399" s="985"/>
      <c r="H399" s="986"/>
      <c r="I399" s="987"/>
      <c r="J399" s="988"/>
      <c r="K399" s="52"/>
      <c r="L399" s="940"/>
    </row>
    <row r="400" spans="1:12" ht="27" customHeight="1">
      <c r="A400" s="975" t="s">
        <v>5939</v>
      </c>
      <c r="B400" s="976"/>
      <c r="C400" s="976"/>
      <c r="D400" s="977" t="s">
        <v>5940</v>
      </c>
      <c r="E400" s="978" t="str">
        <f>IFERROR(UPPER(IF(B400="CPU",VLOOKUP(C400,#REF!,3,0),IF(B400="SINAPI",VLOOKUP(C400,#REF!,3,0),IF(B400="EDIF",VLOOKUP(C400,#REF!,3,0),IF(B400="CPOS",VLOOKUP(C400,#REF!,4,0),IF(B400="FDE",VLOOKUP(C400,#REF!,3,0),IF(B400="INFRA",VLOOKUP(C400,#REF!,3,0),""))))))),"")</f>
        <v/>
      </c>
      <c r="F400" s="979"/>
      <c r="G400" s="980" t="str">
        <f>IFERROR(IF(B400="CPU",VLOOKUP(C400,#REF!,4,0),IF(B400="SINAPI",VLOOKUP(C400,#REF!,5,0),IF(B400="EDIF",VLOOKUP(C400,#REF!,4,0),IF(B400="CPOS",VLOOKUP(C400,#REF!,7,0),IF(B400="FDE",VLOOKUP(C400,#REF!,5,0),IF(B400="INFRA",VLOOKUP(C400,#REF!,4,0),""))))))*VLOOKUP(B400,#REF!,3,0),"")</f>
        <v/>
      </c>
      <c r="H400" s="979"/>
      <c r="I400" s="981">
        <f>SUM(I401)</f>
        <v>0</v>
      </c>
      <c r="J400" s="988"/>
      <c r="K400" s="52"/>
      <c r="L400" s="940"/>
    </row>
    <row r="401" spans="1:12" ht="27" customHeight="1">
      <c r="A401" s="933" t="s">
        <v>5941</v>
      </c>
      <c r="B401" s="933" t="s">
        <v>1479</v>
      </c>
      <c r="C401" s="934" t="s">
        <v>5928</v>
      </c>
      <c r="D401" s="984" t="str">
        <f>IFERROR(UPPER(IF(B401="CPU",VLOOKUP(C401,#REF!,2,0),IF(B401="SINAPI",VLOOKUP(C401,#REF!,2,0),IF(B401="EDIF",VLOOKUP(C401,#REF!,2,0),IF(B401="CPOS",VLOOKUP(C401,#REF!,3,0),IF(B401="FDE",VLOOKUP(C401,#REF!,2,0),IF(B401="INFRA",VLOOKUP(C401,#REF!,2,0),""))))))),"")</f>
        <v/>
      </c>
      <c r="E401" s="78" t="str">
        <f>IFERROR(UPPER(IF(B401="CPU",VLOOKUP(C401,#REF!,3,0),IF(B401="SINAPI",VLOOKUP(C401,#REF!,3,0),IF(B401="EDIF",VLOOKUP(C401,#REF!,3,0),IF(B401="CPOS",VLOOKUP(C401,#REF!,4,0),IF(B401="FDE",VLOOKUP(C401,#REF!,3,0),IF(B401="INFRA",VLOOKUP(C401,#REF!,3,0),""))))))),"")</f>
        <v/>
      </c>
      <c r="F401" s="936">
        <v>4000</v>
      </c>
      <c r="G401" s="985" t="str">
        <f>IFERROR(IF(B401="CPU",VLOOKUP(C401,#REF!,4,0),IF(B401="SINAPI",VLOOKUP(C401,#REF!,5,0),IF(B401="EDIF",VLOOKUP(C401,#REF!,4,0),IF(B401="CPOS",VLOOKUP(C401,#REF!,7,0),IF(B401="FDE",VLOOKUP(C401,#REF!,5,0),IF(B401="INFRA",VLOOKUP(C401,#REF!,4,0),""))))))*VLOOKUP(B401,#REF!,3,0),"")</f>
        <v/>
      </c>
      <c r="H401" s="986">
        <v>0.25</v>
      </c>
      <c r="I401" s="987" t="str">
        <f>IFERROR(F401*((G401*(1+H401))),"")</f>
        <v/>
      </c>
      <c r="J401" s="988">
        <v>37600</v>
      </c>
      <c r="K401" s="52"/>
      <c r="L401" s="940"/>
    </row>
    <row r="402" spans="1:12" ht="27" customHeight="1">
      <c r="A402" s="1015"/>
      <c r="B402" s="933"/>
      <c r="C402" s="934"/>
      <c r="D402" s="984"/>
      <c r="E402" s="78"/>
      <c r="F402" s="936"/>
      <c r="G402" s="985"/>
      <c r="H402" s="986"/>
      <c r="I402" s="987"/>
      <c r="J402" s="988"/>
      <c r="K402" s="52"/>
      <c r="L402" s="940"/>
    </row>
    <row r="403" spans="1:12" ht="27" customHeight="1">
      <c r="A403" s="975" t="s">
        <v>5942</v>
      </c>
      <c r="B403" s="976"/>
      <c r="C403" s="976"/>
      <c r="D403" s="977" t="s">
        <v>5943</v>
      </c>
      <c r="E403" s="978" t="str">
        <f>IFERROR(UPPER(IF(B403="CPU",VLOOKUP(C403,#REF!,3,0),IF(B403="SINAPI",VLOOKUP(C403,#REF!,3,0),IF(B403="EDIF",VLOOKUP(C403,#REF!,3,0),IF(B403="CPOS",VLOOKUP(C403,#REF!,4,0),IF(B403="FDE",VLOOKUP(C403,#REF!,3,0),IF(B403="INFRA",VLOOKUP(C403,#REF!,3,0),""))))))),"")</f>
        <v/>
      </c>
      <c r="F403" s="979"/>
      <c r="G403" s="980" t="str">
        <f>IFERROR(IF(B403="CPU",VLOOKUP(C403,#REF!,4,0),IF(B403="SINAPI",VLOOKUP(C403,#REF!,5,0),IF(B403="EDIF",VLOOKUP(C403,#REF!,4,0),IF(B403="CPOS",VLOOKUP(C403,#REF!,7,0),IF(B403="FDE",VLOOKUP(C403,#REF!,5,0),IF(B403="INFRA",VLOOKUP(C403,#REF!,4,0),""))))))*VLOOKUP(B403,#REF!,3,0),"")</f>
        <v/>
      </c>
      <c r="H403" s="979"/>
      <c r="I403" s="981">
        <f>SUM(I404:I406)</f>
        <v>0</v>
      </c>
      <c r="J403" s="988"/>
      <c r="K403" s="52"/>
      <c r="L403" s="940"/>
    </row>
    <row r="404" spans="1:12" ht="27" customHeight="1">
      <c r="A404" s="933" t="s">
        <v>5944</v>
      </c>
      <c r="B404" s="933" t="s">
        <v>1479</v>
      </c>
      <c r="C404" s="934" t="s">
        <v>5928</v>
      </c>
      <c r="D404" s="984" t="str">
        <f>IFERROR(UPPER(IF(B404="CPU",VLOOKUP(C404,#REF!,2,0),IF(B404="SINAPI",VLOOKUP(C404,#REF!,2,0),IF(B404="EDIF",VLOOKUP(C404,#REF!,2,0),IF(B404="CPOS",VLOOKUP(C404,#REF!,3,0),IF(B404="FDE",VLOOKUP(C404,#REF!,2,0),IF(B404="INFRA",VLOOKUP(C404,#REF!,2,0),""))))))),"")</f>
        <v/>
      </c>
      <c r="E404" s="78" t="str">
        <f>IFERROR(UPPER(IF(B404="CPU",VLOOKUP(C404,#REF!,3,0),IF(B404="SINAPI",VLOOKUP(C404,#REF!,3,0),IF(B404="EDIF",VLOOKUP(C404,#REF!,3,0),IF(B404="CPOS",VLOOKUP(C404,#REF!,4,0),IF(B404="FDE",VLOOKUP(C404,#REF!,3,0),IF(B404="INFRA",VLOOKUP(C404,#REF!,3,0),""))))))),"")</f>
        <v/>
      </c>
      <c r="F404" s="936">
        <v>1000</v>
      </c>
      <c r="G404" s="985" t="str">
        <f>IFERROR(IF(B404="CPU",VLOOKUP(C404,#REF!,4,0),IF(B404="SINAPI",VLOOKUP(C404,#REF!,5,0),IF(B404="EDIF",VLOOKUP(C404,#REF!,4,0),IF(B404="CPOS",VLOOKUP(C404,#REF!,7,0),IF(B404="FDE",VLOOKUP(C404,#REF!,5,0),IF(B404="INFRA",VLOOKUP(C404,#REF!,4,0),""))))))*VLOOKUP(B404,#REF!,3,0),"")</f>
        <v/>
      </c>
      <c r="H404" s="986">
        <v>0.25</v>
      </c>
      <c r="I404" s="987" t="str">
        <f>IFERROR(F404*((G404*(1+H404))),"")</f>
        <v/>
      </c>
      <c r="J404" s="988">
        <v>9400</v>
      </c>
      <c r="K404" s="52"/>
      <c r="L404" s="940"/>
    </row>
    <row r="405" spans="1:12" ht="27" customHeight="1">
      <c r="A405" s="933" t="s">
        <v>5945</v>
      </c>
      <c r="B405" s="933" t="s">
        <v>1479</v>
      </c>
      <c r="C405" s="934" t="s">
        <v>5946</v>
      </c>
      <c r="D405" s="984" t="str">
        <f>IFERROR(UPPER(IF(B405="CPU",VLOOKUP(C405,#REF!,2,0),IF(B405="SINAPI",VLOOKUP(C405,#REF!,2,0),IF(B405="EDIF",VLOOKUP(C405,#REF!,2,0),IF(B405="CPOS",VLOOKUP(C405,#REF!,3,0),IF(B405="FDE",VLOOKUP(C405,#REF!,2,0),IF(B405="INFRA",VLOOKUP(C405,#REF!,2,0),""))))))),"")</f>
        <v/>
      </c>
      <c r="E405" s="78" t="str">
        <f>IFERROR(UPPER(IF(B405="CPU",VLOOKUP(C405,#REF!,3,0),IF(B405="SINAPI",VLOOKUP(C405,#REF!,3,0),IF(B405="EDIF",VLOOKUP(C405,#REF!,3,0),IF(B405="CPOS",VLOOKUP(C405,#REF!,4,0),IF(B405="FDE",VLOOKUP(C405,#REF!,3,0),IF(B405="INFRA",VLOOKUP(C405,#REF!,3,0),""))))))),"")</f>
        <v/>
      </c>
      <c r="F405" s="936">
        <v>800</v>
      </c>
      <c r="G405" s="985" t="str">
        <f>IFERROR(IF(B405="CPU",VLOOKUP(C405,#REF!,4,0),IF(B405="SINAPI",VLOOKUP(C405,#REF!,5,0),IF(B405="EDIF",VLOOKUP(C405,#REF!,4,0),IF(B405="CPOS",VLOOKUP(C405,#REF!,7,0),IF(B405="FDE",VLOOKUP(C405,#REF!,5,0),IF(B405="INFRA",VLOOKUP(C405,#REF!,4,0),""))))))*VLOOKUP(B405,#REF!,3,0),"")</f>
        <v/>
      </c>
      <c r="H405" s="986">
        <v>0.25</v>
      </c>
      <c r="I405" s="987" t="str">
        <f>IFERROR(F405*((G405*(1+H405))),"")</f>
        <v/>
      </c>
      <c r="J405" s="988">
        <v>6310</v>
      </c>
      <c r="K405" s="52"/>
      <c r="L405" s="940"/>
    </row>
    <row r="406" spans="1:12" ht="27" customHeight="1">
      <c r="A406" s="933" t="s">
        <v>5947</v>
      </c>
      <c r="B406" s="933" t="s">
        <v>1479</v>
      </c>
      <c r="C406" s="934" t="s">
        <v>5948</v>
      </c>
      <c r="D406" s="984" t="str">
        <f>IFERROR(UPPER(IF(B406="CPU",VLOOKUP(C406,#REF!,2,0),IF(B406="SINAPI",VLOOKUP(C406,#REF!,2,0),IF(B406="EDIF",VLOOKUP(C406,#REF!,2,0),IF(B406="CPOS",VLOOKUP(C406,#REF!,3,0),IF(B406="FDE",VLOOKUP(C406,#REF!,2,0),IF(B406="INFRA",VLOOKUP(C406,#REF!,2,0),""))))))),"")</f>
        <v/>
      </c>
      <c r="E406" s="78" t="str">
        <f>IFERROR(UPPER(IF(B406="CPU",VLOOKUP(C406,#REF!,3,0),IF(B406="SINAPI",VLOOKUP(C406,#REF!,3,0),IF(B406="EDIF",VLOOKUP(C406,#REF!,3,0),IF(B406="CPOS",VLOOKUP(C406,#REF!,4,0),IF(B406="FDE",VLOOKUP(C406,#REF!,3,0),IF(B406="INFRA",VLOOKUP(C406,#REF!,3,0),""))))))),"")</f>
        <v/>
      </c>
      <c r="F406" s="936">
        <v>800</v>
      </c>
      <c r="G406" s="985" t="str">
        <f>IFERROR(IF(B406="CPU",VLOOKUP(C406,#REF!,4,0),IF(B406="SINAPI",VLOOKUP(C406,#REF!,5,0),IF(B406="EDIF",VLOOKUP(C406,#REF!,4,0),IF(B406="CPOS",VLOOKUP(C406,#REF!,7,0),IF(B406="FDE",VLOOKUP(C406,#REF!,5,0),IF(B406="INFRA",VLOOKUP(C406,#REF!,4,0),""))))))*VLOOKUP(B406,#REF!,3,0),"")</f>
        <v/>
      </c>
      <c r="H406" s="986">
        <v>0.25</v>
      </c>
      <c r="I406" s="987" t="str">
        <f>IFERROR(F406*((G406*(1+H406))),"")</f>
        <v/>
      </c>
      <c r="J406" s="988">
        <v>4950</v>
      </c>
      <c r="K406" s="52"/>
      <c r="L406" s="940"/>
    </row>
    <row r="407" spans="1:12" s="25" customFormat="1" ht="27" customHeight="1">
      <c r="A407" s="1015"/>
      <c r="B407" s="933"/>
      <c r="C407" s="934"/>
      <c r="D407" s="984"/>
      <c r="E407" s="78"/>
      <c r="F407" s="936"/>
      <c r="G407" s="985"/>
      <c r="H407" s="986"/>
      <c r="I407" s="987"/>
      <c r="J407" s="988"/>
      <c r="K407" s="52"/>
      <c r="L407" s="940"/>
    </row>
    <row r="408" spans="1:12" s="25" customFormat="1" ht="27" customHeight="1">
      <c r="A408" s="975" t="s">
        <v>5949</v>
      </c>
      <c r="B408" s="976"/>
      <c r="C408" s="976"/>
      <c r="D408" s="977" t="s">
        <v>5950</v>
      </c>
      <c r="E408" s="978" t="str">
        <f>IFERROR(UPPER(IF(B408="CPU",VLOOKUP(C408,#REF!,3,0),IF(B408="SINAPI",VLOOKUP(C408,#REF!,3,0),IF(B408="EDIF",VLOOKUP(C408,#REF!,3,0),IF(B408="CPOS",VLOOKUP(C408,#REF!,4,0),IF(B408="FDE",VLOOKUP(C408,#REF!,3,0),IF(B408="INFRA",VLOOKUP(C408,#REF!,3,0),""))))))),"")</f>
        <v/>
      </c>
      <c r="F408" s="979"/>
      <c r="G408" s="980" t="str">
        <f>IFERROR(IF(B408="CPU",VLOOKUP(C408,#REF!,4,0),IF(B408="SINAPI",VLOOKUP(C408,#REF!,5,0),IF(B408="EDIF",VLOOKUP(C408,#REF!,4,0),IF(B408="CPOS",VLOOKUP(C408,#REF!,7,0),IF(B408="FDE",VLOOKUP(C408,#REF!,5,0),IF(B408="INFRA",VLOOKUP(C408,#REF!,4,0),""))))))*VLOOKUP(B408,#REF!,3,0),"")</f>
        <v/>
      </c>
      <c r="H408" s="979"/>
      <c r="I408" s="981">
        <f>SUM(I409)</f>
        <v>0</v>
      </c>
      <c r="J408" s="988"/>
      <c r="K408" s="52"/>
      <c r="L408" s="940"/>
    </row>
    <row r="409" spans="1:12" s="25" customFormat="1" ht="27" customHeight="1">
      <c r="A409" s="933" t="s">
        <v>5951</v>
      </c>
      <c r="B409" s="933" t="s">
        <v>1479</v>
      </c>
      <c r="C409" s="934" t="s">
        <v>5938</v>
      </c>
      <c r="D409" s="984" t="str">
        <f>IFERROR(UPPER(IF(B409="CPU",VLOOKUP(C409,#REF!,2,0),IF(B409="SINAPI",VLOOKUP(C409,#REF!,2,0),IF(B409="EDIF",VLOOKUP(C409,#REF!,2,0),IF(B409="CPOS",VLOOKUP(C409,#REF!,3,0),IF(B409="FDE",VLOOKUP(C409,#REF!,2,0),IF(B409="INFRA",VLOOKUP(C409,#REF!,2,0),""))))))),"")</f>
        <v/>
      </c>
      <c r="E409" s="78" t="str">
        <f>IFERROR(UPPER(IF(B409="CPU",VLOOKUP(C409,#REF!,3,0),IF(B409="SINAPI",VLOOKUP(C409,#REF!,3,0),IF(B409="EDIF",VLOOKUP(C409,#REF!,3,0),IF(B409="CPOS",VLOOKUP(C409,#REF!,4,0),IF(B409="FDE",VLOOKUP(C409,#REF!,3,0),IF(B409="INFRA",VLOOKUP(C409,#REF!,3,0),""))))))),"")</f>
        <v/>
      </c>
      <c r="F409" s="936">
        <v>500</v>
      </c>
      <c r="G409" s="985" t="str">
        <f>IFERROR(IF(B409="CPU",VLOOKUP(C409,#REF!,4,0),IF(B409="SINAPI",VLOOKUP(C409,#REF!,5,0),IF(B409="EDIF",VLOOKUP(C409,#REF!,4,0),IF(B409="CPOS",VLOOKUP(C409,#REF!,7,0),IF(B409="FDE",VLOOKUP(C409,#REF!,5,0),IF(B409="INFRA",VLOOKUP(C409,#REF!,4,0),""))))))*VLOOKUP(B409,#REF!,3,0),"")</f>
        <v/>
      </c>
      <c r="H409" s="986">
        <v>0.25</v>
      </c>
      <c r="I409" s="987" t="str">
        <f>IFERROR(F409*((G409*(1+H409))),"")</f>
        <v/>
      </c>
      <c r="J409" s="988">
        <v>7412.5</v>
      </c>
      <c r="K409" s="52"/>
      <c r="L409" s="940"/>
    </row>
    <row r="410" spans="1:12" s="25" customFormat="1" ht="27" customHeight="1">
      <c r="A410" s="1015"/>
      <c r="B410" s="933"/>
      <c r="C410" s="1023"/>
      <c r="D410" s="984"/>
      <c r="E410" s="78"/>
      <c r="F410" s="936"/>
      <c r="G410" s="985"/>
      <c r="H410" s="986"/>
      <c r="I410" s="987"/>
      <c r="J410" s="988"/>
      <c r="K410" s="52"/>
      <c r="L410" s="940"/>
    </row>
    <row r="411" spans="1:12" s="25" customFormat="1" ht="27" customHeight="1">
      <c r="A411" s="975" t="s">
        <v>5952</v>
      </c>
      <c r="B411" s="976"/>
      <c r="C411" s="976"/>
      <c r="D411" s="977" t="s">
        <v>5565</v>
      </c>
      <c r="E411" s="978" t="str">
        <f>IFERROR(UPPER(IF(B411="CPU",VLOOKUP(C411,#REF!,3,0),IF(B411="SINAPI",VLOOKUP(C411,#REF!,3,0),IF(B411="EDIF",VLOOKUP(C411,#REF!,3,0),IF(B411="CPOS",VLOOKUP(C411,#REF!,4,0),IF(B411="FDE",VLOOKUP(C411,#REF!,3,0),IF(B411="INFRA",VLOOKUP(C411,#REF!,3,0),""))))))),"")</f>
        <v/>
      </c>
      <c r="F411" s="979"/>
      <c r="G411" s="980" t="str">
        <f>IFERROR(IF(B411="CPU",VLOOKUP(C411,#REF!,4,0),IF(B411="SINAPI",VLOOKUP(C411,#REF!,5,0),IF(B411="EDIF",VLOOKUP(C411,#REF!,4,0),IF(B411="CPOS",VLOOKUP(C411,#REF!,7,0),IF(B411="FDE",VLOOKUP(C411,#REF!,5,0),IF(B411="INFRA",VLOOKUP(C411,#REF!,4,0),""))))))*VLOOKUP(B411,#REF!,3,0),"")</f>
        <v/>
      </c>
      <c r="H411" s="979"/>
      <c r="I411" s="981">
        <f>SUM(I412:I414)</f>
        <v>333499.77500000002</v>
      </c>
      <c r="J411" s="988"/>
      <c r="K411" s="52"/>
      <c r="L411" s="940"/>
    </row>
    <row r="412" spans="1:12" s="25" customFormat="1" ht="27" customHeight="1">
      <c r="A412" s="933" t="s">
        <v>5953</v>
      </c>
      <c r="B412" s="933" t="s">
        <v>5543</v>
      </c>
      <c r="C412" s="934"/>
      <c r="D412" s="984" t="s">
        <v>5954</v>
      </c>
      <c r="E412" s="78" t="s">
        <v>2050</v>
      </c>
      <c r="F412" s="936">
        <v>1</v>
      </c>
      <c r="G412" s="985">
        <v>266799.82</v>
      </c>
      <c r="H412" s="986">
        <v>0.25</v>
      </c>
      <c r="I412" s="987">
        <f>IFERROR(F412*((G412*(1+H412))),"")</f>
        <v>333499.77500000002</v>
      </c>
      <c r="J412" s="988">
        <v>333499.77500000002</v>
      </c>
      <c r="K412" s="52"/>
      <c r="L412" s="940"/>
    </row>
    <row r="413" spans="1:12" s="25" customFormat="1" ht="27" customHeight="1">
      <c r="A413" s="933" t="s">
        <v>5955</v>
      </c>
      <c r="B413" s="933" t="s">
        <v>1479</v>
      </c>
      <c r="C413" s="934" t="s">
        <v>5956</v>
      </c>
      <c r="D413" s="984" t="str">
        <f>IFERROR(UPPER(IF(B413="CPU",VLOOKUP(C413,#REF!,2,0),IF(B413="SINAPI",VLOOKUP(C413,#REF!,2,0),IF(B413="EDIF",VLOOKUP(C413,#REF!,2,0),IF(B413="CPOS",VLOOKUP(C413,#REF!,3,0),IF(B413="FDE",VLOOKUP(C413,#REF!,2,0),IF(B413="INFRA",VLOOKUP(C413,#REF!,2,0),""))))))),"")</f>
        <v/>
      </c>
      <c r="E413" s="78" t="str">
        <f>IFERROR(UPPER(IF(B413="CPU",VLOOKUP(C413,#REF!,3,0),IF(B413="SINAPI",VLOOKUP(C413,#REF!,3,0),IF(B413="EDIF",VLOOKUP(C413,#REF!,3,0),IF(B413="CPOS",VLOOKUP(C413,#REF!,4,0),IF(B413="FDE",VLOOKUP(C413,#REF!,3,0),IF(B413="INFRA",VLOOKUP(C413,#REF!,3,0),""))))))),"")</f>
        <v/>
      </c>
      <c r="F413" s="936">
        <v>16</v>
      </c>
      <c r="G413" s="985" t="str">
        <f>IFERROR(IF(B413="CPU",VLOOKUP(C413,#REF!,4,0),IF(B413="SINAPI",VLOOKUP(C413,#REF!,5,0),IF(B413="EDIF",VLOOKUP(C413,#REF!,4,0),IF(B413="CPOS",VLOOKUP(C413,#REF!,7,0),IF(B413="FDE",VLOOKUP(C413,#REF!,5,0),IF(B413="INFRA",VLOOKUP(C413,#REF!,4,0),""))))))*VLOOKUP(B413,#REF!,3,0),"")</f>
        <v/>
      </c>
      <c r="H413" s="986">
        <v>0.25</v>
      </c>
      <c r="I413" s="987" t="str">
        <f>IFERROR(F413*((G413*(1+H413))),"")</f>
        <v/>
      </c>
      <c r="J413" s="988">
        <v>8102.8</v>
      </c>
      <c r="K413" s="52"/>
      <c r="L413" s="940"/>
    </row>
    <row r="414" spans="1:12" s="25" customFormat="1" ht="27" customHeight="1">
      <c r="A414" s="933" t="s">
        <v>5957</v>
      </c>
      <c r="B414" s="933" t="s">
        <v>1479</v>
      </c>
      <c r="C414" s="934" t="s">
        <v>5958</v>
      </c>
      <c r="D414" s="984" t="str">
        <f>IFERROR(UPPER(IF(B414="CPU",VLOOKUP(C414,#REF!,2,0),IF(B414="SINAPI",VLOOKUP(C414,#REF!,2,0),IF(B414="EDIF",VLOOKUP(C414,#REF!,2,0),IF(B414="CPOS",VLOOKUP(C414,#REF!,3,0),IF(B414="FDE",VLOOKUP(C414,#REF!,2,0),IF(B414="INFRA",VLOOKUP(C414,#REF!,2,0),""))))))),"")</f>
        <v/>
      </c>
      <c r="E414" s="78" t="str">
        <f>IFERROR(UPPER(IF(B414="CPU",VLOOKUP(C414,#REF!,3,0),IF(B414="SINAPI",VLOOKUP(C414,#REF!,3,0),IF(B414="EDIF",VLOOKUP(C414,#REF!,3,0),IF(B414="CPOS",VLOOKUP(C414,#REF!,4,0),IF(B414="FDE",VLOOKUP(C414,#REF!,3,0),IF(B414="INFRA",VLOOKUP(C414,#REF!,3,0),""))))))),"")</f>
        <v/>
      </c>
      <c r="F414" s="936">
        <v>2</v>
      </c>
      <c r="G414" s="985" t="str">
        <f>IFERROR(IF(B414="CPU",VLOOKUP(C414,#REF!,4,0),IF(B414="SINAPI",VLOOKUP(C414,#REF!,5,0),IF(B414="EDIF",VLOOKUP(C414,#REF!,4,0),IF(B414="CPOS",VLOOKUP(C414,#REF!,7,0),IF(B414="FDE",VLOOKUP(C414,#REF!,5,0),IF(B414="INFRA",VLOOKUP(C414,#REF!,4,0),""))))))*VLOOKUP(B414,#REF!,3,0),"")</f>
        <v/>
      </c>
      <c r="H414" s="986">
        <v>0.25</v>
      </c>
      <c r="I414" s="987" t="str">
        <f>IFERROR(F414*((G414*(1+H414))),"")</f>
        <v/>
      </c>
      <c r="J414" s="988">
        <v>102696.55</v>
      </c>
      <c r="K414" s="52"/>
      <c r="L414" s="940"/>
    </row>
    <row r="415" spans="1:12" s="25" customFormat="1" ht="27" customHeight="1">
      <c r="A415" s="1015"/>
      <c r="B415" s="933"/>
      <c r="C415" s="1023"/>
      <c r="D415" s="984" t="str">
        <f>IFERROR(UPPER(IF(B415="CPU",VLOOKUP(C415,#REF!,2,0),IF(B415="SINAPI",VLOOKUP(C415,#REF!,2,0),IF(B415="EDIF",VLOOKUP(C415,#REF!,2,0),IF(B415="CPOS",VLOOKUP(C415,#REF!,3,0),IF(B415="FDE",VLOOKUP(C415,#REF!,2,0),IF(B415="INFRA",VLOOKUP(C415,#REF!,2,0),""))))))),"")</f>
        <v/>
      </c>
      <c r="E415" s="78" t="str">
        <f>IFERROR(UPPER(IF(B415="CPU",VLOOKUP(C415,#REF!,3,0),IF(B415="SINAPI",VLOOKUP(C415,#REF!,3,0),IF(B415="EDIF",VLOOKUP(C415,#REF!,3,0),IF(B415="CPOS",VLOOKUP(C415,#REF!,4,0),IF(B415="FDE",VLOOKUP(C415,#REF!,3,0),IF(B415="INFRA",VLOOKUP(C415,#REF!,3,0),""))))))),"")</f>
        <v/>
      </c>
      <c r="F415" s="936"/>
      <c r="G415" s="985" t="str">
        <f>IFERROR(IF(B415="CPU",VLOOKUP(C415,#REF!,4,0),IF(B415="SINAPI",VLOOKUP(C415,#REF!,5,0),IF(B415="EDIF",VLOOKUP(C415,#REF!,4,0),IF(B415="CPOS",VLOOKUP(C415,#REF!,7,0),IF(B415="FDE",VLOOKUP(C415,#REF!,5,0),IF(B415="INFRA",VLOOKUP(C415,#REF!,4,0),""))))))*VLOOKUP(B415,#REF!,3,0),"")</f>
        <v/>
      </c>
      <c r="H415" s="986"/>
      <c r="I415" s="987" t="str">
        <f>IFERROR(F415*((G415*(1+H415))),"")</f>
        <v/>
      </c>
      <c r="J415" s="988"/>
      <c r="K415" s="52"/>
      <c r="L415" s="940"/>
    </row>
    <row r="416" spans="1:12" s="25" customFormat="1" ht="27" customHeight="1">
      <c r="A416" s="975" t="s">
        <v>5959</v>
      </c>
      <c r="B416" s="976"/>
      <c r="C416" s="976"/>
      <c r="D416" s="977" t="s">
        <v>5960</v>
      </c>
      <c r="E416" s="978" t="str">
        <f>IFERROR(UPPER(IF(B416="CPU",VLOOKUP(C416,#REF!,3,0),IF(B416="SINAPI",VLOOKUP(C416,#REF!,3,0),IF(B416="EDIF",VLOOKUP(C416,#REF!,3,0),IF(B416="CPOS",VLOOKUP(C416,#REF!,4,0),IF(B416="FDE",VLOOKUP(C416,#REF!,3,0),IF(B416="INFRA",VLOOKUP(C416,#REF!,3,0),""))))))),"")</f>
        <v/>
      </c>
      <c r="F416" s="979"/>
      <c r="G416" s="980" t="str">
        <f>IFERROR(IF(B416="CPU",VLOOKUP(C416,#REF!,4,0),IF(B416="SINAPI",VLOOKUP(C416,#REF!,5,0),IF(B416="EDIF",VLOOKUP(C416,#REF!,4,0),IF(B416="CPOS",VLOOKUP(C416,#REF!,7,0),IF(B416="FDE",VLOOKUP(C416,#REF!,5,0),IF(B416="INFRA",VLOOKUP(C416,#REF!,4,0),""))))))*VLOOKUP(B416,#REF!,3,0),"")</f>
        <v/>
      </c>
      <c r="H416" s="979"/>
      <c r="I416" s="981">
        <f>SUM(I417:I423)</f>
        <v>0</v>
      </c>
      <c r="J416" s="988"/>
      <c r="K416" s="52"/>
      <c r="L416" s="940"/>
    </row>
    <row r="417" spans="1:12" s="25" customFormat="1" ht="27" customHeight="1">
      <c r="A417" s="933" t="s">
        <v>5961</v>
      </c>
      <c r="B417" s="933" t="s">
        <v>1479</v>
      </c>
      <c r="C417" s="934" t="s">
        <v>5962</v>
      </c>
      <c r="D417" s="984" t="str">
        <f>IFERROR(UPPER(IF(B417="CPU",VLOOKUP(C417,#REF!,2,0),IF(B417="SINAPI",VLOOKUP(C417,#REF!,2,0),IF(B417="EDIF",VLOOKUP(C417,#REF!,2,0),IF(B417="CPOS",VLOOKUP(C417,#REF!,3,0),IF(B417="FDE",VLOOKUP(C417,#REF!,2,0),IF(B417="INFRA",VLOOKUP(C417,#REF!,2,0),""))))))),"")</f>
        <v/>
      </c>
      <c r="E417" s="78" t="str">
        <f>IFERROR(UPPER(IF(B417="CPU",VLOOKUP(C417,#REF!,3,0),IF(B417="SINAPI",VLOOKUP(C417,#REF!,3,0),IF(B417="EDIF",VLOOKUP(C417,#REF!,3,0),IF(B417="CPOS",VLOOKUP(C417,#REF!,4,0),IF(B417="FDE",VLOOKUP(C417,#REF!,3,0),IF(B417="INFRA",VLOOKUP(C417,#REF!,3,0),""))))))),"")</f>
        <v/>
      </c>
      <c r="F417" s="936">
        <v>2312</v>
      </c>
      <c r="G417" s="985" t="str">
        <f>IFERROR(IF(B417="CPU",VLOOKUP(C417,#REF!,4,0),IF(B417="SINAPI",VLOOKUP(C417,#REF!,5,0),IF(B417="EDIF",VLOOKUP(C417,#REF!,4,0),IF(B417="CPOS",VLOOKUP(C417,#REF!,7,0),IF(B417="FDE",VLOOKUP(C417,#REF!,5,0),IF(B417="INFRA",VLOOKUP(C417,#REF!,4,0),""))))))*VLOOKUP(B417,#REF!,3,0),"")</f>
        <v/>
      </c>
      <c r="H417" s="986">
        <v>0.25</v>
      </c>
      <c r="I417" s="987" t="str">
        <f t="shared" ref="I417:I424" si="25">IFERROR(F417*((G417*(1+H417))),"")</f>
        <v/>
      </c>
      <c r="J417" s="988">
        <v>13872</v>
      </c>
      <c r="K417" s="52"/>
      <c r="L417" s="940"/>
    </row>
    <row r="418" spans="1:12" s="25" customFormat="1" ht="27" customHeight="1">
      <c r="A418" s="933" t="s">
        <v>5963</v>
      </c>
      <c r="B418" s="933" t="s">
        <v>1479</v>
      </c>
      <c r="C418" s="934" t="s">
        <v>5964</v>
      </c>
      <c r="D418" s="984" t="str">
        <f>IFERROR(UPPER(IF(B418="CPU",VLOOKUP(C418,#REF!,2,0),IF(B418="SINAPI",VLOOKUP(C418,#REF!,2,0),IF(B418="EDIF",VLOOKUP(C418,#REF!,2,0),IF(B418="CPOS",VLOOKUP(C418,#REF!,3,0),IF(B418="FDE",VLOOKUP(C418,#REF!,2,0),IF(B418="INFRA",VLOOKUP(C418,#REF!,2,0),""))))))),"")</f>
        <v/>
      </c>
      <c r="E418" s="78" t="str">
        <f>IFERROR(UPPER(IF(B418="CPU",VLOOKUP(C418,#REF!,3,0),IF(B418="SINAPI",VLOOKUP(C418,#REF!,3,0),IF(B418="EDIF",VLOOKUP(C418,#REF!,3,0),IF(B418="CPOS",VLOOKUP(C418,#REF!,4,0),IF(B418="FDE",VLOOKUP(C418,#REF!,3,0),IF(B418="INFRA",VLOOKUP(C418,#REF!,3,0),""))))))),"")</f>
        <v/>
      </c>
      <c r="F418" s="936">
        <v>1156</v>
      </c>
      <c r="G418" s="985" t="str">
        <f>IFERROR(IF(B418="CPU",VLOOKUP(C418,#REF!,4,0),IF(B418="SINAPI",VLOOKUP(C418,#REF!,5,0),IF(B418="EDIF",VLOOKUP(C418,#REF!,4,0),IF(B418="CPOS",VLOOKUP(C418,#REF!,7,0),IF(B418="FDE",VLOOKUP(C418,#REF!,5,0),IF(B418="INFRA",VLOOKUP(C418,#REF!,4,0),""))))))*VLOOKUP(B418,#REF!,3,0),"")</f>
        <v/>
      </c>
      <c r="H418" s="986">
        <v>0.25</v>
      </c>
      <c r="I418" s="987" t="str">
        <f t="shared" si="25"/>
        <v/>
      </c>
      <c r="J418" s="988">
        <v>11935.7</v>
      </c>
      <c r="K418" s="52"/>
      <c r="L418" s="940"/>
    </row>
    <row r="419" spans="1:12" s="25" customFormat="1" ht="27" customHeight="1">
      <c r="A419" s="933" t="s">
        <v>5965</v>
      </c>
      <c r="B419" s="933" t="s">
        <v>1479</v>
      </c>
      <c r="C419" s="934" t="s">
        <v>5966</v>
      </c>
      <c r="D419" s="984" t="str">
        <f>IFERROR(UPPER(IF(B419="CPU",VLOOKUP(C419,#REF!,2,0),IF(B419="SINAPI",VLOOKUP(C419,#REF!,2,0),IF(B419="EDIF",VLOOKUP(C419,#REF!,2,0),IF(B419="CPOS",VLOOKUP(C419,#REF!,3,0),IF(B419="FDE",VLOOKUP(C419,#REF!,2,0),IF(B419="INFRA",VLOOKUP(C419,#REF!,2,0),""))))))),"")</f>
        <v/>
      </c>
      <c r="E419" s="78" t="str">
        <f>IFERROR(UPPER(IF(B419="CPU",VLOOKUP(C419,#REF!,3,0),IF(B419="SINAPI",VLOOKUP(C419,#REF!,3,0),IF(B419="EDIF",VLOOKUP(C419,#REF!,3,0),IF(B419="CPOS",VLOOKUP(C419,#REF!,4,0),IF(B419="FDE",VLOOKUP(C419,#REF!,3,0),IF(B419="INFRA",VLOOKUP(C419,#REF!,3,0),""))))))),"")</f>
        <v/>
      </c>
      <c r="F419" s="936">
        <v>28</v>
      </c>
      <c r="G419" s="985" t="str">
        <f>IFERROR(IF(B419="CPU",VLOOKUP(C419,#REF!,4,0),IF(B419="SINAPI",VLOOKUP(C419,#REF!,5,0),IF(B419="EDIF",VLOOKUP(C419,#REF!,4,0),IF(B419="CPOS",VLOOKUP(C419,#REF!,7,0),IF(B419="FDE",VLOOKUP(C419,#REF!,5,0),IF(B419="INFRA",VLOOKUP(C419,#REF!,4,0),""))))))*VLOOKUP(B419,#REF!,3,0),"")</f>
        <v/>
      </c>
      <c r="H419" s="986">
        <v>0.25</v>
      </c>
      <c r="I419" s="987" t="str">
        <f t="shared" si="25"/>
        <v/>
      </c>
      <c r="J419" s="988">
        <v>371.35</v>
      </c>
      <c r="K419" s="52"/>
      <c r="L419" s="940"/>
    </row>
    <row r="420" spans="1:12" s="25" customFormat="1" ht="27" customHeight="1">
      <c r="A420" s="933" t="s">
        <v>5967</v>
      </c>
      <c r="B420" s="933" t="s">
        <v>1479</v>
      </c>
      <c r="C420" s="934" t="s">
        <v>5968</v>
      </c>
      <c r="D420" s="984" t="str">
        <f>IFERROR(UPPER(IF(B420="CPU",VLOOKUP(C420,#REF!,2,0),IF(B420="SINAPI",VLOOKUP(C420,#REF!,2,0),IF(B420="EDIF",VLOOKUP(C420,#REF!,2,0),IF(B420="CPOS",VLOOKUP(C420,#REF!,3,0),IF(B420="FDE",VLOOKUP(C420,#REF!,2,0),IF(B420="INFRA",VLOOKUP(C420,#REF!,2,0),""))))))),"")</f>
        <v/>
      </c>
      <c r="E420" s="78" t="str">
        <f>IFERROR(UPPER(IF(B420="CPU",VLOOKUP(C420,#REF!,3,0),IF(B420="SINAPI",VLOOKUP(C420,#REF!,3,0),IF(B420="EDIF",VLOOKUP(C420,#REF!,3,0),IF(B420="CPOS",VLOOKUP(C420,#REF!,4,0),IF(B420="FDE",VLOOKUP(C420,#REF!,3,0),IF(B420="INFRA",VLOOKUP(C420,#REF!,3,0),""))))))),"")</f>
        <v/>
      </c>
      <c r="F420" s="936">
        <v>310</v>
      </c>
      <c r="G420" s="985" t="str">
        <f>IFERROR(IF(B420="CPU",VLOOKUP(C420,#REF!,4,0),IF(B420="SINAPI",VLOOKUP(C420,#REF!,5,0),IF(B420="EDIF",VLOOKUP(C420,#REF!,4,0),IF(B420="CPOS",VLOOKUP(C420,#REF!,7,0),IF(B420="FDE",VLOOKUP(C420,#REF!,5,0),IF(B420="INFRA",VLOOKUP(C420,#REF!,4,0),""))))))*VLOOKUP(B420,#REF!,3,0),"")</f>
        <v/>
      </c>
      <c r="H420" s="986">
        <v>0.25</v>
      </c>
      <c r="I420" s="987" t="str">
        <f t="shared" si="25"/>
        <v/>
      </c>
      <c r="J420" s="988">
        <v>6099.25</v>
      </c>
      <c r="K420" s="52"/>
      <c r="L420" s="940"/>
    </row>
    <row r="421" spans="1:12" s="25" customFormat="1" ht="27" customHeight="1">
      <c r="A421" s="933" t="s">
        <v>5969</v>
      </c>
      <c r="B421" s="933" t="s">
        <v>1479</v>
      </c>
      <c r="C421" s="934" t="s">
        <v>5970</v>
      </c>
      <c r="D421" s="984" t="str">
        <f>IFERROR(UPPER(IF(B421="CPU",VLOOKUP(C421,#REF!,2,0),IF(B421="SINAPI",VLOOKUP(C421,#REF!,2,0),IF(B421="EDIF",VLOOKUP(C421,#REF!,2,0),IF(B421="CPOS",VLOOKUP(C421,#REF!,3,0),IF(B421="FDE",VLOOKUP(C421,#REF!,2,0),IF(B421="INFRA",VLOOKUP(C421,#REF!,2,0),""))))))),"")</f>
        <v/>
      </c>
      <c r="E421" s="78" t="str">
        <f>IFERROR(UPPER(IF(B421="CPU",VLOOKUP(C421,#REF!,3,0),IF(B421="SINAPI",VLOOKUP(C421,#REF!,3,0),IF(B421="EDIF",VLOOKUP(C421,#REF!,3,0),IF(B421="CPOS",VLOOKUP(C421,#REF!,4,0),IF(B421="FDE",VLOOKUP(C421,#REF!,3,0),IF(B421="INFRA",VLOOKUP(C421,#REF!,3,0),""))))))),"")</f>
        <v/>
      </c>
      <c r="F421" s="936">
        <v>600</v>
      </c>
      <c r="G421" s="985" t="str">
        <f>IFERROR(IF(B421="CPU",VLOOKUP(C421,#REF!,4,0),IF(B421="SINAPI",VLOOKUP(C421,#REF!,5,0),IF(B421="EDIF",VLOOKUP(C421,#REF!,4,0),IF(B421="CPOS",VLOOKUP(C421,#REF!,7,0),IF(B421="FDE",VLOOKUP(C421,#REF!,5,0),IF(B421="INFRA",VLOOKUP(C421,#REF!,4,0),""))))))*VLOOKUP(B421,#REF!,3,0),"")</f>
        <v/>
      </c>
      <c r="H421" s="986">
        <v>0.25</v>
      </c>
      <c r="I421" s="987" t="str">
        <f t="shared" si="25"/>
        <v/>
      </c>
      <c r="J421" s="988">
        <v>26805</v>
      </c>
      <c r="K421" s="52"/>
      <c r="L421" s="940"/>
    </row>
    <row r="422" spans="1:12" s="25" customFormat="1" ht="27" customHeight="1">
      <c r="A422" s="933" t="s">
        <v>5971</v>
      </c>
      <c r="B422" s="933" t="s">
        <v>1479</v>
      </c>
      <c r="C422" s="934" t="s">
        <v>5972</v>
      </c>
      <c r="D422" s="984" t="str">
        <f>IFERROR(UPPER(IF(B422="CPU",VLOOKUP(C422,#REF!,2,0),IF(B422="SINAPI",VLOOKUP(C422,#REF!,2,0),IF(B422="EDIF",VLOOKUP(C422,#REF!,2,0),IF(B422="CPOS",VLOOKUP(C422,#REF!,3,0),IF(B422="FDE",VLOOKUP(C422,#REF!,2,0),IF(B422="INFRA",VLOOKUP(C422,#REF!,2,0),""))))))),"")</f>
        <v/>
      </c>
      <c r="E422" s="78" t="str">
        <f>IFERROR(UPPER(IF(B422="CPU",VLOOKUP(C422,#REF!,3,0),IF(B422="SINAPI",VLOOKUP(C422,#REF!,3,0),IF(B422="EDIF",VLOOKUP(C422,#REF!,3,0),IF(B422="CPOS",VLOOKUP(C422,#REF!,4,0),IF(B422="FDE",VLOOKUP(C422,#REF!,3,0),IF(B422="INFRA",VLOOKUP(C422,#REF!,3,0),""))))))),"")</f>
        <v/>
      </c>
      <c r="F422" s="936">
        <v>600</v>
      </c>
      <c r="G422" s="985" t="str">
        <f>IFERROR(IF(B422="CPU",VLOOKUP(C422,#REF!,4,0),IF(B422="SINAPI",VLOOKUP(C422,#REF!,5,0),IF(B422="EDIF",VLOOKUP(C422,#REF!,4,0),IF(B422="CPOS",VLOOKUP(C422,#REF!,7,0),IF(B422="FDE",VLOOKUP(C422,#REF!,5,0),IF(B422="INFRA",VLOOKUP(C422,#REF!,4,0),""))))))*VLOOKUP(B422,#REF!,3,0),"")</f>
        <v/>
      </c>
      <c r="H422" s="986">
        <v>0.25</v>
      </c>
      <c r="I422" s="987" t="str">
        <f t="shared" si="25"/>
        <v/>
      </c>
      <c r="J422" s="988">
        <v>106837.5</v>
      </c>
      <c r="K422" s="52"/>
      <c r="L422" s="940"/>
    </row>
    <row r="423" spans="1:12" s="25" customFormat="1" ht="27" customHeight="1">
      <c r="A423" s="933" t="s">
        <v>5973</v>
      </c>
      <c r="B423" s="933" t="s">
        <v>1479</v>
      </c>
      <c r="C423" s="934" t="s">
        <v>5974</v>
      </c>
      <c r="D423" s="984" t="str">
        <f>IFERROR(UPPER(IF(B423="CPU",VLOOKUP(C423,#REF!,2,0),IF(B423="SINAPI",VLOOKUP(C423,#REF!,2,0),IF(B423="EDIF",VLOOKUP(C423,#REF!,2,0),IF(B423="CPOS",VLOOKUP(C423,#REF!,3,0),IF(B423="FDE",VLOOKUP(C423,#REF!,2,0),IF(B423="INFRA",VLOOKUP(C423,#REF!,2,0),""))))))),"")</f>
        <v/>
      </c>
      <c r="E423" s="78" t="str">
        <f>IFERROR(UPPER(IF(B423="CPU",VLOOKUP(C423,#REF!,3,0),IF(B423="SINAPI",VLOOKUP(C423,#REF!,3,0),IF(B423="EDIF",VLOOKUP(C423,#REF!,3,0),IF(B423="CPOS",VLOOKUP(C423,#REF!,4,0),IF(B423="FDE",VLOOKUP(C423,#REF!,3,0),IF(B423="INFRA",VLOOKUP(C423,#REF!,3,0),""))))))),"")</f>
        <v/>
      </c>
      <c r="F423" s="936">
        <v>155</v>
      </c>
      <c r="G423" s="985" t="str">
        <f>IFERROR(IF(B423="CPU",VLOOKUP(C423,#REF!,4,0),IF(B423="SINAPI",VLOOKUP(C423,#REF!,5,0),IF(B423="EDIF",VLOOKUP(C423,#REF!,4,0),IF(B423="CPOS",VLOOKUP(C423,#REF!,7,0),IF(B423="FDE",VLOOKUP(C423,#REF!,5,0),IF(B423="INFRA",VLOOKUP(C423,#REF!,4,0),""))))))*VLOOKUP(B423,#REF!,3,0),"")</f>
        <v/>
      </c>
      <c r="H423" s="986">
        <v>0.25</v>
      </c>
      <c r="I423" s="987" t="str">
        <f t="shared" si="25"/>
        <v/>
      </c>
      <c r="J423" s="988">
        <v>30449.75</v>
      </c>
      <c r="K423" s="52"/>
      <c r="L423" s="940"/>
    </row>
    <row r="424" spans="1:12" s="25" customFormat="1" ht="27" customHeight="1">
      <c r="A424" s="1015"/>
      <c r="B424" s="933"/>
      <c r="C424" s="934"/>
      <c r="D424" s="984" t="str">
        <f>IFERROR(UPPER(IF(B424="CPU",VLOOKUP(C424,#REF!,2,0),IF(B424="SINAPI",VLOOKUP(C424,#REF!,2,0),IF(B424="EDIF",VLOOKUP(C424,#REF!,2,0),IF(B424="CPOS",VLOOKUP(C424,#REF!,3,0),IF(B424="FDE",VLOOKUP(C424,#REF!,2,0),IF(B424="INFRA",VLOOKUP(C424,#REF!,2,0),""))))))),"")</f>
        <v/>
      </c>
      <c r="E424" s="78" t="str">
        <f>IFERROR(UPPER(IF(B424="CPU",VLOOKUP(C424,#REF!,3,0),IF(B424="SINAPI",VLOOKUP(C424,#REF!,3,0),IF(B424="EDIF",VLOOKUP(C424,#REF!,3,0),IF(B424="CPOS",VLOOKUP(C424,#REF!,4,0),IF(B424="FDE",VLOOKUP(C424,#REF!,3,0),IF(B424="INFRA",VLOOKUP(C424,#REF!,3,0),""))))))),"")</f>
        <v/>
      </c>
      <c r="F424" s="936"/>
      <c r="G424" s="985" t="str">
        <f>IFERROR(IF(B424="CPU",VLOOKUP(C424,#REF!,4,0),IF(B424="SINAPI",VLOOKUP(C424,#REF!,5,0),IF(B424="EDIF",VLOOKUP(C424,#REF!,4,0),IF(B424="CPOS",VLOOKUP(C424,#REF!,7,0),IF(B424="FDE",VLOOKUP(C424,#REF!,5,0),IF(B424="INFRA",VLOOKUP(C424,#REF!,4,0),""))))))*VLOOKUP(B424,#REF!,3,0),"")</f>
        <v/>
      </c>
      <c r="H424" s="986"/>
      <c r="I424" s="987" t="str">
        <f t="shared" si="25"/>
        <v/>
      </c>
      <c r="J424" s="988"/>
      <c r="K424" s="52"/>
      <c r="L424" s="940"/>
    </row>
    <row r="425" spans="1:12" s="25" customFormat="1" ht="27" customHeight="1">
      <c r="A425" s="975" t="s">
        <v>5975</v>
      </c>
      <c r="B425" s="976"/>
      <c r="C425" s="976"/>
      <c r="D425" s="977" t="s">
        <v>5976</v>
      </c>
      <c r="E425" s="978" t="str">
        <f>IFERROR(UPPER(IF(B425="CPU",VLOOKUP(C425,#REF!,3,0),IF(B425="SINAPI",VLOOKUP(C425,#REF!,3,0),IF(B425="EDIF",VLOOKUP(C425,#REF!,3,0),IF(B425="CPOS",VLOOKUP(C425,#REF!,4,0),IF(B425="FDE",VLOOKUP(C425,#REF!,3,0),IF(B425="INFRA",VLOOKUP(C425,#REF!,3,0),""))))))),"")</f>
        <v/>
      </c>
      <c r="F425" s="979"/>
      <c r="G425" s="980" t="str">
        <f>IFERROR(IF(B425="CPU",VLOOKUP(C425,#REF!,4,0),IF(B425="SINAPI",VLOOKUP(C425,#REF!,5,0),IF(B425="EDIF",VLOOKUP(C425,#REF!,4,0),IF(B425="CPOS",VLOOKUP(C425,#REF!,7,0),IF(B425="FDE",VLOOKUP(C425,#REF!,5,0),IF(B425="INFRA",VLOOKUP(C425,#REF!,4,0),""))))))*VLOOKUP(B425,#REF!,3,0),"")</f>
        <v/>
      </c>
      <c r="H425" s="979"/>
      <c r="I425" s="981">
        <f>SUM(I426:I428)</f>
        <v>0</v>
      </c>
      <c r="J425" s="988"/>
      <c r="K425" s="52"/>
      <c r="L425" s="940"/>
    </row>
    <row r="426" spans="1:12" ht="27" customHeight="1">
      <c r="A426" s="933" t="s">
        <v>5977</v>
      </c>
      <c r="B426" s="933" t="s">
        <v>4908</v>
      </c>
      <c r="C426" s="934">
        <v>88243</v>
      </c>
      <c r="D426" s="984" t="str">
        <f>IFERROR(UPPER(IF(B426="CPU",VLOOKUP(C426,#REF!,2,0),IF(B426="SINAPI",VLOOKUP(C426,#REF!,2,0),IF(B426="EDIF",VLOOKUP(C426,#REF!,2,0),IF(B426="CPOS",VLOOKUP(C426,#REF!,3,0),IF(B426="FDE",VLOOKUP(C426,#REF!,2,0),IF(B426="INFRA",VLOOKUP(C426,#REF!,2,0),""))))))),"")</f>
        <v/>
      </c>
      <c r="E426" s="78" t="str">
        <f>IFERROR(UPPER(IF(B426="CPU",VLOOKUP(C426,#REF!,3,0),IF(B426="SINAPI",VLOOKUP(C426,#REF!,3,0),IF(B426="EDIF",VLOOKUP(C426,#REF!,3,0),IF(B426="CPOS",VLOOKUP(C426,#REF!,4,0),IF(B426="FDE",VLOOKUP(C426,#REF!,3,0),IF(B426="INFRA",VLOOKUP(C426,#REF!,3,0),""))))))),"")</f>
        <v/>
      </c>
      <c r="F426" s="936">
        <v>352</v>
      </c>
      <c r="G426" s="985" t="str">
        <f>IFERROR(IF(B426="CPU",VLOOKUP(C426,#REF!,4,0),IF(B426="SINAPI",VLOOKUP(C426,#REF!,5,0),IF(B426="EDIF",VLOOKUP(C426,#REF!,4,0),IF(B426="CPOS",VLOOKUP(C426,#REF!,7,0),IF(B426="FDE",VLOOKUP(C426,#REF!,5,0),IF(B426="INFRA",VLOOKUP(C426,#REF!,4,0),""))))))*VLOOKUP(B426,#REF!,3,0),"")</f>
        <v/>
      </c>
      <c r="H426" s="986">
        <v>0.25</v>
      </c>
      <c r="I426" s="987" t="str">
        <f>IFERROR(F426*((G426*(1+H426))),"")</f>
        <v/>
      </c>
      <c r="J426" s="988">
        <v>10467.6</v>
      </c>
      <c r="K426" s="52"/>
      <c r="L426" s="940"/>
    </row>
    <row r="427" spans="1:12" ht="27" customHeight="1">
      <c r="A427" s="933" t="s">
        <v>5978</v>
      </c>
      <c r="B427" s="933" t="s">
        <v>4908</v>
      </c>
      <c r="C427" s="934">
        <v>88265</v>
      </c>
      <c r="D427" s="984" t="str">
        <f>IFERROR(UPPER(IF(B427="CPU",VLOOKUP(C427,#REF!,2,0),IF(B427="SINAPI",VLOOKUP(C427,#REF!,2,0),IF(B427="EDIF",VLOOKUP(C427,#REF!,2,0),IF(B427="CPOS",VLOOKUP(C427,#REF!,3,0),IF(B427="FDE",VLOOKUP(C427,#REF!,2,0),IF(B427="INFRA",VLOOKUP(C427,#REF!,2,0),""))))))),"")</f>
        <v/>
      </c>
      <c r="E427" s="78" t="str">
        <f>IFERROR(UPPER(IF(B427="CPU",VLOOKUP(C427,#REF!,3,0),IF(B427="SINAPI",VLOOKUP(C427,#REF!,3,0),IF(B427="EDIF",VLOOKUP(C427,#REF!,3,0),IF(B427="CPOS",VLOOKUP(C427,#REF!,4,0),IF(B427="FDE",VLOOKUP(C427,#REF!,3,0),IF(B427="INFRA",VLOOKUP(C427,#REF!,3,0),""))))))),"")</f>
        <v/>
      </c>
      <c r="F427" s="936">
        <v>352</v>
      </c>
      <c r="G427" s="985" t="str">
        <f>IFERROR(IF(B427="CPU",VLOOKUP(C427,#REF!,4,0),IF(B427="SINAPI",VLOOKUP(C427,#REF!,5,0),IF(B427="EDIF",VLOOKUP(C427,#REF!,4,0),IF(B427="CPOS",VLOOKUP(C427,#REF!,7,0),IF(B427="FDE",VLOOKUP(C427,#REF!,5,0),IF(B427="INFRA",VLOOKUP(C427,#REF!,4,0),""))))))*VLOOKUP(B427,#REF!,3,0),"")</f>
        <v/>
      </c>
      <c r="H427" s="986">
        <v>0.25</v>
      </c>
      <c r="I427" s="987" t="str">
        <f>IFERROR(F427*((G427*(1+H427))),"")</f>
        <v/>
      </c>
      <c r="J427" s="988">
        <v>11730.4</v>
      </c>
      <c r="K427" s="52"/>
      <c r="L427" s="940"/>
    </row>
    <row r="428" spans="1:12" ht="27" customHeight="1">
      <c r="A428" s="933" t="s">
        <v>5979</v>
      </c>
      <c r="B428" s="933" t="s">
        <v>4908</v>
      </c>
      <c r="C428" s="934">
        <v>88266</v>
      </c>
      <c r="D428" s="984" t="str">
        <f>IFERROR(UPPER(IF(B428="CPU",VLOOKUP(C428,#REF!,2,0),IF(B428="SINAPI",VLOOKUP(C428,#REF!,2,0),IF(B428="EDIF",VLOOKUP(C428,#REF!,2,0),IF(B428="CPOS",VLOOKUP(C428,#REF!,3,0),IF(B428="FDE",VLOOKUP(C428,#REF!,2,0),IF(B428="INFRA",VLOOKUP(C428,#REF!,2,0),""))))))),"")</f>
        <v/>
      </c>
      <c r="E428" s="78" t="str">
        <f>IFERROR(UPPER(IF(B428="CPU",VLOOKUP(C428,#REF!,3,0),IF(B428="SINAPI",VLOOKUP(C428,#REF!,3,0),IF(B428="EDIF",VLOOKUP(C428,#REF!,3,0),IF(B428="CPOS",VLOOKUP(C428,#REF!,4,0),IF(B428="FDE",VLOOKUP(C428,#REF!,3,0),IF(B428="INFRA",VLOOKUP(C428,#REF!,3,0),""))))))),"")</f>
        <v/>
      </c>
      <c r="F428" s="936">
        <v>176</v>
      </c>
      <c r="G428" s="985" t="str">
        <f>IFERROR(IF(B428="CPU",VLOOKUP(C428,#REF!,4,0),IF(B428="SINAPI",VLOOKUP(C428,#REF!,5,0),IF(B428="EDIF",VLOOKUP(C428,#REF!,4,0),IF(B428="CPOS",VLOOKUP(C428,#REF!,7,0),IF(B428="FDE",VLOOKUP(C428,#REF!,5,0),IF(B428="INFRA",VLOOKUP(C428,#REF!,4,0),""))))))*VLOOKUP(B428,#REF!,3,0),"")</f>
        <v/>
      </c>
      <c r="H428" s="986">
        <v>0.25</v>
      </c>
      <c r="I428" s="987" t="str">
        <f>IFERROR(F428*((G428*(1+H428))),"")</f>
        <v/>
      </c>
      <c r="J428" s="988">
        <v>7554.8</v>
      </c>
      <c r="K428" s="52"/>
      <c r="L428" s="940"/>
    </row>
    <row r="429" spans="1:12" ht="27" customHeight="1">
      <c r="A429" s="1015"/>
      <c r="B429" s="933"/>
      <c r="C429" s="1023"/>
      <c r="D429" s="984" t="str">
        <f>IFERROR(UPPER(IF(B429="CPU",VLOOKUP(C429,#REF!,2,0),IF(B429="SINAPI",VLOOKUP(C429,#REF!,2,0),IF(B429="EDIF",VLOOKUP(C429,#REF!,2,0),IF(B429="CPOS",VLOOKUP(C429,#REF!,3,0),IF(B429="FDE",VLOOKUP(C429,#REF!,2,0),IF(B429="INFRA",VLOOKUP(C429,#REF!,2,0),""))))))),"")</f>
        <v/>
      </c>
      <c r="E429" s="78" t="str">
        <f>IFERROR(UPPER(IF(B429="CPU",VLOOKUP(C429,#REF!,3,0),IF(B429="SINAPI",VLOOKUP(C429,#REF!,3,0),IF(B429="EDIF",VLOOKUP(C429,#REF!,3,0),IF(B429="CPOS",VLOOKUP(C429,#REF!,4,0),IF(B429="FDE",VLOOKUP(C429,#REF!,3,0),IF(B429="INFRA",VLOOKUP(C429,#REF!,3,0),""))))))),"")</f>
        <v/>
      </c>
      <c r="F429" s="936"/>
      <c r="G429" s="985" t="str">
        <f>IFERROR(IF(B429="CPU",VLOOKUP(C429,#REF!,4,0),IF(B429="SINAPI",VLOOKUP(C429,#REF!,5,0),IF(B429="EDIF",VLOOKUP(C429,#REF!,4,0),IF(B429="CPOS",VLOOKUP(C429,#REF!,7,0),IF(B429="FDE",VLOOKUP(C429,#REF!,5,0),IF(B429="INFRA",VLOOKUP(C429,#REF!,4,0),""))))))*VLOOKUP(B429,#REF!,3,0),"")</f>
        <v/>
      </c>
      <c r="H429" s="986"/>
      <c r="I429" s="987" t="str">
        <f>IFERROR(F429*((G429*(1+H429))),"")</f>
        <v/>
      </c>
      <c r="J429" s="988"/>
      <c r="K429" s="52"/>
      <c r="L429" s="940"/>
    </row>
    <row r="430" spans="1:12" ht="26.25" customHeight="1">
      <c r="A430" s="1036" t="s">
        <v>5980</v>
      </c>
      <c r="B430" s="1037"/>
      <c r="C430" s="1037"/>
      <c r="D430" s="1038" t="s">
        <v>5377</v>
      </c>
      <c r="E430" s="1039"/>
      <c r="F430" s="1040"/>
      <c r="G430" s="1041"/>
      <c r="H430" s="1040"/>
      <c r="I430" s="981">
        <f>SUM(I431:I439)</f>
        <v>0</v>
      </c>
      <c r="J430" s="988"/>
      <c r="K430" s="52"/>
    </row>
    <row r="431" spans="1:12" s="25" customFormat="1" ht="26.25" customHeight="1">
      <c r="A431" s="933" t="s">
        <v>5981</v>
      </c>
      <c r="B431" s="933" t="s">
        <v>4908</v>
      </c>
      <c r="C431" s="934">
        <v>96976</v>
      </c>
      <c r="D431" s="984" t="str">
        <f>IFERROR(UPPER(IF(B431="CPU",VLOOKUP(C431,#REF!,2,0),IF(B431="SINAPI",VLOOKUP(C431,#REF!,2,0),IF(B431="EDIF",VLOOKUP(C431,#REF!,2,0),IF(B431="CPOS",VLOOKUP(C431,#REF!,3,0),IF(B431="FDE",VLOOKUP(C431,#REF!,2,0),IF(B431="INFRA",VLOOKUP(C431,#REF!,2,0),""))))))),"")</f>
        <v/>
      </c>
      <c r="E431" s="78" t="str">
        <f>IFERROR(UPPER(IF(B431="CPU",VLOOKUP(C431,#REF!,3,0),IF(B431="SINAPI",VLOOKUP(C431,#REF!,3,0),IF(B431="EDIF",VLOOKUP(C431,#REF!,3,0),IF(B431="CPOS",VLOOKUP(C431,#REF!,4,0),IF(B431="FDE",VLOOKUP(C431,#REF!,3,0),IF(B431="INFRA",VLOOKUP(C431,#REF!,3,0),""))))))),"")</f>
        <v/>
      </c>
      <c r="F431" s="936">
        <v>400</v>
      </c>
      <c r="G431" s="985" t="str">
        <f>IFERROR(IF(B431="CPU",VLOOKUP(C431,#REF!,4,0),IF(B431="SINAPI",VLOOKUP(C431,#REF!,5,0),IF(B431="EDIF",VLOOKUP(C431,#REF!,4,0),IF(B431="CPOS",VLOOKUP(C431,#REF!,7,0),IF(B431="FDE",VLOOKUP(C431,#REF!,5,0),IF(B431="INFRA",VLOOKUP(C431,#REF!,4,0),""))))))*VLOOKUP(B431,#REF!,3,0),"")</f>
        <v/>
      </c>
      <c r="H431" s="986"/>
      <c r="I431" s="987" t="str">
        <f t="shared" ref="I431:I440" si="26">IFERROR(F431*((G431*(1+H431))),"")</f>
        <v/>
      </c>
      <c r="J431" s="988">
        <v>30300</v>
      </c>
      <c r="K431" s="52"/>
      <c r="L431" s="22"/>
    </row>
    <row r="432" spans="1:12" s="25" customFormat="1" ht="26.25" customHeight="1">
      <c r="A432" s="933" t="s">
        <v>5982</v>
      </c>
      <c r="B432" s="933" t="s">
        <v>4908</v>
      </c>
      <c r="C432" s="934">
        <v>96977</v>
      </c>
      <c r="D432" s="984" t="str">
        <f>IFERROR(UPPER(IF(B432="CPU",VLOOKUP(C432,#REF!,2,0),IF(B432="SINAPI",VLOOKUP(C432,#REF!,2,0),IF(B432="EDIF",VLOOKUP(C432,#REF!,2,0),IF(B432="CPOS",VLOOKUP(C432,#REF!,3,0),IF(B432="FDE",VLOOKUP(C432,#REF!,2,0),IF(B432="INFRA",VLOOKUP(C432,#REF!,2,0),""))))))),"")</f>
        <v/>
      </c>
      <c r="E432" s="78" t="str">
        <f>IFERROR(UPPER(IF(B432="CPU",VLOOKUP(C432,#REF!,3,0),IF(B432="SINAPI",VLOOKUP(C432,#REF!,3,0),IF(B432="EDIF",VLOOKUP(C432,#REF!,3,0),IF(B432="CPOS",VLOOKUP(C432,#REF!,4,0),IF(B432="FDE",VLOOKUP(C432,#REF!,3,0),IF(B432="INFRA",VLOOKUP(C432,#REF!,3,0),""))))))),"")</f>
        <v/>
      </c>
      <c r="F432" s="936">
        <v>400</v>
      </c>
      <c r="G432" s="985" t="str">
        <f>IFERROR(IF(B432="CPU",VLOOKUP(C432,#REF!,4,0),IF(B432="SINAPI",VLOOKUP(C432,#REF!,5,0),IF(B432="EDIF",VLOOKUP(C432,#REF!,4,0),IF(B432="CPOS",VLOOKUP(C432,#REF!,7,0),IF(B432="FDE",VLOOKUP(C432,#REF!,5,0),IF(B432="INFRA",VLOOKUP(C432,#REF!,4,0),""))))))*VLOOKUP(B432,#REF!,3,0),"")</f>
        <v/>
      </c>
      <c r="H432" s="986"/>
      <c r="I432" s="987" t="str">
        <f t="shared" si="26"/>
        <v/>
      </c>
      <c r="J432" s="988">
        <v>10132</v>
      </c>
      <c r="K432" s="52"/>
      <c r="L432" s="22"/>
    </row>
    <row r="433" spans="1:12" s="25" customFormat="1" ht="26.25" customHeight="1">
      <c r="A433" s="933" t="s">
        <v>5983</v>
      </c>
      <c r="B433" s="933" t="s">
        <v>4872</v>
      </c>
      <c r="C433" s="1012">
        <v>91114</v>
      </c>
      <c r="D433" s="984" t="str">
        <f>IFERROR(UPPER(IF(B433="CPU",VLOOKUP(C433,#REF!,2,0),IF(B433="SINAPI",VLOOKUP(C433,#REF!,2,0),IF(B433="EDIF",VLOOKUP(C433,#REF!,2,0),IF(B433="CPOS",VLOOKUP(C433,#REF!,3,0),IF(B433="FDE",VLOOKUP(C433,#REF!,2,0),IF(B433="INFRA",VLOOKUP(C433,#REF!,2,0),""))))))),"")</f>
        <v/>
      </c>
      <c r="E433" s="78" t="str">
        <f>IFERROR(UPPER(IF(B433="CPU",VLOOKUP(C433,#REF!,3,0),IF(B433="SINAPI",VLOOKUP(C433,#REF!,3,0),IF(B433="EDIF",VLOOKUP(C433,#REF!,3,0),IF(B433="CPOS",VLOOKUP(C433,#REF!,4,0),IF(B433="FDE",VLOOKUP(C433,#REF!,3,0),IF(B433="INFRA",VLOOKUP(C433,#REF!,3,0),""))))))),"")</f>
        <v/>
      </c>
      <c r="F433" s="936">
        <v>50</v>
      </c>
      <c r="G433" s="985" t="str">
        <f>IFERROR(IF(B433="CPU",VLOOKUP(C433,#REF!,4,0),IF(B433="SINAPI",VLOOKUP(C433,#REF!,5,0),IF(B433="EDIF",VLOOKUP(C433,#REF!,4,0),IF(B433="CPOS",VLOOKUP(C433,#REF!,7,0),IF(B433="FDE",VLOOKUP(C433,#REF!,5,0),IF(B433="INFRA",VLOOKUP(C433,#REF!,4,0),""))))))*VLOOKUP(B433,#REF!,3,0),"")</f>
        <v/>
      </c>
      <c r="H433" s="986"/>
      <c r="I433" s="987" t="str">
        <f t="shared" si="26"/>
        <v/>
      </c>
      <c r="J433" s="988">
        <v>7027</v>
      </c>
      <c r="K433" s="52"/>
      <c r="L433" s="22"/>
    </row>
    <row r="434" spans="1:12" s="25" customFormat="1" ht="26.25" customHeight="1">
      <c r="A434" s="933" t="s">
        <v>5984</v>
      </c>
      <c r="B434" s="933" t="s">
        <v>4872</v>
      </c>
      <c r="C434" s="1012">
        <v>98390</v>
      </c>
      <c r="D434" s="984" t="str">
        <f>IFERROR(UPPER(IF(B434="CPU",VLOOKUP(C434,#REF!,2,0),IF(B434="SINAPI",VLOOKUP(C434,#REF!,2,0),IF(B434="EDIF",VLOOKUP(C434,#REF!,2,0),IF(B434="CPOS",VLOOKUP(C434,#REF!,3,0),IF(B434="FDE",VLOOKUP(C434,#REF!,2,0),IF(B434="INFRA",VLOOKUP(C434,#REF!,2,0),""))))))),"")</f>
        <v/>
      </c>
      <c r="E434" s="78" t="str">
        <f>IFERROR(UPPER(IF(B434="CPU",VLOOKUP(C434,#REF!,3,0),IF(B434="SINAPI",VLOOKUP(C434,#REF!,3,0),IF(B434="EDIF",VLOOKUP(C434,#REF!,3,0),IF(B434="CPOS",VLOOKUP(C434,#REF!,4,0),IF(B434="FDE",VLOOKUP(C434,#REF!,3,0),IF(B434="INFRA",VLOOKUP(C434,#REF!,3,0),""))))))),"")</f>
        <v/>
      </c>
      <c r="F434" s="936">
        <v>50</v>
      </c>
      <c r="G434" s="985" t="str">
        <f>IFERROR(IF(B434="CPU",VLOOKUP(C434,#REF!,4,0),IF(B434="SINAPI",VLOOKUP(C434,#REF!,5,0),IF(B434="EDIF",VLOOKUP(C434,#REF!,4,0),IF(B434="CPOS",VLOOKUP(C434,#REF!,7,0),IF(B434="FDE",VLOOKUP(C434,#REF!,5,0),IF(B434="INFRA",VLOOKUP(C434,#REF!,4,0),""))))))*VLOOKUP(B434,#REF!,3,0),"")</f>
        <v/>
      </c>
      <c r="H434" s="986"/>
      <c r="I434" s="987" t="str">
        <f t="shared" si="26"/>
        <v/>
      </c>
      <c r="J434" s="988">
        <v>8079</v>
      </c>
      <c r="K434" s="52"/>
      <c r="L434" s="22"/>
    </row>
    <row r="435" spans="1:12" s="25" customFormat="1" ht="26.25" customHeight="1">
      <c r="A435" s="933" t="s">
        <v>5985</v>
      </c>
      <c r="B435" s="933" t="s">
        <v>4872</v>
      </c>
      <c r="C435" s="1012">
        <v>91726</v>
      </c>
      <c r="D435" s="984" t="str">
        <f>IFERROR(UPPER(IF(B435="CPU",VLOOKUP(C435,#REF!,2,0),IF(B435="SINAPI",VLOOKUP(C435,#REF!,2,0),IF(B435="EDIF",VLOOKUP(C435,#REF!,2,0),IF(B435="CPOS",VLOOKUP(C435,#REF!,3,0),IF(B435="FDE",VLOOKUP(C435,#REF!,2,0),IF(B435="INFRA",VLOOKUP(C435,#REF!,2,0),""))))))),"")</f>
        <v/>
      </c>
      <c r="E435" s="78" t="str">
        <f>IFERROR(UPPER(IF(B435="CPU",VLOOKUP(C435,#REF!,3,0),IF(B435="SINAPI",VLOOKUP(C435,#REF!,3,0),IF(B435="EDIF",VLOOKUP(C435,#REF!,3,0),IF(B435="CPOS",VLOOKUP(C435,#REF!,4,0),IF(B435="FDE",VLOOKUP(C435,#REF!,3,0),IF(B435="INFRA",VLOOKUP(C435,#REF!,3,0),""))))))),"")</f>
        <v/>
      </c>
      <c r="F435" s="936">
        <v>50</v>
      </c>
      <c r="G435" s="985" t="str">
        <f>IFERROR(IF(B435="CPU",VLOOKUP(C435,#REF!,4,0),IF(B435="SINAPI",VLOOKUP(C435,#REF!,5,0),IF(B435="EDIF",VLOOKUP(C435,#REF!,4,0),IF(B435="CPOS",VLOOKUP(C435,#REF!,7,0),IF(B435="FDE",VLOOKUP(C435,#REF!,5,0),IF(B435="INFRA",VLOOKUP(C435,#REF!,4,0),""))))))*VLOOKUP(B435,#REF!,3,0),"")</f>
        <v/>
      </c>
      <c r="H435" s="986"/>
      <c r="I435" s="987" t="str">
        <f t="shared" si="26"/>
        <v/>
      </c>
      <c r="J435" s="988">
        <v>2561</v>
      </c>
      <c r="K435" s="52"/>
      <c r="L435" s="22"/>
    </row>
    <row r="436" spans="1:12" s="25" customFormat="1" ht="26.25" customHeight="1">
      <c r="A436" s="933" t="s">
        <v>5986</v>
      </c>
      <c r="B436" s="933" t="s">
        <v>4872</v>
      </c>
      <c r="C436" s="1012">
        <v>98391</v>
      </c>
      <c r="D436" s="984" t="str">
        <f>IFERROR(UPPER(IF(B436="CPU",VLOOKUP(C436,#REF!,2,0),IF(B436="SINAPI",VLOOKUP(C436,#REF!,2,0),IF(B436="EDIF",VLOOKUP(C436,#REF!,2,0),IF(B436="CPOS",VLOOKUP(C436,#REF!,3,0),IF(B436="FDE",VLOOKUP(C436,#REF!,2,0),IF(B436="INFRA",VLOOKUP(C436,#REF!,2,0),""))))))),"")</f>
        <v/>
      </c>
      <c r="E436" s="78" t="str">
        <f>IFERROR(UPPER(IF(B436="CPU",VLOOKUP(C436,#REF!,3,0),IF(B436="SINAPI",VLOOKUP(C436,#REF!,3,0),IF(B436="EDIF",VLOOKUP(C436,#REF!,3,0),IF(B436="CPOS",VLOOKUP(C436,#REF!,4,0),IF(B436="FDE",VLOOKUP(C436,#REF!,3,0),IF(B436="INFRA",VLOOKUP(C436,#REF!,3,0),""))))))),"")</f>
        <v/>
      </c>
      <c r="F436" s="936">
        <v>50</v>
      </c>
      <c r="G436" s="985" t="str">
        <f>IFERROR(IF(B436="CPU",VLOOKUP(C436,#REF!,4,0),IF(B436="SINAPI",VLOOKUP(C436,#REF!,5,0),IF(B436="EDIF",VLOOKUP(C436,#REF!,4,0),IF(B436="CPOS",VLOOKUP(C436,#REF!,7,0),IF(B436="FDE",VLOOKUP(C436,#REF!,5,0),IF(B436="INFRA",VLOOKUP(C436,#REF!,4,0),""))))))*VLOOKUP(B436,#REF!,3,0),"")</f>
        <v/>
      </c>
      <c r="H436" s="986"/>
      <c r="I436" s="987" t="str">
        <f t="shared" si="26"/>
        <v/>
      </c>
      <c r="J436" s="988">
        <v>1699.5</v>
      </c>
      <c r="K436" s="52"/>
      <c r="L436" s="22"/>
    </row>
    <row r="437" spans="1:12" s="25" customFormat="1" ht="26.25" customHeight="1">
      <c r="A437" s="933" t="s">
        <v>5987</v>
      </c>
      <c r="B437" s="933" t="s">
        <v>4872</v>
      </c>
      <c r="C437" s="1012">
        <v>91195</v>
      </c>
      <c r="D437" s="984" t="str">
        <f>IFERROR(UPPER(IF(B437="CPU",VLOOKUP(C437,#REF!,2,0),IF(B437="SINAPI",VLOOKUP(C437,#REF!,2,0),IF(B437="EDIF",VLOOKUP(C437,#REF!,2,0),IF(B437="CPOS",VLOOKUP(C437,#REF!,3,0),IF(B437="FDE",VLOOKUP(C437,#REF!,2,0),IF(B437="INFRA",VLOOKUP(C437,#REF!,2,0),""))))))),"")</f>
        <v/>
      </c>
      <c r="E437" s="78" t="str">
        <f>IFERROR(UPPER(IF(B437="CPU",VLOOKUP(C437,#REF!,3,0),IF(B437="SINAPI",VLOOKUP(C437,#REF!,3,0),IF(B437="EDIF",VLOOKUP(C437,#REF!,3,0),IF(B437="CPOS",VLOOKUP(C437,#REF!,4,0),IF(B437="FDE",VLOOKUP(C437,#REF!,3,0),IF(B437="INFRA",VLOOKUP(C437,#REF!,3,0),""))))))),"")</f>
        <v/>
      </c>
      <c r="F437" s="936">
        <v>900</v>
      </c>
      <c r="G437" s="985" t="str">
        <f>IFERROR(IF(B437="CPU",VLOOKUP(C437,#REF!,4,0),IF(B437="SINAPI",VLOOKUP(C437,#REF!,5,0),IF(B437="EDIF",VLOOKUP(C437,#REF!,4,0),IF(B437="CPOS",VLOOKUP(C437,#REF!,7,0),IF(B437="FDE",VLOOKUP(C437,#REF!,5,0),IF(B437="INFRA",VLOOKUP(C437,#REF!,4,0),""))))))*VLOOKUP(B437,#REF!,3,0),"")</f>
        <v/>
      </c>
      <c r="H437" s="986"/>
      <c r="I437" s="987" t="str">
        <f t="shared" si="26"/>
        <v/>
      </c>
      <c r="J437" s="988">
        <v>16821</v>
      </c>
      <c r="K437" s="52"/>
      <c r="L437" s="22"/>
    </row>
    <row r="438" spans="1:12" s="25" customFormat="1" ht="26.25" customHeight="1">
      <c r="A438" s="933" t="s">
        <v>5988</v>
      </c>
      <c r="B438" s="933" t="s">
        <v>1479</v>
      </c>
      <c r="C438" s="1028" t="s">
        <v>5989</v>
      </c>
      <c r="D438" s="984" t="str">
        <f>IFERROR(UPPER(IF(B438="CPU",VLOOKUP(C438,#REF!,2,0),IF(B438="SINAPI",VLOOKUP(C438,#REF!,2,0),IF(B438="EDIF",VLOOKUP(C438,#REF!,2,0),IF(B438="CPOS",VLOOKUP(C438,#REF!,3,0),IF(B438="FDE",VLOOKUP(C438,#REF!,2,0),IF(B438="INFRA",VLOOKUP(C438,#REF!,2,0),""))))))),"")</f>
        <v/>
      </c>
      <c r="E438" s="78" t="str">
        <f>IFERROR(UPPER(IF(B438="CPU",VLOOKUP(C438,#REF!,3,0),IF(B438="SINAPI",VLOOKUP(C438,#REF!,3,0),IF(B438="EDIF",VLOOKUP(C438,#REF!,3,0),IF(B438="CPOS",VLOOKUP(C438,#REF!,4,0),IF(B438="FDE",VLOOKUP(C438,#REF!,3,0),IF(B438="INFRA",VLOOKUP(C438,#REF!,3,0),""))))))),"")</f>
        <v/>
      </c>
      <c r="F438" s="936">
        <v>50</v>
      </c>
      <c r="G438" s="985" t="str">
        <f>IFERROR(IF(B438="CPU",VLOOKUP(C438,#REF!,4,0),IF(B438="SINAPI",VLOOKUP(C438,#REF!,5,0),IF(B438="EDIF",VLOOKUP(C438,#REF!,4,0),IF(B438="CPOS",VLOOKUP(C438,#REF!,7,0),IF(B438="FDE",VLOOKUP(C438,#REF!,5,0),IF(B438="INFRA",VLOOKUP(C438,#REF!,4,0),""))))))*VLOOKUP(B438,#REF!,3,0),"")</f>
        <v/>
      </c>
      <c r="H438" s="986"/>
      <c r="I438" s="987" t="str">
        <f t="shared" si="26"/>
        <v/>
      </c>
      <c r="J438" s="988">
        <v>1224.5</v>
      </c>
      <c r="K438" s="52"/>
      <c r="L438" s="22"/>
    </row>
    <row r="439" spans="1:12" s="25" customFormat="1" ht="27" customHeight="1">
      <c r="A439" s="933" t="s">
        <v>5990</v>
      </c>
      <c r="B439" s="933" t="s">
        <v>4872</v>
      </c>
      <c r="C439" s="1012">
        <v>91105</v>
      </c>
      <c r="D439" s="984" t="str">
        <f>IFERROR(UPPER(IF(B439="CPU",VLOOKUP(C439,#REF!,2,0),IF(B439="SINAPI",VLOOKUP(C439,#REF!,2,0),IF(B439="EDIF",VLOOKUP(C439,#REF!,2,0),IF(B439="CPOS",VLOOKUP(C439,#REF!,3,0),IF(B439="FDE",VLOOKUP(C439,#REF!,2,0),IF(B439="INFRA",VLOOKUP(C439,#REF!,2,0),""))))))),"")</f>
        <v/>
      </c>
      <c r="E439" s="78" t="str">
        <f>IFERROR(UPPER(IF(B439="CPU",VLOOKUP(C439,#REF!,3,0),IF(B439="SINAPI",VLOOKUP(C439,#REF!,3,0),IF(B439="EDIF",VLOOKUP(C439,#REF!,3,0),IF(B439="CPOS",VLOOKUP(C439,#REF!,4,0),IF(B439="FDE",VLOOKUP(C439,#REF!,3,0),IF(B439="INFRA",VLOOKUP(C439,#REF!,3,0),""))))))),"")</f>
        <v/>
      </c>
      <c r="F439" s="936">
        <v>104</v>
      </c>
      <c r="G439" s="985" t="str">
        <f>IFERROR(IF(B439="CPU",VLOOKUP(C439,#REF!,4,0),IF(B439="SINAPI",VLOOKUP(C439,#REF!,5,0),IF(B439="EDIF",VLOOKUP(C439,#REF!,4,0),IF(B439="CPOS",VLOOKUP(C439,#REF!,7,0),IF(B439="FDE",VLOOKUP(C439,#REF!,5,0),IF(B439="INFRA",VLOOKUP(C439,#REF!,4,0),""))))))*VLOOKUP(B439,#REF!,3,0),"")</f>
        <v/>
      </c>
      <c r="H439" s="986"/>
      <c r="I439" s="987" t="str">
        <f t="shared" si="26"/>
        <v/>
      </c>
      <c r="J439" s="988">
        <v>54589.599999999999</v>
      </c>
      <c r="K439" s="52"/>
      <c r="L439" s="940"/>
    </row>
    <row r="440" spans="1:12" s="25" customFormat="1" ht="27" customHeight="1">
      <c r="A440" s="1015"/>
      <c r="B440" s="1015"/>
      <c r="C440" s="1023"/>
      <c r="D440" s="984" t="str">
        <f>IFERROR(UPPER(IF(B440="CPU",VLOOKUP(C440,#REF!,2,0),IF(B440="SINAPI",VLOOKUP(C440,#REF!,2,0),IF(B440="EDIF",VLOOKUP(C440,#REF!,2,0),IF(B440="CPOS",VLOOKUP(C440,#REF!,3,0),IF(B440="FDE",VLOOKUP(C440,#REF!,2,0),IF(B440="INFRA",VLOOKUP(C440,#REF!,2,0),""))))))),"")</f>
        <v/>
      </c>
      <c r="E440" s="78" t="str">
        <f>IFERROR(UPPER(IF(B440="CPU",VLOOKUP(C440,#REF!,3,0),IF(B440="SINAPI",VLOOKUP(C440,#REF!,3,0),IF(B440="EDIF",VLOOKUP(C440,#REF!,3,0),IF(B440="CPOS",VLOOKUP(C440,#REF!,4,0),IF(B440="FDE",VLOOKUP(C440,#REF!,3,0),IF(B440="INFRA",VLOOKUP(C440,#REF!,3,0),""))))))),"")</f>
        <v/>
      </c>
      <c r="F440" s="936"/>
      <c r="G440" s="985" t="str">
        <f>IFERROR(IF(B440="CPU",VLOOKUP(C440,#REF!,4,0),IF(B440="SINAPI",VLOOKUP(C440,#REF!,5,0),IF(B440="EDIF",VLOOKUP(C440,#REF!,4,0),IF(B440="CPOS",VLOOKUP(C440,#REF!,7,0),IF(B440="FDE",VLOOKUP(C440,#REF!,5,0),IF(B440="INFRA",VLOOKUP(C440,#REF!,4,0),""))))))*VLOOKUP(B440,#REF!,3,0),"")</f>
        <v/>
      </c>
      <c r="H440" s="986"/>
      <c r="I440" s="987" t="str">
        <f t="shared" si="26"/>
        <v/>
      </c>
      <c r="J440" s="988"/>
      <c r="K440" s="52"/>
      <c r="L440" s="940"/>
    </row>
    <row r="441" spans="1:12" s="25" customFormat="1" ht="27" customHeight="1">
      <c r="A441" s="998">
        <v>20</v>
      </c>
      <c r="B441" s="999"/>
      <c r="C441" s="999"/>
      <c r="D441" s="1000" t="s">
        <v>324</v>
      </c>
      <c r="E441" s="967" t="str">
        <f>IFERROR(UPPER(IF(B441="CPU",VLOOKUP(C441,#REF!,3,0),IF(B441="SINAPI",VLOOKUP(C441,#REF!,3,0),IF(B441="EDIF",VLOOKUP(C441,#REF!,3,0),IF(B441="CPOS",VLOOKUP(C441,#REF!,4,0),IF(B441="FDE",VLOOKUP(C441,#REF!,3,0),IF(B441="INFRA",VLOOKUP(C441,#REF!,3,0),""))))))),"")</f>
        <v/>
      </c>
      <c r="F441" s="968"/>
      <c r="G441" s="969" t="str">
        <f>IFERROR(IF(B441="CPU",VLOOKUP(C441,#REF!,4,0),IF(B441="SINAPI",VLOOKUP(C441,#REF!,5,0),IF(B441="EDIF",VLOOKUP(C441,#REF!,4,0),IF(B441="CPOS",VLOOKUP(C441,#REF!,7,0),IF(B441="FDE",VLOOKUP(C441,#REF!,5,0),IF(B441="INFRA",VLOOKUP(C441,#REF!,4,0),""))))))*VLOOKUP(B441,#REF!,3,0),"")</f>
        <v/>
      </c>
      <c r="H441" s="968"/>
      <c r="I441" s="1005">
        <f>SUM(I442+I449+I461)</f>
        <v>0</v>
      </c>
      <c r="J441" s="988"/>
      <c r="K441" s="52"/>
      <c r="L441" s="940"/>
    </row>
    <row r="442" spans="1:12" s="25" customFormat="1" ht="27" customHeight="1">
      <c r="A442" s="1036" t="s">
        <v>5529</v>
      </c>
      <c r="B442" s="1037"/>
      <c r="C442" s="1037"/>
      <c r="D442" s="1038" t="s">
        <v>5991</v>
      </c>
      <c r="E442" s="1037"/>
      <c r="F442" s="1037"/>
      <c r="G442" s="1037"/>
      <c r="H442" s="1042"/>
      <c r="I442" s="981">
        <f>SUM(I443:I447)</f>
        <v>0</v>
      </c>
      <c r="J442" s="988"/>
      <c r="K442" s="52"/>
      <c r="L442" s="940"/>
    </row>
    <row r="443" spans="1:12" s="25" customFormat="1" ht="27" customHeight="1">
      <c r="A443" s="933" t="s">
        <v>5992</v>
      </c>
      <c r="B443" s="933" t="s">
        <v>4872</v>
      </c>
      <c r="C443" s="1012">
        <v>100462</v>
      </c>
      <c r="D443" s="984" t="str">
        <f>IFERROR(UPPER(IF(B443="CPU",VLOOKUP(C443,#REF!,2,0),IF(B443="SINAPI",VLOOKUP(C443,#REF!,2,0),IF(B443="EDIF",VLOOKUP(C443,#REF!,2,0),IF(B443="CPOS",VLOOKUP(C443,#REF!,3,0),IF(B443="FDE",VLOOKUP(C443,#REF!,2,0),IF(B443="INFRA",VLOOKUP(C443,#REF!,2,0),""))))))),"")</f>
        <v/>
      </c>
      <c r="E443" s="78" t="str">
        <f>IFERROR(UPPER(IF(B443="CPU",VLOOKUP(C443,#REF!,3,0),IF(B443="SINAPI",VLOOKUP(C443,#REF!,3,0),IF(B443="EDIF",VLOOKUP(C443,#REF!,3,0),IF(B443="CPOS",VLOOKUP(C443,#REF!,4,0),IF(B443="FDE",VLOOKUP(C443,#REF!,3,0),IF(B443="INFRA",VLOOKUP(C443,#REF!,3,0),""))))))),"")</f>
        <v/>
      </c>
      <c r="F443" s="936">
        <v>2000</v>
      </c>
      <c r="G443" s="985" t="str">
        <f>IFERROR(IF(B443="CPU",VLOOKUP(C443,#REF!,4,0),IF(B443="SINAPI",VLOOKUP(C443,#REF!,5,0),IF(B443="EDIF",VLOOKUP(C443,#REF!,4,0),IF(B443="CPOS",VLOOKUP(C443,#REF!,7,0),IF(B443="FDE",VLOOKUP(C443,#REF!,5,0),IF(B443="INFRA",VLOOKUP(C443,#REF!,4,0),""))))))*VLOOKUP(B443,#REF!,3,0),"")</f>
        <v/>
      </c>
      <c r="H443" s="986">
        <v>0.25</v>
      </c>
      <c r="I443" s="987" t="str">
        <f t="shared" ref="I443:I448" si="27">IFERROR(F443*((G443*(1+H443))),"")</f>
        <v/>
      </c>
      <c r="J443" s="988">
        <v>48225</v>
      </c>
      <c r="K443" s="52"/>
      <c r="L443" s="940"/>
    </row>
    <row r="444" spans="1:12" s="25" customFormat="1" ht="27" customHeight="1">
      <c r="A444" s="933" t="s">
        <v>5993</v>
      </c>
      <c r="B444" s="933" t="s">
        <v>4872</v>
      </c>
      <c r="C444" s="1012">
        <v>100463</v>
      </c>
      <c r="D444" s="984" t="str">
        <f>IFERROR(UPPER(IF(B444="CPU",VLOOKUP(C444,#REF!,2,0),IF(B444="SINAPI",VLOOKUP(C444,#REF!,2,0),IF(B444="EDIF",VLOOKUP(C444,#REF!,2,0),IF(B444="CPOS",VLOOKUP(C444,#REF!,3,0),IF(B444="FDE",VLOOKUP(C444,#REF!,2,0),IF(B444="INFRA",VLOOKUP(C444,#REF!,2,0),""))))))),"")</f>
        <v/>
      </c>
      <c r="E444" s="78" t="str">
        <f>IFERROR(UPPER(IF(B444="CPU",VLOOKUP(C444,#REF!,3,0),IF(B444="SINAPI",VLOOKUP(C444,#REF!,3,0),IF(B444="EDIF",VLOOKUP(C444,#REF!,3,0),IF(B444="CPOS",VLOOKUP(C444,#REF!,4,0),IF(B444="FDE",VLOOKUP(C444,#REF!,3,0),IF(B444="INFRA",VLOOKUP(C444,#REF!,3,0),""))))))),"")</f>
        <v/>
      </c>
      <c r="F444" s="936">
        <v>1000</v>
      </c>
      <c r="G444" s="985" t="str">
        <f>IFERROR(IF(B444="CPU",VLOOKUP(C444,#REF!,4,0),IF(B444="SINAPI",VLOOKUP(C444,#REF!,5,0),IF(B444="EDIF",VLOOKUP(C444,#REF!,4,0),IF(B444="CPOS",VLOOKUP(C444,#REF!,7,0),IF(B444="FDE",VLOOKUP(C444,#REF!,5,0),IF(B444="INFRA",VLOOKUP(C444,#REF!,4,0),""))))))*VLOOKUP(B444,#REF!,3,0),"")</f>
        <v/>
      </c>
      <c r="H444" s="986">
        <v>0.25</v>
      </c>
      <c r="I444" s="987" t="str">
        <f t="shared" si="27"/>
        <v/>
      </c>
      <c r="J444" s="988">
        <v>31825</v>
      </c>
      <c r="K444" s="52"/>
      <c r="L444" s="940"/>
    </row>
    <row r="445" spans="1:12" s="25" customFormat="1" ht="27" customHeight="1">
      <c r="A445" s="933" t="s">
        <v>5994</v>
      </c>
      <c r="B445" s="933" t="s">
        <v>4872</v>
      </c>
      <c r="C445" s="1012">
        <v>100464</v>
      </c>
      <c r="D445" s="984" t="str">
        <f>IFERROR(UPPER(IF(B445="CPU",VLOOKUP(C445,#REF!,2,0),IF(B445="SINAPI",VLOOKUP(C445,#REF!,2,0),IF(B445="EDIF",VLOOKUP(C445,#REF!,2,0),IF(B445="CPOS",VLOOKUP(C445,#REF!,3,0),IF(B445="FDE",VLOOKUP(C445,#REF!,2,0),IF(B445="INFRA",VLOOKUP(C445,#REF!,2,0),""))))))),"")</f>
        <v/>
      </c>
      <c r="E445" s="78" t="str">
        <f>IFERROR(UPPER(IF(B445="CPU",VLOOKUP(C445,#REF!,3,0),IF(B445="SINAPI",VLOOKUP(C445,#REF!,3,0),IF(B445="EDIF",VLOOKUP(C445,#REF!,3,0),IF(B445="CPOS",VLOOKUP(C445,#REF!,4,0),IF(B445="FDE",VLOOKUP(C445,#REF!,3,0),IF(B445="INFRA",VLOOKUP(C445,#REF!,3,0),""))))))),"")</f>
        <v/>
      </c>
      <c r="F445" s="936">
        <v>1000</v>
      </c>
      <c r="G445" s="985" t="str">
        <f>IFERROR(IF(B445="CPU",VLOOKUP(C445,#REF!,4,0),IF(B445="SINAPI",VLOOKUP(C445,#REF!,5,0),IF(B445="EDIF",VLOOKUP(C445,#REF!,4,0),IF(B445="CPOS",VLOOKUP(C445,#REF!,7,0),IF(B445="FDE",VLOOKUP(C445,#REF!,5,0),IF(B445="INFRA",VLOOKUP(C445,#REF!,4,0),""))))))*VLOOKUP(B445,#REF!,3,0),"")</f>
        <v/>
      </c>
      <c r="H445" s="986">
        <v>0.25</v>
      </c>
      <c r="I445" s="987" t="str">
        <f t="shared" si="27"/>
        <v/>
      </c>
      <c r="J445" s="988">
        <v>39037.5</v>
      </c>
      <c r="K445" s="52"/>
      <c r="L445" s="940"/>
    </row>
    <row r="446" spans="1:12" s="25" customFormat="1" ht="27" customHeight="1">
      <c r="A446" s="933" t="s">
        <v>5995</v>
      </c>
      <c r="B446" s="933" t="s">
        <v>4872</v>
      </c>
      <c r="C446" s="1012">
        <v>100465</v>
      </c>
      <c r="D446" s="984" t="str">
        <f>IFERROR(UPPER(IF(B446="CPU",VLOOKUP(C446,#REF!,2,0),IF(B446="SINAPI",VLOOKUP(C446,#REF!,2,0),IF(B446="EDIF",VLOOKUP(C446,#REF!,2,0),IF(B446="CPOS",VLOOKUP(C446,#REF!,3,0),IF(B446="FDE",VLOOKUP(C446,#REF!,2,0),IF(B446="INFRA",VLOOKUP(C446,#REF!,2,0),""))))))),"")</f>
        <v/>
      </c>
      <c r="E446" s="78" t="str">
        <f>IFERROR(UPPER(IF(B446="CPU",VLOOKUP(C446,#REF!,3,0),IF(B446="SINAPI",VLOOKUP(C446,#REF!,3,0),IF(B446="EDIF",VLOOKUP(C446,#REF!,3,0),IF(B446="CPOS",VLOOKUP(C446,#REF!,4,0),IF(B446="FDE",VLOOKUP(C446,#REF!,3,0),IF(B446="INFRA",VLOOKUP(C446,#REF!,3,0),""))))))),"")</f>
        <v/>
      </c>
      <c r="F446" s="936">
        <v>1000</v>
      </c>
      <c r="G446" s="985" t="str">
        <f>IFERROR(IF(B446="CPU",VLOOKUP(C446,#REF!,4,0),IF(B446="SINAPI",VLOOKUP(C446,#REF!,5,0),IF(B446="EDIF",VLOOKUP(C446,#REF!,4,0),IF(B446="CPOS",VLOOKUP(C446,#REF!,7,0),IF(B446="FDE",VLOOKUP(C446,#REF!,5,0),IF(B446="INFRA",VLOOKUP(C446,#REF!,4,0),""))))))*VLOOKUP(B446,#REF!,3,0),"")</f>
        <v/>
      </c>
      <c r="H446" s="986">
        <v>0.25</v>
      </c>
      <c r="I446" s="987" t="str">
        <f t="shared" si="27"/>
        <v/>
      </c>
      <c r="J446" s="988">
        <v>43825</v>
      </c>
      <c r="K446" s="52"/>
      <c r="L446" s="940"/>
    </row>
    <row r="447" spans="1:12" s="25" customFormat="1" ht="27" customHeight="1">
      <c r="A447" s="933" t="s">
        <v>5996</v>
      </c>
      <c r="B447" s="933" t="s">
        <v>4872</v>
      </c>
      <c r="C447" s="1012">
        <v>100467</v>
      </c>
      <c r="D447" s="984" t="str">
        <f>IFERROR(UPPER(IF(B447="CPU",VLOOKUP(C447,#REF!,2,0),IF(B447="SINAPI",VLOOKUP(C447,#REF!,2,0),IF(B447="EDIF",VLOOKUP(C447,#REF!,2,0),IF(B447="CPOS",VLOOKUP(C447,#REF!,3,0),IF(B447="FDE",VLOOKUP(C447,#REF!,2,0),IF(B447="INFRA",VLOOKUP(C447,#REF!,2,0),""))))))),"")</f>
        <v/>
      </c>
      <c r="E447" s="78" t="str">
        <f>IFERROR(UPPER(IF(B447="CPU",VLOOKUP(C447,#REF!,3,0),IF(B447="SINAPI",VLOOKUP(C447,#REF!,3,0),IF(B447="EDIF",VLOOKUP(C447,#REF!,3,0),IF(B447="CPOS",VLOOKUP(C447,#REF!,4,0),IF(B447="FDE",VLOOKUP(C447,#REF!,3,0),IF(B447="INFRA",VLOOKUP(C447,#REF!,3,0),""))))))),"")</f>
        <v/>
      </c>
      <c r="F447" s="936">
        <v>800</v>
      </c>
      <c r="G447" s="985" t="str">
        <f>IFERROR(IF(B447="CPU",VLOOKUP(C447,#REF!,4,0),IF(B447="SINAPI",VLOOKUP(C447,#REF!,5,0),IF(B447="EDIF",VLOOKUP(C447,#REF!,4,0),IF(B447="CPOS",VLOOKUP(C447,#REF!,7,0),IF(B447="FDE",VLOOKUP(C447,#REF!,5,0),IF(B447="INFRA",VLOOKUP(C447,#REF!,4,0),""))))))*VLOOKUP(B447,#REF!,3,0),"")</f>
        <v/>
      </c>
      <c r="H447" s="986">
        <v>0.25</v>
      </c>
      <c r="I447" s="987" t="str">
        <f t="shared" si="27"/>
        <v/>
      </c>
      <c r="J447" s="988">
        <v>65870</v>
      </c>
      <c r="K447" s="52"/>
      <c r="L447" s="940"/>
    </row>
    <row r="448" spans="1:12" s="25" customFormat="1" ht="27" customHeight="1">
      <c r="A448" s="933"/>
      <c r="B448" s="933"/>
      <c r="C448" s="933"/>
      <c r="D448" s="984" t="str">
        <f>IFERROR(UPPER(IF(B448="CPU",VLOOKUP(C448,#REF!,2,0),IF(B448="SINAPI",VLOOKUP(C448,#REF!,2,0),IF(B448="EDIF",VLOOKUP(C448,#REF!,2,0),IF(B448="CPOS",VLOOKUP(C448,#REF!,3,0),IF(B448="FDE",VLOOKUP(C448,#REF!,2,0),IF(B448="INFRA",VLOOKUP(C448,#REF!,2,0),""))))))),"")</f>
        <v/>
      </c>
      <c r="E448" s="78" t="str">
        <f>IFERROR(UPPER(IF(B448="CPU",VLOOKUP(C448,#REF!,3,0),IF(B448="SINAPI",VLOOKUP(C448,#REF!,3,0),IF(B448="EDIF",VLOOKUP(C448,#REF!,3,0),IF(B448="CPOS",VLOOKUP(C448,#REF!,4,0),IF(B448="FDE",VLOOKUP(C448,#REF!,3,0),IF(B448="INFRA",VLOOKUP(C448,#REF!,3,0),""))))))),"")</f>
        <v/>
      </c>
      <c r="F448" s="936"/>
      <c r="G448" s="985" t="str">
        <f>IFERROR(IF(B448="CPU",VLOOKUP(C448,#REF!,4,0),IF(B448="SINAPI",VLOOKUP(C448,#REF!,5,0),IF(B448="EDIF",VLOOKUP(C448,#REF!,4,0),IF(B448="CPOS",VLOOKUP(C448,#REF!,7,0),IF(B448="FDE",VLOOKUP(C448,#REF!,5,0),IF(B448="INFRA",VLOOKUP(C448,#REF!,4,0),""))))))*VLOOKUP(B448,#REF!,3,0),"")</f>
        <v/>
      </c>
      <c r="H448" s="986"/>
      <c r="I448" s="987" t="str">
        <f t="shared" si="27"/>
        <v/>
      </c>
      <c r="J448" s="988"/>
      <c r="K448" s="52"/>
      <c r="L448" s="940"/>
    </row>
    <row r="449" spans="1:12" s="25" customFormat="1" ht="27" customHeight="1">
      <c r="A449" s="1036" t="s">
        <v>5997</v>
      </c>
      <c r="B449" s="1043"/>
      <c r="C449" s="1043"/>
      <c r="D449" s="1038" t="s">
        <v>5998</v>
      </c>
      <c r="E449" s="1042"/>
      <c r="F449" s="1042"/>
      <c r="G449" s="1042"/>
      <c r="H449" s="1042"/>
      <c r="I449" s="981">
        <f>SUM(I450:I459)</f>
        <v>0</v>
      </c>
      <c r="J449" s="988"/>
      <c r="K449" s="52"/>
      <c r="L449" s="940"/>
    </row>
    <row r="450" spans="1:12" s="25" customFormat="1" ht="27" customHeight="1">
      <c r="A450" s="933" t="s">
        <v>5999</v>
      </c>
      <c r="B450" s="933" t="s">
        <v>4872</v>
      </c>
      <c r="C450" s="1012">
        <v>100930</v>
      </c>
      <c r="D450" s="984" t="str">
        <f>IFERROR(UPPER(IF(B450="CPU",VLOOKUP(C450,#REF!,2,0),IF(B450="SINAPI",VLOOKUP(C450,#REF!,2,0),IF(B450="EDIF",VLOOKUP(C450,#REF!,2,0),IF(B450="CPOS",VLOOKUP(C450,#REF!,3,0),IF(B450="FDE",VLOOKUP(C450,#REF!,2,0),IF(B450="INFRA",VLOOKUP(C450,#REF!,2,0),""))))))),"")</f>
        <v/>
      </c>
      <c r="E450" s="78" t="str">
        <f>IFERROR(UPPER(IF(B450="CPU",VLOOKUP(C450,#REF!,3,0),IF(B450="SINAPI",VLOOKUP(C450,#REF!,3,0),IF(B450="EDIF",VLOOKUP(C450,#REF!,3,0),IF(B450="CPOS",VLOOKUP(C450,#REF!,4,0),IF(B450="FDE",VLOOKUP(C450,#REF!,3,0),IF(B450="INFRA",VLOOKUP(C450,#REF!,3,0),""))))))),"")</f>
        <v/>
      </c>
      <c r="F450" s="936">
        <v>1000</v>
      </c>
      <c r="G450" s="985" t="str">
        <f>IFERROR(IF(B450="CPU",VLOOKUP(C450,#REF!,4,0),IF(B450="SINAPI",VLOOKUP(C450,#REF!,5,0),IF(B450="EDIF",VLOOKUP(C450,#REF!,4,0),IF(B450="CPOS",VLOOKUP(C450,#REF!,7,0),IF(B450="FDE",VLOOKUP(C450,#REF!,5,0),IF(B450="INFRA",VLOOKUP(C450,#REF!,4,0),""))))))*VLOOKUP(B450,#REF!,3,0),"")</f>
        <v/>
      </c>
      <c r="H450" s="986">
        <v>0.25</v>
      </c>
      <c r="I450" s="987" t="str">
        <f t="shared" ref="I450:I459" si="28">IFERROR(F450*((G450*(1+H450))),"")</f>
        <v/>
      </c>
      <c r="J450" s="988">
        <v>29425</v>
      </c>
      <c r="K450" s="52"/>
      <c r="L450" s="940"/>
    </row>
    <row r="451" spans="1:12" s="25" customFormat="1" ht="27" customHeight="1">
      <c r="A451" s="933" t="s">
        <v>6000</v>
      </c>
      <c r="B451" s="933" t="s">
        <v>4872</v>
      </c>
      <c r="C451" s="1012">
        <v>100931</v>
      </c>
      <c r="D451" s="984" t="str">
        <f>IFERROR(UPPER(IF(B451="CPU",VLOOKUP(C451,#REF!,2,0),IF(B451="SINAPI",VLOOKUP(C451,#REF!,2,0),IF(B451="EDIF",VLOOKUP(C451,#REF!,2,0),IF(B451="CPOS",VLOOKUP(C451,#REF!,3,0),IF(B451="FDE",VLOOKUP(C451,#REF!,2,0),IF(B451="INFRA",VLOOKUP(C451,#REF!,2,0),""))))))),"")</f>
        <v/>
      </c>
      <c r="E451" s="78" t="str">
        <f>IFERROR(UPPER(IF(B451="CPU",VLOOKUP(C451,#REF!,3,0),IF(B451="SINAPI",VLOOKUP(C451,#REF!,3,0),IF(B451="EDIF",VLOOKUP(C451,#REF!,3,0),IF(B451="CPOS",VLOOKUP(C451,#REF!,4,0),IF(B451="FDE",VLOOKUP(C451,#REF!,3,0),IF(B451="INFRA",VLOOKUP(C451,#REF!,3,0),""))))))),"")</f>
        <v/>
      </c>
      <c r="F451" s="936">
        <v>1800</v>
      </c>
      <c r="G451" s="985" t="str">
        <f>IFERROR(IF(B451="CPU",VLOOKUP(C451,#REF!,4,0),IF(B451="SINAPI",VLOOKUP(C451,#REF!,5,0),IF(B451="EDIF",VLOOKUP(C451,#REF!,4,0),IF(B451="CPOS",VLOOKUP(C451,#REF!,7,0),IF(B451="FDE",VLOOKUP(C451,#REF!,5,0),IF(B451="INFRA",VLOOKUP(C451,#REF!,4,0),""))))))*VLOOKUP(B451,#REF!,3,0),"")</f>
        <v/>
      </c>
      <c r="H451" s="986">
        <v>0.25</v>
      </c>
      <c r="I451" s="987" t="str">
        <f t="shared" si="28"/>
        <v/>
      </c>
      <c r="J451" s="988">
        <v>66825</v>
      </c>
      <c r="K451" s="52"/>
      <c r="L451" s="940"/>
    </row>
    <row r="452" spans="1:12" s="25" customFormat="1" ht="27" customHeight="1">
      <c r="A452" s="933" t="s">
        <v>6001</v>
      </c>
      <c r="B452" s="933" t="s">
        <v>4872</v>
      </c>
      <c r="C452" s="1012">
        <v>100932</v>
      </c>
      <c r="D452" s="984" t="str">
        <f>IFERROR(UPPER(IF(B452="CPU",VLOOKUP(C452,#REF!,2,0),IF(B452="SINAPI",VLOOKUP(C452,#REF!,2,0),IF(B452="EDIF",VLOOKUP(C452,#REF!,2,0),IF(B452="CPOS",VLOOKUP(C452,#REF!,3,0),IF(B452="FDE",VLOOKUP(C452,#REF!,2,0),IF(B452="INFRA",VLOOKUP(C452,#REF!,2,0),""))))))),"")</f>
        <v/>
      </c>
      <c r="E452" s="78" t="str">
        <f>IFERROR(UPPER(IF(B452="CPU",VLOOKUP(C452,#REF!,3,0),IF(B452="SINAPI",VLOOKUP(C452,#REF!,3,0),IF(B452="EDIF",VLOOKUP(C452,#REF!,3,0),IF(B452="CPOS",VLOOKUP(C452,#REF!,4,0),IF(B452="FDE",VLOOKUP(C452,#REF!,3,0),IF(B452="INFRA",VLOOKUP(C452,#REF!,3,0),""))))))),"")</f>
        <v/>
      </c>
      <c r="F452" s="936">
        <v>2000</v>
      </c>
      <c r="G452" s="985" t="str">
        <f>IFERROR(IF(B452="CPU",VLOOKUP(C452,#REF!,4,0),IF(B452="SINAPI",VLOOKUP(C452,#REF!,5,0),IF(B452="EDIF",VLOOKUP(C452,#REF!,4,0),IF(B452="CPOS",VLOOKUP(C452,#REF!,7,0),IF(B452="FDE",VLOOKUP(C452,#REF!,5,0),IF(B452="INFRA",VLOOKUP(C452,#REF!,4,0),""))))))*VLOOKUP(B452,#REF!,3,0),"")</f>
        <v/>
      </c>
      <c r="H452" s="986">
        <v>0.25</v>
      </c>
      <c r="I452" s="987" t="str">
        <f t="shared" si="28"/>
        <v/>
      </c>
      <c r="J452" s="988">
        <v>110025</v>
      </c>
      <c r="K452" s="52"/>
      <c r="L452" s="940"/>
    </row>
    <row r="453" spans="1:12" s="25" customFormat="1" ht="27" customHeight="1">
      <c r="A453" s="933" t="s">
        <v>6002</v>
      </c>
      <c r="B453" s="933" t="s">
        <v>4872</v>
      </c>
      <c r="C453" s="1012">
        <v>100933</v>
      </c>
      <c r="D453" s="984" t="str">
        <f>IFERROR(UPPER(IF(B453="CPU",VLOOKUP(C453,#REF!,2,0),IF(B453="SINAPI",VLOOKUP(C453,#REF!,2,0),IF(B453="EDIF",VLOOKUP(C453,#REF!,2,0),IF(B453="CPOS",VLOOKUP(C453,#REF!,3,0),IF(B453="FDE",VLOOKUP(C453,#REF!,2,0),IF(B453="INFRA",VLOOKUP(C453,#REF!,2,0),""))))))),"")</f>
        <v/>
      </c>
      <c r="E453" s="78" t="str">
        <f>IFERROR(UPPER(IF(B453="CPU",VLOOKUP(C453,#REF!,3,0),IF(B453="SINAPI",VLOOKUP(C453,#REF!,3,0),IF(B453="EDIF",VLOOKUP(C453,#REF!,3,0),IF(B453="CPOS",VLOOKUP(C453,#REF!,4,0),IF(B453="FDE",VLOOKUP(C453,#REF!,3,0),IF(B453="INFRA",VLOOKUP(C453,#REF!,3,0),""))))))),"")</f>
        <v/>
      </c>
      <c r="F453" s="936">
        <v>5000</v>
      </c>
      <c r="G453" s="985" t="str">
        <f>IFERROR(IF(B453="CPU",VLOOKUP(C453,#REF!,4,0),IF(B453="SINAPI",VLOOKUP(C453,#REF!,5,0),IF(B453="EDIF",VLOOKUP(C453,#REF!,4,0),IF(B453="CPOS",VLOOKUP(C453,#REF!,7,0),IF(B453="FDE",VLOOKUP(C453,#REF!,5,0),IF(B453="INFRA",VLOOKUP(C453,#REF!,4,0),""))))))*VLOOKUP(B453,#REF!,3,0),"")</f>
        <v/>
      </c>
      <c r="H453" s="986">
        <v>0.25</v>
      </c>
      <c r="I453" s="987" t="str">
        <f t="shared" si="28"/>
        <v/>
      </c>
      <c r="J453" s="988">
        <v>328250</v>
      </c>
      <c r="K453" s="52"/>
      <c r="L453" s="940"/>
    </row>
    <row r="454" spans="1:12" s="25" customFormat="1" ht="27" customHeight="1">
      <c r="A454" s="933" t="s">
        <v>6003</v>
      </c>
      <c r="B454" s="933" t="s">
        <v>1479</v>
      </c>
      <c r="C454" s="1012" t="s">
        <v>6004</v>
      </c>
      <c r="D454" s="984" t="str">
        <f>IFERROR(UPPER(IF(B454="CPU",VLOOKUP(C454,#REF!,2,0),IF(B454="SINAPI",VLOOKUP(C454,#REF!,2,0),IF(B454="EDIF",VLOOKUP(C454,#REF!,2,0),IF(B454="CPOS",VLOOKUP(C454,#REF!,3,0),IF(B454="FDE",VLOOKUP(C454,#REF!,2,0),IF(B454="INFRA",VLOOKUP(C454,#REF!,2,0),""))))))),"")</f>
        <v/>
      </c>
      <c r="E454" s="78" t="str">
        <f>IFERROR(UPPER(IF(B454="CPU",VLOOKUP(C454,#REF!,3,0),IF(B454="SINAPI",VLOOKUP(C454,#REF!,3,0),IF(B454="EDIF",VLOOKUP(C454,#REF!,3,0),IF(B454="CPOS",VLOOKUP(C454,#REF!,4,0),IF(B454="FDE",VLOOKUP(C454,#REF!,3,0),IF(B454="INFRA",VLOOKUP(C454,#REF!,3,0),""))))))),"")</f>
        <v/>
      </c>
      <c r="F454" s="936">
        <v>3000</v>
      </c>
      <c r="G454" s="985" t="str">
        <f>IFERROR(IF(B454="CPU",VLOOKUP(C454,#REF!,4,0),IF(B454="SINAPI",VLOOKUP(C454,#REF!,5,0),IF(B454="EDIF",VLOOKUP(C454,#REF!,4,0),IF(B454="CPOS",VLOOKUP(C454,#REF!,7,0),IF(B454="FDE",VLOOKUP(C454,#REF!,5,0),IF(B454="INFRA",VLOOKUP(C454,#REF!,4,0),""))))))*VLOOKUP(B454,#REF!,3,0),"")</f>
        <v/>
      </c>
      <c r="H454" s="986">
        <v>0.25</v>
      </c>
      <c r="I454" s="987" t="str">
        <f t="shared" si="28"/>
        <v/>
      </c>
      <c r="J454" s="988">
        <v>265987.5</v>
      </c>
      <c r="K454" s="52"/>
      <c r="L454" s="940"/>
    </row>
    <row r="455" spans="1:12" s="25" customFormat="1" ht="27" customHeight="1">
      <c r="A455" s="933" t="s">
        <v>6005</v>
      </c>
      <c r="B455" s="933" t="s">
        <v>1479</v>
      </c>
      <c r="C455" s="1012" t="s">
        <v>6006</v>
      </c>
      <c r="D455" s="984" t="str">
        <f>IFERROR(UPPER(IF(B455="CPU",VLOOKUP(C455,#REF!,2,0),IF(B455="SINAPI",VLOOKUP(C455,#REF!,2,0),IF(B455="EDIF",VLOOKUP(C455,#REF!,2,0),IF(B455="CPOS",VLOOKUP(C455,#REF!,3,0),IF(B455="FDE",VLOOKUP(C455,#REF!,2,0),IF(B455="INFRA",VLOOKUP(C455,#REF!,2,0),""))))))),"")</f>
        <v/>
      </c>
      <c r="E455" s="78" t="str">
        <f>IFERROR(UPPER(IF(B455="CPU",VLOOKUP(C455,#REF!,3,0),IF(B455="SINAPI",VLOOKUP(C455,#REF!,3,0),IF(B455="EDIF",VLOOKUP(C455,#REF!,3,0),IF(B455="CPOS",VLOOKUP(C455,#REF!,4,0),IF(B455="FDE",VLOOKUP(C455,#REF!,3,0),IF(B455="INFRA",VLOOKUP(C455,#REF!,3,0),""))))))),"")</f>
        <v/>
      </c>
      <c r="F455" s="936">
        <v>1600</v>
      </c>
      <c r="G455" s="985" t="str">
        <f>IFERROR(IF(B455="CPU",VLOOKUP(C455,#REF!,4,0),IF(B455="SINAPI",VLOOKUP(C455,#REF!,5,0),IF(B455="EDIF",VLOOKUP(C455,#REF!,4,0),IF(B455="CPOS",VLOOKUP(C455,#REF!,7,0),IF(B455="FDE",VLOOKUP(C455,#REF!,5,0),IF(B455="INFRA",VLOOKUP(C455,#REF!,4,0),""))))))*VLOOKUP(B455,#REF!,3,0),"")</f>
        <v/>
      </c>
      <c r="H455" s="986">
        <v>0.25</v>
      </c>
      <c r="I455" s="987" t="str">
        <f t="shared" si="28"/>
        <v/>
      </c>
      <c r="J455" s="988">
        <v>220120</v>
      </c>
      <c r="K455" s="52"/>
      <c r="L455" s="940"/>
    </row>
    <row r="456" spans="1:12" s="25" customFormat="1" ht="27" customHeight="1">
      <c r="A456" s="933" t="s">
        <v>6007</v>
      </c>
      <c r="B456" s="933" t="s">
        <v>1479</v>
      </c>
      <c r="C456" s="78" t="s">
        <v>6008</v>
      </c>
      <c r="D456" s="984" t="str">
        <f>IFERROR(UPPER(IF(B456="CPU",VLOOKUP(C456,#REF!,2,0),IF(B456="SINAPI",VLOOKUP(C456,#REF!,2,0),IF(B456="EDIF",VLOOKUP(C456,#REF!,2,0),IF(B456="CPOS",VLOOKUP(C456,#REF!,3,0),IF(B456="FDE",VLOOKUP(C456,#REF!,2,0),IF(B456="INFRA",VLOOKUP(C456,#REF!,2,0),""))))))),"")</f>
        <v/>
      </c>
      <c r="E456" s="78" t="str">
        <f>IFERROR(UPPER(IF(B456="CPU",VLOOKUP(C456,#REF!,3,0),IF(B456="SINAPI",VLOOKUP(C456,#REF!,3,0),IF(B456="EDIF",VLOOKUP(C456,#REF!,3,0),IF(B456="CPOS",VLOOKUP(C456,#REF!,4,0),IF(B456="FDE",VLOOKUP(C456,#REF!,3,0),IF(B456="INFRA",VLOOKUP(C456,#REF!,3,0),""))))))),"")</f>
        <v/>
      </c>
      <c r="F456" s="936">
        <v>1000</v>
      </c>
      <c r="G456" s="985" t="str">
        <f>IFERROR(IF(B456="CPU",VLOOKUP(C456,#REF!,4,0),IF(B456="SINAPI",VLOOKUP(C456,#REF!,5,0),IF(B456="EDIF",VLOOKUP(C456,#REF!,4,0),IF(B456="CPOS",VLOOKUP(C456,#REF!,7,0),IF(B456="FDE",VLOOKUP(C456,#REF!,5,0),IF(B456="INFRA",VLOOKUP(C456,#REF!,4,0),""))))))*VLOOKUP(B456,#REF!,3,0),"")</f>
        <v/>
      </c>
      <c r="H456" s="986">
        <v>0.25</v>
      </c>
      <c r="I456" s="987" t="str">
        <f t="shared" si="28"/>
        <v/>
      </c>
      <c r="J456" s="988">
        <v>34650</v>
      </c>
      <c r="K456" s="52"/>
      <c r="L456" s="940"/>
    </row>
    <row r="457" spans="1:12" s="25" customFormat="1" ht="24.75" customHeight="1">
      <c r="A457" s="933" t="s">
        <v>6009</v>
      </c>
      <c r="B457" s="933" t="s">
        <v>1479</v>
      </c>
      <c r="C457" s="1028" t="s">
        <v>6010</v>
      </c>
      <c r="D457" s="984" t="str">
        <f>IFERROR(UPPER(IF(B457="CPU",VLOOKUP(C457,#REF!,2,0),IF(B457="SINAPI",VLOOKUP(C457,#REF!,2,0),IF(B457="EDIF",VLOOKUP(C457,#REF!,2,0),IF(B457="CPOS",VLOOKUP(C457,#REF!,3,0),IF(B457="FDE",VLOOKUP(C457,#REF!,2,0),IF(B457="INFRA",VLOOKUP(C457,#REF!,2,0),""))))))),"")</f>
        <v/>
      </c>
      <c r="E457" s="78" t="str">
        <f>IFERROR(UPPER(IF(B457="CPU",VLOOKUP(C457,#REF!,3,0),IF(B457="SINAPI",VLOOKUP(C457,#REF!,3,0),IF(B457="EDIF",VLOOKUP(C457,#REF!,3,0),IF(B457="CPOS",VLOOKUP(C457,#REF!,4,0),IF(B457="FDE",VLOOKUP(C457,#REF!,3,0),IF(B457="INFRA",VLOOKUP(C457,#REF!,3,0),""))))))),"")</f>
        <v/>
      </c>
      <c r="F457" s="936">
        <v>800</v>
      </c>
      <c r="G457" s="985" t="str">
        <f>IFERROR(IF(B457="CPU",VLOOKUP(C457,#REF!,4,0),IF(B457="SINAPI",VLOOKUP(C457,#REF!,5,0),IF(B457="EDIF",VLOOKUP(C457,#REF!,4,0),IF(B457="CPOS",VLOOKUP(C457,#REF!,7,0),IF(B457="FDE",VLOOKUP(C457,#REF!,5,0),IF(B457="INFRA",VLOOKUP(C457,#REF!,4,0),""))))))*VLOOKUP(B457,#REF!,3,0),"")</f>
        <v/>
      </c>
      <c r="H457" s="986">
        <v>0.25</v>
      </c>
      <c r="I457" s="987" t="str">
        <f t="shared" si="28"/>
        <v/>
      </c>
      <c r="J457" s="988">
        <v>44560</v>
      </c>
      <c r="K457" s="52"/>
      <c r="L457" s="940"/>
    </row>
    <row r="458" spans="1:12" s="25" customFormat="1" ht="24.75" customHeight="1">
      <c r="A458" s="933" t="s">
        <v>6011</v>
      </c>
      <c r="B458" s="933" t="s">
        <v>1479</v>
      </c>
      <c r="C458" s="1028" t="s">
        <v>6012</v>
      </c>
      <c r="D458" s="984" t="str">
        <f>IFERROR(UPPER(IF(B458="CPU",VLOOKUP(C458,#REF!,2,0),IF(B458="SINAPI",VLOOKUP(C458,#REF!,2,0),IF(B458="EDIF",VLOOKUP(C458,#REF!,2,0),IF(B458="CPOS",VLOOKUP(C458,#REF!,3,0),IF(B458="FDE",VLOOKUP(C458,#REF!,2,0),IF(B458="INFRA",VLOOKUP(C458,#REF!,2,0),""))))))),"")</f>
        <v/>
      </c>
      <c r="E458" s="78" t="str">
        <f>IFERROR(UPPER(IF(B458="CPU",VLOOKUP(C458,#REF!,3,0),IF(B458="SINAPI",VLOOKUP(C458,#REF!,3,0),IF(B458="EDIF",VLOOKUP(C458,#REF!,3,0),IF(B458="CPOS",VLOOKUP(C458,#REF!,4,0),IF(B458="FDE",VLOOKUP(C458,#REF!,3,0),IF(B458="INFRA",VLOOKUP(C458,#REF!,3,0),""))))))),"")</f>
        <v/>
      </c>
      <c r="F458" s="936">
        <v>400</v>
      </c>
      <c r="G458" s="985" t="str">
        <f>IFERROR(IF(B458="CPU",VLOOKUP(C458,#REF!,4,0),IF(B458="SINAPI",VLOOKUP(C458,#REF!,5,0),IF(B458="EDIF",VLOOKUP(C458,#REF!,4,0),IF(B458="CPOS",VLOOKUP(C458,#REF!,7,0),IF(B458="FDE",VLOOKUP(C458,#REF!,5,0),IF(B458="INFRA",VLOOKUP(C458,#REF!,4,0),""))))))*VLOOKUP(B458,#REF!,3,0),"")</f>
        <v/>
      </c>
      <c r="H458" s="986">
        <v>0.25</v>
      </c>
      <c r="I458" s="987" t="str">
        <f t="shared" si="28"/>
        <v/>
      </c>
      <c r="J458" s="988">
        <v>38485</v>
      </c>
      <c r="K458" s="52"/>
      <c r="L458" s="22"/>
    </row>
    <row r="459" spans="1:12" s="25" customFormat="1" ht="24.75" customHeight="1">
      <c r="A459" s="933" t="s">
        <v>6013</v>
      </c>
      <c r="B459" s="933" t="s">
        <v>1479</v>
      </c>
      <c r="C459" s="1012" t="s">
        <v>6014</v>
      </c>
      <c r="D459" s="984" t="str">
        <f>IFERROR(UPPER(IF(B459="CPU",VLOOKUP(C459,#REF!,2,0),IF(B459="SINAPI",VLOOKUP(C459,#REF!,2,0),IF(B459="EDIF",VLOOKUP(C459,#REF!,2,0),IF(B459="CPOS",VLOOKUP(C459,#REF!,3,0),IF(B459="FDE",VLOOKUP(C459,#REF!,2,0),IF(B459="INFRA",VLOOKUP(C459,#REF!,2,0),""))))))),"")</f>
        <v/>
      </c>
      <c r="E459" s="78" t="str">
        <f>IFERROR(UPPER(IF(B459="CPU",VLOOKUP(C459,#REF!,3,0),IF(B459="SINAPI",VLOOKUP(C459,#REF!,3,0),IF(B459="EDIF",VLOOKUP(C459,#REF!,3,0),IF(B459="CPOS",VLOOKUP(C459,#REF!,4,0),IF(B459="FDE",VLOOKUP(C459,#REF!,3,0),IF(B459="INFRA",VLOOKUP(C459,#REF!,3,0),""))))))),"")</f>
        <v/>
      </c>
      <c r="F459" s="936">
        <v>500</v>
      </c>
      <c r="G459" s="985" t="str">
        <f>IFERROR(IF(B459="CPU",VLOOKUP(C459,#REF!,4,0),IF(B459="SINAPI",VLOOKUP(C459,#REF!,5,0),IF(B459="EDIF",VLOOKUP(C459,#REF!,4,0),IF(B459="CPOS",VLOOKUP(C459,#REF!,7,0),IF(B459="FDE",VLOOKUP(C459,#REF!,5,0),IF(B459="INFRA",VLOOKUP(C459,#REF!,4,0),""))))))*VLOOKUP(B459,#REF!,3,0),"")</f>
        <v/>
      </c>
      <c r="H459" s="986">
        <v>0.25</v>
      </c>
      <c r="I459" s="987" t="str">
        <f t="shared" si="28"/>
        <v/>
      </c>
      <c r="J459" s="988">
        <v>125468.75</v>
      </c>
      <c r="K459" s="52"/>
      <c r="L459" s="22"/>
    </row>
    <row r="460" spans="1:12" s="25" customFormat="1" ht="24.75" customHeight="1">
      <c r="A460" s="1015"/>
      <c r="B460" s="933"/>
      <c r="C460" s="933"/>
      <c r="D460" s="984"/>
      <c r="E460" s="78"/>
      <c r="F460" s="936"/>
      <c r="G460" s="985"/>
      <c r="H460" s="986"/>
      <c r="I460" s="987"/>
      <c r="J460" s="988"/>
      <c r="K460" s="52"/>
      <c r="L460" s="22"/>
    </row>
    <row r="461" spans="1:12" s="25" customFormat="1" ht="24.75" customHeight="1">
      <c r="A461" s="1036" t="s">
        <v>6015</v>
      </c>
      <c r="B461" s="1043"/>
      <c r="C461" s="1043"/>
      <c r="D461" s="1038" t="s">
        <v>6016</v>
      </c>
      <c r="E461" s="1042"/>
      <c r="F461" s="1042"/>
      <c r="G461" s="1042"/>
      <c r="H461" s="1042"/>
      <c r="I461" s="981">
        <f>SUM(I462:I469)</f>
        <v>0</v>
      </c>
      <c r="J461" s="988"/>
      <c r="K461" s="52"/>
      <c r="L461" s="22"/>
    </row>
    <row r="462" spans="1:12" s="25" customFormat="1" ht="24.75" customHeight="1">
      <c r="A462" s="933" t="s">
        <v>6017</v>
      </c>
      <c r="B462" s="933" t="s">
        <v>1479</v>
      </c>
      <c r="C462" s="1012" t="s">
        <v>6018</v>
      </c>
      <c r="D462" s="984" t="str">
        <f>IFERROR(UPPER(IF(B462="CPU",VLOOKUP(C462,#REF!,2,0),IF(B462="SINAPI",VLOOKUP(C462,#REF!,2,0),IF(B462="EDIF",VLOOKUP(C462,#REF!,2,0),IF(B462="CPOS",VLOOKUP(C462,#REF!,3,0),IF(B462="FDE",VLOOKUP(C462,#REF!,2,0),IF(B462="INFRA",VLOOKUP(C462,#REF!,2,0),""))))))),"")</f>
        <v/>
      </c>
      <c r="E462" s="78" t="str">
        <f>IFERROR(UPPER(IF(B462="CPU",VLOOKUP(C462,#REF!,3,0),IF(B462="SINAPI",VLOOKUP(C462,#REF!,3,0),IF(B462="EDIF",VLOOKUP(C462,#REF!,3,0),IF(B462="CPOS",VLOOKUP(C462,#REF!,4,0),IF(B462="FDE",VLOOKUP(C462,#REF!,3,0),IF(B462="INFRA",VLOOKUP(C462,#REF!,3,0),""))))))),"")</f>
        <v/>
      </c>
      <c r="F462" s="936">
        <v>160</v>
      </c>
      <c r="G462" s="985" t="str">
        <f>IFERROR(IF(B462="CPU",VLOOKUP(C462,#REF!,4,0),IF(B462="SINAPI",VLOOKUP(C462,#REF!,5,0),IF(B462="EDIF",VLOOKUP(C462,#REF!,4,0),IF(B462="CPOS",VLOOKUP(C462,#REF!,7,0),IF(B462="FDE",VLOOKUP(C462,#REF!,5,0),IF(B462="INFRA",VLOOKUP(C462,#REF!,4,0),""))))))*VLOOKUP(B462,#REF!,3,0),"")</f>
        <v/>
      </c>
      <c r="H462" s="986">
        <v>0.25</v>
      </c>
      <c r="I462" s="987" t="str">
        <f t="shared" ref="I462:I469" si="29">IFERROR(F462*((G462*(1+H462))),"")</f>
        <v/>
      </c>
      <c r="J462" s="988">
        <v>14026</v>
      </c>
      <c r="K462" s="52"/>
      <c r="L462" s="22"/>
    </row>
    <row r="463" spans="1:12" s="25" customFormat="1" ht="27" customHeight="1">
      <c r="A463" s="933" t="s">
        <v>6019</v>
      </c>
      <c r="B463" s="933" t="s">
        <v>1479</v>
      </c>
      <c r="C463" s="933" t="s">
        <v>6020</v>
      </c>
      <c r="D463" s="984" t="str">
        <f>IFERROR(UPPER(IF(B463="CPU",VLOOKUP(C463,#REF!,2,0),IF(B463="SINAPI",VLOOKUP(C463,#REF!,2,0),IF(B463="EDIF",VLOOKUP(C463,#REF!,2,0),IF(B463="CPOS",VLOOKUP(C463,#REF!,3,0),IF(B463="FDE",VLOOKUP(C463,#REF!,2,0),IF(B463="INFRA",VLOOKUP(C463,#REF!,2,0),""))))))),"")</f>
        <v/>
      </c>
      <c r="E463" s="78" t="str">
        <f>IFERROR(UPPER(IF(B463="CPU",VLOOKUP(C463,#REF!,3,0),IF(B463="SINAPI",VLOOKUP(C463,#REF!,3,0),IF(B463="EDIF",VLOOKUP(C463,#REF!,3,0),IF(B463="CPOS",VLOOKUP(C463,#REF!,4,0),IF(B463="FDE",VLOOKUP(C463,#REF!,3,0),IF(B463="INFRA",VLOOKUP(C463,#REF!,3,0),""))))))),"")</f>
        <v/>
      </c>
      <c r="F463" s="936">
        <v>65</v>
      </c>
      <c r="G463" s="985" t="str">
        <f>IFERROR(IF(B463="CPU",VLOOKUP(C463,#REF!,4,0),IF(B463="SINAPI",VLOOKUP(C463,#REF!,5,0),IF(B463="EDIF",VLOOKUP(C463,#REF!,4,0),IF(B463="CPOS",VLOOKUP(C463,#REF!,7,0),IF(B463="FDE",VLOOKUP(C463,#REF!,5,0),IF(B463="INFRA",VLOOKUP(C463,#REF!,4,0),""))))))*VLOOKUP(B463,#REF!,3,0),"")</f>
        <v/>
      </c>
      <c r="H463" s="986">
        <v>0.25</v>
      </c>
      <c r="I463" s="987" t="str">
        <f t="shared" si="29"/>
        <v/>
      </c>
      <c r="J463" s="988">
        <v>4240.4375</v>
      </c>
      <c r="K463" s="52"/>
      <c r="L463" s="940"/>
    </row>
    <row r="464" spans="1:12" s="25" customFormat="1" ht="27" customHeight="1">
      <c r="A464" s="933" t="s">
        <v>6021</v>
      </c>
      <c r="B464" s="933" t="s">
        <v>1479</v>
      </c>
      <c r="C464" s="933" t="s">
        <v>6022</v>
      </c>
      <c r="D464" s="984" t="str">
        <f>IFERROR(UPPER(IF(B464="CPU",VLOOKUP(C464,#REF!,2,0),IF(B464="SINAPI",VLOOKUP(C464,#REF!,2,0),IF(B464="EDIF",VLOOKUP(C464,#REF!,2,0),IF(B464="CPOS",VLOOKUP(C464,#REF!,3,0),IF(B464="FDE",VLOOKUP(C464,#REF!,2,0),IF(B464="INFRA",VLOOKUP(C464,#REF!,2,0),""))))))),"")</f>
        <v/>
      </c>
      <c r="E464" s="78" t="str">
        <f>IFERROR(UPPER(IF(B464="CPU",VLOOKUP(C464,#REF!,3,0),IF(B464="SINAPI",VLOOKUP(C464,#REF!,3,0),IF(B464="EDIF",VLOOKUP(C464,#REF!,3,0),IF(B464="CPOS",VLOOKUP(C464,#REF!,4,0),IF(B464="FDE",VLOOKUP(C464,#REF!,3,0),IF(B464="INFRA",VLOOKUP(C464,#REF!,3,0),""))))))),"")</f>
        <v/>
      </c>
      <c r="F464" s="936">
        <v>7</v>
      </c>
      <c r="G464" s="985" t="str">
        <f>IFERROR(IF(B464="CPU",VLOOKUP(C464,#REF!,4,0),IF(B464="SINAPI",VLOOKUP(C464,#REF!,5,0),IF(B464="EDIF",VLOOKUP(C464,#REF!,4,0),IF(B464="CPOS",VLOOKUP(C464,#REF!,7,0),IF(B464="FDE",VLOOKUP(C464,#REF!,5,0),IF(B464="INFRA",VLOOKUP(C464,#REF!,4,0),""))))))*VLOOKUP(B464,#REF!,3,0),"")</f>
        <v/>
      </c>
      <c r="H464" s="986">
        <v>0.25</v>
      </c>
      <c r="I464" s="987" t="str">
        <f t="shared" si="29"/>
        <v/>
      </c>
      <c r="J464" s="988">
        <v>2455.8625000000002</v>
      </c>
      <c r="K464" s="52"/>
      <c r="L464" s="940"/>
    </row>
    <row r="465" spans="1:12" s="25" customFormat="1" ht="27" customHeight="1">
      <c r="A465" s="933" t="s">
        <v>6023</v>
      </c>
      <c r="B465" s="933" t="s">
        <v>1479</v>
      </c>
      <c r="C465" s="933" t="s">
        <v>6024</v>
      </c>
      <c r="D465" s="984" t="str">
        <f>IFERROR(UPPER(IF(B465="CPU",VLOOKUP(C465,#REF!,2,0),IF(B465="SINAPI",VLOOKUP(C465,#REF!,2,0),IF(B465="EDIF",VLOOKUP(C465,#REF!,2,0),IF(B465="CPOS",VLOOKUP(C465,#REF!,3,0),IF(B465="FDE",VLOOKUP(C465,#REF!,2,0),IF(B465="INFRA",VLOOKUP(C465,#REF!,2,0),""))))))),"")</f>
        <v/>
      </c>
      <c r="E465" s="78" t="str">
        <f>IFERROR(UPPER(IF(B465="CPU",VLOOKUP(C465,#REF!,3,0),IF(B465="SINAPI",VLOOKUP(C465,#REF!,3,0),IF(B465="EDIF",VLOOKUP(C465,#REF!,3,0),IF(B465="CPOS",VLOOKUP(C465,#REF!,4,0),IF(B465="FDE",VLOOKUP(C465,#REF!,3,0),IF(B465="INFRA",VLOOKUP(C465,#REF!,3,0),""))))))),"")</f>
        <v/>
      </c>
      <c r="F465" s="936">
        <v>40</v>
      </c>
      <c r="G465" s="985" t="str">
        <f>IFERROR(IF(B465="CPU",VLOOKUP(C465,#REF!,4,0),IF(B465="SINAPI",VLOOKUP(C465,#REF!,5,0),IF(B465="EDIF",VLOOKUP(C465,#REF!,4,0),IF(B465="CPOS",VLOOKUP(C465,#REF!,7,0),IF(B465="FDE",VLOOKUP(C465,#REF!,5,0),IF(B465="INFRA",VLOOKUP(C465,#REF!,4,0),""))))))*VLOOKUP(B465,#REF!,3,0),"")</f>
        <v/>
      </c>
      <c r="H465" s="986">
        <v>0.25</v>
      </c>
      <c r="I465" s="987" t="str">
        <f t="shared" si="29"/>
        <v/>
      </c>
      <c r="J465" s="988">
        <v>412.5</v>
      </c>
      <c r="K465" s="52"/>
      <c r="L465" s="940"/>
    </row>
    <row r="466" spans="1:12" s="25" customFormat="1" ht="27" customHeight="1">
      <c r="A466" s="933" t="s">
        <v>6025</v>
      </c>
      <c r="B466" s="933" t="s">
        <v>1479</v>
      </c>
      <c r="C466" s="933" t="s">
        <v>6026</v>
      </c>
      <c r="D466" s="984" t="str">
        <f>IFERROR(UPPER(IF(B466="CPU",VLOOKUP(C466,#REF!,2,0),IF(B466="SINAPI",VLOOKUP(C466,#REF!,2,0),IF(B466="EDIF",VLOOKUP(C466,#REF!,2,0),IF(B466="CPOS",VLOOKUP(C466,#REF!,3,0),IF(B466="FDE",VLOOKUP(C466,#REF!,2,0),IF(B466="INFRA",VLOOKUP(C466,#REF!,2,0),""))))))),"")</f>
        <v/>
      </c>
      <c r="E466" s="78" t="str">
        <f>IFERROR(UPPER(IF(B466="CPU",VLOOKUP(C466,#REF!,3,0),IF(B466="SINAPI",VLOOKUP(C466,#REF!,3,0),IF(B466="EDIF",VLOOKUP(C466,#REF!,3,0),IF(B466="CPOS",VLOOKUP(C466,#REF!,4,0),IF(B466="FDE",VLOOKUP(C466,#REF!,3,0),IF(B466="INFRA",VLOOKUP(C466,#REF!,3,0),""))))))),"")</f>
        <v/>
      </c>
      <c r="F466" s="936">
        <v>40</v>
      </c>
      <c r="G466" s="985" t="str">
        <f>IFERROR(IF(B466="CPU",VLOOKUP(C466,#REF!,4,0),IF(B466="SINAPI",VLOOKUP(C466,#REF!,5,0),IF(B466="EDIF",VLOOKUP(C466,#REF!,4,0),IF(B466="CPOS",VLOOKUP(C466,#REF!,7,0),IF(B466="FDE",VLOOKUP(C466,#REF!,5,0),IF(B466="INFRA",VLOOKUP(C466,#REF!,4,0),""))))))*VLOOKUP(B466,#REF!,3,0),"")</f>
        <v/>
      </c>
      <c r="H466" s="986">
        <v>0.25</v>
      </c>
      <c r="I466" s="987" t="str">
        <f t="shared" si="29"/>
        <v/>
      </c>
      <c r="J466" s="988">
        <v>37217.5</v>
      </c>
      <c r="K466" s="52"/>
      <c r="L466" s="940"/>
    </row>
    <row r="467" spans="1:12" s="25" customFormat="1" ht="27" customHeight="1">
      <c r="A467" s="933" t="s">
        <v>6027</v>
      </c>
      <c r="B467" s="933" t="s">
        <v>1479</v>
      </c>
      <c r="C467" s="933" t="s">
        <v>6028</v>
      </c>
      <c r="D467" s="984" t="str">
        <f>IFERROR(UPPER(IF(B467="CPU",VLOOKUP(C467,#REF!,2,0),IF(B467="SINAPI",VLOOKUP(C467,#REF!,2,0),IF(B467="EDIF",VLOOKUP(C467,#REF!,2,0),IF(B467="CPOS",VLOOKUP(C467,#REF!,3,0),IF(B467="FDE",VLOOKUP(C467,#REF!,2,0),IF(B467="INFRA",VLOOKUP(C467,#REF!,2,0),""))))))),"")</f>
        <v/>
      </c>
      <c r="E467" s="78" t="str">
        <f>IFERROR(UPPER(IF(B467="CPU",VLOOKUP(C467,#REF!,3,0),IF(B467="SINAPI",VLOOKUP(C467,#REF!,3,0),IF(B467="EDIF",VLOOKUP(C467,#REF!,3,0),IF(B467="CPOS",VLOOKUP(C467,#REF!,4,0),IF(B467="FDE",VLOOKUP(C467,#REF!,3,0),IF(B467="INFRA",VLOOKUP(C467,#REF!,3,0),""))))))),"")</f>
        <v/>
      </c>
      <c r="F467" s="936">
        <v>160</v>
      </c>
      <c r="G467" s="985" t="str">
        <f>IFERROR(IF(B467="CPU",VLOOKUP(C467,#REF!,4,0),IF(B467="SINAPI",VLOOKUP(C467,#REF!,5,0),IF(B467="EDIF",VLOOKUP(C467,#REF!,4,0),IF(B467="CPOS",VLOOKUP(C467,#REF!,7,0),IF(B467="FDE",VLOOKUP(C467,#REF!,5,0),IF(B467="INFRA",VLOOKUP(C467,#REF!,4,0),""))))))*VLOOKUP(B467,#REF!,3,0),"")</f>
        <v/>
      </c>
      <c r="H467" s="986">
        <v>0.25</v>
      </c>
      <c r="I467" s="987" t="str">
        <f t="shared" si="29"/>
        <v/>
      </c>
      <c r="J467" s="988">
        <v>3306</v>
      </c>
      <c r="K467" s="52"/>
      <c r="L467" s="940"/>
    </row>
    <row r="468" spans="1:12" s="25" customFormat="1" ht="27" customHeight="1">
      <c r="A468" s="933" t="s">
        <v>6029</v>
      </c>
      <c r="B468" s="933" t="s">
        <v>1479</v>
      </c>
      <c r="C468" s="933" t="s">
        <v>6030</v>
      </c>
      <c r="D468" s="984" t="str">
        <f>IFERROR(UPPER(IF(B468="CPU",VLOOKUP(C468,#REF!,2,0),IF(B468="SINAPI",VLOOKUP(C468,#REF!,2,0),IF(B468="EDIF",VLOOKUP(C468,#REF!,2,0),IF(B468="CPOS",VLOOKUP(C468,#REF!,3,0),IF(B468="FDE",VLOOKUP(C468,#REF!,2,0),IF(B468="INFRA",VLOOKUP(C468,#REF!,2,0),""))))))),"")</f>
        <v/>
      </c>
      <c r="E468" s="78" t="str">
        <f>IFERROR(UPPER(IF(B468="CPU",VLOOKUP(C468,#REF!,3,0),IF(B468="SINAPI",VLOOKUP(C468,#REF!,3,0),IF(B468="EDIF",VLOOKUP(C468,#REF!,3,0),IF(B468="CPOS",VLOOKUP(C468,#REF!,4,0),IF(B468="FDE",VLOOKUP(C468,#REF!,3,0),IF(B468="INFRA",VLOOKUP(C468,#REF!,3,0),""))))))),"")</f>
        <v/>
      </c>
      <c r="F468" s="936">
        <v>7</v>
      </c>
      <c r="G468" s="985" t="str">
        <f>IFERROR(IF(B468="CPU",VLOOKUP(C468,#REF!,4,0),IF(B468="SINAPI",VLOOKUP(C468,#REF!,5,0),IF(B468="EDIF",VLOOKUP(C468,#REF!,4,0),IF(B468="CPOS",VLOOKUP(C468,#REF!,7,0),IF(B468="FDE",VLOOKUP(C468,#REF!,5,0),IF(B468="INFRA",VLOOKUP(C468,#REF!,4,0),""))))))*VLOOKUP(B468,#REF!,3,0),"")</f>
        <v/>
      </c>
      <c r="H468" s="986">
        <v>0.25</v>
      </c>
      <c r="I468" s="987" t="str">
        <f t="shared" si="29"/>
        <v/>
      </c>
      <c r="J468" s="988">
        <v>2005.5</v>
      </c>
      <c r="K468" s="52"/>
      <c r="L468" s="940"/>
    </row>
    <row r="469" spans="1:12" s="25" customFormat="1" ht="27" customHeight="1">
      <c r="A469" s="933" t="s">
        <v>6031</v>
      </c>
      <c r="B469" s="933" t="s">
        <v>1479</v>
      </c>
      <c r="C469" s="933" t="s">
        <v>6032</v>
      </c>
      <c r="D469" s="984" t="str">
        <f>IFERROR(UPPER(IF(B469="CPU",VLOOKUP(C469,#REF!,2,0),IF(B469="SINAPI",VLOOKUP(C469,#REF!,2,0),IF(B469="EDIF",VLOOKUP(C469,#REF!,2,0),IF(B469="CPOS",VLOOKUP(C469,#REF!,3,0),IF(B469="FDE",VLOOKUP(C469,#REF!,2,0),IF(B469="INFRA",VLOOKUP(C469,#REF!,2,0),""))))))),"")</f>
        <v/>
      </c>
      <c r="E469" s="78" t="str">
        <f>IFERROR(UPPER(IF(B469="CPU",VLOOKUP(C469,#REF!,3,0),IF(B469="SINAPI",VLOOKUP(C469,#REF!,3,0),IF(B469="EDIF",VLOOKUP(C469,#REF!,3,0),IF(B469="CPOS",VLOOKUP(C469,#REF!,4,0),IF(B469="FDE",VLOOKUP(C469,#REF!,3,0),IF(B469="INFRA",VLOOKUP(C469,#REF!,3,0),""))))))),"")</f>
        <v/>
      </c>
      <c r="F469" s="936">
        <v>52</v>
      </c>
      <c r="G469" s="985" t="str">
        <f>IFERROR(IF(B469="CPU",VLOOKUP(C469,#REF!,4,0),IF(B469="SINAPI",VLOOKUP(C469,#REF!,5,0),IF(B469="EDIF",VLOOKUP(C469,#REF!,4,0),IF(B469="CPOS",VLOOKUP(C469,#REF!,7,0),IF(B469="FDE",VLOOKUP(C469,#REF!,5,0),IF(B469="INFRA",VLOOKUP(C469,#REF!,4,0),""))))))*VLOOKUP(B469,#REF!,3,0),"")</f>
        <v/>
      </c>
      <c r="H469" s="986">
        <v>0.25</v>
      </c>
      <c r="I469" s="987" t="str">
        <f t="shared" si="29"/>
        <v/>
      </c>
      <c r="J469" s="988">
        <v>38184.25</v>
      </c>
      <c r="K469" s="52"/>
      <c r="L469" s="940"/>
    </row>
    <row r="470" spans="1:12" s="25" customFormat="1" ht="27" customHeight="1">
      <c r="A470" s="1015"/>
      <c r="B470" s="1015"/>
      <c r="C470" s="1015"/>
      <c r="D470" s="1017"/>
      <c r="E470" s="1018"/>
      <c r="F470" s="1019"/>
      <c r="G470" s="1020"/>
      <c r="H470" s="1021"/>
      <c r="I470" s="1022"/>
      <c r="J470" s="988"/>
      <c r="K470" s="52"/>
      <c r="L470" s="940"/>
    </row>
    <row r="471" spans="1:12" s="25" customFormat="1" ht="27" customHeight="1">
      <c r="A471" s="998">
        <v>21</v>
      </c>
      <c r="B471" s="999"/>
      <c r="C471" s="999"/>
      <c r="D471" s="1000" t="s">
        <v>5122</v>
      </c>
      <c r="E471" s="967"/>
      <c r="F471" s="968"/>
      <c r="G471" s="969"/>
      <c r="H471" s="968"/>
      <c r="I471" s="1005">
        <f>SUM(I472:I491)</f>
        <v>0</v>
      </c>
      <c r="J471" s="988"/>
      <c r="K471" s="52"/>
      <c r="L471" s="940"/>
    </row>
    <row r="472" spans="1:12" s="25" customFormat="1" ht="27" customHeight="1">
      <c r="A472" s="933" t="s">
        <v>6033</v>
      </c>
      <c r="B472" s="933" t="s">
        <v>4872</v>
      </c>
      <c r="C472" s="1012">
        <v>100802</v>
      </c>
      <c r="D472" s="984" t="str">
        <f>IFERROR(UPPER(IF(B472="CPU",VLOOKUP(C472,#REF!,2,0),IF(B472="SINAPI",VLOOKUP(C472,#REF!,2,0),IF(B472="EDIF",VLOOKUP(C472,#REF!,2,0),IF(B472="CPOS",VLOOKUP(C472,#REF!,3,0),IF(B472="FDE",VLOOKUP(C472,#REF!,2,0),IF(B472="INFRA",VLOOKUP(C472,#REF!,2,0),""))))))),"")</f>
        <v/>
      </c>
      <c r="E472" s="78" t="str">
        <f>IFERROR(UPPER(IF(B472="CPU",VLOOKUP(C472,#REF!,3,0),IF(B472="SINAPI",VLOOKUP(C472,#REF!,3,0),IF(B472="EDIF",VLOOKUP(C472,#REF!,3,0),IF(B472="CPOS",VLOOKUP(C472,#REF!,4,0),IF(B472="FDE",VLOOKUP(C472,#REF!,3,0),IF(B472="INFRA",VLOOKUP(C472,#REF!,3,0),""))))))),"")</f>
        <v/>
      </c>
      <c r="F472" s="936">
        <v>500</v>
      </c>
      <c r="G472" s="985" t="str">
        <f>IFERROR(IF(B472="CPU",VLOOKUP(C472,#REF!,4,0),IF(B472="SINAPI",VLOOKUP(C472,#REF!,5,0),IF(B472="EDIF",VLOOKUP(C472,#REF!,4,0),IF(B472="CPOS",VLOOKUP(C472,#REF!,7,0),IF(B472="FDE",VLOOKUP(C472,#REF!,5,0),IF(B472="INFRA",VLOOKUP(C472,#REF!,4,0),""))))))*VLOOKUP(B472,#REF!,3,0),"")</f>
        <v/>
      </c>
      <c r="H472" s="986">
        <v>0.25</v>
      </c>
      <c r="I472" s="987" t="str">
        <f t="shared" ref="I472:I491" si="30">IFERROR(F472*((G472*(1+H472))),"")</f>
        <v/>
      </c>
      <c r="J472" s="988">
        <v>98762.5</v>
      </c>
      <c r="K472" s="52"/>
      <c r="L472" s="940"/>
    </row>
    <row r="473" spans="1:12" s="25" customFormat="1" ht="27" customHeight="1">
      <c r="A473" s="933" t="s">
        <v>6034</v>
      </c>
      <c r="B473" s="933" t="s">
        <v>4872</v>
      </c>
      <c r="C473" s="1012">
        <v>100831</v>
      </c>
      <c r="D473" s="984" t="str">
        <f>IFERROR(UPPER(IF(B473="CPU",VLOOKUP(C473,#REF!,2,0),IF(B473="SINAPI",VLOOKUP(C473,#REF!,2,0),IF(B473="EDIF",VLOOKUP(C473,#REF!,2,0),IF(B473="CPOS",VLOOKUP(C473,#REF!,3,0),IF(B473="FDE",VLOOKUP(C473,#REF!,2,0),IF(B473="INFRA",VLOOKUP(C473,#REF!,2,0),""))))))),"")</f>
        <v/>
      </c>
      <c r="E473" s="78" t="str">
        <f>IFERROR(UPPER(IF(B473="CPU",VLOOKUP(C473,#REF!,3,0),IF(B473="SINAPI",VLOOKUP(C473,#REF!,3,0),IF(B473="EDIF",VLOOKUP(C473,#REF!,3,0),IF(B473="CPOS",VLOOKUP(C473,#REF!,4,0),IF(B473="FDE",VLOOKUP(C473,#REF!,3,0),IF(B473="INFRA",VLOOKUP(C473,#REF!,3,0),""))))))),"")</f>
        <v/>
      </c>
      <c r="F473" s="936">
        <v>8</v>
      </c>
      <c r="G473" s="985" t="str">
        <f>IFERROR(IF(B473="CPU",VLOOKUP(C473,#REF!,4,0),IF(B473="SINAPI",VLOOKUP(C473,#REF!,5,0),IF(B473="EDIF",VLOOKUP(C473,#REF!,4,0),IF(B473="CPOS",VLOOKUP(C473,#REF!,7,0),IF(B473="FDE",VLOOKUP(C473,#REF!,5,0),IF(B473="INFRA",VLOOKUP(C473,#REF!,4,0),""))))))*VLOOKUP(B473,#REF!,3,0),"")</f>
        <v/>
      </c>
      <c r="H473" s="986">
        <v>0.25</v>
      </c>
      <c r="I473" s="987" t="str">
        <f t="shared" si="30"/>
        <v/>
      </c>
      <c r="J473" s="988">
        <v>2550.8000000000002</v>
      </c>
      <c r="K473" s="52"/>
      <c r="L473" s="940"/>
    </row>
    <row r="474" spans="1:12" s="25" customFormat="1" ht="27" customHeight="1">
      <c r="A474" s="933" t="s">
        <v>6035</v>
      </c>
      <c r="B474" s="933" t="s">
        <v>1479</v>
      </c>
      <c r="C474" s="1028" t="s">
        <v>6036</v>
      </c>
      <c r="D474" s="984" t="str">
        <f>IFERROR(UPPER(IF(B474="CPU",VLOOKUP(C474,#REF!,2,0),IF(B474="SINAPI",VLOOKUP(C474,#REF!,2,0),IF(B474="EDIF",VLOOKUP(C474,#REF!,2,0),IF(B474="CPOS",VLOOKUP(C474,#REF!,3,0),IF(B474="FDE",VLOOKUP(C474,#REF!,2,0),IF(B474="INFRA",VLOOKUP(C474,#REF!,2,0),""))))))),"")</f>
        <v/>
      </c>
      <c r="E474" s="78" t="str">
        <f>IFERROR(UPPER(IF(B474="CPU",VLOOKUP(C474,#REF!,3,0),IF(B474="SINAPI",VLOOKUP(C474,#REF!,3,0),IF(B474="EDIF",VLOOKUP(C474,#REF!,3,0),IF(B474="CPOS",VLOOKUP(C474,#REF!,4,0),IF(B474="FDE",VLOOKUP(C474,#REF!,3,0),IF(B474="INFRA",VLOOKUP(C474,#REF!,3,0),""))))))),"")</f>
        <v/>
      </c>
      <c r="F474" s="936">
        <v>14</v>
      </c>
      <c r="G474" s="985" t="str">
        <f>IFERROR(IF(B474="CPU",VLOOKUP(C474,#REF!,4,0),IF(B474="SINAPI",VLOOKUP(C474,#REF!,5,0),IF(B474="EDIF",VLOOKUP(C474,#REF!,4,0),IF(B474="CPOS",VLOOKUP(C474,#REF!,7,0),IF(B474="FDE",VLOOKUP(C474,#REF!,5,0),IF(B474="INFRA",VLOOKUP(C474,#REF!,4,0),""))))))*VLOOKUP(B474,#REF!,3,0),"")</f>
        <v/>
      </c>
      <c r="H474" s="986">
        <v>0.25</v>
      </c>
      <c r="I474" s="987" t="str">
        <f t="shared" si="30"/>
        <v/>
      </c>
      <c r="J474" s="988">
        <v>3994.9</v>
      </c>
      <c r="K474" s="52"/>
      <c r="L474" s="940"/>
    </row>
    <row r="475" spans="1:12" s="25" customFormat="1" ht="27" customHeight="1">
      <c r="A475" s="933" t="s">
        <v>6037</v>
      </c>
      <c r="B475" s="933" t="s">
        <v>1479</v>
      </c>
      <c r="C475" s="1012" t="s">
        <v>6038</v>
      </c>
      <c r="D475" s="984" t="str">
        <f>IFERROR(UPPER(IF(B475="CPU",VLOOKUP(C475,#REF!,2,0),IF(B475="SINAPI",VLOOKUP(C475,#REF!,2,0),IF(B475="EDIF",VLOOKUP(C475,#REF!,2,0),IF(B475="CPOS",VLOOKUP(C475,#REF!,3,0),IF(B475="FDE",VLOOKUP(C475,#REF!,2,0),IF(B475="INFRA",VLOOKUP(C475,#REF!,2,0),""))))))),"")</f>
        <v/>
      </c>
      <c r="E475" s="78" t="str">
        <f>IFERROR(UPPER(IF(B475="CPU",VLOOKUP(C475,#REF!,3,0),IF(B475="SINAPI",VLOOKUP(C475,#REF!,3,0),IF(B475="EDIF",VLOOKUP(C475,#REF!,3,0),IF(B475="CPOS",VLOOKUP(C475,#REF!,4,0),IF(B475="FDE",VLOOKUP(C475,#REF!,3,0),IF(B475="INFRA",VLOOKUP(C475,#REF!,3,0),""))))))),"")</f>
        <v/>
      </c>
      <c r="F475" s="936">
        <v>16</v>
      </c>
      <c r="G475" s="985" t="str">
        <f>IFERROR(IF(B475="CPU",VLOOKUP(C475,#REF!,4,0),IF(B475="SINAPI",VLOOKUP(C475,#REF!,5,0),IF(B475="EDIF",VLOOKUP(C475,#REF!,4,0),IF(B475="CPOS",VLOOKUP(C475,#REF!,7,0),IF(B475="FDE",VLOOKUP(C475,#REF!,5,0),IF(B475="INFRA",VLOOKUP(C475,#REF!,4,0),""))))))*VLOOKUP(B475,#REF!,3,0),"")</f>
        <v/>
      </c>
      <c r="H475" s="986">
        <v>0.25</v>
      </c>
      <c r="I475" s="987" t="str">
        <f t="shared" si="30"/>
        <v/>
      </c>
      <c r="J475" s="988">
        <v>58666.400000000001</v>
      </c>
      <c r="K475" s="52"/>
      <c r="L475" s="940"/>
    </row>
    <row r="476" spans="1:12" s="25" customFormat="1" ht="27" customHeight="1">
      <c r="A476" s="933" t="s">
        <v>6039</v>
      </c>
      <c r="B476" s="933" t="s">
        <v>1479</v>
      </c>
      <c r="C476" s="1012" t="s">
        <v>6040</v>
      </c>
      <c r="D476" s="984" t="str">
        <f>IFERROR(UPPER(IF(B476="CPU",VLOOKUP(C476,#REF!,2,0),IF(B476="SINAPI",VLOOKUP(C476,#REF!,2,0),IF(B476="EDIF",VLOOKUP(C476,#REF!,2,0),IF(B476="CPOS",VLOOKUP(C476,#REF!,3,0),IF(B476="FDE",VLOOKUP(C476,#REF!,2,0),IF(B476="INFRA",VLOOKUP(C476,#REF!,2,0),""))))))),"")</f>
        <v/>
      </c>
      <c r="E476" s="78" t="str">
        <f>IFERROR(UPPER(IF(B476="CPU",VLOOKUP(C476,#REF!,3,0),IF(B476="SINAPI",VLOOKUP(C476,#REF!,3,0),IF(B476="EDIF",VLOOKUP(C476,#REF!,3,0),IF(B476="CPOS",VLOOKUP(C476,#REF!,4,0),IF(B476="FDE",VLOOKUP(C476,#REF!,3,0),IF(B476="INFRA",VLOOKUP(C476,#REF!,3,0),""))))))),"")</f>
        <v/>
      </c>
      <c r="F476" s="936">
        <v>16</v>
      </c>
      <c r="G476" s="985" t="str">
        <f>IFERROR(IF(B476="CPU",VLOOKUP(C476,#REF!,4,0),IF(B476="SINAPI",VLOOKUP(C476,#REF!,5,0),IF(B476="EDIF",VLOOKUP(C476,#REF!,4,0),IF(B476="CPOS",VLOOKUP(C476,#REF!,7,0),IF(B476="FDE",VLOOKUP(C476,#REF!,5,0),IF(B476="INFRA",VLOOKUP(C476,#REF!,4,0),""))))))*VLOOKUP(B476,#REF!,3,0),"")</f>
        <v/>
      </c>
      <c r="H476" s="986">
        <v>0.25</v>
      </c>
      <c r="I476" s="987" t="str">
        <f t="shared" si="30"/>
        <v/>
      </c>
      <c r="J476" s="988">
        <v>1770.2</v>
      </c>
      <c r="K476" s="52"/>
      <c r="L476" s="940"/>
    </row>
    <row r="477" spans="1:12" s="25" customFormat="1" ht="27" customHeight="1">
      <c r="A477" s="933" t="s">
        <v>6041</v>
      </c>
      <c r="B477" s="933" t="s">
        <v>1479</v>
      </c>
      <c r="C477" s="1012" t="s">
        <v>6042</v>
      </c>
      <c r="D477" s="984" t="str">
        <f>IFERROR(UPPER(IF(B477="CPU",VLOOKUP(C477,#REF!,2,0),IF(B477="SINAPI",VLOOKUP(C477,#REF!,2,0),IF(B477="EDIF",VLOOKUP(C477,#REF!,2,0),IF(B477="CPOS",VLOOKUP(C477,#REF!,3,0),IF(B477="FDE",VLOOKUP(C477,#REF!,2,0),IF(B477="INFRA",VLOOKUP(C477,#REF!,2,0),""))))))),"")</f>
        <v/>
      </c>
      <c r="E477" s="78" t="str">
        <f>IFERROR(UPPER(IF(B477="CPU",VLOOKUP(C477,#REF!,3,0),IF(B477="SINAPI",VLOOKUP(C477,#REF!,3,0),IF(B477="EDIF",VLOOKUP(C477,#REF!,3,0),IF(B477="CPOS",VLOOKUP(C477,#REF!,4,0),IF(B477="FDE",VLOOKUP(C477,#REF!,3,0),IF(B477="INFRA",VLOOKUP(C477,#REF!,3,0),""))))))),"")</f>
        <v/>
      </c>
      <c r="F477" s="936">
        <v>16</v>
      </c>
      <c r="G477" s="985" t="str">
        <f>IFERROR(IF(B477="CPU",VLOOKUP(C477,#REF!,4,0),IF(B477="SINAPI",VLOOKUP(C477,#REF!,5,0),IF(B477="EDIF",VLOOKUP(C477,#REF!,4,0),IF(B477="CPOS",VLOOKUP(C477,#REF!,7,0),IF(B477="FDE",VLOOKUP(C477,#REF!,5,0),IF(B477="INFRA",VLOOKUP(C477,#REF!,4,0),""))))))*VLOOKUP(B477,#REF!,3,0),"")</f>
        <v/>
      </c>
      <c r="H477" s="986">
        <v>0.25</v>
      </c>
      <c r="I477" s="987" t="str">
        <f t="shared" si="30"/>
        <v/>
      </c>
      <c r="J477" s="988">
        <v>2656.8</v>
      </c>
      <c r="K477" s="52"/>
      <c r="L477" s="940"/>
    </row>
    <row r="478" spans="1:12" s="25" customFormat="1" ht="27" customHeight="1">
      <c r="A478" s="933" t="s">
        <v>6043</v>
      </c>
      <c r="B478" s="933" t="s">
        <v>1479</v>
      </c>
      <c r="C478" s="1012" t="s">
        <v>6044</v>
      </c>
      <c r="D478" s="984" t="str">
        <f>IFERROR(UPPER(IF(B478="CPU",VLOOKUP(C478,#REF!,2,0),IF(B478="SINAPI",VLOOKUP(C478,#REF!,2,0),IF(B478="EDIF",VLOOKUP(C478,#REF!,2,0),IF(B478="CPOS",VLOOKUP(C478,#REF!,3,0),IF(B478="FDE",VLOOKUP(C478,#REF!,2,0),IF(B478="INFRA",VLOOKUP(C478,#REF!,2,0),""))))))),"")</f>
        <v/>
      </c>
      <c r="E478" s="78" t="str">
        <f>IFERROR(UPPER(IF(B478="CPU",VLOOKUP(C478,#REF!,3,0),IF(B478="SINAPI",VLOOKUP(C478,#REF!,3,0),IF(B478="EDIF",VLOOKUP(C478,#REF!,3,0),IF(B478="CPOS",VLOOKUP(C478,#REF!,4,0),IF(B478="FDE",VLOOKUP(C478,#REF!,3,0),IF(B478="INFRA",VLOOKUP(C478,#REF!,3,0),""))))))),"")</f>
        <v/>
      </c>
      <c r="F478" s="936">
        <v>16</v>
      </c>
      <c r="G478" s="985" t="str">
        <f>IFERROR(IF(B478="CPU",VLOOKUP(C478,#REF!,4,0),IF(B478="SINAPI",VLOOKUP(C478,#REF!,5,0),IF(B478="EDIF",VLOOKUP(C478,#REF!,4,0),IF(B478="CPOS",VLOOKUP(C478,#REF!,7,0),IF(B478="FDE",VLOOKUP(C478,#REF!,5,0),IF(B478="INFRA",VLOOKUP(C478,#REF!,4,0),""))))))*VLOOKUP(B478,#REF!,3,0),"")</f>
        <v/>
      </c>
      <c r="H478" s="986">
        <v>0.25</v>
      </c>
      <c r="I478" s="987" t="str">
        <f t="shared" si="30"/>
        <v/>
      </c>
      <c r="J478" s="988">
        <v>974.6</v>
      </c>
      <c r="K478" s="52"/>
      <c r="L478" s="940"/>
    </row>
    <row r="479" spans="1:12" s="25" customFormat="1" ht="27" customHeight="1">
      <c r="A479" s="933" t="s">
        <v>6045</v>
      </c>
      <c r="B479" s="933" t="s">
        <v>1479</v>
      </c>
      <c r="C479" s="1012" t="s">
        <v>6046</v>
      </c>
      <c r="D479" s="984" t="str">
        <f>IFERROR(UPPER(IF(B479="CPU",VLOOKUP(C479,#REF!,2,0),IF(B479="SINAPI",VLOOKUP(C479,#REF!,2,0),IF(B479="EDIF",VLOOKUP(C479,#REF!,2,0),IF(B479="CPOS",VLOOKUP(C479,#REF!,3,0),IF(B479="FDE",VLOOKUP(C479,#REF!,2,0),IF(B479="INFRA",VLOOKUP(C479,#REF!,2,0),""))))))),"")</f>
        <v/>
      </c>
      <c r="E479" s="78" t="str">
        <f>IFERROR(UPPER(IF(B479="CPU",VLOOKUP(C479,#REF!,3,0),IF(B479="SINAPI",VLOOKUP(C479,#REF!,3,0),IF(B479="EDIF",VLOOKUP(C479,#REF!,3,0),IF(B479="CPOS",VLOOKUP(C479,#REF!,4,0),IF(B479="FDE",VLOOKUP(C479,#REF!,3,0),IF(B479="INFRA",VLOOKUP(C479,#REF!,3,0),""))))))),"")</f>
        <v/>
      </c>
      <c r="F479" s="936">
        <v>16</v>
      </c>
      <c r="G479" s="985" t="str">
        <f>IFERROR(IF(B479="CPU",VLOOKUP(C479,#REF!,4,0),IF(B479="SINAPI",VLOOKUP(C479,#REF!,5,0),IF(B479="EDIF",VLOOKUP(C479,#REF!,4,0),IF(B479="CPOS",VLOOKUP(C479,#REF!,7,0),IF(B479="FDE",VLOOKUP(C479,#REF!,5,0),IF(B479="INFRA",VLOOKUP(C479,#REF!,4,0),""))))))*VLOOKUP(B479,#REF!,3,0),"")</f>
        <v/>
      </c>
      <c r="H479" s="986">
        <v>0.25</v>
      </c>
      <c r="I479" s="987" t="str">
        <f t="shared" si="30"/>
        <v/>
      </c>
      <c r="J479" s="988">
        <v>1084.2</v>
      </c>
      <c r="K479" s="52"/>
      <c r="L479" s="940"/>
    </row>
    <row r="480" spans="1:12" s="25" customFormat="1" ht="27" customHeight="1">
      <c r="A480" s="933" t="s">
        <v>6047</v>
      </c>
      <c r="B480" s="933" t="s">
        <v>1479</v>
      </c>
      <c r="C480" s="1012" t="s">
        <v>6048</v>
      </c>
      <c r="D480" s="984" t="str">
        <f>IFERROR(UPPER(IF(B480="CPU",VLOOKUP(C480,#REF!,2,0),IF(B480="SINAPI",VLOOKUP(C480,#REF!,2,0),IF(B480="EDIF",VLOOKUP(C480,#REF!,2,0),IF(B480="CPOS",VLOOKUP(C480,#REF!,3,0),IF(B480="FDE",VLOOKUP(C480,#REF!,2,0),IF(B480="INFRA",VLOOKUP(C480,#REF!,2,0),""))))))),"")</f>
        <v/>
      </c>
      <c r="E480" s="78" t="str">
        <f>IFERROR(UPPER(IF(B480="CPU",VLOOKUP(C480,#REF!,3,0),IF(B480="SINAPI",VLOOKUP(C480,#REF!,3,0),IF(B480="EDIF",VLOOKUP(C480,#REF!,3,0),IF(B480="CPOS",VLOOKUP(C480,#REF!,4,0),IF(B480="FDE",VLOOKUP(C480,#REF!,3,0),IF(B480="INFRA",VLOOKUP(C480,#REF!,3,0),""))))))),"")</f>
        <v/>
      </c>
      <c r="F480" s="936">
        <v>16</v>
      </c>
      <c r="G480" s="985" t="str">
        <f>IFERROR(IF(B480="CPU",VLOOKUP(C480,#REF!,4,0),IF(B480="SINAPI",VLOOKUP(C480,#REF!,5,0),IF(B480="EDIF",VLOOKUP(C480,#REF!,4,0),IF(B480="CPOS",VLOOKUP(C480,#REF!,7,0),IF(B480="FDE",VLOOKUP(C480,#REF!,5,0),IF(B480="INFRA",VLOOKUP(C480,#REF!,4,0),""))))))*VLOOKUP(B480,#REF!,3,0),"")</f>
        <v/>
      </c>
      <c r="H480" s="986">
        <v>0.25</v>
      </c>
      <c r="I480" s="987" t="str">
        <f t="shared" si="30"/>
        <v/>
      </c>
      <c r="J480" s="988">
        <v>1113.4000000000001</v>
      </c>
      <c r="K480" s="52"/>
      <c r="L480" s="940"/>
    </row>
    <row r="481" spans="1:12" s="25" customFormat="1" ht="27" customHeight="1">
      <c r="A481" s="933" t="s">
        <v>6049</v>
      </c>
      <c r="B481" s="933" t="s">
        <v>1479</v>
      </c>
      <c r="C481" s="1012" t="s">
        <v>6050</v>
      </c>
      <c r="D481" s="984" t="str">
        <f>IFERROR(UPPER(IF(B481="CPU",VLOOKUP(C481,#REF!,2,0),IF(B481="SINAPI",VLOOKUP(C481,#REF!,2,0),IF(B481="EDIF",VLOOKUP(C481,#REF!,2,0),IF(B481="CPOS",VLOOKUP(C481,#REF!,3,0),IF(B481="FDE",VLOOKUP(C481,#REF!,2,0),IF(B481="INFRA",VLOOKUP(C481,#REF!,2,0),""))))))),"")</f>
        <v/>
      </c>
      <c r="E481" s="78" t="str">
        <f>IFERROR(UPPER(IF(B481="CPU",VLOOKUP(C481,#REF!,3,0),IF(B481="SINAPI",VLOOKUP(C481,#REF!,3,0),IF(B481="EDIF",VLOOKUP(C481,#REF!,3,0),IF(B481="CPOS",VLOOKUP(C481,#REF!,4,0),IF(B481="FDE",VLOOKUP(C481,#REF!,3,0),IF(B481="INFRA",VLOOKUP(C481,#REF!,3,0),""))))))),"")</f>
        <v/>
      </c>
      <c r="F481" s="936">
        <v>130</v>
      </c>
      <c r="G481" s="985" t="str">
        <f>IFERROR(IF(B481="CPU",VLOOKUP(C481,#REF!,4,0),IF(B481="SINAPI",VLOOKUP(C481,#REF!,5,0),IF(B481="EDIF",VLOOKUP(C481,#REF!,4,0),IF(B481="CPOS",VLOOKUP(C481,#REF!,7,0),IF(B481="FDE",VLOOKUP(C481,#REF!,5,0),IF(B481="INFRA",VLOOKUP(C481,#REF!,4,0),""))))))*VLOOKUP(B481,#REF!,3,0),"")</f>
        <v/>
      </c>
      <c r="H481" s="986">
        <v>0.25</v>
      </c>
      <c r="I481" s="987" t="str">
        <f t="shared" si="30"/>
        <v/>
      </c>
      <c r="J481" s="988">
        <v>26035.75</v>
      </c>
      <c r="K481" s="52"/>
      <c r="L481" s="940"/>
    </row>
    <row r="482" spans="1:12" s="25" customFormat="1" ht="27" customHeight="1">
      <c r="A482" s="933" t="s">
        <v>6051</v>
      </c>
      <c r="B482" s="933" t="s">
        <v>1479</v>
      </c>
      <c r="C482" s="1028" t="s">
        <v>5914</v>
      </c>
      <c r="D482" s="984" t="str">
        <f>IFERROR(UPPER(IF(B482="CPU",VLOOKUP(C482,#REF!,2,0),IF(B482="SINAPI",VLOOKUP(C482,#REF!,2,0),IF(B482="EDIF",VLOOKUP(C482,#REF!,2,0),IF(B482="CPOS",VLOOKUP(C482,#REF!,3,0),IF(B482="FDE",VLOOKUP(C482,#REF!,2,0),IF(B482="INFRA",VLOOKUP(C482,#REF!,2,0),""))))))),"")</f>
        <v/>
      </c>
      <c r="E482" s="78" t="str">
        <f>IFERROR(UPPER(IF(B482="CPU",VLOOKUP(C482,#REF!,3,0),IF(B482="SINAPI",VLOOKUP(C482,#REF!,3,0),IF(B482="EDIF",VLOOKUP(C482,#REF!,3,0),IF(B482="CPOS",VLOOKUP(C482,#REF!,4,0),IF(B482="FDE",VLOOKUP(C482,#REF!,3,0),IF(B482="INFRA",VLOOKUP(C482,#REF!,3,0),""))))))),"")</f>
        <v/>
      </c>
      <c r="F482" s="936">
        <v>16</v>
      </c>
      <c r="G482" s="985" t="str">
        <f>IFERROR(IF(B482="CPU",VLOOKUP(C482,#REF!,4,0),IF(B482="SINAPI",VLOOKUP(C482,#REF!,5,0),IF(B482="EDIF",VLOOKUP(C482,#REF!,4,0),IF(B482="CPOS",VLOOKUP(C482,#REF!,7,0),IF(B482="FDE",VLOOKUP(C482,#REF!,5,0),IF(B482="INFRA",VLOOKUP(C482,#REF!,4,0),""))))))*VLOOKUP(B482,#REF!,3,0),"")</f>
        <v/>
      </c>
      <c r="H482" s="986">
        <v>0.25</v>
      </c>
      <c r="I482" s="987" t="str">
        <f t="shared" si="30"/>
        <v/>
      </c>
      <c r="J482" s="988">
        <v>4590.2</v>
      </c>
      <c r="K482" s="52"/>
      <c r="L482" s="940"/>
    </row>
    <row r="483" spans="1:12" s="25" customFormat="1" ht="27" customHeight="1">
      <c r="A483" s="933" t="s">
        <v>6052</v>
      </c>
      <c r="B483" s="933" t="s">
        <v>1479</v>
      </c>
      <c r="C483" s="1028" t="s">
        <v>6053</v>
      </c>
      <c r="D483" s="984" t="str">
        <f>IFERROR(UPPER(IF(B483="CPU",VLOOKUP(C483,#REF!,2,0),IF(B483="SINAPI",VLOOKUP(C483,#REF!,2,0),IF(B483="EDIF",VLOOKUP(C483,#REF!,2,0),IF(B483="CPOS",VLOOKUP(C483,#REF!,3,0),IF(B483="FDE",VLOOKUP(C483,#REF!,2,0),IF(B483="INFRA",VLOOKUP(C483,#REF!,2,0),""))))))),"")</f>
        <v/>
      </c>
      <c r="E483" s="78" t="str">
        <f>IFERROR(UPPER(IF(B483="CPU",VLOOKUP(C483,#REF!,3,0),IF(B483="SINAPI",VLOOKUP(C483,#REF!,3,0),IF(B483="EDIF",VLOOKUP(C483,#REF!,3,0),IF(B483="CPOS",VLOOKUP(C483,#REF!,4,0),IF(B483="FDE",VLOOKUP(C483,#REF!,3,0),IF(B483="INFRA",VLOOKUP(C483,#REF!,3,0),""))))))),"")</f>
        <v/>
      </c>
      <c r="F483" s="936">
        <v>120</v>
      </c>
      <c r="G483" s="985" t="str">
        <f>IFERROR(IF(B483="CPU",VLOOKUP(C483,#REF!,4,0),IF(B483="SINAPI",VLOOKUP(C483,#REF!,5,0),IF(B483="EDIF",VLOOKUP(C483,#REF!,4,0),IF(B483="CPOS",VLOOKUP(C483,#REF!,7,0),IF(B483="FDE",VLOOKUP(C483,#REF!,5,0),IF(B483="INFRA",VLOOKUP(C483,#REF!,4,0),""))))))*VLOOKUP(B483,#REF!,3,0),"")</f>
        <v/>
      </c>
      <c r="H483" s="986">
        <v>0.25</v>
      </c>
      <c r="I483" s="987" t="str">
        <f t="shared" si="30"/>
        <v/>
      </c>
      <c r="J483" s="988">
        <v>32778</v>
      </c>
      <c r="K483" s="52"/>
      <c r="L483" s="940"/>
    </row>
    <row r="484" spans="1:12" s="25" customFormat="1" ht="27" customHeight="1">
      <c r="A484" s="933" t="s">
        <v>6054</v>
      </c>
      <c r="B484" s="933" t="s">
        <v>4872</v>
      </c>
      <c r="C484" s="1012">
        <v>91053</v>
      </c>
      <c r="D484" s="984" t="str">
        <f>IFERROR(UPPER(IF(B484="CPU",VLOOKUP(C484,#REF!,2,0),IF(B484="SINAPI",VLOOKUP(C484,#REF!,2,0),IF(B484="EDIF",VLOOKUP(C484,#REF!,2,0),IF(B484="CPOS",VLOOKUP(C484,#REF!,3,0),IF(B484="FDE",VLOOKUP(C484,#REF!,2,0),IF(B484="INFRA",VLOOKUP(C484,#REF!,2,0),""))))))),"")</f>
        <v/>
      </c>
      <c r="E484" s="78" t="str">
        <f>IFERROR(UPPER(IF(B484="CPU",VLOOKUP(C484,#REF!,3,0),IF(B484="SINAPI",VLOOKUP(C484,#REF!,3,0),IF(B484="EDIF",VLOOKUP(C484,#REF!,3,0),IF(B484="CPOS",VLOOKUP(C484,#REF!,4,0),IF(B484="FDE",VLOOKUP(C484,#REF!,3,0),IF(B484="INFRA",VLOOKUP(C484,#REF!,3,0),""))))))),"")</f>
        <v/>
      </c>
      <c r="F484" s="936">
        <v>7</v>
      </c>
      <c r="G484" s="985" t="str">
        <f>IFERROR(IF(B484="CPU",VLOOKUP(C484,#REF!,4,0),IF(B484="SINAPI",VLOOKUP(C484,#REF!,5,0),IF(B484="EDIF",VLOOKUP(C484,#REF!,4,0),IF(B484="CPOS",VLOOKUP(C484,#REF!,7,0),IF(B484="FDE",VLOOKUP(C484,#REF!,5,0),IF(B484="INFRA",VLOOKUP(C484,#REF!,4,0),""))))))*VLOOKUP(B484,#REF!,3,0),"")</f>
        <v/>
      </c>
      <c r="H484" s="986">
        <v>0.25</v>
      </c>
      <c r="I484" s="987" t="str">
        <f t="shared" si="30"/>
        <v/>
      </c>
      <c r="J484" s="988">
        <v>12289.2875</v>
      </c>
      <c r="K484" s="52"/>
      <c r="L484" s="940"/>
    </row>
    <row r="485" spans="1:12" s="25" customFormat="1" ht="27" customHeight="1">
      <c r="A485" s="933" t="s">
        <v>6055</v>
      </c>
      <c r="B485" s="933" t="s">
        <v>1479</v>
      </c>
      <c r="C485" s="1012" t="s">
        <v>6056</v>
      </c>
      <c r="D485" s="984" t="str">
        <f>IFERROR(UPPER(IF(B485="CPU",VLOOKUP(C485,#REF!,2,0),IF(B485="SINAPI",VLOOKUP(C485,#REF!,2,0),IF(B485="EDIF",VLOOKUP(C485,#REF!,2,0),IF(B485="CPOS",VLOOKUP(C485,#REF!,3,0),IF(B485="FDE",VLOOKUP(C485,#REF!,2,0),IF(B485="INFRA",VLOOKUP(C485,#REF!,2,0),""))))))),"")</f>
        <v/>
      </c>
      <c r="E485" s="78" t="str">
        <f>IFERROR(UPPER(IF(B485="CPU",VLOOKUP(C485,#REF!,3,0),IF(B485="SINAPI",VLOOKUP(C485,#REF!,3,0),IF(B485="EDIF",VLOOKUP(C485,#REF!,3,0),IF(B485="CPOS",VLOOKUP(C485,#REF!,4,0),IF(B485="FDE",VLOOKUP(C485,#REF!,3,0),IF(B485="INFRA",VLOOKUP(C485,#REF!,3,0),""))))))),"")</f>
        <v/>
      </c>
      <c r="F485" s="936">
        <v>7</v>
      </c>
      <c r="G485" s="985" t="str">
        <f>IFERROR(IF(B485="CPU",VLOOKUP(C485,#REF!,4,0),IF(B485="SINAPI",VLOOKUP(C485,#REF!,5,0),IF(B485="EDIF",VLOOKUP(C485,#REF!,4,0),IF(B485="CPOS",VLOOKUP(C485,#REF!,7,0),IF(B485="FDE",VLOOKUP(C485,#REF!,5,0),IF(B485="INFRA",VLOOKUP(C485,#REF!,4,0),""))))))*VLOOKUP(B485,#REF!,3,0),"")</f>
        <v/>
      </c>
      <c r="H485" s="986">
        <v>0.25</v>
      </c>
      <c r="I485" s="987" t="str">
        <f t="shared" si="30"/>
        <v/>
      </c>
      <c r="J485" s="988">
        <v>10640.525</v>
      </c>
      <c r="K485" s="52"/>
      <c r="L485" s="940"/>
    </row>
    <row r="486" spans="1:12" s="25" customFormat="1" ht="27" customHeight="1">
      <c r="A486" s="933" t="s">
        <v>6057</v>
      </c>
      <c r="B486" s="933" t="s">
        <v>1479</v>
      </c>
      <c r="C486" s="1012" t="s">
        <v>6058</v>
      </c>
      <c r="D486" s="984" t="str">
        <f>IFERROR(UPPER(IF(B486="CPU",VLOOKUP(C486,#REF!,2,0),IF(B486="SINAPI",VLOOKUP(C486,#REF!,2,0),IF(B486="EDIF",VLOOKUP(C486,#REF!,2,0),IF(B486="CPOS",VLOOKUP(C486,#REF!,3,0),IF(B486="FDE",VLOOKUP(C486,#REF!,2,0),IF(B486="INFRA",VLOOKUP(C486,#REF!,2,0),""))))))),"")</f>
        <v/>
      </c>
      <c r="E486" s="78" t="str">
        <f>IFERROR(UPPER(IF(B486="CPU",VLOOKUP(C486,#REF!,3,0),IF(B486="SINAPI",VLOOKUP(C486,#REF!,3,0),IF(B486="EDIF",VLOOKUP(C486,#REF!,3,0),IF(B486="CPOS",VLOOKUP(C486,#REF!,4,0),IF(B486="FDE",VLOOKUP(C486,#REF!,3,0),IF(B486="INFRA",VLOOKUP(C486,#REF!,3,0),""))))))),"")</f>
        <v/>
      </c>
      <c r="F486" s="936">
        <v>16</v>
      </c>
      <c r="G486" s="985" t="str">
        <f>IFERROR(IF(B486="CPU",VLOOKUP(C486,#REF!,4,0),IF(B486="SINAPI",VLOOKUP(C486,#REF!,5,0),IF(B486="EDIF",VLOOKUP(C486,#REF!,4,0),IF(B486="CPOS",VLOOKUP(C486,#REF!,7,0),IF(B486="FDE",VLOOKUP(C486,#REF!,5,0),IF(B486="INFRA",VLOOKUP(C486,#REF!,4,0),""))))))*VLOOKUP(B486,#REF!,3,0),"")</f>
        <v/>
      </c>
      <c r="H486" s="986">
        <v>0.25</v>
      </c>
      <c r="I486" s="987" t="str">
        <f t="shared" si="30"/>
        <v/>
      </c>
      <c r="J486" s="988">
        <v>2622</v>
      </c>
      <c r="K486" s="52"/>
      <c r="L486" s="940"/>
    </row>
    <row r="487" spans="1:12" s="25" customFormat="1" ht="27" customHeight="1">
      <c r="A487" s="933" t="s">
        <v>6059</v>
      </c>
      <c r="B487" s="933" t="s">
        <v>1479</v>
      </c>
      <c r="C487" s="1012" t="s">
        <v>6060</v>
      </c>
      <c r="D487" s="984" t="str">
        <f>IFERROR(UPPER(IF(B487="CPU",VLOOKUP(C487,#REF!,2,0),IF(B487="SINAPI",VLOOKUP(C487,#REF!,2,0),IF(B487="EDIF",VLOOKUP(C487,#REF!,2,0),IF(B487="CPOS",VLOOKUP(C487,#REF!,3,0),IF(B487="FDE",VLOOKUP(C487,#REF!,2,0),IF(B487="INFRA",VLOOKUP(C487,#REF!,2,0),""))))))),"")</f>
        <v/>
      </c>
      <c r="E487" s="78" t="str">
        <f>IFERROR(UPPER(IF(B487="CPU",VLOOKUP(C487,#REF!,3,0),IF(B487="SINAPI",VLOOKUP(C487,#REF!,3,0),IF(B487="EDIF",VLOOKUP(C487,#REF!,3,0),IF(B487="CPOS",VLOOKUP(C487,#REF!,4,0),IF(B487="FDE",VLOOKUP(C487,#REF!,3,0),IF(B487="INFRA",VLOOKUP(C487,#REF!,3,0),""))))))),"")</f>
        <v/>
      </c>
      <c r="F487" s="936">
        <v>8</v>
      </c>
      <c r="G487" s="985" t="str">
        <f>IFERROR(IF(B487="CPU",VLOOKUP(C487,#REF!,4,0),IF(B487="SINAPI",VLOOKUP(C487,#REF!,5,0),IF(B487="EDIF",VLOOKUP(C487,#REF!,4,0),IF(B487="CPOS",VLOOKUP(C487,#REF!,7,0),IF(B487="FDE",VLOOKUP(C487,#REF!,5,0),IF(B487="INFRA",VLOOKUP(C487,#REF!,4,0),""))))))*VLOOKUP(B487,#REF!,3,0),"")</f>
        <v/>
      </c>
      <c r="H487" s="986">
        <v>0.25</v>
      </c>
      <c r="I487" s="987" t="str">
        <f t="shared" si="30"/>
        <v/>
      </c>
      <c r="J487" s="988">
        <v>7575.7</v>
      </c>
      <c r="K487" s="52"/>
      <c r="L487" s="940"/>
    </row>
    <row r="488" spans="1:12" s="25" customFormat="1" ht="27" customHeight="1">
      <c r="A488" s="933" t="s">
        <v>6061</v>
      </c>
      <c r="B488" s="933" t="s">
        <v>1479</v>
      </c>
      <c r="C488" s="1012" t="s">
        <v>6062</v>
      </c>
      <c r="D488" s="984" t="str">
        <f>IFERROR(UPPER(IF(B488="CPU",VLOOKUP(C488,#REF!,2,0),IF(B488="SINAPI",VLOOKUP(C488,#REF!,2,0),IF(B488="EDIF",VLOOKUP(C488,#REF!,2,0),IF(B488="CPOS",VLOOKUP(C488,#REF!,3,0),IF(B488="FDE",VLOOKUP(C488,#REF!,2,0),IF(B488="INFRA",VLOOKUP(C488,#REF!,2,0),""))))))),"")</f>
        <v/>
      </c>
      <c r="E488" s="78" t="str">
        <f>IFERROR(UPPER(IF(B488="CPU",VLOOKUP(C488,#REF!,3,0),IF(B488="SINAPI",VLOOKUP(C488,#REF!,3,0),IF(B488="EDIF",VLOOKUP(C488,#REF!,3,0),IF(B488="CPOS",VLOOKUP(C488,#REF!,4,0),IF(B488="FDE",VLOOKUP(C488,#REF!,3,0),IF(B488="INFRA",VLOOKUP(C488,#REF!,3,0),""))))))),"")</f>
        <v/>
      </c>
      <c r="F488" s="936">
        <v>8</v>
      </c>
      <c r="G488" s="985" t="str">
        <f>IFERROR(IF(B488="CPU",VLOOKUP(C488,#REF!,4,0),IF(B488="SINAPI",VLOOKUP(C488,#REF!,5,0),IF(B488="EDIF",VLOOKUP(C488,#REF!,4,0),IF(B488="CPOS",VLOOKUP(C488,#REF!,7,0),IF(B488="FDE",VLOOKUP(C488,#REF!,5,0),IF(B488="INFRA",VLOOKUP(C488,#REF!,4,0),""))))))*VLOOKUP(B488,#REF!,3,0),"")</f>
        <v/>
      </c>
      <c r="H488" s="986">
        <v>0.25</v>
      </c>
      <c r="I488" s="987" t="str">
        <f t="shared" si="30"/>
        <v/>
      </c>
      <c r="J488" s="988">
        <v>1145.0999999999999</v>
      </c>
      <c r="K488" s="52"/>
      <c r="L488" s="940"/>
    </row>
    <row r="489" spans="1:12" s="25" customFormat="1" ht="27" customHeight="1">
      <c r="A489" s="933" t="s">
        <v>6063</v>
      </c>
      <c r="B489" s="933" t="s">
        <v>1479</v>
      </c>
      <c r="C489" s="1012" t="s">
        <v>6064</v>
      </c>
      <c r="D489" s="984" t="str">
        <f>IFERROR(UPPER(IF(B489="CPU",VLOOKUP(C489,#REF!,2,0),IF(B489="SINAPI",VLOOKUP(C489,#REF!,2,0),IF(B489="EDIF",VLOOKUP(C489,#REF!,2,0),IF(B489="CPOS",VLOOKUP(C489,#REF!,3,0),IF(B489="FDE",VLOOKUP(C489,#REF!,2,0),IF(B489="INFRA",VLOOKUP(C489,#REF!,2,0),""))))))),"")</f>
        <v/>
      </c>
      <c r="E489" s="78" t="str">
        <f>IFERROR(UPPER(IF(B489="CPU",VLOOKUP(C489,#REF!,3,0),IF(B489="SINAPI",VLOOKUP(C489,#REF!,3,0),IF(B489="EDIF",VLOOKUP(C489,#REF!,3,0),IF(B489="CPOS",VLOOKUP(C489,#REF!,4,0),IF(B489="FDE",VLOOKUP(C489,#REF!,3,0),IF(B489="INFRA",VLOOKUP(C489,#REF!,3,0),""))))))),"")</f>
        <v/>
      </c>
      <c r="F489" s="936">
        <v>15</v>
      </c>
      <c r="G489" s="985" t="str">
        <f>IFERROR(IF(B489="CPU",VLOOKUP(C489,#REF!,4,0),IF(B489="SINAPI",VLOOKUP(C489,#REF!,5,0),IF(B489="EDIF",VLOOKUP(C489,#REF!,4,0),IF(B489="CPOS",VLOOKUP(C489,#REF!,7,0),IF(B489="FDE",VLOOKUP(C489,#REF!,5,0),IF(B489="INFRA",VLOOKUP(C489,#REF!,4,0),""))))))*VLOOKUP(B489,#REF!,3,0),"")</f>
        <v/>
      </c>
      <c r="H489" s="986">
        <v>0.25</v>
      </c>
      <c r="I489" s="987" t="str">
        <f t="shared" si="30"/>
        <v/>
      </c>
      <c r="J489" s="988">
        <v>12747</v>
      </c>
      <c r="K489" s="52"/>
      <c r="L489" s="940"/>
    </row>
    <row r="490" spans="1:12" s="25" customFormat="1" ht="27" customHeight="1">
      <c r="A490" s="933" t="s">
        <v>6065</v>
      </c>
      <c r="B490" s="933" t="s">
        <v>1479</v>
      </c>
      <c r="C490" s="1012" t="s">
        <v>6066</v>
      </c>
      <c r="D490" s="984" t="str">
        <f>IFERROR(UPPER(IF(B490="CPU",VLOOKUP(C490,#REF!,2,0),IF(B490="SINAPI",VLOOKUP(C490,#REF!,2,0),IF(B490="EDIF",VLOOKUP(C490,#REF!,2,0),IF(B490="CPOS",VLOOKUP(C490,#REF!,3,0),IF(B490="FDE",VLOOKUP(C490,#REF!,2,0),IF(B490="INFRA",VLOOKUP(C490,#REF!,2,0),""))))))),"")</f>
        <v/>
      </c>
      <c r="E490" s="78" t="str">
        <f>IFERROR(UPPER(IF(B490="CPU",VLOOKUP(C490,#REF!,3,0),IF(B490="SINAPI",VLOOKUP(C490,#REF!,3,0),IF(B490="EDIF",VLOOKUP(C490,#REF!,3,0),IF(B490="CPOS",VLOOKUP(C490,#REF!,4,0),IF(B490="FDE",VLOOKUP(C490,#REF!,3,0),IF(B490="INFRA",VLOOKUP(C490,#REF!,3,0),""))))))),"")</f>
        <v/>
      </c>
      <c r="F490" s="936">
        <v>20</v>
      </c>
      <c r="G490" s="985" t="str">
        <f>IFERROR(IF(B490="CPU",VLOOKUP(C490,#REF!,4,0),IF(B490="SINAPI",VLOOKUP(C490,#REF!,5,0),IF(B490="EDIF",VLOOKUP(C490,#REF!,4,0),IF(B490="CPOS",VLOOKUP(C490,#REF!,7,0),IF(B490="FDE",VLOOKUP(C490,#REF!,5,0),IF(B490="INFRA",VLOOKUP(C490,#REF!,4,0),""))))))*VLOOKUP(B490,#REF!,3,0),"")</f>
        <v/>
      </c>
      <c r="H490" s="986">
        <v>0.25</v>
      </c>
      <c r="I490" s="987" t="str">
        <f t="shared" si="30"/>
        <v/>
      </c>
      <c r="J490" s="988">
        <v>2817.5</v>
      </c>
      <c r="K490" s="52"/>
      <c r="L490" s="940"/>
    </row>
    <row r="491" spans="1:12" s="25" customFormat="1" ht="27" customHeight="1">
      <c r="A491" s="933" t="s">
        <v>6067</v>
      </c>
      <c r="B491" s="933" t="s">
        <v>1479</v>
      </c>
      <c r="C491" s="1012" t="s">
        <v>6068</v>
      </c>
      <c r="D491" s="984" t="str">
        <f>IFERROR(UPPER(IF(B491="CPU",VLOOKUP(C491,#REF!,2,0),IF(B491="SINAPI",VLOOKUP(C491,#REF!,2,0),IF(B491="EDIF",VLOOKUP(C491,#REF!,2,0),IF(B491="CPOS",VLOOKUP(C491,#REF!,3,0),IF(B491="FDE",VLOOKUP(C491,#REF!,2,0),IF(B491="INFRA",VLOOKUP(C491,#REF!,2,0),""))))))),"")</f>
        <v/>
      </c>
      <c r="E491" s="78" t="str">
        <f>IFERROR(UPPER(IF(B491="CPU",VLOOKUP(C491,#REF!,3,0),IF(B491="SINAPI",VLOOKUP(C491,#REF!,3,0),IF(B491="EDIF",VLOOKUP(C491,#REF!,3,0),IF(B491="CPOS",VLOOKUP(C491,#REF!,4,0),IF(B491="FDE",VLOOKUP(C491,#REF!,3,0),IF(B491="INFRA",VLOOKUP(C491,#REF!,3,0),""))))))),"")</f>
        <v/>
      </c>
      <c r="F491" s="936">
        <v>8</v>
      </c>
      <c r="G491" s="985" t="str">
        <f>IFERROR(IF(B491="CPU",VLOOKUP(C491,#REF!,4,0),IF(B491="SINAPI",VLOOKUP(C491,#REF!,5,0),IF(B491="EDIF",VLOOKUP(C491,#REF!,4,0),IF(B491="CPOS",VLOOKUP(C491,#REF!,7,0),IF(B491="FDE",VLOOKUP(C491,#REF!,5,0),IF(B491="INFRA",VLOOKUP(C491,#REF!,4,0),""))))))*VLOOKUP(B491,#REF!,3,0),"")</f>
        <v/>
      </c>
      <c r="H491" s="986">
        <v>0.25</v>
      </c>
      <c r="I491" s="987" t="str">
        <f t="shared" si="30"/>
        <v/>
      </c>
      <c r="J491" s="988">
        <v>3655.7</v>
      </c>
      <c r="K491" s="52"/>
      <c r="L491" s="940"/>
    </row>
    <row r="492" spans="1:12" s="25" customFormat="1" ht="27" customHeight="1">
      <c r="A492" s="1015"/>
      <c r="B492" s="1015"/>
      <c r="C492" s="1015"/>
      <c r="D492" s="1017"/>
      <c r="E492" s="1018"/>
      <c r="F492" s="1019"/>
      <c r="G492" s="1020"/>
      <c r="H492" s="1021"/>
      <c r="I492" s="1022"/>
      <c r="J492" s="988"/>
      <c r="K492" s="52"/>
      <c r="L492" s="940"/>
    </row>
    <row r="493" spans="1:12" s="25" customFormat="1" ht="27" customHeight="1">
      <c r="A493" s="998">
        <v>22</v>
      </c>
      <c r="B493" s="999"/>
      <c r="C493" s="999"/>
      <c r="D493" s="1000" t="s">
        <v>6069</v>
      </c>
      <c r="E493" s="967"/>
      <c r="F493" s="968"/>
      <c r="G493" s="969"/>
      <c r="H493" s="968"/>
      <c r="I493" s="1005">
        <f>SUM(I494+I505+I513+I520+I526+I530+I534+I537)</f>
        <v>433457.72499999998</v>
      </c>
      <c r="J493" s="988"/>
      <c r="K493" s="52"/>
      <c r="L493" s="940"/>
    </row>
    <row r="494" spans="1:12" s="25" customFormat="1" ht="27" customHeight="1">
      <c r="A494" s="1036" t="s">
        <v>6070</v>
      </c>
      <c r="B494" s="1037"/>
      <c r="C494" s="1037"/>
      <c r="D494" s="1038" t="s">
        <v>6071</v>
      </c>
      <c r="E494" s="1042"/>
      <c r="F494" s="1042"/>
      <c r="G494" s="1042"/>
      <c r="H494" s="1042"/>
      <c r="I494" s="981">
        <f>SUM(I495:I503)</f>
        <v>15150</v>
      </c>
      <c r="J494" s="988"/>
      <c r="K494" s="52"/>
      <c r="L494" s="940"/>
    </row>
    <row r="495" spans="1:12" s="25" customFormat="1" ht="25.5" customHeight="1">
      <c r="A495" s="933" t="s">
        <v>6072</v>
      </c>
      <c r="B495" s="1012" t="s">
        <v>1479</v>
      </c>
      <c r="C495" s="1012" t="s">
        <v>6073</v>
      </c>
      <c r="D495" s="984" t="str">
        <f>IFERROR(UPPER(IF(B495="CPU",VLOOKUP(C495,#REF!,2,0),IF(B495="SINAPI",VLOOKUP(C495,#REF!,2,0),IF(B495="EDIF",VLOOKUP(C495,#REF!,2,0),IF(B495="CPOS",VLOOKUP(C495,#REF!,3,0),IF(B495="FDE",VLOOKUP(C495,#REF!,2,0),IF(B495="INFRA",VLOOKUP(C495,#REF!,2,0),""))))))),"")</f>
        <v/>
      </c>
      <c r="E495" s="78" t="str">
        <f>IFERROR(UPPER(IF(B495="CPU",VLOOKUP(C495,#REF!,3,0),IF(B495="SINAPI",VLOOKUP(C495,#REF!,3,0),IF(B495="EDIF",VLOOKUP(C495,#REF!,3,0),IF(B495="CPOS",VLOOKUP(C495,#REF!,4,0),IF(B495="FDE",VLOOKUP(C495,#REF!,3,0),IF(B495="INFRA",VLOOKUP(C495,#REF!,3,0),""))))))),"")</f>
        <v/>
      </c>
      <c r="F495" s="936">
        <v>2280</v>
      </c>
      <c r="G495" s="985" t="str">
        <f>IFERROR(IF(B495="CPU",VLOOKUP(C495,#REF!,4,0),IF(B495="SINAPI",VLOOKUP(C495,#REF!,5,0),IF(B495="EDIF",VLOOKUP(C495,#REF!,4,0),IF(B495="CPOS",VLOOKUP(C495,#REF!,7,0),IF(B495="FDE",VLOOKUP(C495,#REF!,5,0),IF(B495="INFRA",VLOOKUP(C495,#REF!,4,0),""))))))*VLOOKUP(B495,#REF!,3,0),"")</f>
        <v/>
      </c>
      <c r="H495" s="986">
        <v>0.25</v>
      </c>
      <c r="I495" s="987" t="str">
        <f t="shared" ref="I495:I503" si="31">IFERROR(F495*((G495*(1+H495))),"")</f>
        <v/>
      </c>
      <c r="J495" s="988">
        <v>139536</v>
      </c>
      <c r="K495" s="52"/>
      <c r="L495" s="940"/>
    </row>
    <row r="496" spans="1:12" s="25" customFormat="1" ht="27" customHeight="1">
      <c r="A496" s="933" t="s">
        <v>6074</v>
      </c>
      <c r="B496" s="1012" t="s">
        <v>1479</v>
      </c>
      <c r="C496" s="1012" t="s">
        <v>6075</v>
      </c>
      <c r="D496" s="984" t="str">
        <f>IFERROR(UPPER(IF(B496="CPU",VLOOKUP(C496,#REF!,2,0),IF(B496="SINAPI",VLOOKUP(C496,#REF!,2,0),IF(B496="EDIF",VLOOKUP(C496,#REF!,2,0),IF(B496="CPOS",VLOOKUP(C496,#REF!,3,0),IF(B496="FDE",VLOOKUP(C496,#REF!,2,0),IF(B496="INFRA",VLOOKUP(C496,#REF!,2,0),""))))))),"")</f>
        <v/>
      </c>
      <c r="E496" s="78" t="str">
        <f>IFERROR(UPPER(IF(B496="CPU",VLOOKUP(C496,#REF!,3,0),IF(B496="SINAPI",VLOOKUP(C496,#REF!,3,0),IF(B496="EDIF",VLOOKUP(C496,#REF!,3,0),IF(B496="CPOS",VLOOKUP(C496,#REF!,4,0),IF(B496="FDE",VLOOKUP(C496,#REF!,3,0),IF(B496="INFRA",VLOOKUP(C496,#REF!,3,0),""))))))),"")</f>
        <v/>
      </c>
      <c r="F496" s="936">
        <v>2120</v>
      </c>
      <c r="G496" s="985" t="str">
        <f>IFERROR(IF(B496="CPU",VLOOKUP(C496,#REF!,4,0),IF(B496="SINAPI",VLOOKUP(C496,#REF!,5,0),IF(B496="EDIF",VLOOKUP(C496,#REF!,4,0),IF(B496="CPOS",VLOOKUP(C496,#REF!,7,0),IF(B496="FDE",VLOOKUP(C496,#REF!,5,0),IF(B496="INFRA",VLOOKUP(C496,#REF!,4,0),""))))))*VLOOKUP(B496,#REF!,3,0),"")</f>
        <v/>
      </c>
      <c r="H496" s="986">
        <v>0.25</v>
      </c>
      <c r="I496" s="987" t="str">
        <f t="shared" si="31"/>
        <v/>
      </c>
      <c r="J496" s="988">
        <v>183353.5</v>
      </c>
      <c r="K496" s="52"/>
      <c r="L496" s="940"/>
    </row>
    <row r="497" spans="1:12" s="25" customFormat="1" ht="27" customHeight="1">
      <c r="A497" s="933" t="s">
        <v>6076</v>
      </c>
      <c r="B497" s="1012" t="s">
        <v>1479</v>
      </c>
      <c r="C497" s="1012" t="s">
        <v>6077</v>
      </c>
      <c r="D497" s="984" t="str">
        <f>IFERROR(UPPER(IF(B497="CPU",VLOOKUP(C497,#REF!,2,0),IF(B497="SINAPI",VLOOKUP(C497,#REF!,2,0),IF(B497="EDIF",VLOOKUP(C497,#REF!,2,0),IF(B497="CPOS",VLOOKUP(C497,#REF!,3,0),IF(B497="FDE",VLOOKUP(C497,#REF!,2,0),IF(B497="INFRA",VLOOKUP(C497,#REF!,2,0),""))))))),"")</f>
        <v/>
      </c>
      <c r="E497" s="78" t="str">
        <f>IFERROR(UPPER(IF(B497="CPU",VLOOKUP(C497,#REF!,3,0),IF(B497="SINAPI",VLOOKUP(C497,#REF!,3,0),IF(B497="EDIF",VLOOKUP(C497,#REF!,3,0),IF(B497="CPOS",VLOOKUP(C497,#REF!,4,0),IF(B497="FDE",VLOOKUP(C497,#REF!,3,0),IF(B497="INFRA",VLOOKUP(C497,#REF!,3,0),""))))))),"")</f>
        <v/>
      </c>
      <c r="F497" s="936">
        <v>520</v>
      </c>
      <c r="G497" s="985" t="str">
        <f>IFERROR(IF(B497="CPU",VLOOKUP(C497,#REF!,4,0),IF(B497="SINAPI",VLOOKUP(C497,#REF!,5,0),IF(B497="EDIF",VLOOKUP(C497,#REF!,4,0),IF(B497="CPOS",VLOOKUP(C497,#REF!,7,0),IF(B497="FDE",VLOOKUP(C497,#REF!,5,0),IF(B497="INFRA",VLOOKUP(C497,#REF!,4,0),""))))))*VLOOKUP(B497,#REF!,3,0),"")</f>
        <v/>
      </c>
      <c r="H497" s="986">
        <v>0.25</v>
      </c>
      <c r="I497" s="987" t="str">
        <f t="shared" si="31"/>
        <v/>
      </c>
      <c r="J497" s="988">
        <v>54827.5</v>
      </c>
      <c r="K497" s="52"/>
      <c r="L497" s="940"/>
    </row>
    <row r="498" spans="1:12" s="25" customFormat="1" ht="27" customHeight="1">
      <c r="A498" s="933" t="s">
        <v>6078</v>
      </c>
      <c r="B498" s="1012" t="s">
        <v>1479</v>
      </c>
      <c r="C498" s="1012" t="s">
        <v>6079</v>
      </c>
      <c r="D498" s="984" t="str">
        <f>IFERROR(UPPER(IF(B498="CPU",VLOOKUP(C498,#REF!,2,0),IF(B498="SINAPI",VLOOKUP(C498,#REF!,2,0),IF(B498="EDIF",VLOOKUP(C498,#REF!,2,0),IF(B498="CPOS",VLOOKUP(C498,#REF!,3,0),IF(B498="FDE",VLOOKUP(C498,#REF!,2,0),IF(B498="INFRA",VLOOKUP(C498,#REF!,2,0),""))))))),"")</f>
        <v/>
      </c>
      <c r="E498" s="78" t="str">
        <f>IFERROR(UPPER(IF(B498="CPU",VLOOKUP(C498,#REF!,3,0),IF(B498="SINAPI",VLOOKUP(C498,#REF!,3,0),IF(B498="EDIF",VLOOKUP(C498,#REF!,3,0),IF(B498="CPOS",VLOOKUP(C498,#REF!,4,0),IF(B498="FDE",VLOOKUP(C498,#REF!,3,0),IF(B498="INFRA",VLOOKUP(C498,#REF!,3,0),""))))))),"")</f>
        <v/>
      </c>
      <c r="F498" s="936">
        <v>600</v>
      </c>
      <c r="G498" s="985" t="str">
        <f>IFERROR(IF(B498="CPU",VLOOKUP(C498,#REF!,4,0),IF(B498="SINAPI",VLOOKUP(C498,#REF!,5,0),IF(B498="EDIF",VLOOKUP(C498,#REF!,4,0),IF(B498="CPOS",VLOOKUP(C498,#REF!,7,0),IF(B498="FDE",VLOOKUP(C498,#REF!,5,0),IF(B498="INFRA",VLOOKUP(C498,#REF!,4,0),""))))))*VLOOKUP(B498,#REF!,3,0),"")</f>
        <v/>
      </c>
      <c r="H498" s="986">
        <v>0.25</v>
      </c>
      <c r="I498" s="987" t="str">
        <f t="shared" si="31"/>
        <v/>
      </c>
      <c r="J498" s="988">
        <v>22125</v>
      </c>
      <c r="K498" s="52"/>
      <c r="L498" s="940"/>
    </row>
    <row r="499" spans="1:12" s="25" customFormat="1" ht="27" customHeight="1">
      <c r="A499" s="933" t="s">
        <v>6080</v>
      </c>
      <c r="B499" s="1012" t="s">
        <v>1479</v>
      </c>
      <c r="C499" s="1012" t="s">
        <v>6081</v>
      </c>
      <c r="D499" s="984" t="str">
        <f>IFERROR(UPPER(IF(B499="CPU",VLOOKUP(C499,#REF!,2,0),IF(B499="SINAPI",VLOOKUP(C499,#REF!,2,0),IF(B499="EDIF",VLOOKUP(C499,#REF!,2,0),IF(B499="CPOS",VLOOKUP(C499,#REF!,3,0),IF(B499="FDE",VLOOKUP(C499,#REF!,2,0),IF(B499="INFRA",VLOOKUP(C499,#REF!,2,0),""))))))),"")</f>
        <v/>
      </c>
      <c r="E499" s="78" t="str">
        <f>IFERROR(UPPER(IF(B499="CPU",VLOOKUP(C499,#REF!,3,0),IF(B499="SINAPI",VLOOKUP(C499,#REF!,3,0),IF(B499="EDIF",VLOOKUP(C499,#REF!,3,0),IF(B499="CPOS",VLOOKUP(C499,#REF!,4,0),IF(B499="FDE",VLOOKUP(C499,#REF!,3,0),IF(B499="INFRA",VLOOKUP(C499,#REF!,3,0),""))))))),"")</f>
        <v/>
      </c>
      <c r="F499" s="936">
        <v>40</v>
      </c>
      <c r="G499" s="985" t="str">
        <f>IFERROR(IF(B499="CPU",VLOOKUP(C499,#REF!,4,0),IF(B499="SINAPI",VLOOKUP(C499,#REF!,5,0),IF(B499="EDIF",VLOOKUP(C499,#REF!,4,0),IF(B499="CPOS",VLOOKUP(C499,#REF!,7,0),IF(B499="FDE",VLOOKUP(C499,#REF!,5,0),IF(B499="INFRA",VLOOKUP(C499,#REF!,4,0),""))))))*VLOOKUP(B499,#REF!,3,0),"")</f>
        <v/>
      </c>
      <c r="H499" s="986">
        <v>0.25</v>
      </c>
      <c r="I499" s="987" t="str">
        <f t="shared" si="31"/>
        <v/>
      </c>
      <c r="J499" s="988">
        <v>2381.5</v>
      </c>
      <c r="K499" s="52"/>
      <c r="L499" s="940"/>
    </row>
    <row r="500" spans="1:12" s="25" customFormat="1" ht="27" customHeight="1">
      <c r="A500" s="933" t="s">
        <v>6082</v>
      </c>
      <c r="B500" s="1012" t="s">
        <v>1479</v>
      </c>
      <c r="C500" s="1012" t="s">
        <v>6083</v>
      </c>
      <c r="D500" s="984" t="str">
        <f>IFERROR(UPPER(IF(B500="CPU",VLOOKUP(C500,#REF!,2,0),IF(B500="SINAPI",VLOOKUP(C500,#REF!,2,0),IF(B500="EDIF",VLOOKUP(C500,#REF!,2,0),IF(B500="CPOS",VLOOKUP(C500,#REF!,3,0),IF(B500="FDE",VLOOKUP(C500,#REF!,2,0),IF(B500="INFRA",VLOOKUP(C500,#REF!,2,0),""))))))),"")</f>
        <v/>
      </c>
      <c r="E500" s="78" t="str">
        <f>IFERROR(UPPER(IF(B500="CPU",VLOOKUP(C500,#REF!,3,0),IF(B500="SINAPI",VLOOKUP(C500,#REF!,3,0),IF(B500="EDIF",VLOOKUP(C500,#REF!,3,0),IF(B500="CPOS",VLOOKUP(C500,#REF!,4,0),IF(B500="FDE",VLOOKUP(C500,#REF!,3,0),IF(B500="INFRA",VLOOKUP(C500,#REF!,3,0),""))))))),"")</f>
        <v/>
      </c>
      <c r="F500" s="936">
        <v>40</v>
      </c>
      <c r="G500" s="985" t="str">
        <f>IFERROR(IF(B500="CPU",VLOOKUP(C500,#REF!,4,0),IF(B500="SINAPI",VLOOKUP(C500,#REF!,5,0),IF(B500="EDIF",VLOOKUP(C500,#REF!,4,0),IF(B500="CPOS",VLOOKUP(C500,#REF!,7,0),IF(B500="FDE",VLOOKUP(C500,#REF!,5,0),IF(B500="INFRA",VLOOKUP(C500,#REF!,4,0),""))))))*VLOOKUP(B500,#REF!,3,0),"")</f>
        <v/>
      </c>
      <c r="H500" s="986">
        <v>0.25</v>
      </c>
      <c r="I500" s="987" t="str">
        <f t="shared" si="31"/>
        <v/>
      </c>
      <c r="J500" s="988">
        <v>2176.5</v>
      </c>
      <c r="K500" s="52"/>
      <c r="L500" s="940"/>
    </row>
    <row r="501" spans="1:12" s="25" customFormat="1" ht="27" customHeight="1">
      <c r="A501" s="933" t="s">
        <v>6084</v>
      </c>
      <c r="B501" s="933" t="s">
        <v>4908</v>
      </c>
      <c r="C501" s="1044">
        <v>95574</v>
      </c>
      <c r="D501" s="984" t="str">
        <f>IFERROR(UPPER(IF(B501="CPU",VLOOKUP(C501,#REF!,2,0),IF(B501="SINAPI",VLOOKUP(C501,#REF!,2,0),IF(B501="EDIF",VLOOKUP(C501,#REF!,2,0),IF(B501="CPOS",VLOOKUP(C501,#REF!,3,0),IF(B501="FDE",VLOOKUP(C501,#REF!,2,0),IF(B501="INFRA",VLOOKUP(C501,#REF!,2,0),""))))))),"")</f>
        <v/>
      </c>
      <c r="E501" s="78" t="str">
        <f>IFERROR(UPPER(IF(B501="CPU",VLOOKUP(C501,#REF!,3,0),IF(B501="SINAPI",VLOOKUP(C501,#REF!,3,0),IF(B501="EDIF",VLOOKUP(C501,#REF!,3,0),IF(B501="CPOS",VLOOKUP(C501,#REF!,4,0),IF(B501="FDE",VLOOKUP(C501,#REF!,3,0),IF(B501="INFRA",VLOOKUP(C501,#REF!,3,0),""))))))),"")</f>
        <v/>
      </c>
      <c r="F501" s="936">
        <v>840</v>
      </c>
      <c r="G501" s="985" t="str">
        <f>IFERROR(IF(B501="CPU",VLOOKUP(C501,#REF!,4,0),IF(B501="SINAPI",VLOOKUP(C501,#REF!,5,0),IF(B501="EDIF",VLOOKUP(C501,#REF!,4,0),IF(B501="CPOS",VLOOKUP(C501,#REF!,7,0),IF(B501="FDE",VLOOKUP(C501,#REF!,5,0),IF(B501="INFRA",VLOOKUP(C501,#REF!,4,0),""))))))*VLOOKUP(B501,#REF!,3,0),"")</f>
        <v/>
      </c>
      <c r="H501" s="986">
        <v>0.25</v>
      </c>
      <c r="I501" s="987" t="str">
        <f t="shared" si="31"/>
        <v/>
      </c>
      <c r="J501" s="988">
        <v>30723</v>
      </c>
      <c r="K501" s="52"/>
      <c r="L501" s="940"/>
    </row>
    <row r="502" spans="1:12" s="25" customFormat="1" ht="27" customHeight="1">
      <c r="A502" s="933" t="s">
        <v>6085</v>
      </c>
      <c r="B502" s="1012" t="s">
        <v>5022</v>
      </c>
      <c r="C502" s="1012"/>
      <c r="D502" s="1017" t="s">
        <v>6086</v>
      </c>
      <c r="E502" s="78" t="s">
        <v>1214</v>
      </c>
      <c r="F502" s="936">
        <v>1</v>
      </c>
      <c r="G502" s="985">
        <v>4040</v>
      </c>
      <c r="H502" s="986">
        <v>0.25</v>
      </c>
      <c r="I502" s="987">
        <f t="shared" si="31"/>
        <v>5050</v>
      </c>
      <c r="J502" s="988">
        <v>5050</v>
      </c>
      <c r="K502" s="52"/>
      <c r="L502" s="940"/>
    </row>
    <row r="503" spans="1:12" s="25" customFormat="1" ht="27" customHeight="1">
      <c r="A503" s="933" t="s">
        <v>6087</v>
      </c>
      <c r="B503" s="1012" t="s">
        <v>5022</v>
      </c>
      <c r="C503" s="1012"/>
      <c r="D503" s="1017" t="s">
        <v>6088</v>
      </c>
      <c r="E503" s="1045" t="s">
        <v>1214</v>
      </c>
      <c r="F503" s="1046">
        <v>2</v>
      </c>
      <c r="G503" s="1047">
        <v>4040</v>
      </c>
      <c r="H503" s="986">
        <v>0.25</v>
      </c>
      <c r="I503" s="987">
        <f t="shared" si="31"/>
        <v>10100</v>
      </c>
      <c r="J503" s="988">
        <v>10100</v>
      </c>
      <c r="K503" s="52"/>
      <c r="L503" s="940"/>
    </row>
    <row r="504" spans="1:12" s="25" customFormat="1" ht="27" customHeight="1">
      <c r="A504" s="933"/>
      <c r="B504" s="1012"/>
      <c r="C504" s="1012"/>
      <c r="D504" s="1017"/>
      <c r="E504" s="1048"/>
      <c r="F504" s="1049"/>
      <c r="G504" s="1050"/>
      <c r="H504" s="1051"/>
      <c r="I504" s="1022"/>
      <c r="J504" s="988"/>
      <c r="K504" s="52"/>
      <c r="L504" s="940"/>
    </row>
    <row r="505" spans="1:12" ht="27" customHeight="1">
      <c r="A505" s="1036" t="s">
        <v>6089</v>
      </c>
      <c r="B505" s="1037"/>
      <c r="C505" s="1037"/>
      <c r="D505" s="1038" t="s">
        <v>6090</v>
      </c>
      <c r="E505" s="1042"/>
      <c r="F505" s="1042"/>
      <c r="G505" s="1042"/>
      <c r="H505" s="1042"/>
      <c r="I505" s="981">
        <f>SUM(I506:I511)</f>
        <v>44812.5</v>
      </c>
      <c r="J505" s="988"/>
      <c r="K505" s="52"/>
      <c r="L505" s="940"/>
    </row>
    <row r="506" spans="1:12" ht="27" customHeight="1">
      <c r="A506" s="933" t="s">
        <v>6091</v>
      </c>
      <c r="B506" s="1012" t="s">
        <v>5022</v>
      </c>
      <c r="C506" s="1012"/>
      <c r="D506" s="1017" t="s">
        <v>6092</v>
      </c>
      <c r="E506" s="78" t="s">
        <v>2050</v>
      </c>
      <c r="F506" s="936">
        <v>10</v>
      </c>
      <c r="G506" s="985">
        <v>550</v>
      </c>
      <c r="H506" s="986">
        <v>0.25</v>
      </c>
      <c r="I506" s="987">
        <f t="shared" ref="I506:I511" si="32">IFERROR(F506*((G506*(1+H506))),"")</f>
        <v>6875</v>
      </c>
      <c r="J506" s="988">
        <v>6875</v>
      </c>
      <c r="K506" s="52"/>
      <c r="L506" s="940"/>
    </row>
    <row r="507" spans="1:12" ht="27" customHeight="1">
      <c r="A507" s="933" t="s">
        <v>6093</v>
      </c>
      <c r="B507" s="1012" t="s">
        <v>5022</v>
      </c>
      <c r="C507" s="1012"/>
      <c r="D507" s="1017" t="s">
        <v>6094</v>
      </c>
      <c r="E507" s="78" t="s">
        <v>2050</v>
      </c>
      <c r="F507" s="936">
        <v>0</v>
      </c>
      <c r="G507" s="985">
        <v>1400</v>
      </c>
      <c r="H507" s="986">
        <v>0.25</v>
      </c>
      <c r="I507" s="987">
        <f t="shared" si="32"/>
        <v>0</v>
      </c>
      <c r="J507" s="988">
        <v>0</v>
      </c>
      <c r="K507" s="52"/>
      <c r="L507" s="940"/>
    </row>
    <row r="508" spans="1:12" ht="27" customHeight="1">
      <c r="A508" s="933" t="s">
        <v>6095</v>
      </c>
      <c r="B508" s="1012" t="s">
        <v>5022</v>
      </c>
      <c r="C508" s="1012"/>
      <c r="D508" s="1017" t="s">
        <v>6096</v>
      </c>
      <c r="E508" s="78" t="s">
        <v>2050</v>
      </c>
      <c r="F508" s="936">
        <v>450</v>
      </c>
      <c r="G508" s="985">
        <v>17</v>
      </c>
      <c r="H508" s="986">
        <v>0.25</v>
      </c>
      <c r="I508" s="987">
        <f t="shared" si="32"/>
        <v>9562.5</v>
      </c>
      <c r="J508" s="988">
        <v>9562.5</v>
      </c>
      <c r="K508" s="52"/>
      <c r="L508" s="940"/>
    </row>
    <row r="509" spans="1:12" ht="27" customHeight="1">
      <c r="A509" s="933" t="s">
        <v>6097</v>
      </c>
      <c r="B509" s="1012" t="s">
        <v>5022</v>
      </c>
      <c r="C509" s="1012"/>
      <c r="D509" s="1017" t="s">
        <v>6098</v>
      </c>
      <c r="E509" s="78" t="s">
        <v>2050</v>
      </c>
      <c r="F509" s="936">
        <v>0</v>
      </c>
      <c r="G509" s="985">
        <v>45</v>
      </c>
      <c r="H509" s="986">
        <v>0.25</v>
      </c>
      <c r="I509" s="987">
        <f t="shared" si="32"/>
        <v>0</v>
      </c>
      <c r="J509" s="988">
        <v>0</v>
      </c>
      <c r="K509" s="52"/>
      <c r="L509" s="940"/>
    </row>
    <row r="510" spans="1:12" ht="27" customHeight="1">
      <c r="A510" s="933" t="s">
        <v>6099</v>
      </c>
      <c r="B510" s="1012" t="s">
        <v>5022</v>
      </c>
      <c r="C510" s="1016"/>
      <c r="D510" s="1017" t="s">
        <v>6100</v>
      </c>
      <c r="E510" s="78" t="s">
        <v>2050</v>
      </c>
      <c r="F510" s="936">
        <v>65</v>
      </c>
      <c r="G510" s="985">
        <v>70</v>
      </c>
      <c r="H510" s="986">
        <v>0.25</v>
      </c>
      <c r="I510" s="987">
        <f t="shared" si="32"/>
        <v>5687.5</v>
      </c>
      <c r="J510" s="988">
        <v>5687.5</v>
      </c>
      <c r="K510" s="52"/>
      <c r="L510" s="940"/>
    </row>
    <row r="511" spans="1:12" ht="27" customHeight="1">
      <c r="A511" s="933" t="s">
        <v>6101</v>
      </c>
      <c r="B511" s="1012" t="s">
        <v>5022</v>
      </c>
      <c r="C511" s="1016"/>
      <c r="D511" s="1017" t="s">
        <v>6102</v>
      </c>
      <c r="E511" s="78" t="s">
        <v>2050</v>
      </c>
      <c r="F511" s="936">
        <v>33</v>
      </c>
      <c r="G511" s="985">
        <v>550</v>
      </c>
      <c r="H511" s="986">
        <v>0.25</v>
      </c>
      <c r="I511" s="987">
        <f t="shared" si="32"/>
        <v>22687.5</v>
      </c>
      <c r="J511" s="988">
        <v>22687.5</v>
      </c>
      <c r="K511" s="52"/>
      <c r="L511" s="940"/>
    </row>
    <row r="512" spans="1:12" ht="27" customHeight="1">
      <c r="A512" s="1015"/>
      <c r="B512" s="1016"/>
      <c r="C512" s="1016"/>
      <c r="D512" s="1017"/>
      <c r="E512" s="1048"/>
      <c r="F512" s="1049"/>
      <c r="G512" s="1050"/>
      <c r="H512" s="1051"/>
      <c r="I512" s="1022"/>
      <c r="J512" s="988"/>
      <c r="K512" s="52"/>
      <c r="L512" s="940"/>
    </row>
    <row r="513" spans="1:12" ht="27" customHeight="1">
      <c r="A513" s="1036" t="s">
        <v>6103</v>
      </c>
      <c r="B513" s="1037"/>
      <c r="C513" s="1037"/>
      <c r="D513" s="1038" t="s">
        <v>6104</v>
      </c>
      <c r="E513" s="1042"/>
      <c r="F513" s="1042"/>
      <c r="G513" s="1042"/>
      <c r="H513" s="1042"/>
      <c r="I513" s="981">
        <f>SUM(I514:I518)</f>
        <v>20382.725000000002</v>
      </c>
      <c r="J513" s="988"/>
      <c r="K513" s="52"/>
      <c r="L513" s="940"/>
    </row>
    <row r="514" spans="1:12" ht="27" customHeight="1">
      <c r="A514" s="1015" t="s">
        <v>6105</v>
      </c>
      <c r="B514" s="1012" t="s">
        <v>5022</v>
      </c>
      <c r="C514" s="1016"/>
      <c r="D514" s="1017" t="s">
        <v>6106</v>
      </c>
      <c r="E514" s="1044" t="s">
        <v>14</v>
      </c>
      <c r="F514" s="936">
        <v>205</v>
      </c>
      <c r="G514" s="985">
        <v>65.89</v>
      </c>
      <c r="H514" s="986">
        <v>0.25</v>
      </c>
      <c r="I514" s="987">
        <f>IFERROR(F514*((G514*(1+H514))),"")</f>
        <v>16884.3125</v>
      </c>
      <c r="J514" s="988">
        <v>16884.3125</v>
      </c>
      <c r="K514" s="52"/>
      <c r="L514" s="940"/>
    </row>
    <row r="515" spans="1:12" ht="27" customHeight="1">
      <c r="A515" s="1015" t="s">
        <v>6107</v>
      </c>
      <c r="B515" s="1012" t="s">
        <v>5022</v>
      </c>
      <c r="C515" s="1016"/>
      <c r="D515" s="1017" t="s">
        <v>6108</v>
      </c>
      <c r="E515" s="1044" t="s">
        <v>14</v>
      </c>
      <c r="F515" s="936">
        <v>12</v>
      </c>
      <c r="G515" s="985">
        <v>86.06</v>
      </c>
      <c r="H515" s="986">
        <v>0.25</v>
      </c>
      <c r="I515" s="987">
        <f>IFERROR(F515*((G515*(1+H515))),"")</f>
        <v>1290.9000000000001</v>
      </c>
      <c r="J515" s="988">
        <v>1290.9000000000001</v>
      </c>
      <c r="K515" s="52"/>
      <c r="L515" s="940"/>
    </row>
    <row r="516" spans="1:12" ht="27" customHeight="1">
      <c r="A516" s="1015" t="s">
        <v>6109</v>
      </c>
      <c r="B516" s="1012" t="s">
        <v>5022</v>
      </c>
      <c r="C516" s="1016"/>
      <c r="D516" s="1017" t="s">
        <v>6110</v>
      </c>
      <c r="E516" s="1044" t="s">
        <v>14</v>
      </c>
      <c r="F516" s="936">
        <v>4</v>
      </c>
      <c r="G516" s="985">
        <v>120.19</v>
      </c>
      <c r="H516" s="986">
        <v>0.25</v>
      </c>
      <c r="I516" s="987">
        <f>IFERROR(F516*((G516*(1+H516))),"")</f>
        <v>600.95000000000005</v>
      </c>
      <c r="J516" s="988">
        <v>600.95000000000005</v>
      </c>
      <c r="K516" s="52"/>
      <c r="L516" s="940"/>
    </row>
    <row r="517" spans="1:12" ht="27" customHeight="1">
      <c r="A517" s="1015" t="s">
        <v>6111</v>
      </c>
      <c r="B517" s="1012" t="s">
        <v>5022</v>
      </c>
      <c r="C517" s="1016"/>
      <c r="D517" s="1017" t="s">
        <v>6112</v>
      </c>
      <c r="E517" s="1044" t="s">
        <v>14</v>
      </c>
      <c r="F517" s="936">
        <v>3</v>
      </c>
      <c r="G517" s="985">
        <v>140</v>
      </c>
      <c r="H517" s="986">
        <v>0.25</v>
      </c>
      <c r="I517" s="987">
        <f>IFERROR(F517*((G517*(1+H517))),"")</f>
        <v>525</v>
      </c>
      <c r="J517" s="988">
        <v>525</v>
      </c>
      <c r="K517" s="52"/>
      <c r="L517" s="940"/>
    </row>
    <row r="518" spans="1:12" ht="27" customHeight="1">
      <c r="A518" s="1015" t="s">
        <v>6113</v>
      </c>
      <c r="B518" s="1012" t="s">
        <v>5022</v>
      </c>
      <c r="C518" s="1016"/>
      <c r="D518" s="1017" t="s">
        <v>6114</v>
      </c>
      <c r="E518" s="1044" t="s">
        <v>14</v>
      </c>
      <c r="F518" s="936">
        <v>5</v>
      </c>
      <c r="G518" s="985">
        <v>173.05</v>
      </c>
      <c r="H518" s="986">
        <v>0.25</v>
      </c>
      <c r="I518" s="987">
        <f>IFERROR(F518*((G518*(1+H518))),"")</f>
        <v>1081.5625</v>
      </c>
      <c r="J518" s="988">
        <v>1081.5625</v>
      </c>
      <c r="K518" s="52"/>
      <c r="L518" s="940"/>
    </row>
    <row r="519" spans="1:12" ht="27" customHeight="1">
      <c r="A519" s="1015"/>
      <c r="B519" s="1016"/>
      <c r="C519" s="1016"/>
      <c r="D519" s="1017"/>
      <c r="E519" s="1052"/>
      <c r="F519" s="1046"/>
      <c r="G519" s="1047"/>
      <c r="H519" s="1053"/>
      <c r="I519" s="987"/>
      <c r="J519" s="988"/>
      <c r="K519" s="52"/>
      <c r="L519" s="940"/>
    </row>
    <row r="520" spans="1:12" ht="27" customHeight="1">
      <c r="A520" s="1036" t="s">
        <v>6115</v>
      </c>
      <c r="B520" s="1037"/>
      <c r="C520" s="1037"/>
      <c r="D520" s="1038" t="s">
        <v>6116</v>
      </c>
      <c r="E520" s="1042"/>
      <c r="F520" s="1042"/>
      <c r="G520" s="1042"/>
      <c r="H520" s="1042"/>
      <c r="I520" s="981">
        <f>SUM(I521:I524)</f>
        <v>128225</v>
      </c>
      <c r="J520" s="988"/>
      <c r="K520" s="52"/>
      <c r="L520" s="940"/>
    </row>
    <row r="521" spans="1:12" ht="27" customHeight="1">
      <c r="A521" s="1015" t="s">
        <v>6117</v>
      </c>
      <c r="B521" s="1012" t="s">
        <v>5022</v>
      </c>
      <c r="C521" s="1016"/>
      <c r="D521" s="1017" t="s">
        <v>6118</v>
      </c>
      <c r="E521" s="1018" t="s">
        <v>2050</v>
      </c>
      <c r="F521" s="936">
        <v>36</v>
      </c>
      <c r="G521" s="985">
        <v>455</v>
      </c>
      <c r="H521" s="986">
        <v>0.25</v>
      </c>
      <c r="I521" s="987">
        <f>IFERROR(F521*((G521*(1+H521))),"")</f>
        <v>20475</v>
      </c>
      <c r="J521" s="988">
        <v>20475</v>
      </c>
      <c r="K521" s="52"/>
      <c r="L521" s="940"/>
    </row>
    <row r="522" spans="1:12" ht="27" customHeight="1">
      <c r="A522" s="1015" t="s">
        <v>6119</v>
      </c>
      <c r="B522" s="1012" t="s">
        <v>5022</v>
      </c>
      <c r="C522" s="1016"/>
      <c r="D522" s="1017" t="s">
        <v>6120</v>
      </c>
      <c r="E522" s="1018" t="s">
        <v>2050</v>
      </c>
      <c r="F522" s="936">
        <v>77</v>
      </c>
      <c r="G522" s="985">
        <v>700</v>
      </c>
      <c r="H522" s="986">
        <v>0.25</v>
      </c>
      <c r="I522" s="987">
        <f>IFERROR(F522*((G522*(1+H522))),"")</f>
        <v>67375</v>
      </c>
      <c r="J522" s="988">
        <v>67375</v>
      </c>
      <c r="K522" s="52"/>
      <c r="L522" s="940"/>
    </row>
    <row r="523" spans="1:12" ht="27" customHeight="1">
      <c r="A523" s="1015" t="s">
        <v>6121</v>
      </c>
      <c r="B523" s="1012" t="s">
        <v>5022</v>
      </c>
      <c r="C523" s="1016"/>
      <c r="D523" s="1017" t="s">
        <v>6122</v>
      </c>
      <c r="E523" s="1018" t="s">
        <v>2050</v>
      </c>
      <c r="F523" s="936">
        <v>2</v>
      </c>
      <c r="G523" s="985">
        <v>950</v>
      </c>
      <c r="H523" s="986">
        <v>0.25</v>
      </c>
      <c r="I523" s="987">
        <f>IFERROR(F523*((G523*(1+H523))),"")</f>
        <v>2375</v>
      </c>
      <c r="J523" s="988">
        <v>2375</v>
      </c>
      <c r="K523" s="52"/>
      <c r="L523" s="940"/>
    </row>
    <row r="524" spans="1:12" ht="27" customHeight="1">
      <c r="A524" s="1015" t="s">
        <v>6123</v>
      </c>
      <c r="B524" s="1012" t="s">
        <v>5022</v>
      </c>
      <c r="C524" s="1016"/>
      <c r="D524" s="1017" t="s">
        <v>6124</v>
      </c>
      <c r="E524" s="1018" t="s">
        <v>2050</v>
      </c>
      <c r="F524" s="936">
        <v>20</v>
      </c>
      <c r="G524" s="985">
        <v>1520</v>
      </c>
      <c r="H524" s="986">
        <v>0.25</v>
      </c>
      <c r="I524" s="987">
        <f>IFERROR(F524*((G524*(1+H524))),"")</f>
        <v>38000</v>
      </c>
      <c r="J524" s="988">
        <v>38000</v>
      </c>
      <c r="K524" s="52"/>
      <c r="L524" s="940"/>
    </row>
    <row r="525" spans="1:12" ht="27" customHeight="1">
      <c r="A525" s="1015"/>
      <c r="B525" s="1016"/>
      <c r="C525" s="1016"/>
      <c r="D525" s="1017"/>
      <c r="E525" s="1048"/>
      <c r="F525" s="1049"/>
      <c r="G525" s="1050"/>
      <c r="H525" s="1053"/>
      <c r="I525" s="987"/>
      <c r="J525" s="988"/>
      <c r="K525" s="52"/>
      <c r="L525" s="940"/>
    </row>
    <row r="526" spans="1:12" ht="27" customHeight="1">
      <c r="A526" s="1036" t="s">
        <v>6125</v>
      </c>
      <c r="B526" s="1037"/>
      <c r="C526" s="1037"/>
      <c r="D526" s="1038" t="s">
        <v>6126</v>
      </c>
      <c r="E526" s="1042"/>
      <c r="F526" s="1042"/>
      <c r="G526" s="1042"/>
      <c r="H526" s="1042"/>
      <c r="I526" s="981">
        <f>SUM(I527:I528)</f>
        <v>146250</v>
      </c>
      <c r="J526" s="988"/>
      <c r="K526" s="52"/>
      <c r="L526" s="940"/>
    </row>
    <row r="527" spans="1:12" ht="27" customHeight="1">
      <c r="A527" s="1015"/>
      <c r="B527" s="1012" t="s">
        <v>5022</v>
      </c>
      <c r="C527" s="1016"/>
      <c r="D527" s="1017" t="s">
        <v>6127</v>
      </c>
      <c r="E527" s="1018" t="s">
        <v>2050</v>
      </c>
      <c r="F527" s="1019">
        <v>1</v>
      </c>
      <c r="G527" s="1020">
        <v>82000</v>
      </c>
      <c r="H527" s="986">
        <v>0.25</v>
      </c>
      <c r="I527" s="987">
        <f>IFERROR(F527*((G527*(1+H527))),"")</f>
        <v>102500</v>
      </c>
      <c r="J527" s="988">
        <v>102500</v>
      </c>
      <c r="K527" s="52"/>
      <c r="L527" s="940"/>
    </row>
    <row r="528" spans="1:12" ht="27" customHeight="1">
      <c r="A528" s="1015"/>
      <c r="B528" s="1012" t="s">
        <v>5022</v>
      </c>
      <c r="C528" s="1016"/>
      <c r="D528" s="1017" t="s">
        <v>6128</v>
      </c>
      <c r="E528" s="1018" t="s">
        <v>2050</v>
      </c>
      <c r="F528" s="1019">
        <v>1</v>
      </c>
      <c r="G528" s="1020">
        <v>35000</v>
      </c>
      <c r="H528" s="986">
        <v>0.25</v>
      </c>
      <c r="I528" s="987">
        <f>IFERROR(F528*((G528*(1+H528))),"")</f>
        <v>43750</v>
      </c>
      <c r="J528" s="988">
        <v>43750</v>
      </c>
      <c r="K528" s="52"/>
      <c r="L528" s="940"/>
    </row>
    <row r="529" spans="1:12" ht="27" customHeight="1">
      <c r="A529" s="1015"/>
      <c r="B529" s="1016"/>
      <c r="C529" s="1016"/>
      <c r="D529" s="1017"/>
      <c r="E529" s="1048"/>
      <c r="F529" s="1049"/>
      <c r="G529" s="1050"/>
      <c r="H529" s="1053"/>
      <c r="I529" s="987"/>
      <c r="J529" s="988"/>
      <c r="K529" s="52"/>
      <c r="L529" s="940"/>
    </row>
    <row r="530" spans="1:12" ht="27" customHeight="1">
      <c r="A530" s="1036" t="s">
        <v>6129</v>
      </c>
      <c r="B530" s="1037"/>
      <c r="C530" s="1037"/>
      <c r="D530" s="1038" t="s">
        <v>6130</v>
      </c>
      <c r="E530" s="1042"/>
      <c r="F530" s="1042"/>
      <c r="G530" s="1042"/>
      <c r="H530" s="1042"/>
      <c r="I530" s="981">
        <f>SUM(I531:I532)</f>
        <v>18375</v>
      </c>
      <c r="J530" s="988"/>
      <c r="K530" s="52"/>
      <c r="L530" s="940"/>
    </row>
    <row r="531" spans="1:12" ht="27" customHeight="1">
      <c r="A531" s="1015"/>
      <c r="B531" s="1012" t="s">
        <v>5022</v>
      </c>
      <c r="C531" s="1016"/>
      <c r="D531" s="1017" t="s">
        <v>6131</v>
      </c>
      <c r="E531" s="1018" t="s">
        <v>2050</v>
      </c>
      <c r="F531" s="1019">
        <v>1</v>
      </c>
      <c r="G531" s="1020">
        <v>4100</v>
      </c>
      <c r="H531" s="986">
        <v>0.25</v>
      </c>
      <c r="I531" s="987">
        <f>IFERROR(F531*((G531*(1+H531))),"")</f>
        <v>5125</v>
      </c>
      <c r="J531" s="988">
        <v>5125</v>
      </c>
      <c r="K531" s="52"/>
      <c r="L531" s="940"/>
    </row>
    <row r="532" spans="1:12" ht="27" customHeight="1">
      <c r="A532" s="1015"/>
      <c r="B532" s="1012" t="s">
        <v>5022</v>
      </c>
      <c r="C532" s="1016"/>
      <c r="D532" s="1017" t="s">
        <v>6132</v>
      </c>
      <c r="E532" s="1018" t="s">
        <v>2050</v>
      </c>
      <c r="F532" s="1019">
        <v>2</v>
      </c>
      <c r="G532" s="1020">
        <v>5300</v>
      </c>
      <c r="H532" s="986">
        <v>0.25</v>
      </c>
      <c r="I532" s="987">
        <f>IFERROR(F532*((G532*(1+H532))),"")</f>
        <v>13250</v>
      </c>
      <c r="J532" s="988">
        <v>13250</v>
      </c>
      <c r="K532" s="52"/>
      <c r="L532" s="940"/>
    </row>
    <row r="533" spans="1:12" ht="27" customHeight="1">
      <c r="A533" s="1015"/>
      <c r="B533" s="1016"/>
      <c r="C533" s="1016"/>
      <c r="D533" s="1017"/>
      <c r="E533" s="1048"/>
      <c r="F533" s="1049"/>
      <c r="G533" s="1050"/>
      <c r="H533" s="1051"/>
      <c r="I533" s="1022"/>
      <c r="J533" s="988"/>
      <c r="K533" s="52"/>
      <c r="L533" s="940"/>
    </row>
    <row r="534" spans="1:12" ht="27" customHeight="1">
      <c r="A534" s="1036" t="s">
        <v>6133</v>
      </c>
      <c r="B534" s="1037"/>
      <c r="C534" s="1037"/>
      <c r="D534" s="1038" t="s">
        <v>6134</v>
      </c>
      <c r="E534" s="1042"/>
      <c r="F534" s="1042"/>
      <c r="G534" s="1042"/>
      <c r="H534" s="1042"/>
      <c r="I534" s="981">
        <f>SUM(I535:I535)</f>
        <v>45450</v>
      </c>
      <c r="J534" s="988"/>
      <c r="K534" s="52"/>
      <c r="L534" s="940"/>
    </row>
    <row r="535" spans="1:12" ht="27" customHeight="1">
      <c r="A535" s="1015"/>
      <c r="B535" s="1012" t="s">
        <v>5022</v>
      </c>
      <c r="C535" s="1016"/>
      <c r="D535" s="1017" t="s">
        <v>6135</v>
      </c>
      <c r="E535" s="1018" t="s">
        <v>1214</v>
      </c>
      <c r="F535" s="1019">
        <v>4040</v>
      </c>
      <c r="G535" s="1020">
        <v>9</v>
      </c>
      <c r="H535" s="986">
        <v>0.25</v>
      </c>
      <c r="I535" s="987">
        <f>IFERROR(F535*((G535*(1+H535))),"")</f>
        <v>45450</v>
      </c>
      <c r="J535" s="988">
        <v>45450</v>
      </c>
      <c r="K535" s="52"/>
      <c r="L535" s="940"/>
    </row>
    <row r="536" spans="1:12" ht="27" customHeight="1">
      <c r="A536" s="1015"/>
      <c r="B536" s="1016"/>
      <c r="C536" s="1016"/>
      <c r="D536" s="1017"/>
      <c r="E536" s="1048"/>
      <c r="F536" s="1049"/>
      <c r="G536" s="1050"/>
      <c r="H536" s="1051"/>
      <c r="I536" s="1022"/>
      <c r="J536" s="988"/>
      <c r="K536" s="52"/>
      <c r="L536" s="940"/>
    </row>
    <row r="537" spans="1:12" ht="27" customHeight="1">
      <c r="A537" s="1036" t="s">
        <v>6136</v>
      </c>
      <c r="B537" s="1037"/>
      <c r="C537" s="1037"/>
      <c r="D537" s="1038" t="s">
        <v>6137</v>
      </c>
      <c r="E537" s="1042"/>
      <c r="F537" s="1042"/>
      <c r="G537" s="1042"/>
      <c r="H537" s="1042"/>
      <c r="I537" s="981">
        <f>SUM(I538:I542)</f>
        <v>14812.5</v>
      </c>
      <c r="J537" s="988"/>
      <c r="K537" s="52"/>
      <c r="L537" s="940"/>
    </row>
    <row r="538" spans="1:12" ht="27" customHeight="1">
      <c r="A538" s="1015"/>
      <c r="B538" s="1012" t="s">
        <v>5022</v>
      </c>
      <c r="C538" s="1016"/>
      <c r="D538" s="1017" t="s">
        <v>6138</v>
      </c>
      <c r="E538" s="1018" t="s">
        <v>14</v>
      </c>
      <c r="F538" s="1019">
        <v>3</v>
      </c>
      <c r="G538" s="1020">
        <v>400</v>
      </c>
      <c r="H538" s="986">
        <v>0.25</v>
      </c>
      <c r="I538" s="987">
        <f>IFERROR(F538*((G538*(1+H538))),"")</f>
        <v>1500</v>
      </c>
      <c r="J538" s="988">
        <v>1500</v>
      </c>
      <c r="K538" s="52"/>
      <c r="L538" s="940"/>
    </row>
    <row r="539" spans="1:12" ht="27" customHeight="1">
      <c r="A539" s="1015"/>
      <c r="B539" s="1012" t="s">
        <v>5022</v>
      </c>
      <c r="C539" s="1016"/>
      <c r="D539" s="1017" t="s">
        <v>6139</v>
      </c>
      <c r="E539" s="1018" t="s">
        <v>14</v>
      </c>
      <c r="F539" s="1019">
        <v>1</v>
      </c>
      <c r="G539" s="1020">
        <v>1300</v>
      </c>
      <c r="H539" s="986">
        <v>0.25</v>
      </c>
      <c r="I539" s="987">
        <f>IFERROR(F539*((G539*(1+H539))),"")</f>
        <v>1625</v>
      </c>
      <c r="J539" s="988">
        <v>1625</v>
      </c>
      <c r="K539" s="52"/>
      <c r="L539" s="940"/>
    </row>
    <row r="540" spans="1:12" ht="27" customHeight="1">
      <c r="A540" s="933"/>
      <c r="B540" s="1012" t="s">
        <v>5022</v>
      </c>
      <c r="C540" s="1012"/>
      <c r="D540" s="1017" t="s">
        <v>6140</v>
      </c>
      <c r="E540" s="1018" t="s">
        <v>14</v>
      </c>
      <c r="F540" s="1019">
        <v>1</v>
      </c>
      <c r="G540" s="1020">
        <v>1000</v>
      </c>
      <c r="H540" s="986">
        <v>0.25</v>
      </c>
      <c r="I540" s="987">
        <f>IFERROR(F540*((G540*(1+H540))),"")</f>
        <v>1250</v>
      </c>
      <c r="J540" s="988">
        <v>1250</v>
      </c>
      <c r="K540" s="52"/>
      <c r="L540" s="940"/>
    </row>
    <row r="541" spans="1:12" ht="27" customHeight="1">
      <c r="A541" s="933"/>
      <c r="B541" s="1012" t="s">
        <v>5022</v>
      </c>
      <c r="C541" s="1012"/>
      <c r="D541" s="1017" t="s">
        <v>6141</v>
      </c>
      <c r="E541" s="1018" t="s">
        <v>14</v>
      </c>
      <c r="F541" s="1019">
        <v>135</v>
      </c>
      <c r="G541" s="1020">
        <v>32</v>
      </c>
      <c r="H541" s="986">
        <v>0.25</v>
      </c>
      <c r="I541" s="987">
        <f>IFERROR(F541*((G541*(1+H541))),"")</f>
        <v>5400</v>
      </c>
      <c r="J541" s="988">
        <v>5400</v>
      </c>
      <c r="K541" s="52"/>
      <c r="L541" s="940"/>
    </row>
    <row r="542" spans="1:12" s="25" customFormat="1" ht="27" customHeight="1">
      <c r="A542" s="933"/>
      <c r="B542" s="1012" t="s">
        <v>5022</v>
      </c>
      <c r="C542" s="1012"/>
      <c r="D542" s="1017" t="s">
        <v>6142</v>
      </c>
      <c r="E542" s="1018" t="s">
        <v>14</v>
      </c>
      <c r="F542" s="1019">
        <v>1</v>
      </c>
      <c r="G542" s="1020">
        <v>4030</v>
      </c>
      <c r="H542" s="986">
        <v>0.25</v>
      </c>
      <c r="I542" s="987">
        <f>IFERROR(F542*((G542*(1+H542))),"")</f>
        <v>5037.5</v>
      </c>
      <c r="J542" s="988">
        <v>5037.5</v>
      </c>
      <c r="K542" s="52"/>
      <c r="L542" s="940"/>
    </row>
    <row r="543" spans="1:12" s="25" customFormat="1" ht="27" customHeight="1">
      <c r="A543" s="933"/>
      <c r="B543" s="1012"/>
      <c r="C543" s="1012"/>
      <c r="D543" s="1017"/>
      <c r="E543" s="1018"/>
      <c r="F543" s="1019"/>
      <c r="G543" s="1020"/>
      <c r="H543" s="1021"/>
      <c r="I543" s="1022"/>
      <c r="J543" s="988"/>
      <c r="K543" s="52"/>
      <c r="L543" s="940"/>
    </row>
    <row r="544" spans="1:12" s="25" customFormat="1" ht="24.75" customHeight="1">
      <c r="A544" s="998">
        <v>23</v>
      </c>
      <c r="B544" s="999"/>
      <c r="C544" s="999"/>
      <c r="D544" s="1000" t="s">
        <v>6143</v>
      </c>
      <c r="E544" s="967"/>
      <c r="F544" s="968"/>
      <c r="G544" s="969"/>
      <c r="H544" s="968"/>
      <c r="I544" s="1005">
        <f>SUM(I545:I582)</f>
        <v>9360</v>
      </c>
      <c r="J544" s="988"/>
      <c r="K544" s="52"/>
      <c r="L544" s="22"/>
    </row>
    <row r="545" spans="1:12" s="25" customFormat="1" ht="24.75" customHeight="1">
      <c r="A545" s="933" t="s">
        <v>6144</v>
      </c>
      <c r="B545" s="933" t="s">
        <v>4872</v>
      </c>
      <c r="C545" s="1012">
        <v>101301</v>
      </c>
      <c r="D545" s="984" t="str">
        <f>IFERROR(UPPER(IF(B545="CPU",VLOOKUP(C545,#REF!,2,0),IF(B545="SINAPI",VLOOKUP(C545,#REF!,2,0),IF(B545="EDIF",VLOOKUP(C545,#REF!,2,0),IF(B545="CPOS",VLOOKUP(C545,#REF!,3,0),IF(B545="FDE",VLOOKUP(C545,#REF!,2,0),IF(B545="INFRA",VLOOKUP(C545,#REF!,2,0),""))))))),"")</f>
        <v/>
      </c>
      <c r="E545" s="78" t="str">
        <f>IFERROR(UPPER(IF(B545="CPU",VLOOKUP(C545,#REF!,3,0),IF(B545="SINAPI",VLOOKUP(C545,#REF!,3,0),IF(B545="EDIF",VLOOKUP(C545,#REF!,3,0),IF(B545="CPOS",VLOOKUP(C545,#REF!,4,0),IF(B545="FDE",VLOOKUP(C545,#REF!,3,0),IF(B545="INFRA",VLOOKUP(C545,#REF!,3,0),""))))))),"")</f>
        <v/>
      </c>
      <c r="F545" s="936">
        <v>48</v>
      </c>
      <c r="G545" s="985" t="str">
        <f>IFERROR(IF(B545="CPU",VLOOKUP(C545,#REF!,4,0),IF(B545="SINAPI",VLOOKUP(C545,#REF!,5,0),IF(B545="EDIF",VLOOKUP(C545,#REF!,4,0),IF(B545="CPOS",VLOOKUP(C545,#REF!,7,0),IF(B545="FDE",VLOOKUP(C545,#REF!,5,0),IF(B545="INFRA",VLOOKUP(C545,#REF!,4,0),""))))))*VLOOKUP(B545,#REF!,3,0),"")</f>
        <v/>
      </c>
      <c r="H545" s="986">
        <v>0.25</v>
      </c>
      <c r="I545" s="987" t="str">
        <f t="shared" ref="I545:I582" si="33">IFERROR(F545*((G545*(1+H545))),"")</f>
        <v/>
      </c>
      <c r="J545" s="988">
        <v>17136.599999999999</v>
      </c>
      <c r="K545" s="52"/>
      <c r="L545" s="22"/>
    </row>
    <row r="546" spans="1:12" s="25" customFormat="1" ht="24.75" customHeight="1">
      <c r="A546" s="933" t="s">
        <v>6145</v>
      </c>
      <c r="B546" s="933" t="s">
        <v>4872</v>
      </c>
      <c r="C546" s="1012">
        <v>101305</v>
      </c>
      <c r="D546" s="984" t="str">
        <f>IFERROR(UPPER(IF(B546="CPU",VLOOKUP(C546,#REF!,2,0),IF(B546="SINAPI",VLOOKUP(C546,#REF!,2,0),IF(B546="EDIF",VLOOKUP(C546,#REF!,2,0),IF(B546="CPOS",VLOOKUP(C546,#REF!,3,0),IF(B546="FDE",VLOOKUP(C546,#REF!,2,0),IF(B546="INFRA",VLOOKUP(C546,#REF!,2,0),""))))))),"")</f>
        <v/>
      </c>
      <c r="E546" s="78" t="str">
        <f>IFERROR(UPPER(IF(B546="CPU",VLOOKUP(C546,#REF!,3,0),IF(B546="SINAPI",VLOOKUP(C546,#REF!,3,0),IF(B546="EDIF",VLOOKUP(C546,#REF!,3,0),IF(B546="CPOS",VLOOKUP(C546,#REF!,4,0),IF(B546="FDE",VLOOKUP(C546,#REF!,3,0),IF(B546="INFRA",VLOOKUP(C546,#REF!,3,0),""))))))),"")</f>
        <v/>
      </c>
      <c r="F546" s="936">
        <v>48</v>
      </c>
      <c r="G546" s="985" t="str">
        <f>IFERROR(IF(B546="CPU",VLOOKUP(C546,#REF!,4,0),IF(B546="SINAPI",VLOOKUP(C546,#REF!,5,0),IF(B546="EDIF",VLOOKUP(C546,#REF!,4,0),IF(B546="CPOS",VLOOKUP(C546,#REF!,7,0),IF(B546="FDE",VLOOKUP(C546,#REF!,5,0),IF(B546="INFRA",VLOOKUP(C546,#REF!,4,0),""))))))*VLOOKUP(B546,#REF!,3,0),"")</f>
        <v/>
      </c>
      <c r="H546" s="986">
        <v>0.25</v>
      </c>
      <c r="I546" s="987" t="str">
        <f t="shared" si="33"/>
        <v/>
      </c>
      <c r="J546" s="988">
        <v>32347.200000000001</v>
      </c>
      <c r="K546" s="52"/>
      <c r="L546" s="22"/>
    </row>
    <row r="547" spans="1:12" s="25" customFormat="1" ht="24.75" customHeight="1">
      <c r="A547" s="933" t="s">
        <v>6146</v>
      </c>
      <c r="B547" s="933" t="s">
        <v>4872</v>
      </c>
      <c r="C547" s="1012">
        <v>101314</v>
      </c>
      <c r="D547" s="984" t="str">
        <f>IFERROR(UPPER(IF(B547="CPU",VLOOKUP(C547,#REF!,2,0),IF(B547="SINAPI",VLOOKUP(C547,#REF!,2,0),IF(B547="EDIF",VLOOKUP(C547,#REF!,2,0),IF(B547="CPOS",VLOOKUP(C547,#REF!,3,0),IF(B547="FDE",VLOOKUP(C547,#REF!,2,0),IF(B547="INFRA",VLOOKUP(C547,#REF!,2,0),""))))))),"")</f>
        <v/>
      </c>
      <c r="E547" s="78" t="str">
        <f>IFERROR(UPPER(IF(B547="CPU",VLOOKUP(C547,#REF!,3,0),IF(B547="SINAPI",VLOOKUP(C547,#REF!,3,0),IF(B547="EDIF",VLOOKUP(C547,#REF!,3,0),IF(B547="CPOS",VLOOKUP(C547,#REF!,4,0),IF(B547="FDE",VLOOKUP(C547,#REF!,3,0),IF(B547="INFRA",VLOOKUP(C547,#REF!,3,0),""))))))),"")</f>
        <v/>
      </c>
      <c r="F547" s="936">
        <v>161</v>
      </c>
      <c r="G547" s="985" t="str">
        <f>IFERROR(IF(B547="CPU",VLOOKUP(C547,#REF!,4,0),IF(B547="SINAPI",VLOOKUP(C547,#REF!,5,0),IF(B547="EDIF",VLOOKUP(C547,#REF!,4,0),IF(B547="CPOS",VLOOKUP(C547,#REF!,7,0),IF(B547="FDE",VLOOKUP(C547,#REF!,5,0),IF(B547="INFRA",VLOOKUP(C547,#REF!,4,0),""))))))*VLOOKUP(B547,#REF!,3,0),"")</f>
        <v/>
      </c>
      <c r="H547" s="986">
        <v>0.25</v>
      </c>
      <c r="I547" s="987" t="str">
        <f t="shared" si="33"/>
        <v/>
      </c>
      <c r="J547" s="988">
        <v>158796.3125</v>
      </c>
      <c r="K547" s="52"/>
      <c r="L547" s="22"/>
    </row>
    <row r="548" spans="1:12" s="25" customFormat="1" ht="24.75" customHeight="1">
      <c r="A548" s="933" t="s">
        <v>6147</v>
      </c>
      <c r="B548" s="933" t="s">
        <v>1479</v>
      </c>
      <c r="C548" s="1012" t="s">
        <v>6148</v>
      </c>
      <c r="D548" s="984" t="str">
        <f>IFERROR(UPPER(IF(B548="CPU",VLOOKUP(C548,#REF!,2,0),IF(B548="SINAPI",VLOOKUP(C548,#REF!,2,0),IF(B548="EDIF",VLOOKUP(C548,#REF!,2,0),IF(B548="CPOS",VLOOKUP(C548,#REF!,3,0),IF(B548="FDE",VLOOKUP(C548,#REF!,2,0),IF(B548="INFRA",VLOOKUP(C548,#REF!,2,0),""))))))),"")</f>
        <v/>
      </c>
      <c r="E548" s="78" t="str">
        <f>IFERROR(UPPER(IF(B548="CPU",VLOOKUP(C548,#REF!,3,0),IF(B548="SINAPI",VLOOKUP(C548,#REF!,3,0),IF(B548="EDIF",VLOOKUP(C548,#REF!,3,0),IF(B548="CPOS",VLOOKUP(C548,#REF!,4,0),IF(B548="FDE",VLOOKUP(C548,#REF!,3,0),IF(B548="INFRA",VLOOKUP(C548,#REF!,3,0),""))))))),"")</f>
        <v/>
      </c>
      <c r="F548" s="936">
        <v>32</v>
      </c>
      <c r="G548" s="985" t="str">
        <f>IFERROR(IF(B548="CPU",VLOOKUP(C548,#REF!,4,0),IF(B548="SINAPI",VLOOKUP(C548,#REF!,5,0),IF(B548="EDIF",VLOOKUP(C548,#REF!,4,0),IF(B548="CPOS",VLOOKUP(C548,#REF!,7,0),IF(B548="FDE",VLOOKUP(C548,#REF!,5,0),IF(B548="INFRA",VLOOKUP(C548,#REF!,4,0),""))))))*VLOOKUP(B548,#REF!,3,0),"")</f>
        <v/>
      </c>
      <c r="H548" s="986">
        <v>0.25</v>
      </c>
      <c r="I548" s="987" t="str">
        <f t="shared" si="33"/>
        <v/>
      </c>
      <c r="J548" s="988">
        <v>3635.2</v>
      </c>
      <c r="K548" s="52"/>
      <c r="L548" s="22"/>
    </row>
    <row r="549" spans="1:12" s="25" customFormat="1" ht="24.75" customHeight="1">
      <c r="A549" s="933" t="s">
        <v>6149</v>
      </c>
      <c r="B549" s="933" t="s">
        <v>1479</v>
      </c>
      <c r="C549" s="1012" t="s">
        <v>6150</v>
      </c>
      <c r="D549" s="984" t="str">
        <f>IFERROR(UPPER(IF(B549="CPU",VLOOKUP(C549,#REF!,2,0),IF(B549="SINAPI",VLOOKUP(C549,#REF!,2,0),IF(B549="EDIF",VLOOKUP(C549,#REF!,2,0),IF(B549="CPOS",VLOOKUP(C549,#REF!,3,0),IF(B549="FDE",VLOOKUP(C549,#REF!,2,0),IF(B549="INFRA",VLOOKUP(C549,#REF!,2,0),""))))))),"")</f>
        <v/>
      </c>
      <c r="E549" s="78" t="str">
        <f>IFERROR(UPPER(IF(B549="CPU",VLOOKUP(C549,#REF!,3,0),IF(B549="SINAPI",VLOOKUP(C549,#REF!,3,0),IF(B549="EDIF",VLOOKUP(C549,#REF!,3,0),IF(B549="CPOS",VLOOKUP(C549,#REF!,4,0),IF(B549="FDE",VLOOKUP(C549,#REF!,3,0),IF(B549="INFRA",VLOOKUP(C549,#REF!,3,0),""))))))),"")</f>
        <v/>
      </c>
      <c r="F549" s="936">
        <v>45.39</v>
      </c>
      <c r="G549" s="985" t="str">
        <f>IFERROR(IF(B549="CPU",VLOOKUP(C549,#REF!,4,0),IF(B549="SINAPI",VLOOKUP(C549,#REF!,5,0),IF(B549="EDIF",VLOOKUP(C549,#REF!,4,0),IF(B549="CPOS",VLOOKUP(C549,#REF!,7,0),IF(B549="FDE",VLOOKUP(C549,#REF!,5,0),IF(B549="INFRA",VLOOKUP(C549,#REF!,4,0),""))))))*VLOOKUP(B549,#REF!,3,0),"")</f>
        <v/>
      </c>
      <c r="H549" s="986">
        <v>0.25</v>
      </c>
      <c r="I549" s="987" t="str">
        <f t="shared" si="33"/>
        <v/>
      </c>
      <c r="J549" s="988">
        <v>54524.170124999997</v>
      </c>
      <c r="K549" s="52"/>
      <c r="L549" s="22"/>
    </row>
    <row r="550" spans="1:12" s="25" customFormat="1" ht="24.75" customHeight="1">
      <c r="A550" s="933" t="s">
        <v>6151</v>
      </c>
      <c r="B550" s="933" t="s">
        <v>1479</v>
      </c>
      <c r="C550" s="1012" t="s">
        <v>6152</v>
      </c>
      <c r="D550" s="984" t="str">
        <f>IFERROR(UPPER(IF(B550="CPU",VLOOKUP(C550,#REF!,2,0),IF(B550="SINAPI",VLOOKUP(C550,#REF!,2,0),IF(B550="EDIF",VLOOKUP(C550,#REF!,2,0),IF(B550="CPOS",VLOOKUP(C550,#REF!,3,0),IF(B550="FDE",VLOOKUP(C550,#REF!,2,0),IF(B550="INFRA",VLOOKUP(C550,#REF!,2,0),""))))))),"")</f>
        <v/>
      </c>
      <c r="E550" s="78" t="str">
        <f>IFERROR(UPPER(IF(B550="CPU",VLOOKUP(C550,#REF!,3,0),IF(B550="SINAPI",VLOOKUP(C550,#REF!,3,0),IF(B550="EDIF",VLOOKUP(C550,#REF!,3,0),IF(B550="CPOS",VLOOKUP(C550,#REF!,4,0),IF(B550="FDE",VLOOKUP(C550,#REF!,3,0),IF(B550="INFRA",VLOOKUP(C550,#REF!,3,0),""))))))),"")</f>
        <v/>
      </c>
      <c r="F550" s="936">
        <v>86.79</v>
      </c>
      <c r="G550" s="985" t="str">
        <f>IFERROR(IF(B550="CPU",VLOOKUP(C550,#REF!,4,0),IF(B550="SINAPI",VLOOKUP(C550,#REF!,5,0),IF(B550="EDIF",VLOOKUP(C550,#REF!,4,0),IF(B550="CPOS",VLOOKUP(C550,#REF!,7,0),IF(B550="FDE",VLOOKUP(C550,#REF!,5,0),IF(B550="INFRA",VLOOKUP(C550,#REF!,4,0),""))))))*VLOOKUP(B550,#REF!,3,0),"")</f>
        <v/>
      </c>
      <c r="H550" s="986">
        <v>0.25</v>
      </c>
      <c r="I550" s="987" t="str">
        <f t="shared" si="33"/>
        <v/>
      </c>
      <c r="J550" s="988">
        <v>99858.404250000007</v>
      </c>
      <c r="K550" s="52"/>
      <c r="L550" s="22"/>
    </row>
    <row r="551" spans="1:12" s="25" customFormat="1" ht="24.75" customHeight="1">
      <c r="A551" s="933" t="s">
        <v>6153</v>
      </c>
      <c r="B551" s="933" t="s">
        <v>1479</v>
      </c>
      <c r="C551" s="1012" t="s">
        <v>6154</v>
      </c>
      <c r="D551" s="984" t="str">
        <f>IFERROR(UPPER(IF(B551="CPU",VLOOKUP(C551,#REF!,2,0),IF(B551="SINAPI",VLOOKUP(C551,#REF!,2,0),IF(B551="EDIF",VLOOKUP(C551,#REF!,2,0),IF(B551="CPOS",VLOOKUP(C551,#REF!,3,0),IF(B551="FDE",VLOOKUP(C551,#REF!,2,0),IF(B551="INFRA",VLOOKUP(C551,#REF!,2,0),""))))))),"")</f>
        <v/>
      </c>
      <c r="E551" s="78" t="str">
        <f>IFERROR(UPPER(IF(B551="CPU",VLOOKUP(C551,#REF!,3,0),IF(B551="SINAPI",VLOOKUP(C551,#REF!,3,0),IF(B551="EDIF",VLOOKUP(C551,#REF!,3,0),IF(B551="CPOS",VLOOKUP(C551,#REF!,4,0),IF(B551="FDE",VLOOKUP(C551,#REF!,3,0),IF(B551="INFRA",VLOOKUP(C551,#REF!,3,0),""))))))),"")</f>
        <v/>
      </c>
      <c r="F551" s="936">
        <v>18</v>
      </c>
      <c r="G551" s="985" t="str">
        <f>IFERROR(IF(B551="CPU",VLOOKUP(C551,#REF!,4,0),IF(B551="SINAPI",VLOOKUP(C551,#REF!,5,0),IF(B551="EDIF",VLOOKUP(C551,#REF!,4,0),IF(B551="CPOS",VLOOKUP(C551,#REF!,7,0),IF(B551="FDE",VLOOKUP(C551,#REF!,5,0),IF(B551="INFRA",VLOOKUP(C551,#REF!,4,0),""))))))*VLOOKUP(B551,#REF!,3,0),"")</f>
        <v/>
      </c>
      <c r="H551" s="986">
        <v>0.25</v>
      </c>
      <c r="I551" s="987" t="str">
        <f t="shared" si="33"/>
        <v/>
      </c>
      <c r="J551" s="988">
        <v>13648.725</v>
      </c>
      <c r="K551" s="52"/>
      <c r="L551" s="22"/>
    </row>
    <row r="552" spans="1:12" s="25" customFormat="1" ht="24.75" customHeight="1">
      <c r="A552" s="933" t="s">
        <v>6155</v>
      </c>
      <c r="B552" s="933" t="s">
        <v>1479</v>
      </c>
      <c r="C552" s="1028" t="s">
        <v>6156</v>
      </c>
      <c r="D552" s="984" t="str">
        <f>IFERROR(UPPER(IF(B552="CPU",VLOOKUP(C552,#REF!,2,0),IF(B552="SINAPI",VLOOKUP(C552,#REF!,2,0),IF(B552="EDIF",VLOOKUP(C552,#REF!,2,0),IF(B552="CPOS",VLOOKUP(C552,#REF!,3,0),IF(B552="FDE",VLOOKUP(C552,#REF!,2,0),IF(B552="INFRA",VLOOKUP(C552,#REF!,2,0),""))))))),"")</f>
        <v/>
      </c>
      <c r="E552" s="78" t="str">
        <f>IFERROR(UPPER(IF(B552="CPU",VLOOKUP(C552,#REF!,3,0),IF(B552="SINAPI",VLOOKUP(C552,#REF!,3,0),IF(B552="EDIF",VLOOKUP(C552,#REF!,3,0),IF(B552="CPOS",VLOOKUP(C552,#REF!,4,0),IF(B552="FDE",VLOOKUP(C552,#REF!,3,0),IF(B552="INFRA",VLOOKUP(C552,#REF!,3,0),""))))))),"")</f>
        <v/>
      </c>
      <c r="F552" s="936">
        <v>33</v>
      </c>
      <c r="G552" s="985" t="str">
        <f>IFERROR(IF(B552="CPU",VLOOKUP(C552,#REF!,4,0),IF(B552="SINAPI",VLOOKUP(C552,#REF!,5,0),IF(B552="EDIF",VLOOKUP(C552,#REF!,4,0),IF(B552="CPOS",VLOOKUP(C552,#REF!,7,0),IF(B552="FDE",VLOOKUP(C552,#REF!,5,0),IF(B552="INFRA",VLOOKUP(C552,#REF!,4,0),""))))))*VLOOKUP(B552,#REF!,3,0),"")</f>
        <v/>
      </c>
      <c r="H552" s="986">
        <v>0.25</v>
      </c>
      <c r="I552" s="987" t="str">
        <f t="shared" si="33"/>
        <v/>
      </c>
      <c r="J552" s="988">
        <v>15216.3</v>
      </c>
      <c r="K552" s="52"/>
      <c r="L552" s="22"/>
    </row>
    <row r="553" spans="1:12" s="25" customFormat="1" ht="24.75" customHeight="1">
      <c r="A553" s="933" t="s">
        <v>6157</v>
      </c>
      <c r="B553" s="933" t="s">
        <v>1479</v>
      </c>
      <c r="C553" s="1028" t="s">
        <v>6158</v>
      </c>
      <c r="D553" s="984" t="str">
        <f>IFERROR(UPPER(IF(B553="CPU",VLOOKUP(C553,#REF!,2,0),IF(B553="SINAPI",VLOOKUP(C553,#REF!,2,0),IF(B553="EDIF",VLOOKUP(C553,#REF!,2,0),IF(B553="CPOS",VLOOKUP(C553,#REF!,3,0),IF(B553="FDE",VLOOKUP(C553,#REF!,2,0),IF(B553="INFRA",VLOOKUP(C553,#REF!,2,0),""))))))),"")</f>
        <v/>
      </c>
      <c r="E553" s="78" t="str">
        <f>IFERROR(UPPER(IF(B553="CPU",VLOOKUP(C553,#REF!,3,0),IF(B553="SINAPI",VLOOKUP(C553,#REF!,3,0),IF(B553="EDIF",VLOOKUP(C553,#REF!,3,0),IF(B553="CPOS",VLOOKUP(C553,#REF!,4,0),IF(B553="FDE",VLOOKUP(C553,#REF!,3,0),IF(B553="INFRA",VLOOKUP(C553,#REF!,3,0),""))))))),"")</f>
        <v/>
      </c>
      <c r="F553" s="936">
        <v>12</v>
      </c>
      <c r="G553" s="985" t="str">
        <f>IFERROR(IF(B553="CPU",VLOOKUP(C553,#REF!,4,0),IF(B553="SINAPI",VLOOKUP(C553,#REF!,5,0),IF(B553="EDIF",VLOOKUP(C553,#REF!,4,0),IF(B553="CPOS",VLOOKUP(C553,#REF!,7,0),IF(B553="FDE",VLOOKUP(C553,#REF!,5,0),IF(B553="INFRA",VLOOKUP(C553,#REF!,4,0),""))))))*VLOOKUP(B553,#REF!,3,0),"")</f>
        <v/>
      </c>
      <c r="H553" s="986">
        <v>0.25</v>
      </c>
      <c r="I553" s="987" t="str">
        <f t="shared" si="33"/>
        <v/>
      </c>
      <c r="J553" s="988">
        <v>7618.65</v>
      </c>
      <c r="K553" s="52"/>
      <c r="L553" s="22"/>
    </row>
    <row r="554" spans="1:12" s="25" customFormat="1" ht="24.75" customHeight="1">
      <c r="A554" s="933" t="s">
        <v>6159</v>
      </c>
      <c r="B554" s="933" t="s">
        <v>1479</v>
      </c>
      <c r="C554" s="1028" t="s">
        <v>6160</v>
      </c>
      <c r="D554" s="984" t="str">
        <f>IFERROR(UPPER(IF(B554="CPU",VLOOKUP(C554,#REF!,2,0),IF(B554="SINAPI",VLOOKUP(C554,#REF!,2,0),IF(B554="EDIF",VLOOKUP(C554,#REF!,2,0),IF(B554="CPOS",VLOOKUP(C554,#REF!,3,0),IF(B554="FDE",VLOOKUP(C554,#REF!,2,0),IF(B554="INFRA",VLOOKUP(C554,#REF!,2,0),""))))))),"")</f>
        <v/>
      </c>
      <c r="E554" s="78" t="str">
        <f>IFERROR(UPPER(IF(B554="CPU",VLOOKUP(C554,#REF!,3,0),IF(B554="SINAPI",VLOOKUP(C554,#REF!,3,0),IF(B554="EDIF",VLOOKUP(C554,#REF!,3,0),IF(B554="CPOS",VLOOKUP(C554,#REF!,4,0),IF(B554="FDE",VLOOKUP(C554,#REF!,3,0),IF(B554="INFRA",VLOOKUP(C554,#REF!,3,0),""))))))),"")</f>
        <v/>
      </c>
      <c r="F554" s="936">
        <v>63</v>
      </c>
      <c r="G554" s="985" t="str">
        <f>IFERROR(IF(B554="CPU",VLOOKUP(C554,#REF!,4,0),IF(B554="SINAPI",VLOOKUP(C554,#REF!,5,0),IF(B554="EDIF",VLOOKUP(C554,#REF!,4,0),IF(B554="CPOS",VLOOKUP(C554,#REF!,7,0),IF(B554="FDE",VLOOKUP(C554,#REF!,5,0),IF(B554="INFRA",VLOOKUP(C554,#REF!,4,0),""))))))*VLOOKUP(B554,#REF!,3,0),"")</f>
        <v/>
      </c>
      <c r="H554" s="986">
        <v>0.25</v>
      </c>
      <c r="I554" s="987" t="str">
        <f t="shared" si="33"/>
        <v/>
      </c>
      <c r="J554" s="988">
        <v>3148.4250000000002</v>
      </c>
      <c r="K554" s="52"/>
      <c r="L554" s="22"/>
    </row>
    <row r="555" spans="1:12" s="25" customFormat="1" ht="24.75" customHeight="1">
      <c r="A555" s="933" t="s">
        <v>6161</v>
      </c>
      <c r="B555" s="933" t="s">
        <v>1479</v>
      </c>
      <c r="C555" s="1028" t="s">
        <v>6162</v>
      </c>
      <c r="D555" s="984" t="str">
        <f>IFERROR(UPPER(IF(B555="CPU",VLOOKUP(C555,#REF!,2,0),IF(B555="SINAPI",VLOOKUP(C555,#REF!,2,0),IF(B555="EDIF",VLOOKUP(C555,#REF!,2,0),IF(B555="CPOS",VLOOKUP(C555,#REF!,3,0),IF(B555="FDE",VLOOKUP(C555,#REF!,2,0),IF(B555="INFRA",VLOOKUP(C555,#REF!,2,0),""))))))),"")</f>
        <v/>
      </c>
      <c r="E555" s="78" t="str">
        <f>IFERROR(UPPER(IF(B555="CPU",VLOOKUP(C555,#REF!,3,0),IF(B555="SINAPI",VLOOKUP(C555,#REF!,3,0),IF(B555="EDIF",VLOOKUP(C555,#REF!,3,0),IF(B555="CPOS",VLOOKUP(C555,#REF!,4,0),IF(B555="FDE",VLOOKUP(C555,#REF!,3,0),IF(B555="INFRA",VLOOKUP(C555,#REF!,3,0),""))))))),"")</f>
        <v/>
      </c>
      <c r="F555" s="936">
        <v>96</v>
      </c>
      <c r="G555" s="985" t="str">
        <f>IFERROR(IF(B555="CPU",VLOOKUP(C555,#REF!,4,0),IF(B555="SINAPI",VLOOKUP(C555,#REF!,5,0),IF(B555="EDIF",VLOOKUP(C555,#REF!,4,0),IF(B555="CPOS",VLOOKUP(C555,#REF!,7,0),IF(B555="FDE",VLOOKUP(C555,#REF!,5,0),IF(B555="INFRA",VLOOKUP(C555,#REF!,4,0),""))))))*VLOOKUP(B555,#REF!,3,0),"")</f>
        <v/>
      </c>
      <c r="H555" s="986">
        <v>0.25</v>
      </c>
      <c r="I555" s="987" t="str">
        <f t="shared" si="33"/>
        <v/>
      </c>
      <c r="J555" s="988">
        <v>5424</v>
      </c>
      <c r="K555" s="52"/>
      <c r="L555" s="22"/>
    </row>
    <row r="556" spans="1:12" s="25" customFormat="1" ht="24.75" customHeight="1">
      <c r="A556" s="933" t="s">
        <v>6163</v>
      </c>
      <c r="B556" s="933" t="s">
        <v>1479</v>
      </c>
      <c r="C556" s="78" t="s">
        <v>6164</v>
      </c>
      <c r="D556" s="984" t="str">
        <f>IFERROR(UPPER(IF(B556="CPU",VLOOKUP(C556,#REF!,2,0),IF(B556="SINAPI",VLOOKUP(C556,#REF!,2,0),IF(B556="EDIF",VLOOKUP(C556,#REF!,2,0),IF(B556="CPOS",VLOOKUP(C556,#REF!,3,0),IF(B556="FDE",VLOOKUP(C556,#REF!,2,0),IF(B556="INFRA",VLOOKUP(C556,#REF!,2,0),""))))))),"")</f>
        <v/>
      </c>
      <c r="E556" s="78" t="str">
        <f>IFERROR(UPPER(IF(B556="CPU",VLOOKUP(C556,#REF!,3,0),IF(B556="SINAPI",VLOOKUP(C556,#REF!,3,0),IF(B556="EDIF",VLOOKUP(C556,#REF!,3,0),IF(B556="CPOS",VLOOKUP(C556,#REF!,4,0),IF(B556="FDE",VLOOKUP(C556,#REF!,3,0),IF(B556="INFRA",VLOOKUP(C556,#REF!,3,0),""))))))),"")</f>
        <v/>
      </c>
      <c r="F556" s="936">
        <v>193</v>
      </c>
      <c r="G556" s="985" t="str">
        <f>IFERROR(IF(B556="CPU",VLOOKUP(C556,#REF!,4,0),IF(B556="SINAPI",VLOOKUP(C556,#REF!,5,0),IF(B556="EDIF",VLOOKUP(C556,#REF!,4,0),IF(B556="CPOS",VLOOKUP(C556,#REF!,7,0),IF(B556="FDE",VLOOKUP(C556,#REF!,5,0),IF(B556="INFRA",VLOOKUP(C556,#REF!,4,0),""))))))*VLOOKUP(B556,#REF!,3,0),"")</f>
        <v/>
      </c>
      <c r="H556" s="986">
        <v>0.25</v>
      </c>
      <c r="I556" s="987" t="str">
        <f t="shared" si="33"/>
        <v/>
      </c>
      <c r="J556" s="988">
        <v>6137.4</v>
      </c>
      <c r="K556" s="52"/>
      <c r="L556" s="22"/>
    </row>
    <row r="557" spans="1:12" s="25" customFormat="1" ht="24.75" customHeight="1">
      <c r="A557" s="933" t="s">
        <v>6165</v>
      </c>
      <c r="B557" s="933" t="s">
        <v>1479</v>
      </c>
      <c r="C557" s="78" t="s">
        <v>6166</v>
      </c>
      <c r="D557" s="984" t="str">
        <f>IFERROR(UPPER(IF(B557="CPU",VLOOKUP(C557,#REF!,2,0),IF(B557="SINAPI",VLOOKUP(C557,#REF!,2,0),IF(B557="EDIF",VLOOKUP(C557,#REF!,2,0),IF(B557="CPOS",VLOOKUP(C557,#REF!,3,0),IF(B557="FDE",VLOOKUP(C557,#REF!,2,0),IF(B557="INFRA",VLOOKUP(C557,#REF!,2,0),""))))))),"")</f>
        <v/>
      </c>
      <c r="E557" s="78" t="str">
        <f>IFERROR(UPPER(IF(B557="CPU",VLOOKUP(C557,#REF!,3,0),IF(B557="SINAPI",VLOOKUP(C557,#REF!,3,0),IF(B557="EDIF",VLOOKUP(C557,#REF!,3,0),IF(B557="CPOS",VLOOKUP(C557,#REF!,4,0),IF(B557="FDE",VLOOKUP(C557,#REF!,3,0),IF(B557="INFRA",VLOOKUP(C557,#REF!,3,0),""))))))),"")</f>
        <v/>
      </c>
      <c r="F557" s="936">
        <v>193</v>
      </c>
      <c r="G557" s="985" t="str">
        <f>IFERROR(IF(B557="CPU",VLOOKUP(C557,#REF!,4,0),IF(B557="SINAPI",VLOOKUP(C557,#REF!,5,0),IF(B557="EDIF",VLOOKUP(C557,#REF!,4,0),IF(B557="CPOS",VLOOKUP(C557,#REF!,7,0),IF(B557="FDE",VLOOKUP(C557,#REF!,5,0),IF(B557="INFRA",VLOOKUP(C557,#REF!,4,0),""))))))*VLOOKUP(B557,#REF!,3,0),"")</f>
        <v/>
      </c>
      <c r="H557" s="986">
        <v>0.25</v>
      </c>
      <c r="I557" s="987" t="str">
        <f t="shared" si="33"/>
        <v/>
      </c>
      <c r="J557" s="988">
        <v>9256.7625000000007</v>
      </c>
      <c r="K557" s="52"/>
      <c r="L557" s="22"/>
    </row>
    <row r="558" spans="1:12" s="25" customFormat="1" ht="24.75" customHeight="1">
      <c r="A558" s="933" t="s">
        <v>6167</v>
      </c>
      <c r="B558" s="933" t="s">
        <v>1479</v>
      </c>
      <c r="C558" s="1012" t="s">
        <v>6168</v>
      </c>
      <c r="D558" s="984" t="str">
        <f>IFERROR(UPPER(IF(B558="CPU",VLOOKUP(C558,#REF!,2,0),IF(B558="SINAPI",VLOOKUP(C558,#REF!,2,0),IF(B558="EDIF",VLOOKUP(C558,#REF!,2,0),IF(B558="CPOS",VLOOKUP(C558,#REF!,3,0),IF(B558="FDE",VLOOKUP(C558,#REF!,2,0),IF(B558="INFRA",VLOOKUP(C558,#REF!,2,0),""))))))),"")</f>
        <v/>
      </c>
      <c r="E558" s="78" t="str">
        <f>IFERROR(UPPER(IF(B558="CPU",VLOOKUP(C558,#REF!,3,0),IF(B558="SINAPI",VLOOKUP(C558,#REF!,3,0),IF(B558="EDIF",VLOOKUP(C558,#REF!,3,0),IF(B558="CPOS",VLOOKUP(C558,#REF!,4,0),IF(B558="FDE",VLOOKUP(C558,#REF!,3,0),IF(B558="INFRA",VLOOKUP(C558,#REF!,3,0),""))))))),"")</f>
        <v/>
      </c>
      <c r="F558" s="936">
        <v>181</v>
      </c>
      <c r="G558" s="985" t="str">
        <f>IFERROR(IF(B558="CPU",VLOOKUP(C558,#REF!,4,0),IF(B558="SINAPI",VLOOKUP(C558,#REF!,5,0),IF(B558="EDIF",VLOOKUP(C558,#REF!,4,0),IF(B558="CPOS",VLOOKUP(C558,#REF!,7,0),IF(B558="FDE",VLOOKUP(C558,#REF!,5,0),IF(B558="INFRA",VLOOKUP(C558,#REF!,4,0),""))))))*VLOOKUP(B558,#REF!,3,0),"")</f>
        <v/>
      </c>
      <c r="H558" s="986">
        <v>0.25</v>
      </c>
      <c r="I558" s="987" t="str">
        <f t="shared" si="33"/>
        <v/>
      </c>
      <c r="J558" s="988">
        <v>123437.47500000001</v>
      </c>
      <c r="K558" s="52"/>
      <c r="L558" s="22"/>
    </row>
    <row r="559" spans="1:12" s="25" customFormat="1" ht="24.75" customHeight="1">
      <c r="A559" s="933" t="s">
        <v>6169</v>
      </c>
      <c r="B559" s="933" t="s">
        <v>1479</v>
      </c>
      <c r="C559" s="1028" t="s">
        <v>6170</v>
      </c>
      <c r="D559" s="984" t="str">
        <f>IFERROR(UPPER(IF(B559="CPU",VLOOKUP(C559,#REF!,2,0),IF(B559="SINAPI",VLOOKUP(C559,#REF!,2,0),IF(B559="EDIF",VLOOKUP(C559,#REF!,2,0),IF(B559="CPOS",VLOOKUP(C559,#REF!,3,0),IF(B559="FDE",VLOOKUP(C559,#REF!,2,0),IF(B559="INFRA",VLOOKUP(C559,#REF!,2,0),""))))))),"")</f>
        <v/>
      </c>
      <c r="E559" s="78" t="str">
        <f>IFERROR(UPPER(IF(B559="CPU",VLOOKUP(C559,#REF!,3,0),IF(B559="SINAPI",VLOOKUP(C559,#REF!,3,0),IF(B559="EDIF",VLOOKUP(C559,#REF!,3,0),IF(B559="CPOS",VLOOKUP(C559,#REF!,4,0),IF(B559="FDE",VLOOKUP(C559,#REF!,3,0),IF(B559="INFRA",VLOOKUP(C559,#REF!,3,0),""))))))),"")</f>
        <v/>
      </c>
      <c r="F559" s="936">
        <v>51</v>
      </c>
      <c r="G559" s="985" t="str">
        <f>IFERROR(IF(B559="CPU",VLOOKUP(C559,#REF!,4,0),IF(B559="SINAPI",VLOOKUP(C559,#REF!,5,0),IF(B559="EDIF",VLOOKUP(C559,#REF!,4,0),IF(B559="CPOS",VLOOKUP(C559,#REF!,7,0),IF(B559="FDE",VLOOKUP(C559,#REF!,5,0),IF(B559="INFRA",VLOOKUP(C559,#REF!,4,0),""))))))*VLOOKUP(B559,#REF!,3,0),"")</f>
        <v/>
      </c>
      <c r="H559" s="986">
        <v>0.25</v>
      </c>
      <c r="I559" s="987" t="str">
        <f t="shared" si="33"/>
        <v/>
      </c>
      <c r="J559" s="988">
        <v>14383.9125</v>
      </c>
      <c r="K559" s="52"/>
      <c r="L559" s="22"/>
    </row>
    <row r="560" spans="1:12" s="25" customFormat="1" ht="24.75" customHeight="1">
      <c r="A560" s="933" t="s">
        <v>6171</v>
      </c>
      <c r="B560" s="933" t="s">
        <v>1479</v>
      </c>
      <c r="C560" s="1028" t="s">
        <v>6172</v>
      </c>
      <c r="D560" s="984" t="str">
        <f>IFERROR(UPPER(IF(B560="CPU",VLOOKUP(C560,#REF!,2,0),IF(B560="SINAPI",VLOOKUP(C560,#REF!,2,0),IF(B560="EDIF",VLOOKUP(C560,#REF!,2,0),IF(B560="CPOS",VLOOKUP(C560,#REF!,3,0),IF(B560="FDE",VLOOKUP(C560,#REF!,2,0),IF(B560="INFRA",VLOOKUP(C560,#REF!,2,0),""))))))),"")</f>
        <v/>
      </c>
      <c r="E560" s="78" t="str">
        <f>IFERROR(UPPER(IF(B560="CPU",VLOOKUP(C560,#REF!,3,0),IF(B560="SINAPI",VLOOKUP(C560,#REF!,3,0),IF(B560="EDIF",VLOOKUP(C560,#REF!,3,0),IF(B560="CPOS",VLOOKUP(C560,#REF!,4,0),IF(B560="FDE",VLOOKUP(C560,#REF!,3,0),IF(B560="INFRA",VLOOKUP(C560,#REF!,3,0),""))))))),"")</f>
        <v/>
      </c>
      <c r="F560" s="936">
        <v>12</v>
      </c>
      <c r="G560" s="985" t="str">
        <f>IFERROR(IF(B560="CPU",VLOOKUP(C560,#REF!,4,0),IF(B560="SINAPI",VLOOKUP(C560,#REF!,5,0),IF(B560="EDIF",VLOOKUP(C560,#REF!,4,0),IF(B560="CPOS",VLOOKUP(C560,#REF!,7,0),IF(B560="FDE",VLOOKUP(C560,#REF!,5,0),IF(B560="INFRA",VLOOKUP(C560,#REF!,4,0),""))))))*VLOOKUP(B560,#REF!,3,0),"")</f>
        <v/>
      </c>
      <c r="H560" s="986">
        <v>0.25</v>
      </c>
      <c r="I560" s="987" t="str">
        <f t="shared" si="33"/>
        <v/>
      </c>
      <c r="J560" s="988">
        <v>553.20000000000005</v>
      </c>
      <c r="K560" s="52"/>
      <c r="L560" s="22"/>
    </row>
    <row r="561" spans="1:12" s="25" customFormat="1" ht="24.75" customHeight="1">
      <c r="A561" s="933" t="s">
        <v>6173</v>
      </c>
      <c r="B561" s="933" t="s">
        <v>1479</v>
      </c>
      <c r="C561" s="1012" t="s">
        <v>6174</v>
      </c>
      <c r="D561" s="984" t="str">
        <f>IFERROR(UPPER(IF(B561="CPU",VLOOKUP(C561,#REF!,2,0),IF(B561="SINAPI",VLOOKUP(C561,#REF!,2,0),IF(B561="EDIF",VLOOKUP(C561,#REF!,2,0),IF(B561="CPOS",VLOOKUP(C561,#REF!,3,0),IF(B561="FDE",VLOOKUP(C561,#REF!,2,0),IF(B561="INFRA",VLOOKUP(C561,#REF!,2,0),""))))))),"")</f>
        <v/>
      </c>
      <c r="E561" s="78" t="str">
        <f>IFERROR(UPPER(IF(B561="CPU",VLOOKUP(C561,#REF!,3,0),IF(B561="SINAPI",VLOOKUP(C561,#REF!,3,0),IF(B561="EDIF",VLOOKUP(C561,#REF!,3,0),IF(B561="CPOS",VLOOKUP(C561,#REF!,4,0),IF(B561="FDE",VLOOKUP(C561,#REF!,3,0),IF(B561="INFRA",VLOOKUP(C561,#REF!,3,0),""))))))),"")</f>
        <v/>
      </c>
      <c r="F561" s="936">
        <v>96</v>
      </c>
      <c r="G561" s="985" t="str">
        <f>IFERROR(IF(B561="CPU",VLOOKUP(C561,#REF!,4,0),IF(B561="SINAPI",VLOOKUP(C561,#REF!,5,0),IF(B561="EDIF",VLOOKUP(C561,#REF!,4,0),IF(B561="CPOS",VLOOKUP(C561,#REF!,7,0),IF(B561="FDE",VLOOKUP(C561,#REF!,5,0),IF(B561="INFRA",VLOOKUP(C561,#REF!,4,0),""))))))*VLOOKUP(B561,#REF!,3,0),"")</f>
        <v/>
      </c>
      <c r="H561" s="986">
        <v>0.25</v>
      </c>
      <c r="I561" s="987" t="str">
        <f t="shared" si="33"/>
        <v/>
      </c>
      <c r="J561" s="988">
        <v>39034.800000000003</v>
      </c>
      <c r="K561" s="52"/>
      <c r="L561" s="22"/>
    </row>
    <row r="562" spans="1:12" s="25" customFormat="1" ht="24.75" customHeight="1">
      <c r="A562" s="933" t="s">
        <v>6175</v>
      </c>
      <c r="B562" s="933" t="s">
        <v>1479</v>
      </c>
      <c r="C562" s="1012" t="s">
        <v>6176</v>
      </c>
      <c r="D562" s="984" t="str">
        <f>IFERROR(UPPER(IF(B562="CPU",VLOOKUP(C562,#REF!,2,0),IF(B562="SINAPI",VLOOKUP(C562,#REF!,2,0),IF(B562="EDIF",VLOOKUP(C562,#REF!,2,0),IF(B562="CPOS",VLOOKUP(C562,#REF!,3,0),IF(B562="FDE",VLOOKUP(C562,#REF!,2,0),IF(B562="INFRA",VLOOKUP(C562,#REF!,2,0),""))))))),"")</f>
        <v/>
      </c>
      <c r="E562" s="78" t="str">
        <f>IFERROR(UPPER(IF(B562="CPU",VLOOKUP(C562,#REF!,3,0),IF(B562="SINAPI",VLOOKUP(C562,#REF!,3,0),IF(B562="EDIF",VLOOKUP(C562,#REF!,3,0),IF(B562="CPOS",VLOOKUP(C562,#REF!,4,0),IF(B562="FDE",VLOOKUP(C562,#REF!,3,0),IF(B562="INFRA",VLOOKUP(C562,#REF!,3,0),""))))))),"")</f>
        <v/>
      </c>
      <c r="F562" s="936">
        <v>193</v>
      </c>
      <c r="G562" s="985" t="str">
        <f>IFERROR(IF(B562="CPU",VLOOKUP(C562,#REF!,4,0),IF(B562="SINAPI",VLOOKUP(C562,#REF!,5,0),IF(B562="EDIF",VLOOKUP(C562,#REF!,4,0),IF(B562="CPOS",VLOOKUP(C562,#REF!,7,0),IF(B562="FDE",VLOOKUP(C562,#REF!,5,0),IF(B562="INFRA",VLOOKUP(C562,#REF!,4,0),""))))))*VLOOKUP(B562,#REF!,3,0),"")</f>
        <v/>
      </c>
      <c r="H562" s="986">
        <v>0.25</v>
      </c>
      <c r="I562" s="987" t="str">
        <f t="shared" si="33"/>
        <v/>
      </c>
      <c r="J562" s="988">
        <v>33907.6875</v>
      </c>
      <c r="K562" s="52"/>
      <c r="L562" s="22"/>
    </row>
    <row r="563" spans="1:12" s="25" customFormat="1" ht="24.75" customHeight="1">
      <c r="A563" s="933" t="s">
        <v>6177</v>
      </c>
      <c r="B563" s="933" t="s">
        <v>1479</v>
      </c>
      <c r="C563" s="1012" t="s">
        <v>6178</v>
      </c>
      <c r="D563" s="984" t="str">
        <f>IFERROR(UPPER(IF(B563="CPU",VLOOKUP(C563,#REF!,2,0),IF(B563="SINAPI",VLOOKUP(C563,#REF!,2,0),IF(B563="EDIF",VLOOKUP(C563,#REF!,2,0),IF(B563="CPOS",VLOOKUP(C563,#REF!,3,0),IF(B563="FDE",VLOOKUP(C563,#REF!,2,0),IF(B563="INFRA",VLOOKUP(C563,#REF!,2,0),""))))))),"")</f>
        <v/>
      </c>
      <c r="E563" s="78" t="str">
        <f>IFERROR(UPPER(IF(B563="CPU",VLOOKUP(C563,#REF!,3,0),IF(B563="SINAPI",VLOOKUP(C563,#REF!,3,0),IF(B563="EDIF",VLOOKUP(C563,#REF!,3,0),IF(B563="CPOS",VLOOKUP(C563,#REF!,4,0),IF(B563="FDE",VLOOKUP(C563,#REF!,3,0),IF(B563="INFRA",VLOOKUP(C563,#REF!,3,0),""))))))),"")</f>
        <v/>
      </c>
      <c r="F563" s="936">
        <v>63</v>
      </c>
      <c r="G563" s="985" t="str">
        <f>IFERROR(IF(B563="CPU",VLOOKUP(C563,#REF!,4,0),IF(B563="SINAPI",VLOOKUP(C563,#REF!,5,0),IF(B563="EDIF",VLOOKUP(C563,#REF!,4,0),IF(B563="CPOS",VLOOKUP(C563,#REF!,7,0),IF(B563="FDE",VLOOKUP(C563,#REF!,5,0),IF(B563="INFRA",VLOOKUP(C563,#REF!,4,0),""))))))*VLOOKUP(B563,#REF!,3,0),"")</f>
        <v/>
      </c>
      <c r="H563" s="986">
        <v>0.25</v>
      </c>
      <c r="I563" s="987" t="str">
        <f t="shared" si="33"/>
        <v/>
      </c>
      <c r="J563" s="988">
        <v>9794.1375000000007</v>
      </c>
      <c r="K563" s="52"/>
      <c r="L563" s="22"/>
    </row>
    <row r="564" spans="1:12" s="25" customFormat="1" ht="24.75" customHeight="1">
      <c r="A564" s="933" t="s">
        <v>6179</v>
      </c>
      <c r="B564" s="933" t="s">
        <v>1479</v>
      </c>
      <c r="C564" s="1012" t="s">
        <v>6180</v>
      </c>
      <c r="D564" s="984" t="str">
        <f>IFERROR(UPPER(IF(B564="CPU",VLOOKUP(C564,#REF!,2,0),IF(B564="SINAPI",VLOOKUP(C564,#REF!,2,0),IF(B564="EDIF",VLOOKUP(C564,#REF!,2,0),IF(B564="CPOS",VLOOKUP(C564,#REF!,3,0),IF(B564="FDE",VLOOKUP(C564,#REF!,2,0),IF(B564="INFRA",VLOOKUP(C564,#REF!,2,0),""))))))),"")</f>
        <v/>
      </c>
      <c r="E564" s="78" t="str">
        <f>IFERROR(UPPER(IF(B564="CPU",VLOOKUP(C564,#REF!,3,0),IF(B564="SINAPI",VLOOKUP(C564,#REF!,3,0),IF(B564="EDIF",VLOOKUP(C564,#REF!,3,0),IF(B564="CPOS",VLOOKUP(C564,#REF!,4,0),IF(B564="FDE",VLOOKUP(C564,#REF!,3,0),IF(B564="INFRA",VLOOKUP(C564,#REF!,3,0),""))))))),"")</f>
        <v/>
      </c>
      <c r="F564" s="936">
        <v>51</v>
      </c>
      <c r="G564" s="985" t="str">
        <f>IFERROR(IF(B564="CPU",VLOOKUP(C564,#REF!,4,0),IF(B564="SINAPI",VLOOKUP(C564,#REF!,5,0),IF(B564="EDIF",VLOOKUP(C564,#REF!,4,0),IF(B564="CPOS",VLOOKUP(C564,#REF!,7,0),IF(B564="FDE",VLOOKUP(C564,#REF!,5,0),IF(B564="INFRA",VLOOKUP(C564,#REF!,4,0),""))))))*VLOOKUP(B564,#REF!,3,0),"")</f>
        <v/>
      </c>
      <c r="H564" s="986">
        <v>0.25</v>
      </c>
      <c r="I564" s="987" t="str">
        <f t="shared" si="33"/>
        <v/>
      </c>
      <c r="J564" s="988">
        <v>2414.85</v>
      </c>
      <c r="K564" s="52"/>
      <c r="L564" s="22"/>
    </row>
    <row r="565" spans="1:12" s="25" customFormat="1" ht="24.75" customHeight="1">
      <c r="A565" s="933" t="s">
        <v>6181</v>
      </c>
      <c r="B565" s="933" t="s">
        <v>1479</v>
      </c>
      <c r="C565" s="1012" t="s">
        <v>6182</v>
      </c>
      <c r="D565" s="984" t="str">
        <f>IFERROR(UPPER(IF(B565="CPU",VLOOKUP(C565,#REF!,2,0),IF(B565="SINAPI",VLOOKUP(C565,#REF!,2,0),IF(B565="EDIF",VLOOKUP(C565,#REF!,2,0),IF(B565="CPOS",VLOOKUP(C565,#REF!,3,0),IF(B565="FDE",VLOOKUP(C565,#REF!,2,0),IF(B565="INFRA",VLOOKUP(C565,#REF!,2,0),""))))))),"")</f>
        <v/>
      </c>
      <c r="E565" s="78" t="str">
        <f>IFERROR(UPPER(IF(B565="CPU",VLOOKUP(C565,#REF!,3,0),IF(B565="SINAPI",VLOOKUP(C565,#REF!,3,0),IF(B565="EDIF",VLOOKUP(C565,#REF!,3,0),IF(B565="CPOS",VLOOKUP(C565,#REF!,4,0),IF(B565="FDE",VLOOKUP(C565,#REF!,3,0),IF(B565="INFRA",VLOOKUP(C565,#REF!,3,0),""))))))),"")</f>
        <v/>
      </c>
      <c r="F565" s="936">
        <v>12</v>
      </c>
      <c r="G565" s="985" t="str">
        <f>IFERROR(IF(B565="CPU",VLOOKUP(C565,#REF!,4,0),IF(B565="SINAPI",VLOOKUP(C565,#REF!,5,0),IF(B565="EDIF",VLOOKUP(C565,#REF!,4,0),IF(B565="CPOS",VLOOKUP(C565,#REF!,7,0),IF(B565="FDE",VLOOKUP(C565,#REF!,5,0),IF(B565="INFRA",VLOOKUP(C565,#REF!,4,0),""))))))*VLOOKUP(B565,#REF!,3,0),"")</f>
        <v/>
      </c>
      <c r="H565" s="986">
        <v>0.25</v>
      </c>
      <c r="I565" s="987" t="str">
        <f t="shared" si="33"/>
        <v/>
      </c>
      <c r="J565" s="988">
        <v>915.15</v>
      </c>
      <c r="K565" s="52"/>
      <c r="L565" s="22"/>
    </row>
    <row r="566" spans="1:12" s="25" customFormat="1" ht="24.75" customHeight="1">
      <c r="A566" s="933" t="s">
        <v>6183</v>
      </c>
      <c r="B566" s="933" t="s">
        <v>1479</v>
      </c>
      <c r="C566" s="1012" t="s">
        <v>6184</v>
      </c>
      <c r="D566" s="984" t="str">
        <f>IFERROR(UPPER(IF(B566="CPU",VLOOKUP(C566,#REF!,2,0),IF(B566="SINAPI",VLOOKUP(C566,#REF!,2,0),IF(B566="EDIF",VLOOKUP(C566,#REF!,2,0),IF(B566="CPOS",VLOOKUP(C566,#REF!,3,0),IF(B566="FDE",VLOOKUP(C566,#REF!,2,0),IF(B566="INFRA",VLOOKUP(C566,#REF!,2,0),""))))))),"")</f>
        <v/>
      </c>
      <c r="E566" s="78" t="str">
        <f>IFERROR(UPPER(IF(B566="CPU",VLOOKUP(C566,#REF!,3,0),IF(B566="SINAPI",VLOOKUP(C566,#REF!,3,0),IF(B566="EDIF",VLOOKUP(C566,#REF!,3,0),IF(B566="CPOS",VLOOKUP(C566,#REF!,4,0),IF(B566="FDE",VLOOKUP(C566,#REF!,3,0),IF(B566="INFRA",VLOOKUP(C566,#REF!,3,0),""))))))),"")</f>
        <v/>
      </c>
      <c r="F566" s="936">
        <v>193</v>
      </c>
      <c r="G566" s="985" t="str">
        <f>IFERROR(IF(B566="CPU",VLOOKUP(C566,#REF!,4,0),IF(B566="SINAPI",VLOOKUP(C566,#REF!,5,0),IF(B566="EDIF",VLOOKUP(C566,#REF!,4,0),IF(B566="CPOS",VLOOKUP(C566,#REF!,7,0),IF(B566="FDE",VLOOKUP(C566,#REF!,5,0),IF(B566="INFRA",VLOOKUP(C566,#REF!,4,0),""))))))*VLOOKUP(B566,#REF!,3,0),"")</f>
        <v/>
      </c>
      <c r="H566" s="986">
        <v>0.25</v>
      </c>
      <c r="I566" s="987" t="str">
        <f t="shared" si="33"/>
        <v/>
      </c>
      <c r="J566" s="988">
        <v>7720</v>
      </c>
      <c r="K566" s="52"/>
      <c r="L566" s="22"/>
    </row>
    <row r="567" spans="1:12" s="25" customFormat="1" ht="24.75" customHeight="1">
      <c r="A567" s="933" t="s">
        <v>6185</v>
      </c>
      <c r="B567" s="933" t="s">
        <v>1479</v>
      </c>
      <c r="C567" s="1012" t="s">
        <v>6186</v>
      </c>
      <c r="D567" s="984" t="str">
        <f>IFERROR(UPPER(IF(B567="CPU",VLOOKUP(C567,#REF!,2,0),IF(B567="SINAPI",VLOOKUP(C567,#REF!,2,0),IF(B567="EDIF",VLOOKUP(C567,#REF!,2,0),IF(B567="CPOS",VLOOKUP(C567,#REF!,3,0),IF(B567="FDE",VLOOKUP(C567,#REF!,2,0),IF(B567="INFRA",VLOOKUP(C567,#REF!,2,0),""))))))),"")</f>
        <v/>
      </c>
      <c r="E567" s="78" t="str">
        <f>IFERROR(UPPER(IF(B567="CPU",VLOOKUP(C567,#REF!,3,0),IF(B567="SINAPI",VLOOKUP(C567,#REF!,3,0),IF(B567="EDIF",VLOOKUP(C567,#REF!,3,0),IF(B567="CPOS",VLOOKUP(C567,#REF!,4,0),IF(B567="FDE",VLOOKUP(C567,#REF!,3,0),IF(B567="INFRA",VLOOKUP(C567,#REF!,3,0),""))))))),"")</f>
        <v/>
      </c>
      <c r="F567" s="936">
        <v>193</v>
      </c>
      <c r="G567" s="985" t="str">
        <f>IFERROR(IF(B567="CPU",VLOOKUP(C567,#REF!,4,0),IF(B567="SINAPI",VLOOKUP(C567,#REF!,5,0),IF(B567="EDIF",VLOOKUP(C567,#REF!,4,0),IF(B567="CPOS",VLOOKUP(C567,#REF!,7,0),IF(B567="FDE",VLOOKUP(C567,#REF!,5,0),IF(B567="INFRA",VLOOKUP(C567,#REF!,4,0),""))))))*VLOOKUP(B567,#REF!,3,0),"")</f>
        <v/>
      </c>
      <c r="H567" s="986">
        <v>0.25</v>
      </c>
      <c r="I567" s="987" t="str">
        <f t="shared" si="33"/>
        <v/>
      </c>
      <c r="J567" s="988">
        <v>7580.0749999999998</v>
      </c>
      <c r="K567" s="52"/>
      <c r="L567" s="22"/>
    </row>
    <row r="568" spans="1:12" s="25" customFormat="1" ht="24.75" customHeight="1">
      <c r="A568" s="933" t="s">
        <v>6187</v>
      </c>
      <c r="B568" s="933" t="s">
        <v>1479</v>
      </c>
      <c r="C568" s="1012" t="s">
        <v>6188</v>
      </c>
      <c r="D568" s="984" t="str">
        <f>IFERROR(UPPER(IF(B568="CPU",VLOOKUP(C568,#REF!,2,0),IF(B568="SINAPI",VLOOKUP(C568,#REF!,2,0),IF(B568="EDIF",VLOOKUP(C568,#REF!,2,0),IF(B568="CPOS",VLOOKUP(C568,#REF!,3,0),IF(B568="FDE",VLOOKUP(C568,#REF!,2,0),IF(B568="INFRA",VLOOKUP(C568,#REF!,2,0),""))))))),"")</f>
        <v/>
      </c>
      <c r="E568" s="78" t="str">
        <f>IFERROR(UPPER(IF(B568="CPU",VLOOKUP(C568,#REF!,3,0),IF(B568="SINAPI",VLOOKUP(C568,#REF!,3,0),IF(B568="EDIF",VLOOKUP(C568,#REF!,3,0),IF(B568="CPOS",VLOOKUP(C568,#REF!,4,0),IF(B568="FDE",VLOOKUP(C568,#REF!,3,0),IF(B568="INFRA",VLOOKUP(C568,#REF!,3,0),""))))))),"")</f>
        <v/>
      </c>
      <c r="F568" s="936">
        <v>102</v>
      </c>
      <c r="G568" s="985" t="str">
        <f>IFERROR(IF(B568="CPU",VLOOKUP(C568,#REF!,4,0),IF(B568="SINAPI",VLOOKUP(C568,#REF!,5,0),IF(B568="EDIF",VLOOKUP(C568,#REF!,4,0),IF(B568="CPOS",VLOOKUP(C568,#REF!,7,0),IF(B568="FDE",VLOOKUP(C568,#REF!,5,0),IF(B568="INFRA",VLOOKUP(C568,#REF!,4,0),""))))))*VLOOKUP(B568,#REF!,3,0),"")</f>
        <v/>
      </c>
      <c r="H568" s="986">
        <v>0.25</v>
      </c>
      <c r="I568" s="987" t="str">
        <f t="shared" si="33"/>
        <v/>
      </c>
      <c r="J568" s="988">
        <v>4444.6499999999996</v>
      </c>
      <c r="K568" s="52"/>
      <c r="L568" s="22"/>
    </row>
    <row r="569" spans="1:12" s="25" customFormat="1" ht="24.75" customHeight="1">
      <c r="A569" s="933" t="s">
        <v>6189</v>
      </c>
      <c r="B569" s="933" t="s">
        <v>1479</v>
      </c>
      <c r="C569" s="1012" t="s">
        <v>6190</v>
      </c>
      <c r="D569" s="984" t="str">
        <f>IFERROR(UPPER(IF(B569="CPU",VLOOKUP(C569,#REF!,2,0),IF(B569="SINAPI",VLOOKUP(C569,#REF!,2,0),IF(B569="EDIF",VLOOKUP(C569,#REF!,2,0),IF(B569="CPOS",VLOOKUP(C569,#REF!,3,0),IF(B569="FDE",VLOOKUP(C569,#REF!,2,0),IF(B569="INFRA",VLOOKUP(C569,#REF!,2,0),""))))))),"")</f>
        <v/>
      </c>
      <c r="E569" s="78" t="str">
        <f>IFERROR(UPPER(IF(B569="CPU",VLOOKUP(C569,#REF!,3,0),IF(B569="SINAPI",VLOOKUP(C569,#REF!,3,0),IF(B569="EDIF",VLOOKUP(C569,#REF!,3,0),IF(B569="CPOS",VLOOKUP(C569,#REF!,4,0),IF(B569="FDE",VLOOKUP(C569,#REF!,3,0),IF(B569="INFRA",VLOOKUP(C569,#REF!,3,0),""))))))),"")</f>
        <v/>
      </c>
      <c r="F569" s="936">
        <v>880</v>
      </c>
      <c r="G569" s="985" t="str">
        <f>IFERROR(IF(B569="CPU",VLOOKUP(C569,#REF!,4,0),IF(B569="SINAPI",VLOOKUP(C569,#REF!,5,0),IF(B569="EDIF",VLOOKUP(C569,#REF!,4,0),IF(B569="CPOS",VLOOKUP(C569,#REF!,7,0),IF(B569="FDE",VLOOKUP(C569,#REF!,5,0),IF(B569="INFRA",VLOOKUP(C569,#REF!,4,0),""))))))*VLOOKUP(B569,#REF!,3,0),"")</f>
        <v/>
      </c>
      <c r="H569" s="986">
        <v>0.25</v>
      </c>
      <c r="I569" s="987" t="str">
        <f t="shared" si="33"/>
        <v/>
      </c>
      <c r="J569" s="988">
        <v>82522</v>
      </c>
      <c r="K569" s="52"/>
      <c r="L569" s="22"/>
    </row>
    <row r="570" spans="1:12" s="25" customFormat="1" ht="24.75" customHeight="1">
      <c r="A570" s="933" t="s">
        <v>6191</v>
      </c>
      <c r="B570" s="933" t="s">
        <v>1479</v>
      </c>
      <c r="C570" s="1012" t="s">
        <v>6192</v>
      </c>
      <c r="D570" s="984" t="str">
        <f>IFERROR(UPPER(IF(B570="CPU",VLOOKUP(C570,#REF!,2,0),IF(B570="SINAPI",VLOOKUP(C570,#REF!,2,0),IF(B570="EDIF",VLOOKUP(C570,#REF!,2,0),IF(B570="CPOS",VLOOKUP(C570,#REF!,3,0),IF(B570="FDE",VLOOKUP(C570,#REF!,2,0),IF(B570="INFRA",VLOOKUP(C570,#REF!,2,0),""))))))),"")</f>
        <v/>
      </c>
      <c r="E570" s="78" t="str">
        <f>IFERROR(UPPER(IF(B570="CPU",VLOOKUP(C570,#REF!,3,0),IF(B570="SINAPI",VLOOKUP(C570,#REF!,3,0),IF(B570="EDIF",VLOOKUP(C570,#REF!,3,0),IF(B570="CPOS",VLOOKUP(C570,#REF!,4,0),IF(B570="FDE",VLOOKUP(C570,#REF!,3,0),IF(B570="INFRA",VLOOKUP(C570,#REF!,3,0),""))))))),"")</f>
        <v/>
      </c>
      <c r="F570" s="936">
        <v>80</v>
      </c>
      <c r="G570" s="985" t="str">
        <f>IFERROR(IF(B570="CPU",VLOOKUP(C570,#REF!,4,0),IF(B570="SINAPI",VLOOKUP(C570,#REF!,5,0),IF(B570="EDIF",VLOOKUP(C570,#REF!,4,0),IF(B570="CPOS",VLOOKUP(C570,#REF!,7,0),IF(B570="FDE",VLOOKUP(C570,#REF!,5,0),IF(B570="INFRA",VLOOKUP(C570,#REF!,4,0),""))))))*VLOOKUP(B570,#REF!,3,0),"")</f>
        <v/>
      </c>
      <c r="H570" s="986">
        <v>0.25</v>
      </c>
      <c r="I570" s="987" t="str">
        <f t="shared" si="33"/>
        <v/>
      </c>
      <c r="J570" s="988">
        <v>8654</v>
      </c>
      <c r="K570" s="52"/>
      <c r="L570" s="22"/>
    </row>
    <row r="571" spans="1:12" s="25" customFormat="1" ht="24.75" customHeight="1">
      <c r="A571" s="933" t="s">
        <v>6193</v>
      </c>
      <c r="B571" s="933" t="s">
        <v>1479</v>
      </c>
      <c r="C571" s="1012" t="s">
        <v>6194</v>
      </c>
      <c r="D571" s="984" t="str">
        <f>IFERROR(UPPER(IF(B571="CPU",VLOOKUP(C571,#REF!,2,0),IF(B571="SINAPI",VLOOKUP(C571,#REF!,2,0),IF(B571="EDIF",VLOOKUP(C571,#REF!,2,0),IF(B571="CPOS",VLOOKUP(C571,#REF!,3,0),IF(B571="FDE",VLOOKUP(C571,#REF!,2,0),IF(B571="INFRA",VLOOKUP(C571,#REF!,2,0),""))))))),"")</f>
        <v/>
      </c>
      <c r="E571" s="78" t="str">
        <f>IFERROR(UPPER(IF(B571="CPU",VLOOKUP(C571,#REF!,3,0),IF(B571="SINAPI",VLOOKUP(C571,#REF!,3,0),IF(B571="EDIF",VLOOKUP(C571,#REF!,3,0),IF(B571="CPOS",VLOOKUP(C571,#REF!,4,0),IF(B571="FDE",VLOOKUP(C571,#REF!,3,0),IF(B571="INFRA",VLOOKUP(C571,#REF!,3,0),""))))))),"")</f>
        <v/>
      </c>
      <c r="F571" s="936">
        <v>60</v>
      </c>
      <c r="G571" s="985" t="str">
        <f>IFERROR(IF(B571="CPU",VLOOKUP(C571,#REF!,4,0),IF(B571="SINAPI",VLOOKUP(C571,#REF!,5,0),IF(B571="EDIF",VLOOKUP(C571,#REF!,4,0),IF(B571="CPOS",VLOOKUP(C571,#REF!,7,0),IF(B571="FDE",VLOOKUP(C571,#REF!,5,0),IF(B571="INFRA",VLOOKUP(C571,#REF!,4,0),""))))))*VLOOKUP(B571,#REF!,3,0),"")</f>
        <v/>
      </c>
      <c r="H571" s="986">
        <v>0.25</v>
      </c>
      <c r="I571" s="987" t="str">
        <f t="shared" si="33"/>
        <v/>
      </c>
      <c r="J571" s="988">
        <v>8736</v>
      </c>
      <c r="K571" s="52"/>
      <c r="L571" s="22"/>
    </row>
    <row r="572" spans="1:12" s="25" customFormat="1" ht="24.75" customHeight="1">
      <c r="A572" s="933" t="s">
        <v>6195</v>
      </c>
      <c r="B572" s="933" t="s">
        <v>1479</v>
      </c>
      <c r="C572" s="1012" t="s">
        <v>6196</v>
      </c>
      <c r="D572" s="984" t="str">
        <f>IFERROR(UPPER(IF(B572="CPU",VLOOKUP(C572,#REF!,2,0),IF(B572="SINAPI",VLOOKUP(C572,#REF!,2,0),IF(B572="EDIF",VLOOKUP(C572,#REF!,2,0),IF(B572="CPOS",VLOOKUP(C572,#REF!,3,0),IF(B572="FDE",VLOOKUP(C572,#REF!,2,0),IF(B572="INFRA",VLOOKUP(C572,#REF!,2,0),""))))))),"")</f>
        <v/>
      </c>
      <c r="E572" s="78" t="str">
        <f>IFERROR(UPPER(IF(B572="CPU",VLOOKUP(C572,#REF!,3,0),IF(B572="SINAPI",VLOOKUP(C572,#REF!,3,0),IF(B572="EDIF",VLOOKUP(C572,#REF!,3,0),IF(B572="CPOS",VLOOKUP(C572,#REF!,4,0),IF(B572="FDE",VLOOKUP(C572,#REF!,3,0),IF(B572="INFRA",VLOOKUP(C572,#REF!,3,0),""))))))),"")</f>
        <v/>
      </c>
      <c r="F572" s="936">
        <v>240</v>
      </c>
      <c r="G572" s="985" t="str">
        <f>IFERROR(IF(B572="CPU",VLOOKUP(C572,#REF!,4,0),IF(B572="SINAPI",VLOOKUP(C572,#REF!,5,0),IF(B572="EDIF",VLOOKUP(C572,#REF!,4,0),IF(B572="CPOS",VLOOKUP(C572,#REF!,7,0),IF(B572="FDE",VLOOKUP(C572,#REF!,5,0),IF(B572="INFRA",VLOOKUP(C572,#REF!,4,0),""))))))*VLOOKUP(B572,#REF!,3,0),"")</f>
        <v/>
      </c>
      <c r="H572" s="986">
        <v>0.25</v>
      </c>
      <c r="I572" s="987" t="str">
        <f t="shared" si="33"/>
        <v/>
      </c>
      <c r="J572" s="988">
        <v>37884</v>
      </c>
      <c r="K572" s="52"/>
      <c r="L572" s="22"/>
    </row>
    <row r="573" spans="1:12" s="25" customFormat="1" ht="26.25" customHeight="1">
      <c r="A573" s="933" t="s">
        <v>6197</v>
      </c>
      <c r="B573" s="933" t="s">
        <v>1479</v>
      </c>
      <c r="C573" s="1012" t="s">
        <v>6198</v>
      </c>
      <c r="D573" s="984" t="str">
        <f>IFERROR(UPPER(IF(B573="CPU",VLOOKUP(C573,#REF!,2,0),IF(B573="SINAPI",VLOOKUP(C573,#REF!,2,0),IF(B573="EDIF",VLOOKUP(C573,#REF!,2,0),IF(B573="CPOS",VLOOKUP(C573,#REF!,3,0),IF(B573="FDE",VLOOKUP(C573,#REF!,2,0),IF(B573="INFRA",VLOOKUP(C573,#REF!,2,0),""))))))),"")</f>
        <v/>
      </c>
      <c r="E573" s="78" t="str">
        <f>IFERROR(UPPER(IF(B573="CPU",VLOOKUP(C573,#REF!,3,0),IF(B573="SINAPI",VLOOKUP(C573,#REF!,3,0),IF(B573="EDIF",VLOOKUP(C573,#REF!,3,0),IF(B573="CPOS",VLOOKUP(C573,#REF!,4,0),IF(B573="FDE",VLOOKUP(C573,#REF!,3,0),IF(B573="INFRA",VLOOKUP(C573,#REF!,3,0),""))))))),"")</f>
        <v/>
      </c>
      <c r="F573" s="936">
        <v>260</v>
      </c>
      <c r="G573" s="985" t="str">
        <f>IFERROR(IF(B573="CPU",VLOOKUP(C573,#REF!,4,0),IF(B573="SINAPI",VLOOKUP(C573,#REF!,5,0),IF(B573="EDIF",VLOOKUP(C573,#REF!,4,0),IF(B573="CPOS",VLOOKUP(C573,#REF!,7,0),IF(B573="FDE",VLOOKUP(C573,#REF!,5,0),IF(B573="INFRA",VLOOKUP(C573,#REF!,4,0),""))))))*VLOOKUP(B573,#REF!,3,0),"")</f>
        <v/>
      </c>
      <c r="H573" s="986">
        <v>0.25</v>
      </c>
      <c r="I573" s="987" t="str">
        <f t="shared" si="33"/>
        <v/>
      </c>
      <c r="J573" s="988">
        <v>25044.5</v>
      </c>
      <c r="K573" s="52"/>
      <c r="L573" s="22"/>
    </row>
    <row r="574" spans="1:12" s="25" customFormat="1" ht="26.25" customHeight="1">
      <c r="A574" s="933" t="s">
        <v>6199</v>
      </c>
      <c r="B574" s="933" t="s">
        <v>1479</v>
      </c>
      <c r="C574" s="1012" t="s">
        <v>6200</v>
      </c>
      <c r="D574" s="984" t="str">
        <f>IFERROR(UPPER(IF(B574="CPU",VLOOKUP(C574,#REF!,2,0),IF(B574="SINAPI",VLOOKUP(C574,#REF!,2,0),IF(B574="EDIF",VLOOKUP(C574,#REF!,2,0),IF(B574="CPOS",VLOOKUP(C574,#REF!,3,0),IF(B574="FDE",VLOOKUP(C574,#REF!,2,0),IF(B574="INFRA",VLOOKUP(C574,#REF!,2,0),""))))))),"")</f>
        <v/>
      </c>
      <c r="E574" s="78" t="str">
        <f>IFERROR(UPPER(IF(B574="CPU",VLOOKUP(C574,#REF!,3,0),IF(B574="SINAPI",VLOOKUP(C574,#REF!,3,0),IF(B574="EDIF",VLOOKUP(C574,#REF!,3,0),IF(B574="CPOS",VLOOKUP(C574,#REF!,4,0),IF(B574="FDE",VLOOKUP(C574,#REF!,3,0),IF(B574="INFRA",VLOOKUP(C574,#REF!,3,0),""))))))),"")</f>
        <v/>
      </c>
      <c r="F574" s="936">
        <v>260</v>
      </c>
      <c r="G574" s="985" t="str">
        <f>IFERROR(IF(B574="CPU",VLOOKUP(C574,#REF!,4,0),IF(B574="SINAPI",VLOOKUP(C574,#REF!,5,0),IF(B574="EDIF",VLOOKUP(C574,#REF!,4,0),IF(B574="CPOS",VLOOKUP(C574,#REF!,7,0),IF(B574="FDE",VLOOKUP(C574,#REF!,5,0),IF(B574="INFRA",VLOOKUP(C574,#REF!,4,0),""))))))*VLOOKUP(B574,#REF!,3,0),"")</f>
        <v/>
      </c>
      <c r="H574" s="986">
        <v>0.25</v>
      </c>
      <c r="I574" s="987" t="str">
        <f t="shared" si="33"/>
        <v/>
      </c>
      <c r="J574" s="988">
        <v>16344.25</v>
      </c>
      <c r="K574" s="52"/>
      <c r="L574" s="22"/>
    </row>
    <row r="575" spans="1:12" s="25" customFormat="1" ht="26.25" customHeight="1">
      <c r="A575" s="933" t="s">
        <v>6201</v>
      </c>
      <c r="B575" s="933" t="s">
        <v>1479</v>
      </c>
      <c r="C575" s="1012" t="s">
        <v>6202</v>
      </c>
      <c r="D575" s="984" t="str">
        <f>IFERROR(UPPER(IF(B575="CPU",VLOOKUP(C575,#REF!,2,0),IF(B575="SINAPI",VLOOKUP(C575,#REF!,2,0),IF(B575="EDIF",VLOOKUP(C575,#REF!,2,0),IF(B575="CPOS",VLOOKUP(C575,#REF!,3,0),IF(B575="FDE",VLOOKUP(C575,#REF!,2,0),IF(B575="INFRA",VLOOKUP(C575,#REF!,2,0),""))))))),"")</f>
        <v/>
      </c>
      <c r="E575" s="78" t="str">
        <f>IFERROR(UPPER(IF(B575="CPU",VLOOKUP(C575,#REF!,3,0),IF(B575="SINAPI",VLOOKUP(C575,#REF!,3,0),IF(B575="EDIF",VLOOKUP(C575,#REF!,3,0),IF(B575="CPOS",VLOOKUP(C575,#REF!,4,0),IF(B575="FDE",VLOOKUP(C575,#REF!,3,0),IF(B575="INFRA",VLOOKUP(C575,#REF!,3,0),""))))))),"")</f>
        <v/>
      </c>
      <c r="F575" s="936">
        <v>65</v>
      </c>
      <c r="G575" s="985" t="str">
        <f>IFERROR(IF(B575="CPU",VLOOKUP(C575,#REF!,4,0),IF(B575="SINAPI",VLOOKUP(C575,#REF!,5,0),IF(B575="EDIF",VLOOKUP(C575,#REF!,4,0),IF(B575="CPOS",VLOOKUP(C575,#REF!,7,0),IF(B575="FDE",VLOOKUP(C575,#REF!,5,0),IF(B575="INFRA",VLOOKUP(C575,#REF!,4,0),""))))))*VLOOKUP(B575,#REF!,3,0),"")</f>
        <v/>
      </c>
      <c r="H575" s="986">
        <v>0.25</v>
      </c>
      <c r="I575" s="987" t="str">
        <f t="shared" si="33"/>
        <v/>
      </c>
      <c r="J575" s="988">
        <v>30800.25</v>
      </c>
      <c r="K575" s="52"/>
      <c r="L575" s="22"/>
    </row>
    <row r="576" spans="1:12" s="25" customFormat="1" ht="26.25" customHeight="1">
      <c r="A576" s="933" t="s">
        <v>6203</v>
      </c>
      <c r="B576" s="933" t="s">
        <v>1479</v>
      </c>
      <c r="C576" s="1012" t="s">
        <v>6204</v>
      </c>
      <c r="D576" s="984" t="str">
        <f>IFERROR(UPPER(IF(B576="CPU",VLOOKUP(C576,#REF!,2,0),IF(B576="SINAPI",VLOOKUP(C576,#REF!,2,0),IF(B576="EDIF",VLOOKUP(C576,#REF!,2,0),IF(B576="CPOS",VLOOKUP(C576,#REF!,3,0),IF(B576="FDE",VLOOKUP(C576,#REF!,2,0),IF(B576="INFRA",VLOOKUP(C576,#REF!,2,0),""))))))),"")</f>
        <v/>
      </c>
      <c r="E576" s="78" t="str">
        <f>IFERROR(UPPER(IF(B576="CPU",VLOOKUP(C576,#REF!,3,0),IF(B576="SINAPI",VLOOKUP(C576,#REF!,3,0),IF(B576="EDIF",VLOOKUP(C576,#REF!,3,0),IF(B576="CPOS",VLOOKUP(C576,#REF!,4,0),IF(B576="FDE",VLOOKUP(C576,#REF!,3,0),IF(B576="INFRA",VLOOKUP(C576,#REF!,3,0),""))))))),"")</f>
        <v/>
      </c>
      <c r="F576" s="936">
        <v>48</v>
      </c>
      <c r="G576" s="985" t="str">
        <f>IFERROR(IF(B576="CPU",VLOOKUP(C576,#REF!,4,0),IF(B576="SINAPI",VLOOKUP(C576,#REF!,5,0),IF(B576="EDIF",VLOOKUP(C576,#REF!,4,0),IF(B576="CPOS",VLOOKUP(C576,#REF!,7,0),IF(B576="FDE",VLOOKUP(C576,#REF!,5,0),IF(B576="INFRA",VLOOKUP(C576,#REF!,4,0),""))))))*VLOOKUP(B576,#REF!,3,0),"")</f>
        <v/>
      </c>
      <c r="H576" s="986">
        <v>0.25</v>
      </c>
      <c r="I576" s="987" t="str">
        <f t="shared" si="33"/>
        <v/>
      </c>
      <c r="J576" s="988">
        <v>35005.199999999997</v>
      </c>
      <c r="K576" s="52"/>
      <c r="L576" s="22"/>
    </row>
    <row r="577" spans="1:12" s="25" customFormat="1" ht="26.25" customHeight="1">
      <c r="A577" s="933" t="s">
        <v>6205</v>
      </c>
      <c r="B577" s="933" t="s">
        <v>1479</v>
      </c>
      <c r="C577" s="1012" t="s">
        <v>6206</v>
      </c>
      <c r="D577" s="984" t="str">
        <f>IFERROR(UPPER(IF(B577="CPU",VLOOKUP(C577,#REF!,2,0),IF(B577="SINAPI",VLOOKUP(C577,#REF!,2,0),IF(B577="EDIF",VLOOKUP(C577,#REF!,2,0),IF(B577="CPOS",VLOOKUP(C577,#REF!,3,0),IF(B577="FDE",VLOOKUP(C577,#REF!,2,0),IF(B577="INFRA",VLOOKUP(C577,#REF!,2,0),""))))))),"")</f>
        <v/>
      </c>
      <c r="E577" s="78" t="str">
        <f>IFERROR(UPPER(IF(B577="CPU",VLOOKUP(C577,#REF!,3,0),IF(B577="SINAPI",VLOOKUP(C577,#REF!,3,0),IF(B577="EDIF",VLOOKUP(C577,#REF!,3,0),IF(B577="CPOS",VLOOKUP(C577,#REF!,4,0),IF(B577="FDE",VLOOKUP(C577,#REF!,3,0),IF(B577="INFRA",VLOOKUP(C577,#REF!,3,0),""))))))),"")</f>
        <v/>
      </c>
      <c r="F577" s="936">
        <v>48</v>
      </c>
      <c r="G577" s="985" t="str">
        <f>IFERROR(IF(B577="CPU",VLOOKUP(C577,#REF!,4,0),IF(B577="SINAPI",VLOOKUP(C577,#REF!,5,0),IF(B577="EDIF",VLOOKUP(C577,#REF!,4,0),IF(B577="CPOS",VLOOKUP(C577,#REF!,7,0),IF(B577="FDE",VLOOKUP(C577,#REF!,5,0),IF(B577="INFRA",VLOOKUP(C577,#REF!,4,0),""))))))*VLOOKUP(B577,#REF!,3,0),"")</f>
        <v/>
      </c>
      <c r="H577" s="986">
        <v>0.25</v>
      </c>
      <c r="I577" s="987" t="str">
        <f t="shared" si="33"/>
        <v/>
      </c>
      <c r="J577" s="988">
        <v>30375.599999999999</v>
      </c>
      <c r="K577" s="52"/>
      <c r="L577" s="22"/>
    </row>
    <row r="578" spans="1:12" s="25" customFormat="1" ht="26.25" customHeight="1">
      <c r="A578" s="933" t="s">
        <v>6207</v>
      </c>
      <c r="B578" s="933" t="s">
        <v>1479</v>
      </c>
      <c r="C578" s="1012" t="s">
        <v>6208</v>
      </c>
      <c r="D578" s="984" t="str">
        <f>IFERROR(UPPER(IF(B578="CPU",VLOOKUP(C578,#REF!,2,0),IF(B578="SINAPI",VLOOKUP(C578,#REF!,2,0),IF(B578="EDIF",VLOOKUP(C578,#REF!,2,0),IF(B578="CPOS",VLOOKUP(C578,#REF!,3,0),IF(B578="FDE",VLOOKUP(C578,#REF!,2,0),IF(B578="INFRA",VLOOKUP(C578,#REF!,2,0),""))))))),"")</f>
        <v/>
      </c>
      <c r="E578" s="78" t="str">
        <f>IFERROR(UPPER(IF(B578="CPU",VLOOKUP(C578,#REF!,3,0),IF(B578="SINAPI",VLOOKUP(C578,#REF!,3,0),IF(B578="EDIF",VLOOKUP(C578,#REF!,3,0),IF(B578="CPOS",VLOOKUP(C578,#REF!,4,0),IF(B578="FDE",VLOOKUP(C578,#REF!,3,0),IF(B578="INFRA",VLOOKUP(C578,#REF!,3,0),""))))))),"")</f>
        <v/>
      </c>
      <c r="F578" s="936">
        <v>6</v>
      </c>
      <c r="G578" s="985" t="str">
        <f>IFERROR(IF(B578="CPU",VLOOKUP(C578,#REF!,4,0),IF(B578="SINAPI",VLOOKUP(C578,#REF!,5,0),IF(B578="EDIF",VLOOKUP(C578,#REF!,4,0),IF(B578="CPOS",VLOOKUP(C578,#REF!,7,0),IF(B578="FDE",VLOOKUP(C578,#REF!,5,0),IF(B578="INFRA",VLOOKUP(C578,#REF!,4,0),""))))))*VLOOKUP(B578,#REF!,3,0),"")</f>
        <v/>
      </c>
      <c r="H578" s="986">
        <v>0.25</v>
      </c>
      <c r="I578" s="987" t="str">
        <f t="shared" si="33"/>
        <v/>
      </c>
      <c r="J578" s="988">
        <v>2269.7249999999999</v>
      </c>
      <c r="K578" s="52"/>
      <c r="L578" s="22"/>
    </row>
    <row r="579" spans="1:12" s="25" customFormat="1" ht="26.25" customHeight="1">
      <c r="A579" s="933" t="s">
        <v>6209</v>
      </c>
      <c r="B579" s="933" t="s">
        <v>1479</v>
      </c>
      <c r="C579" s="1012" t="s">
        <v>6210</v>
      </c>
      <c r="D579" s="984" t="str">
        <f>IFERROR(UPPER(IF(B579="CPU",VLOOKUP(C579,#REF!,2,0),IF(B579="SINAPI",VLOOKUP(C579,#REF!,2,0),IF(B579="EDIF",VLOOKUP(C579,#REF!,2,0),IF(B579="CPOS",VLOOKUP(C579,#REF!,3,0),IF(B579="FDE",VLOOKUP(C579,#REF!,2,0),IF(B579="INFRA",VLOOKUP(C579,#REF!,2,0),""))))))),"")</f>
        <v/>
      </c>
      <c r="E579" s="78" t="str">
        <f>IFERROR(UPPER(IF(B579="CPU",VLOOKUP(C579,#REF!,3,0),IF(B579="SINAPI",VLOOKUP(C579,#REF!,3,0),IF(B579="EDIF",VLOOKUP(C579,#REF!,3,0),IF(B579="CPOS",VLOOKUP(C579,#REF!,4,0),IF(B579="FDE",VLOOKUP(C579,#REF!,3,0),IF(B579="INFRA",VLOOKUP(C579,#REF!,3,0),""))))))),"")</f>
        <v/>
      </c>
      <c r="F579" s="936">
        <v>96</v>
      </c>
      <c r="G579" s="985" t="str">
        <f>IFERROR(IF(B579="CPU",VLOOKUP(C579,#REF!,4,0),IF(B579="SINAPI",VLOOKUP(C579,#REF!,5,0),IF(B579="EDIF",VLOOKUP(C579,#REF!,4,0),IF(B579="CPOS",VLOOKUP(C579,#REF!,7,0),IF(B579="FDE",VLOOKUP(C579,#REF!,5,0),IF(B579="INFRA",VLOOKUP(C579,#REF!,4,0),""))))))*VLOOKUP(B579,#REF!,3,0),"")</f>
        <v/>
      </c>
      <c r="H579" s="986">
        <v>0.25</v>
      </c>
      <c r="I579" s="987" t="str">
        <f t="shared" si="33"/>
        <v/>
      </c>
      <c r="J579" s="988">
        <v>3734.4</v>
      </c>
      <c r="K579" s="52"/>
      <c r="L579" s="22"/>
    </row>
    <row r="580" spans="1:12" s="25" customFormat="1" ht="26.25" customHeight="1">
      <c r="A580" s="933" t="s">
        <v>6211</v>
      </c>
      <c r="B580" s="933" t="s">
        <v>1479</v>
      </c>
      <c r="C580" s="1012" t="s">
        <v>6212</v>
      </c>
      <c r="D580" s="984" t="str">
        <f>IFERROR(UPPER(IF(B580="CPU",VLOOKUP(C580,#REF!,2,0),IF(B580="SINAPI",VLOOKUP(C580,#REF!,2,0),IF(B580="EDIF",VLOOKUP(C580,#REF!,2,0),IF(B580="CPOS",VLOOKUP(C580,#REF!,3,0),IF(B580="FDE",VLOOKUP(C580,#REF!,2,0),IF(B580="INFRA",VLOOKUP(C580,#REF!,2,0),""))))))),"")</f>
        <v/>
      </c>
      <c r="E580" s="78" t="str">
        <f>IFERROR(UPPER(IF(B580="CPU",VLOOKUP(C580,#REF!,3,0),IF(B580="SINAPI",VLOOKUP(C580,#REF!,3,0),IF(B580="EDIF",VLOOKUP(C580,#REF!,3,0),IF(B580="CPOS",VLOOKUP(C580,#REF!,4,0),IF(B580="FDE",VLOOKUP(C580,#REF!,3,0),IF(B580="INFRA",VLOOKUP(C580,#REF!,3,0),""))))))),"")</f>
        <v/>
      </c>
      <c r="F580" s="936">
        <v>96</v>
      </c>
      <c r="G580" s="985" t="str">
        <f>IFERROR(IF(B580="CPU",VLOOKUP(C580,#REF!,4,0),IF(B580="SINAPI",VLOOKUP(C580,#REF!,5,0),IF(B580="EDIF",VLOOKUP(C580,#REF!,4,0),IF(B580="CPOS",VLOOKUP(C580,#REF!,7,0),IF(B580="FDE",VLOOKUP(C580,#REF!,5,0),IF(B580="INFRA",VLOOKUP(C580,#REF!,4,0),""))))))*VLOOKUP(B580,#REF!,3,0),"")</f>
        <v/>
      </c>
      <c r="H580" s="986">
        <v>0.25</v>
      </c>
      <c r="I580" s="987" t="str">
        <f t="shared" si="33"/>
        <v/>
      </c>
      <c r="J580" s="988">
        <v>1190.4000000000001</v>
      </c>
      <c r="K580" s="52"/>
      <c r="L580" s="22"/>
    </row>
    <row r="581" spans="1:12" s="25" customFormat="1" ht="26.25" customHeight="1">
      <c r="A581" s="933" t="s">
        <v>6213</v>
      </c>
      <c r="B581" s="933" t="s">
        <v>1479</v>
      </c>
      <c r="C581" s="933" t="s">
        <v>6214</v>
      </c>
      <c r="D581" s="984" t="str">
        <f>IFERROR(UPPER(IF(B581="CPU",VLOOKUP(C581,#REF!,2,0),IF(B581="SINAPI",VLOOKUP(C581,#REF!,2,0),IF(B581="EDIF",VLOOKUP(C581,#REF!,2,0),IF(B581="CPOS",VLOOKUP(C581,#REF!,3,0),IF(B581="FDE",VLOOKUP(C581,#REF!,2,0),IF(B581="INFRA",VLOOKUP(C581,#REF!,2,0),""))))))),"")</f>
        <v/>
      </c>
      <c r="E581" s="78" t="str">
        <f>IFERROR(UPPER(IF(B581="CPU",VLOOKUP(C581,#REF!,3,0),IF(B581="SINAPI",VLOOKUP(C581,#REF!,3,0),IF(B581="EDIF",VLOOKUP(C581,#REF!,3,0),IF(B581="CPOS",VLOOKUP(C581,#REF!,4,0),IF(B581="FDE",VLOOKUP(C581,#REF!,3,0),IF(B581="INFRA",VLOOKUP(C581,#REF!,3,0),""))))))),"")</f>
        <v/>
      </c>
      <c r="F581" s="936">
        <v>4</v>
      </c>
      <c r="G581" s="985" t="str">
        <f>IFERROR(IF(B581="CPU",VLOOKUP(C581,#REF!,4,0),IF(B581="SINAPI",VLOOKUP(C581,#REF!,5,0),IF(B581="EDIF",VLOOKUP(C581,#REF!,4,0),IF(B581="CPOS",VLOOKUP(C581,#REF!,7,0),IF(B581="FDE",VLOOKUP(C581,#REF!,5,0),IF(B581="INFRA",VLOOKUP(C581,#REF!,4,0),""))))))*VLOOKUP(B581,#REF!,3,0),"")</f>
        <v/>
      </c>
      <c r="H581" s="986">
        <v>0.25</v>
      </c>
      <c r="I581" s="987" t="str">
        <f t="shared" si="33"/>
        <v/>
      </c>
      <c r="J581" s="988">
        <v>10019.9</v>
      </c>
      <c r="K581" s="52"/>
      <c r="L581" s="22"/>
    </row>
    <row r="582" spans="1:12" s="25" customFormat="1" ht="26.25" customHeight="1">
      <c r="A582" s="933" t="s">
        <v>6215</v>
      </c>
      <c r="B582" s="933" t="s">
        <v>5022</v>
      </c>
      <c r="C582" s="933"/>
      <c r="D582" s="984" t="s">
        <v>6216</v>
      </c>
      <c r="E582" s="78" t="s">
        <v>1615</v>
      </c>
      <c r="F582" s="936">
        <v>6</v>
      </c>
      <c r="G582" s="985">
        <v>1248</v>
      </c>
      <c r="H582" s="986">
        <v>0.25</v>
      </c>
      <c r="I582" s="987">
        <f t="shared" si="33"/>
        <v>9360</v>
      </c>
      <c r="J582" s="988">
        <v>9360</v>
      </c>
      <c r="K582" s="52"/>
      <c r="L582" s="22"/>
    </row>
    <row r="583" spans="1:12" s="25" customFormat="1" ht="27" customHeight="1">
      <c r="A583" s="933"/>
      <c r="B583" s="1012"/>
      <c r="C583" s="1012"/>
      <c r="D583" s="1017"/>
      <c r="E583" s="1018"/>
      <c r="F583" s="1019"/>
      <c r="G583" s="1020"/>
      <c r="H583" s="1021"/>
      <c r="I583" s="1022"/>
      <c r="J583" s="988"/>
      <c r="K583" s="52"/>
      <c r="L583" s="940"/>
    </row>
    <row r="584" spans="1:12" s="25" customFormat="1" ht="27" customHeight="1">
      <c r="A584" s="998">
        <v>24</v>
      </c>
      <c r="B584" s="999"/>
      <c r="C584" s="999"/>
      <c r="D584" s="1000" t="s">
        <v>5565</v>
      </c>
      <c r="E584" s="967"/>
      <c r="F584" s="968"/>
      <c r="G584" s="969"/>
      <c r="H584" s="968"/>
      <c r="I584" s="1005">
        <f>SUM(I585+I590+I617+I593+I620+I623+I626+I629+I632+I635)</f>
        <v>2669649.9988112035</v>
      </c>
      <c r="J584" s="988"/>
      <c r="K584" s="52"/>
      <c r="L584" s="940"/>
    </row>
    <row r="585" spans="1:12" s="25" customFormat="1" ht="27" customHeight="1">
      <c r="A585" s="1036" t="s">
        <v>6217</v>
      </c>
      <c r="B585" s="1037"/>
      <c r="C585" s="1037"/>
      <c r="D585" s="1038" t="s">
        <v>6218</v>
      </c>
      <c r="E585" s="1042"/>
      <c r="F585" s="1042"/>
      <c r="G585" s="1042"/>
      <c r="H585" s="1042"/>
      <c r="I585" s="981">
        <f>SUM(I586:I588)</f>
        <v>0</v>
      </c>
      <c r="J585" s="988"/>
      <c r="K585" s="52"/>
      <c r="L585" s="940"/>
    </row>
    <row r="586" spans="1:12" s="25" customFormat="1" ht="27" customHeight="1">
      <c r="A586" s="933"/>
      <c r="B586" s="1012" t="s">
        <v>1479</v>
      </c>
      <c r="C586" s="1012" t="s">
        <v>6219</v>
      </c>
      <c r="D586" s="984" t="str">
        <f>IFERROR(UPPER(IF(B586="CPU",VLOOKUP(C586,#REF!,2,0),IF(B586="SINAPI",VLOOKUP(C586,#REF!,2,0),IF(B586="EDIF",VLOOKUP(C586,#REF!,2,0),IF(B586="CPOS",VLOOKUP(C586,#REF!,3,0),IF(B586="FDE",VLOOKUP(C586,#REF!,2,0),IF(B586="INFRA",VLOOKUP(C586,#REF!,2,0),""))))))),"")</f>
        <v/>
      </c>
      <c r="E586" s="78" t="str">
        <f>IFERROR(UPPER(IF(B586="CPU",VLOOKUP(C586,#REF!,3,0),IF(B586="SINAPI",VLOOKUP(C586,#REF!,3,0),IF(B586="EDIF",VLOOKUP(C586,#REF!,3,0),IF(B586="CPOS",VLOOKUP(C586,#REF!,4,0),IF(B586="FDE",VLOOKUP(C586,#REF!,3,0),IF(B586="INFRA",VLOOKUP(C586,#REF!,3,0),""))))))),"")</f>
        <v/>
      </c>
      <c r="F586" s="936">
        <v>2</v>
      </c>
      <c r="G586" s="985" t="str">
        <f>IFERROR(IF(B586="CPU",VLOOKUP(C586,#REF!,4,0),IF(B586="SINAPI",VLOOKUP(C586,#REF!,5,0),IF(B586="EDIF",VLOOKUP(C586,#REF!,4,0),IF(B586="CPOS",VLOOKUP(C586,#REF!,7,0),IF(B586="FDE",VLOOKUP(C586,#REF!,5,0),IF(B586="INFRA",VLOOKUP(C586,#REF!,4,0),""))))))*VLOOKUP(B586,#REF!,3,0),"")</f>
        <v/>
      </c>
      <c r="H586" s="986">
        <v>0.25</v>
      </c>
      <c r="I586" s="987" t="str">
        <f>IFERROR(F586*((G586*(1+H586))),"")</f>
        <v/>
      </c>
      <c r="J586" s="988">
        <v>233891.35</v>
      </c>
      <c r="K586" s="52"/>
      <c r="L586" s="940"/>
    </row>
    <row r="587" spans="1:12" s="25" customFormat="1" ht="27" customHeight="1">
      <c r="A587" s="933"/>
      <c r="B587" s="1012" t="s">
        <v>1479</v>
      </c>
      <c r="C587" s="1012" t="s">
        <v>6220</v>
      </c>
      <c r="D587" s="984" t="str">
        <f>IFERROR(UPPER(IF(B587="CPU",VLOOKUP(C587,#REF!,2,0),IF(B587="SINAPI",VLOOKUP(C587,#REF!,2,0),IF(B587="EDIF",VLOOKUP(C587,#REF!,2,0),IF(B587="CPOS",VLOOKUP(C587,#REF!,3,0),IF(B587="FDE",VLOOKUP(C587,#REF!,2,0),IF(B587="INFRA",VLOOKUP(C587,#REF!,2,0),""))))))),"")</f>
        <v/>
      </c>
      <c r="E587" s="78" t="str">
        <f>IFERROR(UPPER(IF(B587="CPU",VLOOKUP(C587,#REF!,3,0),IF(B587="SINAPI",VLOOKUP(C587,#REF!,3,0),IF(B587="EDIF",VLOOKUP(C587,#REF!,3,0),IF(B587="CPOS",VLOOKUP(C587,#REF!,4,0),IF(B587="FDE",VLOOKUP(C587,#REF!,3,0),IF(B587="INFRA",VLOOKUP(C587,#REF!,3,0),""))))))),"")</f>
        <v/>
      </c>
      <c r="F587" s="936">
        <v>1</v>
      </c>
      <c r="G587" s="985" t="str">
        <f>IFERROR(IF(B587="CPU",VLOOKUP(C587,#REF!,4,0),IF(B587="SINAPI",VLOOKUP(C587,#REF!,5,0),IF(B587="EDIF",VLOOKUP(C587,#REF!,4,0),IF(B587="CPOS",VLOOKUP(C587,#REF!,7,0),IF(B587="FDE",VLOOKUP(C587,#REF!,5,0),IF(B587="INFRA",VLOOKUP(C587,#REF!,4,0),""))))))*VLOOKUP(B587,#REF!,3,0),"")</f>
        <v/>
      </c>
      <c r="H587" s="986">
        <v>0.25</v>
      </c>
      <c r="I587" s="987" t="str">
        <f>IFERROR(F587*((G587*(1+H587))),"")</f>
        <v/>
      </c>
      <c r="J587" s="988">
        <v>52813.587500000001</v>
      </c>
      <c r="K587" s="52"/>
      <c r="L587" s="940"/>
    </row>
    <row r="588" spans="1:12" s="25" customFormat="1" ht="27" customHeight="1">
      <c r="A588" s="933"/>
      <c r="B588" s="1012" t="s">
        <v>1479</v>
      </c>
      <c r="C588" s="1012" t="s">
        <v>6221</v>
      </c>
      <c r="D588" s="984" t="str">
        <f>IFERROR(UPPER(IF(B588="CPU",VLOOKUP(C588,#REF!,2,0),IF(B588="SINAPI",VLOOKUP(C588,#REF!,2,0),IF(B588="EDIF",VLOOKUP(C588,#REF!,2,0),IF(B588="CPOS",VLOOKUP(C588,#REF!,3,0),IF(B588="FDE",VLOOKUP(C588,#REF!,2,0),IF(B588="INFRA",VLOOKUP(C588,#REF!,2,0),""))))))),"")</f>
        <v/>
      </c>
      <c r="E588" s="78" t="str">
        <f>IFERROR(UPPER(IF(B588="CPU",VLOOKUP(C588,#REF!,3,0),IF(B588="SINAPI",VLOOKUP(C588,#REF!,3,0),IF(B588="EDIF",VLOOKUP(C588,#REF!,3,0),IF(B588="CPOS",VLOOKUP(C588,#REF!,4,0),IF(B588="FDE",VLOOKUP(C588,#REF!,3,0),IF(B588="INFRA",VLOOKUP(C588,#REF!,3,0),""))))))),"")</f>
        <v/>
      </c>
      <c r="F588" s="936">
        <v>1</v>
      </c>
      <c r="G588" s="985" t="str">
        <f>IFERROR(IF(B588="CPU",VLOOKUP(C588,#REF!,4,0),IF(B588="SINAPI",VLOOKUP(C588,#REF!,5,0),IF(B588="EDIF",VLOOKUP(C588,#REF!,4,0),IF(B588="CPOS",VLOOKUP(C588,#REF!,7,0),IF(B588="FDE",VLOOKUP(C588,#REF!,5,0),IF(B588="INFRA",VLOOKUP(C588,#REF!,4,0),""))))))*VLOOKUP(B588,#REF!,3,0),"")</f>
        <v/>
      </c>
      <c r="H588" s="986">
        <v>0.25</v>
      </c>
      <c r="I588" s="987" t="str">
        <f>IFERROR(F588*((G588*(1+H588))),"")</f>
        <v/>
      </c>
      <c r="J588" s="988">
        <v>91543.75</v>
      </c>
      <c r="K588" s="52"/>
      <c r="L588" s="940"/>
    </row>
    <row r="589" spans="1:12" s="25" customFormat="1" ht="27" customHeight="1">
      <c r="A589" s="933"/>
      <c r="B589" s="1012"/>
      <c r="C589" s="1012"/>
      <c r="D589" s="1017"/>
      <c r="E589" s="1048"/>
      <c r="F589" s="1049"/>
      <c r="G589" s="1050"/>
      <c r="H589" s="1051"/>
      <c r="I589" s="1022"/>
      <c r="J589" s="988"/>
      <c r="K589" s="52"/>
      <c r="L589" s="940"/>
    </row>
    <row r="590" spans="1:12" s="25" customFormat="1" ht="27" customHeight="1">
      <c r="A590" s="1036" t="s">
        <v>6222</v>
      </c>
      <c r="B590" s="1037"/>
      <c r="C590" s="1037"/>
      <c r="D590" s="1038" t="s">
        <v>6223</v>
      </c>
      <c r="E590" s="1042"/>
      <c r="F590" s="1042"/>
      <c r="G590" s="1042"/>
      <c r="H590" s="1042"/>
      <c r="I590" s="981">
        <f>SUM(I591:I591)</f>
        <v>0</v>
      </c>
      <c r="J590" s="988"/>
      <c r="K590" s="52"/>
      <c r="L590" s="940"/>
    </row>
    <row r="591" spans="1:12" s="25" customFormat="1" ht="27" customHeight="1">
      <c r="A591" s="933"/>
      <c r="B591" s="1012" t="s">
        <v>1479</v>
      </c>
      <c r="C591" s="1012" t="s">
        <v>6224</v>
      </c>
      <c r="D591" s="984" t="str">
        <f>IFERROR(UPPER(IF(B591="CPU",VLOOKUP(C591,#REF!,2,0),IF(B591="SINAPI",VLOOKUP(C591,#REF!,2,0),IF(B591="EDIF",VLOOKUP(C591,#REF!,2,0),IF(B591="CPOS",VLOOKUP(C591,#REF!,3,0),IF(B591="FDE",VLOOKUP(C591,#REF!,2,0),IF(B591="INFRA",VLOOKUP(C591,#REF!,2,0),""))))))),"")</f>
        <v/>
      </c>
      <c r="E591" s="78" t="str">
        <f>IFERROR(UPPER(IF(B591="CPU",VLOOKUP(C591,#REF!,3,0),IF(B591="SINAPI",VLOOKUP(C591,#REF!,3,0),IF(B591="EDIF",VLOOKUP(C591,#REF!,3,0),IF(B591="CPOS",VLOOKUP(C591,#REF!,4,0),IF(B591="FDE",VLOOKUP(C591,#REF!,3,0),IF(B591="INFRA",VLOOKUP(C591,#REF!,3,0),""))))))),"")</f>
        <v/>
      </c>
      <c r="F591" s="936">
        <v>10.86</v>
      </c>
      <c r="G591" s="985" t="str">
        <f>IFERROR(IF(B591="CPU",VLOOKUP(C591,#REF!,4,0),IF(B591="SINAPI",VLOOKUP(C591,#REF!,5,0),IF(B591="EDIF",VLOOKUP(C591,#REF!,4,0),IF(B591="CPOS",VLOOKUP(C591,#REF!,7,0),IF(B591="FDE",VLOOKUP(C591,#REF!,5,0),IF(B591="INFRA",VLOOKUP(C591,#REF!,4,0),""))))))*VLOOKUP(B591,#REF!,3,0),"")</f>
        <v/>
      </c>
      <c r="H591" s="986">
        <v>0.25</v>
      </c>
      <c r="I591" s="987" t="str">
        <f>IFERROR(F591*((G591*(1+H591))),"")</f>
        <v/>
      </c>
      <c r="J591" s="988">
        <v>33707.403749999998</v>
      </c>
      <c r="K591" s="52"/>
      <c r="L591" s="940"/>
    </row>
    <row r="592" spans="1:12" s="25" customFormat="1" ht="27" customHeight="1">
      <c r="A592" s="933"/>
      <c r="B592" s="1012"/>
      <c r="C592" s="1015"/>
      <c r="D592" s="1017"/>
      <c r="E592" s="1048"/>
      <c r="F592" s="1049"/>
      <c r="G592" s="1050"/>
      <c r="H592" s="1051"/>
      <c r="I592" s="1022"/>
      <c r="J592" s="988"/>
      <c r="K592" s="52"/>
      <c r="L592" s="940"/>
    </row>
    <row r="593" spans="1:12" s="25" customFormat="1" ht="27" customHeight="1">
      <c r="A593" s="1036" t="s">
        <v>6225</v>
      </c>
      <c r="B593" s="1037"/>
      <c r="C593" s="1037"/>
      <c r="D593" s="1038" t="s">
        <v>6226</v>
      </c>
      <c r="E593" s="1042"/>
      <c r="F593" s="1042"/>
      <c r="G593" s="1042"/>
      <c r="H593" s="1042"/>
      <c r="I593" s="981">
        <f>SUM(I594:I616)</f>
        <v>602190.29974781256</v>
      </c>
      <c r="J593" s="988"/>
      <c r="K593" s="52"/>
      <c r="L593" s="940"/>
    </row>
    <row r="594" spans="1:12" s="25" customFormat="1" ht="27" customHeight="1">
      <c r="A594" s="1036"/>
      <c r="B594" s="1037"/>
      <c r="C594" s="1037"/>
      <c r="D594" s="1038" t="s">
        <v>6227</v>
      </c>
      <c r="E594" s="1042"/>
      <c r="F594" s="1042"/>
      <c r="G594" s="1042"/>
      <c r="H594" s="1042"/>
      <c r="I594" s="981"/>
      <c r="J594" s="988"/>
      <c r="K594" s="52"/>
      <c r="L594" s="940"/>
    </row>
    <row r="595" spans="1:12" s="25" customFormat="1" ht="27" customHeight="1">
      <c r="A595" s="1015"/>
      <c r="B595" s="1012" t="s">
        <v>5022</v>
      </c>
      <c r="C595" s="1015"/>
      <c r="D595" s="1017" t="s">
        <v>6228</v>
      </c>
      <c r="E595" s="1018" t="s">
        <v>14</v>
      </c>
      <c r="F595" s="1019">
        <v>1</v>
      </c>
      <c r="G595" s="1020">
        <v>35092.340327500002</v>
      </c>
      <c r="H595" s="986">
        <v>0.25</v>
      </c>
      <c r="I595" s="987">
        <f>IFERROR(F595*((G595*(1+H595))),"")</f>
        <v>43865.425409375006</v>
      </c>
      <c r="J595" s="988">
        <v>43865.425409374999</v>
      </c>
      <c r="K595" s="52"/>
      <c r="L595" s="940"/>
    </row>
    <row r="596" spans="1:12" s="25" customFormat="1" ht="27" customHeight="1">
      <c r="A596" s="1015"/>
      <c r="B596" s="1012" t="s">
        <v>5022</v>
      </c>
      <c r="C596" s="1015"/>
      <c r="D596" s="1017" t="s">
        <v>6229</v>
      </c>
      <c r="E596" s="1018" t="s">
        <v>14</v>
      </c>
      <c r="F596" s="1019">
        <v>1</v>
      </c>
      <c r="G596" s="1020">
        <v>49292.340327500002</v>
      </c>
      <c r="H596" s="986">
        <v>0.25</v>
      </c>
      <c r="I596" s="987">
        <f>IFERROR(F596*((G596*(1+H596))),"")</f>
        <v>61615.425409375006</v>
      </c>
      <c r="J596" s="988">
        <v>61615.425409374999</v>
      </c>
      <c r="K596" s="52"/>
      <c r="L596" s="940"/>
    </row>
    <row r="597" spans="1:12" ht="27" customHeight="1">
      <c r="A597" s="1015"/>
      <c r="B597" s="1012" t="s">
        <v>5022</v>
      </c>
      <c r="C597" s="1015"/>
      <c r="D597" s="1017" t="s">
        <v>6229</v>
      </c>
      <c r="E597" s="1018" t="s">
        <v>14</v>
      </c>
      <c r="F597" s="1019">
        <v>1</v>
      </c>
      <c r="G597" s="1020">
        <v>49292.340327500002</v>
      </c>
      <c r="H597" s="986">
        <v>0.25</v>
      </c>
      <c r="I597" s="987">
        <f>IFERROR(F597*((G597*(1+H597))),"")</f>
        <v>61615.425409375006</v>
      </c>
      <c r="J597" s="988">
        <v>61615.425409374999</v>
      </c>
      <c r="K597" s="52"/>
      <c r="L597" s="940"/>
    </row>
    <row r="598" spans="1:12" ht="27" customHeight="1">
      <c r="A598" s="1015"/>
      <c r="B598" s="1012" t="s">
        <v>5022</v>
      </c>
      <c r="C598" s="1015"/>
      <c r="D598" s="1017" t="s">
        <v>6230</v>
      </c>
      <c r="E598" s="1018" t="s">
        <v>14</v>
      </c>
      <c r="F598" s="1019">
        <v>1</v>
      </c>
      <c r="G598" s="1020">
        <v>25792.340327499998</v>
      </c>
      <c r="H598" s="986">
        <v>0.25</v>
      </c>
      <c r="I598" s="987">
        <f>IFERROR(F598*((G598*(1+H598))),"")</f>
        <v>32240.425409374999</v>
      </c>
      <c r="J598" s="988">
        <v>32240.425409374999</v>
      </c>
      <c r="K598" s="52"/>
      <c r="L598" s="940"/>
    </row>
    <row r="599" spans="1:12" ht="27" customHeight="1">
      <c r="A599" s="1036" t="s">
        <v>6231</v>
      </c>
      <c r="B599" s="1037"/>
      <c r="C599" s="1037"/>
      <c r="D599" s="1038" t="s">
        <v>6232</v>
      </c>
      <c r="E599" s="1042"/>
      <c r="F599" s="1042"/>
      <c r="G599" s="1042"/>
      <c r="H599" s="1042"/>
      <c r="I599" s="981"/>
      <c r="J599" s="988"/>
      <c r="K599" s="52"/>
      <c r="L599" s="940"/>
    </row>
    <row r="600" spans="1:12" ht="27" customHeight="1">
      <c r="A600" s="1015"/>
      <c r="B600" s="1012" t="s">
        <v>5022</v>
      </c>
      <c r="C600" s="1015"/>
      <c r="D600" s="1017" t="s">
        <v>6230</v>
      </c>
      <c r="E600" s="1018" t="s">
        <v>14</v>
      </c>
      <c r="F600" s="1019">
        <v>1</v>
      </c>
      <c r="G600" s="1020">
        <v>25792.340327499998</v>
      </c>
      <c r="H600" s="986">
        <v>0.25</v>
      </c>
      <c r="I600" s="987">
        <f>IFERROR(F600*((G600*(1+H600))),"")</f>
        <v>32240.425409374999</v>
      </c>
      <c r="J600" s="988">
        <v>32240.425409374999</v>
      </c>
      <c r="K600" s="52"/>
      <c r="L600" s="940"/>
    </row>
    <row r="601" spans="1:12" ht="27" customHeight="1">
      <c r="A601" s="1015"/>
      <c r="B601" s="1012" t="s">
        <v>5022</v>
      </c>
      <c r="C601" s="1015"/>
      <c r="D601" s="1017" t="s">
        <v>6233</v>
      </c>
      <c r="E601" s="1018" t="s">
        <v>14</v>
      </c>
      <c r="F601" s="1019">
        <v>1</v>
      </c>
      <c r="G601" s="1020">
        <v>8911.2907539999997</v>
      </c>
      <c r="H601" s="986">
        <v>0.25</v>
      </c>
      <c r="I601" s="987">
        <f>IFERROR(F601*((G601*(1+H601))),"")</f>
        <v>11139.1134425</v>
      </c>
      <c r="J601" s="988">
        <v>11139.1134425</v>
      </c>
      <c r="K601" s="52"/>
      <c r="L601" s="940"/>
    </row>
    <row r="602" spans="1:12" ht="27" customHeight="1">
      <c r="A602" s="1015"/>
      <c r="B602" s="1012" t="s">
        <v>5022</v>
      </c>
      <c r="C602" s="1015"/>
      <c r="D602" s="1017" t="s">
        <v>6234</v>
      </c>
      <c r="E602" s="1018" t="s">
        <v>14</v>
      </c>
      <c r="F602" s="1019">
        <v>1</v>
      </c>
      <c r="G602" s="1020">
        <v>8942.742295</v>
      </c>
      <c r="H602" s="986">
        <v>0.25</v>
      </c>
      <c r="I602" s="987">
        <f>IFERROR(F602*((G602*(1+H602))),"")</f>
        <v>11178.427868750001</v>
      </c>
      <c r="J602" s="988">
        <v>11178.427868749999</v>
      </c>
      <c r="K602" s="52"/>
      <c r="L602" s="940"/>
    </row>
    <row r="603" spans="1:12" ht="27" customHeight="1">
      <c r="A603" s="1015"/>
      <c r="B603" s="1012" t="s">
        <v>5022</v>
      </c>
      <c r="C603" s="1015"/>
      <c r="D603" s="1017" t="s">
        <v>6234</v>
      </c>
      <c r="E603" s="1018" t="s">
        <v>14</v>
      </c>
      <c r="F603" s="1019">
        <v>1</v>
      </c>
      <c r="G603" s="1020">
        <v>8942.742295</v>
      </c>
      <c r="H603" s="986">
        <v>0.25</v>
      </c>
      <c r="I603" s="987">
        <f>IFERROR(F603*((G603*(1+H603))),"")</f>
        <v>11178.427868750001</v>
      </c>
      <c r="J603" s="988">
        <v>11178.427868749999</v>
      </c>
      <c r="K603" s="52"/>
      <c r="L603" s="940"/>
    </row>
    <row r="604" spans="1:12" ht="27" customHeight="1">
      <c r="A604" s="1036" t="s">
        <v>6235</v>
      </c>
      <c r="B604" s="1037"/>
      <c r="C604" s="1037"/>
      <c r="D604" s="1038" t="s">
        <v>6236</v>
      </c>
      <c r="E604" s="1042"/>
      <c r="F604" s="1042"/>
      <c r="G604" s="1042"/>
      <c r="H604" s="1042"/>
      <c r="I604" s="981"/>
      <c r="J604" s="988"/>
      <c r="K604" s="52"/>
      <c r="L604" s="940"/>
    </row>
    <row r="605" spans="1:12" ht="27" customHeight="1">
      <c r="A605" s="1015"/>
      <c r="B605" s="1012" t="s">
        <v>5022</v>
      </c>
      <c r="C605" s="1015"/>
      <c r="D605" s="1017" t="s">
        <v>6228</v>
      </c>
      <c r="E605" s="1018" t="s">
        <v>14</v>
      </c>
      <c r="F605" s="1019">
        <v>1</v>
      </c>
      <c r="G605" s="1020">
        <v>35092.340327500002</v>
      </c>
      <c r="H605" s="986">
        <v>0.25</v>
      </c>
      <c r="I605" s="987">
        <f>IFERROR(F605*((G605*(1+H605))),"")</f>
        <v>43865.425409375006</v>
      </c>
      <c r="J605" s="988">
        <v>43865.425409374999</v>
      </c>
      <c r="K605" s="52"/>
      <c r="L605" s="940"/>
    </row>
    <row r="606" spans="1:12" ht="27" customHeight="1">
      <c r="A606" s="1015"/>
      <c r="B606" s="1012" t="s">
        <v>5022</v>
      </c>
      <c r="C606" s="1015"/>
      <c r="D606" s="1017" t="s">
        <v>6237</v>
      </c>
      <c r="E606" s="1018" t="s">
        <v>14</v>
      </c>
      <c r="F606" s="1019">
        <v>1</v>
      </c>
      <c r="G606" s="1020">
        <v>8942.742295</v>
      </c>
      <c r="H606" s="986">
        <v>0.25</v>
      </c>
      <c r="I606" s="987">
        <f>IFERROR(F606*((G606*(1+H606))),"")</f>
        <v>11178.427868750001</v>
      </c>
      <c r="J606" s="988">
        <v>11178.427868749999</v>
      </c>
      <c r="K606" s="52"/>
      <c r="L606" s="940"/>
    </row>
    <row r="607" spans="1:12" ht="27" customHeight="1">
      <c r="A607" s="1015"/>
      <c r="B607" s="1012" t="s">
        <v>5022</v>
      </c>
      <c r="C607" s="1015"/>
      <c r="D607" s="1017" t="s">
        <v>6237</v>
      </c>
      <c r="E607" s="1018" t="s">
        <v>14</v>
      </c>
      <c r="F607" s="1019">
        <v>1</v>
      </c>
      <c r="G607" s="1020">
        <v>8942.742295</v>
      </c>
      <c r="H607" s="986">
        <v>0.25</v>
      </c>
      <c r="I607" s="987">
        <f>IFERROR(F607*((G607*(1+H607))),"")</f>
        <v>11178.427868750001</v>
      </c>
      <c r="J607" s="988">
        <v>11178.427868749999</v>
      </c>
      <c r="K607" s="52"/>
      <c r="L607" s="940"/>
    </row>
    <row r="608" spans="1:12" ht="27" customHeight="1">
      <c r="A608" s="1036" t="s">
        <v>6238</v>
      </c>
      <c r="B608" s="1037"/>
      <c r="C608" s="1037"/>
      <c r="D608" s="1038" t="s">
        <v>6239</v>
      </c>
      <c r="E608" s="1042"/>
      <c r="F608" s="1042"/>
      <c r="G608" s="1042"/>
      <c r="H608" s="1042"/>
      <c r="I608" s="981"/>
      <c r="J608" s="988"/>
      <c r="K608" s="52"/>
      <c r="L608" s="940"/>
    </row>
    <row r="609" spans="1:12" ht="27" customHeight="1">
      <c r="A609" s="1015"/>
      <c r="B609" s="1012" t="s">
        <v>5022</v>
      </c>
      <c r="C609" s="1015"/>
      <c r="D609" s="1017" t="s">
        <v>6228</v>
      </c>
      <c r="E609" s="1018" t="s">
        <v>14</v>
      </c>
      <c r="F609" s="1019">
        <v>2</v>
      </c>
      <c r="G609" s="1020">
        <v>35092.340327500002</v>
      </c>
      <c r="H609" s="986">
        <v>0.25</v>
      </c>
      <c r="I609" s="987">
        <f>IFERROR(F609*((G609*(1+H609))),"")</f>
        <v>87730.850818750012</v>
      </c>
      <c r="J609" s="988">
        <v>87730.850818749997</v>
      </c>
      <c r="K609" s="52"/>
      <c r="L609" s="940"/>
    </row>
    <row r="610" spans="1:12" ht="27" customHeight="1">
      <c r="A610" s="1036" t="s">
        <v>6240</v>
      </c>
      <c r="B610" s="1037"/>
      <c r="C610" s="1037"/>
      <c r="D610" s="1038" t="s">
        <v>6241</v>
      </c>
      <c r="E610" s="1042"/>
      <c r="F610" s="1042"/>
      <c r="G610" s="1042"/>
      <c r="H610" s="1042"/>
      <c r="I610" s="981"/>
      <c r="J610" s="988"/>
      <c r="K610" s="52"/>
      <c r="L610" s="940"/>
    </row>
    <row r="611" spans="1:12" ht="27" customHeight="1">
      <c r="A611" s="1015"/>
      <c r="B611" s="1012" t="s">
        <v>5022</v>
      </c>
      <c r="C611" s="1015"/>
      <c r="D611" s="1017" t="s">
        <v>6230</v>
      </c>
      <c r="E611" s="1018" t="s">
        <v>14</v>
      </c>
      <c r="F611" s="1019">
        <v>1</v>
      </c>
      <c r="G611" s="1020">
        <v>25792.340327499998</v>
      </c>
      <c r="H611" s="986">
        <v>0.25</v>
      </c>
      <c r="I611" s="987">
        <f>IFERROR(F611*((G611*(1+H611))),"")</f>
        <v>32240.425409374999</v>
      </c>
      <c r="J611" s="988">
        <v>32240.425409374999</v>
      </c>
      <c r="K611" s="52"/>
      <c r="L611" s="940"/>
    </row>
    <row r="612" spans="1:12" ht="27" customHeight="1">
      <c r="A612" s="1015"/>
      <c r="B612" s="1012" t="s">
        <v>5022</v>
      </c>
      <c r="C612" s="1015"/>
      <c r="D612" s="1017" t="s">
        <v>6242</v>
      </c>
      <c r="E612" s="1018" t="s">
        <v>14</v>
      </c>
      <c r="F612" s="1019">
        <v>1</v>
      </c>
      <c r="G612" s="1020">
        <v>4650.6051802499996</v>
      </c>
      <c r="H612" s="986">
        <v>0.25</v>
      </c>
      <c r="I612" s="987">
        <f>IFERROR(F612*((G612*(1+H612))),"")</f>
        <v>5813.2564753124998</v>
      </c>
      <c r="J612" s="988">
        <v>5813.2564753124998</v>
      </c>
      <c r="K612" s="52"/>
      <c r="L612" s="940"/>
    </row>
    <row r="613" spans="1:12" ht="27" customHeight="1">
      <c r="A613" s="1015"/>
      <c r="B613" s="1012" t="s">
        <v>5022</v>
      </c>
      <c r="C613" s="1015"/>
      <c r="D613" s="1017" t="s">
        <v>6243</v>
      </c>
      <c r="E613" s="1018" t="s">
        <v>14</v>
      </c>
      <c r="F613" s="1019">
        <v>1</v>
      </c>
      <c r="G613" s="1020">
        <v>10811.290754</v>
      </c>
      <c r="H613" s="986">
        <v>0.25</v>
      </c>
      <c r="I613" s="987">
        <f>IFERROR(F613*((G613*(1+H613))),"")</f>
        <v>13514.1134425</v>
      </c>
      <c r="J613" s="988">
        <v>13514.1134425</v>
      </c>
      <c r="K613" s="52"/>
      <c r="L613" s="940"/>
    </row>
    <row r="614" spans="1:12" ht="27" customHeight="1">
      <c r="A614" s="1036" t="s">
        <v>6244</v>
      </c>
      <c r="B614" s="1037"/>
      <c r="C614" s="1037"/>
      <c r="D614" s="1038" t="s">
        <v>6245</v>
      </c>
      <c r="E614" s="1042"/>
      <c r="F614" s="1042"/>
      <c r="G614" s="1042"/>
      <c r="H614" s="1042"/>
      <c r="I614" s="981"/>
      <c r="J614" s="988"/>
      <c r="K614" s="52"/>
      <c r="L614" s="940"/>
    </row>
    <row r="615" spans="1:12" ht="27" customHeight="1">
      <c r="A615" s="1015"/>
      <c r="B615" s="1012" t="s">
        <v>5022</v>
      </c>
      <c r="C615" s="1015"/>
      <c r="D615" s="1017" t="s">
        <v>6228</v>
      </c>
      <c r="E615" s="1018" t="s">
        <v>14</v>
      </c>
      <c r="F615" s="1019">
        <v>3</v>
      </c>
      <c r="G615" s="1020">
        <v>35092.340327500002</v>
      </c>
      <c r="H615" s="986">
        <v>0.25</v>
      </c>
      <c r="I615" s="987">
        <f>IFERROR(F615*((G615*(1+H615))),"")</f>
        <v>131596.27622812503</v>
      </c>
      <c r="J615" s="988">
        <v>131596.276228125</v>
      </c>
      <c r="K615" s="52"/>
      <c r="L615" s="940"/>
    </row>
    <row r="616" spans="1:12" ht="27" customHeight="1">
      <c r="A616" s="1015"/>
      <c r="B616" s="1012"/>
      <c r="C616" s="1015"/>
      <c r="D616" s="1017" t="s">
        <v>1549</v>
      </c>
      <c r="E616" s="1018"/>
      <c r="F616" s="1019"/>
      <c r="G616" s="1020"/>
      <c r="H616" s="986"/>
      <c r="I616" s="987"/>
      <c r="J616" s="988"/>
      <c r="K616" s="52"/>
      <c r="L616" s="940"/>
    </row>
    <row r="617" spans="1:12" ht="27" customHeight="1">
      <c r="A617" s="1036" t="s">
        <v>6246</v>
      </c>
      <c r="B617" s="1037"/>
      <c r="C617" s="1037"/>
      <c r="D617" s="1038" t="s">
        <v>6247</v>
      </c>
      <c r="E617" s="1042"/>
      <c r="F617" s="1042"/>
      <c r="G617" s="1042"/>
      <c r="H617" s="1042"/>
      <c r="I617" s="981">
        <f>SUM(I618:I618)</f>
        <v>140855.353931875</v>
      </c>
      <c r="J617" s="988"/>
      <c r="K617" s="52"/>
      <c r="L617" s="940"/>
    </row>
    <row r="618" spans="1:12" ht="27" customHeight="1">
      <c r="A618" s="1015"/>
      <c r="B618" s="1012" t="s">
        <v>5022</v>
      </c>
      <c r="C618" s="1015"/>
      <c r="D618" s="1017" t="s">
        <v>6248</v>
      </c>
      <c r="E618" s="1018"/>
      <c r="F618" s="1019">
        <v>1</v>
      </c>
      <c r="G618" s="1020">
        <v>112684.2831455</v>
      </c>
      <c r="H618" s="986">
        <v>0.25</v>
      </c>
      <c r="I618" s="987">
        <f>IFERROR(F618*((G618*(1+H618))),"")</f>
        <v>140855.353931875</v>
      </c>
      <c r="J618" s="988">
        <v>140855.353931875</v>
      </c>
      <c r="K618" s="52"/>
      <c r="L618" s="940"/>
    </row>
    <row r="619" spans="1:12" ht="27" customHeight="1">
      <c r="A619" s="1015"/>
      <c r="B619" s="1012"/>
      <c r="C619" s="1015"/>
      <c r="D619" s="1017" t="s">
        <v>1549</v>
      </c>
      <c r="E619" s="1018"/>
      <c r="F619" s="1019"/>
      <c r="G619" s="1020"/>
      <c r="H619" s="986"/>
      <c r="I619" s="987"/>
      <c r="J619" s="988"/>
      <c r="K619" s="52"/>
      <c r="L619" s="940"/>
    </row>
    <row r="620" spans="1:12" ht="27" customHeight="1">
      <c r="A620" s="1036" t="s">
        <v>6249</v>
      </c>
      <c r="B620" s="1037"/>
      <c r="C620" s="1037"/>
      <c r="D620" s="1038" t="s">
        <v>6250</v>
      </c>
      <c r="E620" s="1042"/>
      <c r="F620" s="1042"/>
      <c r="G620" s="1042"/>
      <c r="H620" s="1042"/>
      <c r="I620" s="981">
        <f>SUM(I621:I621)</f>
        <v>344270.32926337502</v>
      </c>
      <c r="J620" s="988"/>
      <c r="K620" s="52"/>
      <c r="L620" s="940"/>
    </row>
    <row r="621" spans="1:12" ht="27" customHeight="1">
      <c r="A621" s="1015"/>
      <c r="B621" s="1012" t="s">
        <v>5022</v>
      </c>
      <c r="C621" s="1015"/>
      <c r="D621" s="1017" t="s">
        <v>6251</v>
      </c>
      <c r="E621" s="1018"/>
      <c r="F621" s="1019">
        <v>1</v>
      </c>
      <c r="G621" s="1020">
        <v>275416.26341070002</v>
      </c>
      <c r="H621" s="986">
        <v>0.25</v>
      </c>
      <c r="I621" s="987">
        <f>IFERROR(F621*((G621*(1+H621))),"")</f>
        <v>344270.32926337502</v>
      </c>
      <c r="J621" s="988">
        <v>344270.32926337502</v>
      </c>
      <c r="K621" s="52"/>
      <c r="L621" s="940"/>
    </row>
    <row r="622" spans="1:12" ht="27" customHeight="1">
      <c r="A622" s="1015"/>
      <c r="B622" s="1012"/>
      <c r="C622" s="1015"/>
      <c r="D622" s="1017" t="s">
        <v>1549</v>
      </c>
      <c r="E622" s="1018"/>
      <c r="F622" s="1019"/>
      <c r="G622" s="1020"/>
      <c r="H622" s="986"/>
      <c r="I622" s="987"/>
      <c r="J622" s="988"/>
      <c r="K622" s="52"/>
      <c r="L622" s="940"/>
    </row>
    <row r="623" spans="1:12" ht="27" customHeight="1">
      <c r="A623" s="1036" t="s">
        <v>6252</v>
      </c>
      <c r="B623" s="1037"/>
      <c r="C623" s="1037"/>
      <c r="D623" s="1038" t="s">
        <v>6253</v>
      </c>
      <c r="E623" s="1042"/>
      <c r="F623" s="1042"/>
      <c r="G623" s="1042"/>
      <c r="H623" s="1042"/>
      <c r="I623" s="981">
        <f>SUM(I624:I624)</f>
        <v>114964.08492931251</v>
      </c>
      <c r="J623" s="988"/>
      <c r="K623" s="52"/>
      <c r="L623" s="940"/>
    </row>
    <row r="624" spans="1:12" ht="27" customHeight="1">
      <c r="A624" s="1015"/>
      <c r="B624" s="1012" t="s">
        <v>5022</v>
      </c>
      <c r="C624" s="1015"/>
      <c r="D624" s="1017" t="s">
        <v>6254</v>
      </c>
      <c r="E624" s="1018"/>
      <c r="F624" s="1019">
        <v>1</v>
      </c>
      <c r="G624" s="1020">
        <v>91971.267943450002</v>
      </c>
      <c r="H624" s="986">
        <v>0.25</v>
      </c>
      <c r="I624" s="987">
        <f>IFERROR(F624*((G624*(1+H624))),"")</f>
        <v>114964.08492931251</v>
      </c>
      <c r="J624" s="988">
        <v>114964.084929313</v>
      </c>
      <c r="K624" s="52"/>
      <c r="L624" s="940"/>
    </row>
    <row r="625" spans="1:12" ht="27" customHeight="1">
      <c r="A625" s="1015"/>
      <c r="B625" s="1012"/>
      <c r="C625" s="1015"/>
      <c r="D625" s="1017" t="s">
        <v>1549</v>
      </c>
      <c r="E625" s="1018"/>
      <c r="F625" s="1019"/>
      <c r="G625" s="1020"/>
      <c r="H625" s="986"/>
      <c r="I625" s="987"/>
      <c r="J625" s="988"/>
      <c r="K625" s="52"/>
      <c r="L625" s="940"/>
    </row>
    <row r="626" spans="1:12" ht="27" customHeight="1">
      <c r="A626" s="1036" t="s">
        <v>6255</v>
      </c>
      <c r="B626" s="1037"/>
      <c r="C626" s="1037"/>
      <c r="D626" s="1038" t="s">
        <v>6256</v>
      </c>
      <c r="E626" s="1042"/>
      <c r="F626" s="1042"/>
      <c r="G626" s="1042"/>
      <c r="H626" s="1042"/>
      <c r="I626" s="981">
        <f>SUM(I627:I627)</f>
        <v>1206967.4103766412</v>
      </c>
      <c r="J626" s="988"/>
      <c r="K626" s="52"/>
      <c r="L626" s="940"/>
    </row>
    <row r="627" spans="1:12" ht="27" customHeight="1">
      <c r="A627" s="1015"/>
      <c r="B627" s="1012" t="s">
        <v>5022</v>
      </c>
      <c r="C627" s="1015"/>
      <c r="D627" s="1017" t="s">
        <v>6257</v>
      </c>
      <c r="E627" s="1018"/>
      <c r="F627" s="1019">
        <v>1</v>
      </c>
      <c r="G627" s="1020">
        <v>965573.92830131296</v>
      </c>
      <c r="H627" s="986">
        <v>0.25</v>
      </c>
      <c r="I627" s="987">
        <f>IFERROR(F627*((G627*(1+H627))),"")</f>
        <v>1206967.4103766412</v>
      </c>
      <c r="J627" s="988">
        <v>1206967.41037664</v>
      </c>
      <c r="K627" s="52"/>
      <c r="L627" s="940"/>
    </row>
    <row r="628" spans="1:12" ht="27" customHeight="1">
      <c r="A628" s="1015"/>
      <c r="B628" s="1012"/>
      <c r="C628" s="1015"/>
      <c r="D628" s="1017" t="s">
        <v>1549</v>
      </c>
      <c r="E628" s="1018"/>
      <c r="F628" s="1019"/>
      <c r="G628" s="1020"/>
      <c r="H628" s="986"/>
      <c r="I628" s="987"/>
      <c r="J628" s="988"/>
      <c r="K628" s="52"/>
      <c r="L628" s="940"/>
    </row>
    <row r="629" spans="1:12" ht="27" customHeight="1">
      <c r="A629" s="1036" t="s">
        <v>6258</v>
      </c>
      <c r="B629" s="1037"/>
      <c r="C629" s="1037"/>
      <c r="D629" s="1038" t="s">
        <v>6259</v>
      </c>
      <c r="E629" s="1042"/>
      <c r="F629" s="1042"/>
      <c r="G629" s="1042"/>
      <c r="H629" s="1042"/>
      <c r="I629" s="981">
        <f>SUM(I630:I630)</f>
        <v>49984.384751875004</v>
      </c>
      <c r="J629" s="988"/>
      <c r="K629" s="52"/>
      <c r="L629" s="940"/>
    </row>
    <row r="630" spans="1:12" ht="27" customHeight="1">
      <c r="A630" s="1015"/>
      <c r="B630" s="1012" t="s">
        <v>5022</v>
      </c>
      <c r="C630" s="1015"/>
      <c r="D630" s="1017" t="s">
        <v>6260</v>
      </c>
      <c r="E630" s="1018"/>
      <c r="F630" s="1019">
        <v>1</v>
      </c>
      <c r="G630" s="1020">
        <v>39987.507801500004</v>
      </c>
      <c r="H630" s="986">
        <v>0.25</v>
      </c>
      <c r="I630" s="987">
        <f>IFERROR(F630*((G630*(1+H630))),"")</f>
        <v>49984.384751875004</v>
      </c>
      <c r="J630" s="988">
        <v>49984.384751874997</v>
      </c>
      <c r="K630" s="52"/>
      <c r="L630" s="940"/>
    </row>
    <row r="631" spans="1:12" ht="27" customHeight="1">
      <c r="A631" s="1015"/>
      <c r="B631" s="1012"/>
      <c r="C631" s="1015"/>
      <c r="D631" s="1017"/>
      <c r="E631" s="1018"/>
      <c r="F631" s="1019"/>
      <c r="G631" s="1020"/>
      <c r="H631" s="986"/>
      <c r="I631" s="987"/>
      <c r="J631" s="988"/>
      <c r="K631" s="52"/>
      <c r="L631" s="940"/>
    </row>
    <row r="632" spans="1:12" ht="27" customHeight="1">
      <c r="A632" s="1036" t="s">
        <v>6261</v>
      </c>
      <c r="B632" s="1037"/>
      <c r="C632" s="1037"/>
      <c r="D632" s="1038" t="s">
        <v>6262</v>
      </c>
      <c r="E632" s="1042"/>
      <c r="F632" s="1042"/>
      <c r="G632" s="1042"/>
      <c r="H632" s="1042"/>
      <c r="I632" s="981">
        <f>SUM(I633:I633)</f>
        <v>197288.59695843747</v>
      </c>
      <c r="J632" s="988"/>
      <c r="K632" s="52"/>
      <c r="L632" s="940"/>
    </row>
    <row r="633" spans="1:12" ht="27" customHeight="1">
      <c r="A633" s="1015"/>
      <c r="B633" s="1012" t="s">
        <v>5022</v>
      </c>
      <c r="C633" s="1015"/>
      <c r="D633" s="1017" t="s">
        <v>6263</v>
      </c>
      <c r="E633" s="1018"/>
      <c r="F633" s="1019">
        <v>1</v>
      </c>
      <c r="G633" s="1020">
        <v>157830.87756674999</v>
      </c>
      <c r="H633" s="986">
        <v>0.25</v>
      </c>
      <c r="I633" s="987">
        <f>IFERROR(F633*((G633*(1+H633))),"")</f>
        <v>197288.59695843747</v>
      </c>
      <c r="J633" s="988">
        <v>197288.59695843799</v>
      </c>
      <c r="K633" s="52"/>
      <c r="L633" s="940"/>
    </row>
    <row r="634" spans="1:12" ht="27" customHeight="1">
      <c r="A634" s="1015"/>
      <c r="B634" s="1012"/>
      <c r="C634" s="1015"/>
      <c r="D634" s="1017" t="s">
        <v>1549</v>
      </c>
      <c r="E634" s="1018"/>
      <c r="F634" s="1019"/>
      <c r="G634" s="1020"/>
      <c r="H634" s="986"/>
      <c r="I634" s="987"/>
      <c r="J634" s="988"/>
      <c r="K634" s="52"/>
      <c r="L634" s="940"/>
    </row>
    <row r="635" spans="1:12" ht="27" customHeight="1">
      <c r="A635" s="1036" t="s">
        <v>6264</v>
      </c>
      <c r="B635" s="1037"/>
      <c r="C635" s="1037"/>
      <c r="D635" s="1038" t="s">
        <v>6265</v>
      </c>
      <c r="E635" s="1042"/>
      <c r="F635" s="1042"/>
      <c r="G635" s="1042"/>
      <c r="H635" s="1042"/>
      <c r="I635" s="981">
        <f>SUM(I636:I636)</f>
        <v>13129.538851875001</v>
      </c>
      <c r="J635" s="988"/>
      <c r="K635" s="52"/>
      <c r="L635" s="940"/>
    </row>
    <row r="636" spans="1:12" ht="27" customHeight="1">
      <c r="A636" s="1015"/>
      <c r="B636" s="1012" t="s">
        <v>5022</v>
      </c>
      <c r="C636" s="1015"/>
      <c r="D636" s="1017" t="s">
        <v>6265</v>
      </c>
      <c r="E636" s="1018"/>
      <c r="F636" s="1019">
        <v>1</v>
      </c>
      <c r="G636" s="1020">
        <v>10503.6310815</v>
      </c>
      <c r="H636" s="986">
        <v>0.25</v>
      </c>
      <c r="I636" s="987">
        <f>IFERROR(F636*((G636*(1+H636))),"")</f>
        <v>13129.538851875001</v>
      </c>
      <c r="J636" s="988">
        <v>13129.538851875001</v>
      </c>
      <c r="K636" s="52"/>
      <c r="L636" s="940"/>
    </row>
    <row r="637" spans="1:12" ht="27" customHeight="1">
      <c r="A637" s="1015"/>
      <c r="B637" s="1016"/>
      <c r="C637" s="1015"/>
      <c r="D637" s="1017"/>
      <c r="E637" s="1018"/>
      <c r="F637" s="1019"/>
      <c r="G637" s="1020"/>
      <c r="H637" s="986"/>
      <c r="I637" s="987"/>
      <c r="J637" s="988"/>
      <c r="K637" s="52"/>
      <c r="L637" s="940"/>
    </row>
    <row r="638" spans="1:12" ht="26.25" customHeight="1">
      <c r="A638" s="998">
        <v>25</v>
      </c>
      <c r="B638" s="999"/>
      <c r="C638" s="999"/>
      <c r="D638" s="1000" t="s">
        <v>6266</v>
      </c>
      <c r="E638" s="967"/>
      <c r="F638" s="968"/>
      <c r="G638" s="969"/>
      <c r="H638" s="968"/>
      <c r="I638" s="1005">
        <f>SUM(I639:I642)</f>
        <v>0</v>
      </c>
      <c r="J638" s="988"/>
      <c r="K638" s="52"/>
    </row>
    <row r="639" spans="1:12" ht="26.25" customHeight="1">
      <c r="A639" s="1015"/>
      <c r="B639" s="933" t="s">
        <v>1479</v>
      </c>
      <c r="C639" s="933" t="s">
        <v>6267</v>
      </c>
      <c r="D639" s="984" t="str">
        <f>IFERROR(UPPER(IF(B639="CPU",VLOOKUP(C639,#REF!,2,0),IF(B639="SINAPI",VLOOKUP(C639,#REF!,2,0),IF(B639="EDIF",VLOOKUP(C639,#REF!,2,0),IF(B639="CPOS",VLOOKUP(C639,#REF!,3,0),IF(B639="FDE",VLOOKUP(C639,#REF!,2,0),IF(B639="INFRA",VLOOKUP(C639,#REF!,2,0),""))))))),"")</f>
        <v/>
      </c>
      <c r="E639" s="78" t="str">
        <f>IFERROR(UPPER(IF(B639="CPU",VLOOKUP(C639,#REF!,3,0),IF(B639="SINAPI",VLOOKUP(C639,#REF!,3,0),IF(B639="EDIF",VLOOKUP(C639,#REF!,3,0),IF(B639="CPOS",VLOOKUP(C639,#REF!,4,0),IF(B639="FDE",VLOOKUP(C639,#REF!,3,0),IF(B639="INFRA",VLOOKUP(C639,#REF!,3,0),""))))))),"")</f>
        <v/>
      </c>
      <c r="F639" s="936">
        <v>48</v>
      </c>
      <c r="G639" s="985" t="str">
        <f>IFERROR(IF(B639="CPU",VLOOKUP(C639,#REF!,4,0),IF(B639="SINAPI",VLOOKUP(C639,#REF!,5,0),IF(B639="EDIF",VLOOKUP(C639,#REF!,4,0),IF(B639="CPOS",VLOOKUP(C639,#REF!,7,0),IF(B639="FDE",VLOOKUP(C639,#REF!,5,0),IF(B639="INFRA",VLOOKUP(C639,#REF!,4,0),""))))))*VLOOKUP(B639,#REF!,3,0),"")</f>
        <v/>
      </c>
      <c r="H639" s="986">
        <v>0.25</v>
      </c>
      <c r="I639" s="987" t="str">
        <f>IFERROR(F639*((G639*(1+H639))),"")</f>
        <v/>
      </c>
      <c r="J639" s="988">
        <v>1356.6</v>
      </c>
      <c r="K639" s="52"/>
    </row>
    <row r="640" spans="1:12" ht="26.25" customHeight="1">
      <c r="A640" s="1015"/>
      <c r="B640" s="933" t="s">
        <v>1479</v>
      </c>
      <c r="C640" s="933" t="s">
        <v>6268</v>
      </c>
      <c r="D640" s="984" t="str">
        <f>IFERROR(UPPER(IF(B640="CPU",VLOOKUP(C640,#REF!,2,0),IF(B640="SINAPI",VLOOKUP(C640,#REF!,2,0),IF(B640="EDIF",VLOOKUP(C640,#REF!,2,0),IF(B640="CPOS",VLOOKUP(C640,#REF!,3,0),IF(B640="FDE",VLOOKUP(C640,#REF!,2,0),IF(B640="INFRA",VLOOKUP(C640,#REF!,2,0),""))))))),"")</f>
        <v/>
      </c>
      <c r="E640" s="78" t="str">
        <f>IFERROR(UPPER(IF(B640="CPU",VLOOKUP(C640,#REF!,3,0),IF(B640="SINAPI",VLOOKUP(C640,#REF!,3,0),IF(B640="EDIF",VLOOKUP(C640,#REF!,3,0),IF(B640="CPOS",VLOOKUP(C640,#REF!,4,0),IF(B640="FDE",VLOOKUP(C640,#REF!,3,0),IF(B640="INFRA",VLOOKUP(C640,#REF!,3,0),""))))))),"")</f>
        <v/>
      </c>
      <c r="F640" s="936">
        <v>19</v>
      </c>
      <c r="G640" s="985" t="str">
        <f>IFERROR(IF(B640="CPU",VLOOKUP(C640,#REF!,4,0),IF(B640="SINAPI",VLOOKUP(C640,#REF!,5,0),IF(B640="EDIF",VLOOKUP(C640,#REF!,4,0),IF(B640="CPOS",VLOOKUP(C640,#REF!,7,0),IF(B640="FDE",VLOOKUP(C640,#REF!,5,0),IF(B640="INFRA",VLOOKUP(C640,#REF!,4,0),""))))))*VLOOKUP(B640,#REF!,3,0),"")</f>
        <v/>
      </c>
      <c r="H640" s="986">
        <v>0.25</v>
      </c>
      <c r="I640" s="987" t="str">
        <f>IFERROR(F640*((G640*(1+H640))),"")</f>
        <v/>
      </c>
      <c r="J640" s="988">
        <v>449.35</v>
      </c>
      <c r="K640" s="52"/>
    </row>
    <row r="641" spans="1:11" ht="26.25" customHeight="1">
      <c r="A641" s="1015"/>
      <c r="B641" s="933" t="s">
        <v>1479</v>
      </c>
      <c r="C641" s="933" t="s">
        <v>6269</v>
      </c>
      <c r="D641" s="984" t="str">
        <f>IFERROR(UPPER(IF(B641="CPU",VLOOKUP(C641,#REF!,2,0),IF(B641="SINAPI",VLOOKUP(C641,#REF!,2,0),IF(B641="EDIF",VLOOKUP(C641,#REF!,2,0),IF(B641="CPOS",VLOOKUP(C641,#REF!,3,0),IF(B641="FDE",VLOOKUP(C641,#REF!,2,0),IF(B641="INFRA",VLOOKUP(C641,#REF!,2,0),""))))))),"")</f>
        <v/>
      </c>
      <c r="E641" s="78" t="str">
        <f>IFERROR(UPPER(IF(B641="CPU",VLOOKUP(C641,#REF!,3,0),IF(B641="SINAPI",VLOOKUP(C641,#REF!,3,0),IF(B641="EDIF",VLOOKUP(C641,#REF!,3,0),IF(B641="CPOS",VLOOKUP(C641,#REF!,4,0),IF(B641="FDE",VLOOKUP(C641,#REF!,3,0),IF(B641="INFRA",VLOOKUP(C641,#REF!,3,0),""))))))),"")</f>
        <v/>
      </c>
      <c r="F641" s="936">
        <v>12</v>
      </c>
      <c r="G641" s="985" t="str">
        <f>IFERROR(IF(B641="CPU",VLOOKUP(C641,#REF!,4,0),IF(B641="SINAPI",VLOOKUP(C641,#REF!,5,0),IF(B641="EDIF",VLOOKUP(C641,#REF!,4,0),IF(B641="CPOS",VLOOKUP(C641,#REF!,7,0),IF(B641="FDE",VLOOKUP(C641,#REF!,5,0),IF(B641="INFRA",VLOOKUP(C641,#REF!,4,0),""))))))*VLOOKUP(B641,#REF!,3,0),"")</f>
        <v/>
      </c>
      <c r="H641" s="986">
        <v>0.25</v>
      </c>
      <c r="I641" s="987" t="str">
        <f>IFERROR(F641*((G641*(1+H641))),"")</f>
        <v/>
      </c>
      <c r="J641" s="988">
        <v>1510.5</v>
      </c>
      <c r="K641" s="52"/>
    </row>
    <row r="642" spans="1:11" ht="26.25" customHeight="1">
      <c r="A642" s="1015"/>
      <c r="B642" s="933" t="s">
        <v>1479</v>
      </c>
      <c r="C642" s="933" t="s">
        <v>6270</v>
      </c>
      <c r="D642" s="984" t="str">
        <f>IFERROR(UPPER(IF(B642="CPU",VLOOKUP(C642,#REF!,2,0),IF(B642="SINAPI",VLOOKUP(C642,#REF!,2,0),IF(B642="EDIF",VLOOKUP(C642,#REF!,2,0),IF(B642="CPOS",VLOOKUP(C642,#REF!,3,0),IF(B642="FDE",VLOOKUP(C642,#REF!,2,0),IF(B642="INFRA",VLOOKUP(C642,#REF!,2,0),""))))))),"")</f>
        <v/>
      </c>
      <c r="E642" s="78" t="str">
        <f>IFERROR(UPPER(IF(B642="CPU",VLOOKUP(C642,#REF!,3,0),IF(B642="SINAPI",VLOOKUP(C642,#REF!,3,0),IF(B642="EDIF",VLOOKUP(C642,#REF!,3,0),IF(B642="CPOS",VLOOKUP(C642,#REF!,4,0),IF(B642="FDE",VLOOKUP(C642,#REF!,3,0),IF(B642="INFRA",VLOOKUP(C642,#REF!,3,0),""))))))),"")</f>
        <v/>
      </c>
      <c r="F642" s="936">
        <v>20</v>
      </c>
      <c r="G642" s="985" t="str">
        <f>IFERROR(IF(B642="CPU",VLOOKUP(C642,#REF!,4,0),IF(B642="SINAPI",VLOOKUP(C642,#REF!,5,0),IF(B642="EDIF",VLOOKUP(C642,#REF!,4,0),IF(B642="CPOS",VLOOKUP(C642,#REF!,7,0),IF(B642="FDE",VLOOKUP(C642,#REF!,5,0),IF(B642="INFRA",VLOOKUP(C642,#REF!,4,0),""))))))*VLOOKUP(B642,#REF!,3,0),"")</f>
        <v/>
      </c>
      <c r="H642" s="986">
        <v>0.25</v>
      </c>
      <c r="I642" s="987" t="str">
        <f>IFERROR(F642*((G642*(1+H642))),"")</f>
        <v/>
      </c>
      <c r="J642" s="988">
        <v>19041.25</v>
      </c>
      <c r="K642" s="52"/>
    </row>
    <row r="643" spans="1:11" ht="26.25" customHeight="1">
      <c r="A643" s="1015"/>
      <c r="B643" s="1015"/>
      <c r="C643" s="1015"/>
      <c r="D643" s="1017"/>
      <c r="E643" s="1018"/>
      <c r="F643" s="1019"/>
      <c r="G643" s="1020"/>
      <c r="H643" s="1021"/>
      <c r="I643" s="1022"/>
      <c r="J643" s="988"/>
      <c r="K643" s="52"/>
    </row>
    <row r="644" spans="1:11" ht="26.25" customHeight="1">
      <c r="A644" s="998">
        <v>26</v>
      </c>
      <c r="B644" s="999"/>
      <c r="C644" s="999"/>
      <c r="D644" s="1000" t="s">
        <v>6271</v>
      </c>
      <c r="E644" s="967"/>
      <c r="F644" s="968"/>
      <c r="G644" s="969"/>
      <c r="H644" s="968"/>
      <c r="I644" s="1005">
        <f>SUM(I645:I647)</f>
        <v>0</v>
      </c>
      <c r="J644" s="988"/>
      <c r="K644" s="52"/>
    </row>
    <row r="645" spans="1:11" ht="26.25" customHeight="1">
      <c r="A645" s="1015"/>
      <c r="B645" s="933" t="s">
        <v>1479</v>
      </c>
      <c r="C645" s="933" t="s">
        <v>1495</v>
      </c>
      <c r="D645" s="984" t="str">
        <f>IFERROR(UPPER(IF(B645="CPU",VLOOKUP(C645,#REF!,2,0),IF(B645="SINAPI",VLOOKUP(C645,#REF!,2,0),IF(B645="EDIF",VLOOKUP(C645,#REF!,2,0),IF(B645="CPOS",VLOOKUP(C645,#REF!,3,0),IF(B645="FDE",VLOOKUP(C645,#REF!,2,0),IF(B645="INFRA",VLOOKUP(C645,#REF!,2,0),""))))))),"")</f>
        <v/>
      </c>
      <c r="E645" s="78" t="str">
        <f>IFERROR(UPPER(IF(B645="CPU",VLOOKUP(C645,#REF!,3,0),IF(B645="SINAPI",VLOOKUP(C645,#REF!,3,0),IF(B645="EDIF",VLOOKUP(C645,#REF!,3,0),IF(B645="CPOS",VLOOKUP(C645,#REF!,4,0),IF(B645="FDE",VLOOKUP(C645,#REF!,3,0),IF(B645="INFRA",VLOOKUP(C645,#REF!,3,0),""))))))),"")</f>
        <v/>
      </c>
      <c r="F645" s="936">
        <v>6060.6</v>
      </c>
      <c r="G645" s="985" t="str">
        <f>IFERROR(IF(B645="CPU",VLOOKUP(C645,#REF!,4,0),IF(B645="SINAPI",VLOOKUP(C645,#REF!,5,0),IF(B645="EDIF",VLOOKUP(C645,#REF!,4,0),IF(B645="CPOS",VLOOKUP(C645,#REF!,7,0),IF(B645="FDE",VLOOKUP(C645,#REF!,5,0),IF(B645="INFRA",VLOOKUP(C645,#REF!,4,0),""))))))*VLOOKUP(B645,#REF!,3,0),"")</f>
        <v/>
      </c>
      <c r="H645" s="986">
        <v>0.25</v>
      </c>
      <c r="I645" s="987" t="str">
        <f>IFERROR(F645*((G645*(1+H645))),"")</f>
        <v/>
      </c>
      <c r="J645" s="988">
        <v>79696.89</v>
      </c>
      <c r="K645" s="52"/>
    </row>
    <row r="646" spans="1:11" ht="26.25" customHeight="1">
      <c r="A646" s="1015"/>
      <c r="B646" s="933" t="s">
        <v>4908</v>
      </c>
      <c r="C646" s="1044">
        <v>85180</v>
      </c>
      <c r="D646" s="984" t="str">
        <f>IFERROR(UPPER(IF(B646="CPU",VLOOKUP(C646,#REF!,2,0),IF(B646="SINAPI",VLOOKUP(C646,#REF!,2,0),IF(B646="EDIF",VLOOKUP(C646,#REF!,2,0),IF(B646="CPOS",VLOOKUP(C646,#REF!,3,0),IF(B646="FDE",VLOOKUP(C646,#REF!,2,0),IF(B646="INFRA",VLOOKUP(C646,#REF!,2,0),""))))))),"")</f>
        <v/>
      </c>
      <c r="E646" s="78" t="str">
        <f>IFERROR(UPPER(IF(B646="CPU",VLOOKUP(C646,#REF!,3,0),IF(B646="SINAPI",VLOOKUP(C646,#REF!,3,0),IF(B646="EDIF",VLOOKUP(C646,#REF!,3,0),IF(B646="CPOS",VLOOKUP(C646,#REF!,4,0),IF(B646="FDE",VLOOKUP(C646,#REF!,3,0),IF(B646="INFRA",VLOOKUP(C646,#REF!,3,0),""))))))),"")</f>
        <v/>
      </c>
      <c r="F646" s="936">
        <v>15</v>
      </c>
      <c r="G646" s="985" t="str">
        <f>IFERROR(IF(B646="CPU",VLOOKUP(C646,#REF!,4,0),IF(B646="SINAPI",VLOOKUP(C646,#REF!,5,0),IF(B646="EDIF",VLOOKUP(C646,#REF!,4,0),IF(B646="CPOS",VLOOKUP(C646,#REF!,7,0),IF(B646="FDE",VLOOKUP(C646,#REF!,5,0),IF(B646="INFRA",VLOOKUP(C646,#REF!,4,0),""))))))*VLOOKUP(B646,#REF!,3,0),"")</f>
        <v/>
      </c>
      <c r="H646" s="986">
        <v>0.25</v>
      </c>
      <c r="I646" s="987" t="str">
        <f>IFERROR(F646*((G646*(1+H646))),"")</f>
        <v/>
      </c>
      <c r="J646" s="988">
        <v>239.625</v>
      </c>
      <c r="K646" s="52"/>
    </row>
    <row r="647" spans="1:11" ht="26.25" customHeight="1">
      <c r="A647" s="1015"/>
      <c r="B647" s="933" t="s">
        <v>4908</v>
      </c>
      <c r="C647" s="1044">
        <v>98505</v>
      </c>
      <c r="D647" s="984" t="str">
        <f>IFERROR(UPPER(IF(B647="CPU",VLOOKUP(C647,#REF!,2,0),IF(B647="SINAPI",VLOOKUP(C647,#REF!,2,0),IF(B647="EDIF",VLOOKUP(C647,#REF!,2,0),IF(B647="CPOS",VLOOKUP(C647,#REF!,3,0),IF(B647="FDE",VLOOKUP(C647,#REF!,2,0),IF(B647="INFRA",VLOOKUP(C647,#REF!,2,0),""))))))),"")</f>
        <v/>
      </c>
      <c r="E647" s="78" t="str">
        <f>IFERROR(UPPER(IF(B647="CPU",VLOOKUP(C647,#REF!,3,0),IF(B647="SINAPI",VLOOKUP(C647,#REF!,3,0),IF(B647="EDIF",VLOOKUP(C647,#REF!,3,0),IF(B647="CPOS",VLOOKUP(C647,#REF!,4,0),IF(B647="FDE",VLOOKUP(C647,#REF!,3,0),IF(B647="INFRA",VLOOKUP(C647,#REF!,3,0),""))))))),"")</f>
        <v/>
      </c>
      <c r="F647" s="936">
        <v>15</v>
      </c>
      <c r="G647" s="985" t="str">
        <f>IFERROR(IF(B647="CPU",VLOOKUP(C647,#REF!,4,0),IF(B647="SINAPI",VLOOKUP(C647,#REF!,5,0),IF(B647="EDIF",VLOOKUP(C647,#REF!,4,0),IF(B647="CPOS",VLOOKUP(C647,#REF!,7,0),IF(B647="FDE",VLOOKUP(C647,#REF!,5,0),IF(B647="INFRA",VLOOKUP(C647,#REF!,4,0),""))))))*VLOOKUP(B647,#REF!,3,0),"")</f>
        <v/>
      </c>
      <c r="H647" s="986">
        <v>0.25</v>
      </c>
      <c r="I647" s="987" t="str">
        <f>IFERROR(F647*((G647*(1+H647))),"")</f>
        <v/>
      </c>
      <c r="J647" s="988">
        <v>789.1875</v>
      </c>
      <c r="K647" s="52"/>
    </row>
    <row r="648" spans="1:11" ht="26.25" customHeight="1">
      <c r="A648" s="1054"/>
      <c r="B648" s="1055"/>
      <c r="C648" s="1056"/>
      <c r="D648" s="984"/>
      <c r="E648" s="78"/>
      <c r="F648" s="936"/>
      <c r="G648" s="1057"/>
      <c r="H648" s="1058"/>
      <c r="I648" s="987"/>
      <c r="J648" s="988"/>
      <c r="K648" s="52"/>
    </row>
    <row r="649" spans="1:11" ht="35.25" customHeight="1">
      <c r="A649" s="1059"/>
      <c r="B649" s="1059"/>
      <c r="C649" s="1060"/>
      <c r="D649" s="1061" t="str">
        <f>IFERROR(UPPER(IF(B649="CPU",VLOOKUP(C649,#REF!,2,0),IF(B649="SINAPI",VLOOKUP(C649,#REF!,2,0),IF(B649="EDIF",VLOOKUP(C649,#REF!,2,0),IF(B649="CPOS",VLOOKUP(C649,#REF!,3,0),IF(B649="FDE",VLOOKUP(C649,#REF!,2,0),IF(B649="INFRA",VLOOKUP(C649,#REF!,2,0),""))))))),"")</f>
        <v/>
      </c>
      <c r="E649" s="1062" t="str">
        <f>IFERROR(UPPER(IF(B649="CPU",VLOOKUP(C649,#REF!,3,0),IF(B649="SINAPI",VLOOKUP(C649,#REF!,3,0),IF(B649="EDIF",VLOOKUP(C649,#REF!,3,0),IF(B649="CPOS",VLOOKUP(C649,#REF!,4,0),IF(B649="FDE",VLOOKUP(C649,#REF!,3,0),IF(B649="INFRA",VLOOKUP(C649,#REF!,3,0),""))))))),"")</f>
        <v/>
      </c>
      <c r="F649" s="1063"/>
      <c r="G649" s="1412" t="s">
        <v>6272</v>
      </c>
      <c r="H649" s="1412"/>
      <c r="I649" s="1064">
        <f>SUM(I13+I66+I121+I141+I151+I173+I188+I197+I206+I215+I223+I237+I247+I252+I262+I265+I274+I281+I289+I441+I471+I493++I544+I584+I638+I644)</f>
        <v>3926899.7848112034</v>
      </c>
      <c r="J649" s="1065">
        <f>SUM(J13:J647)</f>
        <v>34102833.956737161</v>
      </c>
    </row>
    <row r="650" spans="1:11" ht="22.5" customHeight="1">
      <c r="A650" s="1066"/>
      <c r="B650" s="1066"/>
      <c r="C650" s="1067"/>
      <c r="D650" s="1068" t="str">
        <f>IFERROR(UPPER(IF(B650="CPU",VLOOKUP(C650,#REF!,2,0),IF(B650="SINAPI",VLOOKUP(C650,#REF!,2,0),IF(B650="EDIF",VLOOKUP(C650,#REF!,2,0),IF(B650="CPOS",VLOOKUP(C650,#REF!,3,0),IF(B650="FDE",VLOOKUP(C650,#REF!,2,0),IF(B650="INFRA",VLOOKUP(C650,#REF!,2,0),""))))))),"")</f>
        <v/>
      </c>
      <c r="E650" s="1045" t="str">
        <f>IFERROR(UPPER(IF(B650="CPU",VLOOKUP(C650,#REF!,3,0),IF(B650="SINAPI",VLOOKUP(C650,#REF!,3,0),IF(B650="EDIF",VLOOKUP(C650,#REF!,3,0),IF(B650="CPOS",VLOOKUP(C650,#REF!,4,0),IF(B650="FDE",VLOOKUP(C650,#REF!,3,0),IF(B650="INFRA",VLOOKUP(C650,#REF!,3,0),""))))))),"")</f>
        <v/>
      </c>
      <c r="F650" s="1046"/>
      <c r="G650" s="1047" t="str">
        <f>IFERROR(IF(B650="CPU",VLOOKUP(C650,#REF!,4,0),IF(B650="SINAPI",VLOOKUP(C650,#REF!,5,0),IF(B650="EDIF",VLOOKUP(C650,#REF!,4,0),IF(B650="CPOS",VLOOKUP(C650,#REF!,7,0),IF(B650="FDE",VLOOKUP(C650,#REF!,5,0),IF(B650="INFRA",VLOOKUP(C650,#REF!,4,0),""))))))*VLOOKUP(B650,#REF!,3,0),"")</f>
        <v/>
      </c>
      <c r="H650" s="1053"/>
      <c r="I650" s="1069">
        <f>I649/F645</f>
        <v>647.939112432961</v>
      </c>
    </row>
    <row r="651" spans="1:11">
      <c r="A651" s="1070"/>
      <c r="B651" s="1413"/>
      <c r="C651" s="1413"/>
      <c r="D651" s="1413"/>
      <c r="E651" s="1413"/>
      <c r="F651" s="1413"/>
      <c r="G651" s="1413"/>
      <c r="H651" s="1413"/>
      <c r="I651" s="1413"/>
    </row>
    <row r="653" spans="1:11">
      <c r="I653" s="1071">
        <f>I649*0.1</f>
        <v>392689.97848112037</v>
      </c>
    </row>
  </sheetData>
  <autoFilter ref="A12:I649" xr:uid="{00000000-0009-0000-0000-00000D000000}"/>
  <mergeCells count="8">
    <mergeCell ref="A11:I11"/>
    <mergeCell ref="G649:H649"/>
    <mergeCell ref="B651:I651"/>
    <mergeCell ref="A1:G1"/>
    <mergeCell ref="H1:I10"/>
    <mergeCell ref="D3:D4"/>
    <mergeCell ref="D6:D7"/>
    <mergeCell ref="D8:D9"/>
  </mergeCells>
  <conditionalFormatting sqref="B1:B1048576 C504">
    <cfRule type="containsText" dxfId="2" priority="2" operator="containsText" text="COTAÇÃO">
      <formula>NOT(ISERROR(SEARCH("COTAÇÃO",B1)))</formula>
    </cfRule>
  </conditionalFormatting>
  <conditionalFormatting sqref="C24 C35:C47 C50:C55 C58:C60 C63:C64 C69 C90:C94 C152:C156 C158:C171 C174:C186 C191:C192 C194:C195 C198:C199 C201:C204 C208:C213 C220 C225 C238:C244 C248:C250 C272 C275:C278 C303:C307 C310:C313 C322:C324 C339:C358 C361:C371 C433:C439 C443:C447 C450:C459 C462 C472:C491 C498:C500 C502:C504 C506:C512 C514:C519 C521:C525 C527:C529 C531:C533 C535:C536 C538:C543 C545:C580 C583 C586:C589 C591">
    <cfRule type="cellIs" dxfId="1" priority="3" operator="equal">
      <formula>0</formula>
    </cfRule>
  </conditionalFormatting>
  <printOptions horizontalCentered="1" verticalCentered="1"/>
  <pageMargins left="0.27569444444444402" right="0.27569444444444402" top="0.59027777777777801" bottom="0.86597222222222203" header="0.511811023622047" footer="0.196527777777778"/>
  <pageSetup paperSize="9" scale="69" fitToHeight="0" orientation="landscape" horizontalDpi="300" verticalDpi="300" r:id="rId1"/>
  <headerFooter>
    <oddFooter>&amp;C&amp;P de &amp;N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66CC"/>
    <pageSetUpPr fitToPage="1"/>
  </sheetPr>
  <dimension ref="A1:N405"/>
  <sheetViews>
    <sheetView view="pageBreakPreview" zoomScale="90" zoomScaleNormal="80" zoomScalePageLayoutView="90" workbookViewId="0">
      <selection activeCell="G7" sqref="G7"/>
    </sheetView>
  </sheetViews>
  <sheetFormatPr defaultColWidth="11.88671875" defaultRowHeight="13.2" outlineLevelRow="1"/>
  <cols>
    <col min="1" max="1" width="11.88671875" style="15"/>
    <col min="2" max="3" width="10" style="16" customWidth="1"/>
    <col min="4" max="4" width="11.33203125" style="17" customWidth="1"/>
    <col min="5" max="5" width="103.33203125" style="16" customWidth="1"/>
    <col min="6" max="6" width="11.44140625" style="18" customWidth="1"/>
    <col min="7" max="7" width="15.5546875" style="19" customWidth="1"/>
    <col min="8" max="8" width="16.109375" style="20" customWidth="1"/>
    <col min="9" max="9" width="12.44140625" style="80" customWidth="1"/>
    <col min="10" max="10" width="14.6640625" style="80" customWidth="1"/>
    <col min="11" max="11" width="22.6640625" style="19" customWidth="1"/>
    <col min="12" max="12" width="20.5546875" style="21" customWidth="1"/>
    <col min="13" max="13" width="20.109375" style="15" customWidth="1"/>
    <col min="14" max="14" width="14.88671875" style="22" customWidth="1"/>
    <col min="15" max="16384" width="11.88671875" style="15"/>
  </cols>
  <sheetData>
    <row r="1" spans="1:14" ht="17.399999999999999">
      <c r="B1" s="1285" t="s">
        <v>1416</v>
      </c>
      <c r="C1" s="1285"/>
      <c r="D1" s="1285"/>
      <c r="E1" s="1285"/>
      <c r="F1" s="1285"/>
      <c r="G1" s="1285"/>
      <c r="H1" s="1285"/>
      <c r="I1" s="1285"/>
      <c r="J1" s="1285"/>
      <c r="K1" s="1285"/>
      <c r="L1" s="1072"/>
    </row>
    <row r="2" spans="1:14" ht="15.75" customHeight="1">
      <c r="B2" s="256"/>
      <c r="C2" s="257"/>
      <c r="D2" s="942"/>
      <c r="E2" s="258" t="s">
        <v>1417</v>
      </c>
      <c r="F2" s="259"/>
      <c r="G2" s="259"/>
      <c r="H2" s="1073"/>
      <c r="I2" s="1285"/>
      <c r="J2" s="1285"/>
      <c r="K2" s="1285"/>
      <c r="L2" s="1072"/>
    </row>
    <row r="3" spans="1:14" ht="12.75" customHeight="1">
      <c r="B3" s="262"/>
      <c r="C3" s="263"/>
      <c r="D3" s="944"/>
      <c r="E3" s="1286" t="s">
        <v>5559</v>
      </c>
      <c r="F3" s="264"/>
      <c r="G3" s="264"/>
      <c r="H3" s="1074"/>
      <c r="I3" s="1285"/>
      <c r="J3" s="1285"/>
      <c r="K3" s="1285"/>
      <c r="L3" s="1072"/>
    </row>
    <row r="4" spans="1:14" ht="12.75" customHeight="1">
      <c r="B4" s="266"/>
      <c r="C4" s="946"/>
      <c r="D4" s="268"/>
      <c r="E4" s="1286"/>
      <c r="F4" s="268"/>
      <c r="G4" s="268"/>
      <c r="H4" s="1075"/>
      <c r="I4" s="1285"/>
      <c r="J4" s="1285"/>
      <c r="K4" s="1285"/>
      <c r="L4" s="1072"/>
    </row>
    <row r="5" spans="1:14" s="22" customFormat="1" ht="17.399999999999999">
      <c r="B5" s="270"/>
      <c r="C5" s="948"/>
      <c r="D5" s="271"/>
      <c r="E5" s="272" t="s">
        <v>1419</v>
      </c>
      <c r="F5" s="272"/>
      <c r="G5" s="273"/>
      <c r="H5" s="1076"/>
      <c r="I5" s="1285"/>
      <c r="J5" s="1285"/>
      <c r="K5" s="1285"/>
      <c r="L5" s="1072"/>
    </row>
    <row r="6" spans="1:14" ht="12.75" customHeight="1">
      <c r="B6" s="262"/>
      <c r="C6" s="263"/>
      <c r="D6" s="944"/>
      <c r="E6" s="1287" t="s">
        <v>6273</v>
      </c>
      <c r="F6" s="1077" t="s">
        <v>6274</v>
      </c>
      <c r="G6" s="1078" t="s">
        <v>6275</v>
      </c>
      <c r="H6" s="1079" t="s">
        <v>6276</v>
      </c>
      <c r="I6" s="1285"/>
      <c r="J6" s="1285"/>
      <c r="K6" s="1285"/>
      <c r="L6" s="1072"/>
    </row>
    <row r="7" spans="1:14" ht="17.399999999999999">
      <c r="B7" s="279"/>
      <c r="C7" s="952"/>
      <c r="D7" s="280"/>
      <c r="E7" s="1287"/>
      <c r="F7" s="1080" t="s">
        <v>6277</v>
      </c>
      <c r="G7" s="1080" t="s">
        <v>6278</v>
      </c>
      <c r="H7" s="1081"/>
      <c r="I7" s="1285"/>
      <c r="J7" s="1285"/>
      <c r="K7" s="1285"/>
      <c r="L7" s="1072"/>
    </row>
    <row r="8" spans="1:14" ht="12" customHeight="1">
      <c r="B8" s="262"/>
      <c r="C8" s="263"/>
      <c r="D8" s="944"/>
      <c r="E8" s="1288" t="s">
        <v>5560</v>
      </c>
      <c r="F8" s="954" t="s">
        <v>5561</v>
      </c>
      <c r="G8" s="955">
        <f ca="1">TODAY()</f>
        <v>45436</v>
      </c>
      <c r="H8" s="1082" t="s">
        <v>6279</v>
      </c>
      <c r="I8" s="1285"/>
      <c r="J8" s="1285"/>
      <c r="K8" s="1285"/>
      <c r="L8" s="1072"/>
    </row>
    <row r="9" spans="1:14" s="24" customFormat="1" ht="12" customHeight="1">
      <c r="A9" s="15"/>
      <c r="B9" s="288"/>
      <c r="C9" s="289"/>
      <c r="D9" s="957"/>
      <c r="E9" s="1288"/>
      <c r="F9" s="290"/>
      <c r="G9" s="291"/>
      <c r="H9" s="1083"/>
      <c r="I9" s="1285"/>
      <c r="J9" s="1285"/>
      <c r="K9" s="1285"/>
      <c r="L9" s="1072"/>
      <c r="M9" s="15"/>
      <c r="N9" s="22"/>
    </row>
    <row r="10" spans="1:14" s="300" customFormat="1" ht="15" customHeight="1">
      <c r="A10" s="15"/>
      <c r="B10" s="293"/>
      <c r="C10" s="294"/>
      <c r="D10" s="959"/>
      <c r="E10" s="295"/>
      <c r="F10" s="296"/>
      <c r="G10" s="297"/>
      <c r="H10" s="1084"/>
      <c r="I10" s="1285"/>
      <c r="J10" s="1285"/>
      <c r="K10" s="1285"/>
      <c r="L10" s="1072"/>
      <c r="M10" s="15"/>
      <c r="N10" s="22"/>
    </row>
    <row r="11" spans="1:14" s="25" customFormat="1" ht="13.8">
      <c r="A11" s="15"/>
      <c r="B11" s="1411"/>
      <c r="C11" s="1411"/>
      <c r="D11" s="1411"/>
      <c r="E11" s="1411"/>
      <c r="F11" s="1411"/>
      <c r="G11" s="1411"/>
      <c r="H11" s="1411"/>
      <c r="I11" s="1411"/>
      <c r="J11" s="1411"/>
      <c r="K11" s="1411"/>
      <c r="L11" s="1085"/>
      <c r="M11" s="15"/>
      <c r="N11" s="22"/>
    </row>
    <row r="12" spans="1:14" s="25" customFormat="1" ht="40.5" customHeight="1">
      <c r="A12" s="24"/>
      <c r="B12" s="1086" t="s">
        <v>10</v>
      </c>
      <c r="C12" s="1087" t="s">
        <v>11</v>
      </c>
      <c r="D12" s="1088" t="s">
        <v>12</v>
      </c>
      <c r="E12" s="1089" t="s">
        <v>6280</v>
      </c>
      <c r="F12" s="1090" t="s">
        <v>14</v>
      </c>
      <c r="G12" s="1091" t="s">
        <v>15</v>
      </c>
      <c r="H12" s="1092" t="s">
        <v>5563</v>
      </c>
      <c r="I12" s="1093" t="s">
        <v>17</v>
      </c>
      <c r="J12" s="1092" t="s">
        <v>18</v>
      </c>
      <c r="K12" s="1091" t="s">
        <v>19</v>
      </c>
      <c r="L12" s="1094"/>
      <c r="M12" s="24"/>
      <c r="N12" s="42"/>
    </row>
    <row r="13" spans="1:14" s="25" customFormat="1" ht="27" customHeight="1">
      <c r="A13" s="300"/>
      <c r="B13" s="53">
        <v>1</v>
      </c>
      <c r="C13" s="54"/>
      <c r="D13" s="54"/>
      <c r="E13" s="55" t="s">
        <v>4868</v>
      </c>
      <c r="F13" s="56"/>
      <c r="G13" s="57"/>
      <c r="H13" s="58"/>
      <c r="I13" s="59"/>
      <c r="J13" s="59"/>
      <c r="K13" s="1095" t="e">
        <f>SUM(K14:K49)</f>
        <v>#VALUE!</v>
      </c>
      <c r="L13" s="1096" t="e">
        <f>K13</f>
        <v>#VALUE!</v>
      </c>
      <c r="M13" s="973"/>
      <c r="N13" s="932"/>
    </row>
    <row r="14" spans="1:14" s="25" customFormat="1" ht="27" customHeight="1">
      <c r="B14" s="1097" t="s">
        <v>22</v>
      </c>
      <c r="C14" s="1098"/>
      <c r="D14" s="1098"/>
      <c r="E14" s="1099" t="s">
        <v>4888</v>
      </c>
      <c r="F14" s="1100"/>
      <c r="G14" s="1101"/>
      <c r="H14" s="1102"/>
      <c r="I14" s="1103"/>
      <c r="J14" s="1103"/>
      <c r="K14" s="1104"/>
      <c r="L14" s="51"/>
      <c r="M14" s="52"/>
      <c r="N14" s="940"/>
    </row>
    <row r="15" spans="1:14" s="25" customFormat="1" ht="27" customHeight="1">
      <c r="B15" s="61" t="s">
        <v>25</v>
      </c>
      <c r="C15" s="61" t="s">
        <v>1479</v>
      </c>
      <c r="D15" s="1105" t="s">
        <v>5564</v>
      </c>
      <c r="E15" s="64" t="str">
        <f>IFERROR(UPPER(IF(C15="CPU",VLOOKUP(D15,#REF!,2,0),IF(C15="SINAPI",VLOOKUP(D15,#REF!,2,0),IF(C15="EDIF",VLOOKUP(D15,#REF!,2,0),IF(C15="CPOS",VLOOKUP(D15,#REF!,3,0),IF(C15="FDE",VLOOKUP(D15,#REF!,2,0),IF(C15="INFRA",VLOOKUP(D15,#REF!,2,0),""))))))),"")</f>
        <v/>
      </c>
      <c r="F15" s="65" t="str">
        <f>IFERROR(UPPER(IF(C15="CPU",VLOOKUP(D15,#REF!,3,0),IF(C15="SINAPI",VLOOKUP(D15,#REF!,3,0),IF(C15="EDIF",VLOOKUP(D15,#REF!,3,0),IF(C15="CPOS",VLOOKUP(D15,#REF!,4,0),IF(C15="FDE",VLOOKUP(D15,#REF!,3,0),IF(C15="INFRA",VLOOKUP(D15,#REF!,3,0),""))))))),"")</f>
        <v/>
      </c>
      <c r="G15" s="66">
        <v>18</v>
      </c>
      <c r="H15" s="67" t="str">
        <f>IFERROR(IF(C15="CPU",VLOOKUP(D15,#REF!,4,0),IF(C15="SINAPI",VLOOKUP(D15,#REF!,5,0),IF(C15="EDIF",VLOOKUP(D15,#REF!,4,0),IF(C15="CPOS",VLOOKUP(D15,#REF!,7,0),IF(C15="FDE",VLOOKUP(D15,#REF!,5,0),IF(C15="INFRA",VLOOKUP(D15,#REF!,4,0),""))))))*VLOOKUP(C15,#REF!,3,0),"")</f>
        <v/>
      </c>
      <c r="I15" s="1106">
        <v>0.25</v>
      </c>
      <c r="J15" s="67" t="e">
        <f t="shared" ref="J15:J24" si="0">ROUND(H15*(1+I15),2)</f>
        <v>#VALUE!</v>
      </c>
      <c r="K15" s="69" t="e">
        <f t="shared" ref="K15:K24" si="1">SUM(G15*J15)</f>
        <v>#VALUE!</v>
      </c>
      <c r="L15" s="51"/>
      <c r="M15" s="52"/>
      <c r="N15" s="940"/>
    </row>
    <row r="16" spans="1:14" s="25" customFormat="1" ht="27" customHeight="1">
      <c r="B16" s="61" t="s">
        <v>4873</v>
      </c>
      <c r="C16" s="61" t="s">
        <v>4872</v>
      </c>
      <c r="D16" s="1107">
        <v>10502</v>
      </c>
      <c r="E16" s="64" t="str">
        <f>IFERROR(UPPER(IF(C16="CPU",VLOOKUP(D16,#REF!,2,0),IF(C16="SINAPI",VLOOKUP(D16,#REF!,2,0),IF(C16="EDIF",VLOOKUP(D16,#REF!,2,0),IF(C16="CPOS",VLOOKUP(D16,#REF!,3,0),IF(C16="FDE",VLOOKUP(D16,#REF!,2,0),IF(C16="INFRA",VLOOKUP(D16,#REF!,2,0),""))))))),"")</f>
        <v/>
      </c>
      <c r="F16" s="65" t="str">
        <f>IFERROR(UPPER(IF(C16="CPU",VLOOKUP(D16,#REF!,3,0),IF(C16="SINAPI",VLOOKUP(D16,#REF!,3,0),IF(C16="EDIF",VLOOKUP(D16,#REF!,3,0),IF(C16="CPOS",VLOOKUP(D16,#REF!,4,0),IF(C16="FDE",VLOOKUP(D16,#REF!,3,0),IF(C16="INFRA",VLOOKUP(D16,#REF!,3,0),""))))))),"")</f>
        <v/>
      </c>
      <c r="G16" s="66">
        <f>330*2.1</f>
        <v>693</v>
      </c>
      <c r="H16" s="67" t="str">
        <f>IFERROR(IF(C16="CPU",VLOOKUP(D16,#REF!,4,0),IF(C16="SINAPI",VLOOKUP(D16,#REF!,5,0),IF(C16="EDIF",VLOOKUP(D16,#REF!,4,0),IF(C16="CPOS",VLOOKUP(D16,#REF!,7,0),IF(C16="FDE",VLOOKUP(D16,#REF!,5,0),IF(C16="INFRA",VLOOKUP(D16,#REF!,4,0),""))))))*VLOOKUP(C16,#REF!,3,0),"")</f>
        <v/>
      </c>
      <c r="I16" s="1106">
        <v>0.25</v>
      </c>
      <c r="J16" s="67" t="e">
        <f t="shared" si="0"/>
        <v>#VALUE!</v>
      </c>
      <c r="K16" s="69" t="e">
        <f t="shared" si="1"/>
        <v>#VALUE!</v>
      </c>
      <c r="L16" s="51"/>
      <c r="M16" s="52"/>
      <c r="N16" s="940"/>
    </row>
    <row r="17" spans="2:14" s="25" customFormat="1" ht="27" customHeight="1">
      <c r="B17" s="61" t="s">
        <v>4876</v>
      </c>
      <c r="C17" s="61" t="s">
        <v>4872</v>
      </c>
      <c r="D17" s="1107">
        <v>10506</v>
      </c>
      <c r="E17" s="64" t="str">
        <f>IFERROR(UPPER(IF(C17="CPU",VLOOKUP(D17,#REF!,2,0),IF(C17="SINAPI",VLOOKUP(D17,#REF!,2,0),IF(C17="EDIF",VLOOKUP(D17,#REF!,2,0),IF(C17="CPOS",VLOOKUP(D17,#REF!,3,0),IF(C17="FDE",VLOOKUP(D17,#REF!,2,0),IF(C17="INFRA",VLOOKUP(D17,#REF!,2,0),""))))))),"")</f>
        <v/>
      </c>
      <c r="F17" s="65" t="str">
        <f>IFERROR(UPPER(IF(C17="CPU",VLOOKUP(D17,#REF!,3,0),IF(C17="SINAPI",VLOOKUP(D17,#REF!,3,0),IF(C17="EDIF",VLOOKUP(D17,#REF!,3,0),IF(C17="CPOS",VLOOKUP(D17,#REF!,4,0),IF(C17="FDE",VLOOKUP(D17,#REF!,3,0),IF(C17="INFRA",VLOOKUP(D17,#REF!,3,0),""))))))),"")</f>
        <v/>
      </c>
      <c r="G17" s="66">
        <f>5*2.15</f>
        <v>10.75</v>
      </c>
      <c r="H17" s="67" t="str">
        <f>IFERROR(IF(C17="CPU",VLOOKUP(D17,#REF!,4,0),IF(C17="SINAPI",VLOOKUP(D17,#REF!,5,0),IF(C17="EDIF",VLOOKUP(D17,#REF!,4,0),IF(C17="CPOS",VLOOKUP(D17,#REF!,7,0),IF(C17="FDE",VLOOKUP(D17,#REF!,5,0),IF(C17="INFRA",VLOOKUP(D17,#REF!,4,0),""))))))*VLOOKUP(C17,#REF!,3,0),"")</f>
        <v/>
      </c>
      <c r="I17" s="1106">
        <v>0.25</v>
      </c>
      <c r="J17" s="67" t="e">
        <f t="shared" si="0"/>
        <v>#VALUE!</v>
      </c>
      <c r="K17" s="69" t="e">
        <f t="shared" si="1"/>
        <v>#VALUE!</v>
      </c>
      <c r="L17" s="51"/>
      <c r="M17" s="52"/>
      <c r="N17" s="940"/>
    </row>
    <row r="18" spans="2:14" s="25" customFormat="1" ht="27" customHeight="1">
      <c r="B18" s="61" t="s">
        <v>4878</v>
      </c>
      <c r="C18" s="61" t="s">
        <v>4908</v>
      </c>
      <c r="D18" s="65" t="s">
        <v>6281</v>
      </c>
      <c r="E18" s="64" t="str">
        <f>IFERROR(UPPER(IF(C18="CPU",VLOOKUP(D18,#REF!,2,0),IF(C18="SINAPI",VLOOKUP(D18,#REF!,2,0),IF(C18="EDIF",VLOOKUP(D18,#REF!,2,0),IF(C18="CPOS",VLOOKUP(D18,#REF!,3,0),IF(C18="FDE",VLOOKUP(D18,#REF!,2,0),IF(C18="INFRA",VLOOKUP(D18,#REF!,2,0),""))))))),"")</f>
        <v/>
      </c>
      <c r="F18" s="65" t="str">
        <f>IFERROR(UPPER(IF(C18="CPU",VLOOKUP(D18,#REF!,3,0),IF(C18="SINAPI",VLOOKUP(D18,#REF!,3,0),IF(C18="EDIF",VLOOKUP(D18,#REF!,3,0),IF(C18="CPOS",VLOOKUP(D18,#REF!,4,0),IF(C18="FDE",VLOOKUP(D18,#REF!,3,0),IF(C18="INFRA",VLOOKUP(D18,#REF!,3,0),""))))))),"")</f>
        <v/>
      </c>
      <c r="G18" s="66">
        <v>10000</v>
      </c>
      <c r="H18" s="67" t="str">
        <f>IFERROR(IF(C18="CPU",VLOOKUP(D18,#REF!,4,0),IF(C18="SINAPI",VLOOKUP(D18,#REF!,5,0),IF(C18="EDIF",VLOOKUP(D18,#REF!,4,0),IF(C18="CPOS",VLOOKUP(D18,#REF!,7,0),IF(C18="FDE",VLOOKUP(D18,#REF!,5,0),IF(C18="INFRA",VLOOKUP(D18,#REF!,4,0),""))))))*VLOOKUP(C18,#REF!,3,0),"")</f>
        <v/>
      </c>
      <c r="I18" s="1106">
        <v>0.25</v>
      </c>
      <c r="J18" s="67" t="e">
        <f t="shared" si="0"/>
        <v>#VALUE!</v>
      </c>
      <c r="K18" s="69" t="e">
        <f t="shared" si="1"/>
        <v>#VALUE!</v>
      </c>
      <c r="L18" s="51"/>
      <c r="M18" s="52"/>
      <c r="N18" s="940"/>
    </row>
    <row r="19" spans="2:14" s="25" customFormat="1" ht="27" customHeight="1">
      <c r="B19" s="61" t="s">
        <v>4880</v>
      </c>
      <c r="C19" s="61" t="s">
        <v>1479</v>
      </c>
      <c r="D19" s="65" t="s">
        <v>6282</v>
      </c>
      <c r="E19" s="64" t="str">
        <f>IFERROR(UPPER(IF(C19="CPU",VLOOKUP(D19,#REF!,2,0),IF(C19="SINAPI",VLOOKUP(D19,#REF!,2,0),IF(C19="EDIF",VLOOKUP(D19,#REF!,2,0),IF(C19="CPOS",VLOOKUP(D19,#REF!,3,0),IF(C19="FDE",VLOOKUP(D19,#REF!,2,0),IF(C19="INFRA",VLOOKUP(D19,#REF!,2,0),""))))))),"")</f>
        <v/>
      </c>
      <c r="F19" s="65" t="str">
        <f>IFERROR(UPPER(IF(C19="CPU",VLOOKUP(D19,#REF!,3,0),IF(C19="SINAPI",VLOOKUP(D19,#REF!,3,0),IF(C19="EDIF",VLOOKUP(D19,#REF!,3,0),IF(C19="CPOS",VLOOKUP(D19,#REF!,4,0),IF(C19="FDE",VLOOKUP(D19,#REF!,3,0),IF(C19="INFRA",VLOOKUP(D19,#REF!,3,0),""))))))),"")</f>
        <v/>
      </c>
      <c r="G19" s="66">
        <v>4</v>
      </c>
      <c r="H19" s="67" t="str">
        <f>IFERROR(IF(C19="CPU",VLOOKUP(D19,#REF!,4,0),IF(C19="SINAPI",VLOOKUP(D19,#REF!,5,0),IF(C19="EDIF",VLOOKUP(D19,#REF!,4,0),IF(C19="CPOS",VLOOKUP(D19,#REF!,7,0),IF(C19="FDE",VLOOKUP(D19,#REF!,5,0),IF(C19="INFRA",VLOOKUP(D19,#REF!,4,0),""))))))*VLOOKUP(C19,#REF!,3,0),"")</f>
        <v/>
      </c>
      <c r="I19" s="1106">
        <v>0.25</v>
      </c>
      <c r="J19" s="67" t="e">
        <f t="shared" si="0"/>
        <v>#VALUE!</v>
      </c>
      <c r="K19" s="69" t="e">
        <f t="shared" si="1"/>
        <v>#VALUE!</v>
      </c>
      <c r="L19" s="51"/>
      <c r="M19" s="52"/>
      <c r="N19" s="940"/>
    </row>
    <row r="20" spans="2:14" s="25" customFormat="1" ht="27" customHeight="1">
      <c r="B20" s="61" t="s">
        <v>4882</v>
      </c>
      <c r="C20" s="61" t="s">
        <v>1479</v>
      </c>
      <c r="D20" s="65" t="s">
        <v>6283</v>
      </c>
      <c r="E20" s="64" t="str">
        <f>IFERROR(UPPER(IF(C20="CPU",VLOOKUP(D20,#REF!,2,0),IF(C20="SINAPI",VLOOKUP(D20,#REF!,2,0),IF(C20="EDIF",VLOOKUP(D20,#REF!,2,0),IF(C20="CPOS",VLOOKUP(D20,#REF!,3,0),IF(C20="FDE",VLOOKUP(D20,#REF!,2,0),IF(C20="INFRA",VLOOKUP(D20,#REF!,2,0),""))))))),"")</f>
        <v/>
      </c>
      <c r="F20" s="65" t="str">
        <f>IFERROR(UPPER(IF(C20="CPU",VLOOKUP(D20,#REF!,3,0),IF(C20="SINAPI",VLOOKUP(D20,#REF!,3,0),IF(C20="EDIF",VLOOKUP(D20,#REF!,3,0),IF(C20="CPOS",VLOOKUP(D20,#REF!,4,0),IF(C20="FDE",VLOOKUP(D20,#REF!,3,0),IF(C20="INFRA",VLOOKUP(D20,#REF!,3,0),""))))))),"")</f>
        <v/>
      </c>
      <c r="G20" s="66">
        <v>4</v>
      </c>
      <c r="H20" s="67" t="str">
        <f>IFERROR(IF(C20="CPU",VLOOKUP(D20,#REF!,4,0),IF(C20="SINAPI",VLOOKUP(D20,#REF!,5,0),IF(C20="EDIF",VLOOKUP(D20,#REF!,4,0),IF(C20="CPOS",VLOOKUP(D20,#REF!,7,0),IF(C20="FDE",VLOOKUP(D20,#REF!,5,0),IF(C20="INFRA",VLOOKUP(D20,#REF!,4,0),""))))))*VLOOKUP(C20,#REF!,3,0),"")</f>
        <v/>
      </c>
      <c r="I20" s="1106">
        <v>0.25</v>
      </c>
      <c r="J20" s="67" t="e">
        <f t="shared" si="0"/>
        <v>#VALUE!</v>
      </c>
      <c r="K20" s="69" t="e">
        <f t="shared" si="1"/>
        <v>#VALUE!</v>
      </c>
      <c r="L20" s="51"/>
      <c r="M20" s="52"/>
      <c r="N20" s="940"/>
    </row>
    <row r="21" spans="2:14" s="25" customFormat="1" ht="27" customHeight="1">
      <c r="B21" s="61" t="s">
        <v>4884</v>
      </c>
      <c r="C21" s="61" t="s">
        <v>1479</v>
      </c>
      <c r="D21" s="65" t="s">
        <v>6284</v>
      </c>
      <c r="E21" s="64" t="str">
        <f>IFERROR(UPPER(IF(C21="CPU",VLOOKUP(D21,#REF!,2,0),IF(C21="SINAPI",VLOOKUP(D21,#REF!,2,0),IF(C21="EDIF",VLOOKUP(D21,#REF!,2,0),IF(C21="CPOS",VLOOKUP(D21,#REF!,3,0),IF(C21="FDE",VLOOKUP(D21,#REF!,2,0),IF(C21="INFRA",VLOOKUP(D21,#REF!,2,0),""))))))),"")</f>
        <v/>
      </c>
      <c r="F21" s="65" t="str">
        <f>IFERROR(UPPER(IF(C21="CPU",VLOOKUP(D21,#REF!,3,0),IF(C21="SINAPI",VLOOKUP(D21,#REF!,3,0),IF(C21="EDIF",VLOOKUP(D21,#REF!,3,0),IF(C21="CPOS",VLOOKUP(D21,#REF!,4,0),IF(C21="FDE",VLOOKUP(D21,#REF!,3,0),IF(C21="INFRA",VLOOKUP(D21,#REF!,3,0),""))))))),"")</f>
        <v/>
      </c>
      <c r="G21" s="66">
        <v>8</v>
      </c>
      <c r="H21" s="67" t="str">
        <f>IFERROR(IF(C21="CPU",VLOOKUP(D21,#REF!,4,0),IF(C21="SINAPI",VLOOKUP(D21,#REF!,5,0),IF(C21="EDIF",VLOOKUP(D21,#REF!,4,0),IF(C21="CPOS",VLOOKUP(D21,#REF!,7,0),IF(C21="FDE",VLOOKUP(D21,#REF!,5,0),IF(C21="INFRA",VLOOKUP(D21,#REF!,4,0),""))))))*VLOOKUP(C21,#REF!,3,0),"")</f>
        <v/>
      </c>
      <c r="I21" s="1106">
        <v>0.25</v>
      </c>
      <c r="J21" s="67" t="e">
        <f t="shared" si="0"/>
        <v>#VALUE!</v>
      </c>
      <c r="K21" s="69" t="e">
        <f t="shared" si="1"/>
        <v>#VALUE!</v>
      </c>
      <c r="L21" s="51"/>
      <c r="M21" s="52"/>
      <c r="N21" s="940"/>
    </row>
    <row r="22" spans="2:14" s="25" customFormat="1" ht="27" customHeight="1">
      <c r="B22" s="61" t="s">
        <v>6285</v>
      </c>
      <c r="C22" s="61" t="s">
        <v>1479</v>
      </c>
      <c r="D22" s="65" t="s">
        <v>6286</v>
      </c>
      <c r="E22" s="64" t="str">
        <f>IFERROR(UPPER(IF(C22="CPU",VLOOKUP(D22,#REF!,2,0),IF(C22="SINAPI",VLOOKUP(D22,#REF!,2,0),IF(C22="EDIF",VLOOKUP(D22,#REF!,2,0),IF(C22="CPOS",VLOOKUP(D22,#REF!,3,0),IF(C22="FDE",VLOOKUP(D22,#REF!,2,0),IF(C22="INFRA",VLOOKUP(D22,#REF!,2,0),""))))))),"")</f>
        <v/>
      </c>
      <c r="F22" s="65" t="str">
        <f>IFERROR(UPPER(IF(C22="CPU",VLOOKUP(D22,#REF!,3,0),IF(C22="SINAPI",VLOOKUP(D22,#REF!,3,0),IF(C22="EDIF",VLOOKUP(D22,#REF!,3,0),IF(C22="CPOS",VLOOKUP(D22,#REF!,4,0),IF(C22="FDE",VLOOKUP(D22,#REF!,3,0),IF(C22="INFRA",VLOOKUP(D22,#REF!,3,0),""))))))),"")</f>
        <v/>
      </c>
      <c r="G22" s="66">
        <v>8</v>
      </c>
      <c r="H22" s="67" t="str">
        <f>IFERROR(IF(C22="CPU",VLOOKUP(D22,#REF!,4,0),IF(C22="SINAPI",VLOOKUP(D22,#REF!,5,0),IF(C22="EDIF",VLOOKUP(D22,#REF!,4,0),IF(C22="CPOS",VLOOKUP(D22,#REF!,7,0),IF(C22="FDE",VLOOKUP(D22,#REF!,5,0),IF(C22="INFRA",VLOOKUP(D22,#REF!,4,0),""))))))*VLOOKUP(C22,#REF!,3,0),"")</f>
        <v/>
      </c>
      <c r="I22" s="1106">
        <v>0.25</v>
      </c>
      <c r="J22" s="67" t="e">
        <f t="shared" si="0"/>
        <v>#VALUE!</v>
      </c>
      <c r="K22" s="69" t="e">
        <f t="shared" si="1"/>
        <v>#VALUE!</v>
      </c>
      <c r="L22" s="51"/>
      <c r="M22" s="52"/>
      <c r="N22" s="940"/>
    </row>
    <row r="23" spans="2:14" s="25" customFormat="1" ht="27" customHeight="1">
      <c r="B23" s="61" t="s">
        <v>6287</v>
      </c>
      <c r="C23" s="61" t="s">
        <v>4908</v>
      </c>
      <c r="D23" s="65" t="s">
        <v>6288</v>
      </c>
      <c r="E23" s="64" t="str">
        <f>IFERROR(UPPER(IF(C23="CPU",VLOOKUP(D23,#REF!,2,0),IF(C23="SINAPI",VLOOKUP(D23,#REF!,2,0),IF(C23="EDIF",VLOOKUP(D23,#REF!,2,0),IF(C23="CPOS",VLOOKUP(D23,#REF!,3,0),IF(C23="FDE",VLOOKUP(D23,#REF!,2,0),IF(C23="INFRA",VLOOKUP(D23,#REF!,2,0),""))))))),"")</f>
        <v/>
      </c>
      <c r="F23" s="65" t="str">
        <f>IFERROR(UPPER(IF(C23="CPU",VLOOKUP(D23,#REF!,3,0),IF(C23="SINAPI",VLOOKUP(D23,#REF!,3,0),IF(C23="EDIF",VLOOKUP(D23,#REF!,3,0),IF(C23="CPOS",VLOOKUP(D23,#REF!,4,0),IF(C23="FDE",VLOOKUP(D23,#REF!,3,0),IF(C23="INFRA",VLOOKUP(D23,#REF!,3,0),""))))))),"")</f>
        <v/>
      </c>
      <c r="G23" s="66">
        <v>1</v>
      </c>
      <c r="H23" s="67" t="str">
        <f>IFERROR(IF(C23="CPU",VLOOKUP(D23,#REF!,4,0),IF(C23="SINAPI",VLOOKUP(D23,#REF!,5,0),IF(C23="EDIF",VLOOKUP(D23,#REF!,4,0),IF(C23="CPOS",VLOOKUP(D23,#REF!,7,0),IF(C23="FDE",VLOOKUP(D23,#REF!,5,0),IF(C23="INFRA",VLOOKUP(D23,#REF!,4,0),""))))))*VLOOKUP(C23,#REF!,3,0),"")</f>
        <v/>
      </c>
      <c r="I23" s="1106">
        <v>0.25</v>
      </c>
      <c r="J23" s="67" t="e">
        <f t="shared" si="0"/>
        <v>#VALUE!</v>
      </c>
      <c r="K23" s="69" t="e">
        <f t="shared" si="1"/>
        <v>#VALUE!</v>
      </c>
      <c r="L23" s="51"/>
      <c r="M23" s="52"/>
      <c r="N23" s="940"/>
    </row>
    <row r="24" spans="2:14" s="25" customFormat="1" ht="27" customHeight="1">
      <c r="B24" s="61" t="s">
        <v>6289</v>
      </c>
      <c r="C24" s="61" t="s">
        <v>4908</v>
      </c>
      <c r="D24" s="65" t="s">
        <v>6290</v>
      </c>
      <c r="E24" s="64" t="str">
        <f>IFERROR(UPPER(IF(C24="CPU",VLOOKUP(D24,#REF!,2,0),IF(C24="SINAPI",VLOOKUP(D24,#REF!,2,0),IF(C24="EDIF",VLOOKUP(D24,#REF!,2,0),IF(C24="CPOS",VLOOKUP(D24,#REF!,3,0),IF(C24="FDE",VLOOKUP(D24,#REF!,2,0),IF(C24="INFRA",VLOOKUP(D24,#REF!,2,0),""))))))),"")</f>
        <v/>
      </c>
      <c r="F24" s="65" t="str">
        <f>IFERROR(UPPER(IF(C24="CPU",VLOOKUP(D24,#REF!,3,0),IF(C24="SINAPI",VLOOKUP(D24,#REF!,3,0),IF(C24="EDIF",VLOOKUP(D24,#REF!,3,0),IF(C24="CPOS",VLOOKUP(D24,#REF!,4,0),IF(C24="FDE",VLOOKUP(D24,#REF!,3,0),IF(C24="INFRA",VLOOKUP(D24,#REF!,3,0),""))))))),"")</f>
        <v/>
      </c>
      <c r="G24" s="66">
        <v>1</v>
      </c>
      <c r="H24" s="67" t="str">
        <f>IFERROR(IF(C24="CPU",VLOOKUP(D24,#REF!,4,0),IF(C24="SINAPI",VLOOKUP(D24,#REF!,5,0),IF(C24="EDIF",VLOOKUP(D24,#REF!,4,0),IF(C24="CPOS",VLOOKUP(D24,#REF!,7,0),IF(C24="FDE",VLOOKUP(D24,#REF!,5,0),IF(C24="INFRA",VLOOKUP(D24,#REF!,4,0),""))))))*VLOOKUP(C24,#REF!,3,0),"")</f>
        <v/>
      </c>
      <c r="I24" s="1106">
        <v>0.25</v>
      </c>
      <c r="J24" s="67" t="e">
        <f t="shared" si="0"/>
        <v>#VALUE!</v>
      </c>
      <c r="K24" s="69" t="e">
        <f t="shared" si="1"/>
        <v>#VALUE!</v>
      </c>
      <c r="L24" s="51"/>
      <c r="M24" s="52"/>
      <c r="N24" s="940"/>
    </row>
    <row r="25" spans="2:14" s="25" customFormat="1" ht="27" customHeight="1">
      <c r="B25" s="1097" t="s">
        <v>28</v>
      </c>
      <c r="C25" s="1098"/>
      <c r="D25" s="1098"/>
      <c r="E25" s="1099" t="s">
        <v>5565</v>
      </c>
      <c r="F25" s="1100"/>
      <c r="G25" s="1101"/>
      <c r="H25" s="1102"/>
      <c r="I25" s="1103"/>
      <c r="J25" s="1103"/>
      <c r="K25" s="1104"/>
      <c r="L25" s="51"/>
      <c r="M25" s="52"/>
      <c r="N25" s="940"/>
    </row>
    <row r="26" spans="2:14" s="25" customFormat="1" ht="27" customHeight="1">
      <c r="B26" s="61" t="s">
        <v>31</v>
      </c>
      <c r="C26" s="61" t="s">
        <v>4908</v>
      </c>
      <c r="D26" s="65" t="s">
        <v>6291</v>
      </c>
      <c r="E26" s="64" t="str">
        <f>IFERROR(UPPER(IF(C26="CPU",VLOOKUP(D26,#REF!,2,0),IF(C26="SINAPI",VLOOKUP(D26,#REF!,2,0),IF(C26="EDIF",VLOOKUP(D26,#REF!,2,0),IF(C26="CPOS",VLOOKUP(D26,#REF!,3,0),IF(C26="FDE",VLOOKUP(D26,#REF!,2,0),IF(C26="INFRA",VLOOKUP(D26,#REF!,2,0),""))))))),"")</f>
        <v/>
      </c>
      <c r="F26" s="65" t="str">
        <f>IFERROR(UPPER(IF(C26="CPU",VLOOKUP(D26,#REF!,3,0),IF(C26="SINAPI",VLOOKUP(D26,#REF!,3,0),IF(C26="EDIF",VLOOKUP(D26,#REF!,3,0),IF(C26="CPOS",VLOOKUP(D26,#REF!,4,0),IF(C26="FDE",VLOOKUP(D26,#REF!,3,0),IF(C26="INFRA",VLOOKUP(D26,#REF!,3,0),""))))))),"")</f>
        <v/>
      </c>
      <c r="G26" s="66">
        <f>8*5*4</f>
        <v>160</v>
      </c>
      <c r="H26" s="67" t="str">
        <f>IFERROR(IF(C26="CPU",VLOOKUP(D26,#REF!,4,0),IF(C26="SINAPI",VLOOKUP(D26,#REF!,5,0),IF(C26="EDIF",VLOOKUP(D26,#REF!,4,0),IF(C26="CPOS",VLOOKUP(D26,#REF!,7,0),IF(C26="FDE",VLOOKUP(D26,#REF!,5,0),IF(C26="INFRA",VLOOKUP(D26,#REF!,4,0),""))))))*VLOOKUP(C26,#REF!,3,0),"")</f>
        <v/>
      </c>
      <c r="I26" s="1106">
        <v>0.25</v>
      </c>
      <c r="J26" s="67" t="e">
        <f t="shared" ref="J26:J31" si="2">ROUND(H26*(1+I26),2)</f>
        <v>#VALUE!</v>
      </c>
      <c r="K26" s="69" t="e">
        <f t="shared" ref="K26:K31" si="3">SUM(G26*J26)</f>
        <v>#VALUE!</v>
      </c>
      <c r="L26" s="51"/>
      <c r="M26" s="52"/>
      <c r="N26" s="940"/>
    </row>
    <row r="27" spans="2:14" s="25" customFormat="1" ht="27" customHeight="1">
      <c r="B27" s="61" t="s">
        <v>33</v>
      </c>
      <c r="C27" s="61" t="s">
        <v>4875</v>
      </c>
      <c r="D27" s="1107">
        <v>111400</v>
      </c>
      <c r="E27" s="64" t="str">
        <f>IFERROR(UPPER(IF(C27="CPU",VLOOKUP(D27,#REF!,2,0),IF(C27="SINAPI",VLOOKUP(D27,#REF!,2,0),IF(C27="EDIF",VLOOKUP(D27,#REF!,2,0),IF(C27="CPOS",VLOOKUP(D27,#REF!,3,0),IF(C27="FDE",VLOOKUP(D27,#REF!,2,0),IF(C27="INFRA",VLOOKUP(D27,#REF!,2,0),""))))))),"")</f>
        <v/>
      </c>
      <c r="F27" s="65" t="str">
        <f>IFERROR(UPPER(IF(C27="CPU",VLOOKUP(D27,#REF!,3,0),IF(C27="SINAPI",VLOOKUP(D27,#REF!,3,0),IF(C27="EDIF",VLOOKUP(D27,#REF!,3,0),IF(C27="CPOS",VLOOKUP(D27,#REF!,4,0),IF(C27="FDE",VLOOKUP(D27,#REF!,3,0),IF(C27="INFRA",VLOOKUP(D27,#REF!,3,0),""))))))),"")</f>
        <v/>
      </c>
      <c r="G27" s="66">
        <f>8*5*4*2</f>
        <v>320</v>
      </c>
      <c r="H27" s="67" t="str">
        <f>IFERROR(IF(C27="CPU",VLOOKUP(D27,#REF!,4,0),IF(C27="SINAPI",VLOOKUP(D27,#REF!,5,0),IF(C27="EDIF",VLOOKUP(D27,#REF!,4,0),IF(C27="CPOS",VLOOKUP(D27,#REF!,7,0),IF(C27="FDE",VLOOKUP(D27,#REF!,5,0),IF(C27="INFRA",VLOOKUP(D27,#REF!,4,0),""))))))*VLOOKUP(C27,#REF!,3,0),"")</f>
        <v/>
      </c>
      <c r="I27" s="1106">
        <v>0.25</v>
      </c>
      <c r="J27" s="67" t="e">
        <f t="shared" si="2"/>
        <v>#VALUE!</v>
      </c>
      <c r="K27" s="69" t="e">
        <f t="shared" si="3"/>
        <v>#VALUE!</v>
      </c>
      <c r="L27" s="51"/>
      <c r="M27" s="52"/>
      <c r="N27" s="940"/>
    </row>
    <row r="28" spans="2:14" s="25" customFormat="1" ht="27" customHeight="1">
      <c r="B28" s="61" t="s">
        <v>35</v>
      </c>
      <c r="C28" s="61" t="s">
        <v>4908</v>
      </c>
      <c r="D28" s="65" t="s">
        <v>6292</v>
      </c>
      <c r="E28" s="64" t="str">
        <f>IFERROR(UPPER(IF(C28="CPU",VLOOKUP(D28,#REF!,2,0),IF(C28="SINAPI",VLOOKUP(D28,#REF!,2,0),IF(C28="EDIF",VLOOKUP(D28,#REF!,2,0),IF(C28="CPOS",VLOOKUP(D28,#REF!,3,0),IF(C28="FDE",VLOOKUP(D28,#REF!,2,0),IF(C28="INFRA",VLOOKUP(D28,#REF!,2,0),""))))))),"")</f>
        <v/>
      </c>
      <c r="F28" s="65" t="str">
        <f>IFERROR(UPPER(IF(C28="CPU",VLOOKUP(D28,#REF!,3,0),IF(C28="SINAPI",VLOOKUP(D28,#REF!,3,0),IF(C28="EDIF",VLOOKUP(D28,#REF!,3,0),IF(C28="CPOS",VLOOKUP(D28,#REF!,4,0),IF(C28="FDE",VLOOKUP(D28,#REF!,3,0),IF(C28="INFRA",VLOOKUP(D28,#REF!,3,0),""))))))),"")</f>
        <v/>
      </c>
      <c r="G28" s="66">
        <f>160*4*3</f>
        <v>1920</v>
      </c>
      <c r="H28" s="67" t="str">
        <f>IFERROR(IF(C28="CPU",VLOOKUP(D28,#REF!,4,0),IF(C28="SINAPI",VLOOKUP(D28,#REF!,5,0),IF(C28="EDIF",VLOOKUP(D28,#REF!,4,0),IF(C28="CPOS",VLOOKUP(D28,#REF!,7,0),IF(C28="FDE",VLOOKUP(D28,#REF!,5,0),IF(C28="INFRA",VLOOKUP(D28,#REF!,4,0),""))))))*VLOOKUP(C28,#REF!,3,0),"")</f>
        <v/>
      </c>
      <c r="I28" s="1106">
        <v>0.25</v>
      </c>
      <c r="J28" s="67" t="e">
        <f t="shared" si="2"/>
        <v>#VALUE!</v>
      </c>
      <c r="K28" s="69" t="e">
        <f t="shared" si="3"/>
        <v>#VALUE!</v>
      </c>
      <c r="L28" s="51"/>
      <c r="M28" s="52"/>
      <c r="N28" s="940"/>
    </row>
    <row r="29" spans="2:14" s="25" customFormat="1" ht="27" customHeight="1">
      <c r="B29" s="61" t="s">
        <v>4897</v>
      </c>
      <c r="C29" s="61" t="s">
        <v>1479</v>
      </c>
      <c r="D29" s="1105" t="s">
        <v>5571</v>
      </c>
      <c r="E29" s="64" t="str">
        <f>IFERROR(UPPER(IF(C29="CPU",VLOOKUP(D29,#REF!,2,0),IF(C29="SINAPI",VLOOKUP(D29,#REF!,2,0),IF(C29="EDIF",VLOOKUP(D29,#REF!,2,0),IF(C29="CPOS",VLOOKUP(D29,#REF!,3,0),IF(C29="FDE",VLOOKUP(D29,#REF!,2,0),IF(C29="INFRA",VLOOKUP(D29,#REF!,2,0),""))))))),"")</f>
        <v/>
      </c>
      <c r="F29" s="65" t="str">
        <f>IFERROR(UPPER(IF(C29="CPU",VLOOKUP(D29,#REF!,3,0),IF(C29="SINAPI",VLOOKUP(D29,#REF!,3,0),IF(C29="EDIF",VLOOKUP(D29,#REF!,3,0),IF(C29="CPOS",VLOOKUP(D29,#REF!,4,0),IF(C29="FDE",VLOOKUP(D29,#REF!,3,0),IF(C29="INFRA",VLOOKUP(D29,#REF!,3,0),""))))))),"")</f>
        <v/>
      </c>
      <c r="G29" s="66">
        <f>160*4*3</f>
        <v>1920</v>
      </c>
      <c r="H29" s="67" t="str">
        <f>IFERROR(IF(C29="CPU",VLOOKUP(D29,#REF!,4,0),IF(C29="SINAPI",VLOOKUP(D29,#REF!,5,0),IF(C29="EDIF",VLOOKUP(D29,#REF!,4,0),IF(C29="CPOS",VLOOKUP(D29,#REF!,7,0),IF(C29="FDE",VLOOKUP(D29,#REF!,5,0),IF(C29="INFRA",VLOOKUP(D29,#REF!,4,0),""))))))*VLOOKUP(C29,#REF!,3,0),"")</f>
        <v/>
      </c>
      <c r="I29" s="1106">
        <v>0.25</v>
      </c>
      <c r="J29" s="67" t="e">
        <f t="shared" si="2"/>
        <v>#VALUE!</v>
      </c>
      <c r="K29" s="69" t="e">
        <f t="shared" si="3"/>
        <v>#VALUE!</v>
      </c>
      <c r="L29" s="51"/>
      <c r="M29" s="52"/>
      <c r="N29" s="940"/>
    </row>
    <row r="30" spans="2:14" s="25" customFormat="1" ht="27" customHeight="1">
      <c r="B30" s="61" t="s">
        <v>5570</v>
      </c>
      <c r="C30" s="61" t="s">
        <v>4908</v>
      </c>
      <c r="D30" s="65" t="s">
        <v>6293</v>
      </c>
      <c r="E30" s="64" t="str">
        <f>IFERROR(UPPER(IF(C30="CPU",VLOOKUP(D30,#REF!,2,0),IF(C30="SINAPI",VLOOKUP(D30,#REF!,2,0),IF(C30="EDIF",VLOOKUP(D30,#REF!,2,0),IF(C30="CPOS",VLOOKUP(D30,#REF!,3,0),IF(C30="FDE",VLOOKUP(D30,#REF!,2,0),IF(C30="INFRA",VLOOKUP(D30,#REF!,2,0),""))))))),"")</f>
        <v/>
      </c>
      <c r="F30" s="65" t="str">
        <f>IFERROR(UPPER(IF(C30="CPU",VLOOKUP(D30,#REF!,3,0),IF(C30="SINAPI",VLOOKUP(D30,#REF!,3,0),IF(C30="EDIF",VLOOKUP(D30,#REF!,3,0),IF(C30="CPOS",VLOOKUP(D30,#REF!,4,0),IF(C30="FDE",VLOOKUP(D30,#REF!,3,0),IF(C30="INFRA",VLOOKUP(D30,#REF!,3,0),""))))))),"")</f>
        <v/>
      </c>
      <c r="G30" s="66">
        <f>G29</f>
        <v>1920</v>
      </c>
      <c r="H30" s="67" t="str">
        <f>IFERROR(IF(C30="CPU",VLOOKUP(D30,#REF!,4,0),IF(C30="SINAPI",VLOOKUP(D30,#REF!,5,0),IF(C30="EDIF",VLOOKUP(D30,#REF!,4,0),IF(C30="CPOS",VLOOKUP(D30,#REF!,7,0),IF(C30="FDE",VLOOKUP(D30,#REF!,5,0),IF(C30="INFRA",VLOOKUP(D30,#REF!,4,0),""))))))*VLOOKUP(C30,#REF!,3,0),"")</f>
        <v/>
      </c>
      <c r="I30" s="1106">
        <v>0.25</v>
      </c>
      <c r="J30" s="67" t="e">
        <f t="shared" si="2"/>
        <v>#VALUE!</v>
      </c>
      <c r="K30" s="69" t="e">
        <f t="shared" si="3"/>
        <v>#VALUE!</v>
      </c>
      <c r="L30" s="51"/>
      <c r="M30" s="52"/>
      <c r="N30" s="940"/>
    </row>
    <row r="31" spans="2:14" s="25" customFormat="1" ht="27" customHeight="1">
      <c r="B31" s="61" t="s">
        <v>5572</v>
      </c>
      <c r="C31" s="61" t="s">
        <v>4908</v>
      </c>
      <c r="D31" s="65" t="s">
        <v>6294</v>
      </c>
      <c r="E31" s="64" t="str">
        <f>IFERROR(UPPER(IF(C31="CPU",VLOOKUP(D31,#REF!,2,0),IF(C31="SINAPI",VLOOKUP(D31,#REF!,2,0),IF(C31="EDIF",VLOOKUP(D31,#REF!,2,0),IF(C31="CPOS",VLOOKUP(D31,#REF!,3,0),IF(C31="FDE",VLOOKUP(D31,#REF!,2,0),IF(C31="INFRA",VLOOKUP(D31,#REF!,2,0),""))))))),"")</f>
        <v/>
      </c>
      <c r="F31" s="65" t="str">
        <f>IFERROR(UPPER(IF(C31="CPU",VLOOKUP(D31,#REF!,3,0),IF(C31="SINAPI",VLOOKUP(D31,#REF!,3,0),IF(C31="EDIF",VLOOKUP(D31,#REF!,3,0),IF(C31="CPOS",VLOOKUP(D31,#REF!,4,0),IF(C31="FDE",VLOOKUP(D31,#REF!,3,0),IF(C31="INFRA",VLOOKUP(D31,#REF!,3,0),""))))))),"")</f>
        <v/>
      </c>
      <c r="G31" s="66">
        <f>8*5*4</f>
        <v>160</v>
      </c>
      <c r="H31" s="67" t="str">
        <f>IFERROR(IF(C31="CPU",VLOOKUP(D31,#REF!,4,0),IF(C31="SINAPI",VLOOKUP(D31,#REF!,5,0),IF(C31="EDIF",VLOOKUP(D31,#REF!,4,0),IF(C31="CPOS",VLOOKUP(D31,#REF!,7,0),IF(C31="FDE",VLOOKUP(D31,#REF!,5,0),IF(C31="INFRA",VLOOKUP(D31,#REF!,4,0),""))))))*VLOOKUP(C31,#REF!,3,0),"")</f>
        <v/>
      </c>
      <c r="I31" s="1106">
        <v>0.25</v>
      </c>
      <c r="J31" s="67" t="e">
        <f t="shared" si="2"/>
        <v>#VALUE!</v>
      </c>
      <c r="K31" s="69" t="e">
        <f t="shared" si="3"/>
        <v>#VALUE!</v>
      </c>
      <c r="L31" s="51"/>
      <c r="M31" s="52"/>
      <c r="N31" s="940"/>
    </row>
    <row r="32" spans="2:14" s="25" customFormat="1" ht="27" customHeight="1">
      <c r="B32" s="1097" t="s">
        <v>1432</v>
      </c>
      <c r="C32" s="1098"/>
      <c r="D32" s="1098"/>
      <c r="E32" s="1099" t="s">
        <v>6295</v>
      </c>
      <c r="F32" s="1100"/>
      <c r="G32" s="1101"/>
      <c r="H32" s="1102"/>
      <c r="I32" s="1103"/>
      <c r="J32" s="1103"/>
      <c r="K32" s="1104"/>
      <c r="L32" s="51"/>
      <c r="M32" s="52"/>
      <c r="N32" s="940"/>
    </row>
    <row r="33" spans="2:14" s="25" customFormat="1" ht="27" customHeight="1">
      <c r="B33" s="61" t="s">
        <v>5580</v>
      </c>
      <c r="C33" s="61" t="s">
        <v>4908</v>
      </c>
      <c r="D33" s="65" t="s">
        <v>6296</v>
      </c>
      <c r="E33" s="64" t="str">
        <f>IFERROR(UPPER(IF(C33="CPU",VLOOKUP(D33,#REF!,2,0),IF(C33="SINAPI",VLOOKUP(D33,#REF!,2,0),IF(C33="EDIF",VLOOKUP(D33,#REF!,2,0),IF(C33="CPOS",VLOOKUP(D33,#REF!,3,0),IF(C33="FDE",VLOOKUP(D33,#REF!,2,0),IF(C33="INFRA",VLOOKUP(D33,#REF!,2,0),""))))))),"")</f>
        <v/>
      </c>
      <c r="F33" s="65" t="str">
        <f>IFERROR(UPPER(IF(C33="CPU",VLOOKUP(D33,#REF!,3,0),IF(C33="SINAPI",VLOOKUP(D33,#REF!,3,0),IF(C33="EDIF",VLOOKUP(D33,#REF!,3,0),IF(C33="CPOS",VLOOKUP(D33,#REF!,4,0),IF(C33="FDE",VLOOKUP(D33,#REF!,3,0),IF(C33="INFRA",VLOOKUP(D33,#REF!,3,0),""))))))),"")</f>
        <v/>
      </c>
      <c r="G33" s="66">
        <v>4</v>
      </c>
      <c r="H33" s="67" t="str">
        <f>IFERROR(IF(C33="CPU",VLOOKUP(D33,#REF!,4,0),IF(C33="SINAPI",VLOOKUP(D33,#REF!,5,0),IF(C33="EDIF",VLOOKUP(D33,#REF!,4,0),IF(C33="CPOS",VLOOKUP(D33,#REF!,7,0),IF(C33="FDE",VLOOKUP(D33,#REF!,5,0),IF(C33="INFRA",VLOOKUP(D33,#REF!,4,0),""))))))*VLOOKUP(C33,#REF!,3,0),"")</f>
        <v/>
      </c>
      <c r="I33" s="1106">
        <v>0.25</v>
      </c>
      <c r="J33" s="67" t="e">
        <f t="shared" ref="J33:J41" si="4">ROUND(H33*(1+I33),2)</f>
        <v>#VALUE!</v>
      </c>
      <c r="K33" s="69" t="e">
        <f t="shared" ref="K33:K41" si="5">SUM(G33*J33)</f>
        <v>#VALUE!</v>
      </c>
      <c r="L33" s="51"/>
      <c r="M33" s="52"/>
      <c r="N33" s="940"/>
    </row>
    <row r="34" spans="2:14" s="25" customFormat="1" ht="27" customHeight="1">
      <c r="B34" s="61" t="s">
        <v>5602</v>
      </c>
      <c r="C34" s="61" t="s">
        <v>4908</v>
      </c>
      <c r="D34" s="65" t="s">
        <v>6297</v>
      </c>
      <c r="E34" s="64" t="str">
        <f>IFERROR(UPPER(IF(C34="CPU",VLOOKUP(D34,#REF!,2,0),IF(C34="SINAPI",VLOOKUP(D34,#REF!,2,0),IF(C34="EDIF",VLOOKUP(D34,#REF!,2,0),IF(C34="CPOS",VLOOKUP(D34,#REF!,3,0),IF(C34="FDE",VLOOKUP(D34,#REF!,2,0),IF(C34="INFRA",VLOOKUP(D34,#REF!,2,0),""))))))),"")</f>
        <v/>
      </c>
      <c r="F34" s="65" t="str">
        <f>IFERROR(UPPER(IF(C34="CPU",VLOOKUP(D34,#REF!,3,0),IF(C34="SINAPI",VLOOKUP(D34,#REF!,3,0),IF(C34="EDIF",VLOOKUP(D34,#REF!,3,0),IF(C34="CPOS",VLOOKUP(D34,#REF!,4,0),IF(C34="FDE",VLOOKUP(D34,#REF!,3,0),IF(C34="INFRA",VLOOKUP(D34,#REF!,3,0),""))))))),"")</f>
        <v/>
      </c>
      <c r="G34" s="66">
        <v>4</v>
      </c>
      <c r="H34" s="67" t="str">
        <f>IFERROR(IF(C34="CPU",VLOOKUP(D34,#REF!,4,0),IF(C34="SINAPI",VLOOKUP(D34,#REF!,5,0),IF(C34="EDIF",VLOOKUP(D34,#REF!,4,0),IF(C34="CPOS",VLOOKUP(D34,#REF!,7,0),IF(C34="FDE",VLOOKUP(D34,#REF!,5,0),IF(C34="INFRA",VLOOKUP(D34,#REF!,4,0),""))))))*VLOOKUP(C34,#REF!,3,0),"")</f>
        <v/>
      </c>
      <c r="I34" s="1106">
        <v>0.25</v>
      </c>
      <c r="J34" s="67" t="e">
        <f t="shared" si="4"/>
        <v>#VALUE!</v>
      </c>
      <c r="K34" s="69" t="e">
        <f t="shared" si="5"/>
        <v>#VALUE!</v>
      </c>
      <c r="L34" s="51"/>
      <c r="M34" s="52"/>
      <c r="N34" s="940"/>
    </row>
    <row r="35" spans="2:14" s="25" customFormat="1" ht="27" customHeight="1">
      <c r="B35" s="61" t="s">
        <v>5610</v>
      </c>
      <c r="C35" s="61" t="s">
        <v>4908</v>
      </c>
      <c r="D35" s="65" t="s">
        <v>6298</v>
      </c>
      <c r="E35" s="64" t="str">
        <f>IFERROR(UPPER(IF(C35="CPU",VLOOKUP(D35,#REF!,2,0),IF(C35="SINAPI",VLOOKUP(D35,#REF!,2,0),IF(C35="EDIF",VLOOKUP(D35,#REF!,2,0),IF(C35="CPOS",VLOOKUP(D35,#REF!,3,0),IF(C35="FDE",VLOOKUP(D35,#REF!,2,0),IF(C35="INFRA",VLOOKUP(D35,#REF!,2,0),""))))))),"")</f>
        <v/>
      </c>
      <c r="F35" s="65" t="str">
        <f>IFERROR(UPPER(IF(C35="CPU",VLOOKUP(D35,#REF!,3,0),IF(C35="SINAPI",VLOOKUP(D35,#REF!,3,0),IF(C35="EDIF",VLOOKUP(D35,#REF!,3,0),IF(C35="CPOS",VLOOKUP(D35,#REF!,4,0),IF(C35="FDE",VLOOKUP(D35,#REF!,3,0),IF(C35="INFRA",VLOOKUP(D35,#REF!,3,0),""))))))),"")</f>
        <v/>
      </c>
      <c r="G35" s="66">
        <v>4</v>
      </c>
      <c r="H35" s="67" t="str">
        <f>IFERROR(IF(C35="CPU",VLOOKUP(D35,#REF!,4,0),IF(C35="SINAPI",VLOOKUP(D35,#REF!,5,0),IF(C35="EDIF",VLOOKUP(D35,#REF!,4,0),IF(C35="CPOS",VLOOKUP(D35,#REF!,7,0),IF(C35="FDE",VLOOKUP(D35,#REF!,5,0),IF(C35="INFRA",VLOOKUP(D35,#REF!,4,0),""))))))*VLOOKUP(C35,#REF!,3,0),"")</f>
        <v/>
      </c>
      <c r="I35" s="1106">
        <v>0.25</v>
      </c>
      <c r="J35" s="67" t="e">
        <f t="shared" si="4"/>
        <v>#VALUE!</v>
      </c>
      <c r="K35" s="69" t="e">
        <f t="shared" si="5"/>
        <v>#VALUE!</v>
      </c>
      <c r="L35" s="51"/>
      <c r="M35" s="52"/>
      <c r="N35" s="940"/>
    </row>
    <row r="36" spans="2:14" s="25" customFormat="1" ht="27" customHeight="1">
      <c r="B36" s="61" t="s">
        <v>6299</v>
      </c>
      <c r="C36" s="61" t="s">
        <v>4908</v>
      </c>
      <c r="D36" s="65" t="s">
        <v>6300</v>
      </c>
      <c r="E36" s="64" t="str">
        <f>IFERROR(UPPER(IF(C36="CPU",VLOOKUP(D36,#REF!,2,0),IF(C36="SINAPI",VLOOKUP(D36,#REF!,2,0),IF(C36="EDIF",VLOOKUP(D36,#REF!,2,0),IF(C36="CPOS",VLOOKUP(D36,#REF!,3,0),IF(C36="FDE",VLOOKUP(D36,#REF!,2,0),IF(C36="INFRA",VLOOKUP(D36,#REF!,2,0),""))))))),"")</f>
        <v/>
      </c>
      <c r="F36" s="65" t="str">
        <f>IFERROR(UPPER(IF(C36="CPU",VLOOKUP(D36,#REF!,3,0),IF(C36="SINAPI",VLOOKUP(D36,#REF!,3,0),IF(C36="EDIF",VLOOKUP(D36,#REF!,3,0),IF(C36="CPOS",VLOOKUP(D36,#REF!,4,0),IF(C36="FDE",VLOOKUP(D36,#REF!,3,0),IF(C36="INFRA",VLOOKUP(D36,#REF!,3,0),""))))))),"")</f>
        <v/>
      </c>
      <c r="G36" s="66">
        <v>4</v>
      </c>
      <c r="H36" s="67" t="str">
        <f>IFERROR(IF(C36="CPU",VLOOKUP(D36,#REF!,4,0),IF(C36="SINAPI",VLOOKUP(D36,#REF!,5,0),IF(C36="EDIF",VLOOKUP(D36,#REF!,4,0),IF(C36="CPOS",VLOOKUP(D36,#REF!,7,0),IF(C36="FDE",VLOOKUP(D36,#REF!,5,0),IF(C36="INFRA",VLOOKUP(D36,#REF!,4,0),""))))))*VLOOKUP(C36,#REF!,3,0),"")</f>
        <v/>
      </c>
      <c r="I36" s="1106">
        <v>0.25</v>
      </c>
      <c r="J36" s="67" t="e">
        <f t="shared" si="4"/>
        <v>#VALUE!</v>
      </c>
      <c r="K36" s="69" t="e">
        <f t="shared" si="5"/>
        <v>#VALUE!</v>
      </c>
      <c r="L36" s="51"/>
      <c r="M36" s="52"/>
      <c r="N36" s="940"/>
    </row>
    <row r="37" spans="2:14" s="25" customFormat="1" ht="27" customHeight="1">
      <c r="B37" s="61" t="s">
        <v>6301</v>
      </c>
      <c r="C37" s="61" t="s">
        <v>4908</v>
      </c>
      <c r="D37" s="65" t="s">
        <v>6302</v>
      </c>
      <c r="E37" s="64" t="str">
        <f>IFERROR(UPPER(IF(C37="CPU",VLOOKUP(D37,#REF!,2,0),IF(C37="SINAPI",VLOOKUP(D37,#REF!,2,0),IF(C37="EDIF",VLOOKUP(D37,#REF!,2,0),IF(C37="CPOS",VLOOKUP(D37,#REF!,3,0),IF(C37="FDE",VLOOKUP(D37,#REF!,2,0),IF(C37="INFRA",VLOOKUP(D37,#REF!,2,0),""))))))),"")</f>
        <v/>
      </c>
      <c r="F37" s="65" t="str">
        <f>IFERROR(UPPER(IF(C37="CPU",VLOOKUP(D37,#REF!,3,0),IF(C37="SINAPI",VLOOKUP(D37,#REF!,3,0),IF(C37="EDIF",VLOOKUP(D37,#REF!,3,0),IF(C37="CPOS",VLOOKUP(D37,#REF!,4,0),IF(C37="FDE",VLOOKUP(D37,#REF!,3,0),IF(C37="INFRA",VLOOKUP(D37,#REF!,3,0),""))))))),"")</f>
        <v/>
      </c>
      <c r="G37" s="66">
        <v>4</v>
      </c>
      <c r="H37" s="67" t="str">
        <f>IFERROR(IF(C37="CPU",VLOOKUP(D37,#REF!,4,0),IF(C37="SINAPI",VLOOKUP(D37,#REF!,5,0),IF(C37="EDIF",VLOOKUP(D37,#REF!,4,0),IF(C37="CPOS",VLOOKUP(D37,#REF!,7,0),IF(C37="FDE",VLOOKUP(D37,#REF!,5,0),IF(C37="INFRA",VLOOKUP(D37,#REF!,4,0),""))))))*VLOOKUP(C37,#REF!,3,0),"")</f>
        <v/>
      </c>
      <c r="I37" s="1106">
        <v>0.25</v>
      </c>
      <c r="J37" s="67" t="e">
        <f t="shared" si="4"/>
        <v>#VALUE!</v>
      </c>
      <c r="K37" s="69" t="e">
        <f t="shared" si="5"/>
        <v>#VALUE!</v>
      </c>
      <c r="L37" s="51"/>
      <c r="M37" s="52"/>
      <c r="N37" s="940"/>
    </row>
    <row r="38" spans="2:14" s="25" customFormat="1" ht="27" customHeight="1">
      <c r="B38" s="61" t="s">
        <v>6303</v>
      </c>
      <c r="C38" s="61" t="s">
        <v>4908</v>
      </c>
      <c r="D38" s="65" t="s">
        <v>6304</v>
      </c>
      <c r="E38" s="64" t="str">
        <f>IFERROR(UPPER(IF(C38="CPU",VLOOKUP(D38,#REF!,2,0),IF(C38="SINAPI",VLOOKUP(D38,#REF!,2,0),IF(C38="EDIF",VLOOKUP(D38,#REF!,2,0),IF(C38="CPOS",VLOOKUP(D38,#REF!,3,0),IF(C38="FDE",VLOOKUP(D38,#REF!,2,0),IF(C38="INFRA",VLOOKUP(D38,#REF!,2,0),""))))))),"")</f>
        <v/>
      </c>
      <c r="F38" s="65" t="str">
        <f>IFERROR(UPPER(IF(C38="CPU",VLOOKUP(D38,#REF!,3,0),IF(C38="SINAPI",VLOOKUP(D38,#REF!,3,0),IF(C38="EDIF",VLOOKUP(D38,#REF!,3,0),IF(C38="CPOS",VLOOKUP(D38,#REF!,4,0),IF(C38="FDE",VLOOKUP(D38,#REF!,3,0),IF(C38="INFRA",VLOOKUP(D38,#REF!,3,0),""))))))),"")</f>
        <v/>
      </c>
      <c r="G38" s="66">
        <f>12*30*4</f>
        <v>1440</v>
      </c>
      <c r="H38" s="67" t="str">
        <f>IFERROR(IF(C38="CPU",VLOOKUP(D38,#REF!,4,0),IF(C38="SINAPI",VLOOKUP(D38,#REF!,5,0),IF(C38="EDIF",VLOOKUP(D38,#REF!,4,0),IF(C38="CPOS",VLOOKUP(D38,#REF!,7,0),IF(C38="FDE",VLOOKUP(D38,#REF!,5,0),IF(C38="INFRA",VLOOKUP(D38,#REF!,4,0),""))))))*VLOOKUP(C38,#REF!,3,0),"")</f>
        <v/>
      </c>
      <c r="I38" s="1106">
        <v>0.25</v>
      </c>
      <c r="J38" s="67" t="e">
        <f t="shared" si="4"/>
        <v>#VALUE!</v>
      </c>
      <c r="K38" s="69" t="e">
        <f t="shared" si="5"/>
        <v>#VALUE!</v>
      </c>
      <c r="L38" s="51"/>
      <c r="M38" s="52"/>
      <c r="N38" s="940"/>
    </row>
    <row r="39" spans="2:14" s="25" customFormat="1" ht="27" customHeight="1">
      <c r="B39" s="61" t="s">
        <v>6305</v>
      </c>
      <c r="C39" s="61" t="s">
        <v>4908</v>
      </c>
      <c r="D39" s="65" t="s">
        <v>6306</v>
      </c>
      <c r="E39" s="64" t="str">
        <f>IFERROR(UPPER(IF(C39="CPU",VLOOKUP(D39,#REF!,2,0),IF(C39="SINAPI",VLOOKUP(D39,#REF!,2,0),IF(C39="EDIF",VLOOKUP(D39,#REF!,2,0),IF(C39="CPOS",VLOOKUP(D39,#REF!,3,0),IF(C39="FDE",VLOOKUP(D39,#REF!,2,0),IF(C39="INFRA",VLOOKUP(D39,#REF!,2,0),""))))))),"")</f>
        <v/>
      </c>
      <c r="F39" s="65" t="str">
        <f>IFERROR(UPPER(IF(C39="CPU",VLOOKUP(D39,#REF!,3,0),IF(C39="SINAPI",VLOOKUP(D39,#REF!,3,0),IF(C39="EDIF",VLOOKUP(D39,#REF!,3,0),IF(C39="CPOS",VLOOKUP(D39,#REF!,4,0),IF(C39="FDE",VLOOKUP(D39,#REF!,3,0),IF(C39="INFRA",VLOOKUP(D39,#REF!,3,0),""))))))),"")</f>
        <v/>
      </c>
      <c r="G39" s="66">
        <f>G38</f>
        <v>1440</v>
      </c>
      <c r="H39" s="67" t="str">
        <f>IFERROR(IF(C39="CPU",VLOOKUP(D39,#REF!,4,0),IF(C39="SINAPI",VLOOKUP(D39,#REF!,5,0),IF(C39="EDIF",VLOOKUP(D39,#REF!,4,0),IF(C39="CPOS",VLOOKUP(D39,#REF!,7,0),IF(C39="FDE",VLOOKUP(D39,#REF!,5,0),IF(C39="INFRA",VLOOKUP(D39,#REF!,4,0),""))))))*VLOOKUP(C39,#REF!,3,0),"")</f>
        <v/>
      </c>
      <c r="I39" s="1106">
        <v>0.25</v>
      </c>
      <c r="J39" s="67" t="e">
        <f t="shared" si="4"/>
        <v>#VALUE!</v>
      </c>
      <c r="K39" s="69" t="e">
        <f t="shared" si="5"/>
        <v>#VALUE!</v>
      </c>
      <c r="L39" s="51"/>
      <c r="M39" s="52"/>
      <c r="N39" s="940"/>
    </row>
    <row r="40" spans="2:14" s="25" customFormat="1" ht="27" customHeight="1">
      <c r="B40" s="61" t="s">
        <v>6307</v>
      </c>
      <c r="C40" s="61" t="s">
        <v>4908</v>
      </c>
      <c r="D40" s="65" t="s">
        <v>6300</v>
      </c>
      <c r="E40" s="64" t="str">
        <f>IFERROR(UPPER(IF(C40="CPU",VLOOKUP(D40,#REF!,2,0),IF(C40="SINAPI",VLOOKUP(D40,#REF!,2,0),IF(C40="EDIF",VLOOKUP(D40,#REF!,2,0),IF(C40="CPOS",VLOOKUP(D40,#REF!,3,0),IF(C40="FDE",VLOOKUP(D40,#REF!,2,0),IF(C40="INFRA",VLOOKUP(D40,#REF!,2,0),""))))))),"")</f>
        <v/>
      </c>
      <c r="F40" s="65" t="str">
        <f>IFERROR(UPPER(IF(C40="CPU",VLOOKUP(D40,#REF!,3,0),IF(C40="SINAPI",VLOOKUP(D40,#REF!,3,0),IF(C40="EDIF",VLOOKUP(D40,#REF!,3,0),IF(C40="CPOS",VLOOKUP(D40,#REF!,4,0),IF(C40="FDE",VLOOKUP(D40,#REF!,3,0),IF(C40="INFRA",VLOOKUP(D40,#REF!,3,0),""))))))),"")</f>
        <v/>
      </c>
      <c r="G40" s="66">
        <v>4</v>
      </c>
      <c r="H40" s="67" t="str">
        <f>IFERROR(IF(C40="CPU",VLOOKUP(D40,#REF!,4,0),IF(C40="SINAPI",VLOOKUP(D40,#REF!,5,0),IF(C40="EDIF",VLOOKUP(D40,#REF!,4,0),IF(C40="CPOS",VLOOKUP(D40,#REF!,7,0),IF(C40="FDE",VLOOKUP(D40,#REF!,5,0),IF(C40="INFRA",VLOOKUP(D40,#REF!,4,0),""))))))*VLOOKUP(C40,#REF!,3,0),"")</f>
        <v/>
      </c>
      <c r="I40" s="1106">
        <v>0.25</v>
      </c>
      <c r="J40" s="67" t="e">
        <f t="shared" si="4"/>
        <v>#VALUE!</v>
      </c>
      <c r="K40" s="69" t="e">
        <f t="shared" si="5"/>
        <v>#VALUE!</v>
      </c>
      <c r="L40" s="51"/>
      <c r="M40" s="52"/>
      <c r="N40" s="940"/>
    </row>
    <row r="41" spans="2:14" s="25" customFormat="1" ht="27" customHeight="1">
      <c r="B41" s="61" t="s">
        <v>6308</v>
      </c>
      <c r="C41" s="61" t="s">
        <v>4872</v>
      </c>
      <c r="D41" s="1107">
        <v>200308</v>
      </c>
      <c r="E41" s="64" t="str">
        <f>IFERROR(UPPER(IF(C41="CPU",VLOOKUP(D41,#REF!,2,0),IF(C41="SINAPI",VLOOKUP(D41,#REF!,2,0),IF(C41="EDIF",VLOOKUP(D41,#REF!,2,0),IF(C41="CPOS",VLOOKUP(D41,#REF!,3,0),IF(C41="FDE",VLOOKUP(D41,#REF!,2,0),IF(C41="INFRA",VLOOKUP(D41,#REF!,2,0),""))))))),"")</f>
        <v/>
      </c>
      <c r="F41" s="65" t="str">
        <f>IFERROR(UPPER(IF(C41="CPU",VLOOKUP(D41,#REF!,3,0),IF(C41="SINAPI",VLOOKUP(D41,#REF!,3,0),IF(C41="EDIF",VLOOKUP(D41,#REF!,3,0),IF(C41="CPOS",VLOOKUP(D41,#REF!,4,0),IF(C41="FDE",VLOOKUP(D41,#REF!,3,0),IF(C41="INFRA",VLOOKUP(D41,#REF!,3,0),""))))))),"")</f>
        <v/>
      </c>
      <c r="G41" s="66">
        <v>32</v>
      </c>
      <c r="H41" s="67" t="str">
        <f>IFERROR(IF(C41="CPU",VLOOKUP(D41,#REF!,4,0),IF(C41="SINAPI",VLOOKUP(D41,#REF!,5,0),IF(C41="EDIF",VLOOKUP(D41,#REF!,4,0),IF(C41="CPOS",VLOOKUP(D41,#REF!,7,0),IF(C41="FDE",VLOOKUP(D41,#REF!,5,0),IF(C41="INFRA",VLOOKUP(D41,#REF!,4,0),""))))))*VLOOKUP(C41,#REF!,3,0),"")</f>
        <v/>
      </c>
      <c r="I41" s="1106">
        <v>0.25</v>
      </c>
      <c r="J41" s="67" t="e">
        <f t="shared" si="4"/>
        <v>#VALUE!</v>
      </c>
      <c r="K41" s="69" t="e">
        <f t="shared" si="5"/>
        <v>#VALUE!</v>
      </c>
      <c r="L41" s="51"/>
      <c r="M41" s="52"/>
      <c r="N41" s="940"/>
    </row>
    <row r="42" spans="2:14" s="25" customFormat="1" ht="27" hidden="1" customHeight="1" outlineLevel="1">
      <c r="B42" s="1097"/>
      <c r="C42" s="1098"/>
      <c r="D42" s="1098"/>
      <c r="E42" s="1099" t="s">
        <v>6295</v>
      </c>
      <c r="F42" s="1100"/>
      <c r="G42" s="1101"/>
      <c r="H42" s="1102"/>
      <c r="I42" s="1103"/>
      <c r="J42" s="1103"/>
      <c r="K42" s="1104"/>
      <c r="L42" s="51"/>
      <c r="M42" s="52"/>
      <c r="N42" s="940"/>
    </row>
    <row r="43" spans="2:14" s="25" customFormat="1" ht="27" hidden="1" customHeight="1" outlineLevel="1">
      <c r="B43" s="61"/>
      <c r="C43" s="61" t="s">
        <v>1479</v>
      </c>
      <c r="D43" s="65" t="s">
        <v>6309</v>
      </c>
      <c r="E43" s="64" t="str">
        <f>IFERROR(UPPER(IF(C43="CPU",VLOOKUP(D43,#REF!,2,0),IF(C43="SINAPI",VLOOKUP(D43,#REF!,2,0),IF(C43="EDIF",VLOOKUP(D43,#REF!,2,0),IF(C43="CPOS",VLOOKUP(D43,#REF!,3,0),IF(C43="FDE",VLOOKUP(D43,#REF!,2,0),IF(C43="INFRA",VLOOKUP(D43,#REF!,2,0),""))))))),"")</f>
        <v/>
      </c>
      <c r="F43" s="65" t="str">
        <f>IFERROR(UPPER(IF(C43="CPU",VLOOKUP(D43,#REF!,3,0),IF(C43="SINAPI",VLOOKUP(D43,#REF!,3,0),IF(C43="EDIF",VLOOKUP(D43,#REF!,3,0),IF(C43="CPOS",VLOOKUP(D43,#REF!,4,0),IF(C43="FDE",VLOOKUP(D43,#REF!,3,0),IF(C43="INFRA",VLOOKUP(D43,#REF!,3,0),""))))))),"")</f>
        <v/>
      </c>
      <c r="G43" s="66"/>
      <c r="H43" s="67" t="str">
        <f>IFERROR(IF(C43="CPU",VLOOKUP(D43,#REF!,4,0),IF(C43="SINAPI",VLOOKUP(D43,#REF!,5,0),IF(C43="EDIF",VLOOKUP(D43,#REF!,4,0),IF(C43="CPOS",VLOOKUP(D43,#REF!,7,0),IF(C43="FDE",VLOOKUP(D43,#REF!,5,0),IF(C43="INFRA",VLOOKUP(D43,#REF!,4,0),""))))))*VLOOKUP(C43,#REF!,3,0),"")</f>
        <v/>
      </c>
      <c r="I43" s="1106">
        <v>0.25</v>
      </c>
      <c r="J43" s="67" t="e">
        <f t="shared" ref="J43:J49" si="6">ROUND(H43*(1+I43),2)</f>
        <v>#VALUE!</v>
      </c>
      <c r="K43" s="69" t="e">
        <f t="shared" ref="K43:K49" si="7">SUM(G43*J43)</f>
        <v>#VALUE!</v>
      </c>
      <c r="L43" s="51">
        <v>5</v>
      </c>
      <c r="M43" s="52"/>
      <c r="N43" s="940"/>
    </row>
    <row r="44" spans="2:14" s="25" customFormat="1" ht="27" hidden="1" customHeight="1" outlineLevel="1">
      <c r="B44" s="61"/>
      <c r="C44" s="61" t="s">
        <v>1479</v>
      </c>
      <c r="D44" s="65" t="s">
        <v>6310</v>
      </c>
      <c r="E44" s="64" t="str">
        <f>IFERROR(UPPER(IF(C44="CPU",VLOOKUP(D44,#REF!,2,0),IF(C44="SINAPI",VLOOKUP(D44,#REF!,2,0),IF(C44="EDIF",VLOOKUP(D44,#REF!,2,0),IF(C44="CPOS",VLOOKUP(D44,#REF!,3,0),IF(C44="FDE",VLOOKUP(D44,#REF!,2,0),IF(C44="INFRA",VLOOKUP(D44,#REF!,2,0),""))))))),"")</f>
        <v/>
      </c>
      <c r="F44" s="65" t="str">
        <f>IFERROR(UPPER(IF(C44="CPU",VLOOKUP(D44,#REF!,3,0),IF(C44="SINAPI",VLOOKUP(D44,#REF!,3,0),IF(C44="EDIF",VLOOKUP(D44,#REF!,3,0),IF(C44="CPOS",VLOOKUP(D44,#REF!,4,0),IF(C44="FDE",VLOOKUP(D44,#REF!,3,0),IF(C44="INFRA",VLOOKUP(D44,#REF!,3,0),""))))))),"")</f>
        <v/>
      </c>
      <c r="G44" s="66"/>
      <c r="H44" s="67" t="str">
        <f>IFERROR(IF(C44="CPU",VLOOKUP(D44,#REF!,4,0),IF(C44="SINAPI",VLOOKUP(D44,#REF!,5,0),IF(C44="EDIF",VLOOKUP(D44,#REF!,4,0),IF(C44="CPOS",VLOOKUP(D44,#REF!,7,0),IF(C44="FDE",VLOOKUP(D44,#REF!,5,0),IF(C44="INFRA",VLOOKUP(D44,#REF!,4,0),""))))))*VLOOKUP(C44,#REF!,3,0),"")</f>
        <v/>
      </c>
      <c r="I44" s="1106">
        <v>0.25</v>
      </c>
      <c r="J44" s="67" t="e">
        <f t="shared" si="6"/>
        <v>#VALUE!</v>
      </c>
      <c r="K44" s="69" t="e">
        <f t="shared" si="7"/>
        <v>#VALUE!</v>
      </c>
      <c r="L44" s="51">
        <v>1</v>
      </c>
      <c r="M44" s="52"/>
      <c r="N44" s="940"/>
    </row>
    <row r="45" spans="2:14" s="25" customFormat="1" ht="27" hidden="1" customHeight="1" outlineLevel="1">
      <c r="B45" s="61"/>
      <c r="C45" s="61" t="s">
        <v>1479</v>
      </c>
      <c r="D45" s="65" t="s">
        <v>6311</v>
      </c>
      <c r="E45" s="64" t="str">
        <f>IFERROR(UPPER(IF(C45="CPU",VLOOKUP(D45,#REF!,2,0),IF(C45="SINAPI",VLOOKUP(D45,#REF!,2,0),IF(C45="EDIF",VLOOKUP(D45,#REF!,2,0),IF(C45="CPOS",VLOOKUP(D45,#REF!,3,0),IF(C45="FDE",VLOOKUP(D45,#REF!,2,0),IF(C45="INFRA",VLOOKUP(D45,#REF!,2,0),""))))))),"")</f>
        <v/>
      </c>
      <c r="F45" s="65" t="str">
        <f>IFERROR(UPPER(IF(C45="CPU",VLOOKUP(D45,#REF!,3,0),IF(C45="SINAPI",VLOOKUP(D45,#REF!,3,0),IF(C45="EDIF",VLOOKUP(D45,#REF!,3,0),IF(C45="CPOS",VLOOKUP(D45,#REF!,4,0),IF(C45="FDE",VLOOKUP(D45,#REF!,3,0),IF(C45="INFRA",VLOOKUP(D45,#REF!,3,0),""))))))),"")</f>
        <v/>
      </c>
      <c r="G45" s="66"/>
      <c r="H45" s="67" t="str">
        <f>IFERROR(IF(C45="CPU",VLOOKUP(D45,#REF!,4,0),IF(C45="SINAPI",VLOOKUP(D45,#REF!,5,0),IF(C45="EDIF",VLOOKUP(D45,#REF!,4,0),IF(C45="CPOS",VLOOKUP(D45,#REF!,7,0),IF(C45="FDE",VLOOKUP(D45,#REF!,5,0),IF(C45="INFRA",VLOOKUP(D45,#REF!,4,0),""))))))*VLOOKUP(C45,#REF!,3,0),"")</f>
        <v/>
      </c>
      <c r="I45" s="1106">
        <v>0.25</v>
      </c>
      <c r="J45" s="67" t="e">
        <f t="shared" si="6"/>
        <v>#VALUE!</v>
      </c>
      <c r="K45" s="69" t="e">
        <f t="shared" si="7"/>
        <v>#VALUE!</v>
      </c>
      <c r="L45" s="51">
        <v>4</v>
      </c>
      <c r="M45" s="52"/>
      <c r="N45" s="940"/>
    </row>
    <row r="46" spans="2:14" s="25" customFormat="1" ht="27" hidden="1" customHeight="1" outlineLevel="1">
      <c r="B46" s="61"/>
      <c r="C46" s="61" t="s">
        <v>1479</v>
      </c>
      <c r="D46" s="65" t="s">
        <v>6312</v>
      </c>
      <c r="E46" s="64" t="str">
        <f>IFERROR(UPPER(IF(C46="CPU",VLOOKUP(D46,#REF!,2,0),IF(C46="SINAPI",VLOOKUP(D46,#REF!,2,0),IF(C46="EDIF",VLOOKUP(D46,#REF!,2,0),IF(C46="CPOS",VLOOKUP(D46,#REF!,3,0),IF(C46="FDE",VLOOKUP(D46,#REF!,2,0),IF(C46="INFRA",VLOOKUP(D46,#REF!,2,0),""))))))),"")</f>
        <v/>
      </c>
      <c r="F46" s="65" t="str">
        <f>IFERROR(UPPER(IF(C46="CPU",VLOOKUP(D46,#REF!,3,0),IF(C46="SINAPI",VLOOKUP(D46,#REF!,3,0),IF(C46="EDIF",VLOOKUP(D46,#REF!,3,0),IF(C46="CPOS",VLOOKUP(D46,#REF!,4,0),IF(C46="FDE",VLOOKUP(D46,#REF!,3,0),IF(C46="INFRA",VLOOKUP(D46,#REF!,3,0),""))))))),"")</f>
        <v/>
      </c>
      <c r="G46" s="66"/>
      <c r="H46" s="67" t="str">
        <f>IFERROR(IF(C46="CPU",VLOOKUP(D46,#REF!,4,0),IF(C46="SINAPI",VLOOKUP(D46,#REF!,5,0),IF(C46="EDIF",VLOOKUP(D46,#REF!,4,0),IF(C46="CPOS",VLOOKUP(D46,#REF!,7,0),IF(C46="FDE",VLOOKUP(D46,#REF!,5,0),IF(C46="INFRA",VLOOKUP(D46,#REF!,4,0),""))))))*VLOOKUP(C46,#REF!,3,0),"")</f>
        <v/>
      </c>
      <c r="I46" s="1106">
        <v>0.25</v>
      </c>
      <c r="J46" s="67" t="e">
        <f t="shared" si="6"/>
        <v>#VALUE!</v>
      </c>
      <c r="K46" s="69" t="e">
        <f t="shared" si="7"/>
        <v>#VALUE!</v>
      </c>
      <c r="L46" s="51">
        <v>5</v>
      </c>
      <c r="M46" s="52"/>
      <c r="N46" s="940"/>
    </row>
    <row r="47" spans="2:14" s="25" customFormat="1" ht="27" hidden="1" customHeight="1" outlineLevel="1">
      <c r="B47" s="61"/>
      <c r="C47" s="61" t="s">
        <v>1479</v>
      </c>
      <c r="D47" s="65" t="s">
        <v>6313</v>
      </c>
      <c r="E47" s="64" t="str">
        <f>IFERROR(UPPER(IF(C47="CPU",VLOOKUP(D47,#REF!,2,0),IF(C47="SINAPI",VLOOKUP(D47,#REF!,2,0),IF(C47="EDIF",VLOOKUP(D47,#REF!,2,0),IF(C47="CPOS",VLOOKUP(D47,#REF!,3,0),IF(C47="FDE",VLOOKUP(D47,#REF!,2,0),IF(C47="INFRA",VLOOKUP(D47,#REF!,2,0),""))))))),"")</f>
        <v/>
      </c>
      <c r="F47" s="65" t="str">
        <f>IFERROR(UPPER(IF(C47="CPU",VLOOKUP(D47,#REF!,3,0),IF(C47="SINAPI",VLOOKUP(D47,#REF!,3,0),IF(C47="EDIF",VLOOKUP(D47,#REF!,3,0),IF(C47="CPOS",VLOOKUP(D47,#REF!,4,0),IF(C47="FDE",VLOOKUP(D47,#REF!,3,0),IF(C47="INFRA",VLOOKUP(D47,#REF!,3,0),""))))))),"")</f>
        <v/>
      </c>
      <c r="G47" s="66"/>
      <c r="H47" s="67" t="str">
        <f>IFERROR(IF(C47="CPU",VLOOKUP(D47,#REF!,4,0),IF(C47="SINAPI",VLOOKUP(D47,#REF!,5,0),IF(C47="EDIF",VLOOKUP(D47,#REF!,4,0),IF(C47="CPOS",VLOOKUP(D47,#REF!,7,0),IF(C47="FDE",VLOOKUP(D47,#REF!,5,0),IF(C47="INFRA",VLOOKUP(D47,#REF!,4,0),""))))))*VLOOKUP(C47,#REF!,3,0),"")</f>
        <v/>
      </c>
      <c r="I47" s="1106">
        <v>0.25</v>
      </c>
      <c r="J47" s="67" t="e">
        <f t="shared" si="6"/>
        <v>#VALUE!</v>
      </c>
      <c r="K47" s="69" t="e">
        <f t="shared" si="7"/>
        <v>#VALUE!</v>
      </c>
      <c r="L47" s="51">
        <v>2</v>
      </c>
      <c r="M47" s="52"/>
      <c r="N47" s="940"/>
    </row>
    <row r="48" spans="2:14" s="25" customFormat="1" ht="27" hidden="1" customHeight="1" outlineLevel="1">
      <c r="B48" s="61"/>
      <c r="C48" s="61" t="s">
        <v>1479</v>
      </c>
      <c r="D48" s="65" t="s">
        <v>6314</v>
      </c>
      <c r="E48" s="64" t="str">
        <f>IFERROR(UPPER(IF(C48="CPU",VLOOKUP(D48,#REF!,2,0),IF(C48="SINAPI",VLOOKUP(D48,#REF!,2,0),IF(C48="EDIF",VLOOKUP(D48,#REF!,2,0),IF(C48="CPOS",VLOOKUP(D48,#REF!,3,0),IF(C48="FDE",VLOOKUP(D48,#REF!,2,0),IF(C48="INFRA",VLOOKUP(D48,#REF!,2,0),""))))))),"")</f>
        <v/>
      </c>
      <c r="F48" s="65" t="str">
        <f>IFERROR(UPPER(IF(C48="CPU",VLOOKUP(D48,#REF!,3,0),IF(C48="SINAPI",VLOOKUP(D48,#REF!,3,0),IF(C48="EDIF",VLOOKUP(D48,#REF!,3,0),IF(C48="CPOS",VLOOKUP(D48,#REF!,4,0),IF(C48="FDE",VLOOKUP(D48,#REF!,3,0),IF(C48="INFRA",VLOOKUP(D48,#REF!,3,0),""))))))),"")</f>
        <v/>
      </c>
      <c r="G48" s="66"/>
      <c r="H48" s="67" t="str">
        <f>IFERROR(IF(C48="CPU",VLOOKUP(D48,#REF!,4,0),IF(C48="SINAPI",VLOOKUP(D48,#REF!,5,0),IF(C48="EDIF",VLOOKUP(D48,#REF!,4,0),IF(C48="CPOS",VLOOKUP(D48,#REF!,7,0),IF(C48="FDE",VLOOKUP(D48,#REF!,5,0),IF(C48="INFRA",VLOOKUP(D48,#REF!,4,0),""))))))*VLOOKUP(C48,#REF!,3,0),"")</f>
        <v/>
      </c>
      <c r="I48" s="1106">
        <v>0.25</v>
      </c>
      <c r="J48" s="67" t="e">
        <f t="shared" si="6"/>
        <v>#VALUE!</v>
      </c>
      <c r="K48" s="69" t="e">
        <f t="shared" si="7"/>
        <v>#VALUE!</v>
      </c>
      <c r="L48" s="51">
        <v>5</v>
      </c>
      <c r="M48" s="52"/>
      <c r="N48" s="940"/>
    </row>
    <row r="49" spans="2:14" s="25" customFormat="1" ht="27" hidden="1" customHeight="1" outlineLevel="1">
      <c r="B49" s="61"/>
      <c r="C49" s="61" t="s">
        <v>1479</v>
      </c>
      <c r="D49" s="65" t="s">
        <v>6315</v>
      </c>
      <c r="E49" s="64" t="str">
        <f>IFERROR(UPPER(IF(C49="CPU",VLOOKUP(D49,#REF!,2,0),IF(C49="SINAPI",VLOOKUP(D49,#REF!,2,0),IF(C49="EDIF",VLOOKUP(D49,#REF!,2,0),IF(C49="CPOS",VLOOKUP(D49,#REF!,3,0),IF(C49="FDE",VLOOKUP(D49,#REF!,2,0),IF(C49="INFRA",VLOOKUP(D49,#REF!,2,0),""))))))),"")</f>
        <v/>
      </c>
      <c r="F49" s="65" t="str">
        <f>IFERROR(UPPER(IF(C49="CPU",VLOOKUP(D49,#REF!,3,0),IF(C49="SINAPI",VLOOKUP(D49,#REF!,3,0),IF(C49="EDIF",VLOOKUP(D49,#REF!,3,0),IF(C49="CPOS",VLOOKUP(D49,#REF!,4,0),IF(C49="FDE",VLOOKUP(D49,#REF!,3,0),IF(C49="INFRA",VLOOKUP(D49,#REF!,3,0),""))))))),"")</f>
        <v/>
      </c>
      <c r="G49" s="66"/>
      <c r="H49" s="67" t="str">
        <f>IFERROR(IF(C49="CPU",VLOOKUP(D49,#REF!,4,0),IF(C49="SINAPI",VLOOKUP(D49,#REF!,5,0),IF(C49="EDIF",VLOOKUP(D49,#REF!,4,0),IF(C49="CPOS",VLOOKUP(D49,#REF!,7,0),IF(C49="FDE",VLOOKUP(D49,#REF!,5,0),IF(C49="INFRA",VLOOKUP(D49,#REF!,4,0),""))))))*VLOOKUP(C49,#REF!,3,0),"")</f>
        <v/>
      </c>
      <c r="I49" s="1106">
        <v>0.25</v>
      </c>
      <c r="J49" s="67" t="e">
        <f t="shared" si="6"/>
        <v>#VALUE!</v>
      </c>
      <c r="K49" s="69" t="e">
        <f t="shared" si="7"/>
        <v>#VALUE!</v>
      </c>
      <c r="L49" s="51">
        <v>2</v>
      </c>
      <c r="M49" s="52"/>
      <c r="N49" s="940"/>
    </row>
    <row r="50" spans="2:14" s="25" customFormat="1" ht="27" customHeight="1">
      <c r="B50" s="53">
        <v>2</v>
      </c>
      <c r="C50" s="54"/>
      <c r="D50" s="54"/>
      <c r="E50" s="55" t="s">
        <v>4900</v>
      </c>
      <c r="F50" s="56"/>
      <c r="G50" s="57"/>
      <c r="H50" s="58"/>
      <c r="I50" s="59"/>
      <c r="J50" s="59"/>
      <c r="K50" s="1095" t="e">
        <f>SUM(K51:K63)</f>
        <v>#REF!</v>
      </c>
      <c r="L50" s="1096" t="e">
        <f>K50</f>
        <v>#REF!</v>
      </c>
      <c r="M50" s="52"/>
      <c r="N50" s="940"/>
    </row>
    <row r="51" spans="2:14" s="25" customFormat="1" ht="27" customHeight="1">
      <c r="B51" s="61" t="s">
        <v>39</v>
      </c>
      <c r="C51" s="61" t="s">
        <v>4872</v>
      </c>
      <c r="D51" s="1107">
        <v>10101</v>
      </c>
      <c r="E51" s="64" t="str">
        <f>IFERROR(UPPER(IF(C51="CPU",VLOOKUP(D51,#REF!,2,0),IF(C51="SINAPI",VLOOKUP(D51,#REF!,2,0),IF(C51="EDIF",VLOOKUP(D51,#REF!,2,0),IF(C51="CPOS",VLOOKUP(D51,#REF!,3,0),IF(C51="FDE",VLOOKUP(D51,#REF!,2,0),IF(C51="INFRA",VLOOKUP(D51,#REF!,2,0),""))))))),"")</f>
        <v/>
      </c>
      <c r="F51" s="65" t="str">
        <f>IFERROR(UPPER(IF(C51="CPU",VLOOKUP(D51,#REF!,3,0),IF(C51="SINAPI",VLOOKUP(D51,#REF!,3,0),IF(C51="EDIF",VLOOKUP(D51,#REF!,3,0),IF(C51="CPOS",VLOOKUP(D51,#REF!,4,0),IF(C51="FDE",VLOOKUP(D51,#REF!,3,0),IF(C51="INFRA",VLOOKUP(D51,#REF!,3,0),""))))))),"")</f>
        <v/>
      </c>
      <c r="G51" s="66" t="e">
        <f>#REF!</f>
        <v>#REF!</v>
      </c>
      <c r="H51" s="67" t="str">
        <f>IFERROR(IF(C51="CPU",VLOOKUP(D51,#REF!,4,0),IF(C51="SINAPI",VLOOKUP(D51,#REF!,5,0),IF(C51="EDIF",VLOOKUP(D51,#REF!,4,0),IF(C51="CPOS",VLOOKUP(D51,#REF!,7,0),IF(C51="FDE",VLOOKUP(D51,#REF!,5,0),IF(C51="INFRA",VLOOKUP(D51,#REF!,4,0),""))))))*VLOOKUP(C51,#REF!,3,0),"")</f>
        <v/>
      </c>
      <c r="I51" s="1106">
        <v>0.25</v>
      </c>
      <c r="J51" s="67" t="e">
        <f t="shared" ref="J51:J63" si="8">ROUND(H51*(1+I51),2)</f>
        <v>#VALUE!</v>
      </c>
      <c r="K51" s="69" t="e">
        <f t="shared" ref="K51:K63" si="9">SUM(G51*J51)</f>
        <v>#REF!</v>
      </c>
      <c r="L51" s="51"/>
      <c r="M51" s="52"/>
      <c r="N51" s="940"/>
    </row>
    <row r="52" spans="2:14" s="25" customFormat="1" ht="27" customHeight="1">
      <c r="B52" s="61" t="s">
        <v>52</v>
      </c>
      <c r="C52" s="61" t="s">
        <v>4872</v>
      </c>
      <c r="D52" s="1107">
        <v>10303</v>
      </c>
      <c r="E52" s="64" t="str">
        <f>IFERROR(UPPER(IF(C52="CPU",VLOOKUP(D52,#REF!,2,0),IF(C52="SINAPI",VLOOKUP(D52,#REF!,2,0),IF(C52="EDIF",VLOOKUP(D52,#REF!,2,0),IF(C52="CPOS",VLOOKUP(D52,#REF!,3,0),IF(C52="FDE",VLOOKUP(D52,#REF!,2,0),IF(C52="INFRA",VLOOKUP(D52,#REF!,2,0),""))))))),"")</f>
        <v/>
      </c>
      <c r="F52" s="65" t="str">
        <f>IFERROR(UPPER(IF(C52="CPU",VLOOKUP(D52,#REF!,3,0),IF(C52="SINAPI",VLOOKUP(D52,#REF!,3,0),IF(C52="EDIF",VLOOKUP(D52,#REF!,3,0),IF(C52="CPOS",VLOOKUP(D52,#REF!,4,0),IF(C52="FDE",VLOOKUP(D52,#REF!,3,0),IF(C52="INFRA",VLOOKUP(D52,#REF!,3,0),""))))))),"")</f>
        <v/>
      </c>
      <c r="G52" s="66" t="e">
        <f>#REF!</f>
        <v>#REF!</v>
      </c>
      <c r="H52" s="67" t="str">
        <f>IFERROR(IF(C52="CPU",VLOOKUP(D52,#REF!,4,0),IF(C52="SINAPI",VLOOKUP(D52,#REF!,5,0),IF(C52="EDIF",VLOOKUP(D52,#REF!,4,0),IF(C52="CPOS",VLOOKUP(D52,#REF!,7,0),IF(C52="FDE",VLOOKUP(D52,#REF!,5,0),IF(C52="INFRA",VLOOKUP(D52,#REF!,4,0),""))))))*VLOOKUP(C52,#REF!,3,0),"")</f>
        <v/>
      </c>
      <c r="I52" s="1106">
        <v>0.25</v>
      </c>
      <c r="J52" s="67" t="e">
        <f t="shared" si="8"/>
        <v>#VALUE!</v>
      </c>
      <c r="K52" s="69" t="e">
        <f t="shared" si="9"/>
        <v>#REF!</v>
      </c>
      <c r="L52" s="51"/>
      <c r="M52" s="52"/>
      <c r="N52" s="940"/>
    </row>
    <row r="53" spans="2:14" s="25" customFormat="1" ht="27" customHeight="1">
      <c r="B53" s="61" t="s">
        <v>67</v>
      </c>
      <c r="C53" s="61" t="s">
        <v>1479</v>
      </c>
      <c r="D53" s="1108" t="s">
        <v>6316</v>
      </c>
      <c r="E53" s="64" t="str">
        <f>IFERROR(UPPER(IF(C53="CPU",VLOOKUP(D53,#REF!,2,0),IF(C53="SINAPI",VLOOKUP(D53,#REF!,2,0),IF(C53="EDIF",VLOOKUP(D53,#REF!,2,0),IF(C53="CPOS",VLOOKUP(D53,#REF!,3,0),IF(C53="FDE",VLOOKUP(D53,#REF!,2,0),IF(C53="INFRA",VLOOKUP(D53,#REF!,2,0),""))))))),"")</f>
        <v/>
      </c>
      <c r="F53" s="65" t="str">
        <f>IFERROR(UPPER(IF(C53="CPU",VLOOKUP(D53,#REF!,3,0),IF(C53="SINAPI",VLOOKUP(D53,#REF!,3,0),IF(C53="EDIF",VLOOKUP(D53,#REF!,3,0),IF(C53="CPOS",VLOOKUP(D53,#REF!,4,0),IF(C53="FDE",VLOOKUP(D53,#REF!,3,0),IF(C53="INFRA",VLOOKUP(D53,#REF!,3,0),""))))))),"")</f>
        <v/>
      </c>
      <c r="G53" s="66" t="e">
        <f>G52</f>
        <v>#REF!</v>
      </c>
      <c r="H53" s="67" t="str">
        <f>IFERROR(IF(C53="CPU",VLOOKUP(D53,#REF!,4,0),IF(C53="SINAPI",VLOOKUP(D53,#REF!,5,0),IF(C53="EDIF",VLOOKUP(D53,#REF!,4,0),IF(C53="CPOS",VLOOKUP(D53,#REF!,7,0),IF(C53="FDE",VLOOKUP(D53,#REF!,5,0),IF(C53="INFRA",VLOOKUP(D53,#REF!,4,0),""))))))*VLOOKUP(C53,#REF!,3,0),"")</f>
        <v/>
      </c>
      <c r="I53" s="1106">
        <v>0.25</v>
      </c>
      <c r="J53" s="67" t="e">
        <f t="shared" si="8"/>
        <v>#VALUE!</v>
      </c>
      <c r="K53" s="69" t="e">
        <f t="shared" si="9"/>
        <v>#REF!</v>
      </c>
      <c r="L53" s="51"/>
      <c r="M53" s="52"/>
      <c r="N53" s="940"/>
    </row>
    <row r="54" spans="2:14" s="25" customFormat="1" ht="27" customHeight="1">
      <c r="B54" s="61" t="s">
        <v>72</v>
      </c>
      <c r="C54" s="61" t="s">
        <v>4872</v>
      </c>
      <c r="D54" s="1107">
        <v>10120</v>
      </c>
      <c r="E54" s="64" t="str">
        <f>IFERROR(UPPER(IF(C54="CPU",VLOOKUP(D54,#REF!,2,0),IF(C54="SINAPI",VLOOKUP(D54,#REF!,2,0),IF(C54="EDIF",VLOOKUP(D54,#REF!,2,0),IF(C54="CPOS",VLOOKUP(D54,#REF!,3,0),IF(C54="FDE",VLOOKUP(D54,#REF!,2,0),IF(C54="INFRA",VLOOKUP(D54,#REF!,2,0),""))))))),"")</f>
        <v/>
      </c>
      <c r="F54" s="65" t="str">
        <f>IFERROR(UPPER(IF(C54="CPU",VLOOKUP(D54,#REF!,3,0),IF(C54="SINAPI",VLOOKUP(D54,#REF!,3,0),IF(C54="EDIF",VLOOKUP(D54,#REF!,3,0),IF(C54="CPOS",VLOOKUP(D54,#REF!,4,0),IF(C54="FDE",VLOOKUP(D54,#REF!,3,0),IF(C54="INFRA",VLOOKUP(D54,#REF!,3,0),""))))))),"")</f>
        <v/>
      </c>
      <c r="G54" s="66">
        <v>15</v>
      </c>
      <c r="H54" s="67" t="str">
        <f>IFERROR(IF(C54="CPU",VLOOKUP(D54,#REF!,4,0),IF(C54="SINAPI",VLOOKUP(D54,#REF!,5,0),IF(C54="EDIF",VLOOKUP(D54,#REF!,4,0),IF(C54="CPOS",VLOOKUP(D54,#REF!,7,0),IF(C54="FDE",VLOOKUP(D54,#REF!,5,0),IF(C54="INFRA",VLOOKUP(D54,#REF!,4,0),""))))))*VLOOKUP(C54,#REF!,3,0),"")</f>
        <v/>
      </c>
      <c r="I54" s="1106">
        <v>0.25</v>
      </c>
      <c r="J54" s="67" t="e">
        <f t="shared" si="8"/>
        <v>#VALUE!</v>
      </c>
      <c r="K54" s="69" t="e">
        <f t="shared" si="9"/>
        <v>#VALUE!</v>
      </c>
      <c r="L54" s="51"/>
      <c r="M54" s="52"/>
      <c r="N54" s="940"/>
    </row>
    <row r="55" spans="2:14" s="25" customFormat="1" ht="27" customHeight="1">
      <c r="B55" s="61" t="s">
        <v>79</v>
      </c>
      <c r="C55" s="61" t="s">
        <v>4872</v>
      </c>
      <c r="D55" s="1107">
        <v>10121</v>
      </c>
      <c r="E55" s="64" t="str">
        <f>IFERROR(UPPER(IF(C55="CPU",VLOOKUP(D55,#REF!,2,0),IF(C55="SINAPI",VLOOKUP(D55,#REF!,2,0),IF(C55="EDIF",VLOOKUP(D55,#REF!,2,0),IF(C55="CPOS",VLOOKUP(D55,#REF!,3,0),IF(C55="FDE",VLOOKUP(D55,#REF!,2,0),IF(C55="INFRA",VLOOKUP(D55,#REF!,2,0),""))))))),"")</f>
        <v/>
      </c>
      <c r="F55" s="65" t="str">
        <f>IFERROR(UPPER(IF(C55="CPU",VLOOKUP(D55,#REF!,3,0),IF(C55="SINAPI",VLOOKUP(D55,#REF!,3,0),IF(C55="EDIF",VLOOKUP(D55,#REF!,3,0),IF(C55="CPOS",VLOOKUP(D55,#REF!,4,0),IF(C55="FDE",VLOOKUP(D55,#REF!,3,0),IF(C55="INFRA",VLOOKUP(D55,#REF!,3,0),""))))))),"")</f>
        <v/>
      </c>
      <c r="G55" s="66">
        <v>10</v>
      </c>
      <c r="H55" s="67" t="str">
        <f>IFERROR(IF(C55="CPU",VLOOKUP(D55,#REF!,4,0),IF(C55="SINAPI",VLOOKUP(D55,#REF!,5,0),IF(C55="EDIF",VLOOKUP(D55,#REF!,4,0),IF(C55="CPOS",VLOOKUP(D55,#REF!,7,0),IF(C55="FDE",VLOOKUP(D55,#REF!,5,0),IF(C55="INFRA",VLOOKUP(D55,#REF!,4,0),""))))))*VLOOKUP(C55,#REF!,3,0),"")</f>
        <v/>
      </c>
      <c r="I55" s="1106">
        <v>0.25</v>
      </c>
      <c r="J55" s="67" t="e">
        <f t="shared" si="8"/>
        <v>#VALUE!</v>
      </c>
      <c r="K55" s="69" t="e">
        <f t="shared" si="9"/>
        <v>#VALUE!</v>
      </c>
      <c r="L55" s="51"/>
      <c r="M55" s="52"/>
      <c r="N55" s="940"/>
    </row>
    <row r="56" spans="2:14" s="25" customFormat="1" ht="27" customHeight="1">
      <c r="B56" s="61" t="s">
        <v>86</v>
      </c>
      <c r="C56" s="61" t="s">
        <v>4872</v>
      </c>
      <c r="D56" s="1107">
        <v>10122</v>
      </c>
      <c r="E56" s="64" t="str">
        <f>IFERROR(UPPER(IF(C56="CPU",VLOOKUP(D56,#REF!,2,0),IF(C56="SINAPI",VLOOKUP(D56,#REF!,2,0),IF(C56="EDIF",VLOOKUP(D56,#REF!,2,0),IF(C56="CPOS",VLOOKUP(D56,#REF!,3,0),IF(C56="FDE",VLOOKUP(D56,#REF!,2,0),IF(C56="INFRA",VLOOKUP(D56,#REF!,2,0),""))))))),"")</f>
        <v/>
      </c>
      <c r="F56" s="65" t="str">
        <f>IFERROR(UPPER(IF(C56="CPU",VLOOKUP(D56,#REF!,3,0),IF(C56="SINAPI",VLOOKUP(D56,#REF!,3,0),IF(C56="EDIF",VLOOKUP(D56,#REF!,3,0),IF(C56="CPOS",VLOOKUP(D56,#REF!,4,0),IF(C56="FDE",VLOOKUP(D56,#REF!,3,0),IF(C56="INFRA",VLOOKUP(D56,#REF!,3,0),""))))))),"")</f>
        <v/>
      </c>
      <c r="G56" s="66">
        <v>5</v>
      </c>
      <c r="H56" s="67" t="str">
        <f>IFERROR(IF(C56="CPU",VLOOKUP(D56,#REF!,4,0),IF(C56="SINAPI",VLOOKUP(D56,#REF!,5,0),IF(C56="EDIF",VLOOKUP(D56,#REF!,4,0),IF(C56="CPOS",VLOOKUP(D56,#REF!,7,0),IF(C56="FDE",VLOOKUP(D56,#REF!,5,0),IF(C56="INFRA",VLOOKUP(D56,#REF!,4,0),""))))))*VLOOKUP(C56,#REF!,3,0),"")</f>
        <v/>
      </c>
      <c r="I56" s="1106">
        <v>0.25</v>
      </c>
      <c r="J56" s="67" t="e">
        <f t="shared" si="8"/>
        <v>#VALUE!</v>
      </c>
      <c r="K56" s="69" t="e">
        <f t="shared" si="9"/>
        <v>#VALUE!</v>
      </c>
      <c r="L56" s="51"/>
      <c r="M56" s="52"/>
      <c r="N56" s="940"/>
    </row>
    <row r="57" spans="2:14" s="25" customFormat="1" ht="27" customHeight="1">
      <c r="B57" s="61" t="s">
        <v>91</v>
      </c>
      <c r="C57" s="61" t="s">
        <v>4872</v>
      </c>
      <c r="D57" s="1107">
        <v>175020</v>
      </c>
      <c r="E57" s="64" t="str">
        <f>IFERROR(UPPER(IF(C57="CPU",VLOOKUP(D57,#REF!,2,0),IF(C57="SINAPI",VLOOKUP(D57,#REF!,2,0),IF(C57="EDIF",VLOOKUP(D57,#REF!,2,0),IF(C57="CPOS",VLOOKUP(D57,#REF!,3,0),IF(C57="FDE",VLOOKUP(D57,#REF!,2,0),IF(C57="INFRA",VLOOKUP(D57,#REF!,2,0),""))))))),"")</f>
        <v/>
      </c>
      <c r="F57" s="65" t="str">
        <f>IFERROR(UPPER(IF(C57="CPU",VLOOKUP(D57,#REF!,3,0),IF(C57="SINAPI",VLOOKUP(D57,#REF!,3,0),IF(C57="EDIF",VLOOKUP(D57,#REF!,3,0),IF(C57="CPOS",VLOOKUP(D57,#REF!,4,0),IF(C57="FDE",VLOOKUP(D57,#REF!,3,0),IF(C57="INFRA",VLOOKUP(D57,#REF!,3,0),""))))))),"")</f>
        <v/>
      </c>
      <c r="G57" s="66" t="e">
        <f>#REF!</f>
        <v>#REF!</v>
      </c>
      <c r="H57" s="67" t="str">
        <f>IFERROR(IF(C57="CPU",VLOOKUP(D57,#REF!,4,0),IF(C57="SINAPI",VLOOKUP(D57,#REF!,5,0),IF(C57="EDIF",VLOOKUP(D57,#REF!,4,0),IF(C57="CPOS",VLOOKUP(D57,#REF!,7,0),IF(C57="FDE",VLOOKUP(D57,#REF!,5,0),IF(C57="INFRA",VLOOKUP(D57,#REF!,4,0),""))))))*VLOOKUP(C57,#REF!,3,0),"")</f>
        <v/>
      </c>
      <c r="I57" s="1106">
        <v>0.25</v>
      </c>
      <c r="J57" s="67" t="e">
        <f t="shared" si="8"/>
        <v>#VALUE!</v>
      </c>
      <c r="K57" s="69" t="e">
        <f t="shared" si="9"/>
        <v>#REF!</v>
      </c>
      <c r="L57" s="51"/>
      <c r="M57" s="52"/>
      <c r="N57" s="940"/>
    </row>
    <row r="58" spans="2:14" s="25" customFormat="1" ht="27" customHeight="1">
      <c r="B58" s="61" t="s">
        <v>4918</v>
      </c>
      <c r="C58" s="61" t="s">
        <v>1479</v>
      </c>
      <c r="D58" s="1107" t="s">
        <v>6317</v>
      </c>
      <c r="E58" s="64" t="str">
        <f>IFERROR(UPPER(IF(C58="CPU",VLOOKUP(D58,#REF!,2,0),IF(C58="SINAPI",VLOOKUP(D58,#REF!,2,0),IF(C58="EDIF",VLOOKUP(D58,#REF!,2,0),IF(C58="CPOS",VLOOKUP(D58,#REF!,3,0),IF(C58="FDE",VLOOKUP(D58,#REF!,2,0),IF(C58="INFRA",VLOOKUP(D58,#REF!,2,0),""))))))),"")</f>
        <v/>
      </c>
      <c r="F58" s="65" t="str">
        <f>IFERROR(UPPER(IF(C58="CPU",VLOOKUP(D58,#REF!,3,0),IF(C58="SINAPI",VLOOKUP(D58,#REF!,3,0),IF(C58="EDIF",VLOOKUP(D58,#REF!,3,0),IF(C58="CPOS",VLOOKUP(D58,#REF!,4,0),IF(C58="FDE",VLOOKUP(D58,#REF!,3,0),IF(C58="INFRA",VLOOKUP(D58,#REF!,3,0),""))))))),"")</f>
        <v/>
      </c>
      <c r="G58" s="66">
        <v>450</v>
      </c>
      <c r="H58" s="67" t="str">
        <f>IFERROR(IF(C58="CPU",VLOOKUP(D58,#REF!,4,0),IF(C58="SINAPI",VLOOKUP(D58,#REF!,5,0),IF(C58="EDIF",VLOOKUP(D58,#REF!,4,0),IF(C58="CPOS",VLOOKUP(D58,#REF!,7,0),IF(C58="FDE",VLOOKUP(D58,#REF!,5,0),IF(C58="INFRA",VLOOKUP(D58,#REF!,4,0),""))))))*VLOOKUP(C58,#REF!,3,0),"")</f>
        <v/>
      </c>
      <c r="I58" s="1106">
        <v>0.25</v>
      </c>
      <c r="J58" s="67" t="e">
        <f t="shared" si="8"/>
        <v>#VALUE!</v>
      </c>
      <c r="K58" s="69" t="e">
        <f t="shared" si="9"/>
        <v>#VALUE!</v>
      </c>
      <c r="L58" s="51"/>
      <c r="M58" s="52"/>
      <c r="N58" s="940"/>
    </row>
    <row r="59" spans="2:14" s="25" customFormat="1" ht="27" customHeight="1">
      <c r="B59" s="61" t="s">
        <v>6318</v>
      </c>
      <c r="C59" s="61" t="s">
        <v>4872</v>
      </c>
      <c r="D59" s="1107">
        <v>187040</v>
      </c>
      <c r="E59" s="64" t="str">
        <f>IFERROR(UPPER(IF(C59="CPU",VLOOKUP(D59,#REF!,2,0),IF(C59="SINAPI",VLOOKUP(D59,#REF!,2,0),IF(C59="EDIF",VLOOKUP(D59,#REF!,2,0),IF(C59="CPOS",VLOOKUP(D59,#REF!,3,0),IF(C59="FDE",VLOOKUP(D59,#REF!,2,0),IF(C59="INFRA",VLOOKUP(D59,#REF!,2,0),""))))))),"")</f>
        <v/>
      </c>
      <c r="F59" s="65" t="str">
        <f>IFERROR(UPPER(IF(C59="CPU",VLOOKUP(D59,#REF!,3,0),IF(C59="SINAPI",VLOOKUP(D59,#REF!,3,0),IF(C59="EDIF",VLOOKUP(D59,#REF!,3,0),IF(C59="CPOS",VLOOKUP(D59,#REF!,4,0),IF(C59="FDE",VLOOKUP(D59,#REF!,3,0),IF(C59="INFRA",VLOOKUP(D59,#REF!,3,0),""))))))),"")</f>
        <v/>
      </c>
      <c r="G59" s="66">
        <v>5</v>
      </c>
      <c r="H59" s="67" t="str">
        <f>IFERROR(IF(C59="CPU",VLOOKUP(D59,#REF!,4,0),IF(C59="SINAPI",VLOOKUP(D59,#REF!,5,0),IF(C59="EDIF",VLOOKUP(D59,#REF!,4,0),IF(C59="CPOS",VLOOKUP(D59,#REF!,7,0),IF(C59="FDE",VLOOKUP(D59,#REF!,5,0),IF(C59="INFRA",VLOOKUP(D59,#REF!,4,0),""))))))*VLOOKUP(C59,#REF!,3,0),"")</f>
        <v/>
      </c>
      <c r="I59" s="1106">
        <v>0.25</v>
      </c>
      <c r="J59" s="67" t="e">
        <f t="shared" si="8"/>
        <v>#VALUE!</v>
      </c>
      <c r="K59" s="69" t="e">
        <f t="shared" si="9"/>
        <v>#VALUE!</v>
      </c>
      <c r="L59" s="51"/>
      <c r="M59" s="52"/>
      <c r="N59" s="940"/>
    </row>
    <row r="60" spans="2:14" s="25" customFormat="1" ht="27" customHeight="1">
      <c r="B60" s="61" t="s">
        <v>6319</v>
      </c>
      <c r="C60" s="61" t="s">
        <v>1479</v>
      </c>
      <c r="D60" s="1107" t="s">
        <v>6320</v>
      </c>
      <c r="E60" s="64" t="str">
        <f>IFERROR(UPPER(IF(C60="CPU",VLOOKUP(D60,#REF!,2,0),IF(C60="SINAPI",VLOOKUP(D60,#REF!,2,0),IF(C60="EDIF",VLOOKUP(D60,#REF!,2,0),IF(C60="CPOS",VLOOKUP(D60,#REF!,3,0),IF(C60="FDE",VLOOKUP(D60,#REF!,2,0),IF(C60="INFRA",VLOOKUP(D60,#REF!,2,0),""))))))),"")</f>
        <v/>
      </c>
      <c r="F60" s="65" t="str">
        <f>IFERROR(UPPER(IF(C60="CPU",VLOOKUP(D60,#REF!,3,0),IF(C60="SINAPI",VLOOKUP(D60,#REF!,3,0),IF(C60="EDIF",VLOOKUP(D60,#REF!,3,0),IF(C60="CPOS",VLOOKUP(D60,#REF!,4,0),IF(C60="FDE",VLOOKUP(D60,#REF!,3,0),IF(C60="INFRA",VLOOKUP(D60,#REF!,3,0),""))))))),"")</f>
        <v/>
      </c>
      <c r="G60" s="66" t="e">
        <f>#REF!</f>
        <v>#REF!</v>
      </c>
      <c r="H60" s="67" t="str">
        <f>IFERROR(IF(C60="CPU",VLOOKUP(D60,#REF!,4,0),IF(C60="SINAPI",VLOOKUP(D60,#REF!,5,0),IF(C60="EDIF",VLOOKUP(D60,#REF!,4,0),IF(C60="CPOS",VLOOKUP(D60,#REF!,7,0),IF(C60="FDE",VLOOKUP(D60,#REF!,5,0),IF(C60="INFRA",VLOOKUP(D60,#REF!,4,0),""))))))*VLOOKUP(C60,#REF!,3,0),"")</f>
        <v/>
      </c>
      <c r="I60" s="1106">
        <v>0.25</v>
      </c>
      <c r="J60" s="67" t="e">
        <f t="shared" si="8"/>
        <v>#VALUE!</v>
      </c>
      <c r="K60" s="69" t="e">
        <f t="shared" si="9"/>
        <v>#REF!</v>
      </c>
      <c r="L60" s="51"/>
      <c r="M60" s="52"/>
      <c r="N60" s="940"/>
    </row>
    <row r="61" spans="2:14" s="25" customFormat="1" ht="27" customHeight="1">
      <c r="B61" s="61" t="s">
        <v>6321</v>
      </c>
      <c r="C61" s="61" t="s">
        <v>6322</v>
      </c>
      <c r="D61" s="65">
        <v>6081</v>
      </c>
      <c r="E61" s="64" t="s">
        <v>6323</v>
      </c>
      <c r="F61" s="65" t="s">
        <v>1650</v>
      </c>
      <c r="G61" s="66" t="e">
        <f>G60</f>
        <v>#REF!</v>
      </c>
      <c r="H61" s="67">
        <v>25.23</v>
      </c>
      <c r="I61" s="1106">
        <v>0.25</v>
      </c>
      <c r="J61" s="67">
        <f t="shared" si="8"/>
        <v>31.54</v>
      </c>
      <c r="K61" s="69" t="e">
        <f t="shared" si="9"/>
        <v>#REF!</v>
      </c>
      <c r="L61" s="51"/>
      <c r="M61" s="52"/>
      <c r="N61" s="940"/>
    </row>
    <row r="62" spans="2:14" s="25" customFormat="1" ht="27" customHeight="1">
      <c r="B62" s="61" t="s">
        <v>6324</v>
      </c>
      <c r="C62" s="61" t="s">
        <v>4872</v>
      </c>
      <c r="D62" s="1107">
        <v>176050</v>
      </c>
      <c r="E62" s="64" t="str">
        <f>IFERROR(UPPER(IF(C62="CPU",VLOOKUP(D62,#REF!,2,0),IF(C62="SINAPI",VLOOKUP(D62,#REF!,2,0),IF(C62="EDIF",VLOOKUP(D62,#REF!,2,0),IF(C62="CPOS",VLOOKUP(D62,#REF!,3,0),IF(C62="FDE",VLOOKUP(D62,#REF!,2,0),IF(C62="INFRA",VLOOKUP(D62,#REF!,2,0),""))))))),"")</f>
        <v/>
      </c>
      <c r="F62" s="65" t="str">
        <f>IFERROR(UPPER(IF(C62="CPU",VLOOKUP(D62,#REF!,3,0),IF(C62="SINAPI",VLOOKUP(D62,#REF!,3,0),IF(C62="EDIF",VLOOKUP(D62,#REF!,3,0),IF(C62="CPOS",VLOOKUP(D62,#REF!,4,0),IF(C62="FDE",VLOOKUP(D62,#REF!,3,0),IF(C62="INFRA",VLOOKUP(D62,#REF!,3,0),""))))))),"")</f>
        <v/>
      </c>
      <c r="G62" s="66" t="e">
        <f>#REF!</f>
        <v>#REF!</v>
      </c>
      <c r="H62" s="67" t="str">
        <f>IFERROR(IF(C62="CPU",VLOOKUP(D62,#REF!,4,0),IF(C62="SINAPI",VLOOKUP(D62,#REF!,5,0),IF(C62="EDIF",VLOOKUP(D62,#REF!,4,0),IF(C62="CPOS",VLOOKUP(D62,#REF!,7,0),IF(C62="FDE",VLOOKUP(D62,#REF!,5,0),IF(C62="INFRA",VLOOKUP(D62,#REF!,4,0),""))))))*VLOOKUP(C62,#REF!,3,0),"")</f>
        <v/>
      </c>
      <c r="I62" s="1106">
        <v>0.25</v>
      </c>
      <c r="J62" s="67" t="e">
        <f t="shared" si="8"/>
        <v>#VALUE!</v>
      </c>
      <c r="K62" s="69" t="e">
        <f t="shared" si="9"/>
        <v>#REF!</v>
      </c>
      <c r="L62" s="51"/>
      <c r="M62" s="52"/>
      <c r="N62" s="940"/>
    </row>
    <row r="63" spans="2:14" s="25" customFormat="1" ht="27" customHeight="1">
      <c r="B63" s="61" t="s">
        <v>6325</v>
      </c>
      <c r="C63" s="61" t="s">
        <v>4872</v>
      </c>
      <c r="D63" s="1107">
        <v>10107</v>
      </c>
      <c r="E63" s="64" t="str">
        <f>IFERROR(UPPER(IF(C63="CPU",VLOOKUP(D63,#REF!,2,0),IF(C63="SINAPI",VLOOKUP(D63,#REF!,2,0),IF(C63="EDIF",VLOOKUP(D63,#REF!,2,0),IF(C63="CPOS",VLOOKUP(D63,#REF!,3,0),IF(C63="FDE",VLOOKUP(D63,#REF!,2,0),IF(C63="INFRA",VLOOKUP(D63,#REF!,2,0),""))))))),"")</f>
        <v/>
      </c>
      <c r="F63" s="65" t="str">
        <f>IFERROR(UPPER(IF(C63="CPU",VLOOKUP(D63,#REF!,3,0),IF(C63="SINAPI",VLOOKUP(D63,#REF!,3,0),IF(C63="EDIF",VLOOKUP(D63,#REF!,3,0),IF(C63="CPOS",VLOOKUP(D63,#REF!,4,0),IF(C63="FDE",VLOOKUP(D63,#REF!,3,0),IF(C63="INFRA",VLOOKUP(D63,#REF!,3,0),""))))))),"")</f>
        <v/>
      </c>
      <c r="G63" s="66" t="e">
        <f>#REF!</f>
        <v>#REF!</v>
      </c>
      <c r="H63" s="67" t="str">
        <f>IFERROR(IF(C63="CPU",VLOOKUP(D63,#REF!,4,0),IF(C63="SINAPI",VLOOKUP(D63,#REF!,5,0),IF(C63="EDIF",VLOOKUP(D63,#REF!,4,0),IF(C63="CPOS",VLOOKUP(D63,#REF!,7,0),IF(C63="FDE",VLOOKUP(D63,#REF!,5,0),IF(C63="INFRA",VLOOKUP(D63,#REF!,4,0),""))))))*VLOOKUP(C63,#REF!,3,0),"")</f>
        <v/>
      </c>
      <c r="I63" s="1106">
        <v>0.25</v>
      </c>
      <c r="J63" s="67" t="e">
        <f t="shared" si="8"/>
        <v>#VALUE!</v>
      </c>
      <c r="K63" s="69" t="e">
        <f t="shared" si="9"/>
        <v>#REF!</v>
      </c>
      <c r="L63" s="51"/>
      <c r="M63" s="52"/>
      <c r="N63" s="940"/>
    </row>
    <row r="64" spans="2:14" s="25" customFormat="1" ht="27" customHeight="1">
      <c r="B64" s="53">
        <v>3</v>
      </c>
      <c r="C64" s="54"/>
      <c r="D64" s="54"/>
      <c r="E64" s="55" t="s">
        <v>5658</v>
      </c>
      <c r="F64" s="56" t="str">
        <f>IFERROR(UPPER(IF(C64="CPU",VLOOKUP(D64,#REF!,3,0),IF(C64="SINAPI",VLOOKUP(D64,#REF!,3,0),IF(C64="EDIF",VLOOKUP(D64,#REF!,3,0),IF(C64="CPOS",VLOOKUP(D64,#REF!,4,0),IF(C64="FDE",VLOOKUP(D64,#REF!,3,0),IF(C64="INFRA",VLOOKUP(D64,#REF!,3,0),""))))))),"")</f>
        <v/>
      </c>
      <c r="G64" s="57"/>
      <c r="H64" s="58" t="str">
        <f>IFERROR(IF(C64="CPU",VLOOKUP(D64,#REF!,4,0),IF(C64="SINAPI",VLOOKUP(D64,#REF!,5,0),IF(C64="EDIF",VLOOKUP(D64,#REF!,4,0),IF(C64="CPOS",VLOOKUP(D64,#REF!,7,0),IF(C64="FDE",VLOOKUP(D64,#REF!,5,0),IF(C64="INFRA",VLOOKUP(D64,#REF!,4,0),""))))))*VLOOKUP(C64,#REF!,3,0),"")</f>
        <v/>
      </c>
      <c r="I64" s="59"/>
      <c r="J64" s="59"/>
      <c r="K64" s="1095" t="e">
        <f>SUM(K65:K85)</f>
        <v>#REF!</v>
      </c>
      <c r="L64" s="1096" t="e">
        <f>K64</f>
        <v>#REF!</v>
      </c>
      <c r="M64" s="52"/>
      <c r="N64" s="940"/>
    </row>
    <row r="65" spans="2:14" s="25" customFormat="1" ht="27" customHeight="1">
      <c r="B65" s="61" t="s">
        <v>98</v>
      </c>
      <c r="C65" s="61" t="s">
        <v>1479</v>
      </c>
      <c r="D65" s="1108" t="s">
        <v>6326</v>
      </c>
      <c r="E65" s="64" t="str">
        <f>IFERROR(UPPER(IF(C65="CPU",VLOOKUP(D65,#REF!,2,0),IF(C65="SINAPI",VLOOKUP(D65,#REF!,2,0),IF(C65="EDIF",VLOOKUP(D65,#REF!,2,0),IF(C65="CPOS",VLOOKUP(D65,#REF!,3,0),IF(C65="FDE",VLOOKUP(D65,#REF!,2,0),IF(C65="INFRA",VLOOKUP(D65,#REF!,2,0),""))))))),"")</f>
        <v/>
      </c>
      <c r="F65" s="65" t="str">
        <f>IFERROR(UPPER(IF(C65="CPU",VLOOKUP(D65,#REF!,3,0),IF(C65="SINAPI",VLOOKUP(D65,#REF!,3,0),IF(C65="EDIF",VLOOKUP(D65,#REF!,3,0),IF(C65="CPOS",VLOOKUP(D65,#REF!,4,0),IF(C65="FDE",VLOOKUP(D65,#REF!,3,0),IF(C65="INFRA",VLOOKUP(D65,#REF!,3,0),""))))))),"")</f>
        <v/>
      </c>
      <c r="G65" s="66" t="e">
        <f>#REF!</f>
        <v>#REF!</v>
      </c>
      <c r="H65" s="67" t="str">
        <f>IFERROR(IF(C65="CPU",VLOOKUP(D65,#REF!,4,0),IF(C65="SINAPI",VLOOKUP(D65,#REF!,5,0),IF(C65="EDIF",VLOOKUP(D65,#REF!,4,0),IF(C65="CPOS",VLOOKUP(D65,#REF!,7,0),IF(C65="FDE",VLOOKUP(D65,#REF!,5,0),IF(C65="INFRA",VLOOKUP(D65,#REF!,4,0),""))))))*VLOOKUP(C65,#REF!,3,0),"")</f>
        <v/>
      </c>
      <c r="I65" s="1106">
        <v>0.25</v>
      </c>
      <c r="J65" s="67" t="e">
        <f t="shared" ref="J65:J85" si="10">ROUND(H65*(1+I65),2)</f>
        <v>#VALUE!</v>
      </c>
      <c r="K65" s="69" t="e">
        <f t="shared" ref="K65:K85" si="11">SUM(G65*J65)</f>
        <v>#REF!</v>
      </c>
      <c r="L65" s="51"/>
      <c r="M65" s="52"/>
      <c r="N65" s="940"/>
    </row>
    <row r="66" spans="2:14" s="25" customFormat="1" ht="27" customHeight="1">
      <c r="B66" s="61" t="s">
        <v>102</v>
      </c>
      <c r="C66" s="61" t="s">
        <v>1479</v>
      </c>
      <c r="D66" s="1108" t="s">
        <v>6327</v>
      </c>
      <c r="E66" s="64" t="str">
        <f>IFERROR(UPPER(IF(C66="CPU",VLOOKUP(D66,#REF!,2,0),IF(C66="SINAPI",VLOOKUP(D66,#REF!,2,0),IF(C66="EDIF",VLOOKUP(D66,#REF!,2,0),IF(C66="CPOS",VLOOKUP(D66,#REF!,3,0),IF(C66="FDE",VLOOKUP(D66,#REF!,2,0),IF(C66="INFRA",VLOOKUP(D66,#REF!,2,0),""))))))),"")</f>
        <v/>
      </c>
      <c r="F66" s="65" t="str">
        <f>IFERROR(UPPER(IF(C66="CPU",VLOOKUP(D66,#REF!,3,0),IF(C66="SINAPI",VLOOKUP(D66,#REF!,3,0),IF(C66="EDIF",VLOOKUP(D66,#REF!,3,0),IF(C66="CPOS",VLOOKUP(D66,#REF!,4,0),IF(C66="FDE",VLOOKUP(D66,#REF!,3,0),IF(C66="INFRA",VLOOKUP(D66,#REF!,3,0),""))))))),"")</f>
        <v/>
      </c>
      <c r="G66" s="66" t="e">
        <f>#REF!</f>
        <v>#REF!</v>
      </c>
      <c r="H66" s="67" t="str">
        <f>IFERROR(IF(C66="CPU",VLOOKUP(D66,#REF!,4,0),IF(C66="SINAPI",VLOOKUP(D66,#REF!,5,0),IF(C66="EDIF",VLOOKUP(D66,#REF!,4,0),IF(C66="CPOS",VLOOKUP(D66,#REF!,7,0),IF(C66="FDE",VLOOKUP(D66,#REF!,5,0),IF(C66="INFRA",VLOOKUP(D66,#REF!,4,0),""))))))*VLOOKUP(C66,#REF!,3,0),"")</f>
        <v/>
      </c>
      <c r="I66" s="1106">
        <v>0.25</v>
      </c>
      <c r="J66" s="67" t="e">
        <f t="shared" si="10"/>
        <v>#VALUE!</v>
      </c>
      <c r="K66" s="69" t="e">
        <f t="shared" si="11"/>
        <v>#REF!</v>
      </c>
      <c r="L66" s="51"/>
      <c r="M66" s="52"/>
      <c r="N66" s="940"/>
    </row>
    <row r="67" spans="2:14" s="25" customFormat="1" ht="27" customHeight="1">
      <c r="B67" s="61" t="s">
        <v>114</v>
      </c>
      <c r="C67" s="61" t="s">
        <v>4872</v>
      </c>
      <c r="D67" s="1107">
        <v>20183</v>
      </c>
      <c r="E67" s="64" t="str">
        <f>IFERROR(UPPER(IF(C67="CPU",VLOOKUP(D67,#REF!,2,0),IF(C67="SINAPI",VLOOKUP(D67,#REF!,2,0),IF(C67="EDIF",VLOOKUP(D67,#REF!,2,0),IF(C67="CPOS",VLOOKUP(D67,#REF!,3,0),IF(C67="FDE",VLOOKUP(D67,#REF!,2,0),IF(C67="INFRA",VLOOKUP(D67,#REF!,2,0),""))))))),"")</f>
        <v/>
      </c>
      <c r="F67" s="65" t="str">
        <f>IFERROR(UPPER(IF(C67="CPU",VLOOKUP(D67,#REF!,3,0),IF(C67="SINAPI",VLOOKUP(D67,#REF!,3,0),IF(C67="EDIF",VLOOKUP(D67,#REF!,3,0),IF(C67="CPOS",VLOOKUP(D67,#REF!,4,0),IF(C67="FDE",VLOOKUP(D67,#REF!,3,0),IF(C67="INFRA",VLOOKUP(D67,#REF!,3,0),""))))))),"")</f>
        <v/>
      </c>
      <c r="G67" s="66" t="e">
        <f>#REF!</f>
        <v>#REF!</v>
      </c>
      <c r="H67" s="67" t="str">
        <f>IFERROR(IF(C67="CPU",VLOOKUP(D67,#REF!,4,0),IF(C67="SINAPI",VLOOKUP(D67,#REF!,5,0),IF(C67="EDIF",VLOOKUP(D67,#REF!,4,0),IF(C67="CPOS",VLOOKUP(D67,#REF!,7,0),IF(C67="FDE",VLOOKUP(D67,#REF!,5,0),IF(C67="INFRA",VLOOKUP(D67,#REF!,4,0),""))))))*VLOOKUP(C67,#REF!,3,0),"")</f>
        <v/>
      </c>
      <c r="I67" s="1106">
        <v>0.25</v>
      </c>
      <c r="J67" s="67" t="e">
        <f t="shared" si="10"/>
        <v>#VALUE!</v>
      </c>
      <c r="K67" s="69" t="e">
        <f t="shared" si="11"/>
        <v>#REF!</v>
      </c>
      <c r="L67" s="51"/>
      <c r="M67" s="52"/>
      <c r="N67" s="940"/>
    </row>
    <row r="68" spans="2:14" s="25" customFormat="1" ht="27" customHeight="1">
      <c r="B68" s="61" t="s">
        <v>128</v>
      </c>
      <c r="C68" s="61" t="s">
        <v>1479</v>
      </c>
      <c r="D68" s="1109" t="s">
        <v>6328</v>
      </c>
      <c r="E68" s="64" t="str">
        <f>IFERROR(UPPER(IF(C68="CPU",VLOOKUP(D68,#REF!,2,0),IF(C68="SINAPI",VLOOKUP(D68,#REF!,2,0),IF(C68="EDIF",VLOOKUP(D68,#REF!,2,0),IF(C68="CPOS",VLOOKUP(D68,#REF!,3,0),IF(C68="FDE",VLOOKUP(D68,#REF!,2,0),IF(C68="INFRA",VLOOKUP(D68,#REF!,2,0),""))))))),"")</f>
        <v/>
      </c>
      <c r="F68" s="65" t="str">
        <f>IFERROR(UPPER(IF(C68="CPU",VLOOKUP(D68,#REF!,3,0),IF(C68="SINAPI",VLOOKUP(D68,#REF!,3,0),IF(C68="EDIF",VLOOKUP(D68,#REF!,3,0),IF(C68="CPOS",VLOOKUP(D68,#REF!,4,0),IF(C68="FDE",VLOOKUP(D68,#REF!,3,0),IF(C68="INFRA",VLOOKUP(D68,#REF!,3,0),""))))))),"")</f>
        <v/>
      </c>
      <c r="G68" s="66" t="e">
        <f>#REF!</f>
        <v>#REF!</v>
      </c>
      <c r="H68" s="67" t="str">
        <f>IFERROR(IF(C68="CPU",VLOOKUP(D68,#REF!,4,0),IF(C68="SINAPI",VLOOKUP(D68,#REF!,5,0),IF(C68="EDIF",VLOOKUP(D68,#REF!,4,0),IF(C68="CPOS",VLOOKUP(D68,#REF!,7,0),IF(C68="FDE",VLOOKUP(D68,#REF!,5,0),IF(C68="INFRA",VLOOKUP(D68,#REF!,4,0),""))))))*VLOOKUP(C68,#REF!,3,0),"")</f>
        <v/>
      </c>
      <c r="I68" s="1106">
        <v>0.25</v>
      </c>
      <c r="J68" s="67" t="e">
        <f t="shared" si="10"/>
        <v>#VALUE!</v>
      </c>
      <c r="K68" s="69" t="e">
        <f t="shared" si="11"/>
        <v>#REF!</v>
      </c>
      <c r="L68" s="51"/>
      <c r="M68" s="52"/>
      <c r="N68" s="940"/>
    </row>
    <row r="69" spans="2:14" s="25" customFormat="1" ht="27" customHeight="1">
      <c r="B69" s="61" t="s">
        <v>6329</v>
      </c>
      <c r="C69" s="61" t="s">
        <v>4908</v>
      </c>
      <c r="D69" s="65" t="s">
        <v>6330</v>
      </c>
      <c r="E69" s="64" t="str">
        <f>IFERROR(UPPER(IF(C69="CPU",VLOOKUP(D69,#REF!,2,0),IF(C69="SINAPI",VLOOKUP(D69,#REF!,2,0),IF(C69="EDIF",VLOOKUP(D69,#REF!,2,0),IF(C69="CPOS",VLOOKUP(D69,#REF!,3,0),IF(C69="FDE",VLOOKUP(D69,#REF!,2,0),IF(C69="INFRA",VLOOKUP(D69,#REF!,2,0),""))))))),"")</f>
        <v/>
      </c>
      <c r="F69" s="65" t="str">
        <f>IFERROR(UPPER(IF(C69="CPU",VLOOKUP(D69,#REF!,3,0),IF(C69="SINAPI",VLOOKUP(D69,#REF!,3,0),IF(C69="EDIF",VLOOKUP(D69,#REF!,3,0),IF(C69="CPOS",VLOOKUP(D69,#REF!,4,0),IF(C69="FDE",VLOOKUP(D69,#REF!,3,0),IF(C69="INFRA",VLOOKUP(D69,#REF!,3,0),""))))))),"")</f>
        <v/>
      </c>
      <c r="G69" s="66">
        <v>140</v>
      </c>
      <c r="H69" s="67" t="str">
        <f>IFERROR(IF(C69="CPU",VLOOKUP(D69,#REF!,4,0),IF(C69="SINAPI",VLOOKUP(D69,#REF!,5,0),IF(C69="EDIF",VLOOKUP(D69,#REF!,4,0),IF(C69="CPOS",VLOOKUP(D69,#REF!,7,0),IF(C69="FDE",VLOOKUP(D69,#REF!,5,0),IF(C69="INFRA",VLOOKUP(D69,#REF!,4,0),""))))))*VLOOKUP(C69,#REF!,3,0),"")</f>
        <v/>
      </c>
      <c r="I69" s="1106">
        <v>0.25</v>
      </c>
      <c r="J69" s="67" t="e">
        <f t="shared" si="10"/>
        <v>#VALUE!</v>
      </c>
      <c r="K69" s="69" t="e">
        <f t="shared" si="11"/>
        <v>#VALUE!</v>
      </c>
      <c r="L69" s="51"/>
      <c r="M69" s="52"/>
      <c r="N69" s="940"/>
    </row>
    <row r="70" spans="2:14" s="25" customFormat="1" ht="27" customHeight="1">
      <c r="B70" s="61" t="s">
        <v>6331</v>
      </c>
      <c r="C70" s="61" t="s">
        <v>4872</v>
      </c>
      <c r="D70" s="1107">
        <v>20210</v>
      </c>
      <c r="E70" s="64" t="str">
        <f>IFERROR(UPPER(IF(C70="CPU",VLOOKUP(D70,#REF!,2,0),IF(C70="SINAPI",VLOOKUP(D70,#REF!,2,0),IF(C70="EDIF",VLOOKUP(D70,#REF!,2,0),IF(C70="CPOS",VLOOKUP(D70,#REF!,3,0),IF(C70="FDE",VLOOKUP(D70,#REF!,2,0),IF(C70="INFRA",VLOOKUP(D70,#REF!,2,0),""))))))),"")</f>
        <v/>
      </c>
      <c r="F70" s="65" t="str">
        <f>IFERROR(UPPER(IF(C70="CPU",VLOOKUP(D70,#REF!,3,0),IF(C70="SINAPI",VLOOKUP(D70,#REF!,3,0),IF(C70="EDIF",VLOOKUP(D70,#REF!,3,0),IF(C70="CPOS",VLOOKUP(D70,#REF!,4,0),IF(C70="FDE",VLOOKUP(D70,#REF!,3,0),IF(C70="INFRA",VLOOKUP(D70,#REF!,3,0),""))))))),"")</f>
        <v/>
      </c>
      <c r="G70" s="66" t="e">
        <f>#REF!</f>
        <v>#REF!</v>
      </c>
      <c r="H70" s="67" t="str">
        <f>IFERROR(IF(C70="CPU",VLOOKUP(D70,#REF!,4,0),IF(C70="SINAPI",VLOOKUP(D70,#REF!,5,0),IF(C70="EDIF",VLOOKUP(D70,#REF!,4,0),IF(C70="CPOS",VLOOKUP(D70,#REF!,7,0),IF(C70="FDE",VLOOKUP(D70,#REF!,5,0),IF(C70="INFRA",VLOOKUP(D70,#REF!,4,0),""))))))*VLOOKUP(C70,#REF!,3,0),"")</f>
        <v/>
      </c>
      <c r="I70" s="1106">
        <v>0.25</v>
      </c>
      <c r="J70" s="67" t="e">
        <f t="shared" si="10"/>
        <v>#VALUE!</v>
      </c>
      <c r="K70" s="69" t="e">
        <f t="shared" si="11"/>
        <v>#REF!</v>
      </c>
      <c r="L70" s="51"/>
      <c r="M70" s="52"/>
      <c r="N70" s="940"/>
    </row>
    <row r="71" spans="2:14" s="25" customFormat="1" ht="27" customHeight="1">
      <c r="B71" s="61" t="s">
        <v>6332</v>
      </c>
      <c r="C71" s="61" t="s">
        <v>4872</v>
      </c>
      <c r="D71" s="1107">
        <v>130110</v>
      </c>
      <c r="E71" s="64" t="str">
        <f>IFERROR(UPPER(IF(C71="CPU",VLOOKUP(D71,#REF!,2,0),IF(C71="SINAPI",VLOOKUP(D71,#REF!,2,0),IF(C71="EDIF",VLOOKUP(D71,#REF!,2,0),IF(C71="CPOS",VLOOKUP(D71,#REF!,3,0),IF(C71="FDE",VLOOKUP(D71,#REF!,2,0),IF(C71="INFRA",VLOOKUP(D71,#REF!,2,0),""))))))),"")</f>
        <v/>
      </c>
      <c r="F71" s="65" t="str">
        <f>IFERROR(UPPER(IF(C71="CPU",VLOOKUP(D71,#REF!,3,0),IF(C71="SINAPI",VLOOKUP(D71,#REF!,3,0),IF(C71="EDIF",VLOOKUP(D71,#REF!,3,0),IF(C71="CPOS",VLOOKUP(D71,#REF!,4,0),IF(C71="FDE",VLOOKUP(D71,#REF!,3,0),IF(C71="INFRA",VLOOKUP(D71,#REF!,3,0),""))))))),"")</f>
        <v/>
      </c>
      <c r="G71" s="66" t="e">
        <f>#REF!</f>
        <v>#REF!</v>
      </c>
      <c r="H71" s="67" t="str">
        <f>IFERROR(IF(C71="CPU",VLOOKUP(D71,#REF!,4,0),IF(C71="SINAPI",VLOOKUP(D71,#REF!,5,0),IF(C71="EDIF",VLOOKUP(D71,#REF!,4,0),IF(C71="CPOS",VLOOKUP(D71,#REF!,7,0),IF(C71="FDE",VLOOKUP(D71,#REF!,5,0),IF(C71="INFRA",VLOOKUP(D71,#REF!,4,0),""))))))*VLOOKUP(C71,#REF!,3,0),"")</f>
        <v/>
      </c>
      <c r="I71" s="1106">
        <v>0.25</v>
      </c>
      <c r="J71" s="67" t="e">
        <f t="shared" si="10"/>
        <v>#VALUE!</v>
      </c>
      <c r="K71" s="69" t="e">
        <f t="shared" si="11"/>
        <v>#REF!</v>
      </c>
      <c r="L71" s="51"/>
      <c r="M71" s="52"/>
      <c r="N71" s="940"/>
    </row>
    <row r="72" spans="2:14" s="25" customFormat="1" ht="27" customHeight="1">
      <c r="B72" s="61" t="s">
        <v>6333</v>
      </c>
      <c r="C72" s="61" t="s">
        <v>4872</v>
      </c>
      <c r="D72" s="1107">
        <v>20216</v>
      </c>
      <c r="E72" s="64" t="str">
        <f>IFERROR(UPPER(IF(C72="CPU",VLOOKUP(D72,#REF!,2,0),IF(C72="SINAPI",VLOOKUP(D72,#REF!,2,0),IF(C72="EDIF",VLOOKUP(D72,#REF!,2,0),IF(C72="CPOS",VLOOKUP(D72,#REF!,3,0),IF(C72="FDE",VLOOKUP(D72,#REF!,2,0),IF(C72="INFRA",VLOOKUP(D72,#REF!,2,0),""))))))),"")</f>
        <v/>
      </c>
      <c r="F72" s="65" t="str">
        <f>IFERROR(UPPER(IF(C72="CPU",VLOOKUP(D72,#REF!,3,0),IF(C72="SINAPI",VLOOKUP(D72,#REF!,3,0),IF(C72="EDIF",VLOOKUP(D72,#REF!,3,0),IF(C72="CPOS",VLOOKUP(D72,#REF!,4,0),IF(C72="FDE",VLOOKUP(D72,#REF!,3,0),IF(C72="INFRA",VLOOKUP(D72,#REF!,3,0),""))))))),"")</f>
        <v/>
      </c>
      <c r="G72" s="66" t="e">
        <f>#REF!</f>
        <v>#REF!</v>
      </c>
      <c r="H72" s="67" t="str">
        <f>IFERROR(IF(C72="CPU",VLOOKUP(D72,#REF!,4,0),IF(C72="SINAPI",VLOOKUP(D72,#REF!,5,0),IF(C72="EDIF",VLOOKUP(D72,#REF!,4,0),IF(C72="CPOS",VLOOKUP(D72,#REF!,7,0),IF(C72="FDE",VLOOKUP(D72,#REF!,5,0),IF(C72="INFRA",VLOOKUP(D72,#REF!,4,0),""))))))*VLOOKUP(C72,#REF!,3,0),"")</f>
        <v/>
      </c>
      <c r="I72" s="1106">
        <v>0.25</v>
      </c>
      <c r="J72" s="67" t="e">
        <f t="shared" si="10"/>
        <v>#VALUE!</v>
      </c>
      <c r="K72" s="69" t="e">
        <f t="shared" si="11"/>
        <v>#REF!</v>
      </c>
      <c r="L72" s="51"/>
      <c r="M72" s="52"/>
      <c r="N72" s="940"/>
    </row>
    <row r="73" spans="2:14" s="25" customFormat="1" ht="27" customHeight="1">
      <c r="B73" s="61" t="s">
        <v>6334</v>
      </c>
      <c r="C73" s="61" t="s">
        <v>4872</v>
      </c>
      <c r="D73" s="1107">
        <v>20301</v>
      </c>
      <c r="E73" s="64" t="str">
        <f>IFERROR(UPPER(IF(C73="CPU",VLOOKUP(D73,#REF!,2,0),IF(C73="SINAPI",VLOOKUP(D73,#REF!,2,0),IF(C73="EDIF",VLOOKUP(D73,#REF!,2,0),IF(C73="CPOS",VLOOKUP(D73,#REF!,3,0),IF(C73="FDE",VLOOKUP(D73,#REF!,2,0),IF(C73="INFRA",VLOOKUP(D73,#REF!,2,0),""))))))),"")</f>
        <v/>
      </c>
      <c r="F73" s="65" t="str">
        <f>IFERROR(UPPER(IF(C73="CPU",VLOOKUP(D73,#REF!,3,0),IF(C73="SINAPI",VLOOKUP(D73,#REF!,3,0),IF(C73="EDIF",VLOOKUP(D73,#REF!,3,0),IF(C73="CPOS",VLOOKUP(D73,#REF!,4,0),IF(C73="FDE",VLOOKUP(D73,#REF!,3,0),IF(C73="INFRA",VLOOKUP(D73,#REF!,3,0),""))))))),"")</f>
        <v/>
      </c>
      <c r="G73" s="66" t="e">
        <f>#REF!</f>
        <v>#REF!</v>
      </c>
      <c r="H73" s="67" t="str">
        <f>IFERROR(IF(C73="CPU",VLOOKUP(D73,#REF!,4,0),IF(C73="SINAPI",VLOOKUP(D73,#REF!,5,0),IF(C73="EDIF",VLOOKUP(D73,#REF!,4,0),IF(C73="CPOS",VLOOKUP(D73,#REF!,7,0),IF(C73="FDE",VLOOKUP(D73,#REF!,5,0),IF(C73="INFRA",VLOOKUP(D73,#REF!,4,0),""))))))*VLOOKUP(C73,#REF!,3,0),"")</f>
        <v/>
      </c>
      <c r="I73" s="1106">
        <v>0.25</v>
      </c>
      <c r="J73" s="67" t="e">
        <f t="shared" si="10"/>
        <v>#VALUE!</v>
      </c>
      <c r="K73" s="69" t="e">
        <f t="shared" si="11"/>
        <v>#REF!</v>
      </c>
      <c r="L73" s="51"/>
      <c r="M73" s="52"/>
      <c r="N73" s="940"/>
    </row>
    <row r="74" spans="2:14" s="25" customFormat="1" ht="27" customHeight="1">
      <c r="B74" s="61" t="s">
        <v>6335</v>
      </c>
      <c r="C74" s="61" t="s">
        <v>4872</v>
      </c>
      <c r="D74" s="1109">
        <v>20404</v>
      </c>
      <c r="E74" s="64" t="str">
        <f>IFERROR(UPPER(IF(C74="CPU",VLOOKUP(D74,#REF!,2,0),IF(C74="SINAPI",VLOOKUP(D74,#REF!,2,0),IF(C74="EDIF",VLOOKUP(D74,#REF!,2,0),IF(C74="CPOS",VLOOKUP(D74,#REF!,3,0),IF(C74="FDE",VLOOKUP(D74,#REF!,2,0),IF(C74="INFRA",VLOOKUP(D74,#REF!,2,0),""))))))),"")</f>
        <v/>
      </c>
      <c r="F74" s="65" t="str">
        <f>IFERROR(UPPER(IF(C74="CPU",VLOOKUP(D74,#REF!,3,0),IF(C74="SINAPI",VLOOKUP(D74,#REF!,3,0),IF(C74="EDIF",VLOOKUP(D74,#REF!,3,0),IF(C74="CPOS",VLOOKUP(D74,#REF!,4,0),IF(C74="FDE",VLOOKUP(D74,#REF!,3,0),IF(C74="INFRA",VLOOKUP(D74,#REF!,3,0),""))))))),"")</f>
        <v/>
      </c>
      <c r="G74" s="66" t="e">
        <f>#REF!</f>
        <v>#REF!</v>
      </c>
      <c r="H74" s="67" t="str">
        <f>IFERROR(IF(C74="CPU",VLOOKUP(D74,#REF!,4,0),IF(C74="SINAPI",VLOOKUP(D74,#REF!,5,0),IF(C74="EDIF",VLOOKUP(D74,#REF!,4,0),IF(C74="CPOS",VLOOKUP(D74,#REF!,7,0),IF(C74="FDE",VLOOKUP(D74,#REF!,5,0),IF(C74="INFRA",VLOOKUP(D74,#REF!,4,0),""))))))*VLOOKUP(C74,#REF!,3,0),"")</f>
        <v/>
      </c>
      <c r="I74" s="1106">
        <v>0.25</v>
      </c>
      <c r="J74" s="67" t="e">
        <f t="shared" si="10"/>
        <v>#VALUE!</v>
      </c>
      <c r="K74" s="69" t="e">
        <f t="shared" si="11"/>
        <v>#REF!</v>
      </c>
      <c r="L74" s="51"/>
      <c r="M74" s="52"/>
      <c r="N74" s="940"/>
    </row>
    <row r="75" spans="2:14" s="25" customFormat="1" ht="27" customHeight="1">
      <c r="B75" s="61" t="s">
        <v>6336</v>
      </c>
      <c r="C75" s="61" t="s">
        <v>4872</v>
      </c>
      <c r="D75" s="1109">
        <v>20511</v>
      </c>
      <c r="E75" s="64" t="str">
        <f>IFERROR(UPPER(IF(C75="CPU",VLOOKUP(D75,#REF!,2,0),IF(C75="SINAPI",VLOOKUP(D75,#REF!,2,0),IF(C75="EDIF",VLOOKUP(D75,#REF!,2,0),IF(C75="CPOS",VLOOKUP(D75,#REF!,3,0),IF(C75="FDE",VLOOKUP(D75,#REF!,2,0),IF(C75="INFRA",VLOOKUP(D75,#REF!,2,0),""))))))),"")</f>
        <v/>
      </c>
      <c r="F75" s="65" t="str">
        <f>IFERROR(UPPER(IF(C75="CPU",VLOOKUP(D75,#REF!,3,0),IF(C75="SINAPI",VLOOKUP(D75,#REF!,3,0),IF(C75="EDIF",VLOOKUP(D75,#REF!,3,0),IF(C75="CPOS",VLOOKUP(D75,#REF!,4,0),IF(C75="FDE",VLOOKUP(D75,#REF!,3,0),IF(C75="INFRA",VLOOKUP(D75,#REF!,3,0),""))))))),"")</f>
        <v/>
      </c>
      <c r="G75" s="66" t="e">
        <f>#REF!</f>
        <v>#REF!</v>
      </c>
      <c r="H75" s="67" t="str">
        <f>IFERROR(IF(C75="CPU",VLOOKUP(D75,#REF!,4,0),IF(C75="SINAPI",VLOOKUP(D75,#REF!,5,0),IF(C75="EDIF",VLOOKUP(D75,#REF!,4,0),IF(C75="CPOS",VLOOKUP(D75,#REF!,7,0),IF(C75="FDE",VLOOKUP(D75,#REF!,5,0),IF(C75="INFRA",VLOOKUP(D75,#REF!,4,0),""))))))*VLOOKUP(C75,#REF!,3,0),"")</f>
        <v/>
      </c>
      <c r="I75" s="1106">
        <v>0.25</v>
      </c>
      <c r="J75" s="67" t="e">
        <f t="shared" si="10"/>
        <v>#VALUE!</v>
      </c>
      <c r="K75" s="69" t="e">
        <f t="shared" si="11"/>
        <v>#REF!</v>
      </c>
      <c r="L75" s="51"/>
      <c r="M75" s="52"/>
      <c r="N75" s="940"/>
    </row>
    <row r="76" spans="2:14" s="25" customFormat="1" ht="27" customHeight="1">
      <c r="B76" s="61" t="s">
        <v>6337</v>
      </c>
      <c r="C76" s="61" t="s">
        <v>4908</v>
      </c>
      <c r="D76" s="65" t="s">
        <v>6338</v>
      </c>
      <c r="E76" s="64" t="str">
        <f>IFERROR(UPPER(IF(C76="CPU",VLOOKUP(D76,#REF!,2,0),IF(C76="SINAPI",VLOOKUP(D76,#REF!,2,0),IF(C76="EDIF",VLOOKUP(D76,#REF!,2,0),IF(C76="CPOS",VLOOKUP(D76,#REF!,3,0),IF(C76="FDE",VLOOKUP(D76,#REF!,2,0),IF(C76="INFRA",VLOOKUP(D76,#REF!,2,0),""))))))),"")</f>
        <v/>
      </c>
      <c r="F76" s="65" t="str">
        <f>IFERROR(UPPER(IF(C76="CPU",VLOOKUP(D76,#REF!,3,0),IF(C76="SINAPI",VLOOKUP(D76,#REF!,3,0),IF(C76="EDIF",VLOOKUP(D76,#REF!,3,0),IF(C76="CPOS",VLOOKUP(D76,#REF!,4,0),IF(C76="FDE",VLOOKUP(D76,#REF!,3,0),IF(C76="INFRA",VLOOKUP(D76,#REF!,3,0),""))))))),"")</f>
        <v/>
      </c>
      <c r="G76" s="66" t="e">
        <f>G75</f>
        <v>#REF!</v>
      </c>
      <c r="H76" s="67" t="str">
        <f>IFERROR(IF(C76="CPU",VLOOKUP(D76,#REF!,4,0),IF(C76="SINAPI",VLOOKUP(D76,#REF!,5,0),IF(C76="EDIF",VLOOKUP(D76,#REF!,4,0),IF(C76="CPOS",VLOOKUP(D76,#REF!,7,0),IF(C76="FDE",VLOOKUP(D76,#REF!,5,0),IF(C76="INFRA",VLOOKUP(D76,#REF!,4,0),""))))))*VLOOKUP(C76,#REF!,3,0),"")</f>
        <v/>
      </c>
      <c r="I76" s="1106">
        <v>0.25</v>
      </c>
      <c r="J76" s="67" t="e">
        <f t="shared" si="10"/>
        <v>#VALUE!</v>
      </c>
      <c r="K76" s="69" t="e">
        <f t="shared" si="11"/>
        <v>#REF!</v>
      </c>
      <c r="L76" s="51"/>
      <c r="M76" s="52"/>
      <c r="N76" s="940"/>
    </row>
    <row r="77" spans="2:14" s="25" customFormat="1" ht="27" customHeight="1">
      <c r="B77" s="61" t="s">
        <v>6339</v>
      </c>
      <c r="C77" s="61" t="s">
        <v>4908</v>
      </c>
      <c r="D77" s="65" t="s">
        <v>6340</v>
      </c>
      <c r="E77" s="64" t="str">
        <f>IFERROR(UPPER(IF(C77="CPU",VLOOKUP(D77,#REF!,2,0),IF(C77="SINAPI",VLOOKUP(D77,#REF!,2,0),IF(C77="EDIF",VLOOKUP(D77,#REF!,2,0),IF(C77="CPOS",VLOOKUP(D77,#REF!,3,0),IF(C77="FDE",VLOOKUP(D77,#REF!,2,0),IF(C77="INFRA",VLOOKUP(D77,#REF!,2,0),""))))))),"")</f>
        <v/>
      </c>
      <c r="F77" s="65" t="str">
        <f>IFERROR(UPPER(IF(C77="CPU",VLOOKUP(D77,#REF!,3,0),IF(C77="SINAPI",VLOOKUP(D77,#REF!,3,0),IF(C77="EDIF",VLOOKUP(D77,#REF!,3,0),IF(C77="CPOS",VLOOKUP(D77,#REF!,4,0),IF(C77="FDE",VLOOKUP(D77,#REF!,3,0),IF(C77="INFRA",VLOOKUP(D77,#REF!,3,0),""))))))),"")</f>
        <v/>
      </c>
      <c r="G77" s="66" t="e">
        <f>#REF!</f>
        <v>#REF!</v>
      </c>
      <c r="H77" s="67" t="str">
        <f>IFERROR(IF(C77="CPU",VLOOKUP(D77,#REF!,4,0),IF(C77="SINAPI",VLOOKUP(D77,#REF!,5,0),IF(C77="EDIF",VLOOKUP(D77,#REF!,4,0),IF(C77="CPOS",VLOOKUP(D77,#REF!,7,0),IF(C77="FDE",VLOOKUP(D77,#REF!,5,0),IF(C77="INFRA",VLOOKUP(D77,#REF!,4,0),""))))))*VLOOKUP(C77,#REF!,3,0),"")</f>
        <v/>
      </c>
      <c r="I77" s="1106">
        <v>0.25</v>
      </c>
      <c r="J77" s="67" t="e">
        <f t="shared" si="10"/>
        <v>#VALUE!</v>
      </c>
      <c r="K77" s="69" t="e">
        <f t="shared" si="11"/>
        <v>#REF!</v>
      </c>
      <c r="L77" s="51"/>
      <c r="M77" s="52"/>
      <c r="N77" s="940"/>
    </row>
    <row r="78" spans="2:14" s="25" customFormat="1" ht="27" customHeight="1">
      <c r="B78" s="61" t="s">
        <v>6341</v>
      </c>
      <c r="C78" s="61" t="s">
        <v>4872</v>
      </c>
      <c r="D78" s="1107">
        <v>20210</v>
      </c>
      <c r="E78" s="64" t="str">
        <f>IFERROR(UPPER(IF(C78="CPU",VLOOKUP(D78,#REF!,2,0),IF(C78="SINAPI",VLOOKUP(D78,#REF!,2,0),IF(C78="EDIF",VLOOKUP(D78,#REF!,2,0),IF(C78="CPOS",VLOOKUP(D78,#REF!,3,0),IF(C78="FDE",VLOOKUP(D78,#REF!,2,0),IF(C78="INFRA",VLOOKUP(D78,#REF!,2,0),""))))))),"")</f>
        <v/>
      </c>
      <c r="F78" s="65" t="str">
        <f>IFERROR(UPPER(IF(C78="CPU",VLOOKUP(D78,#REF!,3,0),IF(C78="SINAPI",VLOOKUP(D78,#REF!,3,0),IF(C78="EDIF",VLOOKUP(D78,#REF!,3,0),IF(C78="CPOS",VLOOKUP(D78,#REF!,4,0),IF(C78="FDE",VLOOKUP(D78,#REF!,3,0),IF(C78="INFRA",VLOOKUP(D78,#REF!,3,0),""))))))),"")</f>
        <v/>
      </c>
      <c r="G78" s="66" t="e">
        <f>#REF!</f>
        <v>#REF!</v>
      </c>
      <c r="H78" s="67" t="str">
        <f>IFERROR(IF(C78="CPU",VLOOKUP(D78,#REF!,4,0),IF(C78="SINAPI",VLOOKUP(D78,#REF!,5,0),IF(C78="EDIF",VLOOKUP(D78,#REF!,4,0),IF(C78="CPOS",VLOOKUP(D78,#REF!,7,0),IF(C78="FDE",VLOOKUP(D78,#REF!,5,0),IF(C78="INFRA",VLOOKUP(D78,#REF!,4,0),""))))))*VLOOKUP(C78,#REF!,3,0),"")</f>
        <v/>
      </c>
      <c r="I78" s="1106">
        <v>0.25</v>
      </c>
      <c r="J78" s="67" t="e">
        <f t="shared" si="10"/>
        <v>#VALUE!</v>
      </c>
      <c r="K78" s="69" t="e">
        <f t="shared" si="11"/>
        <v>#REF!</v>
      </c>
      <c r="L78" s="51"/>
      <c r="M78" s="52"/>
      <c r="N78" s="940"/>
    </row>
    <row r="79" spans="2:14" s="25" customFormat="1" ht="27" customHeight="1">
      <c r="B79" s="61" t="s">
        <v>6342</v>
      </c>
      <c r="C79" s="61" t="s">
        <v>4872</v>
      </c>
      <c r="D79" s="1107">
        <v>130110</v>
      </c>
      <c r="E79" s="64" t="str">
        <f>IFERROR(UPPER(IF(C79="CPU",VLOOKUP(D79,#REF!,2,0),IF(C79="SINAPI",VLOOKUP(D79,#REF!,2,0),IF(C79="EDIF",VLOOKUP(D79,#REF!,2,0),IF(C79="CPOS",VLOOKUP(D79,#REF!,3,0),IF(C79="FDE",VLOOKUP(D79,#REF!,2,0),IF(C79="INFRA",VLOOKUP(D79,#REF!,2,0),""))))))),"")</f>
        <v/>
      </c>
      <c r="F79" s="65" t="str">
        <f>IFERROR(UPPER(IF(C79="CPU",VLOOKUP(D79,#REF!,3,0),IF(C79="SINAPI",VLOOKUP(D79,#REF!,3,0),IF(C79="EDIF",VLOOKUP(D79,#REF!,3,0),IF(C79="CPOS",VLOOKUP(D79,#REF!,4,0),IF(C79="FDE",VLOOKUP(D79,#REF!,3,0),IF(C79="INFRA",VLOOKUP(D79,#REF!,3,0),""))))))),"")</f>
        <v/>
      </c>
      <c r="G79" s="66" t="e">
        <f>#REF!</f>
        <v>#REF!</v>
      </c>
      <c r="H79" s="67" t="str">
        <f>IFERROR(IF(C79="CPU",VLOOKUP(D79,#REF!,4,0),IF(C79="SINAPI",VLOOKUP(D79,#REF!,5,0),IF(C79="EDIF",VLOOKUP(D79,#REF!,4,0),IF(C79="CPOS",VLOOKUP(D79,#REF!,7,0),IF(C79="FDE",VLOOKUP(D79,#REF!,5,0),IF(C79="INFRA",VLOOKUP(D79,#REF!,4,0),""))))))*VLOOKUP(C79,#REF!,3,0),"")</f>
        <v/>
      </c>
      <c r="I79" s="1106">
        <v>0.25</v>
      </c>
      <c r="J79" s="67" t="e">
        <f t="shared" si="10"/>
        <v>#VALUE!</v>
      </c>
      <c r="K79" s="69" t="e">
        <f t="shared" si="11"/>
        <v>#REF!</v>
      </c>
      <c r="L79" s="51"/>
      <c r="M79" s="52"/>
      <c r="N79" s="940"/>
    </row>
    <row r="80" spans="2:14" s="25" customFormat="1" ht="27" customHeight="1">
      <c r="B80" s="61" t="s">
        <v>6343</v>
      </c>
      <c r="C80" s="61" t="s">
        <v>4872</v>
      </c>
      <c r="D80" s="1107">
        <v>20301</v>
      </c>
      <c r="E80" s="64" t="str">
        <f>IFERROR(UPPER(IF(C80="CPU",VLOOKUP(D80,#REF!,2,0),IF(C80="SINAPI",VLOOKUP(D80,#REF!,2,0),IF(C80="EDIF",VLOOKUP(D80,#REF!,2,0),IF(C80="CPOS",VLOOKUP(D80,#REF!,3,0),IF(C80="FDE",VLOOKUP(D80,#REF!,2,0),IF(C80="INFRA",VLOOKUP(D80,#REF!,2,0),""))))))),"")</f>
        <v/>
      </c>
      <c r="F80" s="65" t="str">
        <f>IFERROR(UPPER(IF(C80="CPU",VLOOKUP(D80,#REF!,3,0),IF(C80="SINAPI",VLOOKUP(D80,#REF!,3,0),IF(C80="EDIF",VLOOKUP(D80,#REF!,3,0),IF(C80="CPOS",VLOOKUP(D80,#REF!,4,0),IF(C80="FDE",VLOOKUP(D80,#REF!,3,0),IF(C80="INFRA",VLOOKUP(D80,#REF!,3,0),""))))))),"")</f>
        <v/>
      </c>
      <c r="G80" s="66" t="e">
        <f>#REF!</f>
        <v>#REF!</v>
      </c>
      <c r="H80" s="67" t="str">
        <f>IFERROR(IF(C80="CPU",VLOOKUP(D80,#REF!,4,0),IF(C80="SINAPI",VLOOKUP(D80,#REF!,5,0),IF(C80="EDIF",VLOOKUP(D80,#REF!,4,0),IF(C80="CPOS",VLOOKUP(D80,#REF!,7,0),IF(C80="FDE",VLOOKUP(D80,#REF!,5,0),IF(C80="INFRA",VLOOKUP(D80,#REF!,4,0),""))))))*VLOOKUP(C80,#REF!,3,0),"")</f>
        <v/>
      </c>
      <c r="I80" s="1106">
        <v>0.25</v>
      </c>
      <c r="J80" s="67" t="e">
        <f t="shared" si="10"/>
        <v>#VALUE!</v>
      </c>
      <c r="K80" s="69" t="e">
        <f t="shared" si="11"/>
        <v>#REF!</v>
      </c>
      <c r="L80" s="51"/>
      <c r="M80" s="52"/>
      <c r="N80" s="940"/>
    </row>
    <row r="81" spans="2:14" s="25" customFormat="1" ht="27" customHeight="1">
      <c r="B81" s="61" t="s">
        <v>6344</v>
      </c>
      <c r="C81" s="61" t="s">
        <v>4872</v>
      </c>
      <c r="D81" s="1109">
        <v>20404</v>
      </c>
      <c r="E81" s="64" t="str">
        <f>IFERROR(UPPER(IF(C81="CPU",VLOOKUP(D81,#REF!,2,0),IF(C81="SINAPI",VLOOKUP(D81,#REF!,2,0),IF(C81="EDIF",VLOOKUP(D81,#REF!,2,0),IF(C81="CPOS",VLOOKUP(D81,#REF!,3,0),IF(C81="FDE",VLOOKUP(D81,#REF!,2,0),IF(C81="INFRA",VLOOKUP(D81,#REF!,2,0),""))))))),"")</f>
        <v/>
      </c>
      <c r="F81" s="65" t="str">
        <f>IFERROR(UPPER(IF(C81="CPU",VLOOKUP(D81,#REF!,3,0),IF(C81="SINAPI",VLOOKUP(D81,#REF!,3,0),IF(C81="EDIF",VLOOKUP(D81,#REF!,3,0),IF(C81="CPOS",VLOOKUP(D81,#REF!,4,0),IF(C81="FDE",VLOOKUP(D81,#REF!,3,0),IF(C81="INFRA",VLOOKUP(D81,#REF!,3,0),""))))))),"")</f>
        <v/>
      </c>
      <c r="G81" s="66" t="e">
        <f>#REF!</f>
        <v>#REF!</v>
      </c>
      <c r="H81" s="67" t="str">
        <f>IFERROR(IF(C81="CPU",VLOOKUP(D81,#REF!,4,0),IF(C81="SINAPI",VLOOKUP(D81,#REF!,5,0),IF(C81="EDIF",VLOOKUP(D81,#REF!,4,0),IF(C81="CPOS",VLOOKUP(D81,#REF!,7,0),IF(C81="FDE",VLOOKUP(D81,#REF!,5,0),IF(C81="INFRA",VLOOKUP(D81,#REF!,4,0),""))))))*VLOOKUP(C81,#REF!,3,0),"")</f>
        <v/>
      </c>
      <c r="I81" s="1106">
        <v>0.25</v>
      </c>
      <c r="J81" s="67" t="e">
        <f t="shared" si="10"/>
        <v>#VALUE!</v>
      </c>
      <c r="K81" s="69" t="e">
        <f t="shared" si="11"/>
        <v>#REF!</v>
      </c>
      <c r="L81" s="51"/>
      <c r="M81" s="52"/>
      <c r="N81" s="940"/>
    </row>
    <row r="82" spans="2:14" s="25" customFormat="1" ht="27" customHeight="1">
      <c r="B82" s="61" t="s">
        <v>6345</v>
      </c>
      <c r="C82" s="61" t="s">
        <v>4872</v>
      </c>
      <c r="D82" s="1109">
        <v>20511</v>
      </c>
      <c r="E82" s="64" t="str">
        <f>IFERROR(UPPER(IF(C82="CPU",VLOOKUP(D82,#REF!,2,0),IF(C82="SINAPI",VLOOKUP(D82,#REF!,2,0),IF(C82="EDIF",VLOOKUP(D82,#REF!,2,0),IF(C82="CPOS",VLOOKUP(D82,#REF!,3,0),IF(C82="FDE",VLOOKUP(D82,#REF!,2,0),IF(C82="INFRA",VLOOKUP(D82,#REF!,2,0),""))))))),"")</f>
        <v/>
      </c>
      <c r="F82" s="65" t="str">
        <f>IFERROR(UPPER(IF(C82="CPU",VLOOKUP(D82,#REF!,3,0),IF(C82="SINAPI",VLOOKUP(D82,#REF!,3,0),IF(C82="EDIF",VLOOKUP(D82,#REF!,3,0),IF(C82="CPOS",VLOOKUP(D82,#REF!,4,0),IF(C82="FDE",VLOOKUP(D82,#REF!,3,0),IF(C82="INFRA",VLOOKUP(D82,#REF!,3,0),""))))))),"")</f>
        <v/>
      </c>
      <c r="G82" s="66" t="e">
        <f>#REF!</f>
        <v>#REF!</v>
      </c>
      <c r="H82" s="67" t="str">
        <f>IFERROR(IF(C82="CPU",VLOOKUP(D82,#REF!,4,0),IF(C82="SINAPI",VLOOKUP(D82,#REF!,5,0),IF(C82="EDIF",VLOOKUP(D82,#REF!,4,0),IF(C82="CPOS",VLOOKUP(D82,#REF!,7,0),IF(C82="FDE",VLOOKUP(D82,#REF!,5,0),IF(C82="INFRA",VLOOKUP(D82,#REF!,4,0),""))))))*VLOOKUP(C82,#REF!,3,0),"")</f>
        <v/>
      </c>
      <c r="I82" s="1106">
        <v>0.25</v>
      </c>
      <c r="J82" s="67" t="e">
        <f t="shared" si="10"/>
        <v>#VALUE!</v>
      </c>
      <c r="K82" s="69" t="e">
        <f t="shared" si="11"/>
        <v>#REF!</v>
      </c>
      <c r="L82" s="51"/>
      <c r="M82" s="52"/>
      <c r="N82" s="940"/>
    </row>
    <row r="83" spans="2:14" s="25" customFormat="1" ht="27" customHeight="1">
      <c r="B83" s="61" t="s">
        <v>6346</v>
      </c>
      <c r="C83" s="61" t="s">
        <v>4908</v>
      </c>
      <c r="D83" s="65" t="s">
        <v>6338</v>
      </c>
      <c r="E83" s="64" t="str">
        <f>IFERROR(UPPER(IF(C83="CPU",VLOOKUP(D83,#REF!,2,0),IF(C83="SINAPI",VLOOKUP(D83,#REF!,2,0),IF(C83="EDIF",VLOOKUP(D83,#REF!,2,0),IF(C83="CPOS",VLOOKUP(D83,#REF!,3,0),IF(C83="FDE",VLOOKUP(D83,#REF!,2,0),IF(C83="INFRA",VLOOKUP(D83,#REF!,2,0),""))))))),"")</f>
        <v/>
      </c>
      <c r="F83" s="65" t="str">
        <f>IFERROR(UPPER(IF(C83="CPU",VLOOKUP(D83,#REF!,3,0),IF(C83="SINAPI",VLOOKUP(D83,#REF!,3,0),IF(C83="EDIF",VLOOKUP(D83,#REF!,3,0),IF(C83="CPOS",VLOOKUP(D83,#REF!,4,0),IF(C83="FDE",VLOOKUP(D83,#REF!,3,0),IF(C83="INFRA",VLOOKUP(D83,#REF!,3,0),""))))))),"")</f>
        <v/>
      </c>
      <c r="G83" s="66" t="e">
        <f>#REF!</f>
        <v>#REF!</v>
      </c>
      <c r="H83" s="67" t="str">
        <f>IFERROR(IF(C83="CPU",VLOOKUP(D83,#REF!,4,0),IF(C83="SINAPI",VLOOKUP(D83,#REF!,5,0),IF(C83="EDIF",VLOOKUP(D83,#REF!,4,0),IF(C83="CPOS",VLOOKUP(D83,#REF!,7,0),IF(C83="FDE",VLOOKUP(D83,#REF!,5,0),IF(C83="INFRA",VLOOKUP(D83,#REF!,4,0),""))))))*VLOOKUP(C83,#REF!,3,0),"")</f>
        <v/>
      </c>
      <c r="I83" s="1106">
        <v>0.25</v>
      </c>
      <c r="J83" s="67" t="e">
        <f t="shared" si="10"/>
        <v>#VALUE!</v>
      </c>
      <c r="K83" s="69" t="e">
        <f t="shared" si="11"/>
        <v>#REF!</v>
      </c>
      <c r="L83" s="51"/>
      <c r="M83" s="52"/>
      <c r="N83" s="940"/>
    </row>
    <row r="84" spans="2:14" s="25" customFormat="1" ht="27" customHeight="1">
      <c r="B84" s="61" t="s">
        <v>6347</v>
      </c>
      <c r="C84" s="61" t="s">
        <v>4872</v>
      </c>
      <c r="D84" s="1109">
        <v>50143</v>
      </c>
      <c r="E84" s="64" t="str">
        <f>IFERROR(UPPER(IF(C84="CPU",VLOOKUP(D84,#REF!,2,0),IF(C84="SINAPI",VLOOKUP(D84,#REF!,2,0),IF(C84="EDIF",VLOOKUP(D84,#REF!,2,0),IF(C84="CPOS",VLOOKUP(D84,#REF!,3,0),IF(C84="FDE",VLOOKUP(D84,#REF!,2,0),IF(C84="INFRA",VLOOKUP(D84,#REF!,2,0),""))))))),"")</f>
        <v/>
      </c>
      <c r="F84" s="65" t="str">
        <f>IFERROR(UPPER(IF(C84="CPU",VLOOKUP(D84,#REF!,3,0),IF(C84="SINAPI",VLOOKUP(D84,#REF!,3,0),IF(C84="EDIF",VLOOKUP(D84,#REF!,3,0),IF(C84="CPOS",VLOOKUP(D84,#REF!,4,0),IF(C84="FDE",VLOOKUP(D84,#REF!,3,0),IF(C84="INFRA",VLOOKUP(D84,#REF!,3,0),""))))))),"")</f>
        <v/>
      </c>
      <c r="G84" s="66" t="e">
        <f>#REF!</f>
        <v>#REF!</v>
      </c>
      <c r="H84" s="67" t="str">
        <f>IFERROR(IF(C84="CPU",VLOOKUP(D84,#REF!,4,0),IF(C84="SINAPI",VLOOKUP(D84,#REF!,5,0),IF(C84="EDIF",VLOOKUP(D84,#REF!,4,0),IF(C84="CPOS",VLOOKUP(D84,#REF!,7,0),IF(C84="FDE",VLOOKUP(D84,#REF!,5,0),IF(C84="INFRA",VLOOKUP(D84,#REF!,4,0),""))))))*VLOOKUP(C84,#REF!,3,0),"")</f>
        <v/>
      </c>
      <c r="I84" s="1106">
        <v>0.25</v>
      </c>
      <c r="J84" s="67" t="e">
        <f t="shared" si="10"/>
        <v>#VALUE!</v>
      </c>
      <c r="K84" s="69" t="e">
        <f t="shared" si="11"/>
        <v>#REF!</v>
      </c>
      <c r="L84" s="51"/>
      <c r="M84" s="52"/>
      <c r="N84" s="940"/>
    </row>
    <row r="85" spans="2:14" s="25" customFormat="1" ht="27" customHeight="1">
      <c r="B85" s="61" t="s">
        <v>6348</v>
      </c>
      <c r="C85" s="61" t="s">
        <v>4872</v>
      </c>
      <c r="D85" s="1109">
        <v>20610</v>
      </c>
      <c r="E85" s="64" t="str">
        <f>IFERROR(UPPER(IF(C85="CPU",VLOOKUP(D85,#REF!,2,0),IF(C85="SINAPI",VLOOKUP(D85,#REF!,2,0),IF(C85="EDIF",VLOOKUP(D85,#REF!,2,0),IF(C85="CPOS",VLOOKUP(D85,#REF!,3,0),IF(C85="FDE",VLOOKUP(D85,#REF!,2,0),IF(C85="INFRA",VLOOKUP(D85,#REF!,2,0),""))))))),"")</f>
        <v/>
      </c>
      <c r="F85" s="65" t="str">
        <f>IFERROR(UPPER(IF(C85="CPU",VLOOKUP(D85,#REF!,3,0),IF(C85="SINAPI",VLOOKUP(D85,#REF!,3,0),IF(C85="EDIF",VLOOKUP(D85,#REF!,3,0),IF(C85="CPOS",VLOOKUP(D85,#REF!,4,0),IF(C85="FDE",VLOOKUP(D85,#REF!,3,0),IF(C85="INFRA",VLOOKUP(D85,#REF!,3,0),""))))))),"")</f>
        <v/>
      </c>
      <c r="G85" s="66" t="e">
        <f>#REF!</f>
        <v>#REF!</v>
      </c>
      <c r="H85" s="67" t="str">
        <f>IFERROR(IF(C85="CPU",VLOOKUP(D85,#REF!,4,0),IF(C85="SINAPI",VLOOKUP(D85,#REF!,5,0),IF(C85="EDIF",VLOOKUP(D85,#REF!,4,0),IF(C85="CPOS",VLOOKUP(D85,#REF!,7,0),IF(C85="FDE",VLOOKUP(D85,#REF!,5,0),IF(C85="INFRA",VLOOKUP(D85,#REF!,4,0),""))))))*VLOOKUP(C85,#REF!,3,0),"")</f>
        <v/>
      </c>
      <c r="I85" s="1106">
        <v>0.25</v>
      </c>
      <c r="J85" s="67" t="e">
        <f t="shared" si="10"/>
        <v>#VALUE!</v>
      </c>
      <c r="K85" s="69" t="e">
        <f t="shared" si="11"/>
        <v>#REF!</v>
      </c>
      <c r="L85" s="51"/>
      <c r="M85" s="52"/>
      <c r="N85" s="940"/>
    </row>
    <row r="86" spans="2:14" s="25" customFormat="1" ht="27" customHeight="1">
      <c r="B86" s="53">
        <v>4</v>
      </c>
      <c r="C86" s="54"/>
      <c r="D86" s="54"/>
      <c r="E86" s="55" t="s">
        <v>6349</v>
      </c>
      <c r="F86" s="56" t="str">
        <f>IFERROR(UPPER(IF(C86="CPU",VLOOKUP(D86,#REF!,3,0),IF(C86="SINAPI",VLOOKUP(D86,#REF!,3,0),IF(C86="EDIF",VLOOKUP(D86,#REF!,3,0),IF(C86="CPOS",VLOOKUP(D86,#REF!,4,0),IF(C86="FDE",VLOOKUP(D86,#REF!,3,0),IF(C86="INFRA",VLOOKUP(D86,#REF!,3,0),""))))))),"")</f>
        <v/>
      </c>
      <c r="G86" s="57"/>
      <c r="H86" s="58" t="str">
        <f>IFERROR(IF(C86="CPU",VLOOKUP(D86,#REF!,4,0),IF(C86="SINAPI",VLOOKUP(D86,#REF!,5,0),IF(C86="EDIF",VLOOKUP(D86,#REF!,4,0),IF(C86="CPOS",VLOOKUP(D86,#REF!,7,0),IF(C86="FDE",VLOOKUP(D86,#REF!,5,0),IF(C86="INFRA",VLOOKUP(D86,#REF!,4,0),""))))))*VLOOKUP(C86,#REF!,3,0),"")</f>
        <v/>
      </c>
      <c r="I86" s="59"/>
      <c r="J86" s="59"/>
      <c r="K86" s="1095" t="e">
        <f>SUM(K87:K91)</f>
        <v>#REF!</v>
      </c>
      <c r="L86" s="1096" t="e">
        <f>K86</f>
        <v>#REF!</v>
      </c>
      <c r="M86" s="52"/>
      <c r="N86" s="940"/>
    </row>
    <row r="87" spans="2:14" s="25" customFormat="1" ht="27" customHeight="1">
      <c r="B87" s="61" t="s">
        <v>135</v>
      </c>
      <c r="C87" s="61" t="s">
        <v>1479</v>
      </c>
      <c r="D87" s="1108" t="s">
        <v>6350</v>
      </c>
      <c r="E87" s="64" t="str">
        <f>IFERROR(UPPER(IF(C87="CPU",VLOOKUP(D87,#REF!,2,0),IF(C87="SINAPI",VLOOKUP(D87,#REF!,2,0),IF(C87="EDIF",VLOOKUP(D87,#REF!,2,0),IF(C87="CPOS",VLOOKUP(D87,#REF!,3,0),IF(C87="FDE",VLOOKUP(D87,#REF!,2,0),IF(C87="INFRA",VLOOKUP(D87,#REF!,2,0),""))))))),"")</f>
        <v/>
      </c>
      <c r="F87" s="65" t="str">
        <f>IFERROR(UPPER(IF(C87="CPU",VLOOKUP(D87,#REF!,3,0),IF(C87="SINAPI",VLOOKUP(D87,#REF!,3,0),IF(C87="EDIF",VLOOKUP(D87,#REF!,3,0),IF(C87="CPOS",VLOOKUP(D87,#REF!,4,0),IF(C87="FDE",VLOOKUP(D87,#REF!,3,0),IF(C87="INFRA",VLOOKUP(D87,#REF!,3,0),""))))))),"")</f>
        <v/>
      </c>
      <c r="G87" s="66" t="e">
        <f>#REF!</f>
        <v>#REF!</v>
      </c>
      <c r="H87" s="67" t="str">
        <f>IFERROR(IF(C87="CPU",VLOOKUP(D87,#REF!,4,0),IF(C87="SINAPI",VLOOKUP(D87,#REF!,5,0),IF(C87="EDIF",VLOOKUP(D87,#REF!,4,0),IF(C87="CPOS",VLOOKUP(D87,#REF!,7,0),IF(C87="FDE",VLOOKUP(D87,#REF!,5,0),IF(C87="INFRA",VLOOKUP(D87,#REF!,4,0),""))))))*VLOOKUP(C87,#REF!,3,0),"")</f>
        <v/>
      </c>
      <c r="I87" s="1106">
        <v>0.25</v>
      </c>
      <c r="J87" s="67" t="e">
        <f>ROUND(H87*(1+I87),2)</f>
        <v>#VALUE!</v>
      </c>
      <c r="K87" s="69" t="e">
        <f>SUM(G87*J87)</f>
        <v>#REF!</v>
      </c>
      <c r="L87" s="51"/>
      <c r="M87" s="52"/>
      <c r="N87" s="940"/>
    </row>
    <row r="88" spans="2:14" s="25" customFormat="1" ht="27" customHeight="1">
      <c r="B88" s="61" t="s">
        <v>5669</v>
      </c>
      <c r="C88" s="61" t="s">
        <v>26</v>
      </c>
      <c r="D88" s="1110" t="s">
        <v>6351</v>
      </c>
      <c r="E88" s="64" t="str">
        <f>IFERROR(UPPER(IF(C88="CPU",VLOOKUP(D88,#REF!,2,0),IF(C88="SINAPI",VLOOKUP(D88,#REF!,2,0),IF(C88="EDIF",VLOOKUP(D88,#REF!,2,0),IF(C88="CPOS",VLOOKUP(D88,#REF!,3,0),IF(C88="FDE",VLOOKUP(D88,#REF!,2,0),IF(C88="INFRA",VLOOKUP(D88,#REF!,2,0),""))))))),"")</f>
        <v/>
      </c>
      <c r="F88" s="65" t="str">
        <f>IFERROR(UPPER(IF(C88="CPU",VLOOKUP(D88,#REF!,3,0),IF(C88="SINAPI",VLOOKUP(D88,#REF!,3,0),IF(C88="EDIF",VLOOKUP(D88,#REF!,3,0),IF(C88="CPOS",VLOOKUP(D88,#REF!,4,0),IF(C88="FDE",VLOOKUP(D88,#REF!,3,0),IF(C88="INFRA",VLOOKUP(D88,#REF!,3,0),""))))))),"")</f>
        <v/>
      </c>
      <c r="G88" s="66">
        <v>473</v>
      </c>
      <c r="H88" s="67" t="str">
        <f>IFERROR(IF(C88="CPU",VLOOKUP(D88,#REF!,4,0),IF(C88="SINAPI",VLOOKUP(D88,#REF!,5,0),IF(C88="EDIF",VLOOKUP(D88,#REF!,4,0),IF(C88="CPOS",VLOOKUP(D88,#REF!,7,0),IF(C88="FDE",VLOOKUP(D88,#REF!,5,0),IF(C88="INFRA",VLOOKUP(D88,#REF!,4,0),""))))))*VLOOKUP(C88,#REF!,3,0),"")</f>
        <v/>
      </c>
      <c r="I88" s="1106">
        <v>0.25</v>
      </c>
      <c r="J88" s="67" t="e">
        <f>ROUND(H88*(1+I88),2)</f>
        <v>#VALUE!</v>
      </c>
      <c r="K88" s="69" t="e">
        <f>SUM(G88*J88)</f>
        <v>#VALUE!</v>
      </c>
      <c r="L88" s="51"/>
      <c r="M88" s="52"/>
      <c r="N88" s="940"/>
    </row>
    <row r="89" spans="2:14" s="25" customFormat="1" ht="27" customHeight="1">
      <c r="B89" s="61" t="s">
        <v>5670</v>
      </c>
      <c r="C89" s="61" t="s">
        <v>4872</v>
      </c>
      <c r="D89" s="1109">
        <v>30209</v>
      </c>
      <c r="E89" s="64" t="str">
        <f>IFERROR(UPPER(IF(C89="CPU",VLOOKUP(D89,#REF!,2,0),IF(C89="SINAPI",VLOOKUP(D89,#REF!,2,0),IF(C89="EDIF",VLOOKUP(D89,#REF!,2,0),IF(C89="CPOS",VLOOKUP(D89,#REF!,3,0),IF(C89="FDE",VLOOKUP(D89,#REF!,2,0),IF(C89="INFRA",VLOOKUP(D89,#REF!,2,0),""))))))),"")</f>
        <v/>
      </c>
      <c r="F89" s="65" t="str">
        <f>IFERROR(UPPER(IF(C89="CPU",VLOOKUP(D89,#REF!,3,0),IF(C89="SINAPI",VLOOKUP(D89,#REF!,3,0),IF(C89="EDIF",VLOOKUP(D89,#REF!,3,0),IF(C89="CPOS",VLOOKUP(D89,#REF!,4,0),IF(C89="FDE",VLOOKUP(D89,#REF!,3,0),IF(C89="INFRA",VLOOKUP(D89,#REF!,3,0),""))))))),"")</f>
        <v/>
      </c>
      <c r="G89" s="66">
        <f>(G88)*2.2</f>
        <v>1040.6000000000001</v>
      </c>
      <c r="H89" s="67" t="str">
        <f>IFERROR(IF(C89="CPU",VLOOKUP(D89,#REF!,4,0),IF(C89="SINAPI",VLOOKUP(D89,#REF!,5,0),IF(C89="EDIF",VLOOKUP(D89,#REF!,4,0),IF(C89="CPOS",VLOOKUP(D89,#REF!,7,0),IF(C89="FDE",VLOOKUP(D89,#REF!,5,0),IF(C89="INFRA",VLOOKUP(D89,#REF!,4,0),""))))))*VLOOKUP(C89,#REF!,3,0),"")</f>
        <v/>
      </c>
      <c r="I89" s="1106">
        <v>0.25</v>
      </c>
      <c r="J89" s="67" t="e">
        <f>ROUND(H89*(1+I89),2)</f>
        <v>#VALUE!</v>
      </c>
      <c r="K89" s="69" t="e">
        <f>SUM(G89*J89)</f>
        <v>#VALUE!</v>
      </c>
      <c r="L89" s="51"/>
      <c r="M89" s="52"/>
      <c r="N89" s="940"/>
    </row>
    <row r="90" spans="2:14" s="25" customFormat="1" ht="27" customHeight="1">
      <c r="B90" s="61" t="s">
        <v>5671</v>
      </c>
      <c r="C90" s="61" t="s">
        <v>4872</v>
      </c>
      <c r="D90" s="1109">
        <v>20511</v>
      </c>
      <c r="E90" s="64" t="str">
        <f>IFERROR(UPPER(IF(C90="CPU",VLOOKUP(D90,#REF!,2,0),IF(C90="SINAPI",VLOOKUP(D90,#REF!,2,0),IF(C90="EDIF",VLOOKUP(D90,#REF!,2,0),IF(C90="CPOS",VLOOKUP(D90,#REF!,3,0),IF(C90="FDE",VLOOKUP(D90,#REF!,2,0),IF(C90="INFRA",VLOOKUP(D90,#REF!,2,0),""))))))),"")</f>
        <v/>
      </c>
      <c r="F90" s="65" t="str">
        <f>IFERROR(UPPER(IF(C90="CPU",VLOOKUP(D90,#REF!,3,0),IF(C90="SINAPI",VLOOKUP(D90,#REF!,3,0),IF(C90="EDIF",VLOOKUP(D90,#REF!,3,0),IF(C90="CPOS",VLOOKUP(D90,#REF!,4,0),IF(C90="FDE",VLOOKUP(D90,#REF!,3,0),IF(C90="INFRA",VLOOKUP(D90,#REF!,3,0),""))))))),"")</f>
        <v/>
      </c>
      <c r="G90" s="66">
        <f>(G88)*0.05</f>
        <v>23.650000000000002</v>
      </c>
      <c r="H90" s="67" t="str">
        <f>IFERROR(IF(C90="CPU",VLOOKUP(D90,#REF!,4,0),IF(C90="SINAPI",VLOOKUP(D90,#REF!,5,0),IF(C90="EDIF",VLOOKUP(D90,#REF!,4,0),IF(C90="CPOS",VLOOKUP(D90,#REF!,7,0),IF(C90="FDE",VLOOKUP(D90,#REF!,5,0),IF(C90="INFRA",VLOOKUP(D90,#REF!,4,0),""))))))*VLOOKUP(C90,#REF!,3,0),"")</f>
        <v/>
      </c>
      <c r="I90" s="1106">
        <v>0.25</v>
      </c>
      <c r="J90" s="67" t="e">
        <f>ROUND(H90*(1+I90),2)</f>
        <v>#VALUE!</v>
      </c>
      <c r="K90" s="69" t="e">
        <f>SUM(G90*J90)</f>
        <v>#VALUE!</v>
      </c>
      <c r="L90" s="51"/>
      <c r="M90" s="52"/>
      <c r="N90" s="940"/>
    </row>
    <row r="91" spans="2:14" s="25" customFormat="1" ht="27" customHeight="1">
      <c r="B91" s="61" t="s">
        <v>5672</v>
      </c>
      <c r="C91" s="61" t="s">
        <v>4908</v>
      </c>
      <c r="D91" s="65" t="s">
        <v>6338</v>
      </c>
      <c r="E91" s="64" t="str">
        <f>IFERROR(UPPER(IF(C91="CPU",VLOOKUP(D91,#REF!,2,0),IF(C91="SINAPI",VLOOKUP(D91,#REF!,2,0),IF(C91="EDIF",VLOOKUP(D91,#REF!,2,0),IF(C91="CPOS",VLOOKUP(D91,#REF!,3,0),IF(C91="FDE",VLOOKUP(D91,#REF!,2,0),IF(C91="INFRA",VLOOKUP(D91,#REF!,2,0),""))))))),"")</f>
        <v/>
      </c>
      <c r="F91" s="65" t="str">
        <f>IFERROR(UPPER(IF(C91="CPU",VLOOKUP(D91,#REF!,3,0),IF(C91="SINAPI",VLOOKUP(D91,#REF!,3,0),IF(C91="EDIF",VLOOKUP(D91,#REF!,3,0),IF(C91="CPOS",VLOOKUP(D91,#REF!,4,0),IF(C91="FDE",VLOOKUP(D91,#REF!,3,0),IF(C91="INFRA",VLOOKUP(D91,#REF!,3,0),""))))))),"")</f>
        <v/>
      </c>
      <c r="G91" s="66">
        <f>G90</f>
        <v>23.650000000000002</v>
      </c>
      <c r="H91" s="67" t="str">
        <f>IFERROR(IF(C91="CPU",VLOOKUP(D91,#REF!,4,0),IF(C91="SINAPI",VLOOKUP(D91,#REF!,5,0),IF(C91="EDIF",VLOOKUP(D91,#REF!,4,0),IF(C91="CPOS",VLOOKUP(D91,#REF!,7,0),IF(C91="FDE",VLOOKUP(D91,#REF!,5,0),IF(C91="INFRA",VLOOKUP(D91,#REF!,4,0),""))))))*VLOOKUP(C91,#REF!,3,0),"")</f>
        <v/>
      </c>
      <c r="I91" s="1106">
        <v>0.25</v>
      </c>
      <c r="J91" s="67" t="e">
        <f>ROUND(H91*(1+I91),2)</f>
        <v>#VALUE!</v>
      </c>
      <c r="K91" s="69" t="e">
        <f>SUM(G91*J91)</f>
        <v>#VALUE!</v>
      </c>
      <c r="L91" s="51"/>
      <c r="M91" s="52"/>
      <c r="N91" s="940"/>
    </row>
    <row r="92" spans="2:14" s="25" customFormat="1" ht="27" customHeight="1">
      <c r="B92" s="53">
        <v>5</v>
      </c>
      <c r="C92" s="54"/>
      <c r="D92" s="54"/>
      <c r="E92" s="55" t="s">
        <v>4987</v>
      </c>
      <c r="F92" s="56" t="str">
        <f>IFERROR(UPPER(IF(C92="CPU",VLOOKUP(D92,#REF!,3,0),IF(C92="SINAPI",VLOOKUP(D92,#REF!,3,0),IF(C92="EDIF",VLOOKUP(D92,#REF!,3,0),IF(C92="CPOS",VLOOKUP(D92,#REF!,4,0),IF(C92="FDE",VLOOKUP(D92,#REF!,3,0),IF(C92="INFRA",VLOOKUP(D92,#REF!,3,0),""))))))),"")</f>
        <v/>
      </c>
      <c r="G92" s="57"/>
      <c r="H92" s="58" t="str">
        <f>IFERROR(IF(C92="CPU",VLOOKUP(D92,#REF!,4,0),IF(C92="SINAPI",VLOOKUP(D92,#REF!,5,0),IF(C92="EDIF",VLOOKUP(D92,#REF!,4,0),IF(C92="CPOS",VLOOKUP(D92,#REF!,7,0),IF(C92="FDE",VLOOKUP(D92,#REF!,5,0),IF(C92="INFRA",VLOOKUP(D92,#REF!,4,0),""))))))*VLOOKUP(C92,#REF!,3,0),"")</f>
        <v/>
      </c>
      <c r="I92" s="59"/>
      <c r="J92" s="59"/>
      <c r="K92" s="1095" t="e">
        <f>SUM(K93:K103)</f>
        <v>#REF!</v>
      </c>
      <c r="L92" s="1096" t="e">
        <f>K92</f>
        <v>#REF!</v>
      </c>
      <c r="M92" s="52"/>
      <c r="N92" s="940"/>
    </row>
    <row r="93" spans="2:14" s="25" customFormat="1" ht="27" customHeight="1">
      <c r="B93" s="1097" t="s">
        <v>165</v>
      </c>
      <c r="C93" s="1098"/>
      <c r="D93" s="1098"/>
      <c r="E93" s="1099" t="s">
        <v>1899</v>
      </c>
      <c r="F93" s="1100" t="str">
        <f>IFERROR(UPPER(IF(C93="CPU",VLOOKUP(D93,#REF!,3,0),IF(C93="SINAPI",VLOOKUP(D93,#REF!,3,0),IF(C93="EDIF",VLOOKUP(D93,#REF!,3,0),IF(C93="CPOS",VLOOKUP(D93,#REF!,4,0),IF(C93="FDE",VLOOKUP(D93,#REF!,3,0),IF(C93="INFRA",VLOOKUP(D93,#REF!,3,0),""))))))),"")</f>
        <v/>
      </c>
      <c r="G93" s="1101"/>
      <c r="H93" s="1102" t="str">
        <f>IFERROR(IF(C93="CPU",VLOOKUP(D93,#REF!,4,0),IF(C93="SINAPI",VLOOKUP(D93,#REF!,5,0),IF(C93="EDIF",VLOOKUP(D93,#REF!,4,0),IF(C93="CPOS",VLOOKUP(D93,#REF!,7,0),IF(C93="FDE",VLOOKUP(D93,#REF!,5,0),IF(C93="INFRA",VLOOKUP(D93,#REF!,4,0),""))))))*VLOOKUP(C93,#REF!,3,0),"")</f>
        <v/>
      </c>
      <c r="I93" s="1103"/>
      <c r="J93" s="1103"/>
      <c r="K93" s="1104"/>
      <c r="L93" s="20"/>
      <c r="M93" s="52"/>
      <c r="N93" s="940"/>
    </row>
    <row r="94" spans="2:14" s="25" customFormat="1" ht="27" customHeight="1">
      <c r="B94" s="61" t="s">
        <v>168</v>
      </c>
      <c r="C94" s="61" t="s">
        <v>4872</v>
      </c>
      <c r="D94" s="1107">
        <v>40141</v>
      </c>
      <c r="E94" s="64" t="str">
        <f>IFERROR(UPPER(IF(C94="CPU",VLOOKUP(D94,#REF!,2,0),IF(C94="SINAPI",VLOOKUP(D94,#REF!,2,0),IF(C94="EDIF",VLOOKUP(D94,#REF!,2,0),IF(C94="CPOS",VLOOKUP(D94,#REF!,3,0),IF(C94="FDE",VLOOKUP(D94,#REF!,2,0),IF(C94="INFRA",VLOOKUP(D94,#REF!,2,0),""))))))),"")</f>
        <v/>
      </c>
      <c r="F94" s="65" t="str">
        <f>IFERROR(UPPER(IF(C94="CPU",VLOOKUP(D94,#REF!,3,0),IF(C94="SINAPI",VLOOKUP(D94,#REF!,3,0),IF(C94="EDIF",VLOOKUP(D94,#REF!,3,0),IF(C94="CPOS",VLOOKUP(D94,#REF!,4,0),IF(C94="FDE",VLOOKUP(D94,#REF!,3,0),IF(C94="INFRA",VLOOKUP(D94,#REF!,3,0),""))))))),"")</f>
        <v/>
      </c>
      <c r="G94" s="66" t="e">
        <f>#REF!</f>
        <v>#REF!</v>
      </c>
      <c r="H94" s="67" t="str">
        <f>IFERROR(IF(C94="CPU",VLOOKUP(D94,#REF!,4,0),IF(C94="SINAPI",VLOOKUP(D94,#REF!,5,0),IF(C94="EDIF",VLOOKUP(D94,#REF!,4,0),IF(C94="CPOS",VLOOKUP(D94,#REF!,7,0),IF(C94="FDE",VLOOKUP(D94,#REF!,5,0),IF(C94="INFRA",VLOOKUP(D94,#REF!,4,0),""))))))*VLOOKUP(C94,#REF!,3,0),"")</f>
        <v/>
      </c>
      <c r="I94" s="1106">
        <v>0.25</v>
      </c>
      <c r="J94" s="67" t="e">
        <f t="shared" ref="J94:J99" si="12">ROUND(H94*(1+I94),2)</f>
        <v>#VALUE!</v>
      </c>
      <c r="K94" s="69" t="e">
        <f t="shared" ref="K94:K99" si="13">SUM(G94*J94)</f>
        <v>#REF!</v>
      </c>
      <c r="L94" s="51"/>
      <c r="M94" s="52"/>
      <c r="N94" s="940"/>
    </row>
    <row r="95" spans="2:14" s="25" customFormat="1" ht="27" customHeight="1">
      <c r="B95" s="61" t="s">
        <v>170</v>
      </c>
      <c r="C95" s="61" t="s">
        <v>4872</v>
      </c>
      <c r="D95" s="1107">
        <v>40198</v>
      </c>
      <c r="E95" s="64" t="str">
        <f>IFERROR(UPPER(IF(C95="CPU",VLOOKUP(D95,#REF!,2,0),IF(C95="SINAPI",VLOOKUP(D95,#REF!,2,0),IF(C95="EDIF",VLOOKUP(D95,#REF!,2,0),IF(C95="CPOS",VLOOKUP(D95,#REF!,3,0),IF(C95="FDE",VLOOKUP(D95,#REF!,2,0),IF(C95="INFRA",VLOOKUP(D95,#REF!,2,0),""))))))),"")</f>
        <v/>
      </c>
      <c r="F95" s="65" t="str">
        <f>IFERROR(UPPER(IF(C95="CPU",VLOOKUP(D95,#REF!,3,0),IF(C95="SINAPI",VLOOKUP(D95,#REF!,3,0),IF(C95="EDIF",VLOOKUP(D95,#REF!,3,0),IF(C95="CPOS",VLOOKUP(D95,#REF!,4,0),IF(C95="FDE",VLOOKUP(D95,#REF!,3,0),IF(C95="INFRA",VLOOKUP(D95,#REF!,3,0),""))))))),"")</f>
        <v/>
      </c>
      <c r="G95" s="66" t="e">
        <f>#REF!</f>
        <v>#REF!</v>
      </c>
      <c r="H95" s="67" t="str">
        <f>IFERROR(IF(C95="CPU",VLOOKUP(D95,#REF!,4,0),IF(C95="SINAPI",VLOOKUP(D95,#REF!,5,0),IF(C95="EDIF",VLOOKUP(D95,#REF!,4,0),IF(C95="CPOS",VLOOKUP(D95,#REF!,7,0),IF(C95="FDE",VLOOKUP(D95,#REF!,5,0),IF(C95="INFRA",VLOOKUP(D95,#REF!,4,0),""))))))*VLOOKUP(C95,#REF!,3,0),"")</f>
        <v/>
      </c>
      <c r="I95" s="1106">
        <v>0.25</v>
      </c>
      <c r="J95" s="67" t="e">
        <f t="shared" si="12"/>
        <v>#VALUE!</v>
      </c>
      <c r="K95" s="69" t="e">
        <f t="shared" si="13"/>
        <v>#REF!</v>
      </c>
      <c r="L95" s="51"/>
      <c r="M95" s="52"/>
      <c r="N95" s="940"/>
    </row>
    <row r="96" spans="2:14" s="25" customFormat="1" ht="27" customHeight="1">
      <c r="B96" s="61" t="s">
        <v>172</v>
      </c>
      <c r="C96" s="61" t="s">
        <v>4908</v>
      </c>
      <c r="D96" s="65" t="s">
        <v>6352</v>
      </c>
      <c r="E96" s="64" t="str">
        <f>IFERROR(UPPER(IF(C96="CPU",VLOOKUP(D96,#REF!,2,0),IF(C96="SINAPI",VLOOKUP(D96,#REF!,2,0),IF(C96="EDIF",VLOOKUP(D96,#REF!,2,0),IF(C96="CPOS",VLOOKUP(D96,#REF!,3,0),IF(C96="FDE",VLOOKUP(D96,#REF!,2,0),IF(C96="INFRA",VLOOKUP(D96,#REF!,2,0),""))))))),"")</f>
        <v/>
      </c>
      <c r="F96" s="65" t="str">
        <f>IFERROR(UPPER(IF(C96="CPU",VLOOKUP(D96,#REF!,3,0),IF(C96="SINAPI",VLOOKUP(D96,#REF!,3,0),IF(C96="EDIF",VLOOKUP(D96,#REF!,3,0),IF(C96="CPOS",VLOOKUP(D96,#REF!,4,0),IF(C96="FDE",VLOOKUP(D96,#REF!,3,0),IF(C96="INFRA",VLOOKUP(D96,#REF!,3,0),""))))))),"")</f>
        <v/>
      </c>
      <c r="G96" s="66">
        <v>306.2</v>
      </c>
      <c r="H96" s="67" t="str">
        <f>IFERROR(IF(C96="CPU",VLOOKUP(D96,#REF!,4,0),IF(C96="SINAPI",VLOOKUP(D96,#REF!,5,0),IF(C96="EDIF",VLOOKUP(D96,#REF!,4,0),IF(C96="CPOS",VLOOKUP(D96,#REF!,7,0),IF(C96="FDE",VLOOKUP(D96,#REF!,5,0),IF(C96="INFRA",VLOOKUP(D96,#REF!,4,0),""))))))*VLOOKUP(C96,#REF!,3,0),"")</f>
        <v/>
      </c>
      <c r="I96" s="1106">
        <v>0.25</v>
      </c>
      <c r="J96" s="67" t="e">
        <f t="shared" si="12"/>
        <v>#VALUE!</v>
      </c>
      <c r="K96" s="69" t="e">
        <f t="shared" si="13"/>
        <v>#VALUE!</v>
      </c>
      <c r="L96" s="51"/>
      <c r="M96" s="52"/>
      <c r="N96" s="940"/>
    </row>
    <row r="97" spans="2:14" s="25" customFormat="1" ht="27" customHeight="1">
      <c r="B97" s="61" t="s">
        <v>174</v>
      </c>
      <c r="C97" s="61" t="s">
        <v>1479</v>
      </c>
      <c r="D97" s="1108" t="s">
        <v>6353</v>
      </c>
      <c r="E97" s="64" t="str">
        <f>IFERROR(UPPER(IF(C97="CPU",VLOOKUP(D97,#REF!,2,0),IF(C97="SINAPI",VLOOKUP(D97,#REF!,2,0),IF(C97="EDIF",VLOOKUP(D97,#REF!,2,0),IF(C97="CPOS",VLOOKUP(D97,#REF!,3,0),IF(C97="FDE",VLOOKUP(D97,#REF!,2,0),IF(C97="INFRA",VLOOKUP(D97,#REF!,2,0),""))))))),"")</f>
        <v/>
      </c>
      <c r="F97" s="65" t="str">
        <f>IFERROR(UPPER(IF(C97="CPU",VLOOKUP(D97,#REF!,3,0),IF(C97="SINAPI",VLOOKUP(D97,#REF!,3,0),IF(C97="EDIF",VLOOKUP(D97,#REF!,3,0),IF(C97="CPOS",VLOOKUP(D97,#REF!,4,0),IF(C97="FDE",VLOOKUP(D97,#REF!,3,0),IF(C97="INFRA",VLOOKUP(D97,#REF!,3,0),""))))))),"")</f>
        <v/>
      </c>
      <c r="G97" s="66" t="e">
        <f>#REF!</f>
        <v>#REF!</v>
      </c>
      <c r="H97" s="67" t="str">
        <f>IFERROR(IF(C97="CPU",VLOOKUP(D97,#REF!,4,0),IF(C97="SINAPI",VLOOKUP(D97,#REF!,5,0),IF(C97="EDIF",VLOOKUP(D97,#REF!,4,0),IF(C97="CPOS",VLOOKUP(D97,#REF!,7,0),IF(C97="FDE",VLOOKUP(D97,#REF!,5,0),IF(C97="INFRA",VLOOKUP(D97,#REF!,4,0),""))))))*VLOOKUP(C97,#REF!,3,0),"")</f>
        <v/>
      </c>
      <c r="I97" s="1106">
        <v>0.25</v>
      </c>
      <c r="J97" s="67" t="e">
        <f t="shared" si="12"/>
        <v>#VALUE!</v>
      </c>
      <c r="K97" s="69" t="e">
        <f t="shared" si="13"/>
        <v>#REF!</v>
      </c>
      <c r="L97" s="51"/>
      <c r="M97" s="52"/>
      <c r="N97" s="940"/>
    </row>
    <row r="98" spans="2:14" s="25" customFormat="1" ht="27" customHeight="1">
      <c r="B98" s="61" t="s">
        <v>176</v>
      </c>
      <c r="C98" s="61" t="s">
        <v>1479</v>
      </c>
      <c r="D98" s="1108" t="s">
        <v>6354</v>
      </c>
      <c r="E98" s="64" t="str">
        <f>IFERROR(UPPER(IF(C98="CPU",VLOOKUP(D98,#REF!,2,0),IF(C98="SINAPI",VLOOKUP(D98,#REF!,2,0),IF(C98="EDIF",VLOOKUP(D98,#REF!,2,0),IF(C98="CPOS",VLOOKUP(D98,#REF!,3,0),IF(C98="FDE",VLOOKUP(D98,#REF!,2,0),IF(C98="INFRA",VLOOKUP(D98,#REF!,2,0),""))))))),"")</f>
        <v/>
      </c>
      <c r="F98" s="65" t="str">
        <f>IFERROR(UPPER(IF(C98="CPU",VLOOKUP(D98,#REF!,3,0),IF(C98="SINAPI",VLOOKUP(D98,#REF!,3,0),IF(C98="EDIF",VLOOKUP(D98,#REF!,3,0),IF(C98="CPOS",VLOOKUP(D98,#REF!,4,0),IF(C98="FDE",VLOOKUP(D98,#REF!,3,0),IF(C98="INFRA",VLOOKUP(D98,#REF!,3,0),""))))))),"")</f>
        <v/>
      </c>
      <c r="G98" s="66" t="e">
        <f>#REF!</f>
        <v>#REF!</v>
      </c>
      <c r="H98" s="67" t="str">
        <f>IFERROR(IF(C98="CPU",VLOOKUP(D98,#REF!,4,0),IF(C98="SINAPI",VLOOKUP(D98,#REF!,5,0),IF(C98="EDIF",VLOOKUP(D98,#REF!,4,0),IF(C98="CPOS",VLOOKUP(D98,#REF!,7,0),IF(C98="FDE",VLOOKUP(D98,#REF!,5,0),IF(C98="INFRA",VLOOKUP(D98,#REF!,4,0),""))))))*VLOOKUP(C98,#REF!,3,0),"")</f>
        <v/>
      </c>
      <c r="I98" s="1106">
        <v>0.25</v>
      </c>
      <c r="J98" s="67" t="e">
        <f t="shared" si="12"/>
        <v>#VALUE!</v>
      </c>
      <c r="K98" s="69" t="e">
        <f t="shared" si="13"/>
        <v>#REF!</v>
      </c>
      <c r="L98" s="51"/>
      <c r="M98" s="1111"/>
      <c r="N98" s="940"/>
    </row>
    <row r="99" spans="2:14" s="25" customFormat="1" ht="27" customHeight="1">
      <c r="B99" s="61" t="s">
        <v>178</v>
      </c>
      <c r="C99" s="61" t="s">
        <v>4872</v>
      </c>
      <c r="D99" s="1109">
        <v>110458</v>
      </c>
      <c r="E99" s="64" t="str">
        <f>IFERROR(UPPER(IF(C99="CPU",VLOOKUP(D99,#REF!,2,0),IF(C99="SINAPI",VLOOKUP(D99,#REF!,2,0),IF(C99="EDIF",VLOOKUP(D99,#REF!,2,0),IF(C99="CPOS",VLOOKUP(D99,#REF!,3,0),IF(C99="FDE",VLOOKUP(D99,#REF!,2,0),IF(C99="INFRA",VLOOKUP(D99,#REF!,2,0),""))))))),"")</f>
        <v/>
      </c>
      <c r="F99" s="65" t="str">
        <f>IFERROR(UPPER(IF(C99="CPU",VLOOKUP(D99,#REF!,3,0),IF(C99="SINAPI",VLOOKUP(D99,#REF!,3,0),IF(C99="EDIF",VLOOKUP(D99,#REF!,3,0),IF(C99="CPOS",VLOOKUP(D99,#REF!,4,0),IF(C99="FDE",VLOOKUP(D99,#REF!,3,0),IF(C99="INFRA",VLOOKUP(D99,#REF!,3,0),""))))))),"")</f>
        <v/>
      </c>
      <c r="G99" s="66" t="e">
        <f>#REF!</f>
        <v>#REF!</v>
      </c>
      <c r="H99" s="67" t="str">
        <f>IFERROR(IF(C99="CPU",VLOOKUP(D99,#REF!,4,0),IF(C99="SINAPI",VLOOKUP(D99,#REF!,5,0),IF(C99="EDIF",VLOOKUP(D99,#REF!,4,0),IF(C99="CPOS",VLOOKUP(D99,#REF!,7,0),IF(C99="FDE",VLOOKUP(D99,#REF!,5,0),IF(C99="INFRA",VLOOKUP(D99,#REF!,4,0),""))))))*VLOOKUP(C99,#REF!,3,0),"")</f>
        <v/>
      </c>
      <c r="I99" s="1106">
        <v>0.25</v>
      </c>
      <c r="J99" s="67" t="e">
        <f t="shared" si="12"/>
        <v>#VALUE!</v>
      </c>
      <c r="K99" s="69" t="e">
        <f t="shared" si="13"/>
        <v>#REF!</v>
      </c>
      <c r="L99" s="51"/>
      <c r="M99" s="1111"/>
      <c r="N99" s="940"/>
    </row>
    <row r="100" spans="2:14" s="25" customFormat="1" ht="27" customHeight="1">
      <c r="B100" s="1097" t="s">
        <v>182</v>
      </c>
      <c r="C100" s="1098"/>
      <c r="D100" s="1098"/>
      <c r="E100" s="1099" t="s">
        <v>6355</v>
      </c>
      <c r="F100" s="1100" t="str">
        <f>IFERROR(UPPER(IF(C100="CPU",VLOOKUP(D100,#REF!,3,0),IF(C100="SINAPI",VLOOKUP(D100,#REF!,3,0),IF(C100="EDIF",VLOOKUP(D100,#REF!,3,0),IF(C100="CPOS",VLOOKUP(D100,#REF!,4,0),IF(C100="FDE",VLOOKUP(D100,#REF!,3,0),IF(C100="INFRA",VLOOKUP(D100,#REF!,3,0),""))))))),"")</f>
        <v/>
      </c>
      <c r="G100" s="1101"/>
      <c r="H100" s="1102" t="str">
        <f>IFERROR(IF(C100="CPU",VLOOKUP(D100,#REF!,4,0),IF(C100="SINAPI",VLOOKUP(D100,#REF!,5,0),IF(C100="EDIF",VLOOKUP(D100,#REF!,4,0),IF(C100="CPOS",VLOOKUP(D100,#REF!,7,0),IF(C100="FDE",VLOOKUP(D100,#REF!,5,0),IF(C100="INFRA",VLOOKUP(D100,#REF!,4,0),""))))))*VLOOKUP(C100,#REF!,3,0),"")</f>
        <v/>
      </c>
      <c r="I100" s="1103"/>
      <c r="J100" s="1103"/>
      <c r="K100" s="1104"/>
      <c r="L100" s="51"/>
      <c r="M100" s="1111"/>
      <c r="N100" s="940"/>
    </row>
    <row r="101" spans="2:14" s="25" customFormat="1" ht="27" customHeight="1">
      <c r="B101" s="61" t="s">
        <v>185</v>
      </c>
      <c r="C101" s="61" t="s">
        <v>1479</v>
      </c>
      <c r="D101" s="1109" t="s">
        <v>6356</v>
      </c>
      <c r="E101" s="64" t="str">
        <f>IFERROR(UPPER(IF(C101="CPU",VLOOKUP(D101,#REF!,2,0),IF(C101="SINAPI",VLOOKUP(D101,#REF!,2,0),IF(C101="EDIF",VLOOKUP(D101,#REF!,2,0),IF(C101="CPOS",VLOOKUP(D101,#REF!,3,0),IF(C101="FDE",VLOOKUP(D101,#REF!,2,0),IF(C101="INFRA",VLOOKUP(D101,#REF!,2,0),""))))))),"")</f>
        <v/>
      </c>
      <c r="F101" s="65" t="str">
        <f>IFERROR(UPPER(IF(C101="CPU",VLOOKUP(D101,#REF!,3,0),IF(C101="SINAPI",VLOOKUP(D101,#REF!,3,0),IF(C101="EDIF",VLOOKUP(D101,#REF!,3,0),IF(C101="CPOS",VLOOKUP(D101,#REF!,4,0),IF(C101="FDE",VLOOKUP(D101,#REF!,3,0),IF(C101="INFRA",VLOOKUP(D101,#REF!,3,0),""))))))),"")</f>
        <v/>
      </c>
      <c r="G101" s="66" t="e">
        <f>#REF!</f>
        <v>#REF!</v>
      </c>
      <c r="H101" s="67" t="str">
        <f>IFERROR(IF(C101="CPU",VLOOKUP(D101,#REF!,4,0),IF(C101="SINAPI",VLOOKUP(D101,#REF!,5,0),IF(C101="EDIF",VLOOKUP(D101,#REF!,4,0),IF(C101="CPOS",VLOOKUP(D101,#REF!,7,0),IF(C101="FDE",VLOOKUP(D101,#REF!,5,0),IF(C101="INFRA",VLOOKUP(D101,#REF!,4,0),""))))))*VLOOKUP(C101,#REF!,3,0),"")</f>
        <v/>
      </c>
      <c r="I101" s="1106">
        <v>0.25</v>
      </c>
      <c r="J101" s="67" t="e">
        <f>ROUND(H101*(1+I101),2)</f>
        <v>#VALUE!</v>
      </c>
      <c r="K101" s="69" t="e">
        <f>SUM(G101*J101)</f>
        <v>#REF!</v>
      </c>
      <c r="L101" s="51"/>
      <c r="M101" s="1111"/>
      <c r="N101" s="940"/>
    </row>
    <row r="102" spans="2:14" s="25" customFormat="1" ht="27" customHeight="1">
      <c r="B102" s="1097" t="s">
        <v>5675</v>
      </c>
      <c r="C102" s="1098"/>
      <c r="D102" s="1098"/>
      <c r="E102" s="1099" t="s">
        <v>6357</v>
      </c>
      <c r="F102" s="1100" t="str">
        <f>IFERROR(UPPER(IF(C102="CPU",VLOOKUP(D102,#REF!,3,0),IF(C102="SINAPI",VLOOKUP(D102,#REF!,3,0),IF(C102="EDIF",VLOOKUP(D102,#REF!,3,0),IF(C102="CPOS",VLOOKUP(D102,#REF!,4,0),IF(C102="FDE",VLOOKUP(D102,#REF!,3,0),IF(C102="INFRA",VLOOKUP(D102,#REF!,3,0),""))))))),"")</f>
        <v/>
      </c>
      <c r="G102" s="1101"/>
      <c r="H102" s="1102" t="str">
        <f>IFERROR(IF(C102="CPU",VLOOKUP(D102,#REF!,4,0),IF(C102="SINAPI",VLOOKUP(D102,#REF!,5,0),IF(C102="EDIF",VLOOKUP(D102,#REF!,4,0),IF(C102="CPOS",VLOOKUP(D102,#REF!,7,0),IF(C102="FDE",VLOOKUP(D102,#REF!,5,0),IF(C102="INFRA",VLOOKUP(D102,#REF!,4,0),""))))))*VLOOKUP(C102,#REF!,3,0),"")</f>
        <v/>
      </c>
      <c r="I102" s="1103"/>
      <c r="J102" s="1103"/>
      <c r="K102" s="1104"/>
      <c r="L102" s="20"/>
      <c r="M102" s="52"/>
      <c r="N102" s="940"/>
    </row>
    <row r="103" spans="2:14" s="25" customFormat="1" ht="27" customHeight="1">
      <c r="B103" s="61" t="s">
        <v>6358</v>
      </c>
      <c r="C103" s="61" t="s">
        <v>1479</v>
      </c>
      <c r="D103" s="1108" t="s">
        <v>6224</v>
      </c>
      <c r="E103" s="64" t="str">
        <f>IFERROR(UPPER(IF(C103="CPU",VLOOKUP(D103,#REF!,2,0),IF(C103="SINAPI",VLOOKUP(D103,#REF!,2,0),IF(C103="EDIF",VLOOKUP(D103,#REF!,2,0),IF(C103="CPOS",VLOOKUP(D103,#REF!,3,0),IF(C103="FDE",VLOOKUP(D103,#REF!,2,0),IF(C103="INFRA",VLOOKUP(D103,#REF!,2,0),""))))))),"")</f>
        <v/>
      </c>
      <c r="F103" s="65" t="str">
        <f>IFERROR(UPPER(IF(C103="CPU",VLOOKUP(D103,#REF!,3,0),IF(C103="SINAPI",VLOOKUP(D103,#REF!,3,0),IF(C103="EDIF",VLOOKUP(D103,#REF!,3,0),IF(C103="CPOS",VLOOKUP(D103,#REF!,4,0),IF(C103="FDE",VLOOKUP(D103,#REF!,3,0),IF(C103="INFRA",VLOOKUP(D103,#REF!,3,0),""))))))),"")</f>
        <v/>
      </c>
      <c r="G103" s="66">
        <f>14*3+25</f>
        <v>67</v>
      </c>
      <c r="H103" s="67" t="str">
        <f>IFERROR(IF(C103="CPU",VLOOKUP(D103,#REF!,4,0),IF(C103="SINAPI",VLOOKUP(D103,#REF!,5,0),IF(C103="EDIF",VLOOKUP(D103,#REF!,4,0),IF(C103="CPOS",VLOOKUP(D103,#REF!,7,0),IF(C103="FDE",VLOOKUP(D103,#REF!,5,0),IF(C103="INFRA",VLOOKUP(D103,#REF!,4,0),""))))))*VLOOKUP(C103,#REF!,3,0),"")</f>
        <v/>
      </c>
      <c r="I103" s="1106">
        <v>0.25</v>
      </c>
      <c r="J103" s="67" t="e">
        <f>ROUND(H103*(1+I103),2)</f>
        <v>#VALUE!</v>
      </c>
      <c r="K103" s="69" t="e">
        <f>SUM(G103*J103)</f>
        <v>#VALUE!</v>
      </c>
      <c r="L103" s="51"/>
      <c r="M103" s="52"/>
      <c r="N103" s="940"/>
    </row>
    <row r="104" spans="2:14" s="25" customFormat="1" ht="27" customHeight="1">
      <c r="B104" s="53">
        <v>6</v>
      </c>
      <c r="C104" s="54"/>
      <c r="D104" s="54"/>
      <c r="E104" s="55" t="s">
        <v>6359</v>
      </c>
      <c r="F104" s="56" t="str">
        <f>IFERROR(UPPER(IF(C104="CPU",VLOOKUP(D104,#REF!,3,0),IF(C104="SINAPI",VLOOKUP(D104,#REF!,3,0),IF(C104="EDIF",VLOOKUP(D104,#REF!,3,0),IF(C104="CPOS",VLOOKUP(D104,#REF!,4,0),IF(C104="FDE",VLOOKUP(D104,#REF!,3,0),IF(C104="INFRA",VLOOKUP(D104,#REF!,3,0),""))))))),"")</f>
        <v/>
      </c>
      <c r="G104" s="57"/>
      <c r="H104" s="58" t="str">
        <f>IFERROR(IF(C104="CPU",VLOOKUP(D104,#REF!,4,0),IF(C104="SINAPI",VLOOKUP(D104,#REF!,5,0),IF(C104="EDIF",VLOOKUP(D104,#REF!,4,0),IF(C104="CPOS",VLOOKUP(D104,#REF!,7,0),IF(C104="FDE",VLOOKUP(D104,#REF!,5,0),IF(C104="INFRA",VLOOKUP(D104,#REF!,4,0),""))))))*VLOOKUP(C104,#REF!,3,0),"")</f>
        <v/>
      </c>
      <c r="I104" s="59"/>
      <c r="J104" s="59"/>
      <c r="K104" s="1095" t="e">
        <f>SUM(K106:K136)</f>
        <v>#REF!</v>
      </c>
      <c r="L104" s="1096" t="e">
        <f>K104</f>
        <v>#REF!</v>
      </c>
      <c r="M104" s="52"/>
      <c r="N104" s="940"/>
    </row>
    <row r="105" spans="2:14" s="25" customFormat="1" ht="27" customHeight="1">
      <c r="B105" s="1097" t="s">
        <v>227</v>
      </c>
      <c r="C105" s="1098"/>
      <c r="D105" s="1098"/>
      <c r="E105" s="1099" t="s">
        <v>254</v>
      </c>
      <c r="F105" s="1100"/>
      <c r="G105" s="1101"/>
      <c r="H105" s="1102"/>
      <c r="I105" s="1103"/>
      <c r="J105" s="1103"/>
      <c r="K105" s="1104"/>
      <c r="L105" s="51"/>
      <c r="M105" s="52"/>
      <c r="N105" s="940"/>
    </row>
    <row r="106" spans="2:14" s="25" customFormat="1" ht="27" customHeight="1">
      <c r="B106" s="61" t="s">
        <v>230</v>
      </c>
      <c r="C106" s="61" t="s">
        <v>1479</v>
      </c>
      <c r="D106" s="1108" t="s">
        <v>6360</v>
      </c>
      <c r="E106" s="64" t="s">
        <v>6361</v>
      </c>
      <c r="F106" s="65" t="str">
        <f>IFERROR(UPPER(IF(C106="CPU",VLOOKUP(D106,#REF!,3,0),IF(C106="SINAPI",VLOOKUP(D106,#REF!,3,0),IF(C106="EDIF",VLOOKUP(D106,#REF!,3,0),IF(C106="CPOS",VLOOKUP(D106,#REF!,4,0),IF(C106="FDE",VLOOKUP(D106,#REF!,3,0),IF(C106="INFRA",VLOOKUP(D106,#REF!,3,0),""))))))),"")</f>
        <v/>
      </c>
      <c r="G106" s="66" t="e">
        <f>#REF!</f>
        <v>#REF!</v>
      </c>
      <c r="H106" s="67" t="str">
        <f>IFERROR(IF(C106="CPU",VLOOKUP(D106,#REF!,4,0),IF(C106="SINAPI",VLOOKUP(D106,#REF!,5,0),IF(C106="EDIF",VLOOKUP(D106,#REF!,4,0),IF(C106="CPOS",VLOOKUP(D106,#REF!,7,0),IF(C106="FDE",VLOOKUP(D106,#REF!,5,0),IF(C106="INFRA",VLOOKUP(D106,#REF!,4,0),""))))))*VLOOKUP(C106,#REF!,3,0),"")</f>
        <v/>
      </c>
      <c r="I106" s="1106">
        <v>0.25</v>
      </c>
      <c r="J106" s="67" t="e">
        <f t="shared" ref="J106:J121" si="14">ROUND(H106*(1+I106),2)</f>
        <v>#VALUE!</v>
      </c>
      <c r="K106" s="69" t="e">
        <f t="shared" ref="K106:K121" si="15">SUM(G106*J106)</f>
        <v>#REF!</v>
      </c>
      <c r="L106" s="51"/>
      <c r="M106" s="52"/>
      <c r="N106" s="940"/>
    </row>
    <row r="107" spans="2:14" s="25" customFormat="1" ht="27" customHeight="1">
      <c r="B107" s="61" t="s">
        <v>232</v>
      </c>
      <c r="C107" s="61" t="s">
        <v>1479</v>
      </c>
      <c r="D107" s="1108" t="s">
        <v>6360</v>
      </c>
      <c r="E107" s="64" t="s">
        <v>6362</v>
      </c>
      <c r="F107" s="65" t="str">
        <f>IFERROR(UPPER(IF(C107="CPU",VLOOKUP(D107,#REF!,3,0),IF(C107="SINAPI",VLOOKUP(D107,#REF!,3,0),IF(C107="EDIF",VLOOKUP(D107,#REF!,3,0),IF(C107="CPOS",VLOOKUP(D107,#REF!,4,0),IF(C107="FDE",VLOOKUP(D107,#REF!,3,0),IF(C107="INFRA",VLOOKUP(D107,#REF!,3,0),""))))))),"")</f>
        <v/>
      </c>
      <c r="G107" s="66" t="e">
        <f>#REF!</f>
        <v>#REF!</v>
      </c>
      <c r="H107" s="67" t="str">
        <f>IFERROR(IF(C107="CPU",VLOOKUP(D107,#REF!,4,0),IF(C107="SINAPI",VLOOKUP(D107,#REF!,5,0),IF(C107="EDIF",VLOOKUP(D107,#REF!,4,0),IF(C107="CPOS",VLOOKUP(D107,#REF!,7,0),IF(C107="FDE",VLOOKUP(D107,#REF!,5,0),IF(C107="INFRA",VLOOKUP(D107,#REF!,4,0),""))))))*VLOOKUP(C107,#REF!,3,0),"")</f>
        <v/>
      </c>
      <c r="I107" s="1106">
        <v>0.25</v>
      </c>
      <c r="J107" s="67" t="e">
        <f t="shared" si="14"/>
        <v>#VALUE!</v>
      </c>
      <c r="K107" s="69" t="e">
        <f t="shared" si="15"/>
        <v>#REF!</v>
      </c>
      <c r="L107" s="51"/>
      <c r="M107" s="52"/>
      <c r="N107" s="940"/>
    </row>
    <row r="108" spans="2:14" s="25" customFormat="1" ht="27" customHeight="1">
      <c r="B108" s="61" t="s">
        <v>234</v>
      </c>
      <c r="C108" s="61" t="s">
        <v>1479</v>
      </c>
      <c r="D108" s="1107" t="s">
        <v>6360</v>
      </c>
      <c r="E108" s="64" t="s">
        <v>6363</v>
      </c>
      <c r="F108" s="65" t="str">
        <f>IFERROR(UPPER(IF(C108="CPU",VLOOKUP(D108,#REF!,3,0),IF(C108="SINAPI",VLOOKUP(D108,#REF!,3,0),IF(C108="EDIF",VLOOKUP(D108,#REF!,3,0),IF(C108="CPOS",VLOOKUP(D108,#REF!,4,0),IF(C108="FDE",VLOOKUP(D108,#REF!,3,0),IF(C108="INFRA",VLOOKUP(D108,#REF!,3,0),""))))))),"")</f>
        <v/>
      </c>
      <c r="G108" s="66" t="e">
        <f>#REF!</f>
        <v>#REF!</v>
      </c>
      <c r="H108" s="67" t="str">
        <f>IFERROR(IF(C108="CPU",VLOOKUP(D108,#REF!,4,0),IF(C108="SINAPI",VLOOKUP(D108,#REF!,5,0),IF(C108="EDIF",VLOOKUP(D108,#REF!,4,0),IF(C108="CPOS",VLOOKUP(D108,#REF!,7,0),IF(C108="FDE",VLOOKUP(D108,#REF!,5,0),IF(C108="INFRA",VLOOKUP(D108,#REF!,4,0),""))))))*VLOOKUP(C108,#REF!,3,0),"")</f>
        <v/>
      </c>
      <c r="I108" s="1106">
        <v>0.25</v>
      </c>
      <c r="J108" s="67" t="e">
        <f t="shared" si="14"/>
        <v>#VALUE!</v>
      </c>
      <c r="K108" s="69" t="e">
        <f t="shared" si="15"/>
        <v>#REF!</v>
      </c>
      <c r="L108" s="51"/>
      <c r="M108" s="52"/>
      <c r="N108" s="940"/>
    </row>
    <row r="109" spans="2:14" s="25" customFormat="1" ht="27" customHeight="1">
      <c r="B109" s="61" t="s">
        <v>236</v>
      </c>
      <c r="C109" s="61" t="s">
        <v>1479</v>
      </c>
      <c r="D109" s="1107" t="s">
        <v>6364</v>
      </c>
      <c r="E109" s="64" t="e">
        <f>#REF!</f>
        <v>#REF!</v>
      </c>
      <c r="F109" s="65" t="str">
        <f>IFERROR(UPPER(IF(C109="CPU",VLOOKUP(D109,#REF!,3,0),IF(C109="SINAPI",VLOOKUP(D109,#REF!,3,0),IF(C109="EDIF",VLOOKUP(D109,#REF!,3,0),IF(C109="CPOS",VLOOKUP(D109,#REF!,4,0),IF(C109="FDE",VLOOKUP(D109,#REF!,3,0),IF(C109="INFRA",VLOOKUP(D109,#REF!,3,0),""))))))),"")</f>
        <v/>
      </c>
      <c r="G109" s="66" t="e">
        <f>#REF!</f>
        <v>#REF!</v>
      </c>
      <c r="H109" s="67" t="str">
        <f>IFERROR(IF(C109="CPU",VLOOKUP(D109,#REF!,4,0),IF(C109="SINAPI",VLOOKUP(D109,#REF!,5,0),IF(C109="EDIF",VLOOKUP(D109,#REF!,4,0),IF(C109="CPOS",VLOOKUP(D109,#REF!,7,0),IF(C109="FDE",VLOOKUP(D109,#REF!,5,0),IF(C109="INFRA",VLOOKUP(D109,#REF!,4,0),""))))))*VLOOKUP(C109,#REF!,3,0),"")</f>
        <v/>
      </c>
      <c r="I109" s="1106">
        <v>0.25</v>
      </c>
      <c r="J109" s="67" t="e">
        <f t="shared" si="14"/>
        <v>#VALUE!</v>
      </c>
      <c r="K109" s="69" t="e">
        <f t="shared" si="15"/>
        <v>#REF!</v>
      </c>
      <c r="L109" s="51"/>
      <c r="M109" s="52"/>
      <c r="N109" s="940"/>
    </row>
    <row r="110" spans="2:14" s="25" customFormat="1" ht="27" customHeight="1">
      <c r="B110" s="61" t="s">
        <v>238</v>
      </c>
      <c r="C110" s="61" t="s">
        <v>1479</v>
      </c>
      <c r="D110" s="1108" t="s">
        <v>6364</v>
      </c>
      <c r="E110" s="64" t="e">
        <f>#REF!</f>
        <v>#REF!</v>
      </c>
      <c r="F110" s="65" t="str">
        <f>IFERROR(UPPER(IF(C110="CPU",VLOOKUP(D110,#REF!,3,0),IF(C110="SINAPI",VLOOKUP(D110,#REF!,3,0),IF(C110="EDIF",VLOOKUP(D110,#REF!,3,0),IF(C110="CPOS",VLOOKUP(D110,#REF!,4,0),IF(C110="FDE",VLOOKUP(D110,#REF!,3,0),IF(C110="INFRA",VLOOKUP(D110,#REF!,3,0),""))))))),"")</f>
        <v/>
      </c>
      <c r="G110" s="66" t="e">
        <f>#REF!</f>
        <v>#REF!</v>
      </c>
      <c r="H110" s="67" t="str">
        <f>IFERROR(IF(C110="CPU",VLOOKUP(D110,#REF!,4,0),IF(C110="SINAPI",VLOOKUP(D110,#REF!,5,0),IF(C110="EDIF",VLOOKUP(D110,#REF!,4,0),IF(C110="CPOS",VLOOKUP(D110,#REF!,7,0),IF(C110="FDE",VLOOKUP(D110,#REF!,5,0),IF(C110="INFRA",VLOOKUP(D110,#REF!,4,0),""))))))*VLOOKUP(C110,#REF!,3,0),"")</f>
        <v/>
      </c>
      <c r="I110" s="1106">
        <v>0.25</v>
      </c>
      <c r="J110" s="67" t="e">
        <f t="shared" si="14"/>
        <v>#VALUE!</v>
      </c>
      <c r="K110" s="69" t="e">
        <f t="shared" si="15"/>
        <v>#REF!</v>
      </c>
      <c r="L110" s="51"/>
      <c r="M110" s="52"/>
      <c r="N110" s="940"/>
    </row>
    <row r="111" spans="2:14" s="25" customFormat="1" ht="27" customHeight="1">
      <c r="B111" s="61" t="s">
        <v>240</v>
      </c>
      <c r="C111" s="61" t="s">
        <v>1479</v>
      </c>
      <c r="D111" s="1108" t="s">
        <v>6364</v>
      </c>
      <c r="E111" s="64" t="e">
        <f>#REF!</f>
        <v>#REF!</v>
      </c>
      <c r="F111" s="65" t="str">
        <f>IFERROR(UPPER(IF(C111="CPU",VLOOKUP(D111,#REF!,3,0),IF(C111="SINAPI",VLOOKUP(D111,#REF!,3,0),IF(C111="EDIF",VLOOKUP(D111,#REF!,3,0),IF(C111="CPOS",VLOOKUP(D111,#REF!,4,0),IF(C111="FDE",VLOOKUP(D111,#REF!,3,0),IF(C111="INFRA",VLOOKUP(D111,#REF!,3,0),""))))))),"")</f>
        <v/>
      </c>
      <c r="G111" s="66" t="e">
        <f>#REF!</f>
        <v>#REF!</v>
      </c>
      <c r="H111" s="67" t="str">
        <f>IFERROR(IF(C111="CPU",VLOOKUP(D111,#REF!,4,0),IF(C111="SINAPI",VLOOKUP(D111,#REF!,5,0),IF(C111="EDIF",VLOOKUP(D111,#REF!,4,0),IF(C111="CPOS",VLOOKUP(D111,#REF!,7,0),IF(C111="FDE",VLOOKUP(D111,#REF!,5,0),IF(C111="INFRA",VLOOKUP(D111,#REF!,4,0),""))))))*VLOOKUP(C111,#REF!,3,0),"")</f>
        <v/>
      </c>
      <c r="I111" s="1106">
        <v>0.25</v>
      </c>
      <c r="J111" s="67" t="e">
        <f t="shared" si="14"/>
        <v>#VALUE!</v>
      </c>
      <c r="K111" s="69" t="e">
        <f t="shared" si="15"/>
        <v>#REF!</v>
      </c>
      <c r="L111" s="51"/>
      <c r="M111" s="52"/>
      <c r="N111" s="940"/>
    </row>
    <row r="112" spans="2:14" s="25" customFormat="1" ht="27" customHeight="1">
      <c r="B112" s="61" t="s">
        <v>242</v>
      </c>
      <c r="C112" s="61" t="s">
        <v>1479</v>
      </c>
      <c r="D112" s="1108" t="s">
        <v>6364</v>
      </c>
      <c r="E112" s="64" t="e">
        <f>#REF!</f>
        <v>#REF!</v>
      </c>
      <c r="F112" s="65" t="str">
        <f>IFERROR(UPPER(IF(C112="CPU",VLOOKUP(D112,#REF!,3,0),IF(C112="SINAPI",VLOOKUP(D112,#REF!,3,0),IF(C112="EDIF",VLOOKUP(D112,#REF!,3,0),IF(C112="CPOS",VLOOKUP(D112,#REF!,4,0),IF(C112="FDE",VLOOKUP(D112,#REF!,3,0),IF(C112="INFRA",VLOOKUP(D112,#REF!,3,0),""))))))),"")</f>
        <v/>
      </c>
      <c r="G112" s="66" t="e">
        <f>#REF!</f>
        <v>#REF!</v>
      </c>
      <c r="H112" s="67" t="str">
        <f>IFERROR(IF(C112="CPU",VLOOKUP(D112,#REF!,4,0),IF(C112="SINAPI",VLOOKUP(D112,#REF!,5,0),IF(C112="EDIF",VLOOKUP(D112,#REF!,4,0),IF(C112="CPOS",VLOOKUP(D112,#REF!,7,0),IF(C112="FDE",VLOOKUP(D112,#REF!,5,0),IF(C112="INFRA",VLOOKUP(D112,#REF!,4,0),""))))))*VLOOKUP(C112,#REF!,3,0),"")</f>
        <v/>
      </c>
      <c r="I112" s="1106">
        <v>0.25</v>
      </c>
      <c r="J112" s="67" t="e">
        <f t="shared" si="14"/>
        <v>#VALUE!</v>
      </c>
      <c r="K112" s="69" t="e">
        <f t="shared" si="15"/>
        <v>#REF!</v>
      </c>
      <c r="L112" s="51"/>
      <c r="M112" s="52"/>
      <c r="N112" s="940"/>
    </row>
    <row r="113" spans="2:14" s="25" customFormat="1" ht="27" customHeight="1">
      <c r="B113" s="61" t="s">
        <v>244</v>
      </c>
      <c r="C113" s="61" t="s">
        <v>1479</v>
      </c>
      <c r="D113" s="1107" t="s">
        <v>6364</v>
      </c>
      <c r="E113" s="64" t="e">
        <f>#REF!</f>
        <v>#REF!</v>
      </c>
      <c r="F113" s="65" t="str">
        <f>IFERROR(UPPER(IF(C113="CPU",VLOOKUP(D113,#REF!,3,0),IF(C113="SINAPI",VLOOKUP(D113,#REF!,3,0),IF(C113="EDIF",VLOOKUP(D113,#REF!,3,0),IF(C113="CPOS",VLOOKUP(D113,#REF!,4,0),IF(C113="FDE",VLOOKUP(D113,#REF!,3,0),IF(C113="INFRA",VLOOKUP(D113,#REF!,3,0),""))))))),"")</f>
        <v/>
      </c>
      <c r="G113" s="66" t="e">
        <f>#REF!</f>
        <v>#REF!</v>
      </c>
      <c r="H113" s="67" t="str">
        <f>IFERROR(IF(C113="CPU",VLOOKUP(D113,#REF!,4,0),IF(C113="SINAPI",VLOOKUP(D113,#REF!,5,0),IF(C113="EDIF",VLOOKUP(D113,#REF!,4,0),IF(C113="CPOS",VLOOKUP(D113,#REF!,7,0),IF(C113="FDE",VLOOKUP(D113,#REF!,5,0),IF(C113="INFRA",VLOOKUP(D113,#REF!,4,0),""))))))*VLOOKUP(C113,#REF!,3,0),"")</f>
        <v/>
      </c>
      <c r="I113" s="1106">
        <v>0.25</v>
      </c>
      <c r="J113" s="67" t="e">
        <f t="shared" si="14"/>
        <v>#VALUE!</v>
      </c>
      <c r="K113" s="69" t="e">
        <f t="shared" si="15"/>
        <v>#REF!</v>
      </c>
      <c r="L113" s="51"/>
      <c r="M113" s="52"/>
      <c r="N113" s="940"/>
    </row>
    <row r="114" spans="2:14" s="25" customFormat="1" ht="27" customHeight="1">
      <c r="B114" s="61" t="s">
        <v>246</v>
      </c>
      <c r="C114" s="61" t="s">
        <v>1479</v>
      </c>
      <c r="D114" s="1107" t="s">
        <v>6360</v>
      </c>
      <c r="E114" s="64" t="e">
        <f>#REF!</f>
        <v>#REF!</v>
      </c>
      <c r="F114" s="65" t="str">
        <f>IFERROR(UPPER(IF(C114="CPU",VLOOKUP(D114,#REF!,3,0),IF(C114="SINAPI",VLOOKUP(D114,#REF!,3,0),IF(C114="EDIF",VLOOKUP(D114,#REF!,3,0),IF(C114="CPOS",VLOOKUP(D114,#REF!,4,0),IF(C114="FDE",VLOOKUP(D114,#REF!,3,0),IF(C114="INFRA",VLOOKUP(D114,#REF!,3,0),""))))))),"")</f>
        <v/>
      </c>
      <c r="G114" s="66" t="e">
        <f>#REF!</f>
        <v>#REF!</v>
      </c>
      <c r="H114" s="67" t="str">
        <f>IFERROR(IF(C114="CPU",VLOOKUP(D114,#REF!,4,0),IF(C114="SINAPI",VLOOKUP(D114,#REF!,5,0),IF(C114="EDIF",VLOOKUP(D114,#REF!,4,0),IF(C114="CPOS",VLOOKUP(D114,#REF!,7,0),IF(C114="FDE",VLOOKUP(D114,#REF!,5,0),IF(C114="INFRA",VLOOKUP(D114,#REF!,4,0),""))))))*VLOOKUP(C114,#REF!,3,0),"")</f>
        <v/>
      </c>
      <c r="I114" s="1106">
        <v>0.25</v>
      </c>
      <c r="J114" s="67" t="e">
        <f t="shared" si="14"/>
        <v>#VALUE!</v>
      </c>
      <c r="K114" s="69" t="e">
        <f t="shared" si="15"/>
        <v>#REF!</v>
      </c>
      <c r="L114" s="51"/>
      <c r="M114" s="52"/>
      <c r="N114" s="940"/>
    </row>
    <row r="115" spans="2:14" s="25" customFormat="1" ht="27" customHeight="1">
      <c r="B115" s="61" t="s">
        <v>248</v>
      </c>
      <c r="C115" s="61" t="s">
        <v>1479</v>
      </c>
      <c r="D115" s="1107" t="s">
        <v>6365</v>
      </c>
      <c r="E115" s="64" t="s">
        <v>6366</v>
      </c>
      <c r="F115" s="65" t="str">
        <f>IFERROR(UPPER(IF(C115="CPU",VLOOKUP(D115,#REF!,3,0),IF(C115="SINAPI",VLOOKUP(D115,#REF!,3,0),IF(C115="EDIF",VLOOKUP(D115,#REF!,3,0),IF(C115="CPOS",VLOOKUP(D115,#REF!,4,0),IF(C115="FDE",VLOOKUP(D115,#REF!,3,0),IF(C115="INFRA",VLOOKUP(D115,#REF!,3,0),""))))))),"")</f>
        <v/>
      </c>
      <c r="G115" s="66" t="e">
        <f>#REF!</f>
        <v>#REF!</v>
      </c>
      <c r="H115" s="67" t="str">
        <f>IFERROR(IF(C115="CPU",VLOOKUP(D115,#REF!,4,0),IF(C115="SINAPI",VLOOKUP(D115,#REF!,5,0),IF(C115="EDIF",VLOOKUP(D115,#REF!,4,0),IF(C115="CPOS",VLOOKUP(D115,#REF!,7,0),IF(C115="FDE",VLOOKUP(D115,#REF!,5,0),IF(C115="INFRA",VLOOKUP(D115,#REF!,4,0),""))))))*VLOOKUP(C115,#REF!,3,0),"")</f>
        <v/>
      </c>
      <c r="I115" s="1106">
        <v>0.25</v>
      </c>
      <c r="J115" s="67" t="e">
        <f t="shared" si="14"/>
        <v>#VALUE!</v>
      </c>
      <c r="K115" s="69" t="e">
        <f t="shared" si="15"/>
        <v>#REF!</v>
      </c>
      <c r="L115" s="51"/>
      <c r="M115" s="52"/>
      <c r="N115" s="940"/>
    </row>
    <row r="116" spans="2:14" s="25" customFormat="1" ht="27" customHeight="1">
      <c r="B116" s="61" t="s">
        <v>250</v>
      </c>
      <c r="C116" s="61" t="s">
        <v>1479</v>
      </c>
      <c r="D116" s="1108" t="s">
        <v>6367</v>
      </c>
      <c r="E116" s="64" t="str">
        <f>IFERROR(UPPER(IF(C116="CPU",VLOOKUP(D116,#REF!,2,0),IF(C116="SINAPI",VLOOKUP(D116,#REF!,2,0),IF(C116="EDIF",VLOOKUP(D116,#REF!,2,0),IF(C116="CPOS",VLOOKUP(D116,#REF!,3,0),IF(C116="FDE",VLOOKUP(D116,#REF!,2,0),IF(C116="INFRA",VLOOKUP(D116,#REF!,2,0),""))))))),"")</f>
        <v/>
      </c>
      <c r="F116" s="65" t="str">
        <f>IFERROR(UPPER(IF(C116="CPU",VLOOKUP(D116,#REF!,3,0),IF(C116="SINAPI",VLOOKUP(D116,#REF!,3,0),IF(C116="EDIF",VLOOKUP(D116,#REF!,3,0),IF(C116="CPOS",VLOOKUP(D116,#REF!,4,0),IF(C116="FDE",VLOOKUP(D116,#REF!,3,0),IF(C116="INFRA",VLOOKUP(D116,#REF!,3,0),""))))))),"")</f>
        <v/>
      </c>
      <c r="G116" s="66" t="e">
        <f>#REF!</f>
        <v>#REF!</v>
      </c>
      <c r="H116" s="67" t="str">
        <f>IFERROR(IF(C116="CPU",VLOOKUP(D116,#REF!,4,0),IF(C116="SINAPI",VLOOKUP(D116,#REF!,5,0),IF(C116="EDIF",VLOOKUP(D116,#REF!,4,0),IF(C116="CPOS",VLOOKUP(D116,#REF!,7,0),IF(C116="FDE",VLOOKUP(D116,#REF!,5,0),IF(C116="INFRA",VLOOKUP(D116,#REF!,4,0),""))))))*VLOOKUP(C116,#REF!,3,0),"")</f>
        <v/>
      </c>
      <c r="I116" s="1106">
        <v>0.25</v>
      </c>
      <c r="J116" s="67" t="e">
        <f t="shared" si="14"/>
        <v>#VALUE!</v>
      </c>
      <c r="K116" s="69" t="e">
        <f t="shared" si="15"/>
        <v>#REF!</v>
      </c>
      <c r="L116" s="51"/>
      <c r="M116" s="52"/>
      <c r="N116" s="940"/>
    </row>
    <row r="117" spans="2:14" s="25" customFormat="1" ht="27" customHeight="1">
      <c r="B117" s="61" t="s">
        <v>6368</v>
      </c>
      <c r="C117" s="61" t="s">
        <v>1479</v>
      </c>
      <c r="D117" s="1107" t="s">
        <v>6369</v>
      </c>
      <c r="E117" s="64" t="str">
        <f>IFERROR(UPPER(IF(C117="CPU",VLOOKUP(D117,#REF!,2,0),IF(C117="SINAPI",VLOOKUP(D117,#REF!,2,0),IF(C117="EDIF",VLOOKUP(D117,#REF!,2,0),IF(C117="CPOS",VLOOKUP(D117,#REF!,3,0),IF(C117="FDE",VLOOKUP(D117,#REF!,2,0),IF(C117="INFRA",VLOOKUP(D117,#REF!,2,0),""))))))),"")</f>
        <v/>
      </c>
      <c r="F117" s="65" t="str">
        <f>IFERROR(UPPER(IF(C117="CPU",VLOOKUP(D117,#REF!,3,0),IF(C117="SINAPI",VLOOKUP(D117,#REF!,3,0),IF(C117="EDIF",VLOOKUP(D117,#REF!,3,0),IF(C117="CPOS",VLOOKUP(D117,#REF!,4,0),IF(C117="FDE",VLOOKUP(D117,#REF!,3,0),IF(C117="INFRA",VLOOKUP(D117,#REF!,3,0),""))))))),"")</f>
        <v/>
      </c>
      <c r="G117" s="66" t="e">
        <f>#REF!</f>
        <v>#REF!</v>
      </c>
      <c r="H117" s="67" t="str">
        <f>IFERROR(IF(C117="CPU",VLOOKUP(D117,#REF!,4,0),IF(C117="SINAPI",VLOOKUP(D117,#REF!,5,0),IF(C117="EDIF",VLOOKUP(D117,#REF!,4,0),IF(C117="CPOS",VLOOKUP(D117,#REF!,7,0),IF(C117="FDE",VLOOKUP(D117,#REF!,5,0),IF(C117="INFRA",VLOOKUP(D117,#REF!,4,0),""))))))*VLOOKUP(C117,#REF!,3,0),"")</f>
        <v/>
      </c>
      <c r="I117" s="1106">
        <v>0.25</v>
      </c>
      <c r="J117" s="67" t="e">
        <f t="shared" si="14"/>
        <v>#VALUE!</v>
      </c>
      <c r="K117" s="69" t="e">
        <f t="shared" si="15"/>
        <v>#REF!</v>
      </c>
      <c r="L117" s="51"/>
      <c r="M117" s="52"/>
      <c r="N117" s="940"/>
    </row>
    <row r="118" spans="2:14" s="25" customFormat="1" ht="27" customHeight="1">
      <c r="B118" s="61" t="s">
        <v>6370</v>
      </c>
      <c r="C118" s="61" t="s">
        <v>1479</v>
      </c>
      <c r="D118" s="1107" t="s">
        <v>6371</v>
      </c>
      <c r="E118" s="64" t="str">
        <f>IFERROR(UPPER(IF(C118="CPU",VLOOKUP(D118,#REF!,2,0),IF(C118="SINAPI",VLOOKUP(D118,#REF!,2,0),IF(C118="EDIF",VLOOKUP(D118,#REF!,2,0),IF(C118="CPOS",VLOOKUP(D118,#REF!,3,0),IF(C118="FDE",VLOOKUP(D118,#REF!,2,0),IF(C118="INFRA",VLOOKUP(D118,#REF!,2,0),""))))))),"")</f>
        <v/>
      </c>
      <c r="F118" s="65" t="str">
        <f>IFERROR(UPPER(IF(C118="CPU",VLOOKUP(D118,#REF!,3,0),IF(C118="SINAPI",VLOOKUP(D118,#REF!,3,0),IF(C118="EDIF",VLOOKUP(D118,#REF!,3,0),IF(C118="CPOS",VLOOKUP(D118,#REF!,4,0),IF(C118="FDE",VLOOKUP(D118,#REF!,3,0),IF(C118="INFRA",VLOOKUP(D118,#REF!,3,0),""))))))),"")</f>
        <v/>
      </c>
      <c r="G118" s="66">
        <v>3</v>
      </c>
      <c r="H118" s="67" t="str">
        <f>IFERROR(IF(C118="CPU",VLOOKUP(D118,#REF!,4,0),IF(C118="SINAPI",VLOOKUP(D118,#REF!,5,0),IF(C118="EDIF",VLOOKUP(D118,#REF!,4,0),IF(C118="CPOS",VLOOKUP(D118,#REF!,7,0),IF(C118="FDE",VLOOKUP(D118,#REF!,5,0),IF(C118="INFRA",VLOOKUP(D118,#REF!,4,0),""))))))*VLOOKUP(C118,#REF!,3,0),"")</f>
        <v/>
      </c>
      <c r="I118" s="1106">
        <v>0.25</v>
      </c>
      <c r="J118" s="67" t="e">
        <f t="shared" si="14"/>
        <v>#VALUE!</v>
      </c>
      <c r="K118" s="69" t="e">
        <f t="shared" si="15"/>
        <v>#VALUE!</v>
      </c>
      <c r="L118" s="51"/>
      <c r="M118" s="52"/>
      <c r="N118" s="940"/>
    </row>
    <row r="119" spans="2:14" s="25" customFormat="1" ht="27" customHeight="1">
      <c r="B119" s="61" t="s">
        <v>6372</v>
      </c>
      <c r="C119" s="61" t="s">
        <v>1479</v>
      </c>
      <c r="D119" s="1108" t="s">
        <v>6373</v>
      </c>
      <c r="E119" s="64" t="str">
        <f>IFERROR(UPPER(IF(C119="CPU",VLOOKUP(D119,#REF!,2,0),IF(C119="SINAPI",VLOOKUP(D119,#REF!,2,0),IF(C119="EDIF",VLOOKUP(D119,#REF!,2,0),IF(C119="CPOS",VLOOKUP(D119,#REF!,3,0),IF(C119="FDE",VLOOKUP(D119,#REF!,2,0),IF(C119="INFRA",VLOOKUP(D119,#REF!,2,0),""))))))),"")</f>
        <v/>
      </c>
      <c r="F119" s="65" t="str">
        <f>IFERROR(UPPER(IF(C119="CPU",VLOOKUP(D119,#REF!,3,0),IF(C119="SINAPI",VLOOKUP(D119,#REF!,3,0),IF(C119="EDIF",VLOOKUP(D119,#REF!,3,0),IF(C119="CPOS",VLOOKUP(D119,#REF!,4,0),IF(C119="FDE",VLOOKUP(D119,#REF!,3,0),IF(C119="INFRA",VLOOKUP(D119,#REF!,3,0),""))))))),"")</f>
        <v/>
      </c>
      <c r="G119" s="66">
        <v>4</v>
      </c>
      <c r="H119" s="67" t="str">
        <f>IFERROR(IF(C119="CPU",VLOOKUP(D119,#REF!,4,0),IF(C119="SINAPI",VLOOKUP(D119,#REF!,5,0),IF(C119="EDIF",VLOOKUP(D119,#REF!,4,0),IF(C119="CPOS",VLOOKUP(D119,#REF!,7,0),IF(C119="FDE",VLOOKUP(D119,#REF!,5,0),IF(C119="INFRA",VLOOKUP(D119,#REF!,4,0),""))))))*VLOOKUP(C119,#REF!,3,0),"")</f>
        <v/>
      </c>
      <c r="I119" s="1106">
        <v>0.25</v>
      </c>
      <c r="J119" s="67" t="e">
        <f t="shared" si="14"/>
        <v>#VALUE!</v>
      </c>
      <c r="K119" s="69" t="e">
        <f t="shared" si="15"/>
        <v>#VALUE!</v>
      </c>
      <c r="L119" s="51"/>
      <c r="M119" s="52"/>
      <c r="N119" s="940"/>
    </row>
    <row r="120" spans="2:14" s="25" customFormat="1" ht="27" customHeight="1">
      <c r="B120" s="61" t="s">
        <v>6374</v>
      </c>
      <c r="C120" s="61" t="s">
        <v>4872</v>
      </c>
      <c r="D120" s="1107">
        <v>70266</v>
      </c>
      <c r="E120" s="64" t="str">
        <f>IFERROR(UPPER(IF(C120="CPU",VLOOKUP(D120,#REF!,2,0),IF(C120="SINAPI",VLOOKUP(D120,#REF!,2,0),IF(C120="EDIF",VLOOKUP(D120,#REF!,2,0),IF(C120="CPOS",VLOOKUP(D120,#REF!,3,0),IF(C120="FDE",VLOOKUP(D120,#REF!,2,0),IF(C120="INFRA",VLOOKUP(D120,#REF!,2,0),""))))))),"")</f>
        <v/>
      </c>
      <c r="F120" s="65" t="str">
        <f>IFERROR(UPPER(IF(C120="CPU",VLOOKUP(D120,#REF!,3,0),IF(C120="SINAPI",VLOOKUP(D120,#REF!,3,0),IF(C120="EDIF",VLOOKUP(D120,#REF!,3,0),IF(C120="CPOS",VLOOKUP(D120,#REF!,4,0),IF(C120="FDE",VLOOKUP(D120,#REF!,3,0),IF(C120="INFRA",VLOOKUP(D120,#REF!,3,0),""))))))),"")</f>
        <v/>
      </c>
      <c r="G120" s="66">
        <v>6</v>
      </c>
      <c r="H120" s="67" t="str">
        <f>IFERROR(IF(C120="CPU",VLOOKUP(D120,#REF!,4,0),IF(C120="SINAPI",VLOOKUP(D120,#REF!,5,0),IF(C120="EDIF",VLOOKUP(D120,#REF!,4,0),IF(C120="CPOS",VLOOKUP(D120,#REF!,7,0),IF(C120="FDE",VLOOKUP(D120,#REF!,5,0),IF(C120="INFRA",VLOOKUP(D120,#REF!,4,0),""))))))*VLOOKUP(C120,#REF!,3,0),"")</f>
        <v/>
      </c>
      <c r="I120" s="1106">
        <v>0.25</v>
      </c>
      <c r="J120" s="67" t="e">
        <f t="shared" si="14"/>
        <v>#VALUE!</v>
      </c>
      <c r="K120" s="69" t="e">
        <f t="shared" si="15"/>
        <v>#VALUE!</v>
      </c>
      <c r="L120" s="51"/>
      <c r="M120" s="52"/>
      <c r="N120" s="940"/>
    </row>
    <row r="121" spans="2:14" s="25" customFormat="1" ht="27" customHeight="1">
      <c r="B121" s="61" t="s">
        <v>6375</v>
      </c>
      <c r="C121" s="61" t="s">
        <v>4872</v>
      </c>
      <c r="D121" s="1107">
        <v>80180</v>
      </c>
      <c r="E121" s="64" t="str">
        <f>IFERROR(UPPER(IF(C121="CPU",VLOOKUP(D121,#REF!,2,0),IF(C121="SINAPI",VLOOKUP(D121,#REF!,2,0),IF(C121="EDIF",VLOOKUP(D121,#REF!,2,0),IF(C121="CPOS",VLOOKUP(D121,#REF!,3,0),IF(C121="FDE",VLOOKUP(D121,#REF!,2,0),IF(C121="INFRA",VLOOKUP(D121,#REF!,2,0),""))))))),"")</f>
        <v/>
      </c>
      <c r="F121" s="65" t="str">
        <f>IFERROR(UPPER(IF(C121="CPU",VLOOKUP(D121,#REF!,3,0),IF(C121="SINAPI",VLOOKUP(D121,#REF!,3,0),IF(C121="EDIF",VLOOKUP(D121,#REF!,3,0),IF(C121="CPOS",VLOOKUP(D121,#REF!,4,0),IF(C121="FDE",VLOOKUP(D121,#REF!,3,0),IF(C121="INFRA",VLOOKUP(D121,#REF!,3,0),""))))))),"")</f>
        <v/>
      </c>
      <c r="G121" s="66">
        <v>13</v>
      </c>
      <c r="H121" s="67" t="str">
        <f>IFERROR(IF(C121="CPU",VLOOKUP(D121,#REF!,4,0),IF(C121="SINAPI",VLOOKUP(D121,#REF!,5,0),IF(C121="EDIF",VLOOKUP(D121,#REF!,4,0),IF(C121="CPOS",VLOOKUP(D121,#REF!,7,0),IF(C121="FDE",VLOOKUP(D121,#REF!,5,0),IF(C121="INFRA",VLOOKUP(D121,#REF!,4,0),""))))))*VLOOKUP(C121,#REF!,3,0),"")</f>
        <v/>
      </c>
      <c r="I121" s="1106">
        <v>0.25</v>
      </c>
      <c r="J121" s="67" t="e">
        <f t="shared" si="14"/>
        <v>#VALUE!</v>
      </c>
      <c r="K121" s="69" t="e">
        <f t="shared" si="15"/>
        <v>#VALUE!</v>
      </c>
      <c r="L121" s="51"/>
      <c r="M121" s="52"/>
      <c r="N121" s="940"/>
    </row>
    <row r="122" spans="2:14" s="25" customFormat="1" ht="27" customHeight="1">
      <c r="B122" s="1097" t="s">
        <v>252</v>
      </c>
      <c r="C122" s="1098"/>
      <c r="D122" s="1098"/>
      <c r="E122" s="1099" t="s">
        <v>6376</v>
      </c>
      <c r="F122" s="1100"/>
      <c r="G122" s="1101"/>
      <c r="H122" s="1102"/>
      <c r="I122" s="1103"/>
      <c r="J122" s="1103"/>
      <c r="K122" s="1104"/>
      <c r="L122" s="51"/>
      <c r="M122" s="52"/>
      <c r="N122" s="940"/>
    </row>
    <row r="123" spans="2:14" s="25" customFormat="1" ht="27" customHeight="1">
      <c r="B123" s="61" t="s">
        <v>255</v>
      </c>
      <c r="C123" s="61" t="s">
        <v>1479</v>
      </c>
      <c r="D123" s="1108" t="s">
        <v>6377</v>
      </c>
      <c r="E123" s="64" t="str">
        <f>IFERROR(UPPER(IF(C123="CPU",VLOOKUP(D123,#REF!,2,0),IF(C123="SINAPI",VLOOKUP(D123,#REF!,2,0),IF(C123="EDIF",VLOOKUP(D123,#REF!,2,0),IF(C123="CPOS",VLOOKUP(D123,#REF!,3,0),IF(C123="FDE",VLOOKUP(D123,#REF!,2,0),IF(C123="INFRA",VLOOKUP(D123,#REF!,2,0),""))))))),"")</f>
        <v/>
      </c>
      <c r="F123" s="65" t="str">
        <f>IFERROR(UPPER(IF(C123="CPU",VLOOKUP(D123,#REF!,3,0),IF(C123="SINAPI",VLOOKUP(D123,#REF!,3,0),IF(C123="EDIF",VLOOKUP(D123,#REF!,3,0),IF(C123="CPOS",VLOOKUP(D123,#REF!,4,0),IF(C123="FDE",VLOOKUP(D123,#REF!,3,0),IF(C123="INFRA",VLOOKUP(D123,#REF!,3,0),""))))))),"")</f>
        <v/>
      </c>
      <c r="G123" s="66" t="e">
        <f>#REF!</f>
        <v>#REF!</v>
      </c>
      <c r="H123" s="67" t="str">
        <f>IFERROR(IF(C123="CPU",VLOOKUP(D123,#REF!,4,0),IF(C123="SINAPI",VLOOKUP(D123,#REF!,5,0),IF(C123="EDIF",VLOOKUP(D123,#REF!,4,0),IF(C123="CPOS",VLOOKUP(D123,#REF!,7,0),IF(C123="FDE",VLOOKUP(D123,#REF!,5,0),IF(C123="INFRA",VLOOKUP(D123,#REF!,4,0),""))))))*VLOOKUP(C123,#REF!,3,0),"")</f>
        <v/>
      </c>
      <c r="I123" s="1106">
        <v>0.25</v>
      </c>
      <c r="J123" s="67" t="e">
        <f>ROUND(H123*(1+I123),2)</f>
        <v>#VALUE!</v>
      </c>
      <c r="K123" s="69" t="e">
        <f>SUM(G123*J123)</f>
        <v>#REF!</v>
      </c>
      <c r="L123" s="51"/>
      <c r="M123" s="52"/>
      <c r="N123" s="940"/>
    </row>
    <row r="124" spans="2:14" s="25" customFormat="1" ht="27" customHeight="1">
      <c r="B124" s="61" t="s">
        <v>257</v>
      </c>
      <c r="C124" s="61" t="s">
        <v>1479</v>
      </c>
      <c r="D124" s="1108" t="s">
        <v>5749</v>
      </c>
      <c r="E124" s="64" t="str">
        <f>IFERROR(UPPER(IF(C124="CPU",VLOOKUP(D124,#REF!,2,0),IF(C124="SINAPI",VLOOKUP(D124,#REF!,2,0),IF(C124="EDIF",VLOOKUP(D124,#REF!,2,0),IF(C124="CPOS",VLOOKUP(D124,#REF!,3,0),IF(C124="FDE",VLOOKUP(D124,#REF!,2,0),IF(C124="INFRA",VLOOKUP(D124,#REF!,2,0),""))))))),"")</f>
        <v/>
      </c>
      <c r="F124" s="65" t="str">
        <f>IFERROR(UPPER(IF(C124="CPU",VLOOKUP(D124,#REF!,3,0),IF(C124="SINAPI",VLOOKUP(D124,#REF!,3,0),IF(C124="EDIF",VLOOKUP(D124,#REF!,3,0),IF(C124="CPOS",VLOOKUP(D124,#REF!,4,0),IF(C124="FDE",VLOOKUP(D124,#REF!,3,0),IF(C124="INFRA",VLOOKUP(D124,#REF!,3,0),""))))))),"")</f>
        <v/>
      </c>
      <c r="G124" s="66" t="e">
        <f>#REF!</f>
        <v>#REF!</v>
      </c>
      <c r="H124" s="67" t="str">
        <f>IFERROR(IF(C124="CPU",VLOOKUP(D124,#REF!,4,0),IF(C124="SINAPI",VLOOKUP(D124,#REF!,5,0),IF(C124="EDIF",VLOOKUP(D124,#REF!,4,0),IF(C124="CPOS",VLOOKUP(D124,#REF!,7,0),IF(C124="FDE",VLOOKUP(D124,#REF!,5,0),IF(C124="INFRA",VLOOKUP(D124,#REF!,4,0),""))))))*VLOOKUP(C124,#REF!,3,0),"")</f>
        <v/>
      </c>
      <c r="I124" s="1106">
        <v>0.25</v>
      </c>
      <c r="J124" s="67" t="e">
        <f>ROUND(H124*(1+I124),2)</f>
        <v>#VALUE!</v>
      </c>
      <c r="K124" s="69" t="e">
        <f>SUM(G124*J124)</f>
        <v>#REF!</v>
      </c>
      <c r="L124" s="51"/>
      <c r="M124" s="52"/>
      <c r="N124" s="940"/>
    </row>
    <row r="125" spans="2:14" s="25" customFormat="1" ht="27" customHeight="1">
      <c r="B125" s="61" t="s">
        <v>259</v>
      </c>
      <c r="C125" s="61" t="s">
        <v>1479</v>
      </c>
      <c r="D125" s="1108" t="s">
        <v>6378</v>
      </c>
      <c r="E125" s="64" t="str">
        <f>IFERROR(UPPER(IF(C125="CPU",VLOOKUP(D125,#REF!,2,0),IF(C125="SINAPI",VLOOKUP(D125,#REF!,2,0),IF(C125="EDIF",VLOOKUP(D125,#REF!,2,0),IF(C125="CPOS",VLOOKUP(D125,#REF!,3,0),IF(C125="FDE",VLOOKUP(D125,#REF!,2,0),IF(C125="INFRA",VLOOKUP(D125,#REF!,2,0),""))))))),"")</f>
        <v/>
      </c>
      <c r="F125" s="65" t="str">
        <f>IFERROR(UPPER(IF(C125="CPU",VLOOKUP(D125,#REF!,3,0),IF(C125="SINAPI",VLOOKUP(D125,#REF!,3,0),IF(C125="EDIF",VLOOKUP(D125,#REF!,3,0),IF(C125="CPOS",VLOOKUP(D125,#REF!,4,0),IF(C125="FDE",VLOOKUP(D125,#REF!,3,0),IF(C125="INFRA",VLOOKUP(D125,#REF!,3,0),""))))))),"")</f>
        <v/>
      </c>
      <c r="G125" s="66" t="e">
        <f>#REF!</f>
        <v>#REF!</v>
      </c>
      <c r="H125" s="67" t="str">
        <f>IFERROR(IF(C125="CPU",VLOOKUP(D125,#REF!,4,0),IF(C125="SINAPI",VLOOKUP(D125,#REF!,5,0),IF(C125="EDIF",VLOOKUP(D125,#REF!,4,0),IF(C125="CPOS",VLOOKUP(D125,#REF!,7,0),IF(C125="FDE",VLOOKUP(D125,#REF!,5,0),IF(C125="INFRA",VLOOKUP(D125,#REF!,4,0),""))))))*VLOOKUP(C125,#REF!,3,0),"")</f>
        <v/>
      </c>
      <c r="I125" s="1106">
        <v>0.25</v>
      </c>
      <c r="J125" s="67" t="e">
        <f>ROUND(H125*(1+I125),2)</f>
        <v>#VALUE!</v>
      </c>
      <c r="K125" s="69" t="e">
        <f>SUM(G125*J125)</f>
        <v>#REF!</v>
      </c>
      <c r="L125" s="51"/>
      <c r="M125" s="52"/>
      <c r="N125" s="940"/>
    </row>
    <row r="126" spans="2:14" s="25" customFormat="1" ht="27" customHeight="1">
      <c r="B126" s="61" t="s">
        <v>261</v>
      </c>
      <c r="C126" s="61" t="s">
        <v>1479</v>
      </c>
      <c r="D126" s="1108" t="s">
        <v>6379</v>
      </c>
      <c r="E126" s="64" t="str">
        <f>IFERROR(UPPER(IF(C126="CPU",VLOOKUP(D126,#REF!,2,0),IF(C126="SINAPI",VLOOKUP(D126,#REF!,2,0),IF(C126="EDIF",VLOOKUP(D126,#REF!,2,0),IF(C126="CPOS",VLOOKUP(D126,#REF!,3,0),IF(C126="FDE",VLOOKUP(D126,#REF!,2,0),IF(C126="INFRA",VLOOKUP(D126,#REF!,2,0),""))))))),"")</f>
        <v/>
      </c>
      <c r="F126" s="65" t="str">
        <f>IFERROR(UPPER(IF(C126="CPU",VLOOKUP(D126,#REF!,3,0),IF(C126="SINAPI",VLOOKUP(D126,#REF!,3,0),IF(C126="EDIF",VLOOKUP(D126,#REF!,3,0),IF(C126="CPOS",VLOOKUP(D126,#REF!,4,0),IF(C126="FDE",VLOOKUP(D126,#REF!,3,0),IF(C126="INFRA",VLOOKUP(D126,#REF!,3,0),""))))))),"")</f>
        <v/>
      </c>
      <c r="G126" s="66" t="e">
        <f>G125</f>
        <v>#REF!</v>
      </c>
      <c r="H126" s="67" t="str">
        <f>IFERROR(IF(C126="CPU",VLOOKUP(D126,#REF!,4,0),IF(C126="SINAPI",VLOOKUP(D126,#REF!,5,0),IF(C126="EDIF",VLOOKUP(D126,#REF!,4,0),IF(C126="CPOS",VLOOKUP(D126,#REF!,7,0),IF(C126="FDE",VLOOKUP(D126,#REF!,5,0),IF(C126="INFRA",VLOOKUP(D126,#REF!,4,0),""))))))*VLOOKUP(C126,#REF!,3,0),"")</f>
        <v/>
      </c>
      <c r="I126" s="1106">
        <v>0.25</v>
      </c>
      <c r="J126" s="67" t="e">
        <f>ROUND(H126*(1+I126),2)</f>
        <v>#VALUE!</v>
      </c>
      <c r="K126" s="69" t="e">
        <f>SUM(G126*J126)</f>
        <v>#REF!</v>
      </c>
      <c r="L126" s="51"/>
      <c r="M126" s="52"/>
      <c r="N126" s="940"/>
    </row>
    <row r="127" spans="2:14" s="25" customFormat="1" ht="27" customHeight="1">
      <c r="B127" s="1097" t="s">
        <v>275</v>
      </c>
      <c r="C127" s="1098"/>
      <c r="D127" s="1098"/>
      <c r="E127" s="1099" t="s">
        <v>6380</v>
      </c>
      <c r="F127" s="1100"/>
      <c r="G127" s="1101"/>
      <c r="H127" s="1102"/>
      <c r="I127" s="1103"/>
      <c r="J127" s="1103"/>
      <c r="K127" s="1104"/>
      <c r="L127" s="51"/>
      <c r="M127" s="52"/>
      <c r="N127" s="940"/>
    </row>
    <row r="128" spans="2:14" s="25" customFormat="1" ht="27" customHeight="1">
      <c r="B128" s="61" t="s">
        <v>278</v>
      </c>
      <c r="C128" s="61" t="s">
        <v>1479</v>
      </c>
      <c r="D128" s="1108" t="s">
        <v>6381</v>
      </c>
      <c r="E128" s="64" t="s">
        <v>6382</v>
      </c>
      <c r="F128" s="65" t="str">
        <f>IFERROR(UPPER(IF(C128="CPU",VLOOKUP(D128,#REF!,3,0),IF(C128="SINAPI",VLOOKUP(D128,#REF!,3,0),IF(C128="EDIF",VLOOKUP(D128,#REF!,3,0),IF(C128="CPOS",VLOOKUP(D128,#REF!,4,0),IF(C128="FDE",VLOOKUP(D128,#REF!,3,0),IF(C128="INFRA",VLOOKUP(D128,#REF!,3,0),""))))))),"")</f>
        <v/>
      </c>
      <c r="G128" s="66">
        <f>5*38</f>
        <v>190</v>
      </c>
      <c r="H128" s="67" t="str">
        <f>IFERROR(IF(C128="CPU",VLOOKUP(D128,#REF!,4,0),IF(C128="SINAPI",VLOOKUP(D128,#REF!,5,0),IF(C128="EDIF",VLOOKUP(D128,#REF!,4,0),IF(C128="CPOS",VLOOKUP(D128,#REF!,7,0),IF(C128="FDE",VLOOKUP(D128,#REF!,5,0),IF(C128="INFRA",VLOOKUP(D128,#REF!,4,0),""))))))*VLOOKUP(C128,#REF!,3,0),"")</f>
        <v/>
      </c>
      <c r="I128" s="1106">
        <v>0.25</v>
      </c>
      <c r="J128" s="67" t="e">
        <f>ROUND(H128*(1+I128),2)</f>
        <v>#VALUE!</v>
      </c>
      <c r="K128" s="69" t="e">
        <f>SUM(G128*J128)</f>
        <v>#VALUE!</v>
      </c>
      <c r="L128" s="51"/>
      <c r="M128" s="52"/>
      <c r="N128" s="940"/>
    </row>
    <row r="129" spans="2:14" s="25" customFormat="1" ht="27" customHeight="1">
      <c r="B129" s="1097" t="s">
        <v>5700</v>
      </c>
      <c r="C129" s="1098"/>
      <c r="D129" s="1098"/>
      <c r="E129" s="1099" t="s">
        <v>6383</v>
      </c>
      <c r="F129" s="1100"/>
      <c r="G129" s="1101"/>
      <c r="H129" s="1102"/>
      <c r="I129" s="1103"/>
      <c r="J129" s="1103"/>
      <c r="K129" s="1104"/>
      <c r="L129" s="51"/>
      <c r="M129" s="52"/>
      <c r="N129" s="940"/>
    </row>
    <row r="130" spans="2:14" s="25" customFormat="1" ht="41.25" customHeight="1">
      <c r="B130" s="61" t="s">
        <v>6384</v>
      </c>
      <c r="C130" s="61" t="s">
        <v>4908</v>
      </c>
      <c r="D130" s="65" t="s">
        <v>6385</v>
      </c>
      <c r="E130" s="64" t="str">
        <f>IFERROR(UPPER(IF(C130="CPU",VLOOKUP(D130,#REF!,2,0),IF(C130="SINAPI",VLOOKUP(D130,#REF!,2,0),IF(C130="EDIF",VLOOKUP(D130,#REF!,2,0),IF(C130="CPOS",VLOOKUP(D130,#REF!,3,0),IF(C130="FDE",VLOOKUP(D130,#REF!,2,0),IF(C130="INFRA",VLOOKUP(D130,#REF!,2,0),""))))))),"")</f>
        <v/>
      </c>
      <c r="F130" s="65" t="str">
        <f>IFERROR(UPPER(IF(C130="CPU",VLOOKUP(D130,#REF!,3,0),IF(C130="SINAPI",VLOOKUP(D130,#REF!,3,0),IF(C130="EDIF",VLOOKUP(D130,#REF!,3,0),IF(C130="CPOS",VLOOKUP(D130,#REF!,4,0),IF(C130="FDE",VLOOKUP(D130,#REF!,3,0),IF(C130="INFRA",VLOOKUP(D130,#REF!,3,0),""))))))),"")</f>
        <v/>
      </c>
      <c r="G130" s="66">
        <v>26</v>
      </c>
      <c r="H130" s="67" t="str">
        <f>IFERROR(IF(C130="CPU",VLOOKUP(D130,#REF!,4,0),IF(C130="SINAPI",VLOOKUP(D130,#REF!,5,0),IF(C130="EDIF",VLOOKUP(D130,#REF!,4,0),IF(C130="CPOS",VLOOKUP(D130,#REF!,7,0),IF(C130="FDE",VLOOKUP(D130,#REF!,5,0),IF(C130="INFRA",VLOOKUP(D130,#REF!,4,0),""))))))*VLOOKUP(C130,#REF!,3,0),"")</f>
        <v/>
      </c>
      <c r="I130" s="1106">
        <v>0.25</v>
      </c>
      <c r="J130" s="67" t="e">
        <f>ROUND(H130*(1+I130),2)</f>
        <v>#VALUE!</v>
      </c>
      <c r="K130" s="69" t="e">
        <f>SUM(G130*J130)</f>
        <v>#VALUE!</v>
      </c>
      <c r="L130" s="51"/>
      <c r="M130" s="52"/>
      <c r="N130" s="940"/>
    </row>
    <row r="131" spans="2:14" s="25" customFormat="1" ht="27" customHeight="1">
      <c r="B131" s="61" t="s">
        <v>6386</v>
      </c>
      <c r="C131" s="61" t="s">
        <v>1479</v>
      </c>
      <c r="D131" s="1108" t="s">
        <v>6387</v>
      </c>
      <c r="E131" s="64" t="str">
        <f>IFERROR(UPPER(IF(C131="CPU",VLOOKUP(D131,#REF!,2,0),IF(C131="SINAPI",VLOOKUP(D131,#REF!,2,0),IF(C131="EDIF",VLOOKUP(D131,#REF!,2,0),IF(C131="CPOS",VLOOKUP(D131,#REF!,3,0),IF(C131="FDE",VLOOKUP(D131,#REF!,2,0),IF(C131="INFRA",VLOOKUP(D131,#REF!,2,0),""))))))),"")</f>
        <v/>
      </c>
      <c r="F131" s="65" t="str">
        <f>IFERROR(UPPER(IF(C131="CPU",VLOOKUP(D131,#REF!,3,0),IF(C131="SINAPI",VLOOKUP(D131,#REF!,3,0),IF(C131="EDIF",VLOOKUP(D131,#REF!,3,0),IF(C131="CPOS",VLOOKUP(D131,#REF!,4,0),IF(C131="FDE",VLOOKUP(D131,#REF!,3,0),IF(C131="INFRA",VLOOKUP(D131,#REF!,3,0),""))))))),"")</f>
        <v/>
      </c>
      <c r="G131" s="66">
        <v>0.5</v>
      </c>
      <c r="H131" s="67" t="str">
        <f>IFERROR(IF(C131="CPU",VLOOKUP(D131,#REF!,4,0),IF(C131="SINAPI",VLOOKUP(D131,#REF!,5,0),IF(C131="EDIF",VLOOKUP(D131,#REF!,4,0),IF(C131="CPOS",VLOOKUP(D131,#REF!,7,0),IF(C131="FDE",VLOOKUP(D131,#REF!,5,0),IF(C131="INFRA",VLOOKUP(D131,#REF!,4,0),""))))))*VLOOKUP(C131,#REF!,3,0),"")</f>
        <v/>
      </c>
      <c r="I131" s="1106">
        <v>0.25</v>
      </c>
      <c r="J131" s="67" t="e">
        <f>ROUND(H131*(1+I131),2)</f>
        <v>#VALUE!</v>
      </c>
      <c r="K131" s="69" t="e">
        <f>SUM(G131*J131)</f>
        <v>#VALUE!</v>
      </c>
      <c r="L131" s="51"/>
      <c r="M131" s="52"/>
      <c r="N131" s="940"/>
    </row>
    <row r="132" spans="2:14" s="25" customFormat="1" ht="27" customHeight="1">
      <c r="B132" s="1097" t="s">
        <v>5702</v>
      </c>
      <c r="C132" s="1098"/>
      <c r="D132" s="1098"/>
      <c r="E132" s="1099" t="s">
        <v>910</v>
      </c>
      <c r="F132" s="1100"/>
      <c r="G132" s="1101"/>
      <c r="H132" s="1102"/>
      <c r="I132" s="1103"/>
      <c r="J132" s="1103"/>
      <c r="K132" s="1104"/>
      <c r="L132" s="51"/>
      <c r="M132" s="52"/>
      <c r="N132" s="940"/>
    </row>
    <row r="133" spans="2:14" s="25" customFormat="1" ht="27" customHeight="1">
      <c r="B133" s="61" t="s">
        <v>6388</v>
      </c>
      <c r="C133" s="61" t="s">
        <v>1479</v>
      </c>
      <c r="D133" s="1108" t="s">
        <v>6389</v>
      </c>
      <c r="E133" s="64" t="s">
        <v>6390</v>
      </c>
      <c r="F133" s="65" t="str">
        <f>IFERROR(UPPER(IF(C133="CPU",VLOOKUP(D133,#REF!,3,0),IF(C133="SINAPI",VLOOKUP(D133,#REF!,3,0),IF(C133="EDIF",VLOOKUP(D133,#REF!,3,0),IF(C133="CPOS",VLOOKUP(D133,#REF!,4,0),IF(C133="FDE",VLOOKUP(D133,#REF!,3,0),IF(C133="INFRA",VLOOKUP(D133,#REF!,3,0),""))))))),"")</f>
        <v/>
      </c>
      <c r="G133" s="66" t="e">
        <f>G124</f>
        <v>#REF!</v>
      </c>
      <c r="H133" s="67" t="str">
        <f>IFERROR(IF(C133="CPU",VLOOKUP(D133,#REF!,4,0),IF(C133="SINAPI",VLOOKUP(D133,#REF!,5,0),IF(C133="EDIF",VLOOKUP(D133,#REF!,4,0),IF(C133="CPOS",VLOOKUP(D133,#REF!,7,0),IF(C133="FDE",VLOOKUP(D133,#REF!,5,0),IF(C133="INFRA",VLOOKUP(D133,#REF!,4,0),""))))))*VLOOKUP(C133,#REF!,3,0),"")</f>
        <v/>
      </c>
      <c r="I133" s="1106">
        <v>0.25</v>
      </c>
      <c r="J133" s="67" t="e">
        <f>ROUND(H133*(1+I133),2)</f>
        <v>#VALUE!</v>
      </c>
      <c r="K133" s="69" t="e">
        <f>SUM(G133*J133)</f>
        <v>#REF!</v>
      </c>
      <c r="L133" s="51"/>
      <c r="M133" s="52"/>
      <c r="N133" s="940"/>
    </row>
    <row r="134" spans="2:14" s="25" customFormat="1" ht="27" customHeight="1">
      <c r="B134" s="61" t="s">
        <v>6391</v>
      </c>
      <c r="C134" s="61" t="s">
        <v>1479</v>
      </c>
      <c r="D134" s="1108" t="s">
        <v>6392</v>
      </c>
      <c r="E134" s="64" t="s">
        <v>6393</v>
      </c>
      <c r="F134" s="65" t="str">
        <f>IFERROR(UPPER(IF(C134="CPU",VLOOKUP(D134,#REF!,3,0),IF(C134="SINAPI",VLOOKUP(D134,#REF!,3,0),IF(C134="EDIF",VLOOKUP(D134,#REF!,3,0),IF(C134="CPOS",VLOOKUP(D134,#REF!,4,0),IF(C134="FDE",VLOOKUP(D134,#REF!,3,0),IF(C134="INFRA",VLOOKUP(D134,#REF!,3,0),""))))))),"")</f>
        <v/>
      </c>
      <c r="G134" s="66">
        <v>2.4</v>
      </c>
      <c r="H134" s="67" t="str">
        <f>IFERROR(IF(C134="CPU",VLOOKUP(D134,#REF!,4,0),IF(C134="SINAPI",VLOOKUP(D134,#REF!,5,0),IF(C134="EDIF",VLOOKUP(D134,#REF!,4,0),IF(C134="CPOS",VLOOKUP(D134,#REF!,7,0),IF(C134="FDE",VLOOKUP(D134,#REF!,5,0),IF(C134="INFRA",VLOOKUP(D134,#REF!,4,0),""))))))*VLOOKUP(C134,#REF!,3,0),"")</f>
        <v/>
      </c>
      <c r="I134" s="1106">
        <v>0.25</v>
      </c>
      <c r="J134" s="67" t="e">
        <f>ROUND(H134*(1+I134),2)</f>
        <v>#VALUE!</v>
      </c>
      <c r="K134" s="69" t="e">
        <f>SUM(G134*J134)</f>
        <v>#VALUE!</v>
      </c>
      <c r="L134" s="51"/>
      <c r="M134" s="52"/>
      <c r="N134" s="940"/>
    </row>
    <row r="135" spans="2:14" s="25" customFormat="1" ht="27" customHeight="1">
      <c r="B135" s="61" t="s">
        <v>6394</v>
      </c>
      <c r="C135" s="61" t="s">
        <v>1479</v>
      </c>
      <c r="D135" s="1108" t="s">
        <v>6389</v>
      </c>
      <c r="E135" s="64" t="s">
        <v>6395</v>
      </c>
      <c r="F135" s="65" t="str">
        <f>IFERROR(UPPER(IF(C135="CPU",VLOOKUP(D135,#REF!,3,0),IF(C135="SINAPI",VLOOKUP(D135,#REF!,3,0),IF(C135="EDIF",VLOOKUP(D135,#REF!,3,0),IF(C135="CPOS",VLOOKUP(D135,#REF!,4,0),IF(C135="FDE",VLOOKUP(D135,#REF!,3,0),IF(C135="INFRA",VLOOKUP(D135,#REF!,3,0),""))))))),"")</f>
        <v/>
      </c>
      <c r="G135" s="66">
        <v>0.48</v>
      </c>
      <c r="H135" s="67" t="str">
        <f>IFERROR(IF(C135="CPU",VLOOKUP(D135,#REF!,4,0),IF(C135="SINAPI",VLOOKUP(D135,#REF!,5,0),IF(C135="EDIF",VLOOKUP(D135,#REF!,4,0),IF(C135="CPOS",VLOOKUP(D135,#REF!,7,0),IF(C135="FDE",VLOOKUP(D135,#REF!,5,0),IF(C135="INFRA",VLOOKUP(D135,#REF!,4,0),""))))))*VLOOKUP(C135,#REF!,3,0),"")</f>
        <v/>
      </c>
      <c r="I135" s="1106">
        <v>0.25</v>
      </c>
      <c r="J135" s="67" t="e">
        <f>ROUND(H135*(1+I135),2)</f>
        <v>#VALUE!</v>
      </c>
      <c r="K135" s="69" t="e">
        <f>SUM(G135*J135)</f>
        <v>#VALUE!</v>
      </c>
      <c r="L135" s="51"/>
      <c r="M135" s="52"/>
      <c r="N135" s="940"/>
    </row>
    <row r="136" spans="2:14" s="25" customFormat="1" ht="27" customHeight="1">
      <c r="B136" s="61" t="s">
        <v>6396</v>
      </c>
      <c r="C136" s="61" t="s">
        <v>1479</v>
      </c>
      <c r="D136" s="1108" t="s">
        <v>6389</v>
      </c>
      <c r="E136" s="64" t="s">
        <v>6395</v>
      </c>
      <c r="F136" s="65" t="str">
        <f>IFERROR(UPPER(IF(C136="CPU",VLOOKUP(D136,#REF!,3,0),IF(C136="SINAPI",VLOOKUP(D136,#REF!,3,0),IF(C136="EDIF",VLOOKUP(D136,#REF!,3,0),IF(C136="CPOS",VLOOKUP(D136,#REF!,4,0),IF(C136="FDE",VLOOKUP(D136,#REF!,3,0),IF(C136="INFRA",VLOOKUP(D136,#REF!,3,0),""))))))),"")</f>
        <v/>
      </c>
      <c r="G136" s="66">
        <v>1.6</v>
      </c>
      <c r="H136" s="67" t="str">
        <f>IFERROR(IF(C136="CPU",VLOOKUP(D136,#REF!,4,0),IF(C136="SINAPI",VLOOKUP(D136,#REF!,5,0),IF(C136="EDIF",VLOOKUP(D136,#REF!,4,0),IF(C136="CPOS",VLOOKUP(D136,#REF!,7,0),IF(C136="FDE",VLOOKUP(D136,#REF!,5,0),IF(C136="INFRA",VLOOKUP(D136,#REF!,4,0),""))))))*VLOOKUP(C136,#REF!,3,0),"")</f>
        <v/>
      </c>
      <c r="I136" s="1106">
        <v>0.25</v>
      </c>
      <c r="J136" s="67" t="e">
        <f>ROUND(H136*(1+I136),2)</f>
        <v>#VALUE!</v>
      </c>
      <c r="K136" s="69" t="e">
        <f>SUM(G136*J136)</f>
        <v>#VALUE!</v>
      </c>
      <c r="L136" s="51"/>
      <c r="M136" s="52"/>
      <c r="N136" s="940"/>
    </row>
    <row r="137" spans="2:14" s="25" customFormat="1" ht="27" customHeight="1">
      <c r="B137" s="53">
        <v>7</v>
      </c>
      <c r="C137" s="54"/>
      <c r="D137" s="54"/>
      <c r="E137" s="55" t="s">
        <v>6397</v>
      </c>
      <c r="F137" s="56" t="str">
        <f>IFERROR(UPPER(IF(C137="CPU",VLOOKUP(D137,#REF!,3,0),IF(C137="SINAPI",VLOOKUP(D137,#REF!,3,0),IF(C137="EDIF",VLOOKUP(D137,#REF!,3,0),IF(C137="CPOS",VLOOKUP(D137,#REF!,4,0),IF(C137="FDE",VLOOKUP(D137,#REF!,3,0),IF(C137="INFRA",VLOOKUP(D137,#REF!,3,0),""))))))),"")</f>
        <v/>
      </c>
      <c r="G137" s="57"/>
      <c r="H137" s="58" t="str">
        <f>IFERROR(IF(C137="CPU",VLOOKUP(D137,#REF!,4,0),IF(C137="SINAPI",VLOOKUP(D137,#REF!,5,0),IF(C137="EDIF",VLOOKUP(D137,#REF!,4,0),IF(C137="CPOS",VLOOKUP(D137,#REF!,7,0),IF(C137="FDE",VLOOKUP(D137,#REF!,5,0),IF(C137="INFRA",VLOOKUP(D137,#REF!,4,0),""))))))*VLOOKUP(C137,#REF!,3,0),"")</f>
        <v/>
      </c>
      <c r="I137" s="59"/>
      <c r="J137" s="59"/>
      <c r="K137" s="1095" t="e">
        <f>SUM(K138:K142)</f>
        <v>#REF!</v>
      </c>
      <c r="L137" s="1096" t="e">
        <f>K137</f>
        <v>#REF!</v>
      </c>
      <c r="M137" s="52"/>
      <c r="N137" s="940"/>
    </row>
    <row r="138" spans="2:14" s="25" customFormat="1" ht="27" customHeight="1">
      <c r="B138" s="61" t="s">
        <v>296</v>
      </c>
      <c r="C138" s="61" t="s">
        <v>4872</v>
      </c>
      <c r="D138" s="1107">
        <v>110201</v>
      </c>
      <c r="E138" s="64" t="str">
        <f>IFERROR(UPPER(IF(C138="CPU",VLOOKUP(D138,#REF!,2,0),IF(C138="SINAPI",VLOOKUP(D138,#REF!,2,0),IF(C138="EDIF",VLOOKUP(D138,#REF!,2,0),IF(C138="CPOS",VLOOKUP(D138,#REF!,3,0),IF(C138="FDE",VLOOKUP(D138,#REF!,2,0),IF(C138="INFRA",VLOOKUP(D138,#REF!,2,0),""))))))),"")</f>
        <v/>
      </c>
      <c r="F138" s="65" t="str">
        <f>IFERROR(UPPER(IF(C138="CPU",VLOOKUP(D138,#REF!,3,0),IF(C138="SINAPI",VLOOKUP(D138,#REF!,3,0),IF(C138="EDIF",VLOOKUP(D138,#REF!,3,0),IF(C138="CPOS",VLOOKUP(D138,#REF!,4,0),IF(C138="FDE",VLOOKUP(D138,#REF!,3,0),IF(C138="INFRA",VLOOKUP(D138,#REF!,3,0),""))))))),"")</f>
        <v/>
      </c>
      <c r="G138" s="66" t="e">
        <f>#REF!</f>
        <v>#REF!</v>
      </c>
      <c r="H138" s="67" t="str">
        <f>IFERROR(IF(C138="CPU",VLOOKUP(D138,#REF!,4,0),IF(C138="SINAPI",VLOOKUP(D138,#REF!,5,0),IF(C138="EDIF",VLOOKUP(D138,#REF!,4,0),IF(C138="CPOS",VLOOKUP(D138,#REF!,7,0),IF(C138="FDE",VLOOKUP(D138,#REF!,5,0),IF(C138="INFRA",VLOOKUP(D138,#REF!,4,0),""))))))*VLOOKUP(C138,#REF!,3,0),"")</f>
        <v/>
      </c>
      <c r="I138" s="1106">
        <v>0.25</v>
      </c>
      <c r="J138" s="67" t="e">
        <f>ROUND(H138*(1+I138),2)</f>
        <v>#VALUE!</v>
      </c>
      <c r="K138" s="69" t="e">
        <f>SUM(G138*J138)</f>
        <v>#REF!</v>
      </c>
      <c r="L138" s="51"/>
      <c r="M138" s="52"/>
      <c r="N138" s="940"/>
    </row>
    <row r="139" spans="2:14" s="25" customFormat="1" ht="27" customHeight="1">
      <c r="B139" s="61" t="s">
        <v>301</v>
      </c>
      <c r="C139" s="61" t="s">
        <v>4872</v>
      </c>
      <c r="D139" s="1107">
        <v>110209</v>
      </c>
      <c r="E139" s="64" t="str">
        <f>IFERROR(UPPER(IF(C139="CPU",VLOOKUP(D139,#REF!,2,0),IF(C139="SINAPI",VLOOKUP(D139,#REF!,2,0),IF(C139="EDIF",VLOOKUP(D139,#REF!,2,0),IF(C139="CPOS",VLOOKUP(D139,#REF!,3,0),IF(C139="FDE",VLOOKUP(D139,#REF!,2,0),IF(C139="INFRA",VLOOKUP(D139,#REF!,2,0),""))))))),"")</f>
        <v/>
      </c>
      <c r="F139" s="65" t="str">
        <f>IFERROR(UPPER(IF(C139="CPU",VLOOKUP(D139,#REF!,3,0),IF(C139="SINAPI",VLOOKUP(D139,#REF!,3,0),IF(C139="EDIF",VLOOKUP(D139,#REF!,3,0),IF(C139="CPOS",VLOOKUP(D139,#REF!,4,0),IF(C139="FDE",VLOOKUP(D139,#REF!,3,0),IF(C139="INFRA",VLOOKUP(D139,#REF!,3,0),""))))))),"")</f>
        <v/>
      </c>
      <c r="G139" s="66" t="e">
        <f>#REF!</f>
        <v>#REF!</v>
      </c>
      <c r="H139" s="67" t="str">
        <f>IFERROR(IF(C139="CPU",VLOOKUP(D139,#REF!,4,0),IF(C139="SINAPI",VLOOKUP(D139,#REF!,5,0),IF(C139="EDIF",VLOOKUP(D139,#REF!,4,0),IF(C139="CPOS",VLOOKUP(D139,#REF!,7,0),IF(C139="FDE",VLOOKUP(D139,#REF!,5,0),IF(C139="INFRA",VLOOKUP(D139,#REF!,4,0),""))))))*VLOOKUP(C139,#REF!,3,0),"")</f>
        <v/>
      </c>
      <c r="I139" s="1106">
        <v>0.25</v>
      </c>
      <c r="J139" s="67" t="e">
        <f>ROUND(H139*(1+I139),2)</f>
        <v>#VALUE!</v>
      </c>
      <c r="K139" s="69" t="e">
        <f>SUM(G139*J139)</f>
        <v>#REF!</v>
      </c>
      <c r="L139" s="51"/>
      <c r="M139" s="52"/>
      <c r="N139" s="940"/>
    </row>
    <row r="140" spans="2:14" s="25" customFormat="1" ht="27" customHeight="1">
      <c r="B140" s="61" t="s">
        <v>309</v>
      </c>
      <c r="C140" s="61" t="s">
        <v>4872</v>
      </c>
      <c r="D140" s="1107">
        <v>110210</v>
      </c>
      <c r="E140" s="64" t="str">
        <f>IFERROR(UPPER(IF(C140="CPU",VLOOKUP(D140,#REF!,2,0),IF(C140="SINAPI",VLOOKUP(D140,#REF!,2,0),IF(C140="EDIF",VLOOKUP(D140,#REF!,2,0),IF(C140="CPOS",VLOOKUP(D140,#REF!,3,0),IF(C140="FDE",VLOOKUP(D140,#REF!,2,0),IF(C140="INFRA",VLOOKUP(D140,#REF!,2,0),""))))))),"")</f>
        <v/>
      </c>
      <c r="F140" s="65" t="str">
        <f>IFERROR(UPPER(IF(C140="CPU",VLOOKUP(D140,#REF!,3,0),IF(C140="SINAPI",VLOOKUP(D140,#REF!,3,0),IF(C140="EDIF",VLOOKUP(D140,#REF!,3,0),IF(C140="CPOS",VLOOKUP(D140,#REF!,4,0),IF(C140="FDE",VLOOKUP(D140,#REF!,3,0),IF(C140="INFRA",VLOOKUP(D140,#REF!,3,0),""))))))),"")</f>
        <v/>
      </c>
      <c r="G140" s="66" t="e">
        <f>#REF!</f>
        <v>#REF!</v>
      </c>
      <c r="H140" s="67" t="str">
        <f>IFERROR(IF(C140="CPU",VLOOKUP(D140,#REF!,4,0),IF(C140="SINAPI",VLOOKUP(D140,#REF!,5,0),IF(C140="EDIF",VLOOKUP(D140,#REF!,4,0),IF(C140="CPOS",VLOOKUP(D140,#REF!,7,0),IF(C140="FDE",VLOOKUP(D140,#REF!,5,0),IF(C140="INFRA",VLOOKUP(D140,#REF!,4,0),""))))))*VLOOKUP(C140,#REF!,3,0),"")</f>
        <v/>
      </c>
      <c r="I140" s="1106">
        <v>0.25</v>
      </c>
      <c r="J140" s="67" t="e">
        <f>ROUND(H140*(1+I140),2)</f>
        <v>#VALUE!</v>
      </c>
      <c r="K140" s="69" t="e">
        <f>SUM(G140*J140)</f>
        <v>#REF!</v>
      </c>
      <c r="L140" s="51"/>
      <c r="M140" s="52"/>
      <c r="N140" s="940"/>
    </row>
    <row r="141" spans="2:14" s="25" customFormat="1" ht="27" customHeight="1">
      <c r="B141" s="61" t="s">
        <v>316</v>
      </c>
      <c r="C141" s="61" t="s">
        <v>4872</v>
      </c>
      <c r="D141" s="1107">
        <v>110229</v>
      </c>
      <c r="E141" s="64" t="str">
        <f>IFERROR(UPPER(IF(C141="CPU",VLOOKUP(D141,#REF!,2,0),IF(C141="SINAPI",VLOOKUP(D141,#REF!,2,0),IF(C141="EDIF",VLOOKUP(D141,#REF!,2,0),IF(C141="CPOS",VLOOKUP(D141,#REF!,3,0),IF(C141="FDE",VLOOKUP(D141,#REF!,2,0),IF(C141="INFRA",VLOOKUP(D141,#REF!,2,0),""))))))),"")</f>
        <v/>
      </c>
      <c r="F141" s="65" t="str">
        <f>IFERROR(UPPER(IF(C141="CPU",VLOOKUP(D141,#REF!,3,0),IF(C141="SINAPI",VLOOKUP(D141,#REF!,3,0),IF(C141="EDIF",VLOOKUP(D141,#REF!,3,0),IF(C141="CPOS",VLOOKUP(D141,#REF!,4,0),IF(C141="FDE",VLOOKUP(D141,#REF!,3,0),IF(C141="INFRA",VLOOKUP(D141,#REF!,3,0),""))))))),"")</f>
        <v/>
      </c>
      <c r="G141" s="66" t="e">
        <f>#REF!</f>
        <v>#REF!</v>
      </c>
      <c r="H141" s="67" t="str">
        <f>IFERROR(IF(C141="CPU",VLOOKUP(D141,#REF!,4,0),IF(C141="SINAPI",VLOOKUP(D141,#REF!,5,0),IF(C141="EDIF",VLOOKUP(D141,#REF!,4,0),IF(C141="CPOS",VLOOKUP(D141,#REF!,7,0),IF(C141="FDE",VLOOKUP(D141,#REF!,5,0),IF(C141="INFRA",VLOOKUP(D141,#REF!,4,0),""))))))*VLOOKUP(C141,#REF!,3,0),"")</f>
        <v/>
      </c>
      <c r="I141" s="1106">
        <v>0.25</v>
      </c>
      <c r="J141" s="67" t="e">
        <f>ROUND(H141*(1+I141),2)</f>
        <v>#VALUE!</v>
      </c>
      <c r="K141" s="69" t="e">
        <f>SUM(G141*J141)</f>
        <v>#REF!</v>
      </c>
      <c r="L141" s="51"/>
      <c r="M141" s="52"/>
      <c r="N141" s="940"/>
    </row>
    <row r="142" spans="2:14" s="25" customFormat="1" ht="27" customHeight="1">
      <c r="B142" s="61" t="s">
        <v>5716</v>
      </c>
      <c r="C142" s="61" t="s">
        <v>4872</v>
      </c>
      <c r="D142" s="1107">
        <v>110309</v>
      </c>
      <c r="E142" s="64" t="str">
        <f>IFERROR(UPPER(IF(C142="CPU",VLOOKUP(D142,#REF!,2,0),IF(C142="SINAPI",VLOOKUP(D142,#REF!,2,0),IF(C142="EDIF",VLOOKUP(D142,#REF!,2,0),IF(C142="CPOS",VLOOKUP(D142,#REF!,3,0),IF(C142="FDE",VLOOKUP(D142,#REF!,2,0),IF(C142="INFRA",VLOOKUP(D142,#REF!,2,0),""))))))),"")</f>
        <v/>
      </c>
      <c r="F142" s="65" t="str">
        <f>IFERROR(UPPER(IF(C142="CPU",VLOOKUP(D142,#REF!,3,0),IF(C142="SINAPI",VLOOKUP(D142,#REF!,3,0),IF(C142="EDIF",VLOOKUP(D142,#REF!,3,0),IF(C142="CPOS",VLOOKUP(D142,#REF!,4,0),IF(C142="FDE",VLOOKUP(D142,#REF!,3,0),IF(C142="INFRA",VLOOKUP(D142,#REF!,3,0),""))))))),"")</f>
        <v/>
      </c>
      <c r="G142" s="66" t="e">
        <f>G138/2</f>
        <v>#REF!</v>
      </c>
      <c r="H142" s="67" t="str">
        <f>IFERROR(IF(C142="CPU",VLOOKUP(D142,#REF!,4,0),IF(C142="SINAPI",VLOOKUP(D142,#REF!,5,0),IF(C142="EDIF",VLOOKUP(D142,#REF!,4,0),IF(C142="CPOS",VLOOKUP(D142,#REF!,7,0),IF(C142="FDE",VLOOKUP(D142,#REF!,5,0),IF(C142="INFRA",VLOOKUP(D142,#REF!,4,0),""))))))*VLOOKUP(C142,#REF!,3,0),"")</f>
        <v/>
      </c>
      <c r="I142" s="1106">
        <v>0.25</v>
      </c>
      <c r="J142" s="67" t="e">
        <f>ROUND(H142*(1+I142),2)</f>
        <v>#VALUE!</v>
      </c>
      <c r="K142" s="69" t="e">
        <f>SUM(G142*J142)</f>
        <v>#REF!</v>
      </c>
      <c r="L142" s="51"/>
      <c r="M142" s="52"/>
      <c r="N142" s="940"/>
    </row>
    <row r="143" spans="2:14" s="25" customFormat="1" ht="27" customHeight="1">
      <c r="B143" s="53">
        <v>8</v>
      </c>
      <c r="C143" s="54"/>
      <c r="D143" s="54"/>
      <c r="E143" s="55" t="s">
        <v>295</v>
      </c>
      <c r="F143" s="56" t="str">
        <f>IFERROR(UPPER(IF(C143="CPU",VLOOKUP(D143,#REF!,3,0),IF(C143="SINAPI",VLOOKUP(D143,#REF!,3,0),IF(C143="EDIF",VLOOKUP(D143,#REF!,3,0),IF(C143="CPOS",VLOOKUP(D143,#REF!,4,0),IF(C143="FDE",VLOOKUP(D143,#REF!,3,0),IF(C143="INFRA",VLOOKUP(D143,#REF!,3,0),""))))))),"")</f>
        <v/>
      </c>
      <c r="G143" s="57"/>
      <c r="H143" s="58" t="str">
        <f>IFERROR(IF(C143="CPU",VLOOKUP(D143,#REF!,4,0),IF(C143="SINAPI",VLOOKUP(D143,#REF!,5,0),IF(C143="EDIF",VLOOKUP(D143,#REF!,4,0),IF(C143="CPOS",VLOOKUP(D143,#REF!,7,0),IF(C143="FDE",VLOOKUP(D143,#REF!,5,0),IF(C143="INFRA",VLOOKUP(D143,#REF!,4,0),""))))))*VLOOKUP(C143,#REF!,3,0),"")</f>
        <v/>
      </c>
      <c r="I143" s="59"/>
      <c r="J143" s="59"/>
      <c r="K143" s="1095" t="e">
        <f>SUM(K144:K149)</f>
        <v>#REF!</v>
      </c>
      <c r="L143" s="1096" t="e">
        <f>K143</f>
        <v>#REF!</v>
      </c>
      <c r="M143" s="52"/>
      <c r="N143" s="940"/>
    </row>
    <row r="144" spans="2:14" s="25" customFormat="1" ht="27" customHeight="1">
      <c r="B144" s="61" t="s">
        <v>325</v>
      </c>
      <c r="C144" s="61" t="s">
        <v>4872</v>
      </c>
      <c r="D144" s="1107">
        <v>60130</v>
      </c>
      <c r="E144" s="64" t="str">
        <f>IFERROR(UPPER(IF(C144="CPU",VLOOKUP(D144,#REF!,2,0),IF(C144="SINAPI",VLOOKUP(D144,#REF!,2,0),IF(C144="EDIF",VLOOKUP(D144,#REF!,2,0),IF(C144="CPOS",VLOOKUP(D144,#REF!,3,0),IF(C144="FDE",VLOOKUP(D144,#REF!,2,0),IF(C144="INFRA",VLOOKUP(D144,#REF!,2,0),""))))))),"")</f>
        <v/>
      </c>
      <c r="F144" s="65" t="str">
        <f>IFERROR(UPPER(IF(C144="CPU",VLOOKUP(D144,#REF!,3,0),IF(C144="SINAPI",VLOOKUP(D144,#REF!,3,0),IF(C144="EDIF",VLOOKUP(D144,#REF!,3,0),IF(C144="CPOS",VLOOKUP(D144,#REF!,4,0),IF(C144="FDE",VLOOKUP(D144,#REF!,3,0),IF(C144="INFRA",VLOOKUP(D144,#REF!,3,0),""))))))),"")</f>
        <v/>
      </c>
      <c r="G144" s="1112" t="e">
        <f>#REF!</f>
        <v>#REF!</v>
      </c>
      <c r="H144" s="67" t="str">
        <f>IFERROR(IF(C144="CPU",VLOOKUP(D144,#REF!,4,0),IF(C144="SINAPI",VLOOKUP(D144,#REF!,5,0),IF(C144="EDIF",VLOOKUP(D144,#REF!,4,0),IF(C144="CPOS",VLOOKUP(D144,#REF!,7,0),IF(C144="FDE",VLOOKUP(D144,#REF!,5,0),IF(C144="INFRA",VLOOKUP(D144,#REF!,4,0),""))))))*VLOOKUP(C144,#REF!,3,0),"")</f>
        <v/>
      </c>
      <c r="I144" s="1106">
        <v>0.25</v>
      </c>
      <c r="J144" s="67" t="e">
        <f t="shared" ref="J144:J149" si="16">ROUND(H144*(1+I144),2)</f>
        <v>#VALUE!</v>
      </c>
      <c r="K144" s="69" t="e">
        <f t="shared" ref="K144:K149" si="17">SUM(G144*J144)</f>
        <v>#REF!</v>
      </c>
      <c r="L144" s="51"/>
      <c r="M144" s="52"/>
      <c r="N144" s="940"/>
    </row>
    <row r="145" spans="2:14" s="25" customFormat="1" ht="27" customHeight="1">
      <c r="B145" s="61" t="s">
        <v>330</v>
      </c>
      <c r="C145" s="61" t="s">
        <v>4872</v>
      </c>
      <c r="D145" s="1107">
        <v>60131</v>
      </c>
      <c r="E145" s="64" t="str">
        <f>IFERROR(UPPER(IF(C145="CPU",VLOOKUP(D145,#REF!,2,0),IF(C145="SINAPI",VLOOKUP(D145,#REF!,2,0),IF(C145="EDIF",VLOOKUP(D145,#REF!,2,0),IF(C145="CPOS",VLOOKUP(D145,#REF!,3,0),IF(C145="FDE",VLOOKUP(D145,#REF!,2,0),IF(C145="INFRA",VLOOKUP(D145,#REF!,2,0),""))))))),"")</f>
        <v/>
      </c>
      <c r="F145" s="65" t="str">
        <f>IFERROR(UPPER(IF(C145="CPU",VLOOKUP(D145,#REF!,3,0),IF(C145="SINAPI",VLOOKUP(D145,#REF!,3,0),IF(C145="EDIF",VLOOKUP(D145,#REF!,3,0),IF(C145="CPOS",VLOOKUP(D145,#REF!,4,0),IF(C145="FDE",VLOOKUP(D145,#REF!,3,0),IF(C145="INFRA",VLOOKUP(D145,#REF!,3,0),""))))))),"")</f>
        <v/>
      </c>
      <c r="G145" s="66" t="e">
        <f>G144</f>
        <v>#REF!</v>
      </c>
      <c r="H145" s="67" t="str">
        <f>IFERROR(IF(C145="CPU",VLOOKUP(D145,#REF!,4,0),IF(C145="SINAPI",VLOOKUP(D145,#REF!,5,0),IF(C145="EDIF",VLOOKUP(D145,#REF!,4,0),IF(C145="CPOS",VLOOKUP(D145,#REF!,7,0),IF(C145="FDE",VLOOKUP(D145,#REF!,5,0),IF(C145="INFRA",VLOOKUP(D145,#REF!,4,0),""))))))*VLOOKUP(C145,#REF!,3,0),"")</f>
        <v/>
      </c>
      <c r="I145" s="1106">
        <v>0.25</v>
      </c>
      <c r="J145" s="67" t="e">
        <f t="shared" si="16"/>
        <v>#VALUE!</v>
      </c>
      <c r="K145" s="69" t="e">
        <f t="shared" si="17"/>
        <v>#REF!</v>
      </c>
      <c r="L145" s="51"/>
      <c r="M145" s="52"/>
      <c r="N145" s="940"/>
    </row>
    <row r="146" spans="2:14" s="25" customFormat="1" ht="27" customHeight="1">
      <c r="B146" s="61" t="s">
        <v>341</v>
      </c>
      <c r="C146" s="61" t="s">
        <v>1479</v>
      </c>
      <c r="D146" s="1108" t="s">
        <v>6398</v>
      </c>
      <c r="E146" s="64" t="str">
        <f>IFERROR(UPPER(IF(C146="CPU",VLOOKUP(D146,#REF!,2,0),IF(C146="SINAPI",VLOOKUP(D146,#REF!,2,0),IF(C146="EDIF",VLOOKUP(D146,#REF!,2,0),IF(C146="CPOS",VLOOKUP(D146,#REF!,3,0),IF(C146="FDE",VLOOKUP(D146,#REF!,2,0),IF(C146="INFRA",VLOOKUP(D146,#REF!,2,0),""))))))),"")</f>
        <v/>
      </c>
      <c r="F146" s="65" t="str">
        <f>IFERROR(UPPER(IF(C146="CPU",VLOOKUP(D146,#REF!,3,0),IF(C146="SINAPI",VLOOKUP(D146,#REF!,3,0),IF(C146="EDIF",VLOOKUP(D146,#REF!,3,0),IF(C146="CPOS",VLOOKUP(D146,#REF!,4,0),IF(C146="FDE",VLOOKUP(D146,#REF!,3,0),IF(C146="INFRA",VLOOKUP(D146,#REF!,3,0),""))))))),"")</f>
        <v/>
      </c>
      <c r="G146" s="66">
        <v>1436.16</v>
      </c>
      <c r="H146" s="67" t="str">
        <f>IFERROR(IF(C146="CPU",VLOOKUP(D146,#REF!,4,0),IF(C146="SINAPI",VLOOKUP(D146,#REF!,5,0),IF(C146="EDIF",VLOOKUP(D146,#REF!,4,0),IF(C146="CPOS",VLOOKUP(D146,#REF!,7,0),IF(C146="FDE",VLOOKUP(D146,#REF!,5,0),IF(C146="INFRA",VLOOKUP(D146,#REF!,4,0),""))))))*VLOOKUP(C146,#REF!,3,0),"")</f>
        <v/>
      </c>
      <c r="I146" s="1106">
        <v>0.25</v>
      </c>
      <c r="J146" s="67" t="e">
        <f t="shared" si="16"/>
        <v>#VALUE!</v>
      </c>
      <c r="K146" s="69" t="e">
        <f t="shared" si="17"/>
        <v>#VALUE!</v>
      </c>
      <c r="L146" s="51"/>
      <c r="M146" s="52"/>
      <c r="N146" s="940"/>
    </row>
    <row r="147" spans="2:14" s="25" customFormat="1" ht="27" customHeight="1">
      <c r="B147" s="61" t="s">
        <v>364</v>
      </c>
      <c r="C147" s="61" t="s">
        <v>1479</v>
      </c>
      <c r="D147" s="1108" t="s">
        <v>6399</v>
      </c>
      <c r="E147" s="64" t="str">
        <f>IFERROR(UPPER(IF(C147="CPU",VLOOKUP(D147,#REF!,2,0),IF(C147="SINAPI",VLOOKUP(D147,#REF!,2,0),IF(C147="EDIF",VLOOKUP(D147,#REF!,2,0),IF(C147="CPOS",VLOOKUP(D147,#REF!,3,0),IF(C147="FDE",VLOOKUP(D147,#REF!,2,0),IF(C147="INFRA",VLOOKUP(D147,#REF!,2,0),""))))))),"")</f>
        <v/>
      </c>
      <c r="F147" s="65" t="str">
        <f>IFERROR(UPPER(IF(C147="CPU",VLOOKUP(D147,#REF!,3,0),IF(C147="SINAPI",VLOOKUP(D147,#REF!,3,0),IF(C147="EDIF",VLOOKUP(D147,#REF!,3,0),IF(C147="CPOS",VLOOKUP(D147,#REF!,4,0),IF(C147="FDE",VLOOKUP(D147,#REF!,3,0),IF(C147="INFRA",VLOOKUP(D147,#REF!,3,0),""))))))),"")</f>
        <v/>
      </c>
      <c r="G147" s="66" t="e">
        <f>G144</f>
        <v>#REF!</v>
      </c>
      <c r="H147" s="67" t="str">
        <f>IFERROR(IF(C147="CPU",VLOOKUP(D147,#REF!,4,0),IF(C147="SINAPI",VLOOKUP(D147,#REF!,5,0),IF(C147="EDIF",VLOOKUP(D147,#REF!,4,0),IF(C147="CPOS",VLOOKUP(D147,#REF!,7,0),IF(C147="FDE",VLOOKUP(D147,#REF!,5,0),IF(C147="INFRA",VLOOKUP(D147,#REF!,4,0),""))))))*VLOOKUP(C147,#REF!,3,0),"")</f>
        <v/>
      </c>
      <c r="I147" s="1106">
        <v>0.25</v>
      </c>
      <c r="J147" s="67" t="e">
        <f t="shared" si="16"/>
        <v>#VALUE!</v>
      </c>
      <c r="K147" s="69" t="e">
        <f t="shared" si="17"/>
        <v>#REF!</v>
      </c>
      <c r="L147" s="51"/>
      <c r="M147" s="52"/>
      <c r="N147" s="940"/>
    </row>
    <row r="148" spans="2:14" s="25" customFormat="1" ht="27" customHeight="1">
      <c r="B148" s="61" t="s">
        <v>383</v>
      </c>
      <c r="C148" s="61" t="s">
        <v>1479</v>
      </c>
      <c r="D148" s="1107" t="s">
        <v>6400</v>
      </c>
      <c r="E148" s="64" t="str">
        <f>IFERROR(UPPER(IF(C148="CPU",VLOOKUP(D148,#REF!,2,0),IF(C148="SINAPI",VLOOKUP(D148,#REF!,2,0),IF(C148="EDIF",VLOOKUP(D148,#REF!,2,0),IF(C148="CPOS",VLOOKUP(D148,#REF!,3,0),IF(C148="FDE",VLOOKUP(D148,#REF!,2,0),IF(C148="INFRA",VLOOKUP(D148,#REF!,2,0),""))))))),"")</f>
        <v/>
      </c>
      <c r="F148" s="65" t="str">
        <f>IFERROR(UPPER(IF(C148="CPU",VLOOKUP(D148,#REF!,3,0),IF(C148="SINAPI",VLOOKUP(D148,#REF!,3,0),IF(C148="EDIF",VLOOKUP(D148,#REF!,3,0),IF(C148="CPOS",VLOOKUP(D148,#REF!,4,0),IF(C148="FDE",VLOOKUP(D148,#REF!,3,0),IF(C148="INFRA",VLOOKUP(D148,#REF!,3,0),""))))))),"")</f>
        <v/>
      </c>
      <c r="G148" s="66">
        <f>1196.8*1.2</f>
        <v>1436.1599999999999</v>
      </c>
      <c r="H148" s="67" t="str">
        <f>IFERROR(IF(C148="CPU",VLOOKUP(D148,#REF!,4,0),IF(C148="SINAPI",VLOOKUP(D148,#REF!,5,0),IF(C148="EDIF",VLOOKUP(D148,#REF!,4,0),IF(C148="CPOS",VLOOKUP(D148,#REF!,7,0),IF(C148="FDE",VLOOKUP(D148,#REF!,5,0),IF(C148="INFRA",VLOOKUP(D148,#REF!,4,0),""))))))*VLOOKUP(C148,#REF!,3,0),"")</f>
        <v/>
      </c>
      <c r="I148" s="1106">
        <v>0.25</v>
      </c>
      <c r="J148" s="67" t="e">
        <f t="shared" si="16"/>
        <v>#VALUE!</v>
      </c>
      <c r="K148" s="69" t="e">
        <f t="shared" si="17"/>
        <v>#VALUE!</v>
      </c>
      <c r="L148" s="51"/>
      <c r="M148" s="52"/>
      <c r="N148" s="940"/>
    </row>
    <row r="149" spans="2:14" s="25" customFormat="1" ht="27" customHeight="1">
      <c r="B149" s="61" t="s">
        <v>392</v>
      </c>
      <c r="C149" s="61" t="s">
        <v>1479</v>
      </c>
      <c r="D149" s="1107" t="s">
        <v>6401</v>
      </c>
      <c r="E149" s="64" t="str">
        <f>IFERROR(UPPER(IF(C149="CPU",VLOOKUP(D149,#REF!,2,0),IF(C149="SINAPI",VLOOKUP(D149,#REF!,2,0),IF(C149="EDIF",VLOOKUP(D149,#REF!,2,0),IF(C149="CPOS",VLOOKUP(D149,#REF!,3,0),IF(C149="FDE",VLOOKUP(D149,#REF!,2,0),IF(C149="INFRA",VLOOKUP(D149,#REF!,2,0),""))))))),"")</f>
        <v/>
      </c>
      <c r="F149" s="65" t="str">
        <f>IFERROR(UPPER(IF(C149="CPU",VLOOKUP(D149,#REF!,3,0),IF(C149="SINAPI",VLOOKUP(D149,#REF!,3,0),IF(C149="EDIF",VLOOKUP(D149,#REF!,3,0),IF(C149="CPOS",VLOOKUP(D149,#REF!,4,0),IF(C149="FDE",VLOOKUP(D149,#REF!,3,0),IF(C149="INFRA",VLOOKUP(D149,#REF!,3,0),""))))))),"")</f>
        <v/>
      </c>
      <c r="G149" s="66">
        <v>160</v>
      </c>
      <c r="H149" s="67" t="str">
        <f>IFERROR(IF(C149="CPU",VLOOKUP(D149,#REF!,4,0),IF(C149="SINAPI",VLOOKUP(D149,#REF!,5,0),IF(C149="EDIF",VLOOKUP(D149,#REF!,4,0),IF(C149="CPOS",VLOOKUP(D149,#REF!,7,0),IF(C149="FDE",VLOOKUP(D149,#REF!,5,0),IF(C149="INFRA",VLOOKUP(D149,#REF!,4,0),""))))))*VLOOKUP(C149,#REF!,3,0),"")</f>
        <v/>
      </c>
      <c r="I149" s="1106">
        <v>0.25</v>
      </c>
      <c r="J149" s="67" t="e">
        <f t="shared" si="16"/>
        <v>#VALUE!</v>
      </c>
      <c r="K149" s="69" t="e">
        <f t="shared" si="17"/>
        <v>#VALUE!</v>
      </c>
      <c r="L149" s="51"/>
      <c r="M149" s="52"/>
      <c r="N149" s="940"/>
    </row>
    <row r="150" spans="2:14" s="25" customFormat="1" ht="27" customHeight="1">
      <c r="B150" s="53">
        <v>9</v>
      </c>
      <c r="C150" s="54"/>
      <c r="D150" s="54"/>
      <c r="E150" s="55" t="s">
        <v>802</v>
      </c>
      <c r="F150" s="56" t="str">
        <f>IFERROR(UPPER(IF(C150="CPU",VLOOKUP(D150,#REF!,3,0),IF(C150="SINAPI",VLOOKUP(D150,#REF!,3,0),IF(C150="EDIF",VLOOKUP(D150,#REF!,3,0),IF(C150="CPOS",VLOOKUP(D150,#REF!,4,0),IF(C150="FDE",VLOOKUP(D150,#REF!,3,0),IF(C150="INFRA",VLOOKUP(D150,#REF!,3,0),""))))))),"")</f>
        <v/>
      </c>
      <c r="G150" s="57"/>
      <c r="H150" s="58" t="str">
        <f>IFERROR(IF(C150="CPU",VLOOKUP(D150,#REF!,4,0),IF(C150="SINAPI",VLOOKUP(D150,#REF!,5,0),IF(C150="EDIF",VLOOKUP(D150,#REF!,4,0),IF(C150="CPOS",VLOOKUP(D150,#REF!,7,0),IF(C150="FDE",VLOOKUP(D150,#REF!,5,0),IF(C150="INFRA",VLOOKUP(D150,#REF!,4,0),""))))))*VLOOKUP(C150,#REF!,3,0),"")</f>
        <v/>
      </c>
      <c r="I150" s="59"/>
      <c r="J150" s="59"/>
      <c r="K150" s="1095" t="e">
        <f>SUM(K151)</f>
        <v>#VALUE!</v>
      </c>
      <c r="L150" s="1096" t="e">
        <f>K150</f>
        <v>#VALUE!</v>
      </c>
      <c r="M150" s="52"/>
      <c r="N150" s="940"/>
    </row>
    <row r="151" spans="2:14" s="25" customFormat="1" ht="27" customHeight="1">
      <c r="B151" s="61" t="s">
        <v>576</v>
      </c>
      <c r="C151" s="61" t="s">
        <v>4872</v>
      </c>
      <c r="D151" s="1107">
        <v>120143</v>
      </c>
      <c r="E151" s="64" t="str">
        <f>IFERROR(UPPER(IF(C151="CPU",VLOOKUP(D151,#REF!,2,0),IF(C151="SINAPI",VLOOKUP(D151,#REF!,2,0),IF(C151="EDIF",VLOOKUP(D151,#REF!,2,0),IF(C151="CPOS",VLOOKUP(D151,#REF!,3,0),IF(C151="FDE",VLOOKUP(D151,#REF!,2,0),IF(C151="INFRA",VLOOKUP(D151,#REF!,2,0),""))))))),"")</f>
        <v/>
      </c>
      <c r="F151" s="65" t="str">
        <f>IFERROR(UPPER(IF(C151="CPU",VLOOKUP(D151,#REF!,3,0),IF(C151="SINAPI",VLOOKUP(D151,#REF!,3,0),IF(C151="EDIF",VLOOKUP(D151,#REF!,3,0),IF(C151="CPOS",VLOOKUP(D151,#REF!,4,0),IF(C151="FDE",VLOOKUP(D151,#REF!,3,0),IF(C151="INFRA",VLOOKUP(D151,#REF!,3,0),""))))))),"")</f>
        <v/>
      </c>
      <c r="G151" s="66">
        <v>435</v>
      </c>
      <c r="H151" s="67" t="str">
        <f>IFERROR(IF(C151="CPU",VLOOKUP(D151,#REF!,4,0),IF(C151="SINAPI",VLOOKUP(D151,#REF!,5,0),IF(C151="EDIF",VLOOKUP(D151,#REF!,4,0),IF(C151="CPOS",VLOOKUP(D151,#REF!,7,0),IF(C151="FDE",VLOOKUP(D151,#REF!,5,0),IF(C151="INFRA",VLOOKUP(D151,#REF!,4,0),""))))))*VLOOKUP(C151,#REF!,3,0),"")</f>
        <v/>
      </c>
      <c r="I151" s="1106">
        <v>0.25</v>
      </c>
      <c r="J151" s="67" t="e">
        <f>ROUND(H151*(1+I151),2)</f>
        <v>#VALUE!</v>
      </c>
      <c r="K151" s="69" t="e">
        <f>SUM(G151*J151)</f>
        <v>#VALUE!</v>
      </c>
      <c r="L151" s="51"/>
      <c r="M151" s="52"/>
      <c r="N151" s="940"/>
    </row>
    <row r="152" spans="2:14" s="25" customFormat="1" ht="27" customHeight="1">
      <c r="B152" s="53">
        <v>10</v>
      </c>
      <c r="C152" s="54"/>
      <c r="D152" s="54"/>
      <c r="E152" s="55" t="s">
        <v>6402</v>
      </c>
      <c r="F152" s="56" t="str">
        <f>IFERROR(UPPER(IF(C152="CPU",VLOOKUP(D152,#REF!,3,0),IF(C152="SINAPI",VLOOKUP(D152,#REF!,3,0),IF(C152="EDIF",VLOOKUP(D152,#REF!,3,0),IF(C152="CPOS",VLOOKUP(D152,#REF!,4,0),IF(C152="FDE",VLOOKUP(D152,#REF!,3,0),IF(C152="INFRA",VLOOKUP(D152,#REF!,3,0),""))))))),"")</f>
        <v/>
      </c>
      <c r="G152" s="57"/>
      <c r="H152" s="58" t="str">
        <f>IFERROR(IF(C152="CPU",VLOOKUP(D152,#REF!,4,0),IF(C152="SINAPI",VLOOKUP(D152,#REF!,5,0),IF(C152="EDIF",VLOOKUP(D152,#REF!,4,0),IF(C152="CPOS",VLOOKUP(D152,#REF!,7,0),IF(C152="FDE",VLOOKUP(D152,#REF!,5,0),IF(C152="INFRA",VLOOKUP(D152,#REF!,4,0),""))))))*VLOOKUP(C152,#REF!,3,0),"")</f>
        <v/>
      </c>
      <c r="I152" s="59"/>
      <c r="J152" s="59"/>
      <c r="K152" s="1095" t="e">
        <f>SUM(K153:K162)</f>
        <v>#REF!</v>
      </c>
      <c r="L152" s="1096" t="e">
        <f>K152</f>
        <v>#REF!</v>
      </c>
      <c r="M152" s="52"/>
      <c r="N152" s="940"/>
    </row>
    <row r="153" spans="2:14" s="25" customFormat="1" ht="27" customHeight="1">
      <c r="B153" s="61" t="s">
        <v>803</v>
      </c>
      <c r="C153" s="61" t="s">
        <v>4872</v>
      </c>
      <c r="D153" s="1107">
        <v>130110</v>
      </c>
      <c r="E153" s="64" t="str">
        <f>IFERROR(UPPER(IF(C153="CPU",VLOOKUP(D153,#REF!,2,0),IF(C153="SINAPI",VLOOKUP(D153,#REF!,2,0),IF(C153="EDIF",VLOOKUP(D153,#REF!,2,0),IF(C153="CPOS",VLOOKUP(D153,#REF!,3,0),IF(C153="FDE",VLOOKUP(D153,#REF!,2,0),IF(C153="INFRA",VLOOKUP(D153,#REF!,2,0),""))))))),"")</f>
        <v/>
      </c>
      <c r="F153" s="65" t="str">
        <f>IFERROR(UPPER(IF(C153="CPU",VLOOKUP(D153,#REF!,3,0),IF(C153="SINAPI",VLOOKUP(D153,#REF!,3,0),IF(C153="EDIF",VLOOKUP(D153,#REF!,3,0),IF(C153="CPOS",VLOOKUP(D153,#REF!,4,0),IF(C153="FDE",VLOOKUP(D153,#REF!,3,0),IF(C153="INFRA",VLOOKUP(D153,#REF!,3,0),""))))))),"")</f>
        <v/>
      </c>
      <c r="G153" s="66" t="e">
        <f>#REF!</f>
        <v>#REF!</v>
      </c>
      <c r="H153" s="67" t="str">
        <f>IFERROR(IF(C153="CPU",VLOOKUP(D153,#REF!,4,0),IF(C153="SINAPI",VLOOKUP(D153,#REF!,5,0),IF(C153="EDIF",VLOOKUP(D153,#REF!,4,0),IF(C153="CPOS",VLOOKUP(D153,#REF!,7,0),IF(C153="FDE",VLOOKUP(D153,#REF!,5,0),IF(C153="INFRA",VLOOKUP(D153,#REF!,4,0),""))))))*VLOOKUP(C153,#REF!,3,0),"")</f>
        <v/>
      </c>
      <c r="I153" s="1106">
        <v>0.25</v>
      </c>
      <c r="J153" s="67" t="e">
        <f t="shared" ref="J153:J162" si="18">ROUND(H153*(1+I153),2)</f>
        <v>#VALUE!</v>
      </c>
      <c r="K153" s="69" t="e">
        <f t="shared" ref="K153:K162" si="19">SUM(G153*J153)</f>
        <v>#REF!</v>
      </c>
      <c r="L153" s="51"/>
      <c r="M153" s="52"/>
      <c r="N153" s="940"/>
    </row>
    <row r="154" spans="2:14" s="25" customFormat="1" ht="27" customHeight="1">
      <c r="B154" s="61" t="s">
        <v>1491</v>
      </c>
      <c r="C154" s="61" t="s">
        <v>1479</v>
      </c>
      <c r="D154" s="1107" t="s">
        <v>6403</v>
      </c>
      <c r="E154" s="64" t="str">
        <f>IFERROR(UPPER(IF(C154="CPU",VLOOKUP(D154,#REF!,2,0),IF(C154="SINAPI",VLOOKUP(D154,#REF!,2,0),IF(C154="EDIF",VLOOKUP(D154,#REF!,2,0),IF(C154="CPOS",VLOOKUP(D154,#REF!,3,0),IF(C154="FDE",VLOOKUP(D154,#REF!,2,0),IF(C154="INFRA",VLOOKUP(D154,#REF!,2,0),""))))))),"")</f>
        <v/>
      </c>
      <c r="F154" s="65" t="str">
        <f>IFERROR(UPPER(IF(C154="CPU",VLOOKUP(D154,#REF!,3,0),IF(C154="SINAPI",VLOOKUP(D154,#REF!,3,0),IF(C154="EDIF",VLOOKUP(D154,#REF!,3,0),IF(C154="CPOS",VLOOKUP(D154,#REF!,4,0),IF(C154="FDE",VLOOKUP(D154,#REF!,3,0),IF(C154="INFRA",VLOOKUP(D154,#REF!,3,0),""))))))),"")</f>
        <v/>
      </c>
      <c r="G154" s="66" t="e">
        <f>#REF!</f>
        <v>#REF!</v>
      </c>
      <c r="H154" s="67" t="str">
        <f>IFERROR(IF(C154="CPU",VLOOKUP(D154,#REF!,4,0),IF(C154="SINAPI",VLOOKUP(D154,#REF!,5,0),IF(C154="EDIF",VLOOKUP(D154,#REF!,4,0),IF(C154="CPOS",VLOOKUP(D154,#REF!,7,0),IF(C154="FDE",VLOOKUP(D154,#REF!,5,0),IF(C154="INFRA",VLOOKUP(D154,#REF!,4,0),""))))))*VLOOKUP(C154,#REF!,3,0),"")</f>
        <v/>
      </c>
      <c r="I154" s="1106">
        <v>0.25</v>
      </c>
      <c r="J154" s="67" t="e">
        <f t="shared" si="18"/>
        <v>#VALUE!</v>
      </c>
      <c r="K154" s="69" t="e">
        <f t="shared" si="19"/>
        <v>#REF!</v>
      </c>
      <c r="L154" s="51"/>
      <c r="M154" s="52"/>
      <c r="N154" s="940"/>
    </row>
    <row r="155" spans="2:14" s="25" customFormat="1" ht="27" customHeight="1">
      <c r="B155" s="61" t="s">
        <v>1494</v>
      </c>
      <c r="C155" s="61" t="s">
        <v>1479</v>
      </c>
      <c r="D155" s="1108" t="s">
        <v>6404</v>
      </c>
      <c r="E155" s="64" t="str">
        <f>IFERROR(UPPER(IF(C155="CPU",VLOOKUP(D155,#REF!,2,0),IF(C155="SINAPI",VLOOKUP(D155,#REF!,2,0),IF(C155="EDIF",VLOOKUP(D155,#REF!,2,0),IF(C155="CPOS",VLOOKUP(D155,#REF!,3,0),IF(C155="FDE",VLOOKUP(D155,#REF!,2,0),IF(C155="INFRA",VLOOKUP(D155,#REF!,2,0),""))))))),"")</f>
        <v/>
      </c>
      <c r="F155" s="65" t="str">
        <f>IFERROR(UPPER(IF(C155="CPU",VLOOKUP(D155,#REF!,3,0),IF(C155="SINAPI",VLOOKUP(D155,#REF!,3,0),IF(C155="EDIF",VLOOKUP(D155,#REF!,3,0),IF(C155="CPOS",VLOOKUP(D155,#REF!,4,0),IF(C155="FDE",VLOOKUP(D155,#REF!,3,0),IF(C155="INFRA",VLOOKUP(D155,#REF!,3,0),""))))))),"")</f>
        <v/>
      </c>
      <c r="G155" s="66" t="e">
        <f>#REF!</f>
        <v>#REF!</v>
      </c>
      <c r="H155" s="67" t="str">
        <f>IFERROR(IF(C155="CPU",VLOOKUP(D155,#REF!,4,0),IF(C155="SINAPI",VLOOKUP(D155,#REF!,5,0),IF(C155="EDIF",VLOOKUP(D155,#REF!,4,0),IF(C155="CPOS",VLOOKUP(D155,#REF!,7,0),IF(C155="FDE",VLOOKUP(D155,#REF!,5,0),IF(C155="INFRA",VLOOKUP(D155,#REF!,4,0),""))))))*VLOOKUP(C155,#REF!,3,0),"")</f>
        <v/>
      </c>
      <c r="I155" s="1106">
        <v>0.25</v>
      </c>
      <c r="J155" s="67" t="e">
        <f t="shared" si="18"/>
        <v>#VALUE!</v>
      </c>
      <c r="K155" s="69" t="e">
        <f t="shared" si="19"/>
        <v>#REF!</v>
      </c>
      <c r="L155" s="51"/>
      <c r="M155" s="52"/>
      <c r="N155" s="940"/>
    </row>
    <row r="156" spans="2:14" s="25" customFormat="1" ht="27" customHeight="1">
      <c r="B156" s="61" t="s">
        <v>5725</v>
      </c>
      <c r="C156" s="61" t="s">
        <v>1479</v>
      </c>
      <c r="D156" s="1108" t="s">
        <v>5701</v>
      </c>
      <c r="E156" s="64" t="str">
        <f>IFERROR(UPPER(IF(C156="CPU",VLOOKUP(D156,#REF!,2,0),IF(C156="SINAPI",VLOOKUP(D156,#REF!,2,0),IF(C156="EDIF",VLOOKUP(D156,#REF!,2,0),IF(C156="CPOS",VLOOKUP(D156,#REF!,3,0),IF(C156="FDE",VLOOKUP(D156,#REF!,2,0),IF(C156="INFRA",VLOOKUP(D156,#REF!,2,0),""))))))),"")</f>
        <v/>
      </c>
      <c r="F156" s="65" t="str">
        <f>IFERROR(UPPER(IF(C156="CPU",VLOOKUP(D156,#REF!,3,0),IF(C156="SINAPI",VLOOKUP(D156,#REF!,3,0),IF(C156="EDIF",VLOOKUP(D156,#REF!,3,0),IF(C156="CPOS",VLOOKUP(D156,#REF!,4,0),IF(C156="FDE",VLOOKUP(D156,#REF!,3,0),IF(C156="INFRA",VLOOKUP(D156,#REF!,3,0),""))))))),"")</f>
        <v/>
      </c>
      <c r="G156" s="66">
        <v>706.11</v>
      </c>
      <c r="H156" s="67" t="str">
        <f>IFERROR(IF(C156="CPU",VLOOKUP(D156,#REF!,4,0),IF(C156="SINAPI",VLOOKUP(D156,#REF!,5,0),IF(C156="EDIF",VLOOKUP(D156,#REF!,4,0),IF(C156="CPOS",VLOOKUP(D156,#REF!,7,0),IF(C156="FDE",VLOOKUP(D156,#REF!,5,0),IF(C156="INFRA",VLOOKUP(D156,#REF!,4,0),""))))))*VLOOKUP(C156,#REF!,3,0),"")</f>
        <v/>
      </c>
      <c r="I156" s="1106">
        <v>0.25</v>
      </c>
      <c r="J156" s="67" t="e">
        <f t="shared" si="18"/>
        <v>#VALUE!</v>
      </c>
      <c r="K156" s="69" t="e">
        <f t="shared" si="19"/>
        <v>#VALUE!</v>
      </c>
      <c r="L156" s="51"/>
      <c r="M156" s="52"/>
      <c r="N156" s="940"/>
    </row>
    <row r="157" spans="2:14" s="25" customFormat="1" ht="36" customHeight="1">
      <c r="B157" s="61" t="s">
        <v>5727</v>
      </c>
      <c r="C157" s="61" t="s">
        <v>1479</v>
      </c>
      <c r="D157" s="1107" t="s">
        <v>5706</v>
      </c>
      <c r="E157" s="64" t="str">
        <f>IFERROR(UPPER(IF(C157="CPU",VLOOKUP(D157,#REF!,2,0),IF(C157="SINAPI",VLOOKUP(D157,#REF!,2,0),IF(C157="EDIF",VLOOKUP(D157,#REF!,2,0),IF(C157="CPOS",VLOOKUP(D157,#REF!,3,0),IF(C157="FDE",VLOOKUP(D157,#REF!,2,0),IF(C157="INFRA",VLOOKUP(D157,#REF!,2,0),""))))))),"")</f>
        <v/>
      </c>
      <c r="F157" s="65" t="str">
        <f>IFERROR(UPPER(IF(C157="CPU",VLOOKUP(D157,#REF!,3,0),IF(C157="SINAPI",VLOOKUP(D157,#REF!,3,0),IF(C157="EDIF",VLOOKUP(D157,#REF!,3,0),IF(C157="CPOS",VLOOKUP(D157,#REF!,4,0),IF(C157="FDE",VLOOKUP(D157,#REF!,3,0),IF(C157="INFRA",VLOOKUP(D157,#REF!,3,0),""))))))),"")</f>
        <v/>
      </c>
      <c r="G157" s="66" t="e">
        <f>#REF!</f>
        <v>#REF!</v>
      </c>
      <c r="H157" s="67" t="str">
        <f>IFERROR(IF(C157="CPU",VLOOKUP(D157,#REF!,4,0),IF(C157="SINAPI",VLOOKUP(D157,#REF!,5,0),IF(C157="EDIF",VLOOKUP(D157,#REF!,4,0),IF(C157="CPOS",VLOOKUP(D157,#REF!,7,0),IF(C157="FDE",VLOOKUP(D157,#REF!,5,0),IF(C157="INFRA",VLOOKUP(D157,#REF!,4,0),""))))))*VLOOKUP(C157,#REF!,3,0),"")</f>
        <v/>
      </c>
      <c r="I157" s="1106">
        <v>0.25</v>
      </c>
      <c r="J157" s="67" t="e">
        <f t="shared" si="18"/>
        <v>#VALUE!</v>
      </c>
      <c r="K157" s="69" t="e">
        <f t="shared" si="19"/>
        <v>#REF!</v>
      </c>
      <c r="L157" s="51"/>
      <c r="M157" s="52"/>
      <c r="N157" s="940"/>
    </row>
    <row r="158" spans="2:14" s="25" customFormat="1" ht="36" customHeight="1">
      <c r="B158" s="61" t="s">
        <v>6405</v>
      </c>
      <c r="C158" s="61" t="s">
        <v>1479</v>
      </c>
      <c r="D158" s="1107" t="s">
        <v>6406</v>
      </c>
      <c r="E158" s="64" t="str">
        <f>IFERROR(UPPER(IF(C158="CPU",VLOOKUP(D158,#REF!,2,0),IF(C158="SINAPI",VLOOKUP(D158,#REF!,2,0),IF(C158="EDIF",VLOOKUP(D158,#REF!,2,0),IF(C158="CPOS",VLOOKUP(D158,#REF!,3,0),IF(C158="FDE",VLOOKUP(D158,#REF!,2,0),IF(C158="INFRA",VLOOKUP(D158,#REF!,2,0),""))))))),"")</f>
        <v/>
      </c>
      <c r="F158" s="65" t="str">
        <f>IFERROR(UPPER(IF(C158="CPU",VLOOKUP(D158,#REF!,3,0),IF(C158="SINAPI",VLOOKUP(D158,#REF!,3,0),IF(C158="EDIF",VLOOKUP(D158,#REF!,3,0),IF(C158="CPOS",VLOOKUP(D158,#REF!,4,0),IF(C158="FDE",VLOOKUP(D158,#REF!,3,0),IF(C158="INFRA",VLOOKUP(D158,#REF!,3,0),""))))))),"")</f>
        <v/>
      </c>
      <c r="G158" s="66">
        <f>143.5*1.3</f>
        <v>186.55</v>
      </c>
      <c r="H158" s="67" t="str">
        <f>IFERROR(IF(C158="CPU",VLOOKUP(D158,#REF!,4,0),IF(C158="SINAPI",VLOOKUP(D158,#REF!,5,0),IF(C158="EDIF",VLOOKUP(D158,#REF!,4,0),IF(C158="CPOS",VLOOKUP(D158,#REF!,7,0),IF(C158="FDE",VLOOKUP(D158,#REF!,5,0),IF(C158="INFRA",VLOOKUP(D158,#REF!,4,0),""))))))*VLOOKUP(C158,#REF!,3,0),"")</f>
        <v/>
      </c>
      <c r="I158" s="1106">
        <v>0.25</v>
      </c>
      <c r="J158" s="67" t="e">
        <f t="shared" si="18"/>
        <v>#VALUE!</v>
      </c>
      <c r="K158" s="69" t="e">
        <f t="shared" si="19"/>
        <v>#VALUE!</v>
      </c>
      <c r="L158" s="51"/>
      <c r="M158" s="52"/>
      <c r="N158" s="940"/>
    </row>
    <row r="159" spans="2:14" s="25" customFormat="1" ht="33.75" customHeight="1">
      <c r="B159" s="61" t="s">
        <v>6407</v>
      </c>
      <c r="C159" s="61" t="s">
        <v>1479</v>
      </c>
      <c r="D159" s="1108" t="s">
        <v>6408</v>
      </c>
      <c r="E159" s="64" t="str">
        <f>IFERROR(UPPER(IF(C159="CPU",VLOOKUP(D159,#REF!,2,0),IF(C159="SINAPI",VLOOKUP(D159,#REF!,2,0),IF(C159="EDIF",VLOOKUP(D159,#REF!,2,0),IF(C159="CPOS",VLOOKUP(D159,#REF!,3,0),IF(C159="FDE",VLOOKUP(D159,#REF!,2,0),IF(C159="INFRA",VLOOKUP(D159,#REF!,2,0),""))))))),"")</f>
        <v/>
      </c>
      <c r="F159" s="65" t="str">
        <f>IFERROR(UPPER(IF(C159="CPU",VLOOKUP(D159,#REF!,3,0),IF(C159="SINAPI",VLOOKUP(D159,#REF!,3,0),IF(C159="EDIF",VLOOKUP(D159,#REF!,3,0),IF(C159="CPOS",VLOOKUP(D159,#REF!,4,0),IF(C159="FDE",VLOOKUP(D159,#REF!,3,0),IF(C159="INFRA",VLOOKUP(D159,#REF!,3,0),""))))))),"")</f>
        <v/>
      </c>
      <c r="G159" s="66" t="e">
        <f>#REF!</f>
        <v>#REF!</v>
      </c>
      <c r="H159" s="67" t="str">
        <f>IFERROR(IF(C159="CPU",VLOOKUP(D159,#REF!,4,0),IF(C159="SINAPI",VLOOKUP(D159,#REF!,5,0),IF(C159="EDIF",VLOOKUP(D159,#REF!,4,0),IF(C159="CPOS",VLOOKUP(D159,#REF!,7,0),IF(C159="FDE",VLOOKUP(D159,#REF!,5,0),IF(C159="INFRA",VLOOKUP(D159,#REF!,4,0),""))))))*VLOOKUP(C159,#REF!,3,0),"")</f>
        <v/>
      </c>
      <c r="I159" s="1106">
        <v>0.25</v>
      </c>
      <c r="J159" s="67" t="e">
        <f t="shared" si="18"/>
        <v>#VALUE!</v>
      </c>
      <c r="K159" s="69" t="e">
        <f t="shared" si="19"/>
        <v>#REF!</v>
      </c>
      <c r="L159" s="51"/>
      <c r="M159" s="52"/>
      <c r="N159" s="940"/>
    </row>
    <row r="160" spans="2:14" s="25" customFormat="1" ht="27" customHeight="1">
      <c r="B160" s="61" t="s">
        <v>6409</v>
      </c>
      <c r="C160" s="61" t="s">
        <v>4872</v>
      </c>
      <c r="D160" s="1107">
        <v>130405</v>
      </c>
      <c r="E160" s="64" t="str">
        <f>IFERROR(UPPER(IF(C160="CPU",VLOOKUP(D160,#REF!,2,0),IF(C160="SINAPI",VLOOKUP(D160,#REF!,2,0),IF(C160="EDIF",VLOOKUP(D160,#REF!,2,0),IF(C160="CPOS",VLOOKUP(D160,#REF!,3,0),IF(C160="FDE",VLOOKUP(D160,#REF!,2,0),IF(C160="INFRA",VLOOKUP(D160,#REF!,2,0),""))))))),"")</f>
        <v/>
      </c>
      <c r="F160" s="65" t="str">
        <f>IFERROR(UPPER(IF(C160="CPU",VLOOKUP(D160,#REF!,3,0),IF(C160="SINAPI",VLOOKUP(D160,#REF!,3,0),IF(C160="EDIF",VLOOKUP(D160,#REF!,3,0),IF(C160="CPOS",VLOOKUP(D160,#REF!,4,0),IF(C160="FDE",VLOOKUP(D160,#REF!,3,0),IF(C160="INFRA",VLOOKUP(D160,#REF!,3,0),""))))))),"")</f>
        <v/>
      </c>
      <c r="G160" s="66" t="e">
        <f>#REF!</f>
        <v>#REF!</v>
      </c>
      <c r="H160" s="67" t="str">
        <f>IFERROR(IF(C160="CPU",VLOOKUP(D160,#REF!,4,0),IF(C160="SINAPI",VLOOKUP(D160,#REF!,5,0),IF(C160="EDIF",VLOOKUP(D160,#REF!,4,0),IF(C160="CPOS",VLOOKUP(D160,#REF!,7,0),IF(C160="FDE",VLOOKUP(D160,#REF!,5,0),IF(C160="INFRA",VLOOKUP(D160,#REF!,4,0),""))))))*VLOOKUP(C160,#REF!,3,0),"")</f>
        <v/>
      </c>
      <c r="I160" s="1106">
        <v>0.25</v>
      </c>
      <c r="J160" s="67" t="e">
        <f t="shared" si="18"/>
        <v>#VALUE!</v>
      </c>
      <c r="K160" s="69" t="e">
        <f t="shared" si="19"/>
        <v>#REF!</v>
      </c>
      <c r="L160" s="51"/>
      <c r="M160" s="52"/>
      <c r="N160" s="940"/>
    </row>
    <row r="161" spans="2:14" s="25" customFormat="1" ht="27" customHeight="1">
      <c r="B161" s="61" t="s">
        <v>6410</v>
      </c>
      <c r="C161" s="61" t="s">
        <v>4908</v>
      </c>
      <c r="D161" s="65" t="s">
        <v>6411</v>
      </c>
      <c r="E161" s="64" t="str">
        <f>IFERROR(UPPER(IF(C161="CPU",VLOOKUP(D161,#REF!,2,0),IF(C161="SINAPI",VLOOKUP(D161,#REF!,2,0),IF(C161="EDIF",VLOOKUP(D161,#REF!,2,0),IF(C161="CPOS",VLOOKUP(D161,#REF!,3,0),IF(C161="FDE",VLOOKUP(D161,#REF!,2,0),IF(C161="INFRA",VLOOKUP(D161,#REF!,2,0),""))))))),"")</f>
        <v/>
      </c>
      <c r="F161" s="65" t="str">
        <f>IFERROR(UPPER(IF(C161="CPU",VLOOKUP(D161,#REF!,3,0),IF(C161="SINAPI",VLOOKUP(D161,#REF!,3,0),IF(C161="EDIF",VLOOKUP(D161,#REF!,3,0),IF(C161="CPOS",VLOOKUP(D161,#REF!,4,0),IF(C161="FDE",VLOOKUP(D161,#REF!,3,0),IF(C161="INFRA",VLOOKUP(D161,#REF!,3,0),""))))))),"")</f>
        <v/>
      </c>
      <c r="G161" s="66" t="e">
        <f>#REF!</f>
        <v>#REF!</v>
      </c>
      <c r="H161" s="67" t="str">
        <f>IFERROR(IF(C161="CPU",VLOOKUP(D161,#REF!,4,0),IF(C161="SINAPI",VLOOKUP(D161,#REF!,5,0),IF(C161="EDIF",VLOOKUP(D161,#REF!,4,0),IF(C161="CPOS",VLOOKUP(D161,#REF!,7,0),IF(C161="FDE",VLOOKUP(D161,#REF!,5,0),IF(C161="INFRA",VLOOKUP(D161,#REF!,4,0),""))))))*VLOOKUP(C161,#REF!,3,0),"")</f>
        <v/>
      </c>
      <c r="I161" s="1106">
        <v>0.25</v>
      </c>
      <c r="J161" s="67" t="e">
        <f t="shared" si="18"/>
        <v>#VALUE!</v>
      </c>
      <c r="K161" s="69" t="e">
        <f t="shared" si="19"/>
        <v>#REF!</v>
      </c>
      <c r="L161" s="51"/>
      <c r="M161" s="52"/>
      <c r="N161" s="940"/>
    </row>
    <row r="162" spans="2:14" s="25" customFormat="1" ht="27" customHeight="1">
      <c r="B162" s="61" t="s">
        <v>6412</v>
      </c>
      <c r="C162" s="61" t="s">
        <v>4872</v>
      </c>
      <c r="D162" s="1107">
        <v>130247</v>
      </c>
      <c r="E162" s="64" t="str">
        <f>IFERROR(UPPER(IF(C162="CPU",VLOOKUP(D162,#REF!,2,0),IF(C162="SINAPI",VLOOKUP(D162,#REF!,2,0),IF(C162="EDIF",VLOOKUP(D162,#REF!,2,0),IF(C162="CPOS",VLOOKUP(D162,#REF!,3,0),IF(C162="FDE",VLOOKUP(D162,#REF!,2,0),IF(C162="INFRA",VLOOKUP(D162,#REF!,2,0),""))))))),"")</f>
        <v/>
      </c>
      <c r="F162" s="65" t="str">
        <f>IFERROR(UPPER(IF(C162="CPU",VLOOKUP(D162,#REF!,3,0),IF(C162="SINAPI",VLOOKUP(D162,#REF!,3,0),IF(C162="EDIF",VLOOKUP(D162,#REF!,3,0),IF(C162="CPOS",VLOOKUP(D162,#REF!,4,0),IF(C162="FDE",VLOOKUP(D162,#REF!,3,0),IF(C162="INFRA",VLOOKUP(D162,#REF!,3,0),""))))))),"")</f>
        <v/>
      </c>
      <c r="G162" s="66">
        <f>120*0.25</f>
        <v>30</v>
      </c>
      <c r="H162" s="67" t="str">
        <f>IFERROR(IF(C162="CPU",VLOOKUP(D162,#REF!,4,0),IF(C162="SINAPI",VLOOKUP(D162,#REF!,5,0),IF(C162="EDIF",VLOOKUP(D162,#REF!,4,0),IF(C162="CPOS",VLOOKUP(D162,#REF!,7,0),IF(C162="FDE",VLOOKUP(D162,#REF!,5,0),IF(C162="INFRA",VLOOKUP(D162,#REF!,4,0),""))))))*VLOOKUP(C162,#REF!,3,0),"")</f>
        <v/>
      </c>
      <c r="I162" s="1106">
        <v>0.25</v>
      </c>
      <c r="J162" s="67" t="e">
        <f t="shared" si="18"/>
        <v>#VALUE!</v>
      </c>
      <c r="K162" s="69" t="e">
        <f t="shared" si="19"/>
        <v>#VALUE!</v>
      </c>
      <c r="L162" s="51"/>
      <c r="M162" s="52"/>
      <c r="N162" s="940"/>
    </row>
    <row r="163" spans="2:14" s="25" customFormat="1" ht="27" customHeight="1">
      <c r="B163" s="53">
        <v>11</v>
      </c>
      <c r="C163" s="54"/>
      <c r="D163" s="54"/>
      <c r="E163" s="55" t="s">
        <v>6413</v>
      </c>
      <c r="F163" s="56" t="str">
        <f>IFERROR(UPPER(IF(C163="CPU",VLOOKUP(D163,#REF!,3,0),IF(C163="SINAPI",VLOOKUP(D163,#REF!,3,0),IF(C163="EDIF",VLOOKUP(D163,#REF!,3,0),IF(C163="CPOS",VLOOKUP(D163,#REF!,4,0),IF(C163="FDE",VLOOKUP(D163,#REF!,3,0),IF(C163="INFRA",VLOOKUP(D163,#REF!,3,0),""))))))),"")</f>
        <v/>
      </c>
      <c r="G163" s="57"/>
      <c r="H163" s="58" t="str">
        <f>IFERROR(IF(C163="CPU",VLOOKUP(D163,#REF!,4,0),IF(C163="SINAPI",VLOOKUP(D163,#REF!,5,0),IF(C163="EDIF",VLOOKUP(D163,#REF!,4,0),IF(C163="CPOS",VLOOKUP(D163,#REF!,7,0),IF(C163="FDE",VLOOKUP(D163,#REF!,5,0),IF(C163="INFRA",VLOOKUP(D163,#REF!,4,0),""))))))*VLOOKUP(C163,#REF!,3,0),"")</f>
        <v/>
      </c>
      <c r="I163" s="59"/>
      <c r="J163" s="59"/>
      <c r="K163" s="1095" t="e">
        <f>SUM(K164:K173)</f>
        <v>#REF!</v>
      </c>
      <c r="L163" s="1096" t="e">
        <f>K163</f>
        <v>#REF!</v>
      </c>
      <c r="M163" s="52"/>
      <c r="N163" s="940"/>
    </row>
    <row r="164" spans="2:14" s="25" customFormat="1" ht="27" customHeight="1">
      <c r="B164" s="61" t="s">
        <v>809</v>
      </c>
      <c r="C164" s="61" t="s">
        <v>4908</v>
      </c>
      <c r="D164" s="65" t="s">
        <v>6414</v>
      </c>
      <c r="E164" s="64" t="str">
        <f>IFERROR(UPPER(IF(C164="CPU",VLOOKUP(D164,#REF!,2,0),IF(C164="SINAPI",VLOOKUP(D164,#REF!,2,0),IF(C164="EDIF",VLOOKUP(D164,#REF!,2,0),IF(C164="CPOS",VLOOKUP(D164,#REF!,3,0),IF(C164="FDE",VLOOKUP(D164,#REF!,2,0),IF(C164="INFRA",VLOOKUP(D164,#REF!,2,0),""))))))),"")</f>
        <v/>
      </c>
      <c r="F164" s="65" t="str">
        <f>IFERROR(UPPER(IF(C164="CPU",VLOOKUP(D164,#REF!,3,0),IF(C164="SINAPI",VLOOKUP(D164,#REF!,3,0),IF(C164="EDIF",VLOOKUP(D164,#REF!,3,0),IF(C164="CPOS",VLOOKUP(D164,#REF!,4,0),IF(C164="FDE",VLOOKUP(D164,#REF!,3,0),IF(C164="INFRA",VLOOKUP(D164,#REF!,3,0),""))))))),"")</f>
        <v/>
      </c>
      <c r="G164" s="66" t="e">
        <f>#REF!</f>
        <v>#REF!</v>
      </c>
      <c r="H164" s="67" t="str">
        <f>IFERROR(IF(C164="CPU",VLOOKUP(D164,#REF!,4,0),IF(C164="SINAPI",VLOOKUP(D164,#REF!,5,0),IF(C164="EDIF",VLOOKUP(D164,#REF!,4,0),IF(C164="CPOS",VLOOKUP(D164,#REF!,7,0),IF(C164="FDE",VLOOKUP(D164,#REF!,5,0),IF(C164="INFRA",VLOOKUP(D164,#REF!,4,0),""))))))*VLOOKUP(C164,#REF!,3,0),"")</f>
        <v/>
      </c>
      <c r="I164" s="1106">
        <v>0.25</v>
      </c>
      <c r="J164" s="67" t="e">
        <f t="shared" ref="J164:J173" si="20">ROUND(H164*(1+I164),2)</f>
        <v>#VALUE!</v>
      </c>
      <c r="K164" s="69" t="e">
        <f t="shared" ref="K164:K173" si="21">SUM(G164*J164)</f>
        <v>#REF!</v>
      </c>
      <c r="L164" s="51"/>
      <c r="M164" s="52"/>
      <c r="N164" s="940"/>
    </row>
    <row r="165" spans="2:14" s="25" customFormat="1" ht="27" customHeight="1">
      <c r="B165" s="61" t="s">
        <v>818</v>
      </c>
      <c r="C165" s="61" t="s">
        <v>4908</v>
      </c>
      <c r="D165" s="65" t="s">
        <v>6415</v>
      </c>
      <c r="E165" s="64" t="str">
        <f>IFERROR(UPPER(IF(C165="CPU",VLOOKUP(D165,#REF!,2,0),IF(C165="SINAPI",VLOOKUP(D165,#REF!,2,0),IF(C165="EDIF",VLOOKUP(D165,#REF!,2,0),IF(C165="CPOS",VLOOKUP(D165,#REF!,3,0),IF(C165="FDE",VLOOKUP(D165,#REF!,2,0),IF(C165="INFRA",VLOOKUP(D165,#REF!,2,0),""))))))),"")</f>
        <v/>
      </c>
      <c r="F165" s="65" t="str">
        <f>IFERROR(UPPER(IF(C165="CPU",VLOOKUP(D165,#REF!,3,0),IF(C165="SINAPI",VLOOKUP(D165,#REF!,3,0),IF(C165="EDIF",VLOOKUP(D165,#REF!,3,0),IF(C165="CPOS",VLOOKUP(D165,#REF!,4,0),IF(C165="FDE",VLOOKUP(D165,#REF!,3,0),IF(C165="INFRA",VLOOKUP(D165,#REF!,3,0),""))))))),"")</f>
        <v/>
      </c>
      <c r="G165" s="66" t="e">
        <f>#REF!</f>
        <v>#REF!</v>
      </c>
      <c r="H165" s="67" t="str">
        <f>IFERROR(IF(C165="CPU",VLOOKUP(D165,#REF!,4,0),IF(C165="SINAPI",VLOOKUP(D165,#REF!,5,0),IF(C165="EDIF",VLOOKUP(D165,#REF!,4,0),IF(C165="CPOS",VLOOKUP(D165,#REF!,7,0),IF(C165="FDE",VLOOKUP(D165,#REF!,5,0),IF(C165="INFRA",VLOOKUP(D165,#REF!,4,0),""))))))*VLOOKUP(C165,#REF!,3,0),"")</f>
        <v/>
      </c>
      <c r="I165" s="1106">
        <v>0.25</v>
      </c>
      <c r="J165" s="67" t="e">
        <f t="shared" si="20"/>
        <v>#VALUE!</v>
      </c>
      <c r="K165" s="69" t="e">
        <f t="shared" si="21"/>
        <v>#REF!</v>
      </c>
      <c r="L165" s="51"/>
      <c r="M165" s="52"/>
      <c r="N165" s="940"/>
    </row>
    <row r="166" spans="2:14" s="25" customFormat="1" ht="27" customHeight="1">
      <c r="B166" s="61" t="s">
        <v>825</v>
      </c>
      <c r="C166" s="61" t="s">
        <v>4908</v>
      </c>
      <c r="D166" s="65" t="s">
        <v>6416</v>
      </c>
      <c r="E166" s="64" t="str">
        <f>IFERROR(UPPER(IF(C166="CPU",VLOOKUP(D166,#REF!,2,0),IF(C166="SINAPI",VLOOKUP(D166,#REF!,2,0),IF(C166="EDIF",VLOOKUP(D166,#REF!,2,0),IF(C166="CPOS",VLOOKUP(D166,#REF!,3,0),IF(C166="FDE",VLOOKUP(D166,#REF!,2,0),IF(C166="INFRA",VLOOKUP(D166,#REF!,2,0),""))))))),"")</f>
        <v/>
      </c>
      <c r="F166" s="65" t="str">
        <f>IFERROR(UPPER(IF(C166="CPU",VLOOKUP(D166,#REF!,3,0),IF(C166="SINAPI",VLOOKUP(D166,#REF!,3,0),IF(C166="EDIF",VLOOKUP(D166,#REF!,3,0),IF(C166="CPOS",VLOOKUP(D166,#REF!,4,0),IF(C166="FDE",VLOOKUP(D166,#REF!,3,0),IF(C166="INFRA",VLOOKUP(D166,#REF!,3,0),""))))))),"")</f>
        <v/>
      </c>
      <c r="G166" s="66" t="e">
        <f>#REF!</f>
        <v>#REF!</v>
      </c>
      <c r="H166" s="67" t="str">
        <f>IFERROR(IF(C166="CPU",VLOOKUP(D166,#REF!,4,0),IF(C166="SINAPI",VLOOKUP(D166,#REF!,5,0),IF(C166="EDIF",VLOOKUP(D166,#REF!,4,0),IF(C166="CPOS",VLOOKUP(D166,#REF!,7,0),IF(C166="FDE",VLOOKUP(D166,#REF!,5,0),IF(C166="INFRA",VLOOKUP(D166,#REF!,4,0),""))))))*VLOOKUP(C166,#REF!,3,0),"")</f>
        <v/>
      </c>
      <c r="I166" s="1106">
        <v>0.25</v>
      </c>
      <c r="J166" s="67" t="e">
        <f t="shared" si="20"/>
        <v>#VALUE!</v>
      </c>
      <c r="K166" s="69" t="e">
        <f t="shared" si="21"/>
        <v>#REF!</v>
      </c>
      <c r="L166" s="51"/>
      <c r="M166" s="52"/>
      <c r="N166" s="940"/>
    </row>
    <row r="167" spans="2:14" s="25" customFormat="1" ht="27" customHeight="1">
      <c r="B167" s="61" t="s">
        <v>5055</v>
      </c>
      <c r="C167" s="61" t="s">
        <v>4908</v>
      </c>
      <c r="D167" s="65" t="s">
        <v>6417</v>
      </c>
      <c r="E167" s="64" t="str">
        <f>IFERROR(UPPER(IF(C167="CPU",VLOOKUP(D167,#REF!,2,0),IF(C167="SINAPI",VLOOKUP(D167,#REF!,2,0),IF(C167="EDIF",VLOOKUP(D167,#REF!,2,0),IF(C167="CPOS",VLOOKUP(D167,#REF!,3,0),IF(C167="FDE",VLOOKUP(D167,#REF!,2,0),IF(C167="INFRA",VLOOKUP(D167,#REF!,2,0),""))))))),"")</f>
        <v/>
      </c>
      <c r="F167" s="65" t="str">
        <f>IFERROR(UPPER(IF(C167="CPU",VLOOKUP(D167,#REF!,3,0),IF(C167="SINAPI",VLOOKUP(D167,#REF!,3,0),IF(C167="EDIF",VLOOKUP(D167,#REF!,3,0),IF(C167="CPOS",VLOOKUP(D167,#REF!,4,0),IF(C167="FDE",VLOOKUP(D167,#REF!,3,0),IF(C167="INFRA",VLOOKUP(D167,#REF!,3,0),""))))))),"")</f>
        <v/>
      </c>
      <c r="G167" s="66" t="e">
        <f>#REF!</f>
        <v>#REF!</v>
      </c>
      <c r="H167" s="67" t="str">
        <f>IFERROR(IF(C167="CPU",VLOOKUP(D167,#REF!,4,0),IF(C167="SINAPI",VLOOKUP(D167,#REF!,5,0),IF(C167="EDIF",VLOOKUP(D167,#REF!,4,0),IF(C167="CPOS",VLOOKUP(D167,#REF!,7,0),IF(C167="FDE",VLOOKUP(D167,#REF!,5,0),IF(C167="INFRA",VLOOKUP(D167,#REF!,4,0),""))))))*VLOOKUP(C167,#REF!,3,0),"")</f>
        <v/>
      </c>
      <c r="I167" s="1106">
        <v>0.25</v>
      </c>
      <c r="J167" s="67" t="e">
        <f t="shared" si="20"/>
        <v>#VALUE!</v>
      </c>
      <c r="K167" s="69" t="e">
        <f t="shared" si="21"/>
        <v>#REF!</v>
      </c>
      <c r="L167" s="51"/>
      <c r="M167" s="52"/>
      <c r="N167" s="940"/>
    </row>
    <row r="168" spans="2:14" s="25" customFormat="1" ht="27" customHeight="1">
      <c r="B168" s="61" t="s">
        <v>5733</v>
      </c>
      <c r="C168" s="61" t="s">
        <v>4908</v>
      </c>
      <c r="D168" s="65" t="s">
        <v>6418</v>
      </c>
      <c r="E168" s="64" t="str">
        <f>IFERROR(UPPER(IF(C168="CPU",VLOOKUP(D168,#REF!,2,0),IF(C168="SINAPI",VLOOKUP(D168,#REF!,2,0),IF(C168="EDIF",VLOOKUP(D168,#REF!,2,0),IF(C168="CPOS",VLOOKUP(D168,#REF!,3,0),IF(C168="FDE",VLOOKUP(D168,#REF!,2,0),IF(C168="INFRA",VLOOKUP(D168,#REF!,2,0),""))))))),"")</f>
        <v/>
      </c>
      <c r="F168" s="65" t="str">
        <f>IFERROR(UPPER(IF(C168="CPU",VLOOKUP(D168,#REF!,3,0),IF(C168="SINAPI",VLOOKUP(D168,#REF!,3,0),IF(C168="EDIF",VLOOKUP(D168,#REF!,3,0),IF(C168="CPOS",VLOOKUP(D168,#REF!,4,0),IF(C168="FDE",VLOOKUP(D168,#REF!,3,0),IF(C168="INFRA",VLOOKUP(D168,#REF!,3,0),""))))))),"")</f>
        <v/>
      </c>
      <c r="G168" s="66" t="e">
        <f>#REF!</f>
        <v>#REF!</v>
      </c>
      <c r="H168" s="67" t="str">
        <f>IFERROR(IF(C168="CPU",VLOOKUP(D168,#REF!,4,0),IF(C168="SINAPI",VLOOKUP(D168,#REF!,5,0),IF(C168="EDIF",VLOOKUP(D168,#REF!,4,0),IF(C168="CPOS",VLOOKUP(D168,#REF!,7,0),IF(C168="FDE",VLOOKUP(D168,#REF!,5,0),IF(C168="INFRA",VLOOKUP(D168,#REF!,4,0),""))))))*VLOOKUP(C168,#REF!,3,0),"")</f>
        <v/>
      </c>
      <c r="I168" s="1106">
        <v>0.25</v>
      </c>
      <c r="J168" s="67" t="e">
        <f t="shared" si="20"/>
        <v>#VALUE!</v>
      </c>
      <c r="K168" s="69" t="e">
        <f t="shared" si="21"/>
        <v>#REF!</v>
      </c>
      <c r="L168" s="51"/>
      <c r="M168" s="52"/>
      <c r="N168" s="940"/>
    </row>
    <row r="169" spans="2:14" s="25" customFormat="1" ht="27" customHeight="1">
      <c r="B169" s="61" t="s">
        <v>5557</v>
      </c>
      <c r="C169" s="61" t="s">
        <v>4908</v>
      </c>
      <c r="D169" s="65" t="s">
        <v>6419</v>
      </c>
      <c r="E169" s="64" t="str">
        <f>IFERROR(UPPER(IF(C169="CPU",VLOOKUP(D169,#REF!,2,0),IF(C169="SINAPI",VLOOKUP(D169,#REF!,2,0),IF(C169="EDIF",VLOOKUP(D169,#REF!,2,0),IF(C169="CPOS",VLOOKUP(D169,#REF!,3,0),IF(C169="FDE",VLOOKUP(D169,#REF!,2,0),IF(C169="INFRA",VLOOKUP(D169,#REF!,2,0),""))))))),"")</f>
        <v/>
      </c>
      <c r="F169" s="65" t="str">
        <f>IFERROR(UPPER(IF(C169="CPU",VLOOKUP(D169,#REF!,3,0),IF(C169="SINAPI",VLOOKUP(D169,#REF!,3,0),IF(C169="EDIF",VLOOKUP(D169,#REF!,3,0),IF(C169="CPOS",VLOOKUP(D169,#REF!,4,0),IF(C169="FDE",VLOOKUP(D169,#REF!,3,0),IF(C169="INFRA",VLOOKUP(D169,#REF!,3,0),""))))))),"")</f>
        <v/>
      </c>
      <c r="G169" s="66" t="e">
        <f>#REF!</f>
        <v>#REF!</v>
      </c>
      <c r="H169" s="67" t="str">
        <f>IFERROR(IF(C169="CPU",VLOOKUP(D169,#REF!,4,0),IF(C169="SINAPI",VLOOKUP(D169,#REF!,5,0),IF(C169="EDIF",VLOOKUP(D169,#REF!,4,0),IF(C169="CPOS",VLOOKUP(D169,#REF!,7,0),IF(C169="FDE",VLOOKUP(D169,#REF!,5,0),IF(C169="INFRA",VLOOKUP(D169,#REF!,4,0),""))))))*VLOOKUP(C169,#REF!,3,0),"")</f>
        <v/>
      </c>
      <c r="I169" s="1106">
        <v>0.25</v>
      </c>
      <c r="J169" s="67" t="e">
        <f t="shared" si="20"/>
        <v>#VALUE!</v>
      </c>
      <c r="K169" s="69" t="e">
        <f t="shared" si="21"/>
        <v>#REF!</v>
      </c>
      <c r="L169" s="51"/>
      <c r="M169" s="52"/>
      <c r="N169" s="940"/>
    </row>
    <row r="170" spans="2:14" s="25" customFormat="1" ht="27" customHeight="1">
      <c r="B170" s="61" t="s">
        <v>5736</v>
      </c>
      <c r="C170" s="61" t="s">
        <v>4908</v>
      </c>
      <c r="D170" s="65" t="s">
        <v>6420</v>
      </c>
      <c r="E170" s="64" t="str">
        <f>IFERROR(UPPER(IF(C170="CPU",VLOOKUP(D170,#REF!,2,0),IF(C170="SINAPI",VLOOKUP(D170,#REF!,2,0),IF(C170="EDIF",VLOOKUP(D170,#REF!,2,0),IF(C170="CPOS",VLOOKUP(D170,#REF!,3,0),IF(C170="FDE",VLOOKUP(D170,#REF!,2,0),IF(C170="INFRA",VLOOKUP(D170,#REF!,2,0),""))))))),"")</f>
        <v/>
      </c>
      <c r="F170" s="65" t="str">
        <f>IFERROR(UPPER(IF(C170="CPU",VLOOKUP(D170,#REF!,3,0),IF(C170="SINAPI",VLOOKUP(D170,#REF!,3,0),IF(C170="EDIF",VLOOKUP(D170,#REF!,3,0),IF(C170="CPOS",VLOOKUP(D170,#REF!,4,0),IF(C170="FDE",VLOOKUP(D170,#REF!,3,0),IF(C170="INFRA",VLOOKUP(D170,#REF!,3,0),""))))))),"")</f>
        <v/>
      </c>
      <c r="G170" s="66" t="e">
        <f>#REF!</f>
        <v>#REF!</v>
      </c>
      <c r="H170" s="67" t="str">
        <f>IFERROR(IF(C170="CPU",VLOOKUP(D170,#REF!,4,0),IF(C170="SINAPI",VLOOKUP(D170,#REF!,5,0),IF(C170="EDIF",VLOOKUP(D170,#REF!,4,0),IF(C170="CPOS",VLOOKUP(D170,#REF!,7,0),IF(C170="FDE",VLOOKUP(D170,#REF!,5,0),IF(C170="INFRA",VLOOKUP(D170,#REF!,4,0),""))))))*VLOOKUP(C170,#REF!,3,0),"")</f>
        <v/>
      </c>
      <c r="I170" s="1106">
        <v>0.25</v>
      </c>
      <c r="J170" s="67" t="e">
        <f t="shared" si="20"/>
        <v>#VALUE!</v>
      </c>
      <c r="K170" s="69" t="e">
        <f t="shared" si="21"/>
        <v>#REF!</v>
      </c>
      <c r="L170" s="51"/>
      <c r="M170" s="52"/>
      <c r="N170" s="940"/>
    </row>
    <row r="171" spans="2:14" s="25" customFormat="1" ht="27" customHeight="1">
      <c r="B171" s="61" t="s">
        <v>5738</v>
      </c>
      <c r="C171" s="61" t="s">
        <v>4908</v>
      </c>
      <c r="D171" s="65" t="s">
        <v>6421</v>
      </c>
      <c r="E171" s="64" t="str">
        <f>IFERROR(UPPER(IF(C171="CPU",VLOOKUP(D171,#REF!,2,0),IF(C171="SINAPI",VLOOKUP(D171,#REF!,2,0),IF(C171="EDIF",VLOOKUP(D171,#REF!,2,0),IF(C171="CPOS",VLOOKUP(D171,#REF!,3,0),IF(C171="FDE",VLOOKUP(D171,#REF!,2,0),IF(C171="INFRA",VLOOKUP(D171,#REF!,2,0),""))))))),"")</f>
        <v/>
      </c>
      <c r="F171" s="65" t="str">
        <f>IFERROR(UPPER(IF(C171="CPU",VLOOKUP(D171,#REF!,3,0),IF(C171="SINAPI",VLOOKUP(D171,#REF!,3,0),IF(C171="EDIF",VLOOKUP(D171,#REF!,3,0),IF(C171="CPOS",VLOOKUP(D171,#REF!,4,0),IF(C171="FDE",VLOOKUP(D171,#REF!,3,0),IF(C171="INFRA",VLOOKUP(D171,#REF!,3,0),""))))))),"")</f>
        <v/>
      </c>
      <c r="G171" s="66" t="e">
        <f>#REF!</f>
        <v>#REF!</v>
      </c>
      <c r="H171" s="67" t="str">
        <f>IFERROR(IF(C171="CPU",VLOOKUP(D171,#REF!,4,0),IF(C171="SINAPI",VLOOKUP(D171,#REF!,5,0),IF(C171="EDIF",VLOOKUP(D171,#REF!,4,0),IF(C171="CPOS",VLOOKUP(D171,#REF!,7,0),IF(C171="FDE",VLOOKUP(D171,#REF!,5,0),IF(C171="INFRA",VLOOKUP(D171,#REF!,4,0),""))))))*VLOOKUP(C171,#REF!,3,0),"")</f>
        <v/>
      </c>
      <c r="I171" s="1106">
        <v>0.25</v>
      </c>
      <c r="J171" s="67" t="e">
        <f t="shared" si="20"/>
        <v>#VALUE!</v>
      </c>
      <c r="K171" s="69" t="e">
        <f t="shared" si="21"/>
        <v>#REF!</v>
      </c>
      <c r="L171" s="51"/>
      <c r="M171" s="52"/>
      <c r="N171" s="940"/>
    </row>
    <row r="172" spans="2:14" s="25" customFormat="1" ht="27" customHeight="1">
      <c r="B172" s="61" t="s">
        <v>5740</v>
      </c>
      <c r="C172" s="61" t="s">
        <v>4908</v>
      </c>
      <c r="D172" s="65" t="s">
        <v>5721</v>
      </c>
      <c r="E172" s="64" t="str">
        <f>IFERROR(UPPER(IF(C172="CPU",VLOOKUP(D172,#REF!,2,0),IF(C172="SINAPI",VLOOKUP(D172,#REF!,2,0),IF(C172="EDIF",VLOOKUP(D172,#REF!,2,0),IF(C172="CPOS",VLOOKUP(D172,#REF!,3,0),IF(C172="FDE",VLOOKUP(D172,#REF!,2,0),IF(C172="INFRA",VLOOKUP(D172,#REF!,2,0),""))))))),"")</f>
        <v/>
      </c>
      <c r="F172" s="65" t="str">
        <f>IFERROR(UPPER(IF(C172="CPU",VLOOKUP(D172,#REF!,3,0),IF(C172="SINAPI",VLOOKUP(D172,#REF!,3,0),IF(C172="EDIF",VLOOKUP(D172,#REF!,3,0),IF(C172="CPOS",VLOOKUP(D172,#REF!,4,0),IF(C172="FDE",VLOOKUP(D172,#REF!,3,0),IF(C172="INFRA",VLOOKUP(D172,#REF!,3,0),""))))))),"")</f>
        <v/>
      </c>
      <c r="G172" s="66">
        <v>250</v>
      </c>
      <c r="H172" s="67" t="str">
        <f>IFERROR(IF(C172="CPU",VLOOKUP(D172,#REF!,4,0),IF(C172="SINAPI",VLOOKUP(D172,#REF!,5,0),IF(C172="EDIF",VLOOKUP(D172,#REF!,4,0),IF(C172="CPOS",VLOOKUP(D172,#REF!,7,0),IF(C172="FDE",VLOOKUP(D172,#REF!,5,0),IF(C172="INFRA",VLOOKUP(D172,#REF!,4,0),""))))))*VLOOKUP(C172,#REF!,3,0),"")</f>
        <v/>
      </c>
      <c r="I172" s="1106">
        <v>0.25</v>
      </c>
      <c r="J172" s="67" t="e">
        <f t="shared" si="20"/>
        <v>#VALUE!</v>
      </c>
      <c r="K172" s="69" t="e">
        <f t="shared" si="21"/>
        <v>#VALUE!</v>
      </c>
      <c r="L172" s="51"/>
      <c r="M172" s="52"/>
      <c r="N172" s="940"/>
    </row>
    <row r="173" spans="2:14" s="25" customFormat="1" ht="27" customHeight="1">
      <c r="B173" s="61" t="s">
        <v>5742</v>
      </c>
      <c r="C173" s="61" t="s">
        <v>4908</v>
      </c>
      <c r="D173" s="65" t="s">
        <v>6422</v>
      </c>
      <c r="E173" s="64" t="str">
        <f>IFERROR(UPPER(IF(C173="CPU",VLOOKUP(D173,#REF!,2,0),IF(C173="SINAPI",VLOOKUP(D173,#REF!,2,0),IF(C173="EDIF",VLOOKUP(D173,#REF!,2,0),IF(C173="CPOS",VLOOKUP(D173,#REF!,3,0),IF(C173="FDE",VLOOKUP(D173,#REF!,2,0),IF(C173="INFRA",VLOOKUP(D173,#REF!,2,0),""))))))),"")</f>
        <v/>
      </c>
      <c r="F173" s="65" t="str">
        <f>IFERROR(UPPER(IF(C173="CPU",VLOOKUP(D173,#REF!,3,0),IF(C173="SINAPI",VLOOKUP(D173,#REF!,3,0),IF(C173="EDIF",VLOOKUP(D173,#REF!,3,0),IF(C173="CPOS",VLOOKUP(D173,#REF!,4,0),IF(C173="FDE",VLOOKUP(D173,#REF!,3,0),IF(C173="INFRA",VLOOKUP(D173,#REF!,3,0),""))))))),"")</f>
        <v/>
      </c>
      <c r="G173" s="66">
        <v>250</v>
      </c>
      <c r="H173" s="67" t="str">
        <f>IFERROR(IF(C173="CPU",VLOOKUP(D173,#REF!,4,0),IF(C173="SINAPI",VLOOKUP(D173,#REF!,5,0),IF(C173="EDIF",VLOOKUP(D173,#REF!,4,0),IF(C173="CPOS",VLOOKUP(D173,#REF!,7,0),IF(C173="FDE",VLOOKUP(D173,#REF!,5,0),IF(C173="INFRA",VLOOKUP(D173,#REF!,4,0),""))))))*VLOOKUP(C173,#REF!,3,0),"")</f>
        <v/>
      </c>
      <c r="I173" s="1106">
        <v>0.25</v>
      </c>
      <c r="J173" s="67" t="e">
        <f t="shared" si="20"/>
        <v>#VALUE!</v>
      </c>
      <c r="K173" s="69" t="e">
        <f t="shared" si="21"/>
        <v>#VALUE!</v>
      </c>
      <c r="L173" s="51"/>
      <c r="M173" s="52"/>
      <c r="N173" s="940"/>
    </row>
    <row r="174" spans="2:14" s="25" customFormat="1" ht="27" customHeight="1">
      <c r="B174" s="53">
        <v>12</v>
      </c>
      <c r="C174" s="54"/>
      <c r="D174" s="54"/>
      <c r="E174" s="55" t="s">
        <v>5082</v>
      </c>
      <c r="F174" s="56" t="str">
        <f>IFERROR(UPPER(IF(C174="CPU",VLOOKUP(D174,#REF!,3,0),IF(C174="SINAPI",VLOOKUP(D174,#REF!,3,0),IF(C174="EDIF",VLOOKUP(D174,#REF!,3,0),IF(C174="CPOS",VLOOKUP(D174,#REF!,4,0),IF(C174="FDE",VLOOKUP(D174,#REF!,3,0),IF(C174="INFRA",VLOOKUP(D174,#REF!,3,0),""))))))),"")</f>
        <v/>
      </c>
      <c r="G174" s="57"/>
      <c r="H174" s="58" t="str">
        <f>IFERROR(IF(C174="CPU",VLOOKUP(D174,#REF!,4,0),IF(C174="SINAPI",VLOOKUP(D174,#REF!,5,0),IF(C174="EDIF",VLOOKUP(D174,#REF!,4,0),IF(C174="CPOS",VLOOKUP(D174,#REF!,7,0),IF(C174="FDE",VLOOKUP(D174,#REF!,5,0),IF(C174="INFRA",VLOOKUP(D174,#REF!,4,0),""))))))*VLOOKUP(C174,#REF!,3,0),"")</f>
        <v/>
      </c>
      <c r="I174" s="59"/>
      <c r="J174" s="59"/>
      <c r="K174" s="1095" t="e">
        <f>SUM(K175:K232)</f>
        <v>#VALUE!</v>
      </c>
      <c r="L174" s="1096" t="e">
        <f>K174</f>
        <v>#VALUE!</v>
      </c>
      <c r="M174" s="52"/>
      <c r="N174" s="940"/>
    </row>
    <row r="175" spans="2:14" s="25" customFormat="1" ht="27" customHeight="1">
      <c r="B175" s="1097" t="s">
        <v>832</v>
      </c>
      <c r="C175" s="1098"/>
      <c r="D175" s="1098"/>
      <c r="E175" s="1099" t="s">
        <v>6423</v>
      </c>
      <c r="F175" s="1100" t="str">
        <f>IFERROR(UPPER(IF(C175="CPU",VLOOKUP(D175,#REF!,3,0),IF(C175="SINAPI",VLOOKUP(D175,#REF!,3,0),IF(C175="EDIF",VLOOKUP(D175,#REF!,3,0),IF(C175="CPOS",VLOOKUP(D175,#REF!,4,0),IF(C175="FDE",VLOOKUP(D175,#REF!,3,0),IF(C175="INFRA",VLOOKUP(D175,#REF!,3,0),""))))))),"")</f>
        <v/>
      </c>
      <c r="G175" s="1101"/>
      <c r="H175" s="1102" t="str">
        <f>IFERROR(IF(C175="CPU",VLOOKUP(D175,#REF!,4,0),IF(C175="SINAPI",VLOOKUP(D175,#REF!,5,0),IF(C175="EDIF",VLOOKUP(D175,#REF!,4,0),IF(C175="CPOS",VLOOKUP(D175,#REF!,7,0),IF(C175="FDE",VLOOKUP(D175,#REF!,5,0),IF(C175="INFRA",VLOOKUP(D175,#REF!,4,0),""))))))*VLOOKUP(C175,#REF!,3,0),"")</f>
        <v/>
      </c>
      <c r="I175" s="1103"/>
      <c r="J175" s="1103"/>
      <c r="K175" s="1104"/>
      <c r="L175" s="51"/>
      <c r="M175" s="52"/>
      <c r="N175" s="940"/>
    </row>
    <row r="176" spans="2:14" s="25" customFormat="1" ht="27" customHeight="1">
      <c r="B176" s="61" t="s">
        <v>835</v>
      </c>
      <c r="C176" s="61" t="s">
        <v>4872</v>
      </c>
      <c r="D176" s="1107">
        <v>100241</v>
      </c>
      <c r="E176" s="64" t="str">
        <f>IFERROR(UPPER(IF(C176="CPU",VLOOKUP(D176,#REF!,2,0),IF(C176="SINAPI",VLOOKUP(D176,#REF!,2,0),IF(C176="EDIF",VLOOKUP(D176,#REF!,2,0),IF(C176="CPOS",VLOOKUP(D176,#REF!,3,0),IF(C176="FDE",VLOOKUP(D176,#REF!,2,0),IF(C176="INFRA",VLOOKUP(D176,#REF!,2,0),""))))))),"")</f>
        <v/>
      </c>
      <c r="F176" s="65" t="str">
        <f>IFERROR(UPPER(IF(C176="CPU",VLOOKUP(D176,#REF!,3,0),IF(C176="SINAPI",VLOOKUP(D176,#REF!,3,0),IF(C176="EDIF",VLOOKUP(D176,#REF!,3,0),IF(C176="CPOS",VLOOKUP(D176,#REF!,4,0),IF(C176="FDE",VLOOKUP(D176,#REF!,3,0),IF(C176="INFRA",VLOOKUP(D176,#REF!,3,0),""))))))),"")</f>
        <v/>
      </c>
      <c r="G176" s="66">
        <v>5</v>
      </c>
      <c r="H176" s="67" t="str">
        <f>IFERROR(IF(C176="CPU",VLOOKUP(D176,#REF!,4,0),IF(C176="SINAPI",VLOOKUP(D176,#REF!,5,0),IF(C176="EDIF",VLOOKUP(D176,#REF!,4,0),IF(C176="CPOS",VLOOKUP(D176,#REF!,7,0),IF(C176="FDE",VLOOKUP(D176,#REF!,5,0),IF(C176="INFRA",VLOOKUP(D176,#REF!,4,0),""))))))*VLOOKUP(C176,#REF!,3,0),"")</f>
        <v/>
      </c>
      <c r="I176" s="1106">
        <v>0.25</v>
      </c>
      <c r="J176" s="67" t="e">
        <f t="shared" ref="J176:J197" si="22">ROUND(H176*(1+I176),2)</f>
        <v>#VALUE!</v>
      </c>
      <c r="K176" s="69" t="e">
        <f t="shared" ref="K176:K197" si="23">SUM(G176*J176)</f>
        <v>#VALUE!</v>
      </c>
      <c r="L176" s="51"/>
      <c r="M176" s="52"/>
      <c r="N176" s="940"/>
    </row>
    <row r="177" spans="2:14" s="25" customFormat="1" ht="27" customHeight="1">
      <c r="B177" s="61" t="s">
        <v>837</v>
      </c>
      <c r="C177" s="61" t="s">
        <v>4872</v>
      </c>
      <c r="D177" s="1107">
        <v>100230</v>
      </c>
      <c r="E177" s="64" t="str">
        <f>IFERROR(UPPER(IF(C177="CPU",VLOOKUP(D177,#REF!,2,0),IF(C177="SINAPI",VLOOKUP(D177,#REF!,2,0),IF(C177="EDIF",VLOOKUP(D177,#REF!,2,0),IF(C177="CPOS",VLOOKUP(D177,#REF!,3,0),IF(C177="FDE",VLOOKUP(D177,#REF!,2,0),IF(C177="INFRA",VLOOKUP(D177,#REF!,2,0),""))))))),"")</f>
        <v/>
      </c>
      <c r="F177" s="65" t="str">
        <f>IFERROR(UPPER(IF(C177="CPU",VLOOKUP(D177,#REF!,3,0),IF(C177="SINAPI",VLOOKUP(D177,#REF!,3,0),IF(C177="EDIF",VLOOKUP(D177,#REF!,3,0),IF(C177="CPOS",VLOOKUP(D177,#REF!,4,0),IF(C177="FDE",VLOOKUP(D177,#REF!,3,0),IF(C177="INFRA",VLOOKUP(D177,#REF!,3,0),""))))))),"")</f>
        <v/>
      </c>
      <c r="G177" s="66">
        <v>15</v>
      </c>
      <c r="H177" s="67" t="str">
        <f>IFERROR(IF(C177="CPU",VLOOKUP(D177,#REF!,4,0),IF(C177="SINAPI",VLOOKUP(D177,#REF!,5,0),IF(C177="EDIF",VLOOKUP(D177,#REF!,4,0),IF(C177="CPOS",VLOOKUP(D177,#REF!,7,0),IF(C177="FDE",VLOOKUP(D177,#REF!,5,0),IF(C177="INFRA",VLOOKUP(D177,#REF!,4,0),""))))))*VLOOKUP(C177,#REF!,3,0),"")</f>
        <v/>
      </c>
      <c r="I177" s="1106">
        <v>0.25</v>
      </c>
      <c r="J177" s="67" t="e">
        <f t="shared" si="22"/>
        <v>#VALUE!</v>
      </c>
      <c r="K177" s="69" t="e">
        <f t="shared" si="23"/>
        <v>#VALUE!</v>
      </c>
      <c r="L177" s="51"/>
      <c r="M177" s="52"/>
      <c r="N177" s="940"/>
    </row>
    <row r="178" spans="2:14" s="25" customFormat="1" ht="27" customHeight="1">
      <c r="B178" s="61" t="s">
        <v>6424</v>
      </c>
      <c r="C178" s="61" t="s">
        <v>4872</v>
      </c>
      <c r="D178" s="1107">
        <v>170552</v>
      </c>
      <c r="E178" s="64" t="str">
        <f>IFERROR(UPPER(IF(C178="CPU",VLOOKUP(D178,#REF!,2,0),IF(C178="SINAPI",VLOOKUP(D178,#REF!,2,0),IF(C178="EDIF",VLOOKUP(D178,#REF!,2,0),IF(C178="CPOS",VLOOKUP(D178,#REF!,3,0),IF(C178="FDE",VLOOKUP(D178,#REF!,2,0),IF(C178="INFRA",VLOOKUP(D178,#REF!,2,0),""))))))),"")</f>
        <v/>
      </c>
      <c r="F178" s="65" t="str">
        <f>IFERROR(UPPER(IF(C178="CPU",VLOOKUP(D178,#REF!,3,0),IF(C178="SINAPI",VLOOKUP(D178,#REF!,3,0),IF(C178="EDIF",VLOOKUP(D178,#REF!,3,0),IF(C178="CPOS",VLOOKUP(D178,#REF!,4,0),IF(C178="FDE",VLOOKUP(D178,#REF!,3,0),IF(C178="INFRA",VLOOKUP(D178,#REF!,3,0),""))))))),"")</f>
        <v/>
      </c>
      <c r="G178" s="66">
        <v>15</v>
      </c>
      <c r="H178" s="67" t="str">
        <f>IFERROR(IF(C178="CPU",VLOOKUP(D178,#REF!,4,0),IF(C178="SINAPI",VLOOKUP(D178,#REF!,5,0),IF(C178="EDIF",VLOOKUP(D178,#REF!,4,0),IF(C178="CPOS",VLOOKUP(D178,#REF!,7,0),IF(C178="FDE",VLOOKUP(D178,#REF!,5,0),IF(C178="INFRA",VLOOKUP(D178,#REF!,4,0),""))))))*VLOOKUP(C178,#REF!,3,0),"")</f>
        <v/>
      </c>
      <c r="I178" s="1106">
        <v>0.25</v>
      </c>
      <c r="J178" s="67" t="e">
        <f t="shared" si="22"/>
        <v>#VALUE!</v>
      </c>
      <c r="K178" s="69" t="e">
        <f t="shared" si="23"/>
        <v>#VALUE!</v>
      </c>
      <c r="L178" s="51"/>
      <c r="M178" s="52"/>
      <c r="N178" s="940"/>
    </row>
    <row r="179" spans="2:14" s="25" customFormat="1" ht="27" customHeight="1">
      <c r="B179" s="61" t="s">
        <v>6425</v>
      </c>
      <c r="C179" s="61" t="s">
        <v>4908</v>
      </c>
      <c r="D179" s="65" t="s">
        <v>6426</v>
      </c>
      <c r="E179" s="64" t="str">
        <f>IFERROR(UPPER(IF(C179="CPU",VLOOKUP(D179,#REF!,2,0),IF(C179="SINAPI",VLOOKUP(D179,#REF!,2,0),IF(C179="EDIF",VLOOKUP(D179,#REF!,2,0),IF(C179="CPOS",VLOOKUP(D179,#REF!,3,0),IF(C179="FDE",VLOOKUP(D179,#REF!,2,0),IF(C179="INFRA",VLOOKUP(D179,#REF!,2,0),""))))))),"")</f>
        <v/>
      </c>
      <c r="F179" s="65" t="str">
        <f>IFERROR(UPPER(IF(C179="CPU",VLOOKUP(D179,#REF!,3,0),IF(C179="SINAPI",VLOOKUP(D179,#REF!,3,0),IF(C179="EDIF",VLOOKUP(D179,#REF!,3,0),IF(C179="CPOS",VLOOKUP(D179,#REF!,4,0),IF(C179="FDE",VLOOKUP(D179,#REF!,3,0),IF(C179="INFRA",VLOOKUP(D179,#REF!,3,0),""))))))),"")</f>
        <v/>
      </c>
      <c r="G179" s="66">
        <v>26</v>
      </c>
      <c r="H179" s="67" t="str">
        <f>IFERROR(IF(C179="CPU",VLOOKUP(D179,#REF!,4,0),IF(C179="SINAPI",VLOOKUP(D179,#REF!,5,0),IF(C179="EDIF",VLOOKUP(D179,#REF!,4,0),IF(C179="CPOS",VLOOKUP(D179,#REF!,7,0),IF(C179="FDE",VLOOKUP(D179,#REF!,5,0),IF(C179="INFRA",VLOOKUP(D179,#REF!,4,0),""))))))*VLOOKUP(C179,#REF!,3,0),"")</f>
        <v/>
      </c>
      <c r="I179" s="1106">
        <v>0.25</v>
      </c>
      <c r="J179" s="67" t="e">
        <f t="shared" si="22"/>
        <v>#VALUE!</v>
      </c>
      <c r="K179" s="69" t="e">
        <f t="shared" si="23"/>
        <v>#VALUE!</v>
      </c>
      <c r="L179" s="51"/>
      <c r="M179" s="52"/>
      <c r="N179" s="940"/>
    </row>
    <row r="180" spans="2:14" s="25" customFormat="1" ht="27" customHeight="1">
      <c r="B180" s="61" t="s">
        <v>6427</v>
      </c>
      <c r="C180" s="61" t="s">
        <v>4908</v>
      </c>
      <c r="D180" s="65" t="s">
        <v>6428</v>
      </c>
      <c r="E180" s="64" t="str">
        <f>IFERROR(UPPER(IF(C180="CPU",VLOOKUP(D180,#REF!,2,0),IF(C180="SINAPI",VLOOKUP(D180,#REF!,2,0),IF(C180="EDIF",VLOOKUP(D180,#REF!,2,0),IF(C180="CPOS",VLOOKUP(D180,#REF!,3,0),IF(C180="FDE",VLOOKUP(D180,#REF!,2,0),IF(C180="INFRA",VLOOKUP(D180,#REF!,2,0),""))))))),"")</f>
        <v/>
      </c>
      <c r="F180" s="65" t="str">
        <f>IFERROR(UPPER(IF(C180="CPU",VLOOKUP(D180,#REF!,3,0),IF(C180="SINAPI",VLOOKUP(D180,#REF!,3,0),IF(C180="EDIF",VLOOKUP(D180,#REF!,3,0),IF(C180="CPOS",VLOOKUP(D180,#REF!,4,0),IF(C180="FDE",VLOOKUP(D180,#REF!,3,0),IF(C180="INFRA",VLOOKUP(D180,#REF!,3,0),""))))))),"")</f>
        <v/>
      </c>
      <c r="G180" s="66">
        <v>6</v>
      </c>
      <c r="H180" s="67" t="str">
        <f>IFERROR(IF(C180="CPU",VLOOKUP(D180,#REF!,4,0),IF(C180="SINAPI",VLOOKUP(D180,#REF!,5,0),IF(C180="EDIF",VLOOKUP(D180,#REF!,4,0),IF(C180="CPOS",VLOOKUP(D180,#REF!,7,0),IF(C180="FDE",VLOOKUP(D180,#REF!,5,0),IF(C180="INFRA",VLOOKUP(D180,#REF!,4,0),""))))))*VLOOKUP(C180,#REF!,3,0),"")</f>
        <v/>
      </c>
      <c r="I180" s="1106">
        <v>0.25</v>
      </c>
      <c r="J180" s="67" t="e">
        <f t="shared" si="22"/>
        <v>#VALUE!</v>
      </c>
      <c r="K180" s="69" t="e">
        <f t="shared" si="23"/>
        <v>#VALUE!</v>
      </c>
      <c r="L180" s="51"/>
      <c r="M180" s="52"/>
      <c r="N180" s="940"/>
    </row>
    <row r="181" spans="2:14" s="25" customFormat="1" ht="27" customHeight="1">
      <c r="B181" s="61" t="s">
        <v>6429</v>
      </c>
      <c r="C181" s="61" t="s">
        <v>4872</v>
      </c>
      <c r="D181" s="94">
        <v>101413</v>
      </c>
      <c r="E181" s="64" t="str">
        <f>IFERROR(UPPER(IF(C181="CPU",VLOOKUP(D181,#REF!,2,0),IF(C181="SINAPI",VLOOKUP(D181,#REF!,2,0),IF(C181="EDIF",VLOOKUP(D181,#REF!,2,0),IF(C181="CPOS",VLOOKUP(D181,#REF!,3,0),IF(C181="FDE",VLOOKUP(D181,#REF!,2,0),IF(C181="INFRA",VLOOKUP(D181,#REF!,2,0),""))))))),"")</f>
        <v/>
      </c>
      <c r="F181" s="65" t="str">
        <f>IFERROR(UPPER(IF(C181="CPU",VLOOKUP(D181,#REF!,3,0),IF(C181="SINAPI",VLOOKUP(D181,#REF!,3,0),IF(C181="EDIF",VLOOKUP(D181,#REF!,3,0),IF(C181="CPOS",VLOOKUP(D181,#REF!,4,0),IF(C181="FDE",VLOOKUP(D181,#REF!,3,0),IF(C181="INFRA",VLOOKUP(D181,#REF!,3,0),""))))))),"")</f>
        <v/>
      </c>
      <c r="G181" s="66">
        <v>9</v>
      </c>
      <c r="H181" s="67" t="str">
        <f>IFERROR(IF(C181="CPU",VLOOKUP(D181,#REF!,4,0),IF(C181="SINAPI",VLOOKUP(D181,#REF!,5,0),IF(C181="EDIF",VLOOKUP(D181,#REF!,4,0),IF(C181="CPOS",VLOOKUP(D181,#REF!,7,0),IF(C181="FDE",VLOOKUP(D181,#REF!,5,0),IF(C181="INFRA",VLOOKUP(D181,#REF!,4,0),""))))))*VLOOKUP(C181,#REF!,3,0),"")</f>
        <v/>
      </c>
      <c r="I181" s="1106">
        <v>0.25</v>
      </c>
      <c r="J181" s="67" t="e">
        <f t="shared" si="22"/>
        <v>#VALUE!</v>
      </c>
      <c r="K181" s="69" t="e">
        <f t="shared" si="23"/>
        <v>#VALUE!</v>
      </c>
      <c r="L181" s="51"/>
      <c r="M181" s="52"/>
      <c r="N181" s="940"/>
    </row>
    <row r="182" spans="2:14" s="25" customFormat="1" ht="27" customHeight="1">
      <c r="B182" s="61" t="s">
        <v>6430</v>
      </c>
      <c r="C182" s="61" t="str">
        <f>$C$180</f>
        <v>SINAPI</v>
      </c>
      <c r="D182" s="94" t="s">
        <v>6431</v>
      </c>
      <c r="E182" s="64" t="str">
        <f>IFERROR(UPPER(IF(C182="CPU",VLOOKUP(D182,#REF!,2,0),IF(C182="SINAPI",VLOOKUP(D182,#REF!,2,0),IF(C182="EDIF",VLOOKUP(D182,#REF!,2,0),IF(C182="CPOS",VLOOKUP(D182,#REF!,3,0),IF(C182="FDE",VLOOKUP(D182,#REF!,2,0),IF(C182="INFRA",VLOOKUP(D182,#REF!,2,0),""))))))),"")</f>
        <v/>
      </c>
      <c r="F182" s="65" t="str">
        <f>IFERROR(UPPER(IF(C182="CPU",VLOOKUP(D182,#REF!,3,0),IF(C182="SINAPI",VLOOKUP(D182,#REF!,3,0),IF(C182="EDIF",VLOOKUP(D182,#REF!,3,0),IF(C182="CPOS",VLOOKUP(D182,#REF!,4,0),IF(C182="FDE",VLOOKUP(D182,#REF!,3,0),IF(C182="INFRA",VLOOKUP(D182,#REF!,3,0),""))))))),"")</f>
        <v/>
      </c>
      <c r="G182" s="66">
        <v>0</v>
      </c>
      <c r="H182" s="67" t="str">
        <f>IFERROR(IF(C182="CPU",VLOOKUP(D182,#REF!,4,0),IF(C182="SINAPI",VLOOKUP(D182,#REF!,5,0),IF(C182="EDIF",VLOOKUP(D182,#REF!,4,0),IF(C182="CPOS",VLOOKUP(D182,#REF!,7,0),IF(C182="FDE",VLOOKUP(D182,#REF!,5,0),IF(C182="INFRA",VLOOKUP(D182,#REF!,4,0),""))))))*VLOOKUP(C182,#REF!,3,0),"")</f>
        <v/>
      </c>
      <c r="I182" s="1106">
        <v>0.25</v>
      </c>
      <c r="J182" s="67" t="e">
        <f t="shared" si="22"/>
        <v>#VALUE!</v>
      </c>
      <c r="K182" s="69" t="e">
        <f t="shared" si="23"/>
        <v>#VALUE!</v>
      </c>
      <c r="L182" s="51"/>
      <c r="M182" s="52"/>
      <c r="N182" s="940"/>
    </row>
    <row r="183" spans="2:14" s="25" customFormat="1" ht="27" customHeight="1">
      <c r="B183" s="61" t="s">
        <v>6432</v>
      </c>
      <c r="C183" s="61" t="s">
        <v>4872</v>
      </c>
      <c r="D183" s="65">
        <v>100623</v>
      </c>
      <c r="E183" s="64" t="str">
        <f>IFERROR(UPPER(IF(C183="CPU",VLOOKUP(D183,#REF!,2,0),IF(C183="SINAPI",VLOOKUP(D183,#REF!,2,0),IF(C183="EDIF",VLOOKUP(D183,#REF!,2,0),IF(C183="CPOS",VLOOKUP(D183,#REF!,3,0),IF(C183="FDE",VLOOKUP(D183,#REF!,2,0),IF(C183="INFRA",VLOOKUP(D183,#REF!,2,0),""))))))),"")</f>
        <v/>
      </c>
      <c r="F183" s="65" t="str">
        <f>IFERROR(UPPER(IF(C183="CPU",VLOOKUP(D183,#REF!,3,0),IF(C183="SINAPI",VLOOKUP(D183,#REF!,3,0),IF(C183="EDIF",VLOOKUP(D183,#REF!,3,0),IF(C183="CPOS",VLOOKUP(D183,#REF!,4,0),IF(C183="FDE",VLOOKUP(D183,#REF!,3,0),IF(C183="INFRA",VLOOKUP(D183,#REF!,3,0),""))))))),"")</f>
        <v/>
      </c>
      <c r="G183" s="66">
        <v>68</v>
      </c>
      <c r="H183" s="67" t="str">
        <f>IFERROR(IF(C183="CPU",VLOOKUP(D183,#REF!,4,0),IF(C183="SINAPI",VLOOKUP(D183,#REF!,5,0),IF(C183="EDIF",VLOOKUP(D183,#REF!,4,0),IF(C183="CPOS",VLOOKUP(D183,#REF!,7,0),IF(C183="FDE",VLOOKUP(D183,#REF!,5,0),IF(C183="INFRA",VLOOKUP(D183,#REF!,4,0),""))))))*VLOOKUP(C183,#REF!,3,0),"")</f>
        <v/>
      </c>
      <c r="I183" s="1106">
        <v>0.25</v>
      </c>
      <c r="J183" s="67" t="e">
        <f t="shared" si="22"/>
        <v>#VALUE!</v>
      </c>
      <c r="K183" s="69" t="e">
        <f t="shared" si="23"/>
        <v>#VALUE!</v>
      </c>
      <c r="L183" s="51"/>
      <c r="M183" s="52"/>
      <c r="N183" s="940"/>
    </row>
    <row r="184" spans="2:14" s="25" customFormat="1" ht="27" customHeight="1">
      <c r="B184" s="61" t="s">
        <v>6432</v>
      </c>
      <c r="C184" s="61" t="s">
        <v>4872</v>
      </c>
      <c r="D184" s="65">
        <v>100621</v>
      </c>
      <c r="E184" s="64" t="str">
        <f>IFERROR(UPPER(IF(C184="CPU",VLOOKUP(D184,#REF!,2,0),IF(C184="SINAPI",VLOOKUP(D184,#REF!,2,0),IF(C184="EDIF",VLOOKUP(D184,#REF!,2,0),IF(C184="CPOS",VLOOKUP(D184,#REF!,3,0),IF(C184="FDE",VLOOKUP(D184,#REF!,2,0),IF(C184="INFRA",VLOOKUP(D184,#REF!,2,0),""))))))),"")</f>
        <v/>
      </c>
      <c r="F184" s="65" t="str">
        <f>IFERROR(UPPER(IF(C184="CPU",VLOOKUP(D184,#REF!,3,0),IF(C184="SINAPI",VLOOKUP(D184,#REF!,3,0),IF(C184="EDIF",VLOOKUP(D184,#REF!,3,0),IF(C184="CPOS",VLOOKUP(D184,#REF!,4,0),IF(C184="FDE",VLOOKUP(D184,#REF!,3,0),IF(C184="INFRA",VLOOKUP(D184,#REF!,3,0),""))))))),"")</f>
        <v/>
      </c>
      <c r="G184" s="66">
        <v>37</v>
      </c>
      <c r="H184" s="67" t="str">
        <f>IFERROR(IF(C184="CPU",VLOOKUP(D184,#REF!,4,0),IF(C184="SINAPI",VLOOKUP(D184,#REF!,5,0),IF(C184="EDIF",VLOOKUP(D184,#REF!,4,0),IF(C184="CPOS",VLOOKUP(D184,#REF!,7,0),IF(C184="FDE",VLOOKUP(D184,#REF!,5,0),IF(C184="INFRA",VLOOKUP(D184,#REF!,4,0),""))))))*VLOOKUP(C184,#REF!,3,0),"")</f>
        <v/>
      </c>
      <c r="I184" s="1106">
        <v>0.25</v>
      </c>
      <c r="J184" s="67" t="e">
        <f t="shared" si="22"/>
        <v>#VALUE!</v>
      </c>
      <c r="K184" s="69" t="e">
        <f t="shared" si="23"/>
        <v>#VALUE!</v>
      </c>
      <c r="L184" s="51"/>
      <c r="M184" s="52"/>
      <c r="N184" s="940"/>
    </row>
    <row r="185" spans="2:14" s="25" customFormat="1" ht="27" customHeight="1">
      <c r="B185" s="61" t="s">
        <v>6432</v>
      </c>
      <c r="C185" s="61" t="s">
        <v>4872</v>
      </c>
      <c r="D185" s="65">
        <v>100467</v>
      </c>
      <c r="E185" s="64" t="str">
        <f>IFERROR(UPPER(IF(C185="CPU",VLOOKUP(D185,#REF!,2,0),IF(C185="SINAPI",VLOOKUP(D185,#REF!,2,0),IF(C185="EDIF",VLOOKUP(D185,#REF!,2,0),IF(C185="CPOS",VLOOKUP(D185,#REF!,3,0),IF(C185="FDE",VLOOKUP(D185,#REF!,2,0),IF(C185="INFRA",VLOOKUP(D185,#REF!,2,0),""))))))),"")</f>
        <v/>
      </c>
      <c r="F185" s="65" t="str">
        <f>IFERROR(UPPER(IF(C185="CPU",VLOOKUP(D185,#REF!,3,0),IF(C185="SINAPI",VLOOKUP(D185,#REF!,3,0),IF(C185="EDIF",VLOOKUP(D185,#REF!,3,0),IF(C185="CPOS",VLOOKUP(D185,#REF!,4,0),IF(C185="FDE",VLOOKUP(D185,#REF!,3,0),IF(C185="INFRA",VLOOKUP(D185,#REF!,3,0),""))))))),"")</f>
        <v/>
      </c>
      <c r="G185" s="66">
        <v>92</v>
      </c>
      <c r="H185" s="67" t="str">
        <f>IFERROR(IF(C185="CPU",VLOOKUP(D185,#REF!,4,0),IF(C185="SINAPI",VLOOKUP(D185,#REF!,5,0),IF(C185="EDIF",VLOOKUP(D185,#REF!,4,0),IF(C185="CPOS",VLOOKUP(D185,#REF!,7,0),IF(C185="FDE",VLOOKUP(D185,#REF!,5,0),IF(C185="INFRA",VLOOKUP(D185,#REF!,4,0),""))))))*VLOOKUP(C185,#REF!,3,0),"")</f>
        <v/>
      </c>
      <c r="I185" s="1106">
        <v>0.25</v>
      </c>
      <c r="J185" s="67" t="e">
        <f t="shared" si="22"/>
        <v>#VALUE!</v>
      </c>
      <c r="K185" s="69" t="e">
        <f t="shared" si="23"/>
        <v>#VALUE!</v>
      </c>
      <c r="L185" s="51"/>
      <c r="M185" s="52"/>
      <c r="N185" s="940"/>
    </row>
    <row r="186" spans="2:14" s="25" customFormat="1" ht="27" customHeight="1">
      <c r="B186" s="61" t="s">
        <v>6432</v>
      </c>
      <c r="C186" s="61" t="s">
        <v>4872</v>
      </c>
      <c r="D186" s="65">
        <v>100466</v>
      </c>
      <c r="E186" s="64" t="str">
        <f>IFERROR(UPPER(IF(C186="CPU",VLOOKUP(D186,#REF!,2,0),IF(C186="SINAPI",VLOOKUP(D186,#REF!,2,0),IF(C186="EDIF",VLOOKUP(D186,#REF!,2,0),IF(C186="CPOS",VLOOKUP(D186,#REF!,3,0),IF(C186="FDE",VLOOKUP(D186,#REF!,2,0),IF(C186="INFRA",VLOOKUP(D186,#REF!,2,0),""))))))),"")</f>
        <v/>
      </c>
      <c r="F186" s="65" t="str">
        <f>IFERROR(UPPER(IF(C186="CPU",VLOOKUP(D186,#REF!,3,0),IF(C186="SINAPI",VLOOKUP(D186,#REF!,3,0),IF(C186="EDIF",VLOOKUP(D186,#REF!,3,0),IF(C186="CPOS",VLOOKUP(D186,#REF!,4,0),IF(C186="FDE",VLOOKUP(D186,#REF!,3,0),IF(C186="INFRA",VLOOKUP(D186,#REF!,3,0),""))))))),"")</f>
        <v/>
      </c>
      <c r="G186" s="66">
        <v>30</v>
      </c>
      <c r="H186" s="67" t="str">
        <f>IFERROR(IF(C186="CPU",VLOOKUP(D186,#REF!,4,0),IF(C186="SINAPI",VLOOKUP(D186,#REF!,5,0),IF(C186="EDIF",VLOOKUP(D186,#REF!,4,0),IF(C186="CPOS",VLOOKUP(D186,#REF!,7,0),IF(C186="FDE",VLOOKUP(D186,#REF!,5,0),IF(C186="INFRA",VLOOKUP(D186,#REF!,4,0),""))))))*VLOOKUP(C186,#REF!,3,0),"")</f>
        <v/>
      </c>
      <c r="I186" s="1106">
        <v>0.25</v>
      </c>
      <c r="J186" s="67" t="e">
        <f t="shared" si="22"/>
        <v>#VALUE!</v>
      </c>
      <c r="K186" s="69" t="e">
        <f t="shared" si="23"/>
        <v>#VALUE!</v>
      </c>
      <c r="L186" s="51"/>
      <c r="M186" s="52"/>
      <c r="N186" s="940"/>
    </row>
    <row r="187" spans="2:14" s="25" customFormat="1" ht="27" customHeight="1">
      <c r="B187" s="61" t="s">
        <v>6432</v>
      </c>
      <c r="C187" s="61" t="s">
        <v>4872</v>
      </c>
      <c r="D187" s="65">
        <v>100465</v>
      </c>
      <c r="E187" s="64" t="str">
        <f>IFERROR(UPPER(IF(C187="CPU",VLOOKUP(D187,#REF!,2,0),IF(C187="SINAPI",VLOOKUP(D187,#REF!,2,0),IF(C187="EDIF",VLOOKUP(D187,#REF!,2,0),IF(C187="CPOS",VLOOKUP(D187,#REF!,3,0),IF(C187="FDE",VLOOKUP(D187,#REF!,2,0),IF(C187="INFRA",VLOOKUP(D187,#REF!,2,0),""))))))),"")</f>
        <v/>
      </c>
      <c r="F187" s="65" t="str">
        <f>IFERROR(UPPER(IF(C187="CPU",VLOOKUP(D187,#REF!,3,0),IF(C187="SINAPI",VLOOKUP(D187,#REF!,3,0),IF(C187="EDIF",VLOOKUP(D187,#REF!,3,0),IF(C187="CPOS",VLOOKUP(D187,#REF!,4,0),IF(C187="FDE",VLOOKUP(D187,#REF!,3,0),IF(C187="INFRA",VLOOKUP(D187,#REF!,3,0),""))))))),"")</f>
        <v/>
      </c>
      <c r="G187" s="66">
        <v>72</v>
      </c>
      <c r="H187" s="67" t="str">
        <f>IFERROR(IF(C187="CPU",VLOOKUP(D187,#REF!,4,0),IF(C187="SINAPI",VLOOKUP(D187,#REF!,5,0),IF(C187="EDIF",VLOOKUP(D187,#REF!,4,0),IF(C187="CPOS",VLOOKUP(D187,#REF!,7,0),IF(C187="FDE",VLOOKUP(D187,#REF!,5,0),IF(C187="INFRA",VLOOKUP(D187,#REF!,4,0),""))))))*VLOOKUP(C187,#REF!,3,0),"")</f>
        <v/>
      </c>
      <c r="I187" s="1106">
        <v>0.25</v>
      </c>
      <c r="J187" s="67" t="e">
        <f t="shared" si="22"/>
        <v>#VALUE!</v>
      </c>
      <c r="K187" s="69" t="e">
        <f t="shared" si="23"/>
        <v>#VALUE!</v>
      </c>
      <c r="L187" s="51"/>
      <c r="M187" s="52"/>
      <c r="N187" s="940"/>
    </row>
    <row r="188" spans="2:14" s="25" customFormat="1" ht="27" customHeight="1">
      <c r="B188" s="61" t="s">
        <v>6432</v>
      </c>
      <c r="C188" s="61" t="s">
        <v>4872</v>
      </c>
      <c r="D188" s="65">
        <v>100464</v>
      </c>
      <c r="E188" s="64" t="str">
        <f>IFERROR(UPPER(IF(C188="CPU",VLOOKUP(D188,#REF!,2,0),IF(C188="SINAPI",VLOOKUP(D188,#REF!,2,0),IF(C188="EDIF",VLOOKUP(D188,#REF!,2,0),IF(C188="CPOS",VLOOKUP(D188,#REF!,3,0),IF(C188="FDE",VLOOKUP(D188,#REF!,2,0),IF(C188="INFRA",VLOOKUP(D188,#REF!,2,0),""))))))),"")</f>
        <v/>
      </c>
      <c r="F188" s="65" t="str">
        <f>IFERROR(UPPER(IF(C188="CPU",VLOOKUP(D188,#REF!,3,0),IF(C188="SINAPI",VLOOKUP(D188,#REF!,3,0),IF(C188="EDIF",VLOOKUP(D188,#REF!,3,0),IF(C188="CPOS",VLOOKUP(D188,#REF!,4,0),IF(C188="FDE",VLOOKUP(D188,#REF!,3,0),IF(C188="INFRA",VLOOKUP(D188,#REF!,3,0),""))))))),"")</f>
        <v/>
      </c>
      <c r="G188" s="66">
        <v>12</v>
      </c>
      <c r="H188" s="67" t="str">
        <f>IFERROR(IF(C188="CPU",VLOOKUP(D188,#REF!,4,0),IF(C188="SINAPI",VLOOKUP(D188,#REF!,5,0),IF(C188="EDIF",VLOOKUP(D188,#REF!,4,0),IF(C188="CPOS",VLOOKUP(D188,#REF!,7,0),IF(C188="FDE",VLOOKUP(D188,#REF!,5,0),IF(C188="INFRA",VLOOKUP(D188,#REF!,4,0),""))))))*VLOOKUP(C188,#REF!,3,0),"")</f>
        <v/>
      </c>
      <c r="I188" s="1106">
        <v>0.25</v>
      </c>
      <c r="J188" s="67" t="e">
        <f t="shared" si="22"/>
        <v>#VALUE!</v>
      </c>
      <c r="K188" s="69" t="e">
        <f t="shared" si="23"/>
        <v>#VALUE!</v>
      </c>
      <c r="L188" s="51"/>
      <c r="M188" s="52"/>
      <c r="N188" s="940"/>
    </row>
    <row r="189" spans="2:14" s="25" customFormat="1" ht="27" customHeight="1">
      <c r="B189" s="61" t="s">
        <v>6432</v>
      </c>
      <c r="C189" s="61" t="s">
        <v>4872</v>
      </c>
      <c r="D189" s="65">
        <v>100463</v>
      </c>
      <c r="E189" s="64" t="str">
        <f>IFERROR(UPPER(IF(C189="CPU",VLOOKUP(D189,#REF!,2,0),IF(C189="SINAPI",VLOOKUP(D189,#REF!,2,0),IF(C189="EDIF",VLOOKUP(D189,#REF!,2,0),IF(C189="CPOS",VLOOKUP(D189,#REF!,3,0),IF(C189="FDE",VLOOKUP(D189,#REF!,2,0),IF(C189="INFRA",VLOOKUP(D189,#REF!,2,0),""))))))),"")</f>
        <v/>
      </c>
      <c r="F189" s="65" t="str">
        <f>IFERROR(UPPER(IF(C189="CPU",VLOOKUP(D189,#REF!,3,0),IF(C189="SINAPI",VLOOKUP(D189,#REF!,3,0),IF(C189="EDIF",VLOOKUP(D189,#REF!,3,0),IF(C189="CPOS",VLOOKUP(D189,#REF!,4,0),IF(C189="FDE",VLOOKUP(D189,#REF!,3,0),IF(C189="INFRA",VLOOKUP(D189,#REF!,3,0),""))))))),"")</f>
        <v/>
      </c>
      <c r="G189" s="66">
        <v>81</v>
      </c>
      <c r="H189" s="67" t="str">
        <f>IFERROR(IF(C189="CPU",VLOOKUP(D189,#REF!,4,0),IF(C189="SINAPI",VLOOKUP(D189,#REF!,5,0),IF(C189="EDIF",VLOOKUP(D189,#REF!,4,0),IF(C189="CPOS",VLOOKUP(D189,#REF!,7,0),IF(C189="FDE",VLOOKUP(D189,#REF!,5,0),IF(C189="INFRA",VLOOKUP(D189,#REF!,4,0),""))))))*VLOOKUP(C189,#REF!,3,0),"")</f>
        <v/>
      </c>
      <c r="I189" s="1106">
        <v>0.25</v>
      </c>
      <c r="J189" s="67" t="e">
        <f t="shared" si="22"/>
        <v>#VALUE!</v>
      </c>
      <c r="K189" s="69" t="e">
        <f t="shared" si="23"/>
        <v>#VALUE!</v>
      </c>
      <c r="L189" s="51"/>
      <c r="M189" s="52"/>
      <c r="N189" s="940"/>
    </row>
    <row r="190" spans="2:14" s="25" customFormat="1" ht="27" customHeight="1">
      <c r="B190" s="61" t="s">
        <v>6432</v>
      </c>
      <c r="C190" s="61" t="s">
        <v>4872</v>
      </c>
      <c r="D190" s="65">
        <v>100462</v>
      </c>
      <c r="E190" s="64" t="str">
        <f>IFERROR(UPPER(IF(C190="CPU",VLOOKUP(D190,#REF!,2,0),IF(C190="SINAPI",VLOOKUP(D190,#REF!,2,0),IF(C190="EDIF",VLOOKUP(D190,#REF!,2,0),IF(C190="CPOS",VLOOKUP(D190,#REF!,3,0),IF(C190="FDE",VLOOKUP(D190,#REF!,2,0),IF(C190="INFRA",VLOOKUP(D190,#REF!,2,0),""))))))),"")</f>
        <v/>
      </c>
      <c r="F190" s="65" t="str">
        <f>IFERROR(UPPER(IF(C190="CPU",VLOOKUP(D190,#REF!,3,0),IF(C190="SINAPI",VLOOKUP(D190,#REF!,3,0),IF(C190="EDIF",VLOOKUP(D190,#REF!,3,0),IF(C190="CPOS",VLOOKUP(D190,#REF!,4,0),IF(C190="FDE",VLOOKUP(D190,#REF!,3,0),IF(C190="INFRA",VLOOKUP(D190,#REF!,3,0),""))))))),"")</f>
        <v/>
      </c>
      <c r="G190" s="66">
        <v>132</v>
      </c>
      <c r="H190" s="67" t="str">
        <f>IFERROR(IF(C190="CPU",VLOOKUP(D190,#REF!,4,0),IF(C190="SINAPI",VLOOKUP(D190,#REF!,5,0),IF(C190="EDIF",VLOOKUP(D190,#REF!,4,0),IF(C190="CPOS",VLOOKUP(D190,#REF!,7,0),IF(C190="FDE",VLOOKUP(D190,#REF!,5,0),IF(C190="INFRA",VLOOKUP(D190,#REF!,4,0),""))))))*VLOOKUP(C190,#REF!,3,0),"")</f>
        <v/>
      </c>
      <c r="I190" s="1106">
        <v>0.25</v>
      </c>
      <c r="J190" s="67" t="e">
        <f t="shared" si="22"/>
        <v>#VALUE!</v>
      </c>
      <c r="K190" s="69" t="e">
        <f t="shared" si="23"/>
        <v>#VALUE!</v>
      </c>
      <c r="L190" s="51"/>
      <c r="M190" s="52"/>
      <c r="N190" s="940"/>
    </row>
    <row r="191" spans="2:14" s="25" customFormat="1" ht="27" customHeight="1">
      <c r="B191" s="61" t="s">
        <v>6432</v>
      </c>
      <c r="C191" s="61" t="s">
        <v>4872</v>
      </c>
      <c r="D191" s="65">
        <v>100408</v>
      </c>
      <c r="E191" s="64" t="str">
        <f>IFERROR(UPPER(IF(C191="CPU",VLOOKUP(D191,#REF!,2,0),IF(C191="SINAPI",VLOOKUP(D191,#REF!,2,0),IF(C191="EDIF",VLOOKUP(D191,#REF!,2,0),IF(C191="CPOS",VLOOKUP(D191,#REF!,3,0),IF(C191="FDE",VLOOKUP(D191,#REF!,2,0),IF(C191="INFRA",VLOOKUP(D191,#REF!,2,0),""))))))),"")</f>
        <v/>
      </c>
      <c r="F191" s="65" t="str">
        <f>IFERROR(UPPER(IF(C191="CPU",VLOOKUP(D191,#REF!,3,0),IF(C191="SINAPI",VLOOKUP(D191,#REF!,3,0),IF(C191="EDIF",VLOOKUP(D191,#REF!,3,0),IF(C191="CPOS",VLOOKUP(D191,#REF!,4,0),IF(C191="FDE",VLOOKUP(D191,#REF!,3,0),IF(C191="INFRA",VLOOKUP(D191,#REF!,3,0),""))))))),"")</f>
        <v/>
      </c>
      <c r="G191" s="66">
        <v>34</v>
      </c>
      <c r="H191" s="67" t="str">
        <f>IFERROR(IF(C191="CPU",VLOOKUP(D191,#REF!,4,0),IF(C191="SINAPI",VLOOKUP(D191,#REF!,5,0),IF(C191="EDIF",VLOOKUP(D191,#REF!,4,0),IF(C191="CPOS",VLOOKUP(D191,#REF!,7,0),IF(C191="FDE",VLOOKUP(D191,#REF!,5,0),IF(C191="INFRA",VLOOKUP(D191,#REF!,4,0),""))))))*VLOOKUP(C191,#REF!,3,0),"")</f>
        <v/>
      </c>
      <c r="I191" s="1106">
        <v>0.25</v>
      </c>
      <c r="J191" s="67" t="e">
        <f t="shared" si="22"/>
        <v>#VALUE!</v>
      </c>
      <c r="K191" s="69" t="e">
        <f t="shared" si="23"/>
        <v>#VALUE!</v>
      </c>
      <c r="L191" s="51"/>
      <c r="M191" s="52"/>
      <c r="N191" s="940"/>
    </row>
    <row r="192" spans="2:14" s="25" customFormat="1" ht="27" customHeight="1">
      <c r="B192" s="61" t="s">
        <v>6432</v>
      </c>
      <c r="C192" s="61" t="s">
        <v>4872</v>
      </c>
      <c r="D192" s="65">
        <v>100254</v>
      </c>
      <c r="E192" s="64" t="str">
        <f>IFERROR(UPPER(IF(C192="CPU",VLOOKUP(D192,#REF!,2,0),IF(C192="SINAPI",VLOOKUP(D192,#REF!,2,0),IF(C192="EDIF",VLOOKUP(D192,#REF!,2,0),IF(C192="CPOS",VLOOKUP(D192,#REF!,3,0),IF(C192="FDE",VLOOKUP(D192,#REF!,2,0),IF(C192="INFRA",VLOOKUP(D192,#REF!,2,0),""))))))),"")</f>
        <v/>
      </c>
      <c r="F192" s="65" t="str">
        <f>IFERROR(UPPER(IF(C192="CPU",VLOOKUP(D192,#REF!,3,0),IF(C192="SINAPI",VLOOKUP(D192,#REF!,3,0),IF(C192="EDIF",VLOOKUP(D192,#REF!,3,0),IF(C192="CPOS",VLOOKUP(D192,#REF!,4,0),IF(C192="FDE",VLOOKUP(D192,#REF!,3,0),IF(C192="INFRA",VLOOKUP(D192,#REF!,3,0),""))))))),"")</f>
        <v/>
      </c>
      <c r="G192" s="66">
        <v>37</v>
      </c>
      <c r="H192" s="67" t="str">
        <f>IFERROR(IF(C192="CPU",VLOOKUP(D192,#REF!,4,0),IF(C192="SINAPI",VLOOKUP(D192,#REF!,5,0),IF(C192="EDIF",VLOOKUP(D192,#REF!,4,0),IF(C192="CPOS",VLOOKUP(D192,#REF!,7,0),IF(C192="FDE",VLOOKUP(D192,#REF!,5,0),IF(C192="INFRA",VLOOKUP(D192,#REF!,4,0),""))))))*VLOOKUP(C192,#REF!,3,0),"")</f>
        <v/>
      </c>
      <c r="I192" s="1106">
        <v>0.25</v>
      </c>
      <c r="J192" s="67" t="e">
        <f t="shared" si="22"/>
        <v>#VALUE!</v>
      </c>
      <c r="K192" s="69" t="e">
        <f t="shared" si="23"/>
        <v>#VALUE!</v>
      </c>
      <c r="L192" s="51"/>
      <c r="M192" s="52"/>
      <c r="N192" s="940"/>
    </row>
    <row r="193" spans="2:14" s="25" customFormat="1" ht="27" customHeight="1">
      <c r="B193" s="61" t="s">
        <v>6433</v>
      </c>
      <c r="C193" s="61" t="s">
        <v>4872</v>
      </c>
      <c r="D193" s="65">
        <v>100404</v>
      </c>
      <c r="E193" s="64" t="str">
        <f>IFERROR(UPPER(IF(C193="CPU",VLOOKUP(D193,#REF!,2,0),IF(C193="SINAPI",VLOOKUP(D193,#REF!,2,0),IF(C193="EDIF",VLOOKUP(D193,#REF!,2,0),IF(C193="CPOS",VLOOKUP(D193,#REF!,3,0),IF(C193="FDE",VLOOKUP(D193,#REF!,2,0),IF(C193="INFRA",VLOOKUP(D193,#REF!,2,0),""))))))),"")</f>
        <v/>
      </c>
      <c r="F193" s="65" t="str">
        <f>IFERROR(UPPER(IF(C193="CPU",VLOOKUP(D193,#REF!,3,0),IF(C193="SINAPI",VLOOKUP(D193,#REF!,3,0),IF(C193="EDIF",VLOOKUP(D193,#REF!,3,0),IF(C193="CPOS",VLOOKUP(D193,#REF!,4,0),IF(C193="FDE",VLOOKUP(D193,#REF!,3,0),IF(C193="INFRA",VLOOKUP(D193,#REF!,3,0),""))))))),"")</f>
        <v/>
      </c>
      <c r="G193" s="66">
        <v>18</v>
      </c>
      <c r="H193" s="67" t="str">
        <f>IFERROR(IF(C193="CPU",VLOOKUP(D193,#REF!,4,0),IF(C193="SINAPI",VLOOKUP(D193,#REF!,5,0),IF(C193="EDIF",VLOOKUP(D193,#REF!,4,0),IF(C193="CPOS",VLOOKUP(D193,#REF!,7,0),IF(C193="FDE",VLOOKUP(D193,#REF!,5,0),IF(C193="INFRA",VLOOKUP(D193,#REF!,4,0),""))))))*VLOOKUP(C193,#REF!,3,0),"")</f>
        <v/>
      </c>
      <c r="I193" s="1106">
        <v>0.25</v>
      </c>
      <c r="J193" s="67" t="e">
        <f t="shared" si="22"/>
        <v>#VALUE!</v>
      </c>
      <c r="K193" s="69" t="e">
        <f t="shared" si="23"/>
        <v>#VALUE!</v>
      </c>
      <c r="L193" s="51"/>
      <c r="M193" s="52"/>
      <c r="N193" s="940"/>
    </row>
    <row r="194" spans="2:14" s="25" customFormat="1" ht="27" customHeight="1">
      <c r="B194" s="61" t="s">
        <v>6434</v>
      </c>
      <c r="C194" s="61" t="s">
        <v>4872</v>
      </c>
      <c r="D194" s="65">
        <v>100403</v>
      </c>
      <c r="E194" s="64" t="str">
        <f>IFERROR(UPPER(IF(C194="CPU",VLOOKUP(D194,#REF!,2,0),IF(C194="SINAPI",VLOOKUP(D194,#REF!,2,0),IF(C194="EDIF",VLOOKUP(D194,#REF!,2,0),IF(C194="CPOS",VLOOKUP(D194,#REF!,3,0),IF(C194="FDE",VLOOKUP(D194,#REF!,2,0),IF(C194="INFRA",VLOOKUP(D194,#REF!,2,0),""))))))),"")</f>
        <v/>
      </c>
      <c r="F194" s="65" t="str">
        <f>IFERROR(UPPER(IF(C194="CPU",VLOOKUP(D194,#REF!,3,0),IF(C194="SINAPI",VLOOKUP(D194,#REF!,3,0),IF(C194="EDIF",VLOOKUP(D194,#REF!,3,0),IF(C194="CPOS",VLOOKUP(D194,#REF!,4,0),IF(C194="FDE",VLOOKUP(D194,#REF!,3,0),IF(C194="INFRA",VLOOKUP(D194,#REF!,3,0),""))))))),"")</f>
        <v/>
      </c>
      <c r="G194" s="66">
        <v>5</v>
      </c>
      <c r="H194" s="67" t="str">
        <f>IFERROR(IF(C194="CPU",VLOOKUP(D194,#REF!,4,0),IF(C194="SINAPI",VLOOKUP(D194,#REF!,5,0),IF(C194="EDIF",VLOOKUP(D194,#REF!,4,0),IF(C194="CPOS",VLOOKUP(D194,#REF!,7,0),IF(C194="FDE",VLOOKUP(D194,#REF!,5,0),IF(C194="INFRA",VLOOKUP(D194,#REF!,4,0),""))))))*VLOOKUP(C194,#REF!,3,0),"")</f>
        <v/>
      </c>
      <c r="I194" s="1106">
        <v>0.25</v>
      </c>
      <c r="J194" s="67" t="e">
        <f t="shared" si="22"/>
        <v>#VALUE!</v>
      </c>
      <c r="K194" s="69" t="e">
        <f t="shared" si="23"/>
        <v>#VALUE!</v>
      </c>
      <c r="L194" s="51"/>
      <c r="M194" s="52"/>
      <c r="N194" s="940"/>
    </row>
    <row r="195" spans="2:14" s="25" customFormat="1" ht="27" customHeight="1">
      <c r="B195" s="61" t="s">
        <v>6434</v>
      </c>
      <c r="C195" s="61" t="str">
        <f>$C$180</f>
        <v>SINAPI</v>
      </c>
      <c r="D195" s="94" t="s">
        <v>6435</v>
      </c>
      <c r="E195" s="64" t="str">
        <f>IFERROR(UPPER(IF(C195="CPU",VLOOKUP(D195,#REF!,2,0),IF(C195="SINAPI",VLOOKUP(D195,#REF!,2,0),IF(C195="EDIF",VLOOKUP(D195,#REF!,2,0),IF(C195="CPOS",VLOOKUP(D195,#REF!,3,0),IF(C195="FDE",VLOOKUP(D195,#REF!,2,0),IF(C195="INFRA",VLOOKUP(D195,#REF!,2,0),""))))))),"")</f>
        <v/>
      </c>
      <c r="F195" s="65" t="str">
        <f>IFERROR(UPPER(IF(C195="CPU",VLOOKUP(D195,#REF!,3,0),IF(C195="SINAPI",VLOOKUP(D195,#REF!,3,0),IF(C195="EDIF",VLOOKUP(D195,#REF!,3,0),IF(C195="CPOS",VLOOKUP(D195,#REF!,4,0),IF(C195="FDE",VLOOKUP(D195,#REF!,3,0),IF(C195="INFRA",VLOOKUP(D195,#REF!,3,0),""))))))),"")</f>
        <v/>
      </c>
      <c r="G195" s="66">
        <v>2</v>
      </c>
      <c r="H195" s="67" t="str">
        <f>IFERROR(IF(C195="CPU",VLOOKUP(D195,#REF!,4,0),IF(C195="SINAPI",VLOOKUP(D195,#REF!,5,0),IF(C195="EDIF",VLOOKUP(D195,#REF!,4,0),IF(C195="CPOS",VLOOKUP(D195,#REF!,7,0),IF(C195="FDE",VLOOKUP(D195,#REF!,5,0),IF(C195="INFRA",VLOOKUP(D195,#REF!,4,0),""))))))*VLOOKUP(C195,#REF!,3,0),"")</f>
        <v/>
      </c>
      <c r="I195" s="1106">
        <v>0.25</v>
      </c>
      <c r="J195" s="67" t="e">
        <f t="shared" si="22"/>
        <v>#VALUE!</v>
      </c>
      <c r="K195" s="69" t="e">
        <f t="shared" si="23"/>
        <v>#VALUE!</v>
      </c>
      <c r="L195" s="51"/>
      <c r="M195" s="52"/>
      <c r="N195" s="940"/>
    </row>
    <row r="196" spans="2:14" s="25" customFormat="1" ht="27" customHeight="1">
      <c r="B196" s="61" t="s">
        <v>6436</v>
      </c>
      <c r="C196" s="61" t="s">
        <v>4872</v>
      </c>
      <c r="D196" s="94">
        <v>100498</v>
      </c>
      <c r="E196" s="64" t="str">
        <f>IFERROR(UPPER(IF(C196="CPU",VLOOKUP(D196,#REF!,2,0),IF(C196="SINAPI",VLOOKUP(D196,#REF!,2,0),IF(C196="EDIF",VLOOKUP(D196,#REF!,2,0),IF(C196="CPOS",VLOOKUP(D196,#REF!,3,0),IF(C196="FDE",VLOOKUP(D196,#REF!,2,0),IF(C196="INFRA",VLOOKUP(D196,#REF!,2,0),""))))))),"")</f>
        <v/>
      </c>
      <c r="F196" s="65" t="str">
        <f>IFERROR(UPPER(IF(C196="CPU",VLOOKUP(D196,#REF!,3,0),IF(C196="SINAPI",VLOOKUP(D196,#REF!,3,0),IF(C196="EDIF",VLOOKUP(D196,#REF!,3,0),IF(C196="CPOS",VLOOKUP(D196,#REF!,4,0),IF(C196="FDE",VLOOKUP(D196,#REF!,3,0),IF(C196="INFRA",VLOOKUP(D196,#REF!,3,0),""))))))),"")</f>
        <v/>
      </c>
      <c r="G196" s="66">
        <v>2</v>
      </c>
      <c r="H196" s="67" t="str">
        <f>IFERROR(IF(C196="CPU",VLOOKUP(D196,#REF!,4,0),IF(C196="SINAPI",VLOOKUP(D196,#REF!,5,0),IF(C196="EDIF",VLOOKUP(D196,#REF!,4,0),IF(C196="CPOS",VLOOKUP(D196,#REF!,7,0),IF(C196="FDE",VLOOKUP(D196,#REF!,5,0),IF(C196="INFRA",VLOOKUP(D196,#REF!,4,0),""))))))*VLOOKUP(C196,#REF!,3,0),"")</f>
        <v/>
      </c>
      <c r="I196" s="1106">
        <v>0.25</v>
      </c>
      <c r="J196" s="67" t="e">
        <f t="shared" si="22"/>
        <v>#VALUE!</v>
      </c>
      <c r="K196" s="69" t="e">
        <f t="shared" si="23"/>
        <v>#VALUE!</v>
      </c>
      <c r="L196" s="51"/>
      <c r="M196" s="52"/>
      <c r="N196" s="940"/>
    </row>
    <row r="197" spans="2:14" s="25" customFormat="1" ht="27" customHeight="1">
      <c r="B197" s="61" t="s">
        <v>6437</v>
      </c>
      <c r="C197" s="61" t="s">
        <v>4872</v>
      </c>
      <c r="D197" s="94">
        <v>100551</v>
      </c>
      <c r="E197" s="64" t="str">
        <f>IFERROR(UPPER(IF(C197="CPU",VLOOKUP(D197,#REF!,2,0),IF(C197="SINAPI",VLOOKUP(D197,#REF!,2,0),IF(C197="EDIF",VLOOKUP(D197,#REF!,2,0),IF(C197="CPOS",VLOOKUP(D197,#REF!,3,0),IF(C197="FDE",VLOOKUP(D197,#REF!,2,0),IF(C197="INFRA",VLOOKUP(D197,#REF!,2,0),""))))))),"")</f>
        <v/>
      </c>
      <c r="F197" s="65" t="str">
        <f>IFERROR(UPPER(IF(C197="CPU",VLOOKUP(D197,#REF!,3,0),IF(C197="SINAPI",VLOOKUP(D197,#REF!,3,0),IF(C197="EDIF",VLOOKUP(D197,#REF!,3,0),IF(C197="CPOS",VLOOKUP(D197,#REF!,4,0),IF(C197="FDE",VLOOKUP(D197,#REF!,3,0),IF(C197="INFRA",VLOOKUP(D197,#REF!,3,0),""))))))),"")</f>
        <v/>
      </c>
      <c r="G197" s="66">
        <v>5</v>
      </c>
      <c r="H197" s="67" t="str">
        <f>IFERROR(IF(C197="CPU",VLOOKUP(D197,#REF!,4,0),IF(C197="SINAPI",VLOOKUP(D197,#REF!,5,0),IF(C197="EDIF",VLOOKUP(D197,#REF!,4,0),IF(C197="CPOS",VLOOKUP(D197,#REF!,7,0),IF(C197="FDE",VLOOKUP(D197,#REF!,5,0),IF(C197="INFRA",VLOOKUP(D197,#REF!,4,0),""))))))*VLOOKUP(C197,#REF!,3,0),"")</f>
        <v/>
      </c>
      <c r="I197" s="1106">
        <v>0.25</v>
      </c>
      <c r="J197" s="67" t="e">
        <f t="shared" si="22"/>
        <v>#VALUE!</v>
      </c>
      <c r="K197" s="69" t="e">
        <f t="shared" si="23"/>
        <v>#VALUE!</v>
      </c>
      <c r="L197" s="51"/>
      <c r="M197" s="52"/>
      <c r="N197" s="940"/>
    </row>
    <row r="198" spans="2:14" s="25" customFormat="1" ht="27" customHeight="1">
      <c r="B198" s="1097" t="s">
        <v>839</v>
      </c>
      <c r="C198" s="1098"/>
      <c r="D198" s="1098"/>
      <c r="E198" s="1099" t="s">
        <v>6438</v>
      </c>
      <c r="F198" s="1100" t="str">
        <f>IFERROR(UPPER(IF(C198="CPU",VLOOKUP(D198,#REF!,3,0),IF(C198="SINAPI",VLOOKUP(D198,#REF!,3,0),IF(C198="EDIF",VLOOKUP(D198,#REF!,3,0),IF(C198="CPOS",VLOOKUP(D198,#REF!,4,0),IF(C198="FDE",VLOOKUP(D198,#REF!,3,0),IF(C198="INFRA",VLOOKUP(D198,#REF!,3,0),""))))))),"")</f>
        <v/>
      </c>
      <c r="G198" s="1101"/>
      <c r="H198" s="1102" t="str">
        <f>IFERROR(IF(C198="CPU",VLOOKUP(D198,#REF!,4,0),IF(C198="SINAPI",VLOOKUP(D198,#REF!,5,0),IF(C198="EDIF",VLOOKUP(D198,#REF!,4,0),IF(C198="CPOS",VLOOKUP(D198,#REF!,7,0),IF(C198="FDE",VLOOKUP(D198,#REF!,5,0),IF(C198="INFRA",VLOOKUP(D198,#REF!,4,0),""))))))*VLOOKUP(C198,#REF!,3,0),"")</f>
        <v/>
      </c>
      <c r="I198" s="1103"/>
      <c r="J198" s="1103"/>
      <c r="K198" s="1104"/>
      <c r="L198" s="51"/>
      <c r="M198" s="52"/>
      <c r="N198" s="940"/>
    </row>
    <row r="199" spans="2:14" s="25" customFormat="1" ht="27" customHeight="1">
      <c r="B199" s="61" t="s">
        <v>842</v>
      </c>
      <c r="C199" s="61" t="s">
        <v>1479</v>
      </c>
      <c r="D199" s="1108" t="s">
        <v>6439</v>
      </c>
      <c r="E199" s="64" t="str">
        <f>IFERROR(UPPER(IF(C199="CPU",VLOOKUP(D199,#REF!,2,0),IF(C199="SINAPI",VLOOKUP(D199,#REF!,2,0),IF(C199="EDIF",VLOOKUP(D199,#REF!,2,0),IF(C199="CPOS",VLOOKUP(D199,#REF!,3,0),IF(C199="FDE",VLOOKUP(D199,#REF!,2,0),IF(C199="INFRA",VLOOKUP(D199,#REF!,2,0),""))))))),"")</f>
        <v/>
      </c>
      <c r="F199" s="65" t="str">
        <f>IFERROR(UPPER(IF(C199="CPU",VLOOKUP(D199,#REF!,3,0),IF(C199="SINAPI",VLOOKUP(D199,#REF!,3,0),IF(C199="EDIF",VLOOKUP(D199,#REF!,3,0),IF(C199="CPOS",VLOOKUP(D199,#REF!,4,0),IF(C199="FDE",VLOOKUP(D199,#REF!,3,0),IF(C199="INFRA",VLOOKUP(D199,#REF!,3,0),""))))))),"")</f>
        <v/>
      </c>
      <c r="G199" s="66">
        <v>39</v>
      </c>
      <c r="H199" s="67" t="str">
        <f>IFERROR(IF(C199="CPU",VLOOKUP(D199,#REF!,4,0),IF(C199="SINAPI",VLOOKUP(D199,#REF!,5,0),IF(C199="EDIF",VLOOKUP(D199,#REF!,4,0),IF(C199="CPOS",VLOOKUP(D199,#REF!,7,0),IF(C199="FDE",VLOOKUP(D199,#REF!,5,0),IF(C199="INFRA",VLOOKUP(D199,#REF!,4,0),""))))))*VLOOKUP(C199,#REF!,3,0),"")</f>
        <v/>
      </c>
      <c r="I199" s="1106">
        <v>0.25</v>
      </c>
      <c r="J199" s="67" t="e">
        <f t="shared" ref="J199:J212" si="24">ROUND(H199*(1+I199),2)</f>
        <v>#VALUE!</v>
      </c>
      <c r="K199" s="69" t="e">
        <f t="shared" ref="K199:K212" si="25">SUM(G199*J199)</f>
        <v>#VALUE!</v>
      </c>
      <c r="L199" s="51"/>
      <c r="M199" s="52"/>
      <c r="N199" s="940"/>
    </row>
    <row r="200" spans="2:14" s="25" customFormat="1" ht="27" customHeight="1">
      <c r="B200" s="61" t="s">
        <v>842</v>
      </c>
      <c r="C200" s="61" t="s">
        <v>1479</v>
      </c>
      <c r="D200" s="1108" t="s">
        <v>6440</v>
      </c>
      <c r="E200" s="64" t="str">
        <f>IFERROR(UPPER(IF(C200="CPU",VLOOKUP(D200,#REF!,2,0),IF(C200="SINAPI",VLOOKUP(D200,#REF!,2,0),IF(C200="EDIF",VLOOKUP(D200,#REF!,2,0),IF(C200="CPOS",VLOOKUP(D200,#REF!,3,0),IF(C200="FDE",VLOOKUP(D200,#REF!,2,0),IF(C200="INFRA",VLOOKUP(D200,#REF!,2,0),""))))))),"")</f>
        <v/>
      </c>
      <c r="F200" s="65" t="str">
        <f>IFERROR(UPPER(IF(C200="CPU",VLOOKUP(D200,#REF!,3,0),IF(C200="SINAPI",VLOOKUP(D200,#REF!,3,0),IF(C200="EDIF",VLOOKUP(D200,#REF!,3,0),IF(C200="CPOS",VLOOKUP(D200,#REF!,4,0),IF(C200="FDE",VLOOKUP(D200,#REF!,3,0),IF(C200="INFRA",VLOOKUP(D200,#REF!,3,0),""))))))),"")</f>
        <v/>
      </c>
      <c r="G200" s="66">
        <v>22</v>
      </c>
      <c r="H200" s="67" t="str">
        <f>IFERROR(IF(C200="CPU",VLOOKUP(D200,#REF!,4,0),IF(C200="SINAPI",VLOOKUP(D200,#REF!,5,0),IF(C200="EDIF",VLOOKUP(D200,#REF!,4,0),IF(C200="CPOS",VLOOKUP(D200,#REF!,7,0),IF(C200="FDE",VLOOKUP(D200,#REF!,5,0),IF(C200="INFRA",VLOOKUP(D200,#REF!,4,0),""))))))*VLOOKUP(C200,#REF!,3,0),"")</f>
        <v/>
      </c>
      <c r="I200" s="1106">
        <v>0.25</v>
      </c>
      <c r="J200" s="67" t="e">
        <f t="shared" si="24"/>
        <v>#VALUE!</v>
      </c>
      <c r="K200" s="69" t="e">
        <f t="shared" si="25"/>
        <v>#VALUE!</v>
      </c>
      <c r="L200" s="51"/>
      <c r="M200" s="52"/>
      <c r="N200" s="940"/>
    </row>
    <row r="201" spans="2:14" s="25" customFormat="1" ht="27" customHeight="1">
      <c r="B201" s="61" t="s">
        <v>842</v>
      </c>
      <c r="C201" s="61" t="s">
        <v>4872</v>
      </c>
      <c r="D201" s="1107">
        <v>100931</v>
      </c>
      <c r="E201" s="64" t="str">
        <f>IFERROR(UPPER(IF(C201="CPU",VLOOKUP(D201,#REF!,2,0),IF(C201="SINAPI",VLOOKUP(D201,#REF!,2,0),IF(C201="EDIF",VLOOKUP(D201,#REF!,2,0),IF(C201="CPOS",VLOOKUP(D201,#REF!,3,0),IF(C201="FDE",VLOOKUP(D201,#REF!,2,0),IF(C201="INFRA",VLOOKUP(D201,#REF!,2,0),""))))))),"")</f>
        <v/>
      </c>
      <c r="F201" s="65" t="str">
        <f>IFERROR(UPPER(IF(C201="CPU",VLOOKUP(D201,#REF!,3,0),IF(C201="SINAPI",VLOOKUP(D201,#REF!,3,0),IF(C201="EDIF",VLOOKUP(D201,#REF!,3,0),IF(C201="CPOS",VLOOKUP(D201,#REF!,4,0),IF(C201="FDE",VLOOKUP(D201,#REF!,3,0),IF(C201="INFRA",VLOOKUP(D201,#REF!,3,0),""))))))),"")</f>
        <v/>
      </c>
      <c r="G201" s="66">
        <v>120</v>
      </c>
      <c r="H201" s="67" t="str">
        <f>IFERROR(IF(C201="CPU",VLOOKUP(D201,#REF!,4,0),IF(C201="SINAPI",VLOOKUP(D201,#REF!,5,0),IF(C201="EDIF",VLOOKUP(D201,#REF!,4,0),IF(C201="CPOS",VLOOKUP(D201,#REF!,7,0),IF(C201="FDE",VLOOKUP(D201,#REF!,5,0),IF(C201="INFRA",VLOOKUP(D201,#REF!,4,0),""))))))*VLOOKUP(C201,#REF!,3,0),"")</f>
        <v/>
      </c>
      <c r="I201" s="1106">
        <v>0.25</v>
      </c>
      <c r="J201" s="67" t="e">
        <f t="shared" si="24"/>
        <v>#VALUE!</v>
      </c>
      <c r="K201" s="69" t="e">
        <f t="shared" si="25"/>
        <v>#VALUE!</v>
      </c>
      <c r="L201" s="51"/>
      <c r="M201" s="52"/>
      <c r="N201" s="940"/>
    </row>
    <row r="202" spans="2:14" s="25" customFormat="1" ht="27" customHeight="1">
      <c r="B202" s="61" t="s">
        <v>844</v>
      </c>
      <c r="C202" s="61" t="s">
        <v>4872</v>
      </c>
      <c r="D202" s="1107">
        <v>100932</v>
      </c>
      <c r="E202" s="64" t="str">
        <f>IFERROR(UPPER(IF(C202="CPU",VLOOKUP(D202,#REF!,2,0),IF(C202="SINAPI",VLOOKUP(D202,#REF!,2,0),IF(C202="EDIF",VLOOKUP(D202,#REF!,2,0),IF(C202="CPOS",VLOOKUP(D202,#REF!,3,0),IF(C202="FDE",VLOOKUP(D202,#REF!,2,0),IF(C202="INFRA",VLOOKUP(D202,#REF!,2,0),""))))))),"")</f>
        <v/>
      </c>
      <c r="F202" s="65" t="str">
        <f>IFERROR(UPPER(IF(C202="CPU",VLOOKUP(D202,#REF!,3,0),IF(C202="SINAPI",VLOOKUP(D202,#REF!,3,0),IF(C202="EDIF",VLOOKUP(D202,#REF!,3,0),IF(C202="CPOS",VLOOKUP(D202,#REF!,4,0),IF(C202="FDE",VLOOKUP(D202,#REF!,3,0),IF(C202="INFRA",VLOOKUP(D202,#REF!,3,0),""))))))),"")</f>
        <v/>
      </c>
      <c r="G202" s="66">
        <v>126</v>
      </c>
      <c r="H202" s="67" t="str">
        <f>IFERROR(IF(C202="CPU",VLOOKUP(D202,#REF!,4,0),IF(C202="SINAPI",VLOOKUP(D202,#REF!,5,0),IF(C202="EDIF",VLOOKUP(D202,#REF!,4,0),IF(C202="CPOS",VLOOKUP(D202,#REF!,7,0),IF(C202="FDE",VLOOKUP(D202,#REF!,5,0),IF(C202="INFRA",VLOOKUP(D202,#REF!,4,0),""))))))*VLOOKUP(C202,#REF!,3,0),"")</f>
        <v/>
      </c>
      <c r="I202" s="1106">
        <v>0.25</v>
      </c>
      <c r="J202" s="67" t="e">
        <f t="shared" si="24"/>
        <v>#VALUE!</v>
      </c>
      <c r="K202" s="69" t="e">
        <f t="shared" si="25"/>
        <v>#VALUE!</v>
      </c>
      <c r="L202" s="51"/>
      <c r="M202" s="52"/>
      <c r="N202" s="940"/>
    </row>
    <row r="203" spans="2:14" s="25" customFormat="1" ht="27" customHeight="1">
      <c r="B203" s="61" t="s">
        <v>846</v>
      </c>
      <c r="C203" s="61" t="s">
        <v>4872</v>
      </c>
      <c r="D203" s="1107">
        <v>100933</v>
      </c>
      <c r="E203" s="64" t="str">
        <f>IFERROR(UPPER(IF(C203="CPU",VLOOKUP(D203,#REF!,2,0),IF(C203="SINAPI",VLOOKUP(D203,#REF!,2,0),IF(C203="EDIF",VLOOKUP(D203,#REF!,2,0),IF(C203="CPOS",VLOOKUP(D203,#REF!,3,0),IF(C203="FDE",VLOOKUP(D203,#REF!,2,0),IF(C203="INFRA",VLOOKUP(D203,#REF!,2,0),""))))))),"")</f>
        <v/>
      </c>
      <c r="F203" s="65" t="str">
        <f>IFERROR(UPPER(IF(C203="CPU",VLOOKUP(D203,#REF!,3,0),IF(C203="SINAPI",VLOOKUP(D203,#REF!,3,0),IF(C203="EDIF",VLOOKUP(D203,#REF!,3,0),IF(C203="CPOS",VLOOKUP(D203,#REF!,4,0),IF(C203="FDE",VLOOKUP(D203,#REF!,3,0),IF(C203="INFRA",VLOOKUP(D203,#REF!,3,0),""))))))),"")</f>
        <v/>
      </c>
      <c r="G203" s="66">
        <v>38</v>
      </c>
      <c r="H203" s="67" t="str">
        <f>IFERROR(IF(C203="CPU",VLOOKUP(D203,#REF!,4,0),IF(C203="SINAPI",VLOOKUP(D203,#REF!,5,0),IF(C203="EDIF",VLOOKUP(D203,#REF!,4,0),IF(C203="CPOS",VLOOKUP(D203,#REF!,7,0),IF(C203="FDE",VLOOKUP(D203,#REF!,5,0),IF(C203="INFRA",VLOOKUP(D203,#REF!,4,0),""))))))*VLOOKUP(C203,#REF!,3,0),"")</f>
        <v/>
      </c>
      <c r="I203" s="1106">
        <v>0.25</v>
      </c>
      <c r="J203" s="67" t="e">
        <f t="shared" si="24"/>
        <v>#VALUE!</v>
      </c>
      <c r="K203" s="69" t="e">
        <f t="shared" si="25"/>
        <v>#VALUE!</v>
      </c>
      <c r="L203" s="51"/>
      <c r="M203" s="52"/>
      <c r="N203" s="940"/>
    </row>
    <row r="204" spans="2:14" s="25" customFormat="1" ht="27" customHeight="1">
      <c r="B204" s="61" t="s">
        <v>848</v>
      </c>
      <c r="C204" s="61" t="s">
        <v>4872</v>
      </c>
      <c r="D204" s="1107">
        <v>100934</v>
      </c>
      <c r="E204" s="64" t="str">
        <f>IFERROR(UPPER(IF(C204="CPU",VLOOKUP(D204,#REF!,2,0),IF(C204="SINAPI",VLOOKUP(D204,#REF!,2,0),IF(C204="EDIF",VLOOKUP(D204,#REF!,2,0),IF(C204="CPOS",VLOOKUP(D204,#REF!,3,0),IF(C204="FDE",VLOOKUP(D204,#REF!,2,0),IF(C204="INFRA",VLOOKUP(D204,#REF!,2,0),""))))))),"")</f>
        <v/>
      </c>
      <c r="F204" s="65" t="str">
        <f>IFERROR(UPPER(IF(C204="CPU",VLOOKUP(D204,#REF!,3,0),IF(C204="SINAPI",VLOOKUP(D204,#REF!,3,0),IF(C204="EDIF",VLOOKUP(D204,#REF!,3,0),IF(C204="CPOS",VLOOKUP(D204,#REF!,4,0),IF(C204="FDE",VLOOKUP(D204,#REF!,3,0),IF(C204="INFRA",VLOOKUP(D204,#REF!,3,0),""))))))),"")</f>
        <v/>
      </c>
      <c r="G204" s="66">
        <v>70</v>
      </c>
      <c r="H204" s="67" t="str">
        <f>IFERROR(IF(C204="CPU",VLOOKUP(D204,#REF!,4,0),IF(C204="SINAPI",VLOOKUP(D204,#REF!,5,0),IF(C204="EDIF",VLOOKUP(D204,#REF!,4,0),IF(C204="CPOS",VLOOKUP(D204,#REF!,7,0),IF(C204="FDE",VLOOKUP(D204,#REF!,5,0),IF(C204="INFRA",VLOOKUP(D204,#REF!,4,0),""))))))*VLOOKUP(C204,#REF!,3,0),"")</f>
        <v/>
      </c>
      <c r="I204" s="1106">
        <v>0.25</v>
      </c>
      <c r="J204" s="67" t="e">
        <f t="shared" si="24"/>
        <v>#VALUE!</v>
      </c>
      <c r="K204" s="69" t="e">
        <f t="shared" si="25"/>
        <v>#VALUE!</v>
      </c>
      <c r="L204" s="51"/>
      <c r="M204" s="52"/>
      <c r="N204" s="940"/>
    </row>
    <row r="205" spans="2:14" s="25" customFormat="1" ht="27" customHeight="1">
      <c r="B205" s="61" t="s">
        <v>850</v>
      </c>
      <c r="C205" s="61" t="s">
        <v>4872</v>
      </c>
      <c r="D205" s="1107">
        <v>100998</v>
      </c>
      <c r="E205" s="64" t="str">
        <f>IFERROR(UPPER(IF(C205="CPU",VLOOKUP(D205,#REF!,2,0),IF(C205="SINAPI",VLOOKUP(D205,#REF!,2,0),IF(C205="EDIF",VLOOKUP(D205,#REF!,2,0),IF(C205="CPOS",VLOOKUP(D205,#REF!,3,0),IF(C205="FDE",VLOOKUP(D205,#REF!,2,0),IF(C205="INFRA",VLOOKUP(D205,#REF!,2,0),""))))))),"")</f>
        <v/>
      </c>
      <c r="F205" s="65" t="str">
        <f>IFERROR(UPPER(IF(C205="CPU",VLOOKUP(D205,#REF!,3,0),IF(C205="SINAPI",VLOOKUP(D205,#REF!,3,0),IF(C205="EDIF",VLOOKUP(D205,#REF!,3,0),IF(C205="CPOS",VLOOKUP(D205,#REF!,4,0),IF(C205="FDE",VLOOKUP(D205,#REF!,3,0),IF(C205="INFRA",VLOOKUP(D205,#REF!,3,0),""))))))),"")</f>
        <v/>
      </c>
      <c r="G205" s="66">
        <v>105</v>
      </c>
      <c r="H205" s="67" t="str">
        <f>IFERROR(IF(C205="CPU",VLOOKUP(D205,#REF!,4,0),IF(C205="SINAPI",VLOOKUP(D205,#REF!,5,0),IF(C205="EDIF",VLOOKUP(D205,#REF!,4,0),IF(C205="CPOS",VLOOKUP(D205,#REF!,7,0),IF(C205="FDE",VLOOKUP(D205,#REF!,5,0),IF(C205="INFRA",VLOOKUP(D205,#REF!,4,0),""))))))*VLOOKUP(C205,#REF!,3,0),"")</f>
        <v/>
      </c>
      <c r="I205" s="1106">
        <v>0.25</v>
      </c>
      <c r="J205" s="67" t="e">
        <f t="shared" si="24"/>
        <v>#VALUE!</v>
      </c>
      <c r="K205" s="69" t="e">
        <f t="shared" si="25"/>
        <v>#VALUE!</v>
      </c>
      <c r="L205" s="51"/>
      <c r="M205" s="52"/>
      <c r="N205" s="940"/>
    </row>
    <row r="206" spans="2:14" s="25" customFormat="1" ht="27" customHeight="1">
      <c r="B206" s="61" t="s">
        <v>850</v>
      </c>
      <c r="C206" s="61" t="s">
        <v>26</v>
      </c>
      <c r="D206" s="94" t="s">
        <v>1066</v>
      </c>
      <c r="E206" s="64" t="str">
        <f>IFERROR(UPPER(IF(C206="CPU",VLOOKUP(D206,#REF!,2,0),IF(C206="SINAPI",VLOOKUP(D206,#REF!,2,0),IF(C206="EDIF",VLOOKUP(D206,#REF!,2,0),IF(C206="CPOS",VLOOKUP(D206,#REF!,3,0),IF(C206="FDE",VLOOKUP(D206,#REF!,2,0),IF(C206="INFRA",VLOOKUP(D206,#REF!,2,0),""))))))),"")</f>
        <v/>
      </c>
      <c r="F206" s="65" t="str">
        <f>IFERROR(UPPER(IF(C206="CPU",VLOOKUP(D206,#REF!,3,0),IF(C206="SINAPI",VLOOKUP(D206,#REF!,3,0),IF(C206="EDIF",VLOOKUP(D206,#REF!,3,0),IF(C206="CPOS",VLOOKUP(D206,#REF!,4,0),IF(C206="FDE",VLOOKUP(D206,#REF!,3,0),IF(C206="INFRA",VLOOKUP(D206,#REF!,3,0),""))))))),"")</f>
        <v/>
      </c>
      <c r="G206" s="66">
        <v>13</v>
      </c>
      <c r="H206" s="67" t="str">
        <f>IFERROR(IF(C206="CPU",VLOOKUP(D206,#REF!,4,0),IF(C206="SINAPI",VLOOKUP(D206,#REF!,5,0),IF(C206="EDIF",VLOOKUP(D206,#REF!,4,0),IF(C206="CPOS",VLOOKUP(D206,#REF!,7,0),IF(C206="FDE",VLOOKUP(D206,#REF!,5,0),IF(C206="INFRA",VLOOKUP(D206,#REF!,4,0),""))))))*VLOOKUP(C206,#REF!,3,0),"")</f>
        <v/>
      </c>
      <c r="I206" s="1106">
        <v>0.25</v>
      </c>
      <c r="J206" s="67" t="e">
        <f t="shared" si="24"/>
        <v>#VALUE!</v>
      </c>
      <c r="K206" s="69" t="e">
        <f t="shared" si="25"/>
        <v>#VALUE!</v>
      </c>
      <c r="L206" s="51"/>
      <c r="M206" s="52"/>
      <c r="N206" s="940"/>
    </row>
    <row r="207" spans="2:14" s="25" customFormat="1" ht="27" customHeight="1">
      <c r="B207" s="61" t="s">
        <v>850</v>
      </c>
      <c r="C207" s="61" t="s">
        <v>26</v>
      </c>
      <c r="D207" s="94" t="s">
        <v>1068</v>
      </c>
      <c r="E207" s="64" t="str">
        <f>IFERROR(UPPER(IF(C207="CPU",VLOOKUP(D207,#REF!,2,0),IF(C207="SINAPI",VLOOKUP(D207,#REF!,2,0),IF(C207="EDIF",VLOOKUP(D207,#REF!,2,0),IF(C207="CPOS",VLOOKUP(D207,#REF!,3,0),IF(C207="FDE",VLOOKUP(D207,#REF!,2,0),IF(C207="INFRA",VLOOKUP(D207,#REF!,2,0),""))))))),"")</f>
        <v/>
      </c>
      <c r="F207" s="65" t="str">
        <f>IFERROR(UPPER(IF(C207="CPU",VLOOKUP(D207,#REF!,3,0),IF(C207="SINAPI",VLOOKUP(D207,#REF!,3,0),IF(C207="EDIF",VLOOKUP(D207,#REF!,3,0),IF(C207="CPOS",VLOOKUP(D207,#REF!,4,0),IF(C207="FDE",VLOOKUP(D207,#REF!,3,0),IF(C207="INFRA",VLOOKUP(D207,#REF!,3,0),""))))))),"")</f>
        <v/>
      </c>
      <c r="G207" s="66">
        <v>6</v>
      </c>
      <c r="H207" s="67" t="str">
        <f>IFERROR(IF(C207="CPU",VLOOKUP(D207,#REF!,4,0),IF(C207="SINAPI",VLOOKUP(D207,#REF!,5,0),IF(C207="EDIF",VLOOKUP(D207,#REF!,4,0),IF(C207="CPOS",VLOOKUP(D207,#REF!,7,0),IF(C207="FDE",VLOOKUP(D207,#REF!,5,0),IF(C207="INFRA",VLOOKUP(D207,#REF!,4,0),""))))))*VLOOKUP(C207,#REF!,3,0),"")</f>
        <v/>
      </c>
      <c r="I207" s="1106">
        <v>0.25</v>
      </c>
      <c r="J207" s="67" t="e">
        <f t="shared" si="24"/>
        <v>#VALUE!</v>
      </c>
      <c r="K207" s="69" t="e">
        <f t="shared" si="25"/>
        <v>#VALUE!</v>
      </c>
      <c r="L207" s="51"/>
      <c r="M207" s="52"/>
      <c r="N207" s="940"/>
    </row>
    <row r="208" spans="2:14" s="25" customFormat="1" ht="27" customHeight="1">
      <c r="B208" s="61" t="s">
        <v>850</v>
      </c>
      <c r="C208" s="61" t="s">
        <v>1479</v>
      </c>
      <c r="D208" s="94" t="s">
        <v>6441</v>
      </c>
      <c r="E208" s="64" t="str">
        <f>IFERROR(UPPER(IF(C208="CPU",VLOOKUP(D208,#REF!,2,0),IF(C208="SINAPI",VLOOKUP(D208,#REF!,2,0),IF(C208="EDIF",VLOOKUP(D208,#REF!,2,0),IF(C208="CPOS",VLOOKUP(D208,#REF!,3,0),IF(C208="FDE",VLOOKUP(D208,#REF!,2,0),IF(C208="INFRA",VLOOKUP(D208,#REF!,2,0),""))))))),"")</f>
        <v/>
      </c>
      <c r="F208" s="65" t="str">
        <f>IFERROR(UPPER(IF(C208="CPU",VLOOKUP(D208,#REF!,3,0),IF(C208="SINAPI",VLOOKUP(D208,#REF!,3,0),IF(C208="EDIF",VLOOKUP(D208,#REF!,3,0),IF(C208="CPOS",VLOOKUP(D208,#REF!,4,0),IF(C208="FDE",VLOOKUP(D208,#REF!,3,0),IF(C208="INFRA",VLOOKUP(D208,#REF!,3,0),""))))))),"")</f>
        <v/>
      </c>
      <c r="G208" s="66">
        <v>6</v>
      </c>
      <c r="H208" s="67" t="str">
        <f>IFERROR(IF(C208="CPU",VLOOKUP(D208,#REF!,4,0),IF(C208="SINAPI",VLOOKUP(D208,#REF!,5,0),IF(C208="EDIF",VLOOKUP(D208,#REF!,4,0),IF(C208="CPOS",VLOOKUP(D208,#REF!,7,0),IF(C208="FDE",VLOOKUP(D208,#REF!,5,0),IF(C208="INFRA",VLOOKUP(D208,#REF!,4,0),""))))))*VLOOKUP(C208,#REF!,3,0),"")</f>
        <v/>
      </c>
      <c r="I208" s="1106">
        <v>0.25</v>
      </c>
      <c r="J208" s="67" t="e">
        <f t="shared" si="24"/>
        <v>#VALUE!</v>
      </c>
      <c r="K208" s="69" t="e">
        <f t="shared" si="25"/>
        <v>#VALUE!</v>
      </c>
      <c r="L208" s="51"/>
      <c r="M208" s="52"/>
      <c r="N208" s="940"/>
    </row>
    <row r="209" spans="2:14" s="25" customFormat="1" ht="27" customHeight="1">
      <c r="B209" s="61" t="s">
        <v>850</v>
      </c>
      <c r="C209" s="61" t="s">
        <v>1479</v>
      </c>
      <c r="D209" s="94" t="s">
        <v>6442</v>
      </c>
      <c r="E209" s="64" t="str">
        <f>IFERROR(UPPER(IF(C209="CPU",VLOOKUP(D209,#REF!,2,0),IF(C209="SINAPI",VLOOKUP(D209,#REF!,2,0),IF(C209="EDIF",VLOOKUP(D209,#REF!,2,0),IF(C209="CPOS",VLOOKUP(D209,#REF!,3,0),IF(C209="FDE",VLOOKUP(D209,#REF!,2,0),IF(C209="INFRA",VLOOKUP(D209,#REF!,2,0),""))))))),"")</f>
        <v/>
      </c>
      <c r="F209" s="65" t="str">
        <f>IFERROR(UPPER(IF(C209="CPU",VLOOKUP(D209,#REF!,3,0),IF(C209="SINAPI",VLOOKUP(D209,#REF!,3,0),IF(C209="EDIF",VLOOKUP(D209,#REF!,3,0),IF(C209="CPOS",VLOOKUP(D209,#REF!,4,0),IF(C209="FDE",VLOOKUP(D209,#REF!,3,0),IF(C209="INFRA",VLOOKUP(D209,#REF!,3,0),""))))))),"")</f>
        <v/>
      </c>
      <c r="G209" s="66">
        <v>6</v>
      </c>
      <c r="H209" s="67" t="str">
        <f>IFERROR(IF(C209="CPU",VLOOKUP(D209,#REF!,4,0),IF(C209="SINAPI",VLOOKUP(D209,#REF!,5,0),IF(C209="EDIF",VLOOKUP(D209,#REF!,4,0),IF(C209="CPOS",VLOOKUP(D209,#REF!,7,0),IF(C209="FDE",VLOOKUP(D209,#REF!,5,0),IF(C209="INFRA",VLOOKUP(D209,#REF!,4,0),""))))))*VLOOKUP(C209,#REF!,3,0),"")</f>
        <v/>
      </c>
      <c r="I209" s="1106">
        <v>0.25</v>
      </c>
      <c r="J209" s="67" t="e">
        <f t="shared" si="24"/>
        <v>#VALUE!</v>
      </c>
      <c r="K209" s="69" t="e">
        <f t="shared" si="25"/>
        <v>#VALUE!</v>
      </c>
      <c r="L209" s="51"/>
      <c r="M209" s="52"/>
      <c r="N209" s="940"/>
    </row>
    <row r="210" spans="2:14" s="25" customFormat="1" ht="27" customHeight="1">
      <c r="B210" s="61" t="s">
        <v>850</v>
      </c>
      <c r="C210" s="61" t="s">
        <v>1479</v>
      </c>
      <c r="D210" s="94" t="s">
        <v>6443</v>
      </c>
      <c r="E210" s="64" t="str">
        <f>IFERROR(UPPER(IF(C210="CPU",VLOOKUP(D210,#REF!,2,0),IF(C210="SINAPI",VLOOKUP(D210,#REF!,2,0),IF(C210="EDIF",VLOOKUP(D210,#REF!,2,0),IF(C210="CPOS",VLOOKUP(D210,#REF!,3,0),IF(C210="FDE",VLOOKUP(D210,#REF!,2,0),IF(C210="INFRA",VLOOKUP(D210,#REF!,2,0),""))))))),"")</f>
        <v/>
      </c>
      <c r="F210" s="65" t="str">
        <f>IFERROR(UPPER(IF(C210="CPU",VLOOKUP(D210,#REF!,3,0),IF(C210="SINAPI",VLOOKUP(D210,#REF!,3,0),IF(C210="EDIF",VLOOKUP(D210,#REF!,3,0),IF(C210="CPOS",VLOOKUP(D210,#REF!,4,0),IF(C210="FDE",VLOOKUP(D210,#REF!,3,0),IF(C210="INFRA",VLOOKUP(D210,#REF!,3,0),""))))))),"")</f>
        <v/>
      </c>
      <c r="G210" s="66">
        <v>12</v>
      </c>
      <c r="H210" s="67" t="str">
        <f>IFERROR(IF(C210="CPU",VLOOKUP(D210,#REF!,4,0),IF(C210="SINAPI",VLOOKUP(D210,#REF!,5,0),IF(C210="EDIF",VLOOKUP(D210,#REF!,4,0),IF(C210="CPOS",VLOOKUP(D210,#REF!,7,0),IF(C210="FDE",VLOOKUP(D210,#REF!,5,0),IF(C210="INFRA",VLOOKUP(D210,#REF!,4,0),""))))))*VLOOKUP(C210,#REF!,3,0),"")</f>
        <v/>
      </c>
      <c r="I210" s="1106">
        <v>0.25</v>
      </c>
      <c r="J210" s="67" t="e">
        <f t="shared" si="24"/>
        <v>#VALUE!</v>
      </c>
      <c r="K210" s="69" t="e">
        <f t="shared" si="25"/>
        <v>#VALUE!</v>
      </c>
      <c r="L210" s="51"/>
      <c r="M210" s="52"/>
      <c r="N210" s="940"/>
    </row>
    <row r="211" spans="2:14" s="25" customFormat="1" ht="27" customHeight="1">
      <c r="B211" s="61" t="s">
        <v>852</v>
      </c>
      <c r="C211" s="61" t="s">
        <v>1479</v>
      </c>
      <c r="D211" s="1107" t="s">
        <v>6444</v>
      </c>
      <c r="E211" s="64" t="str">
        <f>IFERROR(UPPER(IF(C211="CPU",VLOOKUP(D211,#REF!,2,0),IF(C211="SINAPI",VLOOKUP(D211,#REF!,2,0),IF(C211="EDIF",VLOOKUP(D211,#REF!,2,0),IF(C211="CPOS",VLOOKUP(D211,#REF!,3,0),IF(C211="FDE",VLOOKUP(D211,#REF!,2,0),IF(C211="INFRA",VLOOKUP(D211,#REF!,2,0),""))))))),"")</f>
        <v/>
      </c>
      <c r="F211" s="65" t="str">
        <f>IFERROR(UPPER(IF(C211="CPU",VLOOKUP(D211,#REF!,3,0),IF(C211="SINAPI",VLOOKUP(D211,#REF!,3,0),IF(C211="EDIF",VLOOKUP(D211,#REF!,3,0),IF(C211="CPOS",VLOOKUP(D211,#REF!,4,0),IF(C211="FDE",VLOOKUP(D211,#REF!,3,0),IF(C211="INFRA",VLOOKUP(D211,#REF!,3,0),""))))))),"")</f>
        <v/>
      </c>
      <c r="G211" s="66">
        <v>22</v>
      </c>
      <c r="H211" s="67" t="str">
        <f>IFERROR(IF(C211="CPU",VLOOKUP(D211,#REF!,4,0),IF(C211="SINAPI",VLOOKUP(D211,#REF!,5,0),IF(C211="EDIF",VLOOKUP(D211,#REF!,4,0),IF(C211="CPOS",VLOOKUP(D211,#REF!,7,0),IF(C211="FDE",VLOOKUP(D211,#REF!,5,0),IF(C211="INFRA",VLOOKUP(D211,#REF!,4,0),""))))))*VLOOKUP(C211,#REF!,3,0),"")</f>
        <v/>
      </c>
      <c r="I211" s="1106">
        <v>0.25</v>
      </c>
      <c r="J211" s="67" t="e">
        <f t="shared" si="24"/>
        <v>#VALUE!</v>
      </c>
      <c r="K211" s="69" t="e">
        <f t="shared" si="25"/>
        <v>#VALUE!</v>
      </c>
      <c r="L211" s="51"/>
      <c r="M211" s="52"/>
      <c r="N211" s="940"/>
    </row>
    <row r="212" spans="2:14" s="25" customFormat="1" ht="27" customHeight="1">
      <c r="B212" s="61" t="s">
        <v>6445</v>
      </c>
      <c r="C212" s="61" t="s">
        <v>1479</v>
      </c>
      <c r="D212" s="1107" t="s">
        <v>6446</v>
      </c>
      <c r="E212" s="64" t="str">
        <f>IFERROR(UPPER(IF(C212="CPU",VLOOKUP(D212,#REF!,2,0),IF(C212="SINAPI",VLOOKUP(D212,#REF!,2,0),IF(C212="EDIF",VLOOKUP(D212,#REF!,2,0),IF(C212="CPOS",VLOOKUP(D212,#REF!,3,0),IF(C212="FDE",VLOOKUP(D212,#REF!,2,0),IF(C212="INFRA",VLOOKUP(D212,#REF!,2,0),""))))))),"")</f>
        <v/>
      </c>
      <c r="F212" s="65" t="str">
        <f>IFERROR(UPPER(IF(C212="CPU",VLOOKUP(D212,#REF!,3,0),IF(C212="SINAPI",VLOOKUP(D212,#REF!,3,0),IF(C212="EDIF",VLOOKUP(D212,#REF!,3,0),IF(C212="CPOS",VLOOKUP(D212,#REF!,4,0),IF(C212="FDE",VLOOKUP(D212,#REF!,3,0),IF(C212="INFRA",VLOOKUP(D212,#REF!,3,0),""))))))),"")</f>
        <v/>
      </c>
      <c r="G212" s="66">
        <v>23</v>
      </c>
      <c r="H212" s="67" t="str">
        <f>IFERROR(IF(C212="CPU",VLOOKUP(D212,#REF!,4,0),IF(C212="SINAPI",VLOOKUP(D212,#REF!,5,0),IF(C212="EDIF",VLOOKUP(D212,#REF!,4,0),IF(C212="CPOS",VLOOKUP(D212,#REF!,7,0),IF(C212="FDE",VLOOKUP(D212,#REF!,5,0),IF(C212="INFRA",VLOOKUP(D212,#REF!,4,0),""))))))*VLOOKUP(C212,#REF!,3,0),"")</f>
        <v/>
      </c>
      <c r="I212" s="1106">
        <v>0.25</v>
      </c>
      <c r="J212" s="67" t="e">
        <f t="shared" si="24"/>
        <v>#VALUE!</v>
      </c>
      <c r="K212" s="69" t="e">
        <f t="shared" si="25"/>
        <v>#VALUE!</v>
      </c>
      <c r="L212" s="51"/>
      <c r="M212" s="52"/>
      <c r="N212" s="940"/>
    </row>
    <row r="213" spans="2:14" s="25" customFormat="1" ht="27" customHeight="1">
      <c r="B213" s="1097" t="s">
        <v>854</v>
      </c>
      <c r="C213" s="1098"/>
      <c r="D213" s="1098"/>
      <c r="E213" s="1099" t="s">
        <v>6447</v>
      </c>
      <c r="F213" s="1100" t="str">
        <f>IFERROR(UPPER(IF(C213="CPU",VLOOKUP(D213,#REF!,3,0),IF(C213="SINAPI",VLOOKUP(D213,#REF!,3,0),IF(C213="EDIF",VLOOKUP(D213,#REF!,3,0),IF(C213="CPOS",VLOOKUP(D213,#REF!,4,0),IF(C213="FDE",VLOOKUP(D213,#REF!,3,0),IF(C213="INFRA",VLOOKUP(D213,#REF!,3,0),""))))))),"")</f>
        <v/>
      </c>
      <c r="G213" s="1101"/>
      <c r="H213" s="1102" t="str">
        <f>IFERROR(IF(C213="CPU",VLOOKUP(D213,#REF!,4,0),IF(C213="SINAPI",VLOOKUP(D213,#REF!,5,0),IF(C213="EDIF",VLOOKUP(D213,#REF!,4,0),IF(C213="CPOS",VLOOKUP(D213,#REF!,7,0),IF(C213="FDE",VLOOKUP(D213,#REF!,5,0),IF(C213="INFRA",VLOOKUP(D213,#REF!,4,0),""))))))*VLOOKUP(C213,#REF!,3,0),"")</f>
        <v/>
      </c>
      <c r="I213" s="1103"/>
      <c r="J213" s="1103"/>
      <c r="K213" s="1104"/>
      <c r="L213" s="51"/>
      <c r="M213" s="52"/>
      <c r="N213" s="940"/>
    </row>
    <row r="214" spans="2:14" s="25" customFormat="1" ht="27" customHeight="1">
      <c r="B214" s="61" t="s">
        <v>857</v>
      </c>
      <c r="C214" s="61" t="s">
        <v>1479</v>
      </c>
      <c r="D214" s="94" t="s">
        <v>6448</v>
      </c>
      <c r="E214" s="64" t="str">
        <f>IFERROR(UPPER(IF(C214="CPU",VLOOKUP(D214,#REF!,2,0),IF(C214="SINAPI",VLOOKUP(D214,#REF!,2,0),IF(C214="EDIF",VLOOKUP(D214,#REF!,2,0),IF(C214="CPOS",VLOOKUP(D214,#REF!,3,0),IF(C214="FDE",VLOOKUP(D214,#REF!,2,0),IF(C214="INFRA",VLOOKUP(D214,#REF!,2,0),""))))))),"")</f>
        <v/>
      </c>
      <c r="F214" s="65" t="str">
        <f>IFERROR(UPPER(IF(C214="CPU",VLOOKUP(D214,#REF!,3,0),IF(C214="SINAPI",VLOOKUP(D214,#REF!,3,0),IF(C214="EDIF",VLOOKUP(D214,#REF!,3,0),IF(C214="CPOS",VLOOKUP(D214,#REF!,4,0),IF(C214="FDE",VLOOKUP(D214,#REF!,3,0),IF(C214="INFRA",VLOOKUP(D214,#REF!,3,0),""))))))),"")</f>
        <v/>
      </c>
      <c r="G214" s="66">
        <v>8</v>
      </c>
      <c r="H214" s="67" t="str">
        <f>IFERROR(IF(C214="CPU",VLOOKUP(D214,#REF!,4,0),IF(C214="SINAPI",VLOOKUP(D214,#REF!,5,0),IF(C214="EDIF",VLOOKUP(D214,#REF!,4,0),IF(C214="CPOS",VLOOKUP(D214,#REF!,7,0),IF(C214="FDE",VLOOKUP(D214,#REF!,5,0),IF(C214="INFRA",VLOOKUP(D214,#REF!,4,0),""))))))*VLOOKUP(C214,#REF!,3,0),"")</f>
        <v/>
      </c>
      <c r="I214" s="1106">
        <v>0.25</v>
      </c>
      <c r="J214" s="67" t="e">
        <f>ROUND(H214*(1+I214),2)</f>
        <v>#VALUE!</v>
      </c>
      <c r="K214" s="69" t="e">
        <f>SUM(G214*J214)</f>
        <v>#VALUE!</v>
      </c>
      <c r="L214" s="51"/>
      <c r="M214" s="52"/>
      <c r="N214" s="940"/>
    </row>
    <row r="215" spans="2:14" s="25" customFormat="1" ht="27" customHeight="1">
      <c r="B215" s="61" t="s">
        <v>859</v>
      </c>
      <c r="C215" s="61" t="s">
        <v>4872</v>
      </c>
      <c r="D215" s="1107">
        <v>101217</v>
      </c>
      <c r="E215" s="64" t="str">
        <f>IFERROR(UPPER(IF(C215="CPU",VLOOKUP(D215,#REF!,2,0),IF(C215="SINAPI",VLOOKUP(D215,#REF!,2,0),IF(C215="EDIF",VLOOKUP(D215,#REF!,2,0),IF(C215="CPOS",VLOOKUP(D215,#REF!,3,0),IF(C215="FDE",VLOOKUP(D215,#REF!,2,0),IF(C215="INFRA",VLOOKUP(D215,#REF!,2,0),""))))))),"")</f>
        <v/>
      </c>
      <c r="F215" s="65" t="str">
        <f>IFERROR(UPPER(IF(C215="CPU",VLOOKUP(D215,#REF!,3,0),IF(C215="SINAPI",VLOOKUP(D215,#REF!,3,0),IF(C215="EDIF",VLOOKUP(D215,#REF!,3,0),IF(C215="CPOS",VLOOKUP(D215,#REF!,4,0),IF(C215="FDE",VLOOKUP(D215,#REF!,3,0),IF(C215="INFRA",VLOOKUP(D215,#REF!,3,0),""))))))),"")</f>
        <v/>
      </c>
      <c r="G215" s="66">
        <v>36</v>
      </c>
      <c r="H215" s="67" t="str">
        <f>IFERROR(IF(C215="CPU",VLOOKUP(D215,#REF!,4,0),IF(C215="SINAPI",VLOOKUP(D215,#REF!,5,0),IF(C215="EDIF",VLOOKUP(D215,#REF!,4,0),IF(C215="CPOS",VLOOKUP(D215,#REF!,7,0),IF(C215="FDE",VLOOKUP(D215,#REF!,5,0),IF(C215="INFRA",VLOOKUP(D215,#REF!,4,0),""))))))*VLOOKUP(C215,#REF!,3,0),"")</f>
        <v/>
      </c>
      <c r="I215" s="1106">
        <v>0.25</v>
      </c>
      <c r="J215" s="67" t="e">
        <f>ROUND(H215*(1+I215),2)</f>
        <v>#VALUE!</v>
      </c>
      <c r="K215" s="69" t="e">
        <f>SUM(G215*J215)</f>
        <v>#VALUE!</v>
      </c>
      <c r="L215" s="51"/>
      <c r="M215" s="52"/>
      <c r="N215" s="940"/>
    </row>
    <row r="216" spans="2:14" s="25" customFormat="1" ht="27" customHeight="1">
      <c r="B216" s="61" t="s">
        <v>6449</v>
      </c>
      <c r="C216" s="61" t="s">
        <v>4872</v>
      </c>
      <c r="D216" s="1107">
        <v>101218</v>
      </c>
      <c r="E216" s="64" t="str">
        <f>IFERROR(UPPER(IF(C216="CPU",VLOOKUP(D216,#REF!,2,0),IF(C216="SINAPI",VLOOKUP(D216,#REF!,2,0),IF(C216="EDIF",VLOOKUP(D216,#REF!,2,0),IF(C216="CPOS",VLOOKUP(D216,#REF!,3,0),IF(C216="FDE",VLOOKUP(D216,#REF!,2,0),IF(C216="INFRA",VLOOKUP(D216,#REF!,2,0),""))))))),"")</f>
        <v/>
      </c>
      <c r="F216" s="65" t="str">
        <f>IFERROR(UPPER(IF(C216="CPU",VLOOKUP(D216,#REF!,3,0),IF(C216="SINAPI",VLOOKUP(D216,#REF!,3,0),IF(C216="EDIF",VLOOKUP(D216,#REF!,3,0),IF(C216="CPOS",VLOOKUP(D216,#REF!,4,0),IF(C216="FDE",VLOOKUP(D216,#REF!,3,0),IF(C216="INFRA",VLOOKUP(D216,#REF!,3,0),""))))))),"")</f>
        <v/>
      </c>
      <c r="G216" s="66">
        <v>16</v>
      </c>
      <c r="H216" s="67" t="str">
        <f>IFERROR(IF(C216="CPU",VLOOKUP(D216,#REF!,4,0),IF(C216="SINAPI",VLOOKUP(D216,#REF!,5,0),IF(C216="EDIF",VLOOKUP(D216,#REF!,4,0),IF(C216="CPOS",VLOOKUP(D216,#REF!,7,0),IF(C216="FDE",VLOOKUP(D216,#REF!,5,0),IF(C216="INFRA",VLOOKUP(D216,#REF!,4,0),""))))))*VLOOKUP(C216,#REF!,3,0),"")</f>
        <v/>
      </c>
      <c r="I216" s="1106">
        <v>0.25</v>
      </c>
      <c r="J216" s="67" t="e">
        <f>ROUND(H216*(1+I216),2)</f>
        <v>#VALUE!</v>
      </c>
      <c r="K216" s="69" t="e">
        <f>SUM(G216*J216)</f>
        <v>#VALUE!</v>
      </c>
      <c r="L216" s="51"/>
      <c r="M216" s="52"/>
      <c r="N216" s="940"/>
    </row>
    <row r="217" spans="2:14" s="25" customFormat="1" ht="27" customHeight="1">
      <c r="B217" s="61" t="s">
        <v>6450</v>
      </c>
      <c r="C217" s="61" t="s">
        <v>4872</v>
      </c>
      <c r="D217" s="1107">
        <v>100935</v>
      </c>
      <c r="E217" s="64" t="str">
        <f>IFERROR(UPPER(IF(C217="CPU",VLOOKUP(D217,#REF!,2,0),IF(C217="SINAPI",VLOOKUP(D217,#REF!,2,0),IF(C217="EDIF",VLOOKUP(D217,#REF!,2,0),IF(C217="CPOS",VLOOKUP(D217,#REF!,3,0),IF(C217="FDE",VLOOKUP(D217,#REF!,2,0),IF(C217="INFRA",VLOOKUP(D217,#REF!,2,0),""))))))),"")</f>
        <v/>
      </c>
      <c r="F217" s="65" t="str">
        <f>IFERROR(UPPER(IF(C217="CPU",VLOOKUP(D217,#REF!,3,0),IF(C217="SINAPI",VLOOKUP(D217,#REF!,3,0),IF(C217="EDIF",VLOOKUP(D217,#REF!,3,0),IF(C217="CPOS",VLOOKUP(D217,#REF!,4,0),IF(C217="FDE",VLOOKUP(D217,#REF!,3,0),IF(C217="INFRA",VLOOKUP(D217,#REF!,3,0),""))))))),"")</f>
        <v/>
      </c>
      <c r="G217" s="66">
        <v>32</v>
      </c>
      <c r="H217" s="67" t="str">
        <f>IFERROR(IF(C217="CPU",VLOOKUP(D217,#REF!,4,0),IF(C217="SINAPI",VLOOKUP(D217,#REF!,5,0),IF(C217="EDIF",VLOOKUP(D217,#REF!,4,0),IF(C217="CPOS",VLOOKUP(D217,#REF!,7,0),IF(C217="FDE",VLOOKUP(D217,#REF!,5,0),IF(C217="INFRA",VLOOKUP(D217,#REF!,4,0),""))))))*VLOOKUP(C217,#REF!,3,0),"")</f>
        <v/>
      </c>
      <c r="I217" s="1106">
        <v>0.25</v>
      </c>
      <c r="J217" s="67" t="e">
        <f>ROUND(H217*(1+I217),2)</f>
        <v>#VALUE!</v>
      </c>
      <c r="K217" s="69" t="e">
        <f>SUM(G217*J217)</f>
        <v>#VALUE!</v>
      </c>
      <c r="L217" s="51"/>
      <c r="M217" s="52"/>
      <c r="N217" s="940"/>
    </row>
    <row r="218" spans="2:14" s="25" customFormat="1" ht="27" customHeight="1">
      <c r="B218" s="61" t="s">
        <v>6451</v>
      </c>
      <c r="C218" s="61" t="s">
        <v>26</v>
      </c>
      <c r="D218" s="1108" t="s">
        <v>6452</v>
      </c>
      <c r="E218" s="64" t="str">
        <f>IFERROR(UPPER(IF(C218="CPU",VLOOKUP(D218,#REF!,2,0),IF(C218="SINAPI",VLOOKUP(D218,#REF!,2,0),IF(C218="EDIF",VLOOKUP(D218,#REF!,2,0),IF(C218="CPOS",VLOOKUP(D218,#REF!,3,0),IF(C218="FDE",VLOOKUP(D218,#REF!,2,0),IF(C218="INFRA",VLOOKUP(D218,#REF!,2,0),""))))))),"")</f>
        <v/>
      </c>
      <c r="F218" s="65" t="str">
        <f>IFERROR(UPPER(IF(C218="CPU",VLOOKUP(D218,#REF!,3,0),IF(C218="SINAPI",VLOOKUP(D218,#REF!,3,0),IF(C218="EDIF",VLOOKUP(D218,#REF!,3,0),IF(C218="CPOS",VLOOKUP(D218,#REF!,4,0),IF(C218="FDE",VLOOKUP(D218,#REF!,3,0),IF(C218="INFRA",VLOOKUP(D218,#REF!,3,0),""))))))),"")</f>
        <v/>
      </c>
      <c r="G218" s="66">
        <v>4</v>
      </c>
      <c r="H218" s="67" t="str">
        <f>IFERROR(IF(C218="CPU",VLOOKUP(D218,#REF!,4,0),IF(C218="SINAPI",VLOOKUP(D218,#REF!,5,0),IF(C218="EDIF",VLOOKUP(D218,#REF!,4,0),IF(C218="CPOS",VLOOKUP(D218,#REF!,7,0),IF(C218="FDE",VLOOKUP(D218,#REF!,5,0),IF(C218="INFRA",VLOOKUP(D218,#REF!,4,0),""))))))*VLOOKUP(C218,#REF!,3,0),"")</f>
        <v/>
      </c>
      <c r="I218" s="1106">
        <v>0.25</v>
      </c>
      <c r="J218" s="67" t="e">
        <f>ROUND(H218*(1+I218),2)</f>
        <v>#VALUE!</v>
      </c>
      <c r="K218" s="69" t="e">
        <f>SUM(G218*J218)</f>
        <v>#VALUE!</v>
      </c>
      <c r="L218" s="51"/>
      <c r="M218" s="52"/>
      <c r="N218" s="940"/>
    </row>
    <row r="219" spans="2:14" s="25" customFormat="1" ht="27" customHeight="1">
      <c r="B219" s="1097" t="s">
        <v>5752</v>
      </c>
      <c r="C219" s="1098"/>
      <c r="D219" s="1098"/>
      <c r="E219" s="1099" t="s">
        <v>6453</v>
      </c>
      <c r="F219" s="1100" t="str">
        <f>IFERROR(UPPER(IF(C219="CPU",VLOOKUP(D219,#REF!,3,0),IF(C219="SINAPI",VLOOKUP(D219,#REF!,3,0),IF(C219="EDIF",VLOOKUP(D219,#REF!,3,0),IF(C219="CPOS",VLOOKUP(D219,#REF!,4,0),IF(C219="FDE",VLOOKUP(D219,#REF!,3,0),IF(C219="INFRA",VLOOKUP(D219,#REF!,3,0),""))))))),"")</f>
        <v/>
      </c>
      <c r="G219" s="1101"/>
      <c r="H219" s="1102" t="str">
        <f>IFERROR(IF(C219="CPU",VLOOKUP(D219,#REF!,4,0),IF(C219="SINAPI",VLOOKUP(D219,#REF!,5,0),IF(C219="EDIF",VLOOKUP(D219,#REF!,4,0),IF(C219="CPOS",VLOOKUP(D219,#REF!,7,0),IF(C219="FDE",VLOOKUP(D219,#REF!,5,0),IF(C219="INFRA",VLOOKUP(D219,#REF!,4,0),""))))))*VLOOKUP(C219,#REF!,3,0),"")</f>
        <v/>
      </c>
      <c r="I219" s="1103"/>
      <c r="J219" s="1103"/>
      <c r="K219" s="1104"/>
      <c r="L219" s="51"/>
      <c r="M219" s="52"/>
      <c r="N219" s="940"/>
    </row>
    <row r="220" spans="2:14" s="25" customFormat="1" ht="27" customHeight="1">
      <c r="B220" s="61" t="s">
        <v>6454</v>
      </c>
      <c r="C220" s="61" t="s">
        <v>1479</v>
      </c>
      <c r="D220" s="1107" t="s">
        <v>6455</v>
      </c>
      <c r="E220" s="64" t="str">
        <f>IFERROR(UPPER(IF(C220="CPU",VLOOKUP(D220,#REF!,2,0),IF(C220="SINAPI",VLOOKUP(D220,#REF!,2,0),IF(C220="EDIF",VLOOKUP(D220,#REF!,2,0),IF(C220="CPOS",VLOOKUP(D220,#REF!,3,0),IF(C220="FDE",VLOOKUP(D220,#REF!,2,0),IF(C220="INFRA",VLOOKUP(D220,#REF!,2,0),""))))))),"")</f>
        <v/>
      </c>
      <c r="F220" s="65" t="str">
        <f>IFERROR(UPPER(IF(C220="CPU",VLOOKUP(D220,#REF!,3,0),IF(C220="SINAPI",VLOOKUP(D220,#REF!,3,0),IF(C220="EDIF",VLOOKUP(D220,#REF!,3,0),IF(C220="CPOS",VLOOKUP(D220,#REF!,4,0),IF(C220="FDE",VLOOKUP(D220,#REF!,3,0),IF(C220="INFRA",VLOOKUP(D220,#REF!,3,0),""))))))),"")</f>
        <v/>
      </c>
      <c r="G220" s="66">
        <v>1</v>
      </c>
      <c r="H220" s="67" t="str">
        <f>IFERROR(IF(C220="CPU",VLOOKUP(D220,#REF!,4,0),IF(C220="SINAPI",VLOOKUP(D220,#REF!,5,0),IF(C220="EDIF",VLOOKUP(D220,#REF!,4,0),IF(C220="CPOS",VLOOKUP(D220,#REF!,7,0),IF(C220="FDE",VLOOKUP(D220,#REF!,5,0),IF(C220="INFRA",VLOOKUP(D220,#REF!,4,0),""))))))*VLOOKUP(C220,#REF!,3,0),"")</f>
        <v/>
      </c>
      <c r="I220" s="1106">
        <v>0.25</v>
      </c>
      <c r="J220" s="67" t="e">
        <f>ROUND(H220*(1+I220),2)</f>
        <v>#VALUE!</v>
      </c>
      <c r="K220" s="69" t="e">
        <f>SUM(G220*J220)</f>
        <v>#VALUE!</v>
      </c>
      <c r="L220" s="51"/>
      <c r="M220" s="52"/>
      <c r="N220" s="940"/>
    </row>
    <row r="221" spans="2:14" s="25" customFormat="1" ht="27" customHeight="1">
      <c r="B221" s="61" t="s">
        <v>6456</v>
      </c>
      <c r="C221" s="61" t="s">
        <v>1479</v>
      </c>
      <c r="D221" s="94" t="s">
        <v>6457</v>
      </c>
      <c r="E221" s="64" t="str">
        <f>IFERROR(UPPER(IF(C221="CPU",VLOOKUP(D221,#REF!,2,0),IF(C221="SINAPI",VLOOKUP(D221,#REF!,2,0),IF(C221="EDIF",VLOOKUP(D221,#REF!,2,0),IF(C221="CPOS",VLOOKUP(D221,#REF!,3,0),IF(C221="FDE",VLOOKUP(D221,#REF!,2,0),IF(C221="INFRA",VLOOKUP(D221,#REF!,2,0),""))))))),"")</f>
        <v/>
      </c>
      <c r="F221" s="65" t="str">
        <f>IFERROR(UPPER(IF(C221="CPU",VLOOKUP(D221,#REF!,3,0),IF(C221="SINAPI",VLOOKUP(D221,#REF!,3,0),IF(C221="EDIF",VLOOKUP(D221,#REF!,3,0),IF(C221="CPOS",VLOOKUP(D221,#REF!,4,0),IF(C221="FDE",VLOOKUP(D221,#REF!,3,0),IF(C221="INFRA",VLOOKUP(D221,#REF!,3,0),""))))))),"")</f>
        <v/>
      </c>
      <c r="G221" s="66">
        <v>37</v>
      </c>
      <c r="H221" s="67" t="str">
        <f>IFERROR(IF(C221="CPU",VLOOKUP(D221,#REF!,4,0),IF(C221="SINAPI",VLOOKUP(D221,#REF!,5,0),IF(C221="EDIF",VLOOKUP(D221,#REF!,4,0),IF(C221="CPOS",VLOOKUP(D221,#REF!,7,0),IF(C221="FDE",VLOOKUP(D221,#REF!,5,0),IF(C221="INFRA",VLOOKUP(D221,#REF!,4,0),""))))))*VLOOKUP(C221,#REF!,3,0),"")</f>
        <v/>
      </c>
      <c r="I221" s="1106">
        <v>0.25</v>
      </c>
      <c r="J221" s="67" t="e">
        <f>ROUND(H221*(1+I221),2)</f>
        <v>#VALUE!</v>
      </c>
      <c r="K221" s="69" t="e">
        <f>SUM(G221*J221)</f>
        <v>#VALUE!</v>
      </c>
      <c r="L221" s="51"/>
      <c r="M221" s="52"/>
      <c r="N221" s="940"/>
    </row>
    <row r="222" spans="2:14" s="25" customFormat="1" ht="27" customHeight="1">
      <c r="B222" s="61" t="s">
        <v>6456</v>
      </c>
      <c r="C222" s="61" t="s">
        <v>1479</v>
      </c>
      <c r="D222" s="94" t="s">
        <v>6077</v>
      </c>
      <c r="E222" s="64" t="str">
        <f>IFERROR(UPPER(IF(C222="CPU",VLOOKUP(D222,#REF!,2,0),IF(C222="SINAPI",VLOOKUP(D222,#REF!,2,0),IF(C222="EDIF",VLOOKUP(D222,#REF!,2,0),IF(C222="CPOS",VLOOKUP(D222,#REF!,3,0),IF(C222="FDE",VLOOKUP(D222,#REF!,2,0),IF(C222="INFRA",VLOOKUP(D222,#REF!,2,0),""))))))),"")</f>
        <v/>
      </c>
      <c r="F222" s="65" t="str">
        <f>IFERROR(UPPER(IF(C222="CPU",VLOOKUP(D222,#REF!,3,0),IF(C222="SINAPI",VLOOKUP(D222,#REF!,3,0),IF(C222="EDIF",VLOOKUP(D222,#REF!,3,0),IF(C222="CPOS",VLOOKUP(D222,#REF!,4,0),IF(C222="FDE",VLOOKUP(D222,#REF!,3,0),IF(C222="INFRA",VLOOKUP(D222,#REF!,3,0),""))))))),"")</f>
        <v/>
      </c>
      <c r="G222" s="66">
        <v>5</v>
      </c>
      <c r="H222" s="67" t="str">
        <f>IFERROR(IF(C222="CPU",VLOOKUP(D222,#REF!,4,0),IF(C222="SINAPI",VLOOKUP(D222,#REF!,5,0),IF(C222="EDIF",VLOOKUP(D222,#REF!,4,0),IF(C222="CPOS",VLOOKUP(D222,#REF!,7,0),IF(C222="FDE",VLOOKUP(D222,#REF!,5,0),IF(C222="INFRA",VLOOKUP(D222,#REF!,4,0),""))))))*VLOOKUP(C222,#REF!,3,0),"")</f>
        <v/>
      </c>
      <c r="I222" s="1106">
        <v>0.25</v>
      </c>
      <c r="J222" s="67" t="e">
        <f>ROUND(H222*(1+I222),2)</f>
        <v>#VALUE!</v>
      </c>
      <c r="K222" s="69" t="e">
        <f>SUM(G222*J222)</f>
        <v>#VALUE!</v>
      </c>
      <c r="L222" s="51"/>
      <c r="M222" s="52"/>
      <c r="N222" s="940"/>
    </row>
    <row r="223" spans="2:14" s="25" customFormat="1" ht="27" customHeight="1">
      <c r="B223" s="61" t="s">
        <v>6456</v>
      </c>
      <c r="C223" s="61" t="s">
        <v>1479</v>
      </c>
      <c r="D223" s="94" t="s">
        <v>6075</v>
      </c>
      <c r="E223" s="64" t="str">
        <f>IFERROR(UPPER(IF(C223="CPU",VLOOKUP(D223,#REF!,2,0),IF(C223="SINAPI",VLOOKUP(D223,#REF!,2,0),IF(C223="EDIF",VLOOKUP(D223,#REF!,2,0),IF(C223="CPOS",VLOOKUP(D223,#REF!,3,0),IF(C223="FDE",VLOOKUP(D223,#REF!,2,0),IF(C223="INFRA",VLOOKUP(D223,#REF!,2,0),""))))))),"")</f>
        <v/>
      </c>
      <c r="F223" s="65" t="str">
        <f>IFERROR(UPPER(IF(C223="CPU",VLOOKUP(D223,#REF!,3,0),IF(C223="SINAPI",VLOOKUP(D223,#REF!,3,0),IF(C223="EDIF",VLOOKUP(D223,#REF!,3,0),IF(C223="CPOS",VLOOKUP(D223,#REF!,4,0),IF(C223="FDE",VLOOKUP(D223,#REF!,3,0),IF(C223="INFRA",VLOOKUP(D223,#REF!,3,0),""))))))),"")</f>
        <v/>
      </c>
      <c r="G223" s="66">
        <v>10</v>
      </c>
      <c r="H223" s="67" t="str">
        <f>IFERROR(IF(C223="CPU",VLOOKUP(D223,#REF!,4,0),IF(C223="SINAPI",VLOOKUP(D223,#REF!,5,0),IF(C223="EDIF",VLOOKUP(D223,#REF!,4,0),IF(C223="CPOS",VLOOKUP(D223,#REF!,7,0),IF(C223="FDE",VLOOKUP(D223,#REF!,5,0),IF(C223="INFRA",VLOOKUP(D223,#REF!,4,0),""))))))*VLOOKUP(C223,#REF!,3,0),"")</f>
        <v/>
      </c>
      <c r="I223" s="1106">
        <v>0.25</v>
      </c>
      <c r="J223" s="67" t="e">
        <f>ROUND(H223*(1+I223),2)</f>
        <v>#VALUE!</v>
      </c>
      <c r="K223" s="69" t="e">
        <f>SUM(G223*J223)</f>
        <v>#VALUE!</v>
      </c>
      <c r="L223" s="51"/>
      <c r="M223" s="52"/>
      <c r="N223" s="940"/>
    </row>
    <row r="224" spans="2:14" s="25" customFormat="1" ht="27" customHeight="1">
      <c r="B224" s="61" t="s">
        <v>6458</v>
      </c>
      <c r="C224" s="61" t="s">
        <v>4872</v>
      </c>
      <c r="D224" s="1107">
        <v>100720</v>
      </c>
      <c r="E224" s="64" t="str">
        <f>IFERROR(UPPER(IF(C224="CPU",VLOOKUP(D224,#REF!,2,0),IF(C224="SINAPI",VLOOKUP(D224,#REF!,2,0),IF(C224="EDIF",VLOOKUP(D224,#REF!,2,0),IF(C224="CPOS",VLOOKUP(D224,#REF!,3,0),IF(C224="FDE",VLOOKUP(D224,#REF!,2,0),IF(C224="INFRA",VLOOKUP(D224,#REF!,2,0),""))))))),"")</f>
        <v/>
      </c>
      <c r="F224" s="65" t="str">
        <f>IFERROR(UPPER(IF(C224="CPU",VLOOKUP(D224,#REF!,3,0),IF(C224="SINAPI",VLOOKUP(D224,#REF!,3,0),IF(C224="EDIF",VLOOKUP(D224,#REF!,3,0),IF(C224="CPOS",VLOOKUP(D224,#REF!,4,0),IF(C224="FDE",VLOOKUP(D224,#REF!,3,0),IF(C224="INFRA",VLOOKUP(D224,#REF!,3,0),""))))))),"")</f>
        <v/>
      </c>
      <c r="G224" s="66">
        <v>5</v>
      </c>
      <c r="H224" s="67" t="str">
        <f>IFERROR(IF(C224="CPU",VLOOKUP(D224,#REF!,4,0),IF(C224="SINAPI",VLOOKUP(D224,#REF!,5,0),IF(C224="EDIF",VLOOKUP(D224,#REF!,4,0),IF(C224="CPOS",VLOOKUP(D224,#REF!,7,0),IF(C224="FDE",VLOOKUP(D224,#REF!,5,0),IF(C224="INFRA",VLOOKUP(D224,#REF!,4,0),""))))))*VLOOKUP(C224,#REF!,3,0),"")</f>
        <v/>
      </c>
      <c r="I224" s="1106">
        <v>0.25</v>
      </c>
      <c r="J224" s="67" t="e">
        <f>ROUND(H224*(1+I224),2)</f>
        <v>#VALUE!</v>
      </c>
      <c r="K224" s="69" t="e">
        <f>SUM(G224*J224)</f>
        <v>#VALUE!</v>
      </c>
      <c r="L224" s="51"/>
      <c r="M224" s="52"/>
      <c r="N224" s="940"/>
    </row>
    <row r="225" spans="2:14" s="25" customFormat="1" ht="27" customHeight="1">
      <c r="B225" s="1097" t="s">
        <v>5754</v>
      </c>
      <c r="C225" s="1098"/>
      <c r="D225" s="1098"/>
      <c r="E225" s="1099" t="s">
        <v>6459</v>
      </c>
      <c r="F225" s="1100" t="str">
        <f>IFERROR(UPPER(IF(C225="CPU",VLOOKUP(D225,#REF!,3,0),IF(C225="SINAPI",VLOOKUP(D225,#REF!,3,0),IF(C225="EDIF",VLOOKUP(D225,#REF!,3,0),IF(C225="CPOS",VLOOKUP(D225,#REF!,4,0),IF(C225="FDE",VLOOKUP(D225,#REF!,3,0),IF(C225="INFRA",VLOOKUP(D225,#REF!,3,0),""))))))),"")</f>
        <v/>
      </c>
      <c r="G225" s="1101"/>
      <c r="H225" s="1102" t="str">
        <f>IFERROR(IF(C225="CPU",VLOOKUP(D225,#REF!,4,0),IF(C225="SINAPI",VLOOKUP(D225,#REF!,5,0),IF(C225="EDIF",VLOOKUP(D225,#REF!,4,0),IF(C225="CPOS",VLOOKUP(D225,#REF!,7,0),IF(C225="FDE",VLOOKUP(D225,#REF!,5,0),IF(C225="INFRA",VLOOKUP(D225,#REF!,4,0),""))))))*VLOOKUP(C225,#REF!,3,0),"")</f>
        <v/>
      </c>
      <c r="I225" s="1103"/>
      <c r="J225" s="1103"/>
      <c r="K225" s="1104"/>
      <c r="L225" s="51"/>
      <c r="M225" s="52"/>
      <c r="N225" s="940"/>
    </row>
    <row r="226" spans="2:14" s="25" customFormat="1" ht="27" customHeight="1">
      <c r="B226" s="61" t="s">
        <v>6460</v>
      </c>
      <c r="C226" s="61" t="s">
        <v>1479</v>
      </c>
      <c r="D226" s="1108" t="s">
        <v>6461</v>
      </c>
      <c r="E226" s="64" t="str">
        <f>IFERROR(UPPER(IF(C226="CPU",VLOOKUP(D226,#REF!,2,0),IF(C226="SINAPI",VLOOKUP(D226,#REF!,2,0),IF(C226="EDIF",VLOOKUP(D226,#REF!,2,0),IF(C226="CPOS",VLOOKUP(D226,#REF!,3,0),IF(C226="FDE",VLOOKUP(D226,#REF!,2,0),IF(C226="INFRA",VLOOKUP(D226,#REF!,2,0),""))))))),"")</f>
        <v/>
      </c>
      <c r="F226" s="65" t="str">
        <f>IFERROR(UPPER(IF(C226="CPU",VLOOKUP(D226,#REF!,3,0),IF(C226="SINAPI",VLOOKUP(D226,#REF!,3,0),IF(C226="EDIF",VLOOKUP(D226,#REF!,3,0),IF(C226="CPOS",VLOOKUP(D226,#REF!,4,0),IF(C226="FDE",VLOOKUP(D226,#REF!,3,0),IF(C226="INFRA",VLOOKUP(D226,#REF!,3,0),""))))))),"")</f>
        <v/>
      </c>
      <c r="G226" s="66">
        <v>120</v>
      </c>
      <c r="H226" s="67" t="str">
        <f>IFERROR(IF(C226="CPU",VLOOKUP(D226,#REF!,4,0),IF(C226="SINAPI",VLOOKUP(D226,#REF!,5,0),IF(C226="EDIF",VLOOKUP(D226,#REF!,4,0),IF(C226="CPOS",VLOOKUP(D226,#REF!,7,0),IF(C226="FDE",VLOOKUP(D226,#REF!,5,0),IF(C226="INFRA",VLOOKUP(D226,#REF!,4,0),""))))))*VLOOKUP(C226,#REF!,3,0),"")</f>
        <v/>
      </c>
      <c r="I226" s="1106">
        <v>0.25</v>
      </c>
      <c r="J226" s="67" t="e">
        <f t="shared" ref="J226:J232" si="26">ROUND(H226*(1+I226),2)</f>
        <v>#VALUE!</v>
      </c>
      <c r="K226" s="69" t="e">
        <f t="shared" ref="K226:K232" si="27">SUM(G226*J226)</f>
        <v>#VALUE!</v>
      </c>
      <c r="L226" s="51"/>
      <c r="M226" s="52"/>
      <c r="N226" s="940"/>
    </row>
    <row r="227" spans="2:14" s="25" customFormat="1" ht="27" customHeight="1">
      <c r="B227" s="61" t="s">
        <v>6462</v>
      </c>
      <c r="C227" s="61" t="s">
        <v>1479</v>
      </c>
      <c r="D227" s="1108" t="s">
        <v>6463</v>
      </c>
      <c r="E227" s="64" t="str">
        <f>IFERROR(UPPER(IF(C227="CPU",VLOOKUP(D227,#REF!,2,0),IF(C227="SINAPI",VLOOKUP(D227,#REF!,2,0),IF(C227="EDIF",VLOOKUP(D227,#REF!,2,0),IF(C227="CPOS",VLOOKUP(D227,#REF!,3,0),IF(C227="FDE",VLOOKUP(D227,#REF!,2,0),IF(C227="INFRA",VLOOKUP(D227,#REF!,2,0),""))))))),"")</f>
        <v/>
      </c>
      <c r="F227" s="65" t="str">
        <f>IFERROR(UPPER(IF(C227="CPU",VLOOKUP(D227,#REF!,3,0),IF(C227="SINAPI",VLOOKUP(D227,#REF!,3,0),IF(C227="EDIF",VLOOKUP(D227,#REF!,3,0),IF(C227="CPOS",VLOOKUP(D227,#REF!,4,0),IF(C227="FDE",VLOOKUP(D227,#REF!,3,0),IF(C227="INFRA",VLOOKUP(D227,#REF!,3,0),""))))))),"")</f>
        <v/>
      </c>
      <c r="G227" s="66">
        <v>1</v>
      </c>
      <c r="H227" s="67" t="str">
        <f>IFERROR(IF(C227="CPU",VLOOKUP(D227,#REF!,4,0),IF(C227="SINAPI",VLOOKUP(D227,#REF!,5,0),IF(C227="EDIF",VLOOKUP(D227,#REF!,4,0),IF(C227="CPOS",VLOOKUP(D227,#REF!,7,0),IF(C227="FDE",VLOOKUP(D227,#REF!,5,0),IF(C227="INFRA",VLOOKUP(D227,#REF!,4,0),""))))))*VLOOKUP(C227,#REF!,3,0),"")</f>
        <v/>
      </c>
      <c r="I227" s="1106">
        <v>0.25</v>
      </c>
      <c r="J227" s="67" t="e">
        <f t="shared" si="26"/>
        <v>#VALUE!</v>
      </c>
      <c r="K227" s="69" t="e">
        <f t="shared" si="27"/>
        <v>#VALUE!</v>
      </c>
      <c r="L227" s="51"/>
      <c r="M227" s="52"/>
      <c r="N227" s="940"/>
    </row>
    <row r="228" spans="2:14" s="25" customFormat="1" ht="27" customHeight="1">
      <c r="B228" s="61" t="s">
        <v>6464</v>
      </c>
      <c r="C228" s="61" t="s">
        <v>1479</v>
      </c>
      <c r="D228" s="1108" t="s">
        <v>6465</v>
      </c>
      <c r="E228" s="64" t="str">
        <f>IFERROR(UPPER(IF(C228="CPU",VLOOKUP(D228,#REF!,2,0),IF(C228="SINAPI",VLOOKUP(D228,#REF!,2,0),IF(C228="EDIF",VLOOKUP(D228,#REF!,2,0),IF(C228="CPOS",VLOOKUP(D228,#REF!,3,0),IF(C228="FDE",VLOOKUP(D228,#REF!,2,0),IF(C228="INFRA",VLOOKUP(D228,#REF!,2,0),""))))))),"")</f>
        <v/>
      </c>
      <c r="F228" s="65" t="str">
        <f>IFERROR(UPPER(IF(C228="CPU",VLOOKUP(D228,#REF!,3,0),IF(C228="SINAPI",VLOOKUP(D228,#REF!,3,0),IF(C228="EDIF",VLOOKUP(D228,#REF!,3,0),IF(C228="CPOS",VLOOKUP(D228,#REF!,4,0),IF(C228="FDE",VLOOKUP(D228,#REF!,3,0),IF(C228="INFRA",VLOOKUP(D228,#REF!,3,0),""))))))),"")</f>
        <v/>
      </c>
      <c r="G228" s="66">
        <v>2</v>
      </c>
      <c r="H228" s="67" t="str">
        <f>IFERROR(IF(C228="CPU",VLOOKUP(D228,#REF!,4,0),IF(C228="SINAPI",VLOOKUP(D228,#REF!,5,0),IF(C228="EDIF",VLOOKUP(D228,#REF!,4,0),IF(C228="CPOS",VLOOKUP(D228,#REF!,7,0),IF(C228="FDE",VLOOKUP(D228,#REF!,5,0),IF(C228="INFRA",VLOOKUP(D228,#REF!,4,0),""))))))*VLOOKUP(C228,#REF!,3,0),"")</f>
        <v/>
      </c>
      <c r="I228" s="1106">
        <v>0.25</v>
      </c>
      <c r="J228" s="67" t="e">
        <f t="shared" si="26"/>
        <v>#VALUE!</v>
      </c>
      <c r="K228" s="69" t="e">
        <f t="shared" si="27"/>
        <v>#VALUE!</v>
      </c>
      <c r="L228" s="51"/>
      <c r="M228" s="52"/>
      <c r="N228" s="940"/>
    </row>
    <row r="229" spans="2:14" s="25" customFormat="1" ht="27" customHeight="1">
      <c r="B229" s="61" t="s">
        <v>6466</v>
      </c>
      <c r="C229" s="61" t="s">
        <v>1479</v>
      </c>
      <c r="D229" s="1108" t="s">
        <v>6467</v>
      </c>
      <c r="E229" s="64" t="str">
        <f>IFERROR(UPPER(IF(C229="CPU",VLOOKUP(D229,#REF!,2,0),IF(C229="SINAPI",VLOOKUP(D229,#REF!,2,0),IF(C229="EDIF",VLOOKUP(D229,#REF!,2,0),IF(C229="CPOS",VLOOKUP(D229,#REF!,3,0),IF(C229="FDE",VLOOKUP(D229,#REF!,2,0),IF(C229="INFRA",VLOOKUP(D229,#REF!,2,0),""))))))),"")</f>
        <v/>
      </c>
      <c r="F229" s="65" t="str">
        <f>IFERROR(UPPER(IF(C229="CPU",VLOOKUP(D229,#REF!,3,0),IF(C229="SINAPI",VLOOKUP(D229,#REF!,3,0),IF(C229="EDIF",VLOOKUP(D229,#REF!,3,0),IF(C229="CPOS",VLOOKUP(D229,#REF!,4,0),IF(C229="FDE",VLOOKUP(D229,#REF!,3,0),IF(C229="INFRA",VLOOKUP(D229,#REF!,3,0),""))))))),"")</f>
        <v/>
      </c>
      <c r="G229" s="66">
        <v>2</v>
      </c>
      <c r="H229" s="67" t="str">
        <f>IFERROR(IF(C229="CPU",VLOOKUP(D229,#REF!,4,0),IF(C229="SINAPI",VLOOKUP(D229,#REF!,5,0),IF(C229="EDIF",VLOOKUP(D229,#REF!,4,0),IF(C229="CPOS",VLOOKUP(D229,#REF!,7,0),IF(C229="FDE",VLOOKUP(D229,#REF!,5,0),IF(C229="INFRA",VLOOKUP(D229,#REF!,4,0),""))))))*VLOOKUP(C229,#REF!,3,0),"")</f>
        <v/>
      </c>
      <c r="I229" s="1106">
        <v>0.25</v>
      </c>
      <c r="J229" s="67" t="e">
        <f t="shared" si="26"/>
        <v>#VALUE!</v>
      </c>
      <c r="K229" s="69" t="e">
        <f t="shared" si="27"/>
        <v>#VALUE!</v>
      </c>
      <c r="L229" s="51"/>
      <c r="M229" s="52"/>
      <c r="N229" s="940"/>
    </row>
    <row r="230" spans="2:14" s="25" customFormat="1" ht="27" customHeight="1">
      <c r="B230" s="61" t="s">
        <v>6468</v>
      </c>
      <c r="C230" s="61" t="s">
        <v>1479</v>
      </c>
      <c r="D230" s="1108" t="s">
        <v>6469</v>
      </c>
      <c r="E230" s="64" t="str">
        <f>IFERROR(UPPER(IF(C230="CPU",VLOOKUP(D230,#REF!,2,0),IF(C230="SINAPI",VLOOKUP(D230,#REF!,2,0),IF(C230="EDIF",VLOOKUP(D230,#REF!,2,0),IF(C230="CPOS",VLOOKUP(D230,#REF!,3,0),IF(C230="FDE",VLOOKUP(D230,#REF!,2,0),IF(C230="INFRA",VLOOKUP(D230,#REF!,2,0),""))))))),"")</f>
        <v/>
      </c>
      <c r="F230" s="65" t="str">
        <f>IFERROR(UPPER(IF(C230="CPU",VLOOKUP(D230,#REF!,3,0),IF(C230="SINAPI",VLOOKUP(D230,#REF!,3,0),IF(C230="EDIF",VLOOKUP(D230,#REF!,3,0),IF(C230="CPOS",VLOOKUP(D230,#REF!,4,0),IF(C230="FDE",VLOOKUP(D230,#REF!,3,0),IF(C230="INFRA",VLOOKUP(D230,#REF!,3,0),""))))))),"")</f>
        <v/>
      </c>
      <c r="G230" s="66">
        <v>2</v>
      </c>
      <c r="H230" s="67" t="str">
        <f>IFERROR(IF(C230="CPU",VLOOKUP(D230,#REF!,4,0),IF(C230="SINAPI",VLOOKUP(D230,#REF!,5,0),IF(C230="EDIF",VLOOKUP(D230,#REF!,4,0),IF(C230="CPOS",VLOOKUP(D230,#REF!,7,0),IF(C230="FDE",VLOOKUP(D230,#REF!,5,0),IF(C230="INFRA",VLOOKUP(D230,#REF!,4,0),""))))))*VLOOKUP(C230,#REF!,3,0),"")</f>
        <v/>
      </c>
      <c r="I230" s="1106">
        <v>0.25</v>
      </c>
      <c r="J230" s="67" t="e">
        <f t="shared" si="26"/>
        <v>#VALUE!</v>
      </c>
      <c r="K230" s="69" t="e">
        <f t="shared" si="27"/>
        <v>#VALUE!</v>
      </c>
      <c r="L230" s="51"/>
      <c r="M230" s="52"/>
      <c r="N230" s="940"/>
    </row>
    <row r="231" spans="2:14" s="25" customFormat="1" ht="27" customHeight="1">
      <c r="B231" s="61" t="s">
        <v>6470</v>
      </c>
      <c r="C231" s="61" t="s">
        <v>1479</v>
      </c>
      <c r="D231" s="1108" t="s">
        <v>6471</v>
      </c>
      <c r="E231" s="64" t="str">
        <f>IFERROR(UPPER(IF(C231="CPU",VLOOKUP(D231,#REF!,2,0),IF(C231="SINAPI",VLOOKUP(D231,#REF!,2,0),IF(C231="EDIF",VLOOKUP(D231,#REF!,2,0),IF(C231="CPOS",VLOOKUP(D231,#REF!,3,0),IF(C231="FDE",VLOOKUP(D231,#REF!,2,0),IF(C231="INFRA",VLOOKUP(D231,#REF!,2,0),""))))))),"")</f>
        <v/>
      </c>
      <c r="F231" s="65" t="str">
        <f>IFERROR(UPPER(IF(C231="CPU",VLOOKUP(D231,#REF!,3,0),IF(C231="SINAPI",VLOOKUP(D231,#REF!,3,0),IF(C231="EDIF",VLOOKUP(D231,#REF!,3,0),IF(C231="CPOS",VLOOKUP(D231,#REF!,4,0),IF(C231="FDE",VLOOKUP(D231,#REF!,3,0),IF(C231="INFRA",VLOOKUP(D231,#REF!,3,0),""))))))),"")</f>
        <v/>
      </c>
      <c r="G231" s="66">
        <v>5</v>
      </c>
      <c r="H231" s="67" t="str">
        <f>IFERROR(IF(C231="CPU",VLOOKUP(D231,#REF!,4,0),IF(C231="SINAPI",VLOOKUP(D231,#REF!,5,0),IF(C231="EDIF",VLOOKUP(D231,#REF!,4,0),IF(C231="CPOS",VLOOKUP(D231,#REF!,7,0),IF(C231="FDE",VLOOKUP(D231,#REF!,5,0),IF(C231="INFRA",VLOOKUP(D231,#REF!,4,0),""))))))*VLOOKUP(C231,#REF!,3,0),"")</f>
        <v/>
      </c>
      <c r="I231" s="1106">
        <v>0.25</v>
      </c>
      <c r="J231" s="67" t="e">
        <f t="shared" si="26"/>
        <v>#VALUE!</v>
      </c>
      <c r="K231" s="69" t="e">
        <f t="shared" si="27"/>
        <v>#VALUE!</v>
      </c>
      <c r="L231" s="51"/>
      <c r="M231" s="52"/>
      <c r="N231" s="940"/>
    </row>
    <row r="232" spans="2:14" s="25" customFormat="1" ht="27" customHeight="1">
      <c r="B232" s="61" t="s">
        <v>6472</v>
      </c>
      <c r="C232" s="61" t="s">
        <v>1479</v>
      </c>
      <c r="D232" s="1108" t="s">
        <v>6066</v>
      </c>
      <c r="E232" s="64" t="str">
        <f>IFERROR(UPPER(IF(C232="CPU",VLOOKUP(D232,#REF!,2,0),IF(C232="SINAPI",VLOOKUP(D232,#REF!,2,0),IF(C232="EDIF",VLOOKUP(D232,#REF!,2,0),IF(C232="CPOS",VLOOKUP(D232,#REF!,3,0),IF(C232="FDE",VLOOKUP(D232,#REF!,2,0),IF(C232="INFRA",VLOOKUP(D232,#REF!,2,0),""))))))),"")</f>
        <v/>
      </c>
      <c r="F232" s="65" t="str">
        <f>IFERROR(UPPER(IF(C232="CPU",VLOOKUP(D232,#REF!,3,0),IF(C232="SINAPI",VLOOKUP(D232,#REF!,3,0),IF(C232="EDIF",VLOOKUP(D232,#REF!,3,0),IF(C232="CPOS",VLOOKUP(D232,#REF!,4,0),IF(C232="FDE",VLOOKUP(D232,#REF!,3,0),IF(C232="INFRA",VLOOKUP(D232,#REF!,3,0),""))))))),"")</f>
        <v/>
      </c>
      <c r="G232" s="66">
        <v>4</v>
      </c>
      <c r="H232" s="67" t="str">
        <f>IFERROR(IF(C232="CPU",VLOOKUP(D232,#REF!,4,0),IF(C232="SINAPI",VLOOKUP(D232,#REF!,5,0),IF(C232="EDIF",VLOOKUP(D232,#REF!,4,0),IF(C232="CPOS",VLOOKUP(D232,#REF!,7,0),IF(C232="FDE",VLOOKUP(D232,#REF!,5,0),IF(C232="INFRA",VLOOKUP(D232,#REF!,4,0),""))))))*VLOOKUP(C232,#REF!,3,0),"")</f>
        <v/>
      </c>
      <c r="I232" s="1106">
        <v>0.25</v>
      </c>
      <c r="J232" s="67" t="e">
        <f t="shared" si="26"/>
        <v>#VALUE!</v>
      </c>
      <c r="K232" s="69" t="e">
        <f t="shared" si="27"/>
        <v>#VALUE!</v>
      </c>
      <c r="L232" s="51"/>
      <c r="M232" s="52"/>
      <c r="N232" s="940"/>
    </row>
    <row r="233" spans="2:14" s="25" customFormat="1" ht="27" customHeight="1">
      <c r="B233" s="53">
        <v>13</v>
      </c>
      <c r="C233" s="54"/>
      <c r="D233" s="54"/>
      <c r="E233" s="55" t="s">
        <v>6143</v>
      </c>
      <c r="F233" s="56" t="str">
        <f>IFERROR(UPPER(IF(C233="CPU",VLOOKUP(D233,#REF!,3,0),IF(C233="SINAPI",VLOOKUP(D233,#REF!,3,0),IF(C233="EDIF",VLOOKUP(D233,#REF!,3,0),IF(C233="CPOS",VLOOKUP(D233,#REF!,4,0),IF(C233="FDE",VLOOKUP(D233,#REF!,3,0),IF(C233="INFRA",VLOOKUP(D233,#REF!,3,0),""))))))),"")</f>
        <v/>
      </c>
      <c r="G233" s="57"/>
      <c r="H233" s="58" t="str">
        <f>IFERROR(IF(C233="CPU",VLOOKUP(D233,#REF!,4,0),IF(C233="SINAPI",VLOOKUP(D233,#REF!,5,0),IF(C233="EDIF",VLOOKUP(D233,#REF!,4,0),IF(C233="CPOS",VLOOKUP(D233,#REF!,7,0),IF(C233="FDE",VLOOKUP(D233,#REF!,5,0),IF(C233="INFRA",VLOOKUP(D233,#REF!,4,0),""))))))*VLOOKUP(C233,#REF!,3,0),"")</f>
        <v/>
      </c>
      <c r="I233" s="59"/>
      <c r="J233" s="59"/>
      <c r="K233" s="1095" t="e">
        <f>SUM(K234:K287)</f>
        <v>#VALUE!</v>
      </c>
      <c r="L233" s="1096" t="e">
        <f>K233</f>
        <v>#VALUE!</v>
      </c>
      <c r="M233" s="52"/>
      <c r="N233" s="940"/>
    </row>
    <row r="234" spans="2:14" s="25" customFormat="1" ht="27" customHeight="1">
      <c r="B234" s="1097" t="s">
        <v>863</v>
      </c>
      <c r="C234" s="1098"/>
      <c r="D234" s="1098"/>
      <c r="E234" s="1099" t="s">
        <v>6473</v>
      </c>
      <c r="F234" s="1100" t="str">
        <f>IFERROR(UPPER(IF(C234="CPU",VLOOKUP(D234,#REF!,3,0),IF(C234="SINAPI",VLOOKUP(D234,#REF!,3,0),IF(C234="EDIF",VLOOKUP(D234,#REF!,3,0),IF(C234="CPOS",VLOOKUP(D234,#REF!,4,0),IF(C234="FDE",VLOOKUP(D234,#REF!,3,0),IF(C234="INFRA",VLOOKUP(D234,#REF!,3,0),""))))))),"")</f>
        <v/>
      </c>
      <c r="G234" s="1101"/>
      <c r="H234" s="1102" t="str">
        <f>IFERROR(IF(C234="CPU",VLOOKUP(D234,#REF!,4,0),IF(C234="SINAPI",VLOOKUP(D234,#REF!,5,0),IF(C234="EDIF",VLOOKUP(D234,#REF!,4,0),IF(C234="CPOS",VLOOKUP(D234,#REF!,7,0),IF(C234="FDE",VLOOKUP(D234,#REF!,5,0),IF(C234="INFRA",VLOOKUP(D234,#REF!,4,0),""))))))*VLOOKUP(C234,#REF!,3,0),"")</f>
        <v/>
      </c>
      <c r="I234" s="1103"/>
      <c r="J234" s="1103"/>
      <c r="K234" s="1104"/>
      <c r="L234" s="51"/>
      <c r="M234" s="52"/>
      <c r="N234" s="940"/>
    </row>
    <row r="235" spans="2:14" s="25" customFormat="1" ht="30" customHeight="1">
      <c r="B235" s="61" t="s">
        <v>866</v>
      </c>
      <c r="C235" s="61" t="s">
        <v>4872</v>
      </c>
      <c r="D235" s="1107">
        <v>101305</v>
      </c>
      <c r="E235" s="64" t="str">
        <f>IFERROR(UPPER(IF(C235="CPU",VLOOKUP(D235,#REF!,2,0),IF(C235="SINAPI",VLOOKUP(D235,#REF!,2,0),IF(C235="EDIF",VLOOKUP(D235,#REF!,2,0),IF(C235="CPOS",VLOOKUP(D235,#REF!,3,0),IF(C235="FDE",VLOOKUP(D235,#REF!,2,0),IF(C235="INFRA",VLOOKUP(D235,#REF!,2,0),""))))))),"")</f>
        <v/>
      </c>
      <c r="F235" s="65" t="str">
        <f>IFERROR(UPPER(IF(C235="CPU",VLOOKUP(D235,#REF!,3,0),IF(C235="SINAPI",VLOOKUP(D235,#REF!,3,0),IF(C235="EDIF",VLOOKUP(D235,#REF!,3,0),IF(C235="CPOS",VLOOKUP(D235,#REF!,4,0),IF(C235="FDE",VLOOKUP(D235,#REF!,3,0),IF(C235="INFRA",VLOOKUP(D235,#REF!,3,0),""))))))),"")</f>
        <v/>
      </c>
      <c r="G235" s="66">
        <v>2</v>
      </c>
      <c r="H235" s="67" t="str">
        <f>IFERROR(IF(C235="CPU",VLOOKUP(D235,#REF!,4,0),IF(C235="SINAPI",VLOOKUP(D235,#REF!,5,0),IF(C235="EDIF",VLOOKUP(D235,#REF!,4,0),IF(C235="CPOS",VLOOKUP(D235,#REF!,7,0),IF(C235="FDE",VLOOKUP(D235,#REF!,5,0),IF(C235="INFRA",VLOOKUP(D235,#REF!,4,0),""))))))*VLOOKUP(C235,#REF!,3,0),"")</f>
        <v/>
      </c>
      <c r="I235" s="1106">
        <v>0.25</v>
      </c>
      <c r="J235" s="67" t="e">
        <f t="shared" ref="J235:J245" si="28">ROUND(H235*(1+I235),2)</f>
        <v>#VALUE!</v>
      </c>
      <c r="K235" s="69" t="e">
        <f t="shared" ref="K235:K245" si="29">SUM(G235*J235)</f>
        <v>#VALUE!</v>
      </c>
      <c r="L235" s="51"/>
      <c r="M235" s="52"/>
      <c r="N235" s="940"/>
    </row>
    <row r="236" spans="2:14" s="25" customFormat="1" ht="34.5" customHeight="1">
      <c r="B236" s="61" t="s">
        <v>868</v>
      </c>
      <c r="C236" s="61" t="s">
        <v>4872</v>
      </c>
      <c r="D236" s="1107">
        <v>101314</v>
      </c>
      <c r="E236" s="64" t="str">
        <f>IFERROR(UPPER(IF(C236="CPU",VLOOKUP(D236,#REF!,2,0),IF(C236="SINAPI",VLOOKUP(D236,#REF!,2,0),IF(C236="EDIF",VLOOKUP(D236,#REF!,2,0),IF(C236="CPOS",VLOOKUP(D236,#REF!,3,0),IF(C236="FDE",VLOOKUP(D236,#REF!,2,0),IF(C236="INFRA",VLOOKUP(D236,#REF!,2,0),""))))))),"")</f>
        <v/>
      </c>
      <c r="F236" s="65" t="str">
        <f>IFERROR(UPPER(IF(C236="CPU",VLOOKUP(D236,#REF!,3,0),IF(C236="SINAPI",VLOOKUP(D236,#REF!,3,0),IF(C236="EDIF",VLOOKUP(D236,#REF!,3,0),IF(C236="CPOS",VLOOKUP(D236,#REF!,4,0),IF(C236="FDE",VLOOKUP(D236,#REF!,3,0),IF(C236="INFRA",VLOOKUP(D236,#REF!,3,0),""))))))),"")</f>
        <v/>
      </c>
      <c r="G236" s="66">
        <v>2</v>
      </c>
      <c r="H236" s="67" t="str">
        <f>IFERROR(IF(C236="CPU",VLOOKUP(D236,#REF!,4,0),IF(C236="SINAPI",VLOOKUP(D236,#REF!,5,0),IF(C236="EDIF",VLOOKUP(D236,#REF!,4,0),IF(C236="CPOS",VLOOKUP(D236,#REF!,7,0),IF(C236="FDE",VLOOKUP(D236,#REF!,5,0),IF(C236="INFRA",VLOOKUP(D236,#REF!,4,0),""))))))*VLOOKUP(C236,#REF!,3,0),"")</f>
        <v/>
      </c>
      <c r="I236" s="1106">
        <v>0.25</v>
      </c>
      <c r="J236" s="67" t="e">
        <f t="shared" si="28"/>
        <v>#VALUE!</v>
      </c>
      <c r="K236" s="69" t="e">
        <f t="shared" si="29"/>
        <v>#VALUE!</v>
      </c>
      <c r="L236" s="51"/>
      <c r="M236" s="52"/>
      <c r="N236" s="940"/>
    </row>
    <row r="237" spans="2:14" s="25" customFormat="1" ht="33" customHeight="1">
      <c r="B237" s="61" t="s">
        <v>870</v>
      </c>
      <c r="C237" s="61" t="s">
        <v>1479</v>
      </c>
      <c r="D237" s="1107" t="s">
        <v>6474</v>
      </c>
      <c r="E237" s="64" t="str">
        <f>IFERROR(UPPER(IF(C237="CPU",VLOOKUP(D237,#REF!,2,0),IF(C237="SINAPI",VLOOKUP(D237,#REF!,2,0),IF(C237="EDIF",VLOOKUP(D237,#REF!,2,0),IF(C237="CPOS",VLOOKUP(D237,#REF!,3,0),IF(C237="FDE",VLOOKUP(D237,#REF!,2,0),IF(C237="INFRA",VLOOKUP(D237,#REF!,2,0),""))))))),"")</f>
        <v/>
      </c>
      <c r="F237" s="65" t="str">
        <f>IFERROR(UPPER(IF(C237="CPU",VLOOKUP(D237,#REF!,3,0),IF(C237="SINAPI",VLOOKUP(D237,#REF!,3,0),IF(C237="EDIF",VLOOKUP(D237,#REF!,3,0),IF(C237="CPOS",VLOOKUP(D237,#REF!,4,0),IF(C237="FDE",VLOOKUP(D237,#REF!,3,0),IF(C237="INFRA",VLOOKUP(D237,#REF!,3,0),""))))))),"")</f>
        <v/>
      </c>
      <c r="G237" s="66">
        <v>2</v>
      </c>
      <c r="H237" s="67" t="str">
        <f>IFERROR(IF(C237="CPU",VLOOKUP(D237,#REF!,4,0),IF(C237="SINAPI",VLOOKUP(D237,#REF!,5,0),IF(C237="EDIF",VLOOKUP(D237,#REF!,4,0),IF(C237="CPOS",VLOOKUP(D237,#REF!,7,0),IF(C237="FDE",VLOOKUP(D237,#REF!,5,0),IF(C237="INFRA",VLOOKUP(D237,#REF!,4,0),""))))))*VLOOKUP(C237,#REF!,3,0),"")</f>
        <v/>
      </c>
      <c r="I237" s="1106">
        <v>0.25</v>
      </c>
      <c r="J237" s="67" t="e">
        <f t="shared" si="28"/>
        <v>#VALUE!</v>
      </c>
      <c r="K237" s="69" t="e">
        <f t="shared" si="29"/>
        <v>#VALUE!</v>
      </c>
      <c r="L237" s="51"/>
      <c r="M237" s="52"/>
      <c r="N237" s="940"/>
    </row>
    <row r="238" spans="2:14" s="25" customFormat="1" ht="27" customHeight="1">
      <c r="B238" s="61" t="s">
        <v>5064</v>
      </c>
      <c r="C238" s="61" t="s">
        <v>4908</v>
      </c>
      <c r="D238" s="1108">
        <v>36081</v>
      </c>
      <c r="E238" s="64" t="s">
        <v>6475</v>
      </c>
      <c r="F238" s="65" t="s">
        <v>1615</v>
      </c>
      <c r="G238" s="66">
        <v>4</v>
      </c>
      <c r="H238" s="67">
        <v>159.5</v>
      </c>
      <c r="I238" s="1106">
        <v>0.25</v>
      </c>
      <c r="J238" s="67">
        <f t="shared" si="28"/>
        <v>199.38</v>
      </c>
      <c r="K238" s="69">
        <f t="shared" si="29"/>
        <v>797.52</v>
      </c>
      <c r="L238" s="51"/>
      <c r="M238" s="52"/>
      <c r="N238" s="940"/>
    </row>
    <row r="239" spans="2:14" s="25" customFormat="1" ht="27" customHeight="1">
      <c r="B239" s="61" t="s">
        <v>5067</v>
      </c>
      <c r="C239" s="61" t="s">
        <v>4908</v>
      </c>
      <c r="D239" s="1108">
        <v>36205</v>
      </c>
      <c r="E239" s="64" t="s">
        <v>6476</v>
      </c>
      <c r="F239" s="65" t="s">
        <v>1615</v>
      </c>
      <c r="G239" s="66">
        <v>2</v>
      </c>
      <c r="H239" s="67">
        <v>149.59</v>
      </c>
      <c r="I239" s="1106">
        <v>0.25</v>
      </c>
      <c r="J239" s="67">
        <f t="shared" si="28"/>
        <v>186.99</v>
      </c>
      <c r="K239" s="69">
        <f t="shared" si="29"/>
        <v>373.98</v>
      </c>
      <c r="L239" s="51"/>
      <c r="M239" s="52"/>
      <c r="N239" s="940"/>
    </row>
    <row r="240" spans="2:14" s="25" customFormat="1" ht="27" customHeight="1">
      <c r="B240" s="61" t="s">
        <v>5069</v>
      </c>
      <c r="C240" s="61" t="s">
        <v>4908</v>
      </c>
      <c r="D240" s="1108">
        <v>36204</v>
      </c>
      <c r="E240" s="64" t="s">
        <v>6477</v>
      </c>
      <c r="F240" s="65" t="s">
        <v>1615</v>
      </c>
      <c r="G240" s="66">
        <v>4</v>
      </c>
      <c r="H240" s="67">
        <v>134.69</v>
      </c>
      <c r="I240" s="1106">
        <v>0.25</v>
      </c>
      <c r="J240" s="67">
        <f t="shared" si="28"/>
        <v>168.36</v>
      </c>
      <c r="K240" s="69">
        <f t="shared" si="29"/>
        <v>673.44</v>
      </c>
      <c r="L240" s="51"/>
      <c r="M240" s="52"/>
      <c r="N240" s="940"/>
    </row>
    <row r="241" spans="2:14" s="25" customFormat="1" ht="27" customHeight="1">
      <c r="B241" s="61" t="s">
        <v>5072</v>
      </c>
      <c r="C241" s="61" t="s">
        <v>4908</v>
      </c>
      <c r="D241" s="65" t="s">
        <v>6478</v>
      </c>
      <c r="E241" s="64" t="str">
        <f>IFERROR(UPPER(IF(C241="CPU",VLOOKUP(D241,#REF!,2,0),IF(C241="SINAPI",VLOOKUP(D241,#REF!,2,0),IF(C241="EDIF",VLOOKUP(D241,#REF!,2,0),IF(C241="CPOS",VLOOKUP(D241,#REF!,3,0),IF(C241="FDE",VLOOKUP(D241,#REF!,2,0),IF(C241="INFRA",VLOOKUP(D241,#REF!,2,0),""))))))),"")</f>
        <v/>
      </c>
      <c r="F241" s="65" t="str">
        <f>IFERROR(UPPER(IF(C241="CPU",VLOOKUP(D241,#REF!,3,0),IF(C241="SINAPI",VLOOKUP(D241,#REF!,3,0),IF(C241="EDIF",VLOOKUP(D241,#REF!,3,0),IF(C241="CPOS",VLOOKUP(D241,#REF!,4,0),IF(C241="FDE",VLOOKUP(D241,#REF!,3,0),IF(C241="INFRA",VLOOKUP(D241,#REF!,3,0),""))))))),"")</f>
        <v/>
      </c>
      <c r="G241" s="66">
        <v>0.9</v>
      </c>
      <c r="H241" s="67" t="str">
        <f>IFERROR(IF(C241="CPU",VLOOKUP(D241,#REF!,4,0),IF(C241="SINAPI",VLOOKUP(D241,#REF!,5,0),IF(C241="EDIF",VLOOKUP(D241,#REF!,4,0),IF(C241="CPOS",VLOOKUP(D241,#REF!,7,0),IF(C241="FDE",VLOOKUP(D241,#REF!,5,0),IF(C241="INFRA",VLOOKUP(D241,#REF!,4,0),""))))))*VLOOKUP(C241,#REF!,3,0),"")</f>
        <v/>
      </c>
      <c r="I241" s="1106">
        <v>0.25</v>
      </c>
      <c r="J241" s="67" t="e">
        <f t="shared" si="28"/>
        <v>#VALUE!</v>
      </c>
      <c r="K241" s="69" t="e">
        <f t="shared" si="29"/>
        <v>#VALUE!</v>
      </c>
      <c r="L241" s="51"/>
      <c r="M241" s="52"/>
      <c r="N241" s="940"/>
    </row>
    <row r="242" spans="2:14" s="25" customFormat="1" ht="27" customHeight="1">
      <c r="B242" s="61" t="s">
        <v>6479</v>
      </c>
      <c r="C242" s="61" t="s">
        <v>4872</v>
      </c>
      <c r="D242" s="1107">
        <v>101491</v>
      </c>
      <c r="E242" s="64" t="str">
        <f>IFERROR(UPPER(IF(C242="CPU",VLOOKUP(D242,#REF!,2,0),IF(C242="SINAPI",VLOOKUP(D242,#REF!,2,0),IF(C242="EDIF",VLOOKUP(D242,#REF!,2,0),IF(C242="CPOS",VLOOKUP(D242,#REF!,3,0),IF(C242="FDE",VLOOKUP(D242,#REF!,2,0),IF(C242="INFRA",VLOOKUP(D242,#REF!,2,0),""))))))),"")</f>
        <v/>
      </c>
      <c r="F242" s="65" t="str">
        <f>IFERROR(UPPER(IF(C242="CPU",VLOOKUP(D242,#REF!,3,0),IF(C242="SINAPI",VLOOKUP(D242,#REF!,3,0),IF(C242="EDIF",VLOOKUP(D242,#REF!,3,0),IF(C242="CPOS",VLOOKUP(D242,#REF!,4,0),IF(C242="FDE",VLOOKUP(D242,#REF!,3,0),IF(C242="INFRA",VLOOKUP(D242,#REF!,3,0),""))))))),"")</f>
        <v/>
      </c>
      <c r="G242" s="66">
        <v>2</v>
      </c>
      <c r="H242" s="67" t="str">
        <f>IFERROR(IF(C242="CPU",VLOOKUP(D242,#REF!,4,0),IF(C242="SINAPI",VLOOKUP(D242,#REF!,5,0),IF(C242="EDIF",VLOOKUP(D242,#REF!,4,0),IF(C242="CPOS",VLOOKUP(D242,#REF!,7,0),IF(C242="FDE",VLOOKUP(D242,#REF!,5,0),IF(C242="INFRA",VLOOKUP(D242,#REF!,4,0),""))))))*VLOOKUP(C242,#REF!,3,0),"")</f>
        <v/>
      </c>
      <c r="I242" s="1106">
        <v>0.25</v>
      </c>
      <c r="J242" s="67" t="e">
        <f t="shared" si="28"/>
        <v>#VALUE!</v>
      </c>
      <c r="K242" s="69" t="e">
        <f t="shared" si="29"/>
        <v>#VALUE!</v>
      </c>
      <c r="L242" s="51"/>
      <c r="M242" s="52"/>
      <c r="N242" s="940"/>
    </row>
    <row r="243" spans="2:14" s="25" customFormat="1" ht="27" customHeight="1">
      <c r="B243" s="61" t="s">
        <v>6480</v>
      </c>
      <c r="C243" s="61" t="s">
        <v>4872</v>
      </c>
      <c r="D243" s="1107">
        <v>101497</v>
      </c>
      <c r="E243" s="64" t="str">
        <f>IFERROR(UPPER(IF(C243="CPU",VLOOKUP(D243,#REF!,2,0),IF(C243="SINAPI",VLOOKUP(D243,#REF!,2,0),IF(C243="EDIF",VLOOKUP(D243,#REF!,2,0),IF(C243="CPOS",VLOOKUP(D243,#REF!,3,0),IF(C243="FDE",VLOOKUP(D243,#REF!,2,0),IF(C243="INFRA",VLOOKUP(D243,#REF!,2,0),""))))))),"")</f>
        <v/>
      </c>
      <c r="F243" s="65" t="str">
        <f>IFERROR(UPPER(IF(C243="CPU",VLOOKUP(D243,#REF!,3,0),IF(C243="SINAPI",VLOOKUP(D243,#REF!,3,0),IF(C243="EDIF",VLOOKUP(D243,#REF!,3,0),IF(C243="CPOS",VLOOKUP(D243,#REF!,4,0),IF(C243="FDE",VLOOKUP(D243,#REF!,3,0),IF(C243="INFRA",VLOOKUP(D243,#REF!,3,0),""))))))),"")</f>
        <v/>
      </c>
      <c r="G243" s="66">
        <v>2</v>
      </c>
      <c r="H243" s="67" t="str">
        <f>IFERROR(IF(C243="CPU",VLOOKUP(D243,#REF!,4,0),IF(C243="SINAPI",VLOOKUP(D243,#REF!,5,0),IF(C243="EDIF",VLOOKUP(D243,#REF!,4,0),IF(C243="CPOS",VLOOKUP(D243,#REF!,7,0),IF(C243="FDE",VLOOKUP(D243,#REF!,5,0),IF(C243="INFRA",VLOOKUP(D243,#REF!,4,0),""))))))*VLOOKUP(C243,#REF!,3,0),"")</f>
        <v/>
      </c>
      <c r="I243" s="1106">
        <v>0.25</v>
      </c>
      <c r="J243" s="67" t="e">
        <f t="shared" si="28"/>
        <v>#VALUE!</v>
      </c>
      <c r="K243" s="69" t="e">
        <f t="shared" si="29"/>
        <v>#VALUE!</v>
      </c>
      <c r="L243" s="51"/>
      <c r="M243" s="52"/>
      <c r="N243" s="940"/>
    </row>
    <row r="244" spans="2:14" s="25" customFormat="1" ht="27" customHeight="1">
      <c r="B244" s="61" t="s">
        <v>6481</v>
      </c>
      <c r="C244" s="61" t="s">
        <v>4872</v>
      </c>
      <c r="D244" s="1107">
        <v>101466</v>
      </c>
      <c r="E244" s="64" t="str">
        <f>IFERROR(UPPER(IF(C244="CPU",VLOOKUP(D244,#REF!,2,0),IF(C244="SINAPI",VLOOKUP(D244,#REF!,2,0),IF(C244="EDIF",VLOOKUP(D244,#REF!,2,0),IF(C244="CPOS",VLOOKUP(D244,#REF!,3,0),IF(C244="FDE",VLOOKUP(D244,#REF!,2,0),IF(C244="INFRA",VLOOKUP(D244,#REF!,2,0),""))))))),"")</f>
        <v/>
      </c>
      <c r="F244" s="65" t="str">
        <f>IFERROR(UPPER(IF(C244="CPU",VLOOKUP(D244,#REF!,3,0),IF(C244="SINAPI",VLOOKUP(D244,#REF!,3,0),IF(C244="EDIF",VLOOKUP(D244,#REF!,3,0),IF(C244="CPOS",VLOOKUP(D244,#REF!,4,0),IF(C244="FDE",VLOOKUP(D244,#REF!,3,0),IF(C244="INFRA",VLOOKUP(D244,#REF!,3,0),""))))))),"")</f>
        <v/>
      </c>
      <c r="G244" s="66">
        <v>2</v>
      </c>
      <c r="H244" s="67" t="str">
        <f>IFERROR(IF(C244="CPU",VLOOKUP(D244,#REF!,4,0),IF(C244="SINAPI",VLOOKUP(D244,#REF!,5,0),IF(C244="EDIF",VLOOKUP(D244,#REF!,4,0),IF(C244="CPOS",VLOOKUP(D244,#REF!,7,0),IF(C244="FDE",VLOOKUP(D244,#REF!,5,0),IF(C244="INFRA",VLOOKUP(D244,#REF!,4,0),""))))))*VLOOKUP(C244,#REF!,3,0),"")</f>
        <v/>
      </c>
      <c r="I244" s="1106">
        <v>0.25</v>
      </c>
      <c r="J244" s="67" t="e">
        <f t="shared" si="28"/>
        <v>#VALUE!</v>
      </c>
      <c r="K244" s="69" t="e">
        <f t="shared" si="29"/>
        <v>#VALUE!</v>
      </c>
      <c r="L244" s="51"/>
      <c r="M244" s="52"/>
      <c r="N244" s="940"/>
    </row>
    <row r="245" spans="2:14" s="25" customFormat="1" ht="27" customHeight="1">
      <c r="B245" s="61" t="s">
        <v>6482</v>
      </c>
      <c r="C245" s="61" t="s">
        <v>1479</v>
      </c>
      <c r="D245" s="1108" t="s">
        <v>6483</v>
      </c>
      <c r="E245" s="64" t="str">
        <f>IFERROR(UPPER(IF(C245="CPU",VLOOKUP(D245,#REF!,2,0),IF(C245="SINAPI",VLOOKUP(D245,#REF!,2,0),IF(C245="EDIF",VLOOKUP(D245,#REF!,2,0),IF(C245="CPOS",VLOOKUP(D245,#REF!,3,0),IF(C245="FDE",VLOOKUP(D245,#REF!,2,0),IF(C245="INFRA",VLOOKUP(D245,#REF!,2,0),""))))))),"")</f>
        <v/>
      </c>
      <c r="F245" s="65" t="str">
        <f>IFERROR(UPPER(IF(C245="CPU",VLOOKUP(D245,#REF!,3,0),IF(C245="SINAPI",VLOOKUP(D245,#REF!,3,0),IF(C245="EDIF",VLOOKUP(D245,#REF!,3,0),IF(C245="CPOS",VLOOKUP(D245,#REF!,4,0),IF(C245="FDE",VLOOKUP(D245,#REF!,3,0),IF(C245="INFRA",VLOOKUP(D245,#REF!,3,0),""))))))),"")</f>
        <v/>
      </c>
      <c r="G245" s="66">
        <v>2</v>
      </c>
      <c r="H245" s="67" t="str">
        <f>IFERROR(IF(C245="CPU",VLOOKUP(D245,#REF!,4,0),IF(C245="SINAPI",VLOOKUP(D245,#REF!,5,0),IF(C245="EDIF",VLOOKUP(D245,#REF!,4,0),IF(C245="CPOS",VLOOKUP(D245,#REF!,7,0),IF(C245="FDE",VLOOKUP(D245,#REF!,5,0),IF(C245="INFRA",VLOOKUP(D245,#REF!,4,0),""))))))*VLOOKUP(C245,#REF!,3,0),"")</f>
        <v/>
      </c>
      <c r="I245" s="1106">
        <v>0.25</v>
      </c>
      <c r="J245" s="67" t="e">
        <f t="shared" si="28"/>
        <v>#VALUE!</v>
      </c>
      <c r="K245" s="69" t="e">
        <f t="shared" si="29"/>
        <v>#VALUE!</v>
      </c>
      <c r="L245" s="51"/>
      <c r="M245" s="52"/>
      <c r="N245" s="940"/>
    </row>
    <row r="246" spans="2:14" s="25" customFormat="1" ht="27" customHeight="1">
      <c r="B246" s="1097" t="s">
        <v>872</v>
      </c>
      <c r="C246" s="1098"/>
      <c r="D246" s="1098"/>
      <c r="E246" s="1099" t="s">
        <v>6484</v>
      </c>
      <c r="F246" s="1100"/>
      <c r="G246" s="1101"/>
      <c r="H246" s="1102"/>
      <c r="I246" s="1103"/>
      <c r="J246" s="1103"/>
      <c r="K246" s="1104"/>
      <c r="L246" s="51"/>
      <c r="M246" s="52"/>
      <c r="N246" s="940"/>
    </row>
    <row r="247" spans="2:14" s="25" customFormat="1" ht="27" customHeight="1">
      <c r="B247" s="61" t="s">
        <v>875</v>
      </c>
      <c r="C247" s="61" t="s">
        <v>4872</v>
      </c>
      <c r="D247" s="94">
        <v>101301</v>
      </c>
      <c r="E247" s="64" t="str">
        <f>IFERROR(UPPER(IF(C247="CPU",VLOOKUP(D247,#REF!,2,0),IF(C247="SINAPI",VLOOKUP(D247,#REF!,2,0),IF(C247="EDIF",VLOOKUP(D247,#REF!,2,0),IF(C247="CPOS",VLOOKUP(D247,#REF!,3,0),IF(C247="FDE",VLOOKUP(D247,#REF!,2,0),IF(C247="INFRA",VLOOKUP(D247,#REF!,2,0),""))))))),"")</f>
        <v/>
      </c>
      <c r="F247" s="65" t="str">
        <f>IFERROR(UPPER(IF(C247="CPU",VLOOKUP(D247,#REF!,3,0),IF(C247="SINAPI",VLOOKUP(D247,#REF!,3,0),IF(C247="EDIF",VLOOKUP(D247,#REF!,3,0),IF(C247="CPOS",VLOOKUP(D247,#REF!,4,0),IF(C247="FDE",VLOOKUP(D247,#REF!,3,0),IF(C247="INFRA",VLOOKUP(D247,#REF!,3,0),""))))))),"")</f>
        <v/>
      </c>
      <c r="G247" s="66">
        <v>9</v>
      </c>
      <c r="H247" s="67" t="str">
        <f>IFERROR(IF(C247="CPU",VLOOKUP(D247,#REF!,4,0),IF(C247="SINAPI",VLOOKUP(D247,#REF!,5,0),IF(C247="EDIF",VLOOKUP(D247,#REF!,4,0),IF(C247="CPOS",VLOOKUP(D247,#REF!,7,0),IF(C247="FDE",VLOOKUP(D247,#REF!,5,0),IF(C247="INFRA",VLOOKUP(D247,#REF!,4,0),""))))))*VLOOKUP(C247,#REF!,3,0),"")</f>
        <v/>
      </c>
      <c r="I247" s="1106">
        <v>0.25</v>
      </c>
      <c r="J247" s="67" t="e">
        <f t="shared" ref="J247:J264" si="30">ROUND(H247*(1+I247),2)</f>
        <v>#VALUE!</v>
      </c>
      <c r="K247" s="69" t="e">
        <f t="shared" ref="K247:K264" si="31">SUM(G247*J247)</f>
        <v>#VALUE!</v>
      </c>
      <c r="L247" s="51"/>
      <c r="M247" s="52"/>
      <c r="N247" s="940"/>
    </row>
    <row r="248" spans="2:14" s="25" customFormat="1" ht="27" customHeight="1">
      <c r="B248" s="61" t="s">
        <v>877</v>
      </c>
      <c r="C248" s="61" t="s">
        <v>4872</v>
      </c>
      <c r="D248" s="94">
        <v>101325</v>
      </c>
      <c r="E248" s="64" t="str">
        <f>IFERROR(UPPER(IF(C248="CPU",VLOOKUP(D248,#REF!,2,0),IF(C248="SINAPI",VLOOKUP(D248,#REF!,2,0),IF(C248="EDIF",VLOOKUP(D248,#REF!,2,0),IF(C248="CPOS",VLOOKUP(D248,#REF!,3,0),IF(C248="FDE",VLOOKUP(D248,#REF!,2,0),IF(C248="INFRA",VLOOKUP(D248,#REF!,2,0),""))))))),"")</f>
        <v/>
      </c>
      <c r="F248" s="65" t="str">
        <f>IFERROR(UPPER(IF(C248="CPU",VLOOKUP(D248,#REF!,3,0),IF(C248="SINAPI",VLOOKUP(D248,#REF!,3,0),IF(C248="EDIF",VLOOKUP(D248,#REF!,3,0),IF(C248="CPOS",VLOOKUP(D248,#REF!,4,0),IF(C248="FDE",VLOOKUP(D248,#REF!,3,0),IF(C248="INFRA",VLOOKUP(D248,#REF!,3,0),""))))))),"")</f>
        <v/>
      </c>
      <c r="G248" s="66">
        <v>1</v>
      </c>
      <c r="H248" s="67" t="str">
        <f>IFERROR(IF(C248="CPU",VLOOKUP(D248,#REF!,4,0),IF(C248="SINAPI",VLOOKUP(D248,#REF!,5,0),IF(C248="EDIF",VLOOKUP(D248,#REF!,4,0),IF(C248="CPOS",VLOOKUP(D248,#REF!,7,0),IF(C248="FDE",VLOOKUP(D248,#REF!,5,0),IF(C248="INFRA",VLOOKUP(D248,#REF!,4,0),""))))))*VLOOKUP(C248,#REF!,3,0),"")</f>
        <v/>
      </c>
      <c r="I248" s="1106">
        <v>0.25</v>
      </c>
      <c r="J248" s="67" t="e">
        <f t="shared" si="30"/>
        <v>#VALUE!</v>
      </c>
      <c r="K248" s="69" t="e">
        <f t="shared" si="31"/>
        <v>#VALUE!</v>
      </c>
      <c r="L248" s="51"/>
      <c r="M248" s="52"/>
      <c r="N248" s="940"/>
    </row>
    <row r="249" spans="2:14" s="25" customFormat="1" ht="27" customHeight="1">
      <c r="B249" s="61" t="s">
        <v>879</v>
      </c>
      <c r="C249" s="61" t="s">
        <v>4872</v>
      </c>
      <c r="D249" s="94">
        <v>101474</v>
      </c>
      <c r="E249" s="64" t="str">
        <f>IFERROR(UPPER(IF(C249="CPU",VLOOKUP(D249,#REF!,2,0),IF(C249="SINAPI",VLOOKUP(D249,#REF!,2,0),IF(C249="EDIF",VLOOKUP(D249,#REF!,2,0),IF(C249="CPOS",VLOOKUP(D249,#REF!,3,0),IF(C249="FDE",VLOOKUP(D249,#REF!,2,0),IF(C249="INFRA",VLOOKUP(D249,#REF!,2,0),""))))))),"")</f>
        <v/>
      </c>
      <c r="F249" s="65" t="str">
        <f>IFERROR(UPPER(IF(C249="CPU",VLOOKUP(D249,#REF!,3,0),IF(C249="SINAPI",VLOOKUP(D249,#REF!,3,0),IF(C249="EDIF",VLOOKUP(D249,#REF!,3,0),IF(C249="CPOS",VLOOKUP(D249,#REF!,4,0),IF(C249="FDE",VLOOKUP(D249,#REF!,3,0),IF(C249="INFRA",VLOOKUP(D249,#REF!,3,0),""))))))),"")</f>
        <v/>
      </c>
      <c r="G249" s="66">
        <v>16.8</v>
      </c>
      <c r="H249" s="67" t="str">
        <f>IFERROR(IF(C249="CPU",VLOOKUP(D249,#REF!,4,0),IF(C249="SINAPI",VLOOKUP(D249,#REF!,5,0),IF(C249="EDIF",VLOOKUP(D249,#REF!,4,0),IF(C249="CPOS",VLOOKUP(D249,#REF!,7,0),IF(C249="FDE",VLOOKUP(D249,#REF!,5,0),IF(C249="INFRA",VLOOKUP(D249,#REF!,4,0),""))))))*VLOOKUP(C249,#REF!,3,0),"")</f>
        <v/>
      </c>
      <c r="I249" s="1106">
        <v>0.25</v>
      </c>
      <c r="J249" s="67" t="e">
        <f t="shared" si="30"/>
        <v>#VALUE!</v>
      </c>
      <c r="K249" s="69" t="e">
        <f t="shared" si="31"/>
        <v>#VALUE!</v>
      </c>
      <c r="L249" s="51"/>
      <c r="M249" s="52"/>
      <c r="N249" s="940"/>
    </row>
    <row r="250" spans="2:14" s="25" customFormat="1" ht="37.5" customHeight="1">
      <c r="B250" s="61" t="s">
        <v>881</v>
      </c>
      <c r="C250" s="61" t="s">
        <v>4872</v>
      </c>
      <c r="D250" s="94">
        <v>101476</v>
      </c>
      <c r="E250" s="64" t="str">
        <f>IFERROR(UPPER(IF(C250="CPU",VLOOKUP(D250,#REF!,2,0),IF(C250="SINAPI",VLOOKUP(D250,#REF!,2,0),IF(C250="EDIF",VLOOKUP(D250,#REF!,2,0),IF(C250="CPOS",VLOOKUP(D250,#REF!,3,0),IF(C250="FDE",VLOOKUP(D250,#REF!,2,0),IF(C250="INFRA",VLOOKUP(D250,#REF!,2,0),""))))))),"")</f>
        <v/>
      </c>
      <c r="F250" s="65" t="str">
        <f>IFERROR(UPPER(IF(C250="CPU",VLOOKUP(D250,#REF!,3,0),IF(C250="SINAPI",VLOOKUP(D250,#REF!,3,0),IF(C250="EDIF",VLOOKUP(D250,#REF!,3,0),IF(C250="CPOS",VLOOKUP(D250,#REF!,4,0),IF(C250="FDE",VLOOKUP(D250,#REF!,3,0),IF(C250="INFRA",VLOOKUP(D250,#REF!,3,0),""))))))),"")</f>
        <v/>
      </c>
      <c r="G250" s="66">
        <f>(1.6*0.6*2)+(1.4*0.6*2)</f>
        <v>3.5999999999999996</v>
      </c>
      <c r="H250" s="67" t="str">
        <f>IFERROR(IF(C250="CPU",VLOOKUP(D250,#REF!,4,0),IF(C250="SINAPI",VLOOKUP(D250,#REF!,5,0),IF(C250="EDIF",VLOOKUP(D250,#REF!,4,0),IF(C250="CPOS",VLOOKUP(D250,#REF!,7,0),IF(C250="FDE",VLOOKUP(D250,#REF!,5,0),IF(C250="INFRA",VLOOKUP(D250,#REF!,4,0),""))))))*VLOOKUP(C250,#REF!,3,0),"")</f>
        <v/>
      </c>
      <c r="I250" s="1106">
        <v>0.25</v>
      </c>
      <c r="J250" s="67" t="e">
        <f t="shared" si="30"/>
        <v>#VALUE!</v>
      </c>
      <c r="K250" s="69" t="e">
        <f t="shared" si="31"/>
        <v>#VALUE!</v>
      </c>
      <c r="L250" s="51"/>
      <c r="M250" s="52"/>
      <c r="N250" s="940"/>
    </row>
    <row r="251" spans="2:14" s="25" customFormat="1" ht="37.5" customHeight="1">
      <c r="B251" s="61" t="s">
        <v>5080</v>
      </c>
      <c r="C251" s="61" t="s">
        <v>1479</v>
      </c>
      <c r="D251" s="1108" t="s">
        <v>6485</v>
      </c>
      <c r="E251" s="64" t="str">
        <f>IFERROR(UPPER(IF(C251="CPU",VLOOKUP(D251,#REF!,2,0),IF(C251="SINAPI",VLOOKUP(D251,#REF!,2,0),IF(C251="EDIF",VLOOKUP(D251,#REF!,2,0),IF(C251="CPOS",VLOOKUP(D251,#REF!,3,0),IF(C251="FDE",VLOOKUP(D251,#REF!,2,0),IF(C251="INFRA",VLOOKUP(D251,#REF!,2,0),""))))))),"")</f>
        <v/>
      </c>
      <c r="F251" s="65" t="str">
        <f>IFERROR(UPPER(IF(C251="CPU",VLOOKUP(D251,#REF!,3,0),IF(C251="SINAPI",VLOOKUP(D251,#REF!,3,0),IF(C251="EDIF",VLOOKUP(D251,#REF!,3,0),IF(C251="CPOS",VLOOKUP(D251,#REF!,4,0),IF(C251="FDE",VLOOKUP(D251,#REF!,3,0),IF(C251="INFRA",VLOOKUP(D251,#REF!,3,0),""))))))),"")</f>
        <v/>
      </c>
      <c r="G251" s="66">
        <v>8</v>
      </c>
      <c r="H251" s="67" t="str">
        <f>IFERROR(IF(C251="CPU",VLOOKUP(D251,#REF!,4,0),IF(C251="SINAPI",VLOOKUP(D251,#REF!,5,0),IF(C251="EDIF",VLOOKUP(D251,#REF!,4,0),IF(C251="CPOS",VLOOKUP(D251,#REF!,7,0),IF(C251="FDE",VLOOKUP(D251,#REF!,5,0),IF(C251="INFRA",VLOOKUP(D251,#REF!,4,0),""))))))*VLOOKUP(C251,#REF!,3,0),"")</f>
        <v/>
      </c>
      <c r="I251" s="1106">
        <v>0.25</v>
      </c>
      <c r="J251" s="67" t="e">
        <f t="shared" si="30"/>
        <v>#VALUE!</v>
      </c>
      <c r="K251" s="69" t="e">
        <f t="shared" si="31"/>
        <v>#VALUE!</v>
      </c>
      <c r="L251" s="51"/>
      <c r="M251" s="52"/>
      <c r="N251" s="940"/>
    </row>
    <row r="252" spans="2:14" s="25" customFormat="1" ht="37.5" customHeight="1">
      <c r="B252" s="61" t="s">
        <v>6486</v>
      </c>
      <c r="C252" s="61" t="s">
        <v>4872</v>
      </c>
      <c r="D252" s="94">
        <v>108074</v>
      </c>
      <c r="E252" s="64" t="str">
        <f>IFERROR(UPPER(IF(C252="CPU",VLOOKUP(D252,#REF!,2,0),IF(C252="SINAPI",VLOOKUP(D252,#REF!,2,0),IF(C252="EDIF",VLOOKUP(D252,#REF!,2,0),IF(C252="CPOS",VLOOKUP(D252,#REF!,3,0),IF(C252="FDE",VLOOKUP(D252,#REF!,2,0),IF(C252="INFRA",VLOOKUP(D252,#REF!,2,0),""))))))),"")</f>
        <v/>
      </c>
      <c r="F252" s="65" t="str">
        <f>IFERROR(UPPER(IF(C252="CPU",VLOOKUP(D252,#REF!,3,0),IF(C252="SINAPI",VLOOKUP(D252,#REF!,3,0),IF(C252="EDIF",VLOOKUP(D252,#REF!,3,0),IF(C252="CPOS",VLOOKUP(D252,#REF!,4,0),IF(C252="FDE",VLOOKUP(D252,#REF!,3,0),IF(C252="INFRA",VLOOKUP(D252,#REF!,3,0),""))))))),"")</f>
        <v/>
      </c>
      <c r="G252" s="66">
        <v>8</v>
      </c>
      <c r="H252" s="67" t="str">
        <f>IFERROR(IF(C252="CPU",VLOOKUP(D252,#REF!,4,0),IF(C252="SINAPI",VLOOKUP(D252,#REF!,5,0),IF(C252="EDIF",VLOOKUP(D252,#REF!,4,0),IF(C252="CPOS",VLOOKUP(D252,#REF!,7,0),IF(C252="FDE",VLOOKUP(D252,#REF!,5,0),IF(C252="INFRA",VLOOKUP(D252,#REF!,4,0),""))))))*VLOOKUP(C252,#REF!,3,0),"")</f>
        <v/>
      </c>
      <c r="I252" s="1106">
        <v>0.25</v>
      </c>
      <c r="J252" s="67" t="e">
        <f t="shared" si="30"/>
        <v>#VALUE!</v>
      </c>
      <c r="K252" s="69" t="e">
        <f t="shared" si="31"/>
        <v>#VALUE!</v>
      </c>
      <c r="L252" s="51"/>
      <c r="M252" s="52"/>
      <c r="N252" s="940"/>
    </row>
    <row r="253" spans="2:14" s="25" customFormat="1" ht="37.5" customHeight="1">
      <c r="B253" s="61" t="s">
        <v>5554</v>
      </c>
      <c r="C253" s="61" t="s">
        <v>4872</v>
      </c>
      <c r="D253" s="94">
        <v>108081</v>
      </c>
      <c r="E253" s="64" t="str">
        <f>IFERROR(UPPER(IF(C253="CPU",VLOOKUP(D253,#REF!,2,0),IF(C253="SINAPI",VLOOKUP(D253,#REF!,2,0),IF(C253="EDIF",VLOOKUP(D253,#REF!,2,0),IF(C253="CPOS",VLOOKUP(D253,#REF!,3,0),IF(C253="FDE",VLOOKUP(D253,#REF!,2,0),IF(C253="INFRA",VLOOKUP(D253,#REF!,2,0),""))))))),"")</f>
        <v/>
      </c>
      <c r="F253" s="65" t="str">
        <f>IFERROR(UPPER(IF(C253="CPU",VLOOKUP(D253,#REF!,3,0),IF(C253="SINAPI",VLOOKUP(D253,#REF!,3,0),IF(C253="EDIF",VLOOKUP(D253,#REF!,3,0),IF(C253="CPOS",VLOOKUP(D253,#REF!,4,0),IF(C253="FDE",VLOOKUP(D253,#REF!,3,0),IF(C253="INFRA",VLOOKUP(D253,#REF!,3,0),""))))))),"")</f>
        <v/>
      </c>
      <c r="G253" s="66">
        <v>8</v>
      </c>
      <c r="H253" s="67" t="str">
        <f>IFERROR(IF(C253="CPU",VLOOKUP(D253,#REF!,4,0),IF(C253="SINAPI",VLOOKUP(D253,#REF!,5,0),IF(C253="EDIF",VLOOKUP(D253,#REF!,4,0),IF(C253="CPOS",VLOOKUP(D253,#REF!,7,0),IF(C253="FDE",VLOOKUP(D253,#REF!,5,0),IF(C253="INFRA",VLOOKUP(D253,#REF!,4,0),""))))))*VLOOKUP(C253,#REF!,3,0),"")</f>
        <v/>
      </c>
      <c r="I253" s="1106">
        <v>0.25</v>
      </c>
      <c r="J253" s="67" t="e">
        <f t="shared" si="30"/>
        <v>#VALUE!</v>
      </c>
      <c r="K253" s="69" t="e">
        <f t="shared" si="31"/>
        <v>#VALUE!</v>
      </c>
      <c r="L253" s="51"/>
      <c r="M253" s="52"/>
      <c r="N253" s="940"/>
    </row>
    <row r="254" spans="2:14" s="25" customFormat="1" ht="37.5" customHeight="1">
      <c r="B254" s="61" t="s">
        <v>6487</v>
      </c>
      <c r="C254" s="61" t="s">
        <v>4872</v>
      </c>
      <c r="D254" s="94">
        <v>108093</v>
      </c>
      <c r="E254" s="64" t="str">
        <f>IFERROR(UPPER(IF(C254="CPU",VLOOKUP(D254,#REF!,2,0),IF(C254="SINAPI",VLOOKUP(D254,#REF!,2,0),IF(C254="EDIF",VLOOKUP(D254,#REF!,2,0),IF(C254="CPOS",VLOOKUP(D254,#REF!,3,0),IF(C254="FDE",VLOOKUP(D254,#REF!,2,0),IF(C254="INFRA",VLOOKUP(D254,#REF!,2,0),""))))))),"")</f>
        <v/>
      </c>
      <c r="F254" s="65" t="str">
        <f>IFERROR(UPPER(IF(C254="CPU",VLOOKUP(D254,#REF!,3,0),IF(C254="SINAPI",VLOOKUP(D254,#REF!,3,0),IF(C254="EDIF",VLOOKUP(D254,#REF!,3,0),IF(C254="CPOS",VLOOKUP(D254,#REF!,4,0),IF(C254="FDE",VLOOKUP(D254,#REF!,3,0),IF(C254="INFRA",VLOOKUP(D254,#REF!,3,0),""))))))),"")</f>
        <v/>
      </c>
      <c r="G254" s="66">
        <v>8</v>
      </c>
      <c r="H254" s="67" t="str">
        <f>IFERROR(IF(C254="CPU",VLOOKUP(D254,#REF!,4,0),IF(C254="SINAPI",VLOOKUP(D254,#REF!,5,0),IF(C254="EDIF",VLOOKUP(D254,#REF!,4,0),IF(C254="CPOS",VLOOKUP(D254,#REF!,7,0),IF(C254="FDE",VLOOKUP(D254,#REF!,5,0),IF(C254="INFRA",VLOOKUP(D254,#REF!,4,0),""))))))*VLOOKUP(C254,#REF!,3,0),"")</f>
        <v/>
      </c>
      <c r="I254" s="1106">
        <v>0.25</v>
      </c>
      <c r="J254" s="67" t="e">
        <f t="shared" si="30"/>
        <v>#VALUE!</v>
      </c>
      <c r="K254" s="69" t="e">
        <f t="shared" si="31"/>
        <v>#VALUE!</v>
      </c>
      <c r="L254" s="51"/>
      <c r="M254" s="52"/>
      <c r="N254" s="940"/>
    </row>
    <row r="255" spans="2:14" s="25" customFormat="1" ht="37.5" customHeight="1">
      <c r="B255" s="61" t="s">
        <v>6488</v>
      </c>
      <c r="C255" s="61" t="s">
        <v>4872</v>
      </c>
      <c r="D255" s="94">
        <v>101410</v>
      </c>
      <c r="E255" s="64" t="str">
        <f>IFERROR(UPPER(IF(C255="CPU",VLOOKUP(D255,#REF!,2,0),IF(C255="SINAPI",VLOOKUP(D255,#REF!,2,0),IF(C255="EDIF",VLOOKUP(D255,#REF!,2,0),IF(C255="CPOS",VLOOKUP(D255,#REF!,3,0),IF(C255="FDE",VLOOKUP(D255,#REF!,2,0),IF(C255="INFRA",VLOOKUP(D255,#REF!,2,0),""))))))),"")</f>
        <v/>
      </c>
      <c r="F255" s="65" t="str">
        <f>IFERROR(UPPER(IF(C255="CPU",VLOOKUP(D255,#REF!,3,0),IF(C255="SINAPI",VLOOKUP(D255,#REF!,3,0),IF(C255="EDIF",VLOOKUP(D255,#REF!,3,0),IF(C255="CPOS",VLOOKUP(D255,#REF!,4,0),IF(C255="FDE",VLOOKUP(D255,#REF!,3,0),IF(C255="INFRA",VLOOKUP(D255,#REF!,3,0),""))))))),"")</f>
        <v/>
      </c>
      <c r="G255" s="66">
        <v>8</v>
      </c>
      <c r="H255" s="67" t="str">
        <f>IFERROR(IF(C255="CPU",VLOOKUP(D255,#REF!,4,0),IF(C255="SINAPI",VLOOKUP(D255,#REF!,5,0),IF(C255="EDIF",VLOOKUP(D255,#REF!,4,0),IF(C255="CPOS",VLOOKUP(D255,#REF!,7,0),IF(C255="FDE",VLOOKUP(D255,#REF!,5,0),IF(C255="INFRA",VLOOKUP(D255,#REF!,4,0),""))))))*VLOOKUP(C255,#REF!,3,0),"")</f>
        <v/>
      </c>
      <c r="I255" s="1106">
        <v>0.25</v>
      </c>
      <c r="J255" s="67" t="e">
        <f t="shared" si="30"/>
        <v>#VALUE!</v>
      </c>
      <c r="K255" s="69" t="e">
        <f t="shared" si="31"/>
        <v>#VALUE!</v>
      </c>
      <c r="L255" s="51"/>
      <c r="M255" s="52"/>
      <c r="N255" s="940"/>
    </row>
    <row r="256" spans="2:14" s="25" customFormat="1" ht="37.5" customHeight="1">
      <c r="B256" s="61" t="s">
        <v>6489</v>
      </c>
      <c r="C256" s="61" t="s">
        <v>4872</v>
      </c>
      <c r="D256" s="94">
        <v>100551</v>
      </c>
      <c r="E256" s="64" t="str">
        <f>IFERROR(UPPER(IF(C256="CPU",VLOOKUP(D256,#REF!,2,0),IF(C256="SINAPI",VLOOKUP(D256,#REF!,2,0),IF(C256="EDIF",VLOOKUP(D256,#REF!,2,0),IF(C256="CPOS",VLOOKUP(D256,#REF!,3,0),IF(C256="FDE",VLOOKUP(D256,#REF!,2,0),IF(C256="INFRA",VLOOKUP(D256,#REF!,2,0),""))))))),"")</f>
        <v/>
      </c>
      <c r="F256" s="65" t="str">
        <f>IFERROR(UPPER(IF(C256="CPU",VLOOKUP(D256,#REF!,3,0),IF(C256="SINAPI",VLOOKUP(D256,#REF!,3,0),IF(C256="EDIF",VLOOKUP(D256,#REF!,3,0),IF(C256="CPOS",VLOOKUP(D256,#REF!,4,0),IF(C256="FDE",VLOOKUP(D256,#REF!,3,0),IF(C256="INFRA",VLOOKUP(D256,#REF!,3,0),""))))))),"")</f>
        <v/>
      </c>
      <c r="G256" s="66">
        <v>4</v>
      </c>
      <c r="H256" s="67" t="str">
        <f>IFERROR(IF(C256="CPU",VLOOKUP(D256,#REF!,4,0),IF(C256="SINAPI",VLOOKUP(D256,#REF!,5,0),IF(C256="EDIF",VLOOKUP(D256,#REF!,4,0),IF(C256="CPOS",VLOOKUP(D256,#REF!,7,0),IF(C256="FDE",VLOOKUP(D256,#REF!,5,0),IF(C256="INFRA",VLOOKUP(D256,#REF!,4,0),""))))))*VLOOKUP(C256,#REF!,3,0),"")</f>
        <v/>
      </c>
      <c r="I256" s="1106">
        <v>0.25</v>
      </c>
      <c r="J256" s="67" t="e">
        <f t="shared" si="30"/>
        <v>#VALUE!</v>
      </c>
      <c r="K256" s="69" t="e">
        <f t="shared" si="31"/>
        <v>#VALUE!</v>
      </c>
      <c r="L256" s="51"/>
      <c r="M256" s="52"/>
      <c r="N256" s="940"/>
    </row>
    <row r="257" spans="2:14" s="25" customFormat="1" ht="37.5" customHeight="1">
      <c r="B257" s="61" t="s">
        <v>5552</v>
      </c>
      <c r="C257" s="61" t="s">
        <v>4872</v>
      </c>
      <c r="D257" s="94">
        <v>101404</v>
      </c>
      <c r="E257" s="64" t="str">
        <f>IFERROR(UPPER(IF(C257="CPU",VLOOKUP(D257,#REF!,2,0),IF(C257="SINAPI",VLOOKUP(D257,#REF!,2,0),IF(C257="EDIF",VLOOKUP(D257,#REF!,2,0),IF(C257="CPOS",VLOOKUP(D257,#REF!,3,0),IF(C257="FDE",VLOOKUP(D257,#REF!,2,0),IF(C257="INFRA",VLOOKUP(D257,#REF!,2,0),""))))))),"")</f>
        <v/>
      </c>
      <c r="F257" s="65" t="str">
        <f>IFERROR(UPPER(IF(C257="CPU",VLOOKUP(D257,#REF!,3,0),IF(C257="SINAPI",VLOOKUP(D257,#REF!,3,0),IF(C257="EDIF",VLOOKUP(D257,#REF!,3,0),IF(C257="CPOS",VLOOKUP(D257,#REF!,4,0),IF(C257="FDE",VLOOKUP(D257,#REF!,3,0),IF(C257="INFRA",VLOOKUP(D257,#REF!,3,0),""))))))),"")</f>
        <v/>
      </c>
      <c r="G257" s="66">
        <v>4</v>
      </c>
      <c r="H257" s="67" t="str">
        <f>IFERROR(IF(C257="CPU",VLOOKUP(D257,#REF!,4,0),IF(C257="SINAPI",VLOOKUP(D257,#REF!,5,0),IF(C257="EDIF",VLOOKUP(D257,#REF!,4,0),IF(C257="CPOS",VLOOKUP(D257,#REF!,7,0),IF(C257="FDE",VLOOKUP(D257,#REF!,5,0),IF(C257="INFRA",VLOOKUP(D257,#REF!,4,0),""))))))*VLOOKUP(C257,#REF!,3,0),"")</f>
        <v/>
      </c>
      <c r="I257" s="1106">
        <v>0.25</v>
      </c>
      <c r="J257" s="67" t="e">
        <f t="shared" si="30"/>
        <v>#VALUE!</v>
      </c>
      <c r="K257" s="69" t="e">
        <f t="shared" si="31"/>
        <v>#VALUE!</v>
      </c>
      <c r="L257" s="51"/>
      <c r="M257" s="52"/>
      <c r="N257" s="940"/>
    </row>
    <row r="258" spans="2:14" s="25" customFormat="1" ht="37.5" customHeight="1">
      <c r="B258" s="61" t="s">
        <v>6490</v>
      </c>
      <c r="C258" s="61" t="s">
        <v>4908</v>
      </c>
      <c r="D258" s="65" t="s">
        <v>6478</v>
      </c>
      <c r="E258" s="64" t="str">
        <f>IFERROR(UPPER(IF(C258="CPU",VLOOKUP(D258,#REF!,2,0),IF(C258="SINAPI",VLOOKUP(D258,#REF!,2,0),IF(C258="EDIF",VLOOKUP(D258,#REF!,2,0),IF(C258="CPOS",VLOOKUP(D258,#REF!,3,0),IF(C258="FDE",VLOOKUP(D258,#REF!,2,0),IF(C258="INFRA",VLOOKUP(D258,#REF!,2,0),""))))))),"")</f>
        <v/>
      </c>
      <c r="F258" s="65" t="str">
        <f>IFERROR(UPPER(IF(C258="CPU",VLOOKUP(D258,#REF!,3,0),IF(C258="SINAPI",VLOOKUP(D258,#REF!,3,0),IF(C258="EDIF",VLOOKUP(D258,#REF!,3,0),IF(C258="CPOS",VLOOKUP(D258,#REF!,4,0),IF(C258="FDE",VLOOKUP(D258,#REF!,3,0),IF(C258="INFRA",VLOOKUP(D258,#REF!,3,0),""))))))),"")</f>
        <v/>
      </c>
      <c r="G258" s="66">
        <v>1.8</v>
      </c>
      <c r="H258" s="67" t="str">
        <f>IFERROR(IF(C258="CPU",VLOOKUP(D258,#REF!,4,0),IF(C258="SINAPI",VLOOKUP(D258,#REF!,5,0),IF(C258="EDIF",VLOOKUP(D258,#REF!,4,0),IF(C258="CPOS",VLOOKUP(D258,#REF!,7,0),IF(C258="FDE",VLOOKUP(D258,#REF!,5,0),IF(C258="INFRA",VLOOKUP(D258,#REF!,4,0),""))))))*VLOOKUP(C258,#REF!,3,0),"")</f>
        <v/>
      </c>
      <c r="I258" s="1106">
        <v>0.25</v>
      </c>
      <c r="J258" s="67" t="e">
        <f t="shared" si="30"/>
        <v>#VALUE!</v>
      </c>
      <c r="K258" s="69" t="e">
        <f t="shared" si="31"/>
        <v>#VALUE!</v>
      </c>
      <c r="L258" s="51"/>
      <c r="M258" s="52"/>
      <c r="N258" s="940"/>
    </row>
    <row r="259" spans="2:14" s="25" customFormat="1" ht="27" customHeight="1">
      <c r="B259" s="61" t="s">
        <v>6491</v>
      </c>
      <c r="C259" s="61" t="s">
        <v>4872</v>
      </c>
      <c r="D259" s="1107">
        <v>101491</v>
      </c>
      <c r="E259" s="64" t="str">
        <f>IFERROR(UPPER(IF(C259="CPU",VLOOKUP(D259,#REF!,2,0),IF(C259="SINAPI",VLOOKUP(D259,#REF!,2,0),IF(C259="EDIF",VLOOKUP(D259,#REF!,2,0),IF(C259="CPOS",VLOOKUP(D259,#REF!,3,0),IF(C259="FDE",VLOOKUP(D259,#REF!,2,0),IF(C259="INFRA",VLOOKUP(D259,#REF!,2,0),""))))))),"")</f>
        <v/>
      </c>
      <c r="F259" s="65" t="str">
        <f>IFERROR(UPPER(IF(C259="CPU",VLOOKUP(D259,#REF!,3,0),IF(C259="SINAPI",VLOOKUP(D259,#REF!,3,0),IF(C259="EDIF",VLOOKUP(D259,#REF!,3,0),IF(C259="CPOS",VLOOKUP(D259,#REF!,4,0),IF(C259="FDE",VLOOKUP(D259,#REF!,3,0),IF(C259="INFRA",VLOOKUP(D259,#REF!,3,0),""))))))),"")</f>
        <v/>
      </c>
      <c r="G259" s="66">
        <v>4</v>
      </c>
      <c r="H259" s="67" t="str">
        <f>IFERROR(IF(C259="CPU",VLOOKUP(D259,#REF!,4,0),IF(C259="SINAPI",VLOOKUP(D259,#REF!,5,0),IF(C259="EDIF",VLOOKUP(D259,#REF!,4,0),IF(C259="CPOS",VLOOKUP(D259,#REF!,7,0),IF(C259="FDE",VLOOKUP(D259,#REF!,5,0),IF(C259="INFRA",VLOOKUP(D259,#REF!,4,0),""))))))*VLOOKUP(C259,#REF!,3,0),"")</f>
        <v/>
      </c>
      <c r="I259" s="1106">
        <v>0.25</v>
      </c>
      <c r="J259" s="67" t="e">
        <f t="shared" si="30"/>
        <v>#VALUE!</v>
      </c>
      <c r="K259" s="69" t="e">
        <f t="shared" si="31"/>
        <v>#VALUE!</v>
      </c>
      <c r="L259" s="51"/>
      <c r="M259" s="52"/>
      <c r="N259" s="940"/>
    </row>
    <row r="260" spans="2:14" s="25" customFormat="1" ht="27" customHeight="1">
      <c r="B260" s="61" t="s">
        <v>6492</v>
      </c>
      <c r="C260" s="61" t="s">
        <v>4872</v>
      </c>
      <c r="D260" s="1107">
        <v>101497</v>
      </c>
      <c r="E260" s="64" t="str">
        <f>IFERROR(UPPER(IF(C260="CPU",VLOOKUP(D260,#REF!,2,0),IF(C260="SINAPI",VLOOKUP(D260,#REF!,2,0),IF(C260="EDIF",VLOOKUP(D260,#REF!,2,0),IF(C260="CPOS",VLOOKUP(D260,#REF!,3,0),IF(C260="FDE",VLOOKUP(D260,#REF!,2,0),IF(C260="INFRA",VLOOKUP(D260,#REF!,2,0),""))))))),"")</f>
        <v/>
      </c>
      <c r="F260" s="65" t="str">
        <f>IFERROR(UPPER(IF(C260="CPU",VLOOKUP(D260,#REF!,3,0),IF(C260="SINAPI",VLOOKUP(D260,#REF!,3,0),IF(C260="EDIF",VLOOKUP(D260,#REF!,3,0),IF(C260="CPOS",VLOOKUP(D260,#REF!,4,0),IF(C260="FDE",VLOOKUP(D260,#REF!,3,0),IF(C260="INFRA",VLOOKUP(D260,#REF!,3,0),""))))))),"")</f>
        <v/>
      </c>
      <c r="G260" s="66">
        <v>4</v>
      </c>
      <c r="H260" s="67" t="str">
        <f>IFERROR(IF(C260="CPU",VLOOKUP(D260,#REF!,4,0),IF(C260="SINAPI",VLOOKUP(D260,#REF!,5,0),IF(C260="EDIF",VLOOKUP(D260,#REF!,4,0),IF(C260="CPOS",VLOOKUP(D260,#REF!,7,0),IF(C260="FDE",VLOOKUP(D260,#REF!,5,0),IF(C260="INFRA",VLOOKUP(D260,#REF!,4,0),""))))))*VLOOKUP(C260,#REF!,3,0),"")</f>
        <v/>
      </c>
      <c r="I260" s="1106">
        <v>0.25</v>
      </c>
      <c r="J260" s="67" t="e">
        <f t="shared" si="30"/>
        <v>#VALUE!</v>
      </c>
      <c r="K260" s="69" t="e">
        <f t="shared" si="31"/>
        <v>#VALUE!</v>
      </c>
      <c r="L260" s="51"/>
      <c r="M260" s="52"/>
      <c r="N260" s="940"/>
    </row>
    <row r="261" spans="2:14" s="25" customFormat="1" ht="27" customHeight="1">
      <c r="B261" s="61" t="s">
        <v>6493</v>
      </c>
      <c r="C261" s="61" t="s">
        <v>4872</v>
      </c>
      <c r="D261" s="1107">
        <v>101466</v>
      </c>
      <c r="E261" s="64" t="str">
        <f>IFERROR(UPPER(IF(C261="CPU",VLOOKUP(D261,#REF!,2,0),IF(C261="SINAPI",VLOOKUP(D261,#REF!,2,0),IF(C261="EDIF",VLOOKUP(D261,#REF!,2,0),IF(C261="CPOS",VLOOKUP(D261,#REF!,3,0),IF(C261="FDE",VLOOKUP(D261,#REF!,2,0),IF(C261="INFRA",VLOOKUP(D261,#REF!,2,0),""))))))),"")</f>
        <v/>
      </c>
      <c r="F261" s="65" t="str">
        <f>IFERROR(UPPER(IF(C261="CPU",VLOOKUP(D261,#REF!,3,0),IF(C261="SINAPI",VLOOKUP(D261,#REF!,3,0),IF(C261="EDIF",VLOOKUP(D261,#REF!,3,0),IF(C261="CPOS",VLOOKUP(D261,#REF!,4,0),IF(C261="FDE",VLOOKUP(D261,#REF!,3,0),IF(C261="INFRA",VLOOKUP(D261,#REF!,3,0),""))))))),"")</f>
        <v/>
      </c>
      <c r="G261" s="66">
        <v>9</v>
      </c>
      <c r="H261" s="67" t="str">
        <f>IFERROR(IF(C261="CPU",VLOOKUP(D261,#REF!,4,0),IF(C261="SINAPI",VLOOKUP(D261,#REF!,5,0),IF(C261="EDIF",VLOOKUP(D261,#REF!,4,0),IF(C261="CPOS",VLOOKUP(D261,#REF!,7,0),IF(C261="FDE",VLOOKUP(D261,#REF!,5,0),IF(C261="INFRA",VLOOKUP(D261,#REF!,4,0),""))))))*VLOOKUP(C261,#REF!,3,0),"")</f>
        <v/>
      </c>
      <c r="I261" s="1106">
        <v>0.25</v>
      </c>
      <c r="J261" s="67" t="e">
        <f t="shared" si="30"/>
        <v>#VALUE!</v>
      </c>
      <c r="K261" s="69" t="e">
        <f t="shared" si="31"/>
        <v>#VALUE!</v>
      </c>
      <c r="L261" s="51"/>
      <c r="M261" s="52"/>
      <c r="N261" s="940"/>
    </row>
    <row r="262" spans="2:14" s="25" customFormat="1" ht="27" customHeight="1">
      <c r="B262" s="61" t="s">
        <v>6494</v>
      </c>
      <c r="C262" s="61" t="s">
        <v>4872</v>
      </c>
      <c r="D262" s="1107">
        <v>101437</v>
      </c>
      <c r="E262" s="64" t="str">
        <f>IFERROR(UPPER(IF(C262="CPU",VLOOKUP(D262,#REF!,2,0),IF(C262="SINAPI",VLOOKUP(D262,#REF!,2,0),IF(C262="EDIF",VLOOKUP(D262,#REF!,2,0),IF(C262="CPOS",VLOOKUP(D262,#REF!,3,0),IF(C262="FDE",VLOOKUP(D262,#REF!,2,0),IF(C262="INFRA",VLOOKUP(D262,#REF!,2,0),""))))))),"")</f>
        <v/>
      </c>
      <c r="F262" s="65" t="str">
        <f>IFERROR(UPPER(IF(C262="CPU",VLOOKUP(D262,#REF!,3,0),IF(C262="SINAPI",VLOOKUP(D262,#REF!,3,0),IF(C262="EDIF",VLOOKUP(D262,#REF!,3,0),IF(C262="CPOS",VLOOKUP(D262,#REF!,4,0),IF(C262="FDE",VLOOKUP(D262,#REF!,3,0),IF(C262="INFRA",VLOOKUP(D262,#REF!,3,0),""))))))),"")</f>
        <v/>
      </c>
      <c r="G262" s="66">
        <v>4</v>
      </c>
      <c r="H262" s="67" t="str">
        <f>IFERROR(IF(C262="CPU",VLOOKUP(D262,#REF!,4,0),IF(C262="SINAPI",VLOOKUP(D262,#REF!,5,0),IF(C262="EDIF",VLOOKUP(D262,#REF!,4,0),IF(C262="CPOS",VLOOKUP(D262,#REF!,7,0),IF(C262="FDE",VLOOKUP(D262,#REF!,5,0),IF(C262="INFRA",VLOOKUP(D262,#REF!,4,0),""))))))*VLOOKUP(C262,#REF!,3,0),"")</f>
        <v/>
      </c>
      <c r="I262" s="1106">
        <v>0.25</v>
      </c>
      <c r="J262" s="67" t="e">
        <f t="shared" si="30"/>
        <v>#VALUE!</v>
      </c>
      <c r="K262" s="69" t="e">
        <f t="shared" si="31"/>
        <v>#VALUE!</v>
      </c>
      <c r="L262" s="51"/>
      <c r="M262" s="52"/>
      <c r="N262" s="940"/>
    </row>
    <row r="263" spans="2:14" s="25" customFormat="1" ht="27" customHeight="1">
      <c r="B263" s="61" t="s">
        <v>6495</v>
      </c>
      <c r="C263" s="61" t="s">
        <v>4872</v>
      </c>
      <c r="D263" s="1107">
        <v>101339</v>
      </c>
      <c r="E263" s="64" t="str">
        <f>IFERROR(UPPER(IF(C263="CPU",VLOOKUP(D263,#REF!,2,0),IF(C263="SINAPI",VLOOKUP(D263,#REF!,2,0),IF(C263="EDIF",VLOOKUP(D263,#REF!,2,0),IF(C263="CPOS",VLOOKUP(D263,#REF!,3,0),IF(C263="FDE",VLOOKUP(D263,#REF!,2,0),IF(C263="INFRA",VLOOKUP(D263,#REF!,2,0),""))))))),"")</f>
        <v/>
      </c>
      <c r="F263" s="65" t="str">
        <f>IFERROR(UPPER(IF(C263="CPU",VLOOKUP(D263,#REF!,3,0),IF(C263="SINAPI",VLOOKUP(D263,#REF!,3,0),IF(C263="EDIF",VLOOKUP(D263,#REF!,3,0),IF(C263="CPOS",VLOOKUP(D263,#REF!,4,0),IF(C263="FDE",VLOOKUP(D263,#REF!,3,0),IF(C263="INFRA",VLOOKUP(D263,#REF!,3,0),""))))))),"")</f>
        <v/>
      </c>
      <c r="G263" s="66">
        <v>1</v>
      </c>
      <c r="H263" s="67" t="str">
        <f>IFERROR(IF(C263="CPU",VLOOKUP(D263,#REF!,4,0),IF(C263="SINAPI",VLOOKUP(D263,#REF!,5,0),IF(C263="EDIF",VLOOKUP(D263,#REF!,4,0),IF(C263="CPOS",VLOOKUP(D263,#REF!,7,0),IF(C263="FDE",VLOOKUP(D263,#REF!,5,0),IF(C263="INFRA",VLOOKUP(D263,#REF!,4,0),""))))))*VLOOKUP(C263,#REF!,3,0),"")</f>
        <v/>
      </c>
      <c r="I263" s="1106">
        <v>0.25</v>
      </c>
      <c r="J263" s="67" t="e">
        <f t="shared" si="30"/>
        <v>#VALUE!</v>
      </c>
      <c r="K263" s="69" t="e">
        <f t="shared" si="31"/>
        <v>#VALUE!</v>
      </c>
      <c r="L263" s="51"/>
      <c r="M263" s="52"/>
      <c r="N263" s="940"/>
    </row>
    <row r="264" spans="2:14" s="25" customFormat="1" ht="27" customHeight="1">
      <c r="B264" s="61" t="s">
        <v>6496</v>
      </c>
      <c r="C264" s="61" t="s">
        <v>4872</v>
      </c>
      <c r="D264" s="1107">
        <v>101426</v>
      </c>
      <c r="E264" s="64" t="str">
        <f>IFERROR(UPPER(IF(C264="CPU",VLOOKUP(D264,#REF!,2,0),IF(C264="SINAPI",VLOOKUP(D264,#REF!,2,0),IF(C264="EDIF",VLOOKUP(D264,#REF!,2,0),IF(C264="CPOS",VLOOKUP(D264,#REF!,3,0),IF(C264="FDE",VLOOKUP(D264,#REF!,2,0),IF(C264="INFRA",VLOOKUP(D264,#REF!,2,0),""))))))),"")</f>
        <v/>
      </c>
      <c r="F264" s="65" t="str">
        <f>IFERROR(UPPER(IF(C264="CPU",VLOOKUP(D264,#REF!,3,0),IF(C264="SINAPI",VLOOKUP(D264,#REF!,3,0),IF(C264="EDIF",VLOOKUP(D264,#REF!,3,0),IF(C264="CPOS",VLOOKUP(D264,#REF!,4,0),IF(C264="FDE",VLOOKUP(D264,#REF!,3,0),IF(C264="INFRA",VLOOKUP(D264,#REF!,3,0),""))))))),"")</f>
        <v/>
      </c>
      <c r="G264" s="66">
        <v>9</v>
      </c>
      <c r="H264" s="67" t="str">
        <f>IFERROR(IF(C264="CPU",VLOOKUP(D264,#REF!,4,0),IF(C264="SINAPI",VLOOKUP(D264,#REF!,5,0),IF(C264="EDIF",VLOOKUP(D264,#REF!,4,0),IF(C264="CPOS",VLOOKUP(D264,#REF!,7,0),IF(C264="FDE",VLOOKUP(D264,#REF!,5,0),IF(C264="INFRA",VLOOKUP(D264,#REF!,4,0),""))))))*VLOOKUP(C264,#REF!,3,0),"")</f>
        <v/>
      </c>
      <c r="I264" s="1106">
        <v>0.25</v>
      </c>
      <c r="J264" s="67" t="e">
        <f t="shared" si="30"/>
        <v>#VALUE!</v>
      </c>
      <c r="K264" s="69" t="e">
        <f t="shared" si="31"/>
        <v>#VALUE!</v>
      </c>
      <c r="L264" s="51"/>
      <c r="M264" s="52"/>
      <c r="N264" s="940"/>
    </row>
    <row r="265" spans="2:14" s="25" customFormat="1" ht="27" customHeight="1">
      <c r="B265" s="1097" t="s">
        <v>883</v>
      </c>
      <c r="C265" s="1098"/>
      <c r="D265" s="1098"/>
      <c r="E265" s="1099" t="s">
        <v>6497</v>
      </c>
      <c r="F265" s="1100"/>
      <c r="G265" s="1101"/>
      <c r="H265" s="1102"/>
      <c r="I265" s="1103"/>
      <c r="J265" s="1103"/>
      <c r="K265" s="1104"/>
      <c r="L265" s="51"/>
      <c r="M265" s="52"/>
      <c r="N265" s="940"/>
    </row>
    <row r="266" spans="2:14" s="25" customFormat="1" ht="27" customHeight="1">
      <c r="B266" s="61" t="s">
        <v>886</v>
      </c>
      <c r="C266" s="61" t="s">
        <v>4872</v>
      </c>
      <c r="D266" s="94">
        <v>101474</v>
      </c>
      <c r="E266" s="64" t="str">
        <f>IFERROR(UPPER(IF(C266="CPU",VLOOKUP(D266,#REF!,2,0),IF(C266="SINAPI",VLOOKUP(D266,#REF!,2,0),IF(C266="EDIF",VLOOKUP(D266,#REF!,2,0),IF(C266="CPOS",VLOOKUP(D266,#REF!,3,0),IF(C266="FDE",VLOOKUP(D266,#REF!,2,0),IF(C266="INFRA",VLOOKUP(D266,#REF!,2,0),""))))))),"")</f>
        <v/>
      </c>
      <c r="F266" s="65" t="str">
        <f>IFERROR(UPPER(IF(C266="CPU",VLOOKUP(D266,#REF!,3,0),IF(C266="SINAPI",VLOOKUP(D266,#REF!,3,0),IF(C266="EDIF",VLOOKUP(D266,#REF!,3,0),IF(C266="CPOS",VLOOKUP(D266,#REF!,4,0),IF(C266="FDE",VLOOKUP(D266,#REF!,3,0),IF(C266="INFRA",VLOOKUP(D266,#REF!,3,0),""))))))),"")</f>
        <v/>
      </c>
      <c r="G266" s="66">
        <v>4.4000000000000004</v>
      </c>
      <c r="H266" s="67" t="str">
        <f>IFERROR(IF(C266="CPU",VLOOKUP(D266,#REF!,4,0),IF(C266="SINAPI",VLOOKUP(D266,#REF!,5,0),IF(C266="EDIF",VLOOKUP(D266,#REF!,4,0),IF(C266="CPOS",VLOOKUP(D266,#REF!,7,0),IF(C266="FDE",VLOOKUP(D266,#REF!,5,0),IF(C266="INFRA",VLOOKUP(D266,#REF!,4,0),""))))))*VLOOKUP(C266,#REF!,3,0),"")</f>
        <v/>
      </c>
      <c r="I266" s="1106">
        <v>0.25</v>
      </c>
      <c r="J266" s="67" t="e">
        <f t="shared" ref="J266:J275" si="32">ROUND(H266*(1+I266),2)</f>
        <v>#VALUE!</v>
      </c>
      <c r="K266" s="69" t="e">
        <f t="shared" ref="K266:K275" si="33">SUM(G266*J266)</f>
        <v>#VALUE!</v>
      </c>
      <c r="L266" s="51"/>
      <c r="M266" s="52"/>
      <c r="N266" s="940"/>
    </row>
    <row r="267" spans="2:14" s="25" customFormat="1" ht="27" customHeight="1">
      <c r="B267" s="61" t="s">
        <v>6498</v>
      </c>
      <c r="C267" s="61" t="s">
        <v>4872</v>
      </c>
      <c r="D267" s="94">
        <v>101476</v>
      </c>
      <c r="E267" s="64" t="str">
        <f>IFERROR(UPPER(IF(C267="CPU",VLOOKUP(D267,#REF!,2,0),IF(C267="SINAPI",VLOOKUP(D267,#REF!,2,0),IF(C267="EDIF",VLOOKUP(D267,#REF!,2,0),IF(C267="CPOS",VLOOKUP(D267,#REF!,3,0),IF(C267="FDE",VLOOKUP(D267,#REF!,2,0),IF(C267="INFRA",VLOOKUP(D267,#REF!,2,0),""))))))),"")</f>
        <v/>
      </c>
      <c r="F267" s="65" t="str">
        <f>IFERROR(UPPER(IF(C267="CPU",VLOOKUP(D267,#REF!,3,0),IF(C267="SINAPI",VLOOKUP(D267,#REF!,3,0),IF(C267="EDIF",VLOOKUP(D267,#REF!,3,0),IF(C267="CPOS",VLOOKUP(D267,#REF!,4,0),IF(C267="FDE",VLOOKUP(D267,#REF!,3,0),IF(C267="INFRA",VLOOKUP(D267,#REF!,3,0),""))))))),"")</f>
        <v/>
      </c>
      <c r="G267" s="66">
        <f>3.4*0.6</f>
        <v>2.04</v>
      </c>
      <c r="H267" s="67" t="str">
        <f>IFERROR(IF(C267="CPU",VLOOKUP(D267,#REF!,4,0),IF(C267="SINAPI",VLOOKUP(D267,#REF!,5,0),IF(C267="EDIF",VLOOKUP(D267,#REF!,4,0),IF(C267="CPOS",VLOOKUP(D267,#REF!,7,0),IF(C267="FDE",VLOOKUP(D267,#REF!,5,0),IF(C267="INFRA",VLOOKUP(D267,#REF!,4,0),""))))))*VLOOKUP(C267,#REF!,3,0),"")</f>
        <v/>
      </c>
      <c r="I267" s="1106">
        <v>0.25</v>
      </c>
      <c r="J267" s="67" t="e">
        <f t="shared" si="32"/>
        <v>#VALUE!</v>
      </c>
      <c r="K267" s="69" t="e">
        <f t="shared" si="33"/>
        <v>#VALUE!</v>
      </c>
      <c r="L267" s="51"/>
      <c r="M267" s="52"/>
      <c r="N267" s="940"/>
    </row>
    <row r="268" spans="2:14" s="25" customFormat="1" ht="27" customHeight="1">
      <c r="B268" s="61" t="s">
        <v>6499</v>
      </c>
      <c r="C268" s="61" t="s">
        <v>1479</v>
      </c>
      <c r="D268" s="1108" t="s">
        <v>6485</v>
      </c>
      <c r="E268" s="64" t="str">
        <f>IFERROR(UPPER(IF(C268="CPU",VLOOKUP(D268,#REF!,2,0),IF(C268="SINAPI",VLOOKUP(D268,#REF!,2,0),IF(C268="EDIF",VLOOKUP(D268,#REF!,2,0),IF(C268="CPOS",VLOOKUP(D268,#REF!,3,0),IF(C268="FDE",VLOOKUP(D268,#REF!,2,0),IF(C268="INFRA",VLOOKUP(D268,#REF!,2,0),""))))))),"")</f>
        <v/>
      </c>
      <c r="F268" s="65" t="str">
        <f>IFERROR(UPPER(IF(C268="CPU",VLOOKUP(D268,#REF!,3,0),IF(C268="SINAPI",VLOOKUP(D268,#REF!,3,0),IF(C268="EDIF",VLOOKUP(D268,#REF!,3,0),IF(C268="CPOS",VLOOKUP(D268,#REF!,4,0),IF(C268="FDE",VLOOKUP(D268,#REF!,3,0),IF(C268="INFRA",VLOOKUP(D268,#REF!,3,0),""))))))),"")</f>
        <v/>
      </c>
      <c r="G268" s="66">
        <v>4</v>
      </c>
      <c r="H268" s="67" t="str">
        <f>IFERROR(IF(C268="CPU",VLOOKUP(D268,#REF!,4,0),IF(C268="SINAPI",VLOOKUP(D268,#REF!,5,0),IF(C268="EDIF",VLOOKUP(D268,#REF!,4,0),IF(C268="CPOS",VLOOKUP(D268,#REF!,7,0),IF(C268="FDE",VLOOKUP(D268,#REF!,5,0),IF(C268="INFRA",VLOOKUP(D268,#REF!,4,0),""))))))*VLOOKUP(C268,#REF!,3,0),"")</f>
        <v/>
      </c>
      <c r="I268" s="1106">
        <v>0.25</v>
      </c>
      <c r="J268" s="67" t="e">
        <f t="shared" si="32"/>
        <v>#VALUE!</v>
      </c>
      <c r="K268" s="69" t="e">
        <f t="shared" si="33"/>
        <v>#VALUE!</v>
      </c>
      <c r="L268" s="51"/>
      <c r="M268" s="52"/>
      <c r="N268" s="940"/>
    </row>
    <row r="269" spans="2:14" s="25" customFormat="1" ht="27" customHeight="1">
      <c r="B269" s="61" t="s">
        <v>6500</v>
      </c>
      <c r="C269" s="61" t="s">
        <v>4872</v>
      </c>
      <c r="D269" s="94">
        <v>101410</v>
      </c>
      <c r="E269" s="64" t="str">
        <f>IFERROR(UPPER(IF(C269="CPU",VLOOKUP(D269,#REF!,2,0),IF(C269="SINAPI",VLOOKUP(D269,#REF!,2,0),IF(C269="EDIF",VLOOKUP(D269,#REF!,2,0),IF(C269="CPOS",VLOOKUP(D269,#REF!,3,0),IF(C269="FDE",VLOOKUP(D269,#REF!,2,0),IF(C269="INFRA",VLOOKUP(D269,#REF!,2,0),""))))))),"")</f>
        <v/>
      </c>
      <c r="F269" s="65" t="str">
        <f>IFERROR(UPPER(IF(C269="CPU",VLOOKUP(D269,#REF!,3,0),IF(C269="SINAPI",VLOOKUP(D269,#REF!,3,0),IF(C269="EDIF",VLOOKUP(D269,#REF!,3,0),IF(C269="CPOS",VLOOKUP(D269,#REF!,4,0),IF(C269="FDE",VLOOKUP(D269,#REF!,3,0),IF(C269="INFRA",VLOOKUP(D269,#REF!,3,0),""))))))),"")</f>
        <v/>
      </c>
      <c r="G269" s="66">
        <v>4</v>
      </c>
      <c r="H269" s="67" t="str">
        <f>IFERROR(IF(C269="CPU",VLOOKUP(D269,#REF!,4,0),IF(C269="SINAPI",VLOOKUP(D269,#REF!,5,0),IF(C269="EDIF",VLOOKUP(D269,#REF!,4,0),IF(C269="CPOS",VLOOKUP(D269,#REF!,7,0),IF(C269="FDE",VLOOKUP(D269,#REF!,5,0),IF(C269="INFRA",VLOOKUP(D269,#REF!,4,0),""))))))*VLOOKUP(C269,#REF!,3,0),"")</f>
        <v/>
      </c>
      <c r="I269" s="1106">
        <v>0.25</v>
      </c>
      <c r="J269" s="67" t="e">
        <f t="shared" si="32"/>
        <v>#VALUE!</v>
      </c>
      <c r="K269" s="69" t="e">
        <f t="shared" si="33"/>
        <v>#VALUE!</v>
      </c>
      <c r="L269" s="51"/>
      <c r="M269" s="52"/>
      <c r="N269" s="940"/>
    </row>
    <row r="270" spans="2:14" s="25" customFormat="1" ht="27" customHeight="1">
      <c r="B270" s="61" t="s">
        <v>6501</v>
      </c>
      <c r="C270" s="61" t="s">
        <v>4872</v>
      </c>
      <c r="D270" s="94">
        <v>108074</v>
      </c>
      <c r="E270" s="64" t="str">
        <f>IFERROR(UPPER(IF(C270="CPU",VLOOKUP(D270,#REF!,2,0),IF(C270="SINAPI",VLOOKUP(D270,#REF!,2,0),IF(C270="EDIF",VLOOKUP(D270,#REF!,2,0),IF(C270="CPOS",VLOOKUP(D270,#REF!,3,0),IF(C270="FDE",VLOOKUP(D270,#REF!,2,0),IF(C270="INFRA",VLOOKUP(D270,#REF!,2,0),""))))))),"")</f>
        <v/>
      </c>
      <c r="F270" s="65" t="str">
        <f>IFERROR(UPPER(IF(C270="CPU",VLOOKUP(D270,#REF!,3,0),IF(C270="SINAPI",VLOOKUP(D270,#REF!,3,0),IF(C270="EDIF",VLOOKUP(D270,#REF!,3,0),IF(C270="CPOS",VLOOKUP(D270,#REF!,4,0),IF(C270="FDE",VLOOKUP(D270,#REF!,3,0),IF(C270="INFRA",VLOOKUP(D270,#REF!,3,0),""))))))),"")</f>
        <v/>
      </c>
      <c r="G270" s="66">
        <v>4</v>
      </c>
      <c r="H270" s="67" t="str">
        <f>IFERROR(IF(C270="CPU",VLOOKUP(D270,#REF!,4,0),IF(C270="SINAPI",VLOOKUP(D270,#REF!,5,0),IF(C270="EDIF",VLOOKUP(D270,#REF!,4,0),IF(C270="CPOS",VLOOKUP(D270,#REF!,7,0),IF(C270="FDE",VLOOKUP(D270,#REF!,5,0),IF(C270="INFRA",VLOOKUP(D270,#REF!,4,0),""))))))*VLOOKUP(C270,#REF!,3,0),"")</f>
        <v/>
      </c>
      <c r="I270" s="1106">
        <v>0.25</v>
      </c>
      <c r="J270" s="67" t="e">
        <f t="shared" si="32"/>
        <v>#VALUE!</v>
      </c>
      <c r="K270" s="69" t="e">
        <f t="shared" si="33"/>
        <v>#VALUE!</v>
      </c>
      <c r="L270" s="51"/>
      <c r="M270" s="52"/>
      <c r="N270" s="940"/>
    </row>
    <row r="271" spans="2:14" s="25" customFormat="1" ht="27" customHeight="1">
      <c r="B271" s="61" t="s">
        <v>6502</v>
      </c>
      <c r="C271" s="61" t="s">
        <v>4872</v>
      </c>
      <c r="D271" s="94">
        <v>108081</v>
      </c>
      <c r="E271" s="64" t="str">
        <f>IFERROR(UPPER(IF(C271="CPU",VLOOKUP(D271,#REF!,2,0),IF(C271="SINAPI",VLOOKUP(D271,#REF!,2,0),IF(C271="EDIF",VLOOKUP(D271,#REF!,2,0),IF(C271="CPOS",VLOOKUP(D271,#REF!,3,0),IF(C271="FDE",VLOOKUP(D271,#REF!,2,0),IF(C271="INFRA",VLOOKUP(D271,#REF!,2,0),""))))))),"")</f>
        <v/>
      </c>
      <c r="F271" s="65" t="str">
        <f>IFERROR(UPPER(IF(C271="CPU",VLOOKUP(D271,#REF!,3,0),IF(C271="SINAPI",VLOOKUP(D271,#REF!,3,0),IF(C271="EDIF",VLOOKUP(D271,#REF!,3,0),IF(C271="CPOS",VLOOKUP(D271,#REF!,4,0),IF(C271="FDE",VLOOKUP(D271,#REF!,3,0),IF(C271="INFRA",VLOOKUP(D271,#REF!,3,0),""))))))),"")</f>
        <v/>
      </c>
      <c r="G271" s="66">
        <v>4</v>
      </c>
      <c r="H271" s="67" t="str">
        <f>IFERROR(IF(C271="CPU",VLOOKUP(D271,#REF!,4,0),IF(C271="SINAPI",VLOOKUP(D271,#REF!,5,0),IF(C271="EDIF",VLOOKUP(D271,#REF!,4,0),IF(C271="CPOS",VLOOKUP(D271,#REF!,7,0),IF(C271="FDE",VLOOKUP(D271,#REF!,5,0),IF(C271="INFRA",VLOOKUP(D271,#REF!,4,0),""))))))*VLOOKUP(C271,#REF!,3,0),"")</f>
        <v/>
      </c>
      <c r="I271" s="1106">
        <v>0.25</v>
      </c>
      <c r="J271" s="67" t="e">
        <f t="shared" si="32"/>
        <v>#VALUE!</v>
      </c>
      <c r="K271" s="69" t="e">
        <f t="shared" si="33"/>
        <v>#VALUE!</v>
      </c>
      <c r="L271" s="51"/>
      <c r="M271" s="52"/>
      <c r="N271" s="940"/>
    </row>
    <row r="272" spans="2:14" s="25" customFormat="1" ht="27" customHeight="1">
      <c r="B272" s="61" t="s">
        <v>6503</v>
      </c>
      <c r="C272" s="61" t="s">
        <v>4872</v>
      </c>
      <c r="D272" s="94">
        <v>108093</v>
      </c>
      <c r="E272" s="64" t="str">
        <f>IFERROR(UPPER(IF(C272="CPU",VLOOKUP(D272,#REF!,2,0),IF(C272="SINAPI",VLOOKUP(D272,#REF!,2,0),IF(C272="EDIF",VLOOKUP(D272,#REF!,2,0),IF(C272="CPOS",VLOOKUP(D272,#REF!,3,0),IF(C272="FDE",VLOOKUP(D272,#REF!,2,0),IF(C272="INFRA",VLOOKUP(D272,#REF!,2,0),""))))))),"")</f>
        <v/>
      </c>
      <c r="F272" s="65" t="str">
        <f>IFERROR(UPPER(IF(C272="CPU",VLOOKUP(D272,#REF!,3,0),IF(C272="SINAPI",VLOOKUP(D272,#REF!,3,0),IF(C272="EDIF",VLOOKUP(D272,#REF!,3,0),IF(C272="CPOS",VLOOKUP(D272,#REF!,4,0),IF(C272="FDE",VLOOKUP(D272,#REF!,3,0),IF(C272="INFRA",VLOOKUP(D272,#REF!,3,0),""))))))),"")</f>
        <v/>
      </c>
      <c r="G272" s="66">
        <v>4</v>
      </c>
      <c r="H272" s="67" t="str">
        <f>IFERROR(IF(C272="CPU",VLOOKUP(D272,#REF!,4,0),IF(C272="SINAPI",VLOOKUP(D272,#REF!,5,0),IF(C272="EDIF",VLOOKUP(D272,#REF!,4,0),IF(C272="CPOS",VLOOKUP(D272,#REF!,7,0),IF(C272="FDE",VLOOKUP(D272,#REF!,5,0),IF(C272="INFRA",VLOOKUP(D272,#REF!,4,0),""))))))*VLOOKUP(C272,#REF!,3,0),"")</f>
        <v/>
      </c>
      <c r="I272" s="1106">
        <v>0.25</v>
      </c>
      <c r="J272" s="67" t="e">
        <f t="shared" si="32"/>
        <v>#VALUE!</v>
      </c>
      <c r="K272" s="69" t="e">
        <f t="shared" si="33"/>
        <v>#VALUE!</v>
      </c>
      <c r="L272" s="51"/>
      <c r="M272" s="52"/>
      <c r="N272" s="940"/>
    </row>
    <row r="273" spans="2:14" s="25" customFormat="1" ht="27" customHeight="1">
      <c r="B273" s="61" t="s">
        <v>6504</v>
      </c>
      <c r="C273" s="61" t="s">
        <v>4872</v>
      </c>
      <c r="D273" s="94">
        <v>100551</v>
      </c>
      <c r="E273" s="64" t="str">
        <f>IFERROR(UPPER(IF(C273="CPU",VLOOKUP(D273,#REF!,2,0),IF(C273="SINAPI",VLOOKUP(D273,#REF!,2,0),IF(C273="EDIF",VLOOKUP(D273,#REF!,2,0),IF(C273="CPOS",VLOOKUP(D273,#REF!,3,0),IF(C273="FDE",VLOOKUP(D273,#REF!,2,0),IF(C273="INFRA",VLOOKUP(D273,#REF!,2,0),""))))))),"")</f>
        <v/>
      </c>
      <c r="F273" s="65" t="str">
        <f>IFERROR(UPPER(IF(C273="CPU",VLOOKUP(D273,#REF!,3,0),IF(C273="SINAPI",VLOOKUP(D273,#REF!,3,0),IF(C273="EDIF",VLOOKUP(D273,#REF!,3,0),IF(C273="CPOS",VLOOKUP(D273,#REF!,4,0),IF(C273="FDE",VLOOKUP(D273,#REF!,3,0),IF(C273="INFRA",VLOOKUP(D273,#REF!,3,0),""))))))),"")</f>
        <v/>
      </c>
      <c r="G273" s="66">
        <v>1</v>
      </c>
      <c r="H273" s="67" t="str">
        <f>IFERROR(IF(C273="CPU",VLOOKUP(D273,#REF!,4,0),IF(C273="SINAPI",VLOOKUP(D273,#REF!,5,0),IF(C273="EDIF",VLOOKUP(D273,#REF!,4,0),IF(C273="CPOS",VLOOKUP(D273,#REF!,7,0),IF(C273="FDE",VLOOKUP(D273,#REF!,5,0),IF(C273="INFRA",VLOOKUP(D273,#REF!,4,0),""))))))*VLOOKUP(C273,#REF!,3,0),"")</f>
        <v/>
      </c>
      <c r="I273" s="1106">
        <v>0.25</v>
      </c>
      <c r="J273" s="67" t="e">
        <f t="shared" si="32"/>
        <v>#VALUE!</v>
      </c>
      <c r="K273" s="69" t="e">
        <f t="shared" si="33"/>
        <v>#VALUE!</v>
      </c>
      <c r="L273" s="51"/>
      <c r="M273" s="52"/>
      <c r="N273" s="940"/>
    </row>
    <row r="274" spans="2:14" s="25" customFormat="1" ht="27" customHeight="1">
      <c r="B274" s="61" t="s">
        <v>6505</v>
      </c>
      <c r="C274" s="61" t="s">
        <v>4872</v>
      </c>
      <c r="D274" s="1107">
        <v>101491</v>
      </c>
      <c r="E274" s="64" t="str">
        <f>IFERROR(UPPER(IF(C274="CPU",VLOOKUP(D274,#REF!,2,0),IF(C274="SINAPI",VLOOKUP(D274,#REF!,2,0),IF(C274="EDIF",VLOOKUP(D274,#REF!,2,0),IF(C274="CPOS",VLOOKUP(D274,#REF!,3,0),IF(C274="FDE",VLOOKUP(D274,#REF!,2,0),IF(C274="INFRA",VLOOKUP(D274,#REF!,2,0),""))))))),"")</f>
        <v/>
      </c>
      <c r="F274" s="65" t="str">
        <f>IFERROR(UPPER(IF(C274="CPU",VLOOKUP(D274,#REF!,3,0),IF(C274="SINAPI",VLOOKUP(D274,#REF!,3,0),IF(C274="EDIF",VLOOKUP(D274,#REF!,3,0),IF(C274="CPOS",VLOOKUP(D274,#REF!,4,0),IF(C274="FDE",VLOOKUP(D274,#REF!,3,0),IF(C274="INFRA",VLOOKUP(D274,#REF!,3,0),""))))))),"")</f>
        <v/>
      </c>
      <c r="G274" s="66">
        <v>2</v>
      </c>
      <c r="H274" s="67" t="str">
        <f>IFERROR(IF(C274="CPU",VLOOKUP(D274,#REF!,4,0),IF(C274="SINAPI",VLOOKUP(D274,#REF!,5,0),IF(C274="EDIF",VLOOKUP(D274,#REF!,4,0),IF(C274="CPOS",VLOOKUP(D274,#REF!,7,0),IF(C274="FDE",VLOOKUP(D274,#REF!,5,0),IF(C274="INFRA",VLOOKUP(D274,#REF!,4,0),""))))))*VLOOKUP(C274,#REF!,3,0),"")</f>
        <v/>
      </c>
      <c r="I274" s="1106">
        <v>0.25</v>
      </c>
      <c r="J274" s="67" t="e">
        <f t="shared" si="32"/>
        <v>#VALUE!</v>
      </c>
      <c r="K274" s="69" t="e">
        <f t="shared" si="33"/>
        <v>#VALUE!</v>
      </c>
      <c r="L274" s="51"/>
      <c r="M274" s="52"/>
      <c r="N274" s="940"/>
    </row>
    <row r="275" spans="2:14" s="25" customFormat="1" ht="27" customHeight="1">
      <c r="B275" s="61" t="s">
        <v>6506</v>
      </c>
      <c r="C275" s="61" t="s">
        <v>4872</v>
      </c>
      <c r="D275" s="1107">
        <v>101497</v>
      </c>
      <c r="E275" s="64" t="str">
        <f>IFERROR(UPPER(IF(C275="CPU",VLOOKUP(D275,#REF!,2,0),IF(C275="SINAPI",VLOOKUP(D275,#REF!,2,0),IF(C275="EDIF",VLOOKUP(D275,#REF!,2,0),IF(C275="CPOS",VLOOKUP(D275,#REF!,3,0),IF(C275="FDE",VLOOKUP(D275,#REF!,2,0),IF(C275="INFRA",VLOOKUP(D275,#REF!,2,0),""))))))),"")</f>
        <v/>
      </c>
      <c r="F275" s="65" t="str">
        <f>IFERROR(UPPER(IF(C275="CPU",VLOOKUP(D275,#REF!,3,0),IF(C275="SINAPI",VLOOKUP(D275,#REF!,3,0),IF(C275="EDIF",VLOOKUP(D275,#REF!,3,0),IF(C275="CPOS",VLOOKUP(D275,#REF!,4,0),IF(C275="FDE",VLOOKUP(D275,#REF!,3,0),IF(C275="INFRA",VLOOKUP(D275,#REF!,3,0),""))))))),"")</f>
        <v/>
      </c>
      <c r="G275" s="66">
        <v>2</v>
      </c>
      <c r="H275" s="67" t="str">
        <f>IFERROR(IF(C275="CPU",VLOOKUP(D275,#REF!,4,0),IF(C275="SINAPI",VLOOKUP(D275,#REF!,5,0),IF(C275="EDIF",VLOOKUP(D275,#REF!,4,0),IF(C275="CPOS",VLOOKUP(D275,#REF!,7,0),IF(C275="FDE",VLOOKUP(D275,#REF!,5,0),IF(C275="INFRA",VLOOKUP(D275,#REF!,4,0),""))))))*VLOOKUP(C275,#REF!,3,0),"")</f>
        <v/>
      </c>
      <c r="I275" s="1106">
        <v>0.25</v>
      </c>
      <c r="J275" s="67" t="e">
        <f t="shared" si="32"/>
        <v>#VALUE!</v>
      </c>
      <c r="K275" s="69" t="e">
        <f t="shared" si="33"/>
        <v>#VALUE!</v>
      </c>
      <c r="L275" s="51"/>
      <c r="M275" s="52"/>
      <c r="N275" s="940"/>
    </row>
    <row r="276" spans="2:14" s="25" customFormat="1" ht="27" customHeight="1">
      <c r="B276" s="1097" t="s">
        <v>888</v>
      </c>
      <c r="C276" s="1098"/>
      <c r="D276" s="1098"/>
      <c r="E276" s="1099" t="s">
        <v>6507</v>
      </c>
      <c r="F276" s="1100"/>
      <c r="G276" s="1101"/>
      <c r="H276" s="1102"/>
      <c r="I276" s="1103"/>
      <c r="J276" s="1103"/>
      <c r="K276" s="1104"/>
      <c r="L276" s="51"/>
      <c r="M276" s="52"/>
      <c r="N276" s="940"/>
    </row>
    <row r="277" spans="2:14" s="25" customFormat="1" ht="27" customHeight="1">
      <c r="B277" s="61" t="s">
        <v>891</v>
      </c>
      <c r="C277" s="61" t="s">
        <v>4872</v>
      </c>
      <c r="D277" s="94">
        <v>101476</v>
      </c>
      <c r="E277" s="64" t="str">
        <f>IFERROR(UPPER(IF(C277="CPU",VLOOKUP(D277,#REF!,2,0),IF(C277="SINAPI",VLOOKUP(D277,#REF!,2,0),IF(C277="EDIF",VLOOKUP(D277,#REF!,2,0),IF(C277="CPOS",VLOOKUP(D277,#REF!,3,0),IF(C277="FDE",VLOOKUP(D277,#REF!,2,0),IF(C277="INFRA",VLOOKUP(D277,#REF!,2,0),""))))))),"")</f>
        <v/>
      </c>
      <c r="F277" s="65" t="str">
        <f>IFERROR(UPPER(IF(C277="CPU",VLOOKUP(D277,#REF!,3,0),IF(C277="SINAPI",VLOOKUP(D277,#REF!,3,0),IF(C277="EDIF",VLOOKUP(D277,#REF!,3,0),IF(C277="CPOS",VLOOKUP(D277,#REF!,4,0),IF(C277="FDE",VLOOKUP(D277,#REF!,3,0),IF(C277="INFRA",VLOOKUP(D277,#REF!,3,0),""))))))),"")</f>
        <v/>
      </c>
      <c r="G277" s="66">
        <v>6</v>
      </c>
      <c r="H277" s="67" t="str">
        <f>IFERROR(IF(C277="CPU",VLOOKUP(D277,#REF!,4,0),IF(C277="SINAPI",VLOOKUP(D277,#REF!,5,0),IF(C277="EDIF",VLOOKUP(D277,#REF!,4,0),IF(C277="CPOS",VLOOKUP(D277,#REF!,7,0),IF(C277="FDE",VLOOKUP(D277,#REF!,5,0),IF(C277="INFRA",VLOOKUP(D277,#REF!,4,0),""))))))*VLOOKUP(C277,#REF!,3,0),"")</f>
        <v/>
      </c>
      <c r="I277" s="1106">
        <v>0.25</v>
      </c>
      <c r="J277" s="67" t="e">
        <f t="shared" ref="J277:J282" si="34">ROUND(H277*(1+I277),2)</f>
        <v>#VALUE!</v>
      </c>
      <c r="K277" s="69" t="e">
        <f t="shared" ref="K277:K282" si="35">SUM(G277*J277)</f>
        <v>#VALUE!</v>
      </c>
      <c r="L277" s="51"/>
      <c r="M277" s="52"/>
      <c r="N277" s="940"/>
    </row>
    <row r="278" spans="2:14" s="25" customFormat="1" ht="35.25" customHeight="1">
      <c r="B278" s="61" t="s">
        <v>893</v>
      </c>
      <c r="C278" s="61" t="s">
        <v>4908</v>
      </c>
      <c r="D278" s="65" t="s">
        <v>6508</v>
      </c>
      <c r="E278" s="64" t="str">
        <f>IFERROR(UPPER(IF(C278="CPU",VLOOKUP(D278,#REF!,2,0),IF(C278="SINAPI",VLOOKUP(D278,#REF!,2,0),IF(C278="EDIF",VLOOKUP(D278,#REF!,2,0),IF(C278="CPOS",VLOOKUP(D278,#REF!,3,0),IF(C278="FDE",VLOOKUP(D278,#REF!,2,0),IF(C278="INFRA",VLOOKUP(D278,#REF!,2,0),""))))))),"")</f>
        <v/>
      </c>
      <c r="F278" s="65" t="str">
        <f>IFERROR(UPPER(IF(C278="CPU",VLOOKUP(D278,#REF!,3,0),IF(C278="SINAPI",VLOOKUP(D278,#REF!,3,0),IF(C278="EDIF",VLOOKUP(D278,#REF!,3,0),IF(C278="CPOS",VLOOKUP(D278,#REF!,4,0),IF(C278="FDE",VLOOKUP(D278,#REF!,3,0),IF(C278="INFRA",VLOOKUP(D278,#REF!,3,0),""))))))),"")</f>
        <v/>
      </c>
      <c r="G278" s="66">
        <v>3</v>
      </c>
      <c r="H278" s="67" t="str">
        <f>IFERROR(IF(C278="CPU",VLOOKUP(D278,#REF!,4,0),IF(C278="SINAPI",VLOOKUP(D278,#REF!,5,0),IF(C278="EDIF",VLOOKUP(D278,#REF!,4,0),IF(C278="CPOS",VLOOKUP(D278,#REF!,7,0),IF(C278="FDE",VLOOKUP(D278,#REF!,5,0),IF(C278="INFRA",VLOOKUP(D278,#REF!,4,0),""))))))*VLOOKUP(C278,#REF!,3,0),"")</f>
        <v/>
      </c>
      <c r="I278" s="1106">
        <v>0.25</v>
      </c>
      <c r="J278" s="67" t="e">
        <f t="shared" si="34"/>
        <v>#VALUE!</v>
      </c>
      <c r="K278" s="69" t="e">
        <f t="shared" si="35"/>
        <v>#VALUE!</v>
      </c>
      <c r="L278" s="51"/>
      <c r="M278" s="52"/>
      <c r="N278" s="940"/>
    </row>
    <row r="279" spans="2:14" s="25" customFormat="1" ht="27" customHeight="1">
      <c r="B279" s="61" t="s">
        <v>895</v>
      </c>
      <c r="C279" s="61" t="s">
        <v>4872</v>
      </c>
      <c r="D279" s="1107">
        <v>101491</v>
      </c>
      <c r="E279" s="64" t="str">
        <f>IFERROR(UPPER(IF(C279="CPU",VLOOKUP(D279,#REF!,2,0),IF(C279="SINAPI",VLOOKUP(D279,#REF!,2,0),IF(C279="EDIF",VLOOKUP(D279,#REF!,2,0),IF(C279="CPOS",VLOOKUP(D279,#REF!,3,0),IF(C279="FDE",VLOOKUP(D279,#REF!,2,0),IF(C279="INFRA",VLOOKUP(D279,#REF!,2,0),""))))))),"")</f>
        <v/>
      </c>
      <c r="F279" s="65" t="str">
        <f>IFERROR(UPPER(IF(C279="CPU",VLOOKUP(D279,#REF!,3,0),IF(C279="SINAPI",VLOOKUP(D279,#REF!,3,0),IF(C279="EDIF",VLOOKUP(D279,#REF!,3,0),IF(C279="CPOS",VLOOKUP(D279,#REF!,4,0),IF(C279="FDE",VLOOKUP(D279,#REF!,3,0),IF(C279="INFRA",VLOOKUP(D279,#REF!,3,0),""))))))),"")</f>
        <v/>
      </c>
      <c r="G279" s="66">
        <v>3</v>
      </c>
      <c r="H279" s="67" t="str">
        <f>IFERROR(IF(C279="CPU",VLOOKUP(D279,#REF!,4,0),IF(C279="SINAPI",VLOOKUP(D279,#REF!,5,0),IF(C279="EDIF",VLOOKUP(D279,#REF!,4,0),IF(C279="CPOS",VLOOKUP(D279,#REF!,7,0),IF(C279="FDE",VLOOKUP(D279,#REF!,5,0),IF(C279="INFRA",VLOOKUP(D279,#REF!,4,0),""))))))*VLOOKUP(C279,#REF!,3,0),"")</f>
        <v/>
      </c>
      <c r="I279" s="1106">
        <v>0.25</v>
      </c>
      <c r="J279" s="67" t="e">
        <f t="shared" si="34"/>
        <v>#VALUE!</v>
      </c>
      <c r="K279" s="69" t="e">
        <f t="shared" si="35"/>
        <v>#VALUE!</v>
      </c>
      <c r="L279" s="51"/>
      <c r="M279" s="52"/>
      <c r="N279" s="940"/>
    </row>
    <row r="280" spans="2:14" s="25" customFormat="1" ht="27" customHeight="1">
      <c r="B280" s="61" t="s">
        <v>6509</v>
      </c>
      <c r="C280" s="61" t="s">
        <v>4872</v>
      </c>
      <c r="D280" s="1107">
        <v>101497</v>
      </c>
      <c r="E280" s="64" t="str">
        <f>IFERROR(UPPER(IF(C280="CPU",VLOOKUP(D280,#REF!,2,0),IF(C280="SINAPI",VLOOKUP(D280,#REF!,2,0),IF(C280="EDIF",VLOOKUP(D280,#REF!,2,0),IF(C280="CPOS",VLOOKUP(D280,#REF!,3,0),IF(C280="FDE",VLOOKUP(D280,#REF!,2,0),IF(C280="INFRA",VLOOKUP(D280,#REF!,2,0),""))))))),"")</f>
        <v/>
      </c>
      <c r="F280" s="65" t="str">
        <f>IFERROR(UPPER(IF(C280="CPU",VLOOKUP(D280,#REF!,3,0),IF(C280="SINAPI",VLOOKUP(D280,#REF!,3,0),IF(C280="EDIF",VLOOKUP(D280,#REF!,3,0),IF(C280="CPOS",VLOOKUP(D280,#REF!,4,0),IF(C280="FDE",VLOOKUP(D280,#REF!,3,0),IF(C280="INFRA",VLOOKUP(D280,#REF!,3,0),""))))))),"")</f>
        <v/>
      </c>
      <c r="G280" s="66">
        <v>3</v>
      </c>
      <c r="H280" s="67" t="str">
        <f>IFERROR(IF(C280="CPU",VLOOKUP(D280,#REF!,4,0),IF(C280="SINAPI",VLOOKUP(D280,#REF!,5,0),IF(C280="EDIF",VLOOKUP(D280,#REF!,4,0),IF(C280="CPOS",VLOOKUP(D280,#REF!,7,0),IF(C280="FDE",VLOOKUP(D280,#REF!,5,0),IF(C280="INFRA",VLOOKUP(D280,#REF!,4,0),""))))))*VLOOKUP(C280,#REF!,3,0),"")</f>
        <v/>
      </c>
      <c r="I280" s="1106">
        <v>0.25</v>
      </c>
      <c r="J280" s="67" t="e">
        <f t="shared" si="34"/>
        <v>#VALUE!</v>
      </c>
      <c r="K280" s="69" t="e">
        <f t="shared" si="35"/>
        <v>#VALUE!</v>
      </c>
      <c r="L280" s="51"/>
      <c r="M280" s="52"/>
      <c r="N280" s="940"/>
    </row>
    <row r="281" spans="2:14" s="25" customFormat="1" ht="27" customHeight="1">
      <c r="B281" s="61" t="s">
        <v>6510</v>
      </c>
      <c r="C281" s="61" t="s">
        <v>4872</v>
      </c>
      <c r="D281" s="94">
        <v>101413</v>
      </c>
      <c r="E281" s="64" t="str">
        <f>IFERROR(UPPER(IF(C281="CPU",VLOOKUP(D281,#REF!,2,0),IF(C281="SINAPI",VLOOKUP(D281,#REF!,2,0),IF(C281="EDIF",VLOOKUP(D281,#REF!,2,0),IF(C281="CPOS",VLOOKUP(D281,#REF!,3,0),IF(C281="FDE",VLOOKUP(D281,#REF!,2,0),IF(C281="INFRA",VLOOKUP(D281,#REF!,2,0),""))))))),"")</f>
        <v/>
      </c>
      <c r="F281" s="65" t="str">
        <f>IFERROR(UPPER(IF(C281="CPU",VLOOKUP(D281,#REF!,3,0),IF(C281="SINAPI",VLOOKUP(D281,#REF!,3,0),IF(C281="EDIF",VLOOKUP(D281,#REF!,3,0),IF(C281="CPOS",VLOOKUP(D281,#REF!,4,0),IF(C281="FDE",VLOOKUP(D281,#REF!,3,0),IF(C281="INFRA",VLOOKUP(D281,#REF!,3,0),""))))))),"")</f>
        <v/>
      </c>
      <c r="G281" s="66">
        <v>11</v>
      </c>
      <c r="H281" s="67" t="str">
        <f>IFERROR(IF(C281="CPU",VLOOKUP(D281,#REF!,4,0),IF(C281="SINAPI",VLOOKUP(D281,#REF!,5,0),IF(C281="EDIF",VLOOKUP(D281,#REF!,4,0),IF(C281="CPOS",VLOOKUP(D281,#REF!,7,0),IF(C281="FDE",VLOOKUP(D281,#REF!,5,0),IF(C281="INFRA",VLOOKUP(D281,#REF!,4,0),""))))))*VLOOKUP(C281,#REF!,3,0),"")</f>
        <v/>
      </c>
      <c r="I281" s="1106">
        <v>0.25</v>
      </c>
      <c r="J281" s="67" t="e">
        <f t="shared" si="34"/>
        <v>#VALUE!</v>
      </c>
      <c r="K281" s="69" t="e">
        <f t="shared" si="35"/>
        <v>#VALUE!</v>
      </c>
      <c r="L281" s="51"/>
      <c r="M281" s="52"/>
      <c r="N281" s="940"/>
    </row>
    <row r="282" spans="2:14" s="25" customFormat="1" ht="27" customHeight="1">
      <c r="B282" s="61" t="s">
        <v>6511</v>
      </c>
      <c r="C282" s="61" t="s">
        <v>1479</v>
      </c>
      <c r="D282" s="1108" t="s">
        <v>6512</v>
      </c>
      <c r="E282" s="64" t="str">
        <f>IFERROR(UPPER(IF(C282="CPU",VLOOKUP(D282,#REF!,2,0),IF(C282="SINAPI",VLOOKUP(D282,#REF!,2,0),IF(C282="EDIF",VLOOKUP(D282,#REF!,2,0),IF(C282="CPOS",VLOOKUP(D282,#REF!,3,0),IF(C282="FDE",VLOOKUP(D282,#REF!,2,0),IF(C282="INFRA",VLOOKUP(D282,#REF!,2,0),""))))))),"")</f>
        <v/>
      </c>
      <c r="F282" s="65" t="str">
        <f>IFERROR(UPPER(IF(C282="CPU",VLOOKUP(D282,#REF!,3,0),IF(C282="SINAPI",VLOOKUP(D282,#REF!,3,0),IF(C282="EDIF",VLOOKUP(D282,#REF!,3,0),IF(C282="CPOS",VLOOKUP(D282,#REF!,4,0),IF(C282="FDE",VLOOKUP(D282,#REF!,3,0),IF(C282="INFRA",VLOOKUP(D282,#REF!,3,0),""))))))),"")</f>
        <v/>
      </c>
      <c r="G282" s="66">
        <v>6</v>
      </c>
      <c r="H282" s="67" t="str">
        <f>IFERROR(IF(C282="CPU",VLOOKUP(D282,#REF!,4,0),IF(C282="SINAPI",VLOOKUP(D282,#REF!,5,0),IF(C282="EDIF",VLOOKUP(D282,#REF!,4,0),IF(C282="CPOS",VLOOKUP(D282,#REF!,7,0),IF(C282="FDE",VLOOKUP(D282,#REF!,5,0),IF(C282="INFRA",VLOOKUP(D282,#REF!,4,0),""))))))*VLOOKUP(C282,#REF!,3,0),"")</f>
        <v/>
      </c>
      <c r="I282" s="1106">
        <v>0.25</v>
      </c>
      <c r="J282" s="67" t="e">
        <f t="shared" si="34"/>
        <v>#VALUE!</v>
      </c>
      <c r="K282" s="69" t="e">
        <f t="shared" si="35"/>
        <v>#VALUE!</v>
      </c>
      <c r="L282" s="51"/>
      <c r="M282" s="52"/>
      <c r="N282" s="940"/>
    </row>
    <row r="283" spans="2:14" s="25" customFormat="1" ht="27" customHeight="1">
      <c r="B283" s="1097" t="s">
        <v>897</v>
      </c>
      <c r="C283" s="1098"/>
      <c r="D283" s="1098"/>
      <c r="E283" s="1099" t="s">
        <v>6513</v>
      </c>
      <c r="F283" s="1100"/>
      <c r="G283" s="1101"/>
      <c r="H283" s="1102"/>
      <c r="I283" s="1103"/>
      <c r="J283" s="1103"/>
      <c r="K283" s="1104"/>
      <c r="L283" s="51"/>
      <c r="M283" s="52"/>
      <c r="N283" s="940"/>
    </row>
    <row r="284" spans="2:14" s="25" customFormat="1" ht="27" customHeight="1">
      <c r="B284" s="61" t="s">
        <v>900</v>
      </c>
      <c r="C284" s="61" t="s">
        <v>4872</v>
      </c>
      <c r="D284" s="94">
        <v>101340</v>
      </c>
      <c r="E284" s="64" t="str">
        <f>IFERROR(UPPER(IF(C284="CPU",VLOOKUP(D284,#REF!,2,0),IF(C284="SINAPI",VLOOKUP(D284,#REF!,2,0),IF(C284="EDIF",VLOOKUP(D284,#REF!,2,0),IF(C284="CPOS",VLOOKUP(D284,#REF!,3,0),IF(C284="FDE",VLOOKUP(D284,#REF!,2,0),IF(C284="INFRA",VLOOKUP(D284,#REF!,2,0),""))))))),"")</f>
        <v/>
      </c>
      <c r="F284" s="65" t="str">
        <f>IFERROR(UPPER(IF(C284="CPU",VLOOKUP(D284,#REF!,3,0),IF(C284="SINAPI",VLOOKUP(D284,#REF!,3,0),IF(C284="EDIF",VLOOKUP(D284,#REF!,3,0),IF(C284="CPOS",VLOOKUP(D284,#REF!,4,0),IF(C284="FDE",VLOOKUP(D284,#REF!,3,0),IF(C284="INFRA",VLOOKUP(D284,#REF!,3,0),""))))))),"")</f>
        <v/>
      </c>
      <c r="G284" s="66">
        <v>2</v>
      </c>
      <c r="H284" s="67" t="str">
        <f>IFERROR(IF(C284="CPU",VLOOKUP(D284,#REF!,4,0),IF(C284="SINAPI",VLOOKUP(D284,#REF!,5,0),IF(C284="EDIF",VLOOKUP(D284,#REF!,4,0),IF(C284="CPOS",VLOOKUP(D284,#REF!,7,0),IF(C284="FDE",VLOOKUP(D284,#REF!,5,0),IF(C284="INFRA",VLOOKUP(D284,#REF!,4,0),""))))))*VLOOKUP(C284,#REF!,3,0),"")</f>
        <v/>
      </c>
      <c r="I284" s="1106">
        <v>0.25</v>
      </c>
      <c r="J284" s="67" t="e">
        <f>ROUND(H284*(1+I284),2)</f>
        <v>#VALUE!</v>
      </c>
      <c r="K284" s="69" t="e">
        <f>SUM(G284*J284)</f>
        <v>#VALUE!</v>
      </c>
      <c r="L284" s="51"/>
      <c r="M284" s="52"/>
      <c r="N284" s="940"/>
    </row>
    <row r="285" spans="2:14" s="25" customFormat="1" ht="27" customHeight="1">
      <c r="B285" s="61" t="s">
        <v>902</v>
      </c>
      <c r="C285" s="61" t="s">
        <v>1479</v>
      </c>
      <c r="D285" s="1108" t="s">
        <v>6514</v>
      </c>
      <c r="E285" s="64" t="str">
        <f>IFERROR(UPPER(IF(C285="CPU",VLOOKUP(D285,#REF!,2,0),IF(C285="SINAPI",VLOOKUP(D285,#REF!,2,0),IF(C285="EDIF",VLOOKUP(D285,#REF!,2,0),IF(C285="CPOS",VLOOKUP(D285,#REF!,3,0),IF(C285="FDE",VLOOKUP(D285,#REF!,2,0),IF(C285="INFRA",VLOOKUP(D285,#REF!,2,0),""))))))),"")</f>
        <v/>
      </c>
      <c r="F285" s="65" t="str">
        <f>IFERROR(UPPER(IF(C285="CPU",VLOOKUP(D285,#REF!,3,0),IF(C285="SINAPI",VLOOKUP(D285,#REF!,3,0),IF(C285="EDIF",VLOOKUP(D285,#REF!,3,0),IF(C285="CPOS",VLOOKUP(D285,#REF!,4,0),IF(C285="FDE",VLOOKUP(D285,#REF!,3,0),IF(C285="INFRA",VLOOKUP(D285,#REF!,3,0),""))))))),"")</f>
        <v/>
      </c>
      <c r="G285" s="66">
        <v>2</v>
      </c>
      <c r="H285" s="67" t="str">
        <f>IFERROR(IF(C285="CPU",VLOOKUP(D285,#REF!,4,0),IF(C285="SINAPI",VLOOKUP(D285,#REF!,5,0),IF(C285="EDIF",VLOOKUP(D285,#REF!,4,0),IF(C285="CPOS",VLOOKUP(D285,#REF!,7,0),IF(C285="FDE",VLOOKUP(D285,#REF!,5,0),IF(C285="INFRA",VLOOKUP(D285,#REF!,4,0),""))))))*VLOOKUP(C285,#REF!,3,0),"")</f>
        <v/>
      </c>
      <c r="I285" s="1106">
        <v>0.25</v>
      </c>
      <c r="J285" s="67" t="e">
        <f>ROUND(H285*(1+I285),2)</f>
        <v>#VALUE!</v>
      </c>
      <c r="K285" s="69" t="e">
        <f>SUM(G285*J285)</f>
        <v>#VALUE!</v>
      </c>
      <c r="L285" s="51"/>
      <c r="M285" s="52"/>
      <c r="N285" s="940"/>
    </row>
    <row r="286" spans="2:14" s="25" customFormat="1" ht="27" customHeight="1">
      <c r="B286" s="61" t="s">
        <v>6515</v>
      </c>
      <c r="C286" s="61" t="s">
        <v>4872</v>
      </c>
      <c r="D286" s="1107">
        <v>101491</v>
      </c>
      <c r="E286" s="64" t="str">
        <f>IFERROR(UPPER(IF(C286="CPU",VLOOKUP(D286,#REF!,2,0),IF(C286="SINAPI",VLOOKUP(D286,#REF!,2,0),IF(C286="EDIF",VLOOKUP(D286,#REF!,2,0),IF(C286="CPOS",VLOOKUP(D286,#REF!,3,0),IF(C286="FDE",VLOOKUP(D286,#REF!,2,0),IF(C286="INFRA",VLOOKUP(D286,#REF!,2,0),""))))))),"")</f>
        <v/>
      </c>
      <c r="F286" s="65" t="str">
        <f>IFERROR(UPPER(IF(C286="CPU",VLOOKUP(D286,#REF!,3,0),IF(C286="SINAPI",VLOOKUP(D286,#REF!,3,0),IF(C286="EDIF",VLOOKUP(D286,#REF!,3,0),IF(C286="CPOS",VLOOKUP(D286,#REF!,4,0),IF(C286="FDE",VLOOKUP(D286,#REF!,3,0),IF(C286="INFRA",VLOOKUP(D286,#REF!,3,0),""))))))),"")</f>
        <v/>
      </c>
      <c r="G286" s="66">
        <v>2</v>
      </c>
      <c r="H286" s="67" t="str">
        <f>IFERROR(IF(C286="CPU",VLOOKUP(D286,#REF!,4,0),IF(C286="SINAPI",VLOOKUP(D286,#REF!,5,0),IF(C286="EDIF",VLOOKUP(D286,#REF!,4,0),IF(C286="CPOS",VLOOKUP(D286,#REF!,7,0),IF(C286="FDE",VLOOKUP(D286,#REF!,5,0),IF(C286="INFRA",VLOOKUP(D286,#REF!,4,0),""))))))*VLOOKUP(C286,#REF!,3,0),"")</f>
        <v/>
      </c>
      <c r="I286" s="1106">
        <v>0.25</v>
      </c>
      <c r="J286" s="67" t="e">
        <f>ROUND(H286*(1+I286),2)</f>
        <v>#VALUE!</v>
      </c>
      <c r="K286" s="69" t="e">
        <f>SUM(G286*J286)</f>
        <v>#VALUE!</v>
      </c>
      <c r="L286" s="51"/>
      <c r="M286" s="52"/>
      <c r="N286" s="940"/>
    </row>
    <row r="287" spans="2:14" s="25" customFormat="1" ht="27" customHeight="1">
      <c r="B287" s="61" t="s">
        <v>6516</v>
      </c>
      <c r="C287" s="61" t="s">
        <v>4872</v>
      </c>
      <c r="D287" s="1107">
        <v>101497</v>
      </c>
      <c r="E287" s="64" t="str">
        <f>IFERROR(UPPER(IF(C287="CPU",VLOOKUP(D287,#REF!,2,0),IF(C287="SINAPI",VLOOKUP(D287,#REF!,2,0),IF(C287="EDIF",VLOOKUP(D287,#REF!,2,0),IF(C287="CPOS",VLOOKUP(D287,#REF!,3,0),IF(C287="FDE",VLOOKUP(D287,#REF!,2,0),IF(C287="INFRA",VLOOKUP(D287,#REF!,2,0),""))))))),"")</f>
        <v/>
      </c>
      <c r="F287" s="65" t="str">
        <f>IFERROR(UPPER(IF(C287="CPU",VLOOKUP(D287,#REF!,3,0),IF(C287="SINAPI",VLOOKUP(D287,#REF!,3,0),IF(C287="EDIF",VLOOKUP(D287,#REF!,3,0),IF(C287="CPOS",VLOOKUP(D287,#REF!,4,0),IF(C287="FDE",VLOOKUP(D287,#REF!,3,0),IF(C287="INFRA",VLOOKUP(D287,#REF!,3,0),""))))))),"")</f>
        <v/>
      </c>
      <c r="G287" s="66">
        <v>2</v>
      </c>
      <c r="H287" s="67" t="str">
        <f>IFERROR(IF(C287="CPU",VLOOKUP(D287,#REF!,4,0),IF(C287="SINAPI",VLOOKUP(D287,#REF!,5,0),IF(C287="EDIF",VLOOKUP(D287,#REF!,4,0),IF(C287="CPOS",VLOOKUP(D287,#REF!,7,0),IF(C287="FDE",VLOOKUP(D287,#REF!,5,0),IF(C287="INFRA",VLOOKUP(D287,#REF!,4,0),""))))))*VLOOKUP(C287,#REF!,3,0),"")</f>
        <v/>
      </c>
      <c r="I287" s="1106">
        <v>0.25</v>
      </c>
      <c r="J287" s="67" t="e">
        <f>ROUND(H287*(1+I287),2)</f>
        <v>#VALUE!</v>
      </c>
      <c r="K287" s="69" t="e">
        <f>SUM(G287*J287)</f>
        <v>#VALUE!</v>
      </c>
      <c r="L287" s="51"/>
      <c r="M287" s="52"/>
      <c r="N287" s="940"/>
    </row>
    <row r="288" spans="2:14" s="25" customFormat="1" ht="27" customHeight="1">
      <c r="B288" s="53">
        <v>14</v>
      </c>
      <c r="C288" s="54"/>
      <c r="D288" s="54"/>
      <c r="E288" s="55" t="s">
        <v>2987</v>
      </c>
      <c r="F288" s="56" t="str">
        <f>IFERROR(UPPER(IF(C288="CPU",VLOOKUP(D288,#REF!,3,0),IF(C288="SINAPI",VLOOKUP(D288,#REF!,3,0),IF(C288="EDIF",VLOOKUP(D288,#REF!,3,0),IF(C288="CPOS",VLOOKUP(D288,#REF!,4,0),IF(C288="FDE",VLOOKUP(D288,#REF!,3,0),IF(C288="INFRA",VLOOKUP(D288,#REF!,3,0),""))))))),"")</f>
        <v/>
      </c>
      <c r="G288" s="57"/>
      <c r="H288" s="58" t="str">
        <f>IFERROR(IF(C288="CPU",VLOOKUP(D288,#REF!,4,0),IF(C288="SINAPI",VLOOKUP(D288,#REF!,5,0),IF(C288="EDIF",VLOOKUP(D288,#REF!,4,0),IF(C288="CPOS",VLOOKUP(D288,#REF!,7,0),IF(C288="FDE",VLOOKUP(D288,#REF!,5,0),IF(C288="INFRA",VLOOKUP(D288,#REF!,4,0),""))))))*VLOOKUP(C288,#REF!,3,0),"")</f>
        <v/>
      </c>
      <c r="I288" s="59"/>
      <c r="J288" s="59"/>
      <c r="K288" s="1095" t="e">
        <f>SUM(K289:K363)</f>
        <v>#VALUE!</v>
      </c>
      <c r="L288" s="1096" t="e">
        <f>K288</f>
        <v>#VALUE!</v>
      </c>
      <c r="M288" s="52"/>
      <c r="N288" s="940"/>
    </row>
    <row r="289" spans="2:14" s="25" customFormat="1" ht="27" customHeight="1">
      <c r="B289" s="1097" t="s">
        <v>911</v>
      </c>
      <c r="C289" s="1098"/>
      <c r="D289" s="1098"/>
      <c r="E289" s="1099" t="s">
        <v>6517</v>
      </c>
      <c r="F289" s="1100" t="str">
        <f>IFERROR(UPPER(IF(C289="CPU",VLOOKUP(D289,#REF!,3,0),IF(C289="SINAPI",VLOOKUP(D289,#REF!,3,0),IF(C289="EDIF",VLOOKUP(D289,#REF!,3,0),IF(C289="CPOS",VLOOKUP(D289,#REF!,4,0),IF(C289="FDE",VLOOKUP(D289,#REF!,3,0),IF(C289="INFRA",VLOOKUP(D289,#REF!,3,0),""))))))),"")</f>
        <v/>
      </c>
      <c r="G289" s="1101"/>
      <c r="H289" s="1102" t="str">
        <f>IFERROR(IF(C289="CPU",VLOOKUP(D289,#REF!,4,0),IF(C289="SINAPI",VLOOKUP(D289,#REF!,5,0),IF(C289="EDIF",VLOOKUP(D289,#REF!,4,0),IF(C289="CPOS",VLOOKUP(D289,#REF!,7,0),IF(C289="FDE",VLOOKUP(D289,#REF!,5,0),IF(C289="INFRA",VLOOKUP(D289,#REF!,4,0),""))))))*VLOOKUP(C289,#REF!,3,0),"")</f>
        <v/>
      </c>
      <c r="I289" s="1103"/>
      <c r="J289" s="1103"/>
      <c r="K289" s="1104"/>
      <c r="L289" s="51"/>
      <c r="M289" s="52"/>
      <c r="N289" s="940"/>
    </row>
    <row r="290" spans="2:14" s="25" customFormat="1" ht="27" customHeight="1">
      <c r="B290" s="61" t="s">
        <v>913</v>
      </c>
      <c r="C290" s="61" t="s">
        <v>4872</v>
      </c>
      <c r="D290" s="1107">
        <v>90162</v>
      </c>
      <c r="E290" s="64" t="str">
        <f>IFERROR(UPPER(IF(C290="CPU",VLOOKUP(D290,#REF!,2,0),IF(C290="SINAPI",VLOOKUP(D290,#REF!,2,0),IF(C290="EDIF",VLOOKUP(D290,#REF!,2,0),IF(C290="CPOS",VLOOKUP(D290,#REF!,3,0),IF(C290="FDE",VLOOKUP(D290,#REF!,2,0),IF(C290="INFRA",VLOOKUP(D290,#REF!,2,0),""))))))),"")</f>
        <v/>
      </c>
      <c r="F290" s="65" t="str">
        <f>IFERROR(UPPER(IF(C290="CPU",VLOOKUP(D290,#REF!,3,0),IF(C290="SINAPI",VLOOKUP(D290,#REF!,3,0),IF(C290="EDIF",VLOOKUP(D290,#REF!,3,0),IF(C290="CPOS",VLOOKUP(D290,#REF!,4,0),IF(C290="FDE",VLOOKUP(D290,#REF!,3,0),IF(C290="INFRA",VLOOKUP(D290,#REF!,3,0),""))))))),"")</f>
        <v/>
      </c>
      <c r="G290" s="66">
        <v>1</v>
      </c>
      <c r="H290" s="67" t="str">
        <f>IFERROR(IF(C290="CPU",VLOOKUP(D290,#REF!,4,0),IF(C290="SINAPI",VLOOKUP(D290,#REF!,5,0),IF(C290="EDIF",VLOOKUP(D290,#REF!,4,0),IF(C290="CPOS",VLOOKUP(D290,#REF!,7,0),IF(C290="FDE",VLOOKUP(D290,#REF!,5,0),IF(C290="INFRA",VLOOKUP(D290,#REF!,4,0),""))))))*VLOOKUP(C290,#REF!,3,0),"")</f>
        <v/>
      </c>
      <c r="I290" s="1106">
        <v>0.25</v>
      </c>
      <c r="J290" s="67" t="e">
        <f t="shared" ref="J290:J327" si="36">ROUND(H290*(1+I290),2)</f>
        <v>#VALUE!</v>
      </c>
      <c r="K290" s="1113" t="e">
        <f t="shared" ref="K290:K327" si="37">SUM(G290*J290)</f>
        <v>#VALUE!</v>
      </c>
      <c r="L290" s="51"/>
      <c r="M290" s="52"/>
      <c r="N290" s="940"/>
    </row>
    <row r="291" spans="2:14" s="25" customFormat="1" ht="27" customHeight="1">
      <c r="B291" s="61" t="s">
        <v>915</v>
      </c>
      <c r="C291" s="61" t="s">
        <v>4872</v>
      </c>
      <c r="D291" s="1107">
        <v>90328</v>
      </c>
      <c r="E291" s="64" t="str">
        <f>IFERROR(UPPER(IF(C291="CPU",VLOOKUP(D291,#REF!,2,0),IF(C291="SINAPI",VLOOKUP(D291,#REF!,2,0),IF(C291="EDIF",VLOOKUP(D291,#REF!,2,0),IF(C291="CPOS",VLOOKUP(D291,#REF!,3,0),IF(C291="FDE",VLOOKUP(D291,#REF!,2,0),IF(C291="INFRA",VLOOKUP(D291,#REF!,2,0),""))))))),"")</f>
        <v/>
      </c>
      <c r="F291" s="65" t="str">
        <f>IFERROR(UPPER(IF(C291="CPU",VLOOKUP(D291,#REF!,3,0),IF(C291="SINAPI",VLOOKUP(D291,#REF!,3,0),IF(C291="EDIF",VLOOKUP(D291,#REF!,3,0),IF(C291="CPOS",VLOOKUP(D291,#REF!,4,0),IF(C291="FDE",VLOOKUP(D291,#REF!,3,0),IF(C291="INFRA",VLOOKUP(D291,#REF!,3,0),""))))))),"")</f>
        <v/>
      </c>
      <c r="G291" s="66">
        <v>1200</v>
      </c>
      <c r="H291" s="67" t="str">
        <f>IFERROR(IF(C291="CPU",VLOOKUP(D291,#REF!,4,0),IF(C291="SINAPI",VLOOKUP(D291,#REF!,5,0),IF(C291="EDIF",VLOOKUP(D291,#REF!,4,0),IF(C291="CPOS",VLOOKUP(D291,#REF!,7,0),IF(C291="FDE",VLOOKUP(D291,#REF!,5,0),IF(C291="INFRA",VLOOKUP(D291,#REF!,4,0),""))))))*VLOOKUP(C291,#REF!,3,0),"")</f>
        <v/>
      </c>
      <c r="I291" s="1106">
        <v>0.25</v>
      </c>
      <c r="J291" s="67" t="e">
        <f t="shared" si="36"/>
        <v>#VALUE!</v>
      </c>
      <c r="K291" s="69" t="e">
        <f t="shared" si="37"/>
        <v>#VALUE!</v>
      </c>
      <c r="L291" s="51"/>
      <c r="M291" s="52"/>
      <c r="N291" s="940"/>
    </row>
    <row r="292" spans="2:14" s="25" customFormat="1" ht="27" customHeight="1">
      <c r="B292" s="61" t="s">
        <v>6518</v>
      </c>
      <c r="C292" s="61" t="s">
        <v>4872</v>
      </c>
      <c r="D292" s="1107">
        <v>90329</v>
      </c>
      <c r="E292" s="64" t="str">
        <f>IFERROR(UPPER(IF(C292="CPU",VLOOKUP(D292,#REF!,2,0),IF(C292="SINAPI",VLOOKUP(D292,#REF!,2,0),IF(C292="EDIF",VLOOKUP(D292,#REF!,2,0),IF(C292="CPOS",VLOOKUP(D292,#REF!,3,0),IF(C292="FDE",VLOOKUP(D292,#REF!,2,0),IF(C292="INFRA",VLOOKUP(D292,#REF!,2,0),""))))))),"")</f>
        <v/>
      </c>
      <c r="F292" s="65" t="str">
        <f>IFERROR(UPPER(IF(C292="CPU",VLOOKUP(D292,#REF!,3,0),IF(C292="SINAPI",VLOOKUP(D292,#REF!,3,0),IF(C292="EDIF",VLOOKUP(D292,#REF!,3,0),IF(C292="CPOS",VLOOKUP(D292,#REF!,4,0),IF(C292="FDE",VLOOKUP(D292,#REF!,3,0),IF(C292="INFRA",VLOOKUP(D292,#REF!,3,0),""))))))),"")</f>
        <v/>
      </c>
      <c r="G292" s="66">
        <v>1600</v>
      </c>
      <c r="H292" s="67" t="str">
        <f>IFERROR(IF(C292="CPU",VLOOKUP(D292,#REF!,4,0),IF(C292="SINAPI",VLOOKUP(D292,#REF!,5,0),IF(C292="EDIF",VLOOKUP(D292,#REF!,4,0),IF(C292="CPOS",VLOOKUP(D292,#REF!,7,0),IF(C292="FDE",VLOOKUP(D292,#REF!,5,0),IF(C292="INFRA",VLOOKUP(D292,#REF!,4,0),""))))))*VLOOKUP(C292,#REF!,3,0),"")</f>
        <v/>
      </c>
      <c r="I292" s="1106">
        <v>0.25</v>
      </c>
      <c r="J292" s="67" t="e">
        <f t="shared" si="36"/>
        <v>#VALUE!</v>
      </c>
      <c r="K292" s="69" t="e">
        <f t="shared" si="37"/>
        <v>#VALUE!</v>
      </c>
      <c r="L292" s="51"/>
      <c r="M292" s="52"/>
      <c r="N292" s="940"/>
    </row>
    <row r="293" spans="2:14" s="25" customFormat="1" ht="27" customHeight="1">
      <c r="B293" s="61" t="s">
        <v>6519</v>
      </c>
      <c r="C293" s="61" t="s">
        <v>4872</v>
      </c>
      <c r="D293" s="1107">
        <v>90330</v>
      </c>
      <c r="E293" s="64" t="str">
        <f>IFERROR(UPPER(IF(C293="CPU",VLOOKUP(D293,#REF!,2,0),IF(C293="SINAPI",VLOOKUP(D293,#REF!,2,0),IF(C293="EDIF",VLOOKUP(D293,#REF!,2,0),IF(C293="CPOS",VLOOKUP(D293,#REF!,3,0),IF(C293="FDE",VLOOKUP(D293,#REF!,2,0),IF(C293="INFRA",VLOOKUP(D293,#REF!,2,0),""))))))),"")</f>
        <v/>
      </c>
      <c r="F293" s="65" t="str">
        <f>IFERROR(UPPER(IF(C293="CPU",VLOOKUP(D293,#REF!,3,0),IF(C293="SINAPI",VLOOKUP(D293,#REF!,3,0),IF(C293="EDIF",VLOOKUP(D293,#REF!,3,0),IF(C293="CPOS",VLOOKUP(D293,#REF!,4,0),IF(C293="FDE",VLOOKUP(D293,#REF!,3,0),IF(C293="INFRA",VLOOKUP(D293,#REF!,3,0),""))))))),"")</f>
        <v/>
      </c>
      <c r="G293" s="66">
        <v>1800</v>
      </c>
      <c r="H293" s="67" t="str">
        <f>IFERROR(IF(C293="CPU",VLOOKUP(D293,#REF!,4,0),IF(C293="SINAPI",VLOOKUP(D293,#REF!,5,0),IF(C293="EDIF",VLOOKUP(D293,#REF!,4,0),IF(C293="CPOS",VLOOKUP(D293,#REF!,7,0),IF(C293="FDE",VLOOKUP(D293,#REF!,5,0),IF(C293="INFRA",VLOOKUP(D293,#REF!,4,0),""))))))*VLOOKUP(C293,#REF!,3,0),"")</f>
        <v/>
      </c>
      <c r="I293" s="1106">
        <v>0.25</v>
      </c>
      <c r="J293" s="67" t="e">
        <f t="shared" si="36"/>
        <v>#VALUE!</v>
      </c>
      <c r="K293" s="69" t="e">
        <f t="shared" si="37"/>
        <v>#VALUE!</v>
      </c>
      <c r="L293" s="51"/>
      <c r="M293" s="52"/>
      <c r="N293" s="940"/>
    </row>
    <row r="294" spans="2:14" s="25" customFormat="1" ht="27" customHeight="1">
      <c r="B294" s="61" t="s">
        <v>6520</v>
      </c>
      <c r="C294" s="61" t="s">
        <v>4872</v>
      </c>
      <c r="D294" s="1107">
        <v>90331</v>
      </c>
      <c r="E294" s="64" t="str">
        <f>IFERROR(UPPER(IF(C294="CPU",VLOOKUP(D294,#REF!,2,0),IF(C294="SINAPI",VLOOKUP(D294,#REF!,2,0),IF(C294="EDIF",VLOOKUP(D294,#REF!,2,0),IF(C294="CPOS",VLOOKUP(D294,#REF!,3,0),IF(C294="FDE",VLOOKUP(D294,#REF!,2,0),IF(C294="INFRA",VLOOKUP(D294,#REF!,2,0),""))))))),"")</f>
        <v/>
      </c>
      <c r="F294" s="65" t="str">
        <f>IFERROR(UPPER(IF(C294="CPU",VLOOKUP(D294,#REF!,3,0),IF(C294="SINAPI",VLOOKUP(D294,#REF!,3,0),IF(C294="EDIF",VLOOKUP(D294,#REF!,3,0),IF(C294="CPOS",VLOOKUP(D294,#REF!,4,0),IF(C294="FDE",VLOOKUP(D294,#REF!,3,0),IF(C294="INFRA",VLOOKUP(D294,#REF!,3,0),""))))))),"")</f>
        <v/>
      </c>
      <c r="G294" s="66">
        <v>1200</v>
      </c>
      <c r="H294" s="67" t="str">
        <f>IFERROR(IF(C294="CPU",VLOOKUP(D294,#REF!,4,0),IF(C294="SINAPI",VLOOKUP(D294,#REF!,5,0),IF(C294="EDIF",VLOOKUP(D294,#REF!,4,0),IF(C294="CPOS",VLOOKUP(D294,#REF!,7,0),IF(C294="FDE",VLOOKUP(D294,#REF!,5,0),IF(C294="INFRA",VLOOKUP(D294,#REF!,4,0),""))))))*VLOOKUP(C294,#REF!,3,0),"")</f>
        <v/>
      </c>
      <c r="I294" s="1106">
        <v>0.25</v>
      </c>
      <c r="J294" s="67" t="e">
        <f t="shared" si="36"/>
        <v>#VALUE!</v>
      </c>
      <c r="K294" s="69" t="e">
        <f t="shared" si="37"/>
        <v>#VALUE!</v>
      </c>
      <c r="L294" s="51"/>
      <c r="M294" s="52"/>
      <c r="N294" s="940"/>
    </row>
    <row r="295" spans="2:14" s="25" customFormat="1" ht="27" customHeight="1">
      <c r="B295" s="61" t="s">
        <v>6521</v>
      </c>
      <c r="C295" s="61" t="s">
        <v>4872</v>
      </c>
      <c r="D295" s="1107">
        <v>90332</v>
      </c>
      <c r="E295" s="64" t="str">
        <f>IFERROR(UPPER(IF(C295="CPU",VLOOKUP(D295,#REF!,2,0),IF(C295="SINAPI",VLOOKUP(D295,#REF!,2,0),IF(C295="EDIF",VLOOKUP(D295,#REF!,2,0),IF(C295="CPOS",VLOOKUP(D295,#REF!,3,0),IF(C295="FDE",VLOOKUP(D295,#REF!,2,0),IF(C295="INFRA",VLOOKUP(D295,#REF!,2,0),""))))))),"")</f>
        <v/>
      </c>
      <c r="F295" s="65" t="str">
        <f>IFERROR(UPPER(IF(C295="CPU",VLOOKUP(D295,#REF!,3,0),IF(C295="SINAPI",VLOOKUP(D295,#REF!,3,0),IF(C295="EDIF",VLOOKUP(D295,#REF!,3,0),IF(C295="CPOS",VLOOKUP(D295,#REF!,4,0),IF(C295="FDE",VLOOKUP(D295,#REF!,3,0),IF(C295="INFRA",VLOOKUP(D295,#REF!,3,0),""))))))),"")</f>
        <v/>
      </c>
      <c r="G295" s="66">
        <v>1000</v>
      </c>
      <c r="H295" s="67" t="str">
        <f>IFERROR(IF(C295="CPU",VLOOKUP(D295,#REF!,4,0),IF(C295="SINAPI",VLOOKUP(D295,#REF!,5,0),IF(C295="EDIF",VLOOKUP(D295,#REF!,4,0),IF(C295="CPOS",VLOOKUP(D295,#REF!,7,0),IF(C295="FDE",VLOOKUP(D295,#REF!,5,0),IF(C295="INFRA",VLOOKUP(D295,#REF!,4,0),""))))))*VLOOKUP(C295,#REF!,3,0),"")</f>
        <v/>
      </c>
      <c r="I295" s="1106">
        <v>0.25</v>
      </c>
      <c r="J295" s="67" t="e">
        <f t="shared" si="36"/>
        <v>#VALUE!</v>
      </c>
      <c r="K295" s="69" t="e">
        <f t="shared" si="37"/>
        <v>#VALUE!</v>
      </c>
      <c r="L295" s="51"/>
      <c r="M295" s="52"/>
      <c r="N295" s="940"/>
    </row>
    <row r="296" spans="2:14" s="25" customFormat="1" ht="27" customHeight="1">
      <c r="B296" s="61" t="s">
        <v>6522</v>
      </c>
      <c r="C296" s="61" t="s">
        <v>4872</v>
      </c>
      <c r="D296" s="1107">
        <v>90333</v>
      </c>
      <c r="E296" s="64" t="str">
        <f>IFERROR(UPPER(IF(C296="CPU",VLOOKUP(D296,#REF!,2,0),IF(C296="SINAPI",VLOOKUP(D296,#REF!,2,0),IF(C296="EDIF",VLOOKUP(D296,#REF!,2,0),IF(C296="CPOS",VLOOKUP(D296,#REF!,3,0),IF(C296="FDE",VLOOKUP(D296,#REF!,2,0),IF(C296="INFRA",VLOOKUP(D296,#REF!,2,0),""))))))),"")</f>
        <v/>
      </c>
      <c r="F296" s="65" t="str">
        <f>IFERROR(UPPER(IF(C296="CPU",VLOOKUP(D296,#REF!,3,0),IF(C296="SINAPI",VLOOKUP(D296,#REF!,3,0),IF(C296="EDIF",VLOOKUP(D296,#REF!,3,0),IF(C296="CPOS",VLOOKUP(D296,#REF!,4,0),IF(C296="FDE",VLOOKUP(D296,#REF!,3,0),IF(C296="INFRA",VLOOKUP(D296,#REF!,3,0),""))))))),"")</f>
        <v/>
      </c>
      <c r="G296" s="66">
        <v>600</v>
      </c>
      <c r="H296" s="67" t="str">
        <f>IFERROR(IF(C296="CPU",VLOOKUP(D296,#REF!,4,0),IF(C296="SINAPI",VLOOKUP(D296,#REF!,5,0),IF(C296="EDIF",VLOOKUP(D296,#REF!,4,0),IF(C296="CPOS",VLOOKUP(D296,#REF!,7,0),IF(C296="FDE",VLOOKUP(D296,#REF!,5,0),IF(C296="INFRA",VLOOKUP(D296,#REF!,4,0),""))))))*VLOOKUP(C296,#REF!,3,0),"")</f>
        <v/>
      </c>
      <c r="I296" s="1106">
        <v>0.25</v>
      </c>
      <c r="J296" s="67" t="e">
        <f t="shared" si="36"/>
        <v>#VALUE!</v>
      </c>
      <c r="K296" s="69" t="e">
        <f t="shared" si="37"/>
        <v>#VALUE!</v>
      </c>
      <c r="L296" s="51"/>
      <c r="M296" s="52"/>
      <c r="N296" s="940"/>
    </row>
    <row r="297" spans="2:14" s="25" customFormat="1" ht="27" customHeight="1">
      <c r="B297" s="61" t="s">
        <v>6523</v>
      </c>
      <c r="C297" s="61" t="s">
        <v>4872</v>
      </c>
      <c r="D297" s="1107">
        <v>90336</v>
      </c>
      <c r="E297" s="64" t="str">
        <f>IFERROR(UPPER(IF(C297="CPU",VLOOKUP(D297,#REF!,2,0),IF(C297="SINAPI",VLOOKUP(D297,#REF!,2,0),IF(C297="EDIF",VLOOKUP(D297,#REF!,2,0),IF(C297="CPOS",VLOOKUP(D297,#REF!,3,0),IF(C297="FDE",VLOOKUP(D297,#REF!,2,0),IF(C297="INFRA",VLOOKUP(D297,#REF!,2,0),""))))))),"")</f>
        <v/>
      </c>
      <c r="F297" s="65" t="str">
        <f>IFERROR(UPPER(IF(C297="CPU",VLOOKUP(D297,#REF!,3,0),IF(C297="SINAPI",VLOOKUP(D297,#REF!,3,0),IF(C297="EDIF",VLOOKUP(D297,#REF!,3,0),IF(C297="CPOS",VLOOKUP(D297,#REF!,4,0),IF(C297="FDE",VLOOKUP(D297,#REF!,3,0),IF(C297="INFRA",VLOOKUP(D297,#REF!,3,0),""))))))),"")</f>
        <v/>
      </c>
      <c r="G297" s="66">
        <v>300</v>
      </c>
      <c r="H297" s="67" t="str">
        <f>IFERROR(IF(C297="CPU",VLOOKUP(D297,#REF!,4,0),IF(C297="SINAPI",VLOOKUP(D297,#REF!,5,0),IF(C297="EDIF",VLOOKUP(D297,#REF!,4,0),IF(C297="CPOS",VLOOKUP(D297,#REF!,7,0),IF(C297="FDE",VLOOKUP(D297,#REF!,5,0),IF(C297="INFRA",VLOOKUP(D297,#REF!,4,0),""))))))*VLOOKUP(C297,#REF!,3,0),"")</f>
        <v/>
      </c>
      <c r="I297" s="1106">
        <v>0.25</v>
      </c>
      <c r="J297" s="67" t="e">
        <f t="shared" si="36"/>
        <v>#VALUE!</v>
      </c>
      <c r="K297" s="69" t="e">
        <f t="shared" si="37"/>
        <v>#VALUE!</v>
      </c>
      <c r="L297" s="51"/>
      <c r="M297" s="52"/>
      <c r="N297" s="940"/>
    </row>
    <row r="298" spans="2:14" s="25" customFormat="1" ht="27" customHeight="1">
      <c r="B298" s="61" t="s">
        <v>6524</v>
      </c>
      <c r="C298" s="61" t="s">
        <v>4872</v>
      </c>
      <c r="D298" s="1107">
        <v>90338</v>
      </c>
      <c r="E298" s="64" t="str">
        <f>IFERROR(UPPER(IF(C298="CPU",VLOOKUP(D298,#REF!,2,0),IF(C298="SINAPI",VLOOKUP(D298,#REF!,2,0),IF(C298="EDIF",VLOOKUP(D298,#REF!,2,0),IF(C298="CPOS",VLOOKUP(D298,#REF!,3,0),IF(C298="FDE",VLOOKUP(D298,#REF!,2,0),IF(C298="INFRA",VLOOKUP(D298,#REF!,2,0),""))))))),"")</f>
        <v/>
      </c>
      <c r="F298" s="65" t="str">
        <f>IFERROR(UPPER(IF(C298="CPU",VLOOKUP(D298,#REF!,3,0),IF(C298="SINAPI",VLOOKUP(D298,#REF!,3,0),IF(C298="EDIF",VLOOKUP(D298,#REF!,3,0),IF(C298="CPOS",VLOOKUP(D298,#REF!,4,0),IF(C298="FDE",VLOOKUP(D298,#REF!,3,0),IF(C298="INFRA",VLOOKUP(D298,#REF!,3,0),""))))))),"")</f>
        <v/>
      </c>
      <c r="G298" s="66">
        <v>200</v>
      </c>
      <c r="H298" s="67" t="str">
        <f>IFERROR(IF(C298="CPU",VLOOKUP(D298,#REF!,4,0),IF(C298="SINAPI",VLOOKUP(D298,#REF!,5,0),IF(C298="EDIF",VLOOKUP(D298,#REF!,4,0),IF(C298="CPOS",VLOOKUP(D298,#REF!,7,0),IF(C298="FDE",VLOOKUP(D298,#REF!,5,0),IF(C298="INFRA",VLOOKUP(D298,#REF!,4,0),""))))))*VLOOKUP(C298,#REF!,3,0),"")</f>
        <v/>
      </c>
      <c r="I298" s="1106">
        <v>0.25</v>
      </c>
      <c r="J298" s="67" t="e">
        <f t="shared" si="36"/>
        <v>#VALUE!</v>
      </c>
      <c r="K298" s="69" t="e">
        <f t="shared" si="37"/>
        <v>#VALUE!</v>
      </c>
      <c r="L298" s="51"/>
      <c r="M298" s="52"/>
      <c r="N298" s="940"/>
    </row>
    <row r="299" spans="2:14" s="25" customFormat="1" ht="27" customHeight="1">
      <c r="B299" s="61" t="s">
        <v>6525</v>
      </c>
      <c r="C299" s="61" t="s">
        <v>4872</v>
      </c>
      <c r="D299" s="1107">
        <v>90340</v>
      </c>
      <c r="E299" s="64" t="str">
        <f>IFERROR(UPPER(IF(C299="CPU",VLOOKUP(D299,#REF!,2,0),IF(C299="SINAPI",VLOOKUP(D299,#REF!,2,0),IF(C299="EDIF",VLOOKUP(D299,#REF!,2,0),IF(C299="CPOS",VLOOKUP(D299,#REF!,3,0),IF(C299="FDE",VLOOKUP(D299,#REF!,2,0),IF(C299="INFRA",VLOOKUP(D299,#REF!,2,0),""))))))),"")</f>
        <v/>
      </c>
      <c r="F299" s="65" t="str">
        <f>IFERROR(UPPER(IF(C299="CPU",VLOOKUP(D299,#REF!,3,0),IF(C299="SINAPI",VLOOKUP(D299,#REF!,3,0),IF(C299="EDIF",VLOOKUP(D299,#REF!,3,0),IF(C299="CPOS",VLOOKUP(D299,#REF!,4,0),IF(C299="FDE",VLOOKUP(D299,#REF!,3,0),IF(C299="INFRA",VLOOKUP(D299,#REF!,3,0),""))))))),"")</f>
        <v/>
      </c>
      <c r="G299" s="66">
        <v>100</v>
      </c>
      <c r="H299" s="67" t="str">
        <f>IFERROR(IF(C299="CPU",VLOOKUP(D299,#REF!,4,0),IF(C299="SINAPI",VLOOKUP(D299,#REF!,5,0),IF(C299="EDIF",VLOOKUP(D299,#REF!,4,0),IF(C299="CPOS",VLOOKUP(D299,#REF!,7,0),IF(C299="FDE",VLOOKUP(D299,#REF!,5,0),IF(C299="INFRA",VLOOKUP(D299,#REF!,4,0),""))))))*VLOOKUP(C299,#REF!,3,0),"")</f>
        <v/>
      </c>
      <c r="I299" s="1106">
        <v>0.25</v>
      </c>
      <c r="J299" s="67" t="e">
        <f t="shared" si="36"/>
        <v>#VALUE!</v>
      </c>
      <c r="K299" s="69" t="e">
        <f t="shared" si="37"/>
        <v>#VALUE!</v>
      </c>
      <c r="L299" s="51"/>
      <c r="M299" s="52"/>
      <c r="N299" s="940"/>
    </row>
    <row r="300" spans="2:14" s="25" customFormat="1" ht="27" customHeight="1">
      <c r="B300" s="61" t="s">
        <v>6526</v>
      </c>
      <c r="C300" s="61" t="s">
        <v>1479</v>
      </c>
      <c r="D300" s="1108" t="s">
        <v>6527</v>
      </c>
      <c r="E300" s="64" t="str">
        <f>IFERROR(UPPER(IF(C300="CPU",VLOOKUP(D300,#REF!,2,0),IF(C300="SINAPI",VLOOKUP(D300,#REF!,2,0),IF(C300="EDIF",VLOOKUP(D300,#REF!,2,0),IF(C300="CPOS",VLOOKUP(D300,#REF!,3,0),IF(C300="FDE",VLOOKUP(D300,#REF!,2,0),IF(C300="INFRA",VLOOKUP(D300,#REF!,2,0),""))))))),"")</f>
        <v/>
      </c>
      <c r="F300" s="65" t="str">
        <f>IFERROR(UPPER(IF(C300="CPU",VLOOKUP(D300,#REF!,3,0),IF(C300="SINAPI",VLOOKUP(D300,#REF!,3,0),IF(C300="EDIF",VLOOKUP(D300,#REF!,3,0),IF(C300="CPOS",VLOOKUP(D300,#REF!,4,0),IF(C300="FDE",VLOOKUP(D300,#REF!,3,0),IF(C300="INFRA",VLOOKUP(D300,#REF!,3,0),""))))))),"")</f>
        <v/>
      </c>
      <c r="G300" s="66">
        <v>4</v>
      </c>
      <c r="H300" s="67" t="str">
        <f>IFERROR(IF(C300="CPU",VLOOKUP(D300,#REF!,4,0),IF(C300="SINAPI",VLOOKUP(D300,#REF!,5,0),IF(C300="EDIF",VLOOKUP(D300,#REF!,4,0),IF(C300="CPOS",VLOOKUP(D300,#REF!,7,0),IF(C300="FDE",VLOOKUP(D300,#REF!,5,0),IF(C300="INFRA",VLOOKUP(D300,#REF!,4,0),""))))))*VLOOKUP(C300,#REF!,3,0),"")</f>
        <v/>
      </c>
      <c r="I300" s="1106">
        <v>0.25</v>
      </c>
      <c r="J300" s="67" t="e">
        <f t="shared" si="36"/>
        <v>#VALUE!</v>
      </c>
      <c r="K300" s="69" t="e">
        <f t="shared" si="37"/>
        <v>#VALUE!</v>
      </c>
      <c r="L300" s="51"/>
      <c r="M300" s="52"/>
      <c r="N300" s="940"/>
    </row>
    <row r="301" spans="2:14" s="25" customFormat="1" ht="27" customHeight="1">
      <c r="B301" s="61" t="s">
        <v>6528</v>
      </c>
      <c r="C301" s="61" t="s">
        <v>1479</v>
      </c>
      <c r="D301" s="1108" t="s">
        <v>6529</v>
      </c>
      <c r="E301" s="64" t="str">
        <f>IFERROR(UPPER(IF(C301="CPU",VLOOKUP(D301,#REF!,2,0),IF(C301="SINAPI",VLOOKUP(D301,#REF!,2,0),IF(C301="EDIF",VLOOKUP(D301,#REF!,2,0),IF(C301="CPOS",VLOOKUP(D301,#REF!,3,0),IF(C301="FDE",VLOOKUP(D301,#REF!,2,0),IF(C301="INFRA",VLOOKUP(D301,#REF!,2,0),""))))))),"")</f>
        <v/>
      </c>
      <c r="F301" s="65" t="str">
        <f>IFERROR(UPPER(IF(C301="CPU",VLOOKUP(D301,#REF!,3,0),IF(C301="SINAPI",VLOOKUP(D301,#REF!,3,0),IF(C301="EDIF",VLOOKUP(D301,#REF!,3,0),IF(C301="CPOS",VLOOKUP(D301,#REF!,4,0),IF(C301="FDE",VLOOKUP(D301,#REF!,3,0),IF(C301="INFRA",VLOOKUP(D301,#REF!,3,0),""))))))),"")</f>
        <v/>
      </c>
      <c r="G301" s="66">
        <v>1</v>
      </c>
      <c r="H301" s="67" t="str">
        <f>IFERROR(IF(C301="CPU",VLOOKUP(D301,#REF!,4,0),IF(C301="SINAPI",VLOOKUP(D301,#REF!,5,0),IF(C301="EDIF",VLOOKUP(D301,#REF!,4,0),IF(C301="CPOS",VLOOKUP(D301,#REF!,7,0),IF(C301="FDE",VLOOKUP(D301,#REF!,5,0),IF(C301="INFRA",VLOOKUP(D301,#REF!,4,0),""))))))*VLOOKUP(C301,#REF!,3,0),"")</f>
        <v/>
      </c>
      <c r="I301" s="1106">
        <v>0.25</v>
      </c>
      <c r="J301" s="67" t="e">
        <f t="shared" si="36"/>
        <v>#VALUE!</v>
      </c>
      <c r="K301" s="69" t="e">
        <f t="shared" si="37"/>
        <v>#VALUE!</v>
      </c>
      <c r="L301" s="51"/>
      <c r="M301" s="52"/>
      <c r="N301" s="940"/>
    </row>
    <row r="302" spans="2:14" s="25" customFormat="1" ht="27" customHeight="1">
      <c r="B302" s="61" t="s">
        <v>6530</v>
      </c>
      <c r="C302" s="61" t="s">
        <v>1479</v>
      </c>
      <c r="D302" s="1108" t="s">
        <v>6531</v>
      </c>
      <c r="E302" s="64" t="str">
        <f>IFERROR(UPPER(IF(C302="CPU",VLOOKUP(D302,#REF!,2,0),IF(C302="SINAPI",VLOOKUP(D302,#REF!,2,0),IF(C302="EDIF",VLOOKUP(D302,#REF!,2,0),IF(C302="CPOS",VLOOKUP(D302,#REF!,3,0),IF(C302="FDE",VLOOKUP(D302,#REF!,2,0),IF(C302="INFRA",VLOOKUP(D302,#REF!,2,0),""))))))),"")</f>
        <v/>
      </c>
      <c r="F302" s="65" t="str">
        <f>IFERROR(UPPER(IF(C302="CPU",VLOOKUP(D302,#REF!,3,0),IF(C302="SINAPI",VLOOKUP(D302,#REF!,3,0),IF(C302="EDIF",VLOOKUP(D302,#REF!,3,0),IF(C302="CPOS",VLOOKUP(D302,#REF!,4,0),IF(C302="FDE",VLOOKUP(D302,#REF!,3,0),IF(C302="INFRA",VLOOKUP(D302,#REF!,3,0),""))))))),"")</f>
        <v/>
      </c>
      <c r="G302" s="66">
        <v>3</v>
      </c>
      <c r="H302" s="67" t="str">
        <f>IFERROR(IF(C302="CPU",VLOOKUP(D302,#REF!,4,0),IF(C302="SINAPI",VLOOKUP(D302,#REF!,5,0),IF(C302="EDIF",VLOOKUP(D302,#REF!,4,0),IF(C302="CPOS",VLOOKUP(D302,#REF!,7,0),IF(C302="FDE",VLOOKUP(D302,#REF!,5,0),IF(C302="INFRA",VLOOKUP(D302,#REF!,4,0),""))))))*VLOOKUP(C302,#REF!,3,0),"")</f>
        <v/>
      </c>
      <c r="I302" s="1106">
        <v>0.25</v>
      </c>
      <c r="J302" s="67" t="e">
        <f t="shared" si="36"/>
        <v>#VALUE!</v>
      </c>
      <c r="K302" s="69" t="e">
        <f t="shared" si="37"/>
        <v>#VALUE!</v>
      </c>
      <c r="L302" s="51"/>
      <c r="M302" s="52"/>
      <c r="N302" s="940"/>
    </row>
    <row r="303" spans="2:14" s="25" customFormat="1" ht="27" customHeight="1">
      <c r="B303" s="61" t="s">
        <v>6532</v>
      </c>
      <c r="C303" s="61" t="s">
        <v>4872</v>
      </c>
      <c r="D303" s="1107">
        <v>90253</v>
      </c>
      <c r="E303" s="64" t="str">
        <f>IFERROR(UPPER(IF(C303="CPU",VLOOKUP(D303,#REF!,2,0),IF(C303="SINAPI",VLOOKUP(D303,#REF!,2,0),IF(C303="EDIF",VLOOKUP(D303,#REF!,2,0),IF(C303="CPOS",VLOOKUP(D303,#REF!,3,0),IF(C303="FDE",VLOOKUP(D303,#REF!,2,0),IF(C303="INFRA",VLOOKUP(D303,#REF!,2,0),""))))))),"")</f>
        <v/>
      </c>
      <c r="F303" s="65" t="str">
        <f>IFERROR(UPPER(IF(C303="CPU",VLOOKUP(D303,#REF!,3,0),IF(C303="SINAPI",VLOOKUP(D303,#REF!,3,0),IF(C303="EDIF",VLOOKUP(D303,#REF!,3,0),IF(C303="CPOS",VLOOKUP(D303,#REF!,4,0),IF(C303="FDE",VLOOKUP(D303,#REF!,3,0),IF(C303="INFRA",VLOOKUP(D303,#REF!,3,0),""))))))),"")</f>
        <v/>
      </c>
      <c r="G303" s="66">
        <v>200</v>
      </c>
      <c r="H303" s="67" t="str">
        <f>IFERROR(IF(C303="CPU",VLOOKUP(D303,#REF!,4,0),IF(C303="SINAPI",VLOOKUP(D303,#REF!,5,0),IF(C303="EDIF",VLOOKUP(D303,#REF!,4,0),IF(C303="CPOS",VLOOKUP(D303,#REF!,7,0),IF(C303="FDE",VLOOKUP(D303,#REF!,5,0),IF(C303="INFRA",VLOOKUP(D303,#REF!,4,0),""))))))*VLOOKUP(C303,#REF!,3,0),"")</f>
        <v/>
      </c>
      <c r="I303" s="1106">
        <v>0.25</v>
      </c>
      <c r="J303" s="67" t="e">
        <f t="shared" si="36"/>
        <v>#VALUE!</v>
      </c>
      <c r="K303" s="69" t="e">
        <f t="shared" si="37"/>
        <v>#VALUE!</v>
      </c>
      <c r="L303" s="51"/>
      <c r="M303" s="52"/>
      <c r="N303" s="940"/>
    </row>
    <row r="304" spans="2:14" s="25" customFormat="1" ht="27" customHeight="1">
      <c r="B304" s="61" t="s">
        <v>6533</v>
      </c>
      <c r="C304" s="61" t="s">
        <v>4872</v>
      </c>
      <c r="D304" s="1107">
        <v>90251</v>
      </c>
      <c r="E304" s="64" t="str">
        <f>IFERROR(UPPER(IF(C304="CPU",VLOOKUP(D304,#REF!,2,0),IF(C304="SINAPI",VLOOKUP(D304,#REF!,2,0),IF(C304="EDIF",VLOOKUP(D304,#REF!,2,0),IF(C304="CPOS",VLOOKUP(D304,#REF!,3,0),IF(C304="FDE",VLOOKUP(D304,#REF!,2,0),IF(C304="INFRA",VLOOKUP(D304,#REF!,2,0),""))))))),"")</f>
        <v/>
      </c>
      <c r="F304" s="65" t="str">
        <f>IFERROR(UPPER(IF(C304="CPU",VLOOKUP(D304,#REF!,3,0),IF(C304="SINAPI",VLOOKUP(D304,#REF!,3,0),IF(C304="EDIF",VLOOKUP(D304,#REF!,3,0),IF(C304="CPOS",VLOOKUP(D304,#REF!,4,0),IF(C304="FDE",VLOOKUP(D304,#REF!,3,0),IF(C304="INFRA",VLOOKUP(D304,#REF!,3,0),""))))))),"")</f>
        <v/>
      </c>
      <c r="G304" s="66">
        <v>200</v>
      </c>
      <c r="H304" s="67" t="str">
        <f>IFERROR(IF(C304="CPU",VLOOKUP(D304,#REF!,4,0),IF(C304="SINAPI",VLOOKUP(D304,#REF!,5,0),IF(C304="EDIF",VLOOKUP(D304,#REF!,4,0),IF(C304="CPOS",VLOOKUP(D304,#REF!,7,0),IF(C304="FDE",VLOOKUP(D304,#REF!,5,0),IF(C304="INFRA",VLOOKUP(D304,#REF!,4,0),""))))))*VLOOKUP(C304,#REF!,3,0),"")</f>
        <v/>
      </c>
      <c r="I304" s="1106">
        <v>0.25</v>
      </c>
      <c r="J304" s="67" t="e">
        <f t="shared" si="36"/>
        <v>#VALUE!</v>
      </c>
      <c r="K304" s="69" t="e">
        <f t="shared" si="37"/>
        <v>#VALUE!</v>
      </c>
      <c r="L304" s="51"/>
      <c r="M304" s="52"/>
      <c r="N304" s="940"/>
    </row>
    <row r="305" spans="2:14" s="25" customFormat="1" ht="27" customHeight="1">
      <c r="B305" s="61" t="s">
        <v>6534</v>
      </c>
      <c r="C305" s="61" t="s">
        <v>4872</v>
      </c>
      <c r="D305" s="1107">
        <v>91334</v>
      </c>
      <c r="E305" s="64" t="str">
        <f>IFERROR(UPPER(IF(C305="CPU",VLOOKUP(D305,#REF!,2,0),IF(C305="SINAPI",VLOOKUP(D305,#REF!,2,0),IF(C305="EDIF",VLOOKUP(D305,#REF!,2,0),IF(C305="CPOS",VLOOKUP(D305,#REF!,3,0),IF(C305="FDE",VLOOKUP(D305,#REF!,2,0),IF(C305="INFRA",VLOOKUP(D305,#REF!,2,0),""))))))),"")</f>
        <v/>
      </c>
      <c r="F305" s="65" t="str">
        <f>IFERROR(UPPER(IF(C305="CPU",VLOOKUP(D305,#REF!,3,0),IF(C305="SINAPI",VLOOKUP(D305,#REF!,3,0),IF(C305="EDIF",VLOOKUP(D305,#REF!,3,0),IF(C305="CPOS",VLOOKUP(D305,#REF!,4,0),IF(C305="FDE",VLOOKUP(D305,#REF!,3,0),IF(C305="INFRA",VLOOKUP(D305,#REF!,3,0),""))))))),"")</f>
        <v/>
      </c>
      <c r="G305" s="66">
        <v>100</v>
      </c>
      <c r="H305" s="67" t="str">
        <f>IFERROR(IF(C305="CPU",VLOOKUP(D305,#REF!,4,0),IF(C305="SINAPI",VLOOKUP(D305,#REF!,5,0),IF(C305="EDIF",VLOOKUP(D305,#REF!,4,0),IF(C305="CPOS",VLOOKUP(D305,#REF!,7,0),IF(C305="FDE",VLOOKUP(D305,#REF!,5,0),IF(C305="INFRA",VLOOKUP(D305,#REF!,4,0),""))))))*VLOOKUP(C305,#REF!,3,0),"")</f>
        <v/>
      </c>
      <c r="I305" s="1106">
        <v>0.25</v>
      </c>
      <c r="J305" s="67" t="e">
        <f t="shared" si="36"/>
        <v>#VALUE!</v>
      </c>
      <c r="K305" s="69" t="e">
        <f t="shared" si="37"/>
        <v>#VALUE!</v>
      </c>
      <c r="L305" s="51"/>
      <c r="M305" s="52"/>
      <c r="N305" s="940"/>
    </row>
    <row r="306" spans="2:14" s="25" customFormat="1" ht="27" customHeight="1">
      <c r="B306" s="61" t="s">
        <v>6535</v>
      </c>
      <c r="C306" s="61" t="s">
        <v>4872</v>
      </c>
      <c r="D306" s="1107">
        <v>91338</v>
      </c>
      <c r="E306" s="64" t="str">
        <f>IFERROR(UPPER(IF(C306="CPU",VLOOKUP(D306,#REF!,2,0),IF(C306="SINAPI",VLOOKUP(D306,#REF!,2,0),IF(C306="EDIF",VLOOKUP(D306,#REF!,2,0),IF(C306="CPOS",VLOOKUP(D306,#REF!,3,0),IF(C306="FDE",VLOOKUP(D306,#REF!,2,0),IF(C306="INFRA",VLOOKUP(D306,#REF!,2,0),""))))))),"")</f>
        <v/>
      </c>
      <c r="F306" s="65" t="str">
        <f>IFERROR(UPPER(IF(C306="CPU",VLOOKUP(D306,#REF!,3,0),IF(C306="SINAPI",VLOOKUP(D306,#REF!,3,0),IF(C306="EDIF",VLOOKUP(D306,#REF!,3,0),IF(C306="CPOS",VLOOKUP(D306,#REF!,4,0),IF(C306="FDE",VLOOKUP(D306,#REF!,3,0),IF(C306="INFRA",VLOOKUP(D306,#REF!,3,0),""))))))),"")</f>
        <v/>
      </c>
      <c r="G306" s="66">
        <v>50</v>
      </c>
      <c r="H306" s="67" t="str">
        <f>IFERROR(IF(C306="CPU",VLOOKUP(D306,#REF!,4,0),IF(C306="SINAPI",VLOOKUP(D306,#REF!,5,0),IF(C306="EDIF",VLOOKUP(D306,#REF!,4,0),IF(C306="CPOS",VLOOKUP(D306,#REF!,7,0),IF(C306="FDE",VLOOKUP(D306,#REF!,5,0),IF(C306="INFRA",VLOOKUP(D306,#REF!,4,0),""))))))*VLOOKUP(C306,#REF!,3,0),"")</f>
        <v/>
      </c>
      <c r="I306" s="1106">
        <v>0.25</v>
      </c>
      <c r="J306" s="67" t="e">
        <f t="shared" si="36"/>
        <v>#VALUE!</v>
      </c>
      <c r="K306" s="69" t="e">
        <f t="shared" si="37"/>
        <v>#VALUE!</v>
      </c>
      <c r="L306" s="51"/>
      <c r="M306" s="52"/>
      <c r="N306" s="940"/>
    </row>
    <row r="307" spans="2:14" s="25" customFormat="1" ht="27" customHeight="1">
      <c r="B307" s="61" t="s">
        <v>6536</v>
      </c>
      <c r="C307" s="61" t="s">
        <v>4872</v>
      </c>
      <c r="D307" s="1107">
        <v>91313</v>
      </c>
      <c r="E307" s="64" t="str">
        <f>IFERROR(UPPER(IF(C307="CPU",VLOOKUP(D307,#REF!,2,0),IF(C307="SINAPI",VLOOKUP(D307,#REF!,2,0),IF(C307="EDIF",VLOOKUP(D307,#REF!,2,0),IF(C307="CPOS",VLOOKUP(D307,#REF!,3,0),IF(C307="FDE",VLOOKUP(D307,#REF!,2,0),IF(C307="INFRA",VLOOKUP(D307,#REF!,2,0),""))))))),"")</f>
        <v/>
      </c>
      <c r="F307" s="65" t="str">
        <f>IFERROR(UPPER(IF(C307="CPU",VLOOKUP(D307,#REF!,3,0),IF(C307="SINAPI",VLOOKUP(D307,#REF!,3,0),IF(C307="EDIF",VLOOKUP(D307,#REF!,3,0),IF(C307="CPOS",VLOOKUP(D307,#REF!,4,0),IF(C307="FDE",VLOOKUP(D307,#REF!,3,0),IF(C307="INFRA",VLOOKUP(D307,#REF!,3,0),""))))))),"")</f>
        <v/>
      </c>
      <c r="G307" s="66">
        <v>200</v>
      </c>
      <c r="H307" s="67" t="str">
        <f>IFERROR(IF(C307="CPU",VLOOKUP(D307,#REF!,4,0),IF(C307="SINAPI",VLOOKUP(D307,#REF!,5,0),IF(C307="EDIF",VLOOKUP(D307,#REF!,4,0),IF(C307="CPOS",VLOOKUP(D307,#REF!,7,0),IF(C307="FDE",VLOOKUP(D307,#REF!,5,0),IF(C307="INFRA",VLOOKUP(D307,#REF!,4,0),""))))))*VLOOKUP(C307,#REF!,3,0),"")</f>
        <v/>
      </c>
      <c r="I307" s="1106">
        <v>0.25</v>
      </c>
      <c r="J307" s="67" t="e">
        <f t="shared" si="36"/>
        <v>#VALUE!</v>
      </c>
      <c r="K307" s="69" t="e">
        <f t="shared" si="37"/>
        <v>#VALUE!</v>
      </c>
      <c r="L307" s="51"/>
      <c r="M307" s="52"/>
      <c r="N307" s="940"/>
    </row>
    <row r="308" spans="2:14" s="25" customFormat="1" ht="27" customHeight="1">
      <c r="B308" s="61" t="s">
        <v>6537</v>
      </c>
      <c r="C308" s="61" t="s">
        <v>4872</v>
      </c>
      <c r="D308" s="1107">
        <v>90206</v>
      </c>
      <c r="E308" s="64" t="str">
        <f>IFERROR(UPPER(IF(C308="CPU",VLOOKUP(D308,#REF!,2,0),IF(C308="SINAPI",VLOOKUP(D308,#REF!,2,0),IF(C308="EDIF",VLOOKUP(D308,#REF!,2,0),IF(C308="CPOS",VLOOKUP(D308,#REF!,3,0),IF(C308="FDE",VLOOKUP(D308,#REF!,2,0),IF(C308="INFRA",VLOOKUP(D308,#REF!,2,0),""))))))),"")</f>
        <v/>
      </c>
      <c r="F308" s="65" t="str">
        <f>IFERROR(UPPER(IF(C308="CPU",VLOOKUP(D308,#REF!,3,0),IF(C308="SINAPI",VLOOKUP(D308,#REF!,3,0),IF(C308="EDIF",VLOOKUP(D308,#REF!,3,0),IF(C308="CPOS",VLOOKUP(D308,#REF!,4,0),IF(C308="FDE",VLOOKUP(D308,#REF!,3,0),IF(C308="INFRA",VLOOKUP(D308,#REF!,3,0),""))))))),"")</f>
        <v/>
      </c>
      <c r="G308" s="66">
        <v>80</v>
      </c>
      <c r="H308" s="67" t="str">
        <f>IFERROR(IF(C308="CPU",VLOOKUP(D308,#REF!,4,0),IF(C308="SINAPI",VLOOKUP(D308,#REF!,5,0),IF(C308="EDIF",VLOOKUP(D308,#REF!,4,0),IF(C308="CPOS",VLOOKUP(D308,#REF!,7,0),IF(C308="FDE",VLOOKUP(D308,#REF!,5,0),IF(C308="INFRA",VLOOKUP(D308,#REF!,4,0),""))))))*VLOOKUP(C308,#REF!,3,0),"")</f>
        <v/>
      </c>
      <c r="I308" s="1106">
        <v>0.25</v>
      </c>
      <c r="J308" s="67" t="e">
        <f t="shared" si="36"/>
        <v>#VALUE!</v>
      </c>
      <c r="K308" s="69" t="e">
        <f t="shared" si="37"/>
        <v>#VALUE!</v>
      </c>
      <c r="L308" s="51"/>
      <c r="M308" s="52"/>
      <c r="N308" s="940"/>
    </row>
    <row r="309" spans="2:14" s="25" customFormat="1" ht="27" customHeight="1">
      <c r="B309" s="61" t="s">
        <v>6538</v>
      </c>
      <c r="C309" s="61" t="s">
        <v>4872</v>
      </c>
      <c r="D309" s="1107">
        <v>90209</v>
      </c>
      <c r="E309" s="64" t="str">
        <f>IFERROR(UPPER(IF(C309="CPU",VLOOKUP(D309,#REF!,2,0),IF(C309="SINAPI",VLOOKUP(D309,#REF!,2,0),IF(C309="EDIF",VLOOKUP(D309,#REF!,2,0),IF(C309="CPOS",VLOOKUP(D309,#REF!,3,0),IF(C309="FDE",VLOOKUP(D309,#REF!,2,0),IF(C309="INFRA",VLOOKUP(D309,#REF!,2,0),""))))))),"")</f>
        <v/>
      </c>
      <c r="F309" s="65" t="str">
        <f>IFERROR(UPPER(IF(C309="CPU",VLOOKUP(D309,#REF!,3,0),IF(C309="SINAPI",VLOOKUP(D309,#REF!,3,0),IF(C309="EDIF",VLOOKUP(D309,#REF!,3,0),IF(C309="CPOS",VLOOKUP(D309,#REF!,4,0),IF(C309="FDE",VLOOKUP(D309,#REF!,3,0),IF(C309="INFRA",VLOOKUP(D309,#REF!,3,0),""))))))),"")</f>
        <v/>
      </c>
      <c r="G309" s="66">
        <v>80</v>
      </c>
      <c r="H309" s="67" t="str">
        <f>IFERROR(IF(C309="CPU",VLOOKUP(D309,#REF!,4,0),IF(C309="SINAPI",VLOOKUP(D309,#REF!,5,0),IF(C309="EDIF",VLOOKUP(D309,#REF!,4,0),IF(C309="CPOS",VLOOKUP(D309,#REF!,7,0),IF(C309="FDE",VLOOKUP(D309,#REF!,5,0),IF(C309="INFRA",VLOOKUP(D309,#REF!,4,0),""))))))*VLOOKUP(C309,#REF!,3,0),"")</f>
        <v/>
      </c>
      <c r="I309" s="1106">
        <v>0.25</v>
      </c>
      <c r="J309" s="67" t="e">
        <f t="shared" si="36"/>
        <v>#VALUE!</v>
      </c>
      <c r="K309" s="69" t="e">
        <f t="shared" si="37"/>
        <v>#VALUE!</v>
      </c>
      <c r="L309" s="51"/>
      <c r="M309" s="52"/>
      <c r="N309" s="940"/>
    </row>
    <row r="310" spans="2:14" s="25" customFormat="1" ht="27" customHeight="1">
      <c r="B310" s="61" t="s">
        <v>6539</v>
      </c>
      <c r="C310" s="61" t="s">
        <v>4872</v>
      </c>
      <c r="D310" s="1107">
        <v>90255</v>
      </c>
      <c r="E310" s="64" t="str">
        <f>IFERROR(UPPER(IF(C310="CPU",VLOOKUP(D310,#REF!,2,0),IF(C310="SINAPI",VLOOKUP(D310,#REF!,2,0),IF(C310="EDIF",VLOOKUP(D310,#REF!,2,0),IF(C310="CPOS",VLOOKUP(D310,#REF!,3,0),IF(C310="FDE",VLOOKUP(D310,#REF!,2,0),IF(C310="INFRA",VLOOKUP(D310,#REF!,2,0),""))))))),"")</f>
        <v/>
      </c>
      <c r="F310" s="65" t="str">
        <f>IFERROR(UPPER(IF(C310="CPU",VLOOKUP(D310,#REF!,3,0),IF(C310="SINAPI",VLOOKUP(D310,#REF!,3,0),IF(C310="EDIF",VLOOKUP(D310,#REF!,3,0),IF(C310="CPOS",VLOOKUP(D310,#REF!,4,0),IF(C310="FDE",VLOOKUP(D310,#REF!,3,0),IF(C310="INFRA",VLOOKUP(D310,#REF!,3,0),""))))))),"")</f>
        <v/>
      </c>
      <c r="G310" s="66">
        <v>100</v>
      </c>
      <c r="H310" s="67" t="str">
        <f>IFERROR(IF(C310="CPU",VLOOKUP(D310,#REF!,4,0),IF(C310="SINAPI",VLOOKUP(D310,#REF!,5,0),IF(C310="EDIF",VLOOKUP(D310,#REF!,4,0),IF(C310="CPOS",VLOOKUP(D310,#REF!,7,0),IF(C310="FDE",VLOOKUP(D310,#REF!,5,0),IF(C310="INFRA",VLOOKUP(D310,#REF!,4,0),""))))))*VLOOKUP(C310,#REF!,3,0),"")</f>
        <v/>
      </c>
      <c r="I310" s="1106">
        <v>0.25</v>
      </c>
      <c r="J310" s="67" t="e">
        <f t="shared" si="36"/>
        <v>#VALUE!</v>
      </c>
      <c r="K310" s="69" t="e">
        <f t="shared" si="37"/>
        <v>#VALUE!</v>
      </c>
      <c r="L310" s="51"/>
      <c r="M310" s="52"/>
      <c r="N310" s="940"/>
    </row>
    <row r="311" spans="2:14" s="25" customFormat="1" ht="27" customHeight="1">
      <c r="B311" s="61" t="s">
        <v>6540</v>
      </c>
      <c r="C311" s="61" t="s">
        <v>4908</v>
      </c>
      <c r="D311" s="65" t="s">
        <v>6431</v>
      </c>
      <c r="E311" s="64" t="str">
        <f>IFERROR(UPPER(IF(C311="CPU",VLOOKUP(D311,#REF!,2,0),IF(C311="SINAPI",VLOOKUP(D311,#REF!,2,0),IF(C311="EDIF",VLOOKUP(D311,#REF!,2,0),IF(C311="CPOS",VLOOKUP(D311,#REF!,3,0),IF(C311="FDE",VLOOKUP(D311,#REF!,2,0),IF(C311="INFRA",VLOOKUP(D311,#REF!,2,0),""))))))),"")</f>
        <v/>
      </c>
      <c r="F311" s="65" t="str">
        <f>IFERROR(UPPER(IF(C311="CPU",VLOOKUP(D311,#REF!,3,0),IF(C311="SINAPI",VLOOKUP(D311,#REF!,3,0),IF(C311="EDIF",VLOOKUP(D311,#REF!,3,0),IF(C311="CPOS",VLOOKUP(D311,#REF!,4,0),IF(C311="FDE",VLOOKUP(D311,#REF!,3,0),IF(C311="INFRA",VLOOKUP(D311,#REF!,3,0),""))))))),"")</f>
        <v/>
      </c>
      <c r="G311" s="66">
        <v>6</v>
      </c>
      <c r="H311" s="67" t="str">
        <f>IFERROR(IF(C311="CPU",VLOOKUP(D311,#REF!,4,0),IF(C311="SINAPI",VLOOKUP(D311,#REF!,5,0),IF(C311="EDIF",VLOOKUP(D311,#REF!,4,0),IF(C311="CPOS",VLOOKUP(D311,#REF!,7,0),IF(C311="FDE",VLOOKUP(D311,#REF!,5,0),IF(C311="INFRA",VLOOKUP(D311,#REF!,4,0),""))))))*VLOOKUP(C311,#REF!,3,0),"")</f>
        <v/>
      </c>
      <c r="I311" s="1106">
        <v>0.25</v>
      </c>
      <c r="J311" s="67" t="e">
        <f t="shared" si="36"/>
        <v>#VALUE!</v>
      </c>
      <c r="K311" s="69" t="e">
        <f t="shared" si="37"/>
        <v>#VALUE!</v>
      </c>
      <c r="L311" s="51"/>
      <c r="M311" s="52"/>
      <c r="N311" s="940"/>
    </row>
    <row r="312" spans="2:14" s="25" customFormat="1" ht="27" customHeight="1">
      <c r="B312" s="61" t="s">
        <v>6541</v>
      </c>
      <c r="C312" s="61" t="s">
        <v>26</v>
      </c>
      <c r="D312" s="1108" t="s">
        <v>616</v>
      </c>
      <c r="E312" s="64" t="str">
        <f>IFERROR(UPPER(IF(C312="CPU",VLOOKUP(D312,#REF!,2,0),IF(C312="SINAPI",VLOOKUP(D312,#REF!,2,0),IF(C312="EDIF",VLOOKUP(D312,#REF!,2,0),IF(C312="CPOS",VLOOKUP(D312,#REF!,3,0),IF(C312="FDE",VLOOKUP(D312,#REF!,2,0),IF(C312="INFRA",VLOOKUP(D312,#REF!,2,0),""))))))),"")</f>
        <v/>
      </c>
      <c r="F312" s="65" t="str">
        <f>IFERROR(UPPER(IF(C312="CPU",VLOOKUP(D312,#REF!,3,0),IF(C312="SINAPI",VLOOKUP(D312,#REF!,3,0),IF(C312="EDIF",VLOOKUP(D312,#REF!,3,0),IF(C312="CPOS",VLOOKUP(D312,#REF!,4,0),IF(C312="FDE",VLOOKUP(D312,#REF!,3,0),IF(C312="INFRA",VLOOKUP(D312,#REF!,3,0),""))))))),"")</f>
        <v/>
      </c>
      <c r="G312" s="66">
        <v>1.44</v>
      </c>
      <c r="H312" s="67" t="str">
        <f>IFERROR(IF(C312="CPU",VLOOKUP(D312,#REF!,4,0),IF(C312="SINAPI",VLOOKUP(D312,#REF!,5,0),IF(C312="EDIF",VLOOKUP(D312,#REF!,4,0),IF(C312="CPOS",VLOOKUP(D312,#REF!,7,0),IF(C312="FDE",VLOOKUP(D312,#REF!,5,0),IF(C312="INFRA",VLOOKUP(D312,#REF!,4,0),""))))))*VLOOKUP(C312,#REF!,3,0),"")</f>
        <v/>
      </c>
      <c r="I312" s="1106">
        <v>0.25</v>
      </c>
      <c r="J312" s="67" t="e">
        <f t="shared" si="36"/>
        <v>#VALUE!</v>
      </c>
      <c r="K312" s="69" t="e">
        <f t="shared" si="37"/>
        <v>#VALUE!</v>
      </c>
      <c r="L312" s="51"/>
      <c r="M312" s="52"/>
      <c r="N312" s="940"/>
    </row>
    <row r="313" spans="2:14" s="25" customFormat="1" ht="27" customHeight="1">
      <c r="B313" s="61" t="s">
        <v>6542</v>
      </c>
      <c r="C313" s="61" t="s">
        <v>26</v>
      </c>
      <c r="D313" s="1108" t="s">
        <v>6543</v>
      </c>
      <c r="E313" s="64" t="str">
        <f>IFERROR(UPPER(IF(C313="CPU",VLOOKUP(D313,#REF!,2,0),IF(C313="SINAPI",VLOOKUP(D313,#REF!,2,0),IF(C313="EDIF",VLOOKUP(D313,#REF!,2,0),IF(C313="CPOS",VLOOKUP(D313,#REF!,3,0),IF(C313="FDE",VLOOKUP(D313,#REF!,2,0),IF(C313="INFRA",VLOOKUP(D313,#REF!,2,0),""))))))),"")</f>
        <v/>
      </c>
      <c r="F313" s="65" t="str">
        <f>IFERROR(UPPER(IF(C313="CPU",VLOOKUP(D313,#REF!,3,0),IF(C313="SINAPI",VLOOKUP(D313,#REF!,3,0),IF(C313="EDIF",VLOOKUP(D313,#REF!,3,0),IF(C313="CPOS",VLOOKUP(D313,#REF!,4,0),IF(C313="FDE",VLOOKUP(D313,#REF!,3,0),IF(C313="INFRA",VLOOKUP(D313,#REF!,3,0),""))))))),"")</f>
        <v/>
      </c>
      <c r="G313" s="66">
        <v>14</v>
      </c>
      <c r="H313" s="67" t="str">
        <f>IFERROR(IF(C313="CPU",VLOOKUP(D313,#REF!,4,0),IF(C313="SINAPI",VLOOKUP(D313,#REF!,5,0),IF(C313="EDIF",VLOOKUP(D313,#REF!,4,0),IF(C313="CPOS",VLOOKUP(D313,#REF!,7,0),IF(C313="FDE",VLOOKUP(D313,#REF!,5,0),IF(C313="INFRA",VLOOKUP(D313,#REF!,4,0),""))))))*VLOOKUP(C313,#REF!,3,0),"")</f>
        <v/>
      </c>
      <c r="I313" s="1106">
        <v>0.25</v>
      </c>
      <c r="J313" s="67" t="e">
        <f t="shared" si="36"/>
        <v>#VALUE!</v>
      </c>
      <c r="K313" s="69" t="e">
        <f t="shared" si="37"/>
        <v>#VALUE!</v>
      </c>
      <c r="L313" s="51"/>
      <c r="M313" s="52"/>
      <c r="N313" s="940"/>
    </row>
    <row r="314" spans="2:14" s="25" customFormat="1" ht="27" customHeight="1">
      <c r="B314" s="61" t="s">
        <v>6544</v>
      </c>
      <c r="C314" s="61" t="s">
        <v>26</v>
      </c>
      <c r="D314" s="1108" t="s">
        <v>6545</v>
      </c>
      <c r="E314" s="64" t="str">
        <f>IFERROR(UPPER(IF(C314="CPU",VLOOKUP(D314,#REF!,2,0),IF(C314="SINAPI",VLOOKUP(D314,#REF!,2,0),IF(C314="EDIF",VLOOKUP(D314,#REF!,2,0),IF(C314="CPOS",VLOOKUP(D314,#REF!,3,0),IF(C314="FDE",VLOOKUP(D314,#REF!,2,0),IF(C314="INFRA",VLOOKUP(D314,#REF!,2,0),""))))))),"")</f>
        <v/>
      </c>
      <c r="F314" s="65" t="str">
        <f>IFERROR(UPPER(IF(C314="CPU",VLOOKUP(D314,#REF!,3,0),IF(C314="SINAPI",VLOOKUP(D314,#REF!,3,0),IF(C314="EDIF",VLOOKUP(D314,#REF!,3,0),IF(C314="CPOS",VLOOKUP(D314,#REF!,4,0),IF(C314="FDE",VLOOKUP(D314,#REF!,3,0),IF(C314="INFRA",VLOOKUP(D314,#REF!,3,0),""))))))),"")</f>
        <v/>
      </c>
      <c r="G314" s="66">
        <v>1</v>
      </c>
      <c r="H314" s="67" t="str">
        <f>IFERROR(IF(C314="CPU",VLOOKUP(D314,#REF!,4,0),IF(C314="SINAPI",VLOOKUP(D314,#REF!,5,0),IF(C314="EDIF",VLOOKUP(D314,#REF!,4,0),IF(C314="CPOS",VLOOKUP(D314,#REF!,7,0),IF(C314="FDE",VLOOKUP(D314,#REF!,5,0),IF(C314="INFRA",VLOOKUP(D314,#REF!,4,0),""))))))*VLOOKUP(C314,#REF!,3,0),"")</f>
        <v/>
      </c>
      <c r="I314" s="1106">
        <v>0.25</v>
      </c>
      <c r="J314" s="67" t="e">
        <f t="shared" si="36"/>
        <v>#VALUE!</v>
      </c>
      <c r="K314" s="69" t="e">
        <f t="shared" si="37"/>
        <v>#VALUE!</v>
      </c>
      <c r="L314" s="51"/>
      <c r="M314" s="52"/>
      <c r="N314" s="940"/>
    </row>
    <row r="315" spans="2:14" s="25" customFormat="1" ht="27" customHeight="1">
      <c r="B315" s="61" t="s">
        <v>6546</v>
      </c>
      <c r="C315" s="61" t="s">
        <v>26</v>
      </c>
      <c r="D315" s="1108" t="s">
        <v>6547</v>
      </c>
      <c r="E315" s="64" t="str">
        <f>IFERROR(UPPER(IF(C315="CPU",VLOOKUP(D315,#REF!,2,0),IF(C315="SINAPI",VLOOKUP(D315,#REF!,2,0),IF(C315="EDIF",VLOOKUP(D315,#REF!,2,0),IF(C315="CPOS",VLOOKUP(D315,#REF!,3,0),IF(C315="FDE",VLOOKUP(D315,#REF!,2,0),IF(C315="INFRA",VLOOKUP(D315,#REF!,2,0),""))))))),"")</f>
        <v/>
      </c>
      <c r="F315" s="65" t="str">
        <f>IFERROR(UPPER(IF(C315="CPU",VLOOKUP(D315,#REF!,3,0),IF(C315="SINAPI",VLOOKUP(D315,#REF!,3,0),IF(C315="EDIF",VLOOKUP(D315,#REF!,3,0),IF(C315="CPOS",VLOOKUP(D315,#REF!,4,0),IF(C315="FDE",VLOOKUP(D315,#REF!,3,0),IF(C315="INFRA",VLOOKUP(D315,#REF!,3,0),""))))))),"")</f>
        <v/>
      </c>
      <c r="G315" s="66">
        <v>1</v>
      </c>
      <c r="H315" s="67" t="str">
        <f>IFERROR(IF(C315="CPU",VLOOKUP(D315,#REF!,4,0),IF(C315="SINAPI",VLOOKUP(D315,#REF!,5,0),IF(C315="EDIF",VLOOKUP(D315,#REF!,4,0),IF(C315="CPOS",VLOOKUP(D315,#REF!,7,0),IF(C315="FDE",VLOOKUP(D315,#REF!,5,0),IF(C315="INFRA",VLOOKUP(D315,#REF!,4,0),""))))))*VLOOKUP(C315,#REF!,3,0),"")</f>
        <v/>
      </c>
      <c r="I315" s="1106">
        <v>0.25</v>
      </c>
      <c r="J315" s="67" t="e">
        <f t="shared" si="36"/>
        <v>#VALUE!</v>
      </c>
      <c r="K315" s="69" t="e">
        <f t="shared" si="37"/>
        <v>#VALUE!</v>
      </c>
      <c r="L315" s="51"/>
      <c r="M315" s="52"/>
      <c r="N315" s="940"/>
    </row>
    <row r="316" spans="2:14" s="25" customFormat="1" ht="27" customHeight="1">
      <c r="B316" s="61" t="s">
        <v>6548</v>
      </c>
      <c r="C316" s="61" t="s">
        <v>26</v>
      </c>
      <c r="D316" s="1108" t="s">
        <v>628</v>
      </c>
      <c r="E316" s="64" t="str">
        <f>IFERROR(UPPER(IF(C316="CPU",VLOOKUP(D316,#REF!,2,0),IF(C316="SINAPI",VLOOKUP(D316,#REF!,2,0),IF(C316="EDIF",VLOOKUP(D316,#REF!,2,0),IF(C316="CPOS",VLOOKUP(D316,#REF!,3,0),IF(C316="FDE",VLOOKUP(D316,#REF!,2,0),IF(C316="INFRA",VLOOKUP(D316,#REF!,2,0),""))))))),"")</f>
        <v/>
      </c>
      <c r="F316" s="65" t="str">
        <f>IFERROR(UPPER(IF(C316="CPU",VLOOKUP(D316,#REF!,3,0),IF(C316="SINAPI",VLOOKUP(D316,#REF!,3,0),IF(C316="EDIF",VLOOKUP(D316,#REF!,3,0),IF(C316="CPOS",VLOOKUP(D316,#REF!,4,0),IF(C316="FDE",VLOOKUP(D316,#REF!,3,0),IF(C316="INFRA",VLOOKUP(D316,#REF!,3,0),""))))))),"")</f>
        <v/>
      </c>
      <c r="G316" s="66">
        <v>2</v>
      </c>
      <c r="H316" s="67" t="str">
        <f>IFERROR(IF(C316="CPU",VLOOKUP(D316,#REF!,4,0),IF(C316="SINAPI",VLOOKUP(D316,#REF!,5,0),IF(C316="EDIF",VLOOKUP(D316,#REF!,4,0),IF(C316="CPOS",VLOOKUP(D316,#REF!,7,0),IF(C316="FDE",VLOOKUP(D316,#REF!,5,0),IF(C316="INFRA",VLOOKUP(D316,#REF!,4,0),""))))))*VLOOKUP(C316,#REF!,3,0),"")</f>
        <v/>
      </c>
      <c r="I316" s="1106">
        <v>0.25</v>
      </c>
      <c r="J316" s="67" t="e">
        <f t="shared" si="36"/>
        <v>#VALUE!</v>
      </c>
      <c r="K316" s="69" t="e">
        <f t="shared" si="37"/>
        <v>#VALUE!</v>
      </c>
      <c r="L316" s="51"/>
      <c r="M316" s="52"/>
      <c r="N316" s="940"/>
    </row>
    <row r="317" spans="2:14" s="25" customFormat="1" ht="27" customHeight="1">
      <c r="B317" s="61" t="s">
        <v>6549</v>
      </c>
      <c r="C317" s="61" t="s">
        <v>26</v>
      </c>
      <c r="D317" s="1108" t="s">
        <v>6550</v>
      </c>
      <c r="E317" s="64" t="str">
        <f>IFERROR(UPPER(IF(C317="CPU",VLOOKUP(D317,#REF!,2,0),IF(C317="SINAPI",VLOOKUP(D317,#REF!,2,0),IF(C317="EDIF",VLOOKUP(D317,#REF!,2,0),IF(C317="CPOS",VLOOKUP(D317,#REF!,3,0),IF(C317="FDE",VLOOKUP(D317,#REF!,2,0),IF(C317="INFRA",VLOOKUP(D317,#REF!,2,0),""))))))),"")</f>
        <v/>
      </c>
      <c r="F317" s="65" t="str">
        <f>IFERROR(UPPER(IF(C317="CPU",VLOOKUP(D317,#REF!,3,0),IF(C317="SINAPI",VLOOKUP(D317,#REF!,3,0),IF(C317="EDIF",VLOOKUP(D317,#REF!,3,0),IF(C317="CPOS",VLOOKUP(D317,#REF!,4,0),IF(C317="FDE",VLOOKUP(D317,#REF!,3,0),IF(C317="INFRA",VLOOKUP(D317,#REF!,3,0),""))))))),"")</f>
        <v/>
      </c>
      <c r="G317" s="66">
        <v>0.5</v>
      </c>
      <c r="H317" s="67" t="str">
        <f>IFERROR(IF(C317="CPU",VLOOKUP(D317,#REF!,4,0),IF(C317="SINAPI",VLOOKUP(D317,#REF!,5,0),IF(C317="EDIF",VLOOKUP(D317,#REF!,4,0),IF(C317="CPOS",VLOOKUP(D317,#REF!,7,0),IF(C317="FDE",VLOOKUP(D317,#REF!,5,0),IF(C317="INFRA",VLOOKUP(D317,#REF!,4,0),""))))))*VLOOKUP(C317,#REF!,3,0),"")</f>
        <v/>
      </c>
      <c r="I317" s="1106">
        <v>0.25</v>
      </c>
      <c r="J317" s="67" t="e">
        <f t="shared" si="36"/>
        <v>#VALUE!</v>
      </c>
      <c r="K317" s="69" t="e">
        <f t="shared" si="37"/>
        <v>#VALUE!</v>
      </c>
      <c r="L317" s="51"/>
      <c r="M317" s="52"/>
      <c r="N317" s="940"/>
    </row>
    <row r="318" spans="2:14" s="25" customFormat="1" ht="27" customHeight="1">
      <c r="B318" s="61" t="s">
        <v>6551</v>
      </c>
      <c r="C318" s="61" t="s">
        <v>26</v>
      </c>
      <c r="D318" s="1108" t="s">
        <v>6552</v>
      </c>
      <c r="E318" s="64" t="str">
        <f>IFERROR(UPPER(IF(C318="CPU",VLOOKUP(D318,#REF!,2,0),IF(C318="SINAPI",VLOOKUP(D318,#REF!,2,0),IF(C318="EDIF",VLOOKUP(D318,#REF!,2,0),IF(C318="CPOS",VLOOKUP(D318,#REF!,3,0),IF(C318="FDE",VLOOKUP(D318,#REF!,2,0),IF(C318="INFRA",VLOOKUP(D318,#REF!,2,0),""))))))),"")</f>
        <v/>
      </c>
      <c r="F318" s="65" t="str">
        <f>IFERROR(UPPER(IF(C318="CPU",VLOOKUP(D318,#REF!,3,0),IF(C318="SINAPI",VLOOKUP(D318,#REF!,3,0),IF(C318="EDIF",VLOOKUP(D318,#REF!,3,0),IF(C318="CPOS",VLOOKUP(D318,#REF!,4,0),IF(C318="FDE",VLOOKUP(D318,#REF!,3,0),IF(C318="INFRA",VLOOKUP(D318,#REF!,3,0),""))))))),"")</f>
        <v/>
      </c>
      <c r="G318" s="66">
        <v>2</v>
      </c>
      <c r="H318" s="67" t="str">
        <f>IFERROR(IF(C318="CPU",VLOOKUP(D318,#REF!,4,0),IF(C318="SINAPI",VLOOKUP(D318,#REF!,5,0),IF(C318="EDIF",VLOOKUP(D318,#REF!,4,0),IF(C318="CPOS",VLOOKUP(D318,#REF!,7,0),IF(C318="FDE",VLOOKUP(D318,#REF!,5,0),IF(C318="INFRA",VLOOKUP(D318,#REF!,4,0),""))))))*VLOOKUP(C318,#REF!,3,0),"")</f>
        <v/>
      </c>
      <c r="I318" s="1106">
        <v>0.25</v>
      </c>
      <c r="J318" s="67" t="e">
        <f t="shared" si="36"/>
        <v>#VALUE!</v>
      </c>
      <c r="K318" s="69" t="e">
        <f t="shared" si="37"/>
        <v>#VALUE!</v>
      </c>
      <c r="L318" s="51"/>
      <c r="M318" s="52"/>
      <c r="N318" s="940"/>
    </row>
    <row r="319" spans="2:14" s="25" customFormat="1" ht="27" customHeight="1">
      <c r="B319" s="61" t="s">
        <v>6553</v>
      </c>
      <c r="C319" s="61" t="s">
        <v>26</v>
      </c>
      <c r="D319" s="1108" t="s">
        <v>630</v>
      </c>
      <c r="E319" s="64" t="str">
        <f>IFERROR(UPPER(IF(C319="CPU",VLOOKUP(D319,#REF!,2,0),IF(C319="SINAPI",VLOOKUP(D319,#REF!,2,0),IF(C319="EDIF",VLOOKUP(D319,#REF!,2,0),IF(C319="CPOS",VLOOKUP(D319,#REF!,3,0),IF(C319="FDE",VLOOKUP(D319,#REF!,2,0),IF(C319="INFRA",VLOOKUP(D319,#REF!,2,0),""))))))),"")</f>
        <v/>
      </c>
      <c r="F319" s="65" t="str">
        <f>IFERROR(UPPER(IF(C319="CPU",VLOOKUP(D319,#REF!,3,0),IF(C319="SINAPI",VLOOKUP(D319,#REF!,3,0),IF(C319="EDIF",VLOOKUP(D319,#REF!,3,0),IF(C319="CPOS",VLOOKUP(D319,#REF!,4,0),IF(C319="FDE",VLOOKUP(D319,#REF!,3,0),IF(C319="INFRA",VLOOKUP(D319,#REF!,3,0),""))))))),"")</f>
        <v/>
      </c>
      <c r="G319" s="66">
        <v>14</v>
      </c>
      <c r="H319" s="67" t="str">
        <f>IFERROR(IF(C319="CPU",VLOOKUP(D319,#REF!,4,0),IF(C319="SINAPI",VLOOKUP(D319,#REF!,5,0),IF(C319="EDIF",VLOOKUP(D319,#REF!,4,0),IF(C319="CPOS",VLOOKUP(D319,#REF!,7,0),IF(C319="FDE",VLOOKUP(D319,#REF!,5,0),IF(C319="INFRA",VLOOKUP(D319,#REF!,4,0),""))))))*VLOOKUP(C319,#REF!,3,0),"")</f>
        <v/>
      </c>
      <c r="I319" s="1106">
        <v>0.25</v>
      </c>
      <c r="J319" s="67" t="e">
        <f t="shared" si="36"/>
        <v>#VALUE!</v>
      </c>
      <c r="K319" s="69" t="e">
        <f t="shared" si="37"/>
        <v>#VALUE!</v>
      </c>
      <c r="L319" s="51"/>
      <c r="M319" s="52"/>
      <c r="N319" s="940"/>
    </row>
    <row r="320" spans="2:14" s="25" customFormat="1" ht="27" customHeight="1">
      <c r="B320" s="61" t="s">
        <v>6554</v>
      </c>
      <c r="C320" s="61" t="s">
        <v>26</v>
      </c>
      <c r="D320" s="1108" t="s">
        <v>665</v>
      </c>
      <c r="E320" s="64" t="str">
        <f>IFERROR(UPPER(IF(C320="CPU",VLOOKUP(D320,#REF!,2,0),IF(C320="SINAPI",VLOOKUP(D320,#REF!,2,0),IF(C320="EDIF",VLOOKUP(D320,#REF!,2,0),IF(C320="CPOS",VLOOKUP(D320,#REF!,3,0),IF(C320="FDE",VLOOKUP(D320,#REF!,2,0),IF(C320="INFRA",VLOOKUP(D320,#REF!,2,0),""))))))),"")</f>
        <v/>
      </c>
      <c r="F320" s="65" t="str">
        <f>IFERROR(UPPER(IF(C320="CPU",VLOOKUP(D320,#REF!,3,0),IF(C320="SINAPI",VLOOKUP(D320,#REF!,3,0),IF(C320="EDIF",VLOOKUP(D320,#REF!,3,0),IF(C320="CPOS",VLOOKUP(D320,#REF!,4,0),IF(C320="FDE",VLOOKUP(D320,#REF!,3,0),IF(C320="INFRA",VLOOKUP(D320,#REF!,3,0),""))))))),"")</f>
        <v/>
      </c>
      <c r="G320" s="66">
        <v>4</v>
      </c>
      <c r="H320" s="67" t="str">
        <f>IFERROR(IF(C320="CPU",VLOOKUP(D320,#REF!,4,0),IF(C320="SINAPI",VLOOKUP(D320,#REF!,5,0),IF(C320="EDIF",VLOOKUP(D320,#REF!,4,0),IF(C320="CPOS",VLOOKUP(D320,#REF!,7,0),IF(C320="FDE",VLOOKUP(D320,#REF!,5,0),IF(C320="INFRA",VLOOKUP(D320,#REF!,4,0),""))))))*VLOOKUP(C320,#REF!,3,0),"")</f>
        <v/>
      </c>
      <c r="I320" s="1106">
        <v>0.25</v>
      </c>
      <c r="J320" s="67" t="e">
        <f t="shared" si="36"/>
        <v>#VALUE!</v>
      </c>
      <c r="K320" s="69" t="e">
        <f t="shared" si="37"/>
        <v>#VALUE!</v>
      </c>
      <c r="L320" s="51"/>
      <c r="M320" s="52"/>
      <c r="N320" s="940"/>
    </row>
    <row r="321" spans="2:14" s="25" customFormat="1" ht="27" customHeight="1">
      <c r="B321" s="61" t="s">
        <v>6555</v>
      </c>
      <c r="C321" s="61" t="s">
        <v>26</v>
      </c>
      <c r="D321" s="1108" t="s">
        <v>6556</v>
      </c>
      <c r="E321" s="64" t="str">
        <f>IFERROR(UPPER(IF(C321="CPU",VLOOKUP(D321,#REF!,2,0),IF(C321="SINAPI",VLOOKUP(D321,#REF!,2,0),IF(C321="EDIF",VLOOKUP(D321,#REF!,2,0),IF(C321="CPOS",VLOOKUP(D321,#REF!,3,0),IF(C321="FDE",VLOOKUP(D321,#REF!,2,0),IF(C321="INFRA",VLOOKUP(D321,#REF!,2,0),""))))))),"")</f>
        <v/>
      </c>
      <c r="F321" s="65" t="str">
        <f>IFERROR(UPPER(IF(C321="CPU",VLOOKUP(D321,#REF!,3,0),IF(C321="SINAPI",VLOOKUP(D321,#REF!,3,0),IF(C321="EDIF",VLOOKUP(D321,#REF!,3,0),IF(C321="CPOS",VLOOKUP(D321,#REF!,4,0),IF(C321="FDE",VLOOKUP(D321,#REF!,3,0),IF(C321="INFRA",VLOOKUP(D321,#REF!,3,0),""))))))),"")</f>
        <v/>
      </c>
      <c r="G321" s="66">
        <v>2</v>
      </c>
      <c r="H321" s="67" t="str">
        <f>IFERROR(IF(C321="CPU",VLOOKUP(D321,#REF!,4,0),IF(C321="SINAPI",VLOOKUP(D321,#REF!,5,0),IF(C321="EDIF",VLOOKUP(D321,#REF!,4,0),IF(C321="CPOS",VLOOKUP(D321,#REF!,7,0),IF(C321="FDE",VLOOKUP(D321,#REF!,5,0),IF(C321="INFRA",VLOOKUP(D321,#REF!,4,0),""))))))*VLOOKUP(C321,#REF!,3,0),"")</f>
        <v/>
      </c>
      <c r="I321" s="1106">
        <v>0.25</v>
      </c>
      <c r="J321" s="67" t="e">
        <f t="shared" si="36"/>
        <v>#VALUE!</v>
      </c>
      <c r="K321" s="69" t="e">
        <f t="shared" si="37"/>
        <v>#VALUE!</v>
      </c>
      <c r="L321" s="51"/>
      <c r="M321" s="52"/>
      <c r="N321" s="940"/>
    </row>
    <row r="322" spans="2:14" s="25" customFormat="1" ht="27" customHeight="1">
      <c r="B322" s="61" t="s">
        <v>6557</v>
      </c>
      <c r="C322" s="61" t="s">
        <v>1479</v>
      </c>
      <c r="D322" s="1108" t="s">
        <v>5810</v>
      </c>
      <c r="E322" s="64" t="str">
        <f>IFERROR(UPPER(IF(C322="CPU",VLOOKUP(D322,#REF!,2,0),IF(C322="SINAPI",VLOOKUP(D322,#REF!,2,0),IF(C322="EDIF",VLOOKUP(D322,#REF!,2,0),IF(C322="CPOS",VLOOKUP(D322,#REF!,3,0),IF(C322="FDE",VLOOKUP(D322,#REF!,2,0),IF(C322="INFRA",VLOOKUP(D322,#REF!,2,0),""))))))),"")</f>
        <v/>
      </c>
      <c r="F322" s="65" t="str">
        <f>IFERROR(UPPER(IF(C322="CPU",VLOOKUP(D322,#REF!,3,0),IF(C322="SINAPI",VLOOKUP(D322,#REF!,3,0),IF(C322="EDIF",VLOOKUP(D322,#REF!,3,0),IF(C322="CPOS",VLOOKUP(D322,#REF!,4,0),IF(C322="FDE",VLOOKUP(D322,#REF!,3,0),IF(C322="INFRA",VLOOKUP(D322,#REF!,3,0),""))))))),"")</f>
        <v/>
      </c>
      <c r="G322" s="66">
        <v>3</v>
      </c>
      <c r="H322" s="67" t="str">
        <f>IFERROR(IF(C322="CPU",VLOOKUP(D322,#REF!,4,0),IF(C322="SINAPI",VLOOKUP(D322,#REF!,5,0),IF(C322="EDIF",VLOOKUP(D322,#REF!,4,0),IF(C322="CPOS",VLOOKUP(D322,#REF!,7,0),IF(C322="FDE",VLOOKUP(D322,#REF!,5,0),IF(C322="INFRA",VLOOKUP(D322,#REF!,4,0),""))))))*VLOOKUP(C322,#REF!,3,0),"")</f>
        <v/>
      </c>
      <c r="I322" s="1106">
        <v>0.25</v>
      </c>
      <c r="J322" s="67" t="e">
        <f t="shared" si="36"/>
        <v>#VALUE!</v>
      </c>
      <c r="K322" s="69" t="e">
        <f t="shared" si="37"/>
        <v>#VALUE!</v>
      </c>
      <c r="L322" s="51"/>
      <c r="M322" s="52"/>
      <c r="N322" s="940"/>
    </row>
    <row r="323" spans="2:14" s="25" customFormat="1" ht="27" customHeight="1">
      <c r="B323" s="61" t="s">
        <v>6558</v>
      </c>
      <c r="C323" s="61" t="s">
        <v>1479</v>
      </c>
      <c r="D323" s="1108" t="s">
        <v>6559</v>
      </c>
      <c r="E323" s="64" t="str">
        <f>IFERROR(UPPER(IF(C323="CPU",VLOOKUP(D323,#REF!,2,0),IF(C323="SINAPI",VLOOKUP(D323,#REF!,2,0),IF(C323="EDIF",VLOOKUP(D323,#REF!,2,0),IF(C323="CPOS",VLOOKUP(D323,#REF!,3,0),IF(C323="FDE",VLOOKUP(D323,#REF!,2,0),IF(C323="INFRA",VLOOKUP(D323,#REF!,2,0),""))))))),"")</f>
        <v/>
      </c>
      <c r="F323" s="65" t="str">
        <f>IFERROR(UPPER(IF(C323="CPU",VLOOKUP(D323,#REF!,3,0),IF(C323="SINAPI",VLOOKUP(D323,#REF!,3,0),IF(C323="EDIF",VLOOKUP(D323,#REF!,3,0),IF(C323="CPOS",VLOOKUP(D323,#REF!,4,0),IF(C323="FDE",VLOOKUP(D323,#REF!,3,0),IF(C323="INFRA",VLOOKUP(D323,#REF!,3,0),""))))))),"")</f>
        <v/>
      </c>
      <c r="G323" s="66">
        <v>3</v>
      </c>
      <c r="H323" s="67" t="str">
        <f>IFERROR(IF(C323="CPU",VLOOKUP(D323,#REF!,4,0),IF(C323="SINAPI",VLOOKUP(D323,#REF!,5,0),IF(C323="EDIF",VLOOKUP(D323,#REF!,4,0),IF(C323="CPOS",VLOOKUP(D323,#REF!,7,0),IF(C323="FDE",VLOOKUP(D323,#REF!,5,0),IF(C323="INFRA",VLOOKUP(D323,#REF!,4,0),""))))))*VLOOKUP(C323,#REF!,3,0),"")</f>
        <v/>
      </c>
      <c r="I323" s="1106">
        <v>0.25</v>
      </c>
      <c r="J323" s="67" t="e">
        <f t="shared" si="36"/>
        <v>#VALUE!</v>
      </c>
      <c r="K323" s="69" t="e">
        <f t="shared" si="37"/>
        <v>#VALUE!</v>
      </c>
      <c r="L323" s="51"/>
      <c r="M323" s="52"/>
      <c r="N323" s="940"/>
    </row>
    <row r="324" spans="2:14" s="25" customFormat="1" ht="27" customHeight="1">
      <c r="B324" s="61" t="s">
        <v>6560</v>
      </c>
      <c r="C324" s="61" t="s">
        <v>1479</v>
      </c>
      <c r="D324" s="1108" t="s">
        <v>5812</v>
      </c>
      <c r="E324" s="64" t="str">
        <f>IFERROR(UPPER(IF(C324="CPU",VLOOKUP(D324,#REF!,2,0),IF(C324="SINAPI",VLOOKUP(D324,#REF!,2,0),IF(C324="EDIF",VLOOKUP(D324,#REF!,2,0),IF(C324="CPOS",VLOOKUP(D324,#REF!,3,0),IF(C324="FDE",VLOOKUP(D324,#REF!,2,0),IF(C324="INFRA",VLOOKUP(D324,#REF!,2,0),""))))))),"")</f>
        <v/>
      </c>
      <c r="F324" s="65" t="str">
        <f>IFERROR(UPPER(IF(C324="CPU",VLOOKUP(D324,#REF!,3,0),IF(C324="SINAPI",VLOOKUP(D324,#REF!,3,0),IF(C324="EDIF",VLOOKUP(D324,#REF!,3,0),IF(C324="CPOS",VLOOKUP(D324,#REF!,4,0),IF(C324="FDE",VLOOKUP(D324,#REF!,3,0),IF(C324="INFRA",VLOOKUP(D324,#REF!,3,0),""))))))),"")</f>
        <v/>
      </c>
      <c r="G324" s="66">
        <v>2</v>
      </c>
      <c r="H324" s="67" t="str">
        <f>IFERROR(IF(C324="CPU",VLOOKUP(D324,#REF!,4,0),IF(C324="SINAPI",VLOOKUP(D324,#REF!,5,0),IF(C324="EDIF",VLOOKUP(D324,#REF!,4,0),IF(C324="CPOS",VLOOKUP(D324,#REF!,7,0),IF(C324="FDE",VLOOKUP(D324,#REF!,5,0),IF(C324="INFRA",VLOOKUP(D324,#REF!,4,0),""))))))*VLOOKUP(C324,#REF!,3,0),"")</f>
        <v/>
      </c>
      <c r="I324" s="1106">
        <v>0.25</v>
      </c>
      <c r="J324" s="67" t="e">
        <f t="shared" si="36"/>
        <v>#VALUE!</v>
      </c>
      <c r="K324" s="69" t="e">
        <f t="shared" si="37"/>
        <v>#VALUE!</v>
      </c>
      <c r="L324" s="51"/>
      <c r="M324" s="52"/>
      <c r="N324" s="940"/>
    </row>
    <row r="325" spans="2:14" s="25" customFormat="1" ht="27" customHeight="1">
      <c r="B325" s="61" t="s">
        <v>6561</v>
      </c>
      <c r="C325" s="61" t="s">
        <v>26</v>
      </c>
      <c r="D325" s="1108" t="s">
        <v>6562</v>
      </c>
      <c r="E325" s="64" t="str">
        <f>IFERROR(UPPER(IF(C325="CPU",VLOOKUP(D325,#REF!,2,0),IF(C325="SINAPI",VLOOKUP(D325,#REF!,2,0),IF(C325="EDIF",VLOOKUP(D325,#REF!,2,0),IF(C325="CPOS",VLOOKUP(D325,#REF!,3,0),IF(C325="FDE",VLOOKUP(D325,#REF!,2,0),IF(C325="INFRA",VLOOKUP(D325,#REF!,2,0),""))))))),"")</f>
        <v/>
      </c>
      <c r="F325" s="65" t="str">
        <f>IFERROR(UPPER(IF(C325="CPU",VLOOKUP(D325,#REF!,3,0),IF(C325="SINAPI",VLOOKUP(D325,#REF!,3,0),IF(C325="EDIF",VLOOKUP(D325,#REF!,3,0),IF(C325="CPOS",VLOOKUP(D325,#REF!,4,0),IF(C325="FDE",VLOOKUP(D325,#REF!,3,0),IF(C325="INFRA",VLOOKUP(D325,#REF!,3,0),""))))))),"")</f>
        <v/>
      </c>
      <c r="G325" s="66">
        <v>1</v>
      </c>
      <c r="H325" s="67" t="str">
        <f>IFERROR(IF(C325="CPU",VLOOKUP(D325,#REF!,4,0),IF(C325="SINAPI",VLOOKUP(D325,#REF!,5,0),IF(C325="EDIF",VLOOKUP(D325,#REF!,4,0),IF(C325="CPOS",VLOOKUP(D325,#REF!,7,0),IF(C325="FDE",VLOOKUP(D325,#REF!,5,0),IF(C325="INFRA",VLOOKUP(D325,#REF!,4,0),""))))))*VLOOKUP(C325,#REF!,3,0),"")</f>
        <v/>
      </c>
      <c r="I325" s="1106">
        <v>0.25</v>
      </c>
      <c r="J325" s="67" t="e">
        <f t="shared" si="36"/>
        <v>#VALUE!</v>
      </c>
      <c r="K325" s="69" t="e">
        <f t="shared" si="37"/>
        <v>#VALUE!</v>
      </c>
      <c r="L325" s="51"/>
      <c r="M325" s="52"/>
      <c r="N325" s="940"/>
    </row>
    <row r="326" spans="2:14" s="25" customFormat="1" ht="27" customHeight="1">
      <c r="B326" s="61" t="s">
        <v>6563</v>
      </c>
      <c r="C326" s="61" t="s">
        <v>4872</v>
      </c>
      <c r="D326" s="1107">
        <v>91250</v>
      </c>
      <c r="E326" s="64" t="str">
        <f>IFERROR(UPPER(IF(C326="CPU",VLOOKUP(D326,#REF!,2,0),IF(C326="SINAPI",VLOOKUP(D326,#REF!,2,0),IF(C326="EDIF",VLOOKUP(D326,#REF!,2,0),IF(C326="CPOS",VLOOKUP(D326,#REF!,3,0),IF(C326="FDE",VLOOKUP(D326,#REF!,2,0),IF(C326="INFRA",VLOOKUP(D326,#REF!,2,0),""))))))),"")</f>
        <v/>
      </c>
      <c r="F326" s="65" t="str">
        <f>IFERROR(UPPER(IF(C326="CPU",VLOOKUP(D326,#REF!,3,0),IF(C326="SINAPI",VLOOKUP(D326,#REF!,3,0),IF(C326="EDIF",VLOOKUP(D326,#REF!,3,0),IF(C326="CPOS",VLOOKUP(D326,#REF!,4,0),IF(C326="FDE",VLOOKUP(D326,#REF!,3,0),IF(C326="INFRA",VLOOKUP(D326,#REF!,3,0),""))))))),"")</f>
        <v/>
      </c>
      <c r="G326" s="66">
        <v>1</v>
      </c>
      <c r="H326" s="67" t="str">
        <f>IFERROR(IF(C326="CPU",VLOOKUP(D326,#REF!,4,0),IF(C326="SINAPI",VLOOKUP(D326,#REF!,5,0),IF(C326="EDIF",VLOOKUP(D326,#REF!,4,0),IF(C326="CPOS",VLOOKUP(D326,#REF!,7,0),IF(C326="FDE",VLOOKUP(D326,#REF!,5,0),IF(C326="INFRA",VLOOKUP(D326,#REF!,4,0),""))))))*VLOOKUP(C326,#REF!,3,0),"")</f>
        <v/>
      </c>
      <c r="I326" s="1106">
        <v>0.25</v>
      </c>
      <c r="J326" s="67" t="e">
        <f t="shared" si="36"/>
        <v>#VALUE!</v>
      </c>
      <c r="K326" s="69" t="e">
        <f t="shared" si="37"/>
        <v>#VALUE!</v>
      </c>
      <c r="L326" s="51"/>
      <c r="M326" s="52"/>
      <c r="N326" s="940"/>
    </row>
    <row r="327" spans="2:14" s="25" customFormat="1" ht="27" customHeight="1">
      <c r="B327" s="61" t="s">
        <v>6564</v>
      </c>
      <c r="C327" s="61" t="s">
        <v>4872</v>
      </c>
      <c r="D327" s="1107">
        <v>90298</v>
      </c>
      <c r="E327" s="64" t="str">
        <f>IFERROR(UPPER(IF(C327="CPU",VLOOKUP(D327,#REF!,2,0),IF(C327="SINAPI",VLOOKUP(D327,#REF!,2,0),IF(C327="EDIF",VLOOKUP(D327,#REF!,2,0),IF(C327="CPOS",VLOOKUP(D327,#REF!,3,0),IF(C327="FDE",VLOOKUP(D327,#REF!,2,0),IF(C327="INFRA",VLOOKUP(D327,#REF!,2,0),""))))))),"")</f>
        <v/>
      </c>
      <c r="F327" s="65" t="str">
        <f>IFERROR(UPPER(IF(C327="CPU",VLOOKUP(D327,#REF!,3,0),IF(C327="SINAPI",VLOOKUP(D327,#REF!,3,0),IF(C327="EDIF",VLOOKUP(D327,#REF!,3,0),IF(C327="CPOS",VLOOKUP(D327,#REF!,4,0),IF(C327="FDE",VLOOKUP(D327,#REF!,3,0),IF(C327="INFRA",VLOOKUP(D327,#REF!,3,0),""))))))),"")</f>
        <v/>
      </c>
      <c r="G327" s="66">
        <v>60</v>
      </c>
      <c r="H327" s="67" t="str">
        <f>IFERROR(IF(C327="CPU",VLOOKUP(D327,#REF!,4,0),IF(C327="SINAPI",VLOOKUP(D327,#REF!,5,0),IF(C327="EDIF",VLOOKUP(D327,#REF!,4,0),IF(C327="CPOS",VLOOKUP(D327,#REF!,7,0),IF(C327="FDE",VLOOKUP(D327,#REF!,5,0),IF(C327="INFRA",VLOOKUP(D327,#REF!,4,0),""))))))*VLOOKUP(C327,#REF!,3,0),"")</f>
        <v/>
      </c>
      <c r="I327" s="1106">
        <v>0.25</v>
      </c>
      <c r="J327" s="67" t="e">
        <f t="shared" si="36"/>
        <v>#VALUE!</v>
      </c>
      <c r="K327" s="69" t="e">
        <f t="shared" si="37"/>
        <v>#VALUE!</v>
      </c>
      <c r="L327" s="51"/>
      <c r="M327" s="52"/>
      <c r="N327" s="940"/>
    </row>
    <row r="328" spans="2:14" s="25" customFormat="1" ht="27" customHeight="1">
      <c r="B328" s="1097" t="s">
        <v>917</v>
      </c>
      <c r="C328" s="1098"/>
      <c r="D328" s="1098"/>
      <c r="E328" s="1099" t="s">
        <v>6565</v>
      </c>
      <c r="F328" s="1100" t="str">
        <f>IFERROR(UPPER(IF(C328="CPU",VLOOKUP(D328,#REF!,3,0),IF(C328="SINAPI",VLOOKUP(D328,#REF!,3,0),IF(C328="EDIF",VLOOKUP(D328,#REF!,3,0),IF(C328="CPOS",VLOOKUP(D328,#REF!,4,0),IF(C328="FDE",VLOOKUP(D328,#REF!,3,0),IF(C328="INFRA",VLOOKUP(D328,#REF!,3,0),""))))))),"")</f>
        <v/>
      </c>
      <c r="G328" s="1101"/>
      <c r="H328" s="1102" t="str">
        <f>IFERROR(IF(C328="CPU",VLOOKUP(D328,#REF!,4,0),IF(C328="SINAPI",VLOOKUP(D328,#REF!,5,0),IF(C328="EDIF",VLOOKUP(D328,#REF!,4,0),IF(C328="CPOS",VLOOKUP(D328,#REF!,7,0),IF(C328="FDE",VLOOKUP(D328,#REF!,5,0),IF(C328="INFRA",VLOOKUP(D328,#REF!,4,0),""))))))*VLOOKUP(C328,#REF!,3,0),"")</f>
        <v/>
      </c>
      <c r="I328" s="1103"/>
      <c r="J328" s="1103"/>
      <c r="K328" s="1104"/>
      <c r="L328" s="51"/>
      <c r="M328" s="52"/>
      <c r="N328" s="940"/>
    </row>
    <row r="329" spans="2:14" s="25" customFormat="1" ht="27" customHeight="1">
      <c r="B329" s="61" t="s">
        <v>920</v>
      </c>
      <c r="C329" s="61" t="s">
        <v>4872</v>
      </c>
      <c r="D329" s="1107">
        <v>90694</v>
      </c>
      <c r="E329" s="64" t="str">
        <f>IFERROR(UPPER(IF(C329="CPU",VLOOKUP(D329,#REF!,2,0),IF(C329="SINAPI",VLOOKUP(D329,#REF!,2,0),IF(C329="EDIF",VLOOKUP(D329,#REF!,2,0),IF(C329="CPOS",VLOOKUP(D329,#REF!,3,0),IF(C329="FDE",VLOOKUP(D329,#REF!,2,0),IF(C329="INFRA",VLOOKUP(D329,#REF!,2,0),""))))))),"")</f>
        <v/>
      </c>
      <c r="F329" s="65" t="str">
        <f>IFERROR(UPPER(IF(C329="CPU",VLOOKUP(D329,#REF!,3,0),IF(C329="SINAPI",VLOOKUP(D329,#REF!,3,0),IF(C329="EDIF",VLOOKUP(D329,#REF!,3,0),IF(C329="CPOS",VLOOKUP(D329,#REF!,4,0),IF(C329="FDE",VLOOKUP(D329,#REF!,3,0),IF(C329="INFRA",VLOOKUP(D329,#REF!,3,0),""))))))),"")</f>
        <v/>
      </c>
      <c r="G329" s="66">
        <v>400</v>
      </c>
      <c r="H329" s="67" t="str">
        <f>IFERROR(IF(C329="CPU",VLOOKUP(D329,#REF!,4,0),IF(C329="SINAPI",VLOOKUP(D329,#REF!,5,0),IF(C329="EDIF",VLOOKUP(D329,#REF!,4,0),IF(C329="CPOS",VLOOKUP(D329,#REF!,7,0),IF(C329="FDE",VLOOKUP(D329,#REF!,5,0),IF(C329="INFRA",VLOOKUP(D329,#REF!,4,0),""))))))*VLOOKUP(C329,#REF!,3,0),"")</f>
        <v/>
      </c>
      <c r="I329" s="1106">
        <v>0.25</v>
      </c>
      <c r="J329" s="67" t="e">
        <f t="shared" ref="J329:J338" si="38">ROUND(H329*(1+I329),2)</f>
        <v>#VALUE!</v>
      </c>
      <c r="K329" s="69" t="e">
        <f t="shared" ref="K329:K338" si="39">SUM(G329*J329)</f>
        <v>#VALUE!</v>
      </c>
      <c r="L329" s="51"/>
      <c r="M329" s="52"/>
      <c r="N329" s="940"/>
    </row>
    <row r="330" spans="2:14" s="25" customFormat="1" ht="27" customHeight="1">
      <c r="B330" s="61" t="s">
        <v>6566</v>
      </c>
      <c r="C330" s="61" t="s">
        <v>4872</v>
      </c>
      <c r="D330" s="1107">
        <v>90695</v>
      </c>
      <c r="E330" s="64" t="str">
        <f>IFERROR(UPPER(IF(C330="CPU",VLOOKUP(D330,#REF!,2,0),IF(C330="SINAPI",VLOOKUP(D330,#REF!,2,0),IF(C330="EDIF",VLOOKUP(D330,#REF!,2,0),IF(C330="CPOS",VLOOKUP(D330,#REF!,3,0),IF(C330="FDE",VLOOKUP(D330,#REF!,2,0),IF(C330="INFRA",VLOOKUP(D330,#REF!,2,0),""))))))),"")</f>
        <v/>
      </c>
      <c r="F330" s="65" t="str">
        <f>IFERROR(UPPER(IF(C330="CPU",VLOOKUP(D330,#REF!,3,0),IF(C330="SINAPI",VLOOKUP(D330,#REF!,3,0),IF(C330="EDIF",VLOOKUP(D330,#REF!,3,0),IF(C330="CPOS",VLOOKUP(D330,#REF!,4,0),IF(C330="FDE",VLOOKUP(D330,#REF!,3,0),IF(C330="INFRA",VLOOKUP(D330,#REF!,3,0),""))))))),"")</f>
        <v/>
      </c>
      <c r="G330" s="66">
        <v>200</v>
      </c>
      <c r="H330" s="67" t="str">
        <f>IFERROR(IF(C330="CPU",VLOOKUP(D330,#REF!,4,0),IF(C330="SINAPI",VLOOKUP(D330,#REF!,5,0),IF(C330="EDIF",VLOOKUP(D330,#REF!,4,0),IF(C330="CPOS",VLOOKUP(D330,#REF!,7,0),IF(C330="FDE",VLOOKUP(D330,#REF!,5,0),IF(C330="INFRA",VLOOKUP(D330,#REF!,4,0),""))))))*VLOOKUP(C330,#REF!,3,0),"")</f>
        <v/>
      </c>
      <c r="I330" s="1106">
        <v>0.25</v>
      </c>
      <c r="J330" s="67" t="e">
        <f t="shared" si="38"/>
        <v>#VALUE!</v>
      </c>
      <c r="K330" s="69" t="e">
        <f t="shared" si="39"/>
        <v>#VALUE!</v>
      </c>
      <c r="L330" s="51"/>
      <c r="M330" s="52"/>
      <c r="N330" s="940"/>
    </row>
    <row r="331" spans="2:14" s="25" customFormat="1" ht="27" customHeight="1">
      <c r="B331" s="61" t="s">
        <v>5126</v>
      </c>
      <c r="C331" s="61" t="s">
        <v>4872</v>
      </c>
      <c r="D331" s="1107">
        <v>91115</v>
      </c>
      <c r="E331" s="64" t="str">
        <f>IFERROR(UPPER(IF(C331="CPU",VLOOKUP(D331,#REF!,2,0),IF(C331="SINAPI",VLOOKUP(D331,#REF!,2,0),IF(C331="EDIF",VLOOKUP(D331,#REF!,2,0),IF(C331="CPOS",VLOOKUP(D331,#REF!,3,0),IF(C331="FDE",VLOOKUP(D331,#REF!,2,0),IF(C331="INFRA",VLOOKUP(D331,#REF!,2,0),""))))))),"")</f>
        <v/>
      </c>
      <c r="F331" s="65" t="str">
        <f>IFERROR(UPPER(IF(C331="CPU",VLOOKUP(D331,#REF!,3,0),IF(C331="SINAPI",VLOOKUP(D331,#REF!,3,0),IF(C331="EDIF",VLOOKUP(D331,#REF!,3,0),IF(C331="CPOS",VLOOKUP(D331,#REF!,4,0),IF(C331="FDE",VLOOKUP(D331,#REF!,3,0),IF(C331="INFRA",VLOOKUP(D331,#REF!,3,0),""))))))),"")</f>
        <v/>
      </c>
      <c r="G331" s="66">
        <v>20</v>
      </c>
      <c r="H331" s="67" t="str">
        <f>IFERROR(IF(C331="CPU",VLOOKUP(D331,#REF!,4,0),IF(C331="SINAPI",VLOOKUP(D331,#REF!,5,0),IF(C331="EDIF",VLOOKUP(D331,#REF!,4,0),IF(C331="CPOS",VLOOKUP(D331,#REF!,7,0),IF(C331="FDE",VLOOKUP(D331,#REF!,5,0),IF(C331="INFRA",VLOOKUP(D331,#REF!,4,0),""))))))*VLOOKUP(C331,#REF!,3,0),"")</f>
        <v/>
      </c>
      <c r="I331" s="1106">
        <v>0.25</v>
      </c>
      <c r="J331" s="67" t="e">
        <f t="shared" si="38"/>
        <v>#VALUE!</v>
      </c>
      <c r="K331" s="69" t="e">
        <f t="shared" si="39"/>
        <v>#VALUE!</v>
      </c>
      <c r="L331" s="51"/>
      <c r="M331" s="52"/>
      <c r="N331" s="940"/>
    </row>
    <row r="332" spans="2:14" s="25" customFormat="1" ht="27" customHeight="1">
      <c r="B332" s="61" t="s">
        <v>5134</v>
      </c>
      <c r="C332" s="61" t="s">
        <v>1479</v>
      </c>
      <c r="D332" s="1108" t="s">
        <v>6567</v>
      </c>
      <c r="E332" s="64" t="str">
        <f>IFERROR(UPPER(IF(C332="CPU",VLOOKUP(D332,#REF!,2,0),IF(C332="SINAPI",VLOOKUP(D332,#REF!,2,0),IF(C332="EDIF",VLOOKUP(D332,#REF!,2,0),IF(C332="CPOS",VLOOKUP(D332,#REF!,3,0),IF(C332="FDE",VLOOKUP(D332,#REF!,2,0),IF(C332="INFRA",VLOOKUP(D332,#REF!,2,0),""))))))),"")</f>
        <v/>
      </c>
      <c r="F332" s="65" t="str">
        <f>IFERROR(UPPER(IF(C332="CPU",VLOOKUP(D332,#REF!,3,0),IF(C332="SINAPI",VLOOKUP(D332,#REF!,3,0),IF(C332="EDIF",VLOOKUP(D332,#REF!,3,0),IF(C332="CPOS",VLOOKUP(D332,#REF!,4,0),IF(C332="FDE",VLOOKUP(D332,#REF!,3,0),IF(C332="INFRA",VLOOKUP(D332,#REF!,3,0),""))))))),"")</f>
        <v/>
      </c>
      <c r="G332" s="66">
        <f>7*20</f>
        <v>140</v>
      </c>
      <c r="H332" s="67" t="str">
        <f>IFERROR(IF(C332="CPU",VLOOKUP(D332,#REF!,4,0),IF(C332="SINAPI",VLOOKUP(D332,#REF!,5,0),IF(C332="EDIF",VLOOKUP(D332,#REF!,4,0),IF(C332="CPOS",VLOOKUP(D332,#REF!,7,0),IF(C332="FDE",VLOOKUP(D332,#REF!,5,0),IF(C332="INFRA",VLOOKUP(D332,#REF!,4,0),""))))))*VLOOKUP(C332,#REF!,3,0),"")</f>
        <v/>
      </c>
      <c r="I332" s="1106">
        <v>0.25</v>
      </c>
      <c r="J332" s="67" t="e">
        <f t="shared" si="38"/>
        <v>#VALUE!</v>
      </c>
      <c r="K332" s="69" t="e">
        <f t="shared" si="39"/>
        <v>#VALUE!</v>
      </c>
      <c r="L332" s="51"/>
      <c r="M332" s="52"/>
      <c r="N332" s="940"/>
    </row>
    <row r="333" spans="2:14" s="25" customFormat="1" ht="27" customHeight="1">
      <c r="B333" s="61" t="s">
        <v>5136</v>
      </c>
      <c r="C333" s="61" t="s">
        <v>1479</v>
      </c>
      <c r="D333" s="1108" t="s">
        <v>6568</v>
      </c>
      <c r="E333" s="64" t="str">
        <f>IFERROR(UPPER(IF(C333="CPU",VLOOKUP(D333,#REF!,2,0),IF(C333="SINAPI",VLOOKUP(D333,#REF!,2,0),IF(C333="EDIF",VLOOKUP(D333,#REF!,2,0),IF(C333="CPOS",VLOOKUP(D333,#REF!,3,0),IF(C333="FDE",VLOOKUP(D333,#REF!,2,0),IF(C333="INFRA",VLOOKUP(D333,#REF!,2,0),""))))))),"")</f>
        <v/>
      </c>
      <c r="F333" s="65" t="str">
        <f>IFERROR(UPPER(IF(C333="CPU",VLOOKUP(D333,#REF!,3,0),IF(C333="SINAPI",VLOOKUP(D333,#REF!,3,0),IF(C333="EDIF",VLOOKUP(D333,#REF!,3,0),IF(C333="CPOS",VLOOKUP(D333,#REF!,4,0),IF(C333="FDE",VLOOKUP(D333,#REF!,3,0),IF(C333="INFRA",VLOOKUP(D333,#REF!,3,0),""))))))),"")</f>
        <v/>
      </c>
      <c r="G333" s="66">
        <v>20</v>
      </c>
      <c r="H333" s="67" t="str">
        <f>IFERROR(IF(C333="CPU",VLOOKUP(D333,#REF!,4,0),IF(C333="SINAPI",VLOOKUP(D333,#REF!,5,0),IF(C333="EDIF",VLOOKUP(D333,#REF!,4,0),IF(C333="CPOS",VLOOKUP(D333,#REF!,7,0),IF(C333="FDE",VLOOKUP(D333,#REF!,5,0),IF(C333="INFRA",VLOOKUP(D333,#REF!,4,0),""))))))*VLOOKUP(C333,#REF!,3,0),"")</f>
        <v/>
      </c>
      <c r="I333" s="1106">
        <v>0.25</v>
      </c>
      <c r="J333" s="67" t="e">
        <f t="shared" si="38"/>
        <v>#VALUE!</v>
      </c>
      <c r="K333" s="69" t="e">
        <f t="shared" si="39"/>
        <v>#VALUE!</v>
      </c>
      <c r="L333" s="51"/>
      <c r="M333" s="52"/>
      <c r="N333" s="940"/>
    </row>
    <row r="334" spans="2:14" s="25" customFormat="1" ht="27" customHeight="1">
      <c r="B334" s="61" t="s">
        <v>6569</v>
      </c>
      <c r="C334" s="61" t="s">
        <v>1479</v>
      </c>
      <c r="D334" s="1108" t="s">
        <v>6570</v>
      </c>
      <c r="E334" s="64" t="str">
        <f>IFERROR(UPPER(IF(C334="CPU",VLOOKUP(D334,#REF!,2,0),IF(C334="SINAPI",VLOOKUP(D334,#REF!,2,0),IF(C334="EDIF",VLOOKUP(D334,#REF!,2,0),IF(C334="CPOS",VLOOKUP(D334,#REF!,3,0),IF(C334="FDE",VLOOKUP(D334,#REF!,2,0),IF(C334="INFRA",VLOOKUP(D334,#REF!,2,0),""))))))),"")</f>
        <v/>
      </c>
      <c r="F334" s="65" t="str">
        <f>IFERROR(UPPER(IF(C334="CPU",VLOOKUP(D334,#REF!,3,0),IF(C334="SINAPI",VLOOKUP(D334,#REF!,3,0),IF(C334="EDIF",VLOOKUP(D334,#REF!,3,0),IF(C334="CPOS",VLOOKUP(D334,#REF!,4,0),IF(C334="FDE",VLOOKUP(D334,#REF!,3,0),IF(C334="INFRA",VLOOKUP(D334,#REF!,3,0),""))))))),"")</f>
        <v/>
      </c>
      <c r="G334" s="66">
        <f>G332*5</f>
        <v>700</v>
      </c>
      <c r="H334" s="67" t="str">
        <f>IFERROR(IF(C334="CPU",VLOOKUP(D334,#REF!,4,0),IF(C334="SINAPI",VLOOKUP(D334,#REF!,5,0),IF(C334="EDIF",VLOOKUP(D334,#REF!,4,0),IF(C334="CPOS",VLOOKUP(D334,#REF!,7,0),IF(C334="FDE",VLOOKUP(D334,#REF!,5,0),IF(C334="INFRA",VLOOKUP(D334,#REF!,4,0),""))))))*VLOOKUP(C334,#REF!,3,0),"")</f>
        <v/>
      </c>
      <c r="I334" s="1106">
        <v>0.25</v>
      </c>
      <c r="J334" s="67" t="e">
        <f t="shared" si="38"/>
        <v>#VALUE!</v>
      </c>
      <c r="K334" s="69" t="e">
        <f t="shared" si="39"/>
        <v>#VALUE!</v>
      </c>
      <c r="L334" s="51"/>
      <c r="M334" s="52"/>
      <c r="N334" s="940"/>
    </row>
    <row r="335" spans="2:14" s="25" customFormat="1" ht="27" customHeight="1">
      <c r="B335" s="61" t="s">
        <v>6571</v>
      </c>
      <c r="C335" s="61" t="s">
        <v>1479</v>
      </c>
      <c r="D335" s="1108" t="s">
        <v>6572</v>
      </c>
      <c r="E335" s="64" t="str">
        <f>IFERROR(UPPER(IF(C335="CPU",VLOOKUP(D335,#REF!,2,0),IF(C335="SINAPI",VLOOKUP(D335,#REF!,2,0),IF(C335="EDIF",VLOOKUP(D335,#REF!,2,0),IF(C335="CPOS",VLOOKUP(D335,#REF!,3,0),IF(C335="FDE",VLOOKUP(D335,#REF!,2,0),IF(C335="INFRA",VLOOKUP(D335,#REF!,2,0),""))))))),"")</f>
        <v/>
      </c>
      <c r="F335" s="65" t="str">
        <f>IFERROR(UPPER(IF(C335="CPU",VLOOKUP(D335,#REF!,3,0),IF(C335="SINAPI",VLOOKUP(D335,#REF!,3,0),IF(C335="EDIF",VLOOKUP(D335,#REF!,3,0),IF(C335="CPOS",VLOOKUP(D335,#REF!,4,0),IF(C335="FDE",VLOOKUP(D335,#REF!,3,0),IF(C335="INFRA",VLOOKUP(D335,#REF!,3,0),""))))))),"")</f>
        <v/>
      </c>
      <c r="G335" s="66">
        <v>1</v>
      </c>
      <c r="H335" s="67" t="str">
        <f>IFERROR(IF(C335="CPU",VLOOKUP(D335,#REF!,4,0),IF(C335="SINAPI",VLOOKUP(D335,#REF!,5,0),IF(C335="EDIF",VLOOKUP(D335,#REF!,4,0),IF(C335="CPOS",VLOOKUP(D335,#REF!,7,0),IF(C335="FDE",VLOOKUP(D335,#REF!,5,0),IF(C335="INFRA",VLOOKUP(D335,#REF!,4,0),""))))))*VLOOKUP(C335,#REF!,3,0),"")</f>
        <v/>
      </c>
      <c r="I335" s="1106">
        <v>0.25</v>
      </c>
      <c r="J335" s="67" t="e">
        <f t="shared" si="38"/>
        <v>#VALUE!</v>
      </c>
      <c r="K335" s="69" t="e">
        <f t="shared" si="39"/>
        <v>#VALUE!</v>
      </c>
      <c r="L335" s="51"/>
      <c r="M335" s="52"/>
      <c r="N335" s="940"/>
    </row>
    <row r="336" spans="2:14" s="25" customFormat="1" ht="27" customHeight="1">
      <c r="B336" s="61" t="s">
        <v>6573</v>
      </c>
      <c r="C336" s="61" t="s">
        <v>1479</v>
      </c>
      <c r="D336" s="1108" t="s">
        <v>6574</v>
      </c>
      <c r="E336" s="64" t="str">
        <f>IFERROR(UPPER(IF(C336="CPU",VLOOKUP(D336,#REF!,2,0),IF(C336="SINAPI",VLOOKUP(D336,#REF!,2,0),IF(C336="EDIF",VLOOKUP(D336,#REF!,2,0),IF(C336="CPOS",VLOOKUP(D336,#REF!,3,0),IF(C336="FDE",VLOOKUP(D336,#REF!,2,0),IF(C336="INFRA",VLOOKUP(D336,#REF!,2,0),""))))))),"")</f>
        <v/>
      </c>
      <c r="F336" s="65" t="str">
        <f>IFERROR(UPPER(IF(C336="CPU",VLOOKUP(D336,#REF!,3,0),IF(C336="SINAPI",VLOOKUP(D336,#REF!,3,0),IF(C336="EDIF",VLOOKUP(D336,#REF!,3,0),IF(C336="CPOS",VLOOKUP(D336,#REF!,4,0),IF(C336="FDE",VLOOKUP(D336,#REF!,3,0),IF(C336="INFRA",VLOOKUP(D336,#REF!,3,0),""))))))),"")</f>
        <v/>
      </c>
      <c r="G336" s="66">
        <v>20</v>
      </c>
      <c r="H336" s="67" t="str">
        <f>IFERROR(IF(C336="CPU",VLOOKUP(D336,#REF!,4,0),IF(C336="SINAPI",VLOOKUP(D336,#REF!,5,0),IF(C336="EDIF",VLOOKUP(D336,#REF!,4,0),IF(C336="CPOS",VLOOKUP(D336,#REF!,7,0),IF(C336="FDE",VLOOKUP(D336,#REF!,5,0),IF(C336="INFRA",VLOOKUP(D336,#REF!,4,0),""))))))*VLOOKUP(C336,#REF!,3,0),"")</f>
        <v/>
      </c>
      <c r="I336" s="1106">
        <v>0.25</v>
      </c>
      <c r="J336" s="67" t="e">
        <f t="shared" si="38"/>
        <v>#VALUE!</v>
      </c>
      <c r="K336" s="69" t="e">
        <f t="shared" si="39"/>
        <v>#VALUE!</v>
      </c>
      <c r="L336" s="51"/>
      <c r="M336" s="52"/>
      <c r="N336" s="940"/>
    </row>
    <row r="337" spans="2:14" s="25" customFormat="1" ht="27" customHeight="1">
      <c r="B337" s="61" t="s">
        <v>6575</v>
      </c>
      <c r="C337" s="61" t="s">
        <v>1479</v>
      </c>
      <c r="D337" s="1108" t="s">
        <v>6576</v>
      </c>
      <c r="E337" s="64" t="str">
        <f>IFERROR(UPPER(IF(C337="CPU",VLOOKUP(D337,#REF!,2,0),IF(C337="SINAPI",VLOOKUP(D337,#REF!,2,0),IF(C337="EDIF",VLOOKUP(D337,#REF!,2,0),IF(C337="CPOS",VLOOKUP(D337,#REF!,3,0),IF(C337="FDE",VLOOKUP(D337,#REF!,2,0),IF(C337="INFRA",VLOOKUP(D337,#REF!,2,0),""))))))),"")</f>
        <v/>
      </c>
      <c r="F337" s="65" t="str">
        <f>IFERROR(UPPER(IF(C337="CPU",VLOOKUP(D337,#REF!,3,0),IF(C337="SINAPI",VLOOKUP(D337,#REF!,3,0),IF(C337="EDIF",VLOOKUP(D337,#REF!,3,0),IF(C337="CPOS",VLOOKUP(D337,#REF!,4,0),IF(C337="FDE",VLOOKUP(D337,#REF!,3,0),IF(C337="INFRA",VLOOKUP(D337,#REF!,3,0),""))))))),"")</f>
        <v/>
      </c>
      <c r="G337" s="66">
        <v>20</v>
      </c>
      <c r="H337" s="67" t="str">
        <f>IFERROR(IF(C337="CPU",VLOOKUP(D337,#REF!,4,0),IF(C337="SINAPI",VLOOKUP(D337,#REF!,5,0),IF(C337="EDIF",VLOOKUP(D337,#REF!,4,0),IF(C337="CPOS",VLOOKUP(D337,#REF!,7,0),IF(C337="FDE",VLOOKUP(D337,#REF!,5,0),IF(C337="INFRA",VLOOKUP(D337,#REF!,4,0),""))))))*VLOOKUP(C337,#REF!,3,0),"")</f>
        <v/>
      </c>
      <c r="I337" s="1106">
        <v>0.25</v>
      </c>
      <c r="J337" s="67" t="e">
        <f t="shared" si="38"/>
        <v>#VALUE!</v>
      </c>
      <c r="K337" s="69" t="e">
        <f t="shared" si="39"/>
        <v>#VALUE!</v>
      </c>
      <c r="L337" s="51"/>
      <c r="M337" s="52"/>
      <c r="N337" s="940"/>
    </row>
    <row r="338" spans="2:14" s="25" customFormat="1" ht="27" customHeight="1">
      <c r="B338" s="61" t="s">
        <v>6577</v>
      </c>
      <c r="C338" s="61" t="s">
        <v>1479</v>
      </c>
      <c r="D338" s="1108" t="s">
        <v>6578</v>
      </c>
      <c r="E338" s="64" t="str">
        <f>IFERROR(UPPER(IF(C338="CPU",VLOOKUP(D338,#REF!,2,0),IF(C338="SINAPI",VLOOKUP(D338,#REF!,2,0),IF(C338="EDIF",VLOOKUP(D338,#REF!,2,0),IF(C338="CPOS",VLOOKUP(D338,#REF!,3,0),IF(C338="FDE",VLOOKUP(D338,#REF!,2,0),IF(C338="INFRA",VLOOKUP(D338,#REF!,2,0),""))))))),"")</f>
        <v/>
      </c>
      <c r="F338" s="65" t="str">
        <f>IFERROR(UPPER(IF(C338="CPU",VLOOKUP(D338,#REF!,3,0),IF(C338="SINAPI",VLOOKUP(D338,#REF!,3,0),IF(C338="EDIF",VLOOKUP(D338,#REF!,3,0),IF(C338="CPOS",VLOOKUP(D338,#REF!,4,0),IF(C338="FDE",VLOOKUP(D338,#REF!,3,0),IF(C338="INFRA",VLOOKUP(D338,#REF!,3,0),""))))))),"")</f>
        <v/>
      </c>
      <c r="G338" s="66">
        <v>1</v>
      </c>
      <c r="H338" s="67" t="str">
        <f>IFERROR(IF(C338="CPU",VLOOKUP(D338,#REF!,4,0),IF(C338="SINAPI",VLOOKUP(D338,#REF!,5,0),IF(C338="EDIF",VLOOKUP(D338,#REF!,4,0),IF(C338="CPOS",VLOOKUP(D338,#REF!,7,0),IF(C338="FDE",VLOOKUP(D338,#REF!,5,0),IF(C338="INFRA",VLOOKUP(D338,#REF!,4,0),""))))))*VLOOKUP(C338,#REF!,3,0),"")</f>
        <v/>
      </c>
      <c r="I338" s="1106">
        <v>0.25</v>
      </c>
      <c r="J338" s="67" t="e">
        <f t="shared" si="38"/>
        <v>#VALUE!</v>
      </c>
      <c r="K338" s="69" t="e">
        <f t="shared" si="39"/>
        <v>#VALUE!</v>
      </c>
      <c r="L338" s="51"/>
      <c r="M338" s="52"/>
      <c r="N338" s="940"/>
    </row>
    <row r="339" spans="2:14" s="25" customFormat="1" ht="27" customHeight="1">
      <c r="B339" s="1097" t="s">
        <v>5141</v>
      </c>
      <c r="C339" s="1098"/>
      <c r="D339" s="1098"/>
      <c r="E339" s="1099" t="s">
        <v>6579</v>
      </c>
      <c r="F339" s="1100" t="str">
        <f>IFERROR(UPPER(IF(C339="CPU",VLOOKUP(D339,#REF!,3,0),IF(C339="SINAPI",VLOOKUP(D339,#REF!,3,0),IF(C339="EDIF",VLOOKUP(D339,#REF!,3,0),IF(C339="CPOS",VLOOKUP(D339,#REF!,4,0),IF(C339="FDE",VLOOKUP(D339,#REF!,3,0),IF(C339="INFRA",VLOOKUP(D339,#REF!,3,0),""))))))),"")</f>
        <v/>
      </c>
      <c r="G339" s="1101"/>
      <c r="H339" s="1102" t="str">
        <f>IFERROR(IF(C339="CPU",VLOOKUP(D339,#REF!,4,0),IF(C339="SINAPI",VLOOKUP(D339,#REF!,5,0),IF(C339="EDIF",VLOOKUP(D339,#REF!,4,0),IF(C339="CPOS",VLOOKUP(D339,#REF!,7,0),IF(C339="FDE",VLOOKUP(D339,#REF!,5,0),IF(C339="INFRA",VLOOKUP(D339,#REF!,4,0),""))))))*VLOOKUP(C339,#REF!,3,0),"")</f>
        <v/>
      </c>
      <c r="I339" s="1103"/>
      <c r="J339" s="1103"/>
      <c r="K339" s="1104"/>
      <c r="L339" s="51"/>
      <c r="M339" s="52"/>
      <c r="N339" s="940"/>
    </row>
    <row r="340" spans="2:14" s="25" customFormat="1" ht="27" customHeight="1">
      <c r="B340" s="61" t="s">
        <v>5144</v>
      </c>
      <c r="C340" s="61" t="s">
        <v>1479</v>
      </c>
      <c r="D340" s="1107" t="s">
        <v>6580</v>
      </c>
      <c r="E340" s="64" t="str">
        <f>IFERROR(UPPER(IF(C340="CPU",VLOOKUP(D340,#REF!,2,0),IF(C340="SINAPI",VLOOKUP(D340,#REF!,2,0),IF(C340="EDIF",VLOOKUP(D340,#REF!,2,0),IF(C340="CPOS",VLOOKUP(D340,#REF!,3,0),IF(C340="FDE",VLOOKUP(D340,#REF!,2,0),IF(C340="INFRA",VLOOKUP(D340,#REF!,2,0),""))))))),"")</f>
        <v/>
      </c>
      <c r="F340" s="65" t="str">
        <f>IFERROR(UPPER(IF(C340="CPU",VLOOKUP(D340,#REF!,3,0),IF(C340="SINAPI",VLOOKUP(D340,#REF!,3,0),IF(C340="EDIF",VLOOKUP(D340,#REF!,3,0),IF(C340="CPOS",VLOOKUP(D340,#REF!,4,0),IF(C340="FDE",VLOOKUP(D340,#REF!,3,0),IF(C340="INFRA",VLOOKUP(D340,#REF!,3,0),""))))))),"")</f>
        <v/>
      </c>
      <c r="G340" s="66">
        <v>2</v>
      </c>
      <c r="H340" s="67" t="str">
        <f>IFERROR(IF(C340="CPU",VLOOKUP(D340,#REF!,4,0),IF(C340="SINAPI",VLOOKUP(D340,#REF!,5,0),IF(C340="EDIF",VLOOKUP(D340,#REF!,4,0),IF(C340="CPOS",VLOOKUP(D340,#REF!,7,0),IF(C340="FDE",VLOOKUP(D340,#REF!,5,0),IF(C340="INFRA",VLOOKUP(D340,#REF!,4,0),""))))))*VLOOKUP(C340,#REF!,3,0),"")</f>
        <v/>
      </c>
      <c r="I340" s="1106">
        <v>0.25</v>
      </c>
      <c r="J340" s="67" t="e">
        <f t="shared" ref="J340:J346" si="40">ROUND(H340*(1+I340),2)</f>
        <v>#VALUE!</v>
      </c>
      <c r="K340" s="69" t="e">
        <f t="shared" ref="K340:K346" si="41">SUM(G340*J340)</f>
        <v>#VALUE!</v>
      </c>
      <c r="L340" s="51"/>
      <c r="M340" s="52"/>
      <c r="N340" s="940"/>
    </row>
    <row r="341" spans="2:14" s="25" customFormat="1" ht="27" customHeight="1">
      <c r="B341" s="61" t="s">
        <v>5147</v>
      </c>
      <c r="C341" s="61" t="s">
        <v>4908</v>
      </c>
      <c r="D341" s="65" t="s">
        <v>6581</v>
      </c>
      <c r="E341" s="64" t="str">
        <f>IFERROR(UPPER(IF(C341="CPU",VLOOKUP(D341,#REF!,2,0),IF(C341="SINAPI",VLOOKUP(D341,#REF!,2,0),IF(C341="EDIF",VLOOKUP(D341,#REF!,2,0),IF(C341="CPOS",VLOOKUP(D341,#REF!,3,0),IF(C341="FDE",VLOOKUP(D341,#REF!,2,0),IF(C341="INFRA",VLOOKUP(D341,#REF!,2,0),""))))))),"")</f>
        <v/>
      </c>
      <c r="F341" s="65" t="str">
        <f>IFERROR(UPPER(IF(C341="CPU",VLOOKUP(D341,#REF!,3,0),IF(C341="SINAPI",VLOOKUP(D341,#REF!,3,0),IF(C341="EDIF",VLOOKUP(D341,#REF!,3,0),IF(C341="CPOS",VLOOKUP(D341,#REF!,4,0),IF(C341="FDE",VLOOKUP(D341,#REF!,3,0),IF(C341="INFRA",VLOOKUP(D341,#REF!,3,0),""))))))),"")</f>
        <v/>
      </c>
      <c r="G341" s="66">
        <v>70</v>
      </c>
      <c r="H341" s="67" t="str">
        <f>IFERROR(IF(C341="CPU",VLOOKUP(D341,#REF!,4,0),IF(C341="SINAPI",VLOOKUP(D341,#REF!,5,0),IF(C341="EDIF",VLOOKUP(D341,#REF!,4,0),IF(C341="CPOS",VLOOKUP(D341,#REF!,7,0),IF(C341="FDE",VLOOKUP(D341,#REF!,5,0),IF(C341="INFRA",VLOOKUP(D341,#REF!,4,0),""))))))*VLOOKUP(C341,#REF!,3,0),"")</f>
        <v/>
      </c>
      <c r="I341" s="1106">
        <v>0.25</v>
      </c>
      <c r="J341" s="67" t="e">
        <f t="shared" si="40"/>
        <v>#VALUE!</v>
      </c>
      <c r="K341" s="69" t="e">
        <f t="shared" si="41"/>
        <v>#VALUE!</v>
      </c>
      <c r="L341" s="51"/>
      <c r="M341" s="52"/>
      <c r="N341" s="940"/>
    </row>
    <row r="342" spans="2:14" s="25" customFormat="1" ht="27" customHeight="1">
      <c r="B342" s="61" t="s">
        <v>5150</v>
      </c>
      <c r="C342" s="61" t="s">
        <v>4872</v>
      </c>
      <c r="D342" s="1107">
        <v>90715</v>
      </c>
      <c r="E342" s="64" t="str">
        <f>IFERROR(UPPER(IF(C342="CPU",VLOOKUP(D342,#REF!,2,0),IF(C342="SINAPI",VLOOKUP(D342,#REF!,2,0),IF(C342="EDIF",VLOOKUP(D342,#REF!,2,0),IF(C342="CPOS",VLOOKUP(D342,#REF!,3,0),IF(C342="FDE",VLOOKUP(D342,#REF!,2,0),IF(C342="INFRA",VLOOKUP(D342,#REF!,2,0),""))))))),"")</f>
        <v/>
      </c>
      <c r="F342" s="65" t="str">
        <f>IFERROR(UPPER(IF(C342="CPU",VLOOKUP(D342,#REF!,3,0),IF(C342="SINAPI",VLOOKUP(D342,#REF!,3,0),IF(C342="EDIF",VLOOKUP(D342,#REF!,3,0),IF(C342="CPOS",VLOOKUP(D342,#REF!,4,0),IF(C342="FDE",VLOOKUP(D342,#REF!,3,0),IF(C342="INFRA",VLOOKUP(D342,#REF!,3,0),""))))))),"")</f>
        <v/>
      </c>
      <c r="G342" s="66">
        <v>30</v>
      </c>
      <c r="H342" s="67" t="str">
        <f>IFERROR(IF(C342="CPU",VLOOKUP(D342,#REF!,4,0),IF(C342="SINAPI",VLOOKUP(D342,#REF!,5,0),IF(C342="EDIF",VLOOKUP(D342,#REF!,4,0),IF(C342="CPOS",VLOOKUP(D342,#REF!,7,0),IF(C342="FDE",VLOOKUP(D342,#REF!,5,0),IF(C342="INFRA",VLOOKUP(D342,#REF!,4,0),""))))))*VLOOKUP(C342,#REF!,3,0),"")</f>
        <v/>
      </c>
      <c r="I342" s="1106">
        <v>0.25</v>
      </c>
      <c r="J342" s="67" t="e">
        <f t="shared" si="40"/>
        <v>#VALUE!</v>
      </c>
      <c r="K342" s="69" t="e">
        <f t="shared" si="41"/>
        <v>#VALUE!</v>
      </c>
      <c r="L342" s="51"/>
      <c r="M342" s="52"/>
      <c r="N342" s="940"/>
    </row>
    <row r="343" spans="2:14" s="25" customFormat="1" ht="27" customHeight="1">
      <c r="B343" s="61" t="s">
        <v>6582</v>
      </c>
      <c r="C343" s="61" t="s">
        <v>4872</v>
      </c>
      <c r="D343" s="1107">
        <v>98611</v>
      </c>
      <c r="E343" s="64" t="str">
        <f>IFERROR(UPPER(IF(C343="CPU",VLOOKUP(D343,#REF!,2,0),IF(C343="SINAPI",VLOOKUP(D343,#REF!,2,0),IF(C343="EDIF",VLOOKUP(D343,#REF!,2,0),IF(C343="CPOS",VLOOKUP(D343,#REF!,3,0),IF(C343="FDE",VLOOKUP(D343,#REF!,2,0),IF(C343="INFRA",VLOOKUP(D343,#REF!,2,0),""))))))),"")</f>
        <v/>
      </c>
      <c r="F343" s="65" t="str">
        <f>IFERROR(UPPER(IF(C343="CPU",VLOOKUP(D343,#REF!,3,0),IF(C343="SINAPI",VLOOKUP(D343,#REF!,3,0),IF(C343="EDIF",VLOOKUP(D343,#REF!,3,0),IF(C343="CPOS",VLOOKUP(D343,#REF!,4,0),IF(C343="FDE",VLOOKUP(D343,#REF!,3,0),IF(C343="INFRA",VLOOKUP(D343,#REF!,3,0),""))))))),"")</f>
        <v/>
      </c>
      <c r="G343" s="66">
        <v>12</v>
      </c>
      <c r="H343" s="67" t="str">
        <f>IFERROR(IF(C343="CPU",VLOOKUP(D343,#REF!,4,0),IF(C343="SINAPI",VLOOKUP(D343,#REF!,5,0),IF(C343="EDIF",VLOOKUP(D343,#REF!,4,0),IF(C343="CPOS",VLOOKUP(D343,#REF!,7,0),IF(C343="FDE",VLOOKUP(D343,#REF!,5,0),IF(C343="INFRA",VLOOKUP(D343,#REF!,4,0),""))))))*VLOOKUP(C343,#REF!,3,0),"")</f>
        <v/>
      </c>
      <c r="I343" s="1106">
        <v>0.25</v>
      </c>
      <c r="J343" s="67" t="e">
        <f t="shared" si="40"/>
        <v>#VALUE!</v>
      </c>
      <c r="K343" s="69" t="e">
        <f t="shared" si="41"/>
        <v>#VALUE!</v>
      </c>
      <c r="L343" s="51"/>
      <c r="M343" s="52"/>
      <c r="N343" s="940"/>
    </row>
    <row r="344" spans="2:14" s="25" customFormat="1" ht="27" customHeight="1">
      <c r="B344" s="61" t="s">
        <v>6583</v>
      </c>
      <c r="C344" s="61" t="s">
        <v>4872</v>
      </c>
      <c r="D344" s="1107">
        <v>98610</v>
      </c>
      <c r="E344" s="64" t="str">
        <f>IFERROR(UPPER(IF(C344="CPU",VLOOKUP(D344,#REF!,2,0),IF(C344="SINAPI",VLOOKUP(D344,#REF!,2,0),IF(C344="EDIF",VLOOKUP(D344,#REF!,2,0),IF(C344="CPOS",VLOOKUP(D344,#REF!,3,0),IF(C344="FDE",VLOOKUP(D344,#REF!,2,0),IF(C344="INFRA",VLOOKUP(D344,#REF!,2,0),""))))))),"")</f>
        <v/>
      </c>
      <c r="F344" s="65" t="str">
        <f>IFERROR(UPPER(IF(C344="CPU",VLOOKUP(D344,#REF!,3,0),IF(C344="SINAPI",VLOOKUP(D344,#REF!,3,0),IF(C344="EDIF",VLOOKUP(D344,#REF!,3,0),IF(C344="CPOS",VLOOKUP(D344,#REF!,4,0),IF(C344="FDE",VLOOKUP(D344,#REF!,3,0),IF(C344="INFRA",VLOOKUP(D344,#REF!,3,0),""))))))),"")</f>
        <v/>
      </c>
      <c r="G344" s="66">
        <v>12</v>
      </c>
      <c r="H344" s="67" t="str">
        <f>IFERROR(IF(C344="CPU",VLOOKUP(D344,#REF!,4,0),IF(C344="SINAPI",VLOOKUP(D344,#REF!,5,0),IF(C344="EDIF",VLOOKUP(D344,#REF!,4,0),IF(C344="CPOS",VLOOKUP(D344,#REF!,7,0),IF(C344="FDE",VLOOKUP(D344,#REF!,5,0),IF(C344="INFRA",VLOOKUP(D344,#REF!,4,0),""))))))*VLOOKUP(C344,#REF!,3,0),"")</f>
        <v/>
      </c>
      <c r="I344" s="1106">
        <v>0.25</v>
      </c>
      <c r="J344" s="67" t="e">
        <f t="shared" si="40"/>
        <v>#VALUE!</v>
      </c>
      <c r="K344" s="69" t="e">
        <f t="shared" si="41"/>
        <v>#VALUE!</v>
      </c>
      <c r="L344" s="51"/>
      <c r="M344" s="52"/>
      <c r="N344" s="940"/>
    </row>
    <row r="345" spans="2:14" s="25" customFormat="1" ht="27" customHeight="1">
      <c r="B345" s="61" t="s">
        <v>6584</v>
      </c>
      <c r="C345" s="61" t="s">
        <v>4872</v>
      </c>
      <c r="D345" s="1107">
        <v>90795</v>
      </c>
      <c r="E345" s="64" t="str">
        <f>IFERROR(UPPER(IF(C345="CPU",VLOOKUP(D345,#REF!,2,0),IF(C345="SINAPI",VLOOKUP(D345,#REF!,2,0),IF(C345="EDIF",VLOOKUP(D345,#REF!,2,0),IF(C345="CPOS",VLOOKUP(D345,#REF!,3,0),IF(C345="FDE",VLOOKUP(D345,#REF!,2,0),IF(C345="INFRA",VLOOKUP(D345,#REF!,2,0),""))))))),"")</f>
        <v/>
      </c>
      <c r="F345" s="65" t="str">
        <f>IFERROR(UPPER(IF(C345="CPU",VLOOKUP(D345,#REF!,3,0),IF(C345="SINAPI",VLOOKUP(D345,#REF!,3,0),IF(C345="EDIF",VLOOKUP(D345,#REF!,3,0),IF(C345="CPOS",VLOOKUP(D345,#REF!,4,0),IF(C345="FDE",VLOOKUP(D345,#REF!,3,0),IF(C345="INFRA",VLOOKUP(D345,#REF!,3,0),""))))))),"")</f>
        <v/>
      </c>
      <c r="G345" s="66">
        <v>144</v>
      </c>
      <c r="H345" s="67" t="str">
        <f>IFERROR(IF(C345="CPU",VLOOKUP(D345,#REF!,4,0),IF(C345="SINAPI",VLOOKUP(D345,#REF!,5,0),IF(C345="EDIF",VLOOKUP(D345,#REF!,4,0),IF(C345="CPOS",VLOOKUP(D345,#REF!,7,0),IF(C345="FDE",VLOOKUP(D345,#REF!,5,0),IF(C345="INFRA",VLOOKUP(D345,#REF!,4,0),""))))))*VLOOKUP(C345,#REF!,3,0),"")</f>
        <v/>
      </c>
      <c r="I345" s="1106">
        <v>0.25</v>
      </c>
      <c r="J345" s="67" t="e">
        <f t="shared" si="40"/>
        <v>#VALUE!</v>
      </c>
      <c r="K345" s="69" t="e">
        <f t="shared" si="41"/>
        <v>#VALUE!</v>
      </c>
      <c r="L345" s="51"/>
      <c r="M345" s="52"/>
      <c r="N345" s="940"/>
    </row>
    <row r="346" spans="2:14" s="25" customFormat="1" ht="27" customHeight="1">
      <c r="B346" s="61" t="s">
        <v>6585</v>
      </c>
      <c r="C346" s="61" t="s">
        <v>1479</v>
      </c>
      <c r="D346" s="1107" t="s">
        <v>6586</v>
      </c>
      <c r="E346" s="64" t="str">
        <f>IFERROR(UPPER(IF(C346="CPU",VLOOKUP(D346,#REF!,2,0),IF(C346="SINAPI",VLOOKUP(D346,#REF!,2,0),IF(C346="EDIF",VLOOKUP(D346,#REF!,2,0),IF(C346="CPOS",VLOOKUP(D346,#REF!,3,0),IF(C346="FDE",VLOOKUP(D346,#REF!,2,0),IF(C346="INFRA",VLOOKUP(D346,#REF!,2,0),""))))))),"")</f>
        <v/>
      </c>
      <c r="F346" s="65" t="str">
        <f>IFERROR(UPPER(IF(C346="CPU",VLOOKUP(D346,#REF!,3,0),IF(C346="SINAPI",VLOOKUP(D346,#REF!,3,0),IF(C346="EDIF",VLOOKUP(D346,#REF!,3,0),IF(C346="CPOS",VLOOKUP(D346,#REF!,4,0),IF(C346="FDE",VLOOKUP(D346,#REF!,3,0),IF(C346="INFRA",VLOOKUP(D346,#REF!,3,0),""))))))),"")</f>
        <v/>
      </c>
      <c r="G346" s="66">
        <v>2</v>
      </c>
      <c r="H346" s="67" t="str">
        <f>IFERROR(IF(C346="CPU",VLOOKUP(D346,#REF!,4,0),IF(C346="SINAPI",VLOOKUP(D346,#REF!,5,0),IF(C346="EDIF",VLOOKUP(D346,#REF!,4,0),IF(C346="CPOS",VLOOKUP(D346,#REF!,7,0),IF(C346="FDE",VLOOKUP(D346,#REF!,5,0),IF(C346="INFRA",VLOOKUP(D346,#REF!,4,0),""))))))*VLOOKUP(C346,#REF!,3,0),"")</f>
        <v/>
      </c>
      <c r="I346" s="1106">
        <v>0.25</v>
      </c>
      <c r="J346" s="67" t="e">
        <f t="shared" si="40"/>
        <v>#VALUE!</v>
      </c>
      <c r="K346" s="69" t="e">
        <f t="shared" si="41"/>
        <v>#VALUE!</v>
      </c>
      <c r="L346" s="51"/>
      <c r="M346" s="52"/>
      <c r="N346" s="940"/>
    </row>
    <row r="347" spans="2:14" s="25" customFormat="1" ht="27" customHeight="1">
      <c r="B347" s="1097" t="s">
        <v>5155</v>
      </c>
      <c r="C347" s="1098"/>
      <c r="D347" s="1098"/>
      <c r="E347" s="1099" t="s">
        <v>5960</v>
      </c>
      <c r="F347" s="1100" t="str">
        <f>IFERROR(UPPER(IF(C347="CPU",VLOOKUP(D347,#REF!,3,0),IF(C347="SINAPI",VLOOKUP(D347,#REF!,3,0),IF(C347="EDIF",VLOOKUP(D347,#REF!,3,0),IF(C347="CPOS",VLOOKUP(D347,#REF!,4,0),IF(C347="FDE",VLOOKUP(D347,#REF!,3,0),IF(C347="INFRA",VLOOKUP(D347,#REF!,3,0),""))))))),"")</f>
        <v/>
      </c>
      <c r="G347" s="1101"/>
      <c r="H347" s="1102" t="str">
        <f>IFERROR(IF(C347="CPU",VLOOKUP(D347,#REF!,4,0),IF(C347="SINAPI",VLOOKUP(D347,#REF!,5,0),IF(C347="EDIF",VLOOKUP(D347,#REF!,4,0),IF(C347="CPOS",VLOOKUP(D347,#REF!,7,0),IF(C347="FDE",VLOOKUP(D347,#REF!,5,0),IF(C347="INFRA",VLOOKUP(D347,#REF!,4,0),""))))))*VLOOKUP(C347,#REF!,3,0),"")</f>
        <v/>
      </c>
      <c r="I347" s="1103"/>
      <c r="J347" s="1103"/>
      <c r="K347" s="1104"/>
      <c r="L347" s="51"/>
      <c r="M347" s="52"/>
      <c r="N347" s="940"/>
    </row>
    <row r="348" spans="2:14" s="25" customFormat="1" ht="27" customHeight="1">
      <c r="B348" s="61" t="s">
        <v>5157</v>
      </c>
      <c r="C348" s="61" t="s">
        <v>1479</v>
      </c>
      <c r="D348" s="1107" t="s">
        <v>6587</v>
      </c>
      <c r="E348" s="64" t="str">
        <f>IFERROR(UPPER(IF(C348="CPU",VLOOKUP(D348,#REF!,2,0),IF(C348="SINAPI",VLOOKUP(D348,#REF!,2,0),IF(C348="EDIF",VLOOKUP(D348,#REF!,2,0),IF(C348="CPOS",VLOOKUP(D348,#REF!,3,0),IF(C348="FDE",VLOOKUP(D348,#REF!,2,0),IF(C348="INFRA",VLOOKUP(D348,#REF!,2,0),""))))))),"")</f>
        <v/>
      </c>
      <c r="F348" s="65" t="str">
        <f>IFERROR(UPPER(IF(C348="CPU",VLOOKUP(D348,#REF!,3,0),IF(C348="SINAPI",VLOOKUP(D348,#REF!,3,0),IF(C348="EDIF",VLOOKUP(D348,#REF!,3,0),IF(C348="CPOS",VLOOKUP(D348,#REF!,4,0),IF(C348="FDE",VLOOKUP(D348,#REF!,3,0),IF(C348="INFRA",VLOOKUP(D348,#REF!,3,0),""))))))),"")</f>
        <v/>
      </c>
      <c r="G348" s="66">
        <v>20</v>
      </c>
      <c r="H348" s="67" t="str">
        <f>IFERROR(IF(C348="CPU",VLOOKUP(D348,#REF!,4,0),IF(C348="SINAPI",VLOOKUP(D348,#REF!,5,0),IF(C348="EDIF",VLOOKUP(D348,#REF!,4,0),IF(C348="CPOS",VLOOKUP(D348,#REF!,7,0),IF(C348="FDE",VLOOKUP(D348,#REF!,5,0),IF(C348="INFRA",VLOOKUP(D348,#REF!,4,0),""))))))*VLOOKUP(C348,#REF!,3,0),"")</f>
        <v/>
      </c>
      <c r="I348" s="1106">
        <v>0.25</v>
      </c>
      <c r="J348" s="67" t="e">
        <f>ROUND(H348*(1+I348),2)</f>
        <v>#VALUE!</v>
      </c>
      <c r="K348" s="69" t="e">
        <f>SUM(G348*J348)</f>
        <v>#VALUE!</v>
      </c>
      <c r="L348" s="51"/>
      <c r="M348" s="52"/>
      <c r="N348" s="940"/>
    </row>
    <row r="349" spans="2:14" s="25" customFormat="1" ht="27" customHeight="1">
      <c r="B349" s="61" t="s">
        <v>6588</v>
      </c>
      <c r="C349" s="61" t="s">
        <v>4872</v>
      </c>
      <c r="D349" s="1107">
        <v>98279</v>
      </c>
      <c r="E349" s="64" t="str">
        <f>IFERROR(UPPER(IF(C349="CPU",VLOOKUP(D349,#REF!,2,0),IF(C349="SINAPI",VLOOKUP(D349,#REF!,2,0),IF(C349="EDIF",VLOOKUP(D349,#REF!,2,0),IF(C349="CPOS",VLOOKUP(D349,#REF!,3,0),IF(C349="FDE",VLOOKUP(D349,#REF!,2,0),IF(C349="INFRA",VLOOKUP(D349,#REF!,2,0),""))))))),"")</f>
        <v/>
      </c>
      <c r="F349" s="65" t="str">
        <f>IFERROR(UPPER(IF(C349="CPU",VLOOKUP(D349,#REF!,3,0),IF(C349="SINAPI",VLOOKUP(D349,#REF!,3,0),IF(C349="EDIF",VLOOKUP(D349,#REF!,3,0),IF(C349="CPOS",VLOOKUP(D349,#REF!,4,0),IF(C349="FDE",VLOOKUP(D349,#REF!,3,0),IF(C349="INFRA",VLOOKUP(D349,#REF!,3,0),""))))))),"")</f>
        <v/>
      </c>
      <c r="G349" s="66">
        <v>20</v>
      </c>
      <c r="H349" s="67" t="str">
        <f>IFERROR(IF(C349="CPU",VLOOKUP(D349,#REF!,4,0),IF(C349="SINAPI",VLOOKUP(D349,#REF!,5,0),IF(C349="EDIF",VLOOKUP(D349,#REF!,4,0),IF(C349="CPOS",VLOOKUP(D349,#REF!,7,0),IF(C349="FDE",VLOOKUP(D349,#REF!,5,0),IF(C349="INFRA",VLOOKUP(D349,#REF!,4,0),""))))))*VLOOKUP(C349,#REF!,3,0),"")</f>
        <v/>
      </c>
      <c r="I349" s="1106">
        <v>0.25</v>
      </c>
      <c r="J349" s="67" t="e">
        <f>ROUND(H349*(1+I349),2)</f>
        <v>#VALUE!</v>
      </c>
      <c r="K349" s="69" t="e">
        <f>SUM(G349*J349)</f>
        <v>#VALUE!</v>
      </c>
      <c r="L349" s="51"/>
      <c r="M349" s="52"/>
      <c r="N349" s="940"/>
    </row>
    <row r="350" spans="2:14" s="25" customFormat="1" ht="27" customHeight="1">
      <c r="B350" s="61" t="s">
        <v>5168</v>
      </c>
      <c r="C350" s="61" t="s">
        <v>1479</v>
      </c>
      <c r="D350" s="1107" t="s">
        <v>6589</v>
      </c>
      <c r="E350" s="64" t="str">
        <f>IFERROR(UPPER(IF(C350="CPU",VLOOKUP(D350,#REF!,2,0),IF(C350="SINAPI",VLOOKUP(D350,#REF!,2,0),IF(C350="EDIF",VLOOKUP(D350,#REF!,2,0),IF(C350="CPOS",VLOOKUP(D350,#REF!,3,0),IF(C350="FDE",VLOOKUP(D350,#REF!,2,0),IF(C350="INFRA",VLOOKUP(D350,#REF!,2,0),""))))))),"")</f>
        <v/>
      </c>
      <c r="F350" s="65" t="str">
        <f>IFERROR(UPPER(IF(C350="CPU",VLOOKUP(D350,#REF!,3,0),IF(C350="SINAPI",VLOOKUP(D350,#REF!,3,0),IF(C350="EDIF",VLOOKUP(D350,#REF!,3,0),IF(C350="CPOS",VLOOKUP(D350,#REF!,4,0),IF(C350="FDE",VLOOKUP(D350,#REF!,3,0),IF(C350="INFRA",VLOOKUP(D350,#REF!,3,0),""))))))),"")</f>
        <v/>
      </c>
      <c r="G350" s="66">
        <v>50</v>
      </c>
      <c r="H350" s="67" t="str">
        <f>IFERROR(IF(C350="CPU",VLOOKUP(D350,#REF!,4,0),IF(C350="SINAPI",VLOOKUP(D350,#REF!,5,0),IF(C350="EDIF",VLOOKUP(D350,#REF!,4,0),IF(C350="CPOS",VLOOKUP(D350,#REF!,7,0),IF(C350="FDE",VLOOKUP(D350,#REF!,5,0),IF(C350="INFRA",VLOOKUP(D350,#REF!,4,0),""))))))*VLOOKUP(C350,#REF!,3,0),"")</f>
        <v/>
      </c>
      <c r="I350" s="1106">
        <v>0.25</v>
      </c>
      <c r="J350" s="67" t="e">
        <f>ROUND(H350*(1+I350),2)</f>
        <v>#VALUE!</v>
      </c>
      <c r="K350" s="69" t="e">
        <f>SUM(G350*J350)</f>
        <v>#VALUE!</v>
      </c>
      <c r="L350" s="51"/>
      <c r="M350" s="52"/>
      <c r="N350" s="940"/>
    </row>
    <row r="351" spans="2:14" s="25" customFormat="1" ht="27" customHeight="1">
      <c r="B351" s="61" t="s">
        <v>5170</v>
      </c>
      <c r="C351" s="61" t="s">
        <v>1479</v>
      </c>
      <c r="D351" s="1107" t="s">
        <v>6590</v>
      </c>
      <c r="E351" s="64" t="str">
        <f>IFERROR(UPPER(IF(C351="CPU",VLOOKUP(D351,#REF!,2,0),IF(C351="SINAPI",VLOOKUP(D351,#REF!,2,0),IF(C351="EDIF",VLOOKUP(D351,#REF!,2,0),IF(C351="CPOS",VLOOKUP(D351,#REF!,3,0),IF(C351="FDE",VLOOKUP(D351,#REF!,2,0),IF(C351="INFRA",VLOOKUP(D351,#REF!,2,0),""))))))),"")</f>
        <v/>
      </c>
      <c r="F351" s="65" t="str">
        <f>IFERROR(UPPER(IF(C351="CPU",VLOOKUP(D351,#REF!,3,0),IF(C351="SINAPI",VLOOKUP(D351,#REF!,3,0),IF(C351="EDIF",VLOOKUP(D351,#REF!,3,0),IF(C351="CPOS",VLOOKUP(D351,#REF!,4,0),IF(C351="FDE",VLOOKUP(D351,#REF!,3,0),IF(C351="INFRA",VLOOKUP(D351,#REF!,3,0),""))))))),"")</f>
        <v/>
      </c>
      <c r="G351" s="66">
        <v>36</v>
      </c>
      <c r="H351" s="67" t="str">
        <f>IFERROR(IF(C351="CPU",VLOOKUP(D351,#REF!,4,0),IF(C351="SINAPI",VLOOKUP(D351,#REF!,5,0),IF(C351="EDIF",VLOOKUP(D351,#REF!,4,0),IF(C351="CPOS",VLOOKUP(D351,#REF!,7,0),IF(C351="FDE",VLOOKUP(D351,#REF!,5,0),IF(C351="INFRA",VLOOKUP(D351,#REF!,4,0),""))))))*VLOOKUP(C351,#REF!,3,0),"")</f>
        <v/>
      </c>
      <c r="I351" s="1106">
        <v>0.25</v>
      </c>
      <c r="J351" s="67" t="e">
        <f>ROUND(H351*(1+I351),2)</f>
        <v>#VALUE!</v>
      </c>
      <c r="K351" s="69" t="e">
        <f>SUM(G351*J351)</f>
        <v>#VALUE!</v>
      </c>
      <c r="L351" s="51"/>
      <c r="M351" s="52"/>
      <c r="N351" s="940"/>
    </row>
    <row r="352" spans="2:14" s="25" customFormat="1" ht="27" customHeight="1">
      <c r="B352" s="61" t="s">
        <v>6591</v>
      </c>
      <c r="C352" s="61" t="s">
        <v>4872</v>
      </c>
      <c r="D352" s="1107">
        <v>91023</v>
      </c>
      <c r="E352" s="64" t="str">
        <f>IFERROR(UPPER(IF(C352="CPU",VLOOKUP(D352,#REF!,2,0),IF(C352="SINAPI",VLOOKUP(D352,#REF!,2,0),IF(C352="EDIF",VLOOKUP(D352,#REF!,2,0),IF(C352="CPOS",VLOOKUP(D352,#REF!,3,0),IF(C352="FDE",VLOOKUP(D352,#REF!,2,0),IF(C352="INFRA",VLOOKUP(D352,#REF!,2,0),""))))))),"")</f>
        <v/>
      </c>
      <c r="F352" s="65" t="str">
        <f>IFERROR(UPPER(IF(C352="CPU",VLOOKUP(D352,#REF!,3,0),IF(C352="SINAPI",VLOOKUP(D352,#REF!,3,0),IF(C352="EDIF",VLOOKUP(D352,#REF!,3,0),IF(C352="CPOS",VLOOKUP(D352,#REF!,4,0),IF(C352="FDE",VLOOKUP(D352,#REF!,3,0),IF(C352="INFRA",VLOOKUP(D352,#REF!,3,0),""))))))),"")</f>
        <v/>
      </c>
      <c r="G352" s="66">
        <v>18</v>
      </c>
      <c r="H352" s="67" t="str">
        <f>IFERROR(IF(C352="CPU",VLOOKUP(D352,#REF!,4,0),IF(C352="SINAPI",VLOOKUP(D352,#REF!,5,0),IF(C352="EDIF",VLOOKUP(D352,#REF!,4,0),IF(C352="CPOS",VLOOKUP(D352,#REF!,7,0),IF(C352="FDE",VLOOKUP(D352,#REF!,5,0),IF(C352="INFRA",VLOOKUP(D352,#REF!,4,0),""))))))*VLOOKUP(C352,#REF!,3,0),"")</f>
        <v/>
      </c>
      <c r="I352" s="1106">
        <v>0.25</v>
      </c>
      <c r="J352" s="67" t="e">
        <f>ROUND(H352*(1+I352),2)</f>
        <v>#VALUE!</v>
      </c>
      <c r="K352" s="69" t="e">
        <f>SUM(G352*J352)</f>
        <v>#VALUE!</v>
      </c>
      <c r="L352" s="51"/>
      <c r="M352" s="52"/>
      <c r="N352" s="940"/>
    </row>
    <row r="353" spans="1:14" s="25" customFormat="1" ht="27" customHeight="1">
      <c r="B353" s="1097" t="s">
        <v>5184</v>
      </c>
      <c r="C353" s="1098"/>
      <c r="D353" s="1098"/>
      <c r="E353" s="1099" t="s">
        <v>6459</v>
      </c>
      <c r="F353" s="1100" t="str">
        <f>IFERROR(UPPER(IF(C353="CPU",VLOOKUP(D353,#REF!,3,0),IF(C353="SINAPI",VLOOKUP(D353,#REF!,3,0),IF(C353="EDIF",VLOOKUP(D353,#REF!,3,0),IF(C353="CPOS",VLOOKUP(D353,#REF!,4,0),IF(C353="FDE",VLOOKUP(D353,#REF!,3,0),IF(C353="INFRA",VLOOKUP(D353,#REF!,3,0),""))))))),"")</f>
        <v/>
      </c>
      <c r="G353" s="1101"/>
      <c r="H353" s="1102" t="str">
        <f>IFERROR(IF(C353="CPU",VLOOKUP(D353,#REF!,4,0),IF(C353="SINAPI",VLOOKUP(D353,#REF!,5,0),IF(C353="EDIF",VLOOKUP(D353,#REF!,4,0),IF(C353="CPOS",VLOOKUP(D353,#REF!,7,0),IF(C353="FDE",VLOOKUP(D353,#REF!,5,0),IF(C353="INFRA",VLOOKUP(D353,#REF!,4,0),""))))))*VLOOKUP(C353,#REF!,3,0),"")</f>
        <v/>
      </c>
      <c r="I353" s="1103"/>
      <c r="J353" s="1103"/>
      <c r="K353" s="1104"/>
      <c r="L353" s="51"/>
      <c r="M353" s="52"/>
      <c r="N353" s="940"/>
    </row>
    <row r="354" spans="1:14" s="25" customFormat="1" ht="27" customHeight="1">
      <c r="B354" s="61" t="s">
        <v>5186</v>
      </c>
      <c r="C354" s="1114" t="s">
        <v>4872</v>
      </c>
      <c r="D354" s="1107">
        <v>91066</v>
      </c>
      <c r="E354" s="64" t="str">
        <f>IFERROR(UPPER(IF(C354="CPU",VLOOKUP(D354,#REF!,2,0),IF(C354="SINAPI",VLOOKUP(D354,#REF!,2,0),IF(C354="EDIF",VLOOKUP(D354,#REF!,2,0),IF(C354="CPOS",VLOOKUP(D354,#REF!,3,0),IF(C354="FDE",VLOOKUP(D354,#REF!,2,0),IF(C354="INFRA",VLOOKUP(D354,#REF!,2,0),""))))))),"")</f>
        <v/>
      </c>
      <c r="F354" s="65" t="str">
        <f>IFERROR(UPPER(IF(C354="CPU",VLOOKUP(D354,#REF!,3,0),IF(C354="SINAPI",VLOOKUP(D354,#REF!,3,0),IF(C354="EDIF",VLOOKUP(D354,#REF!,3,0),IF(C354="CPOS",VLOOKUP(D354,#REF!,4,0),IF(C354="FDE",VLOOKUP(D354,#REF!,3,0),IF(C354="INFRA",VLOOKUP(D354,#REF!,3,0),""))))))),"")</f>
        <v/>
      </c>
      <c r="G354" s="66">
        <v>6</v>
      </c>
      <c r="H354" s="67" t="str">
        <f>IFERROR(IF(C354="CPU",VLOOKUP(D354,#REF!,4,0),IF(C354="SINAPI",VLOOKUP(D354,#REF!,5,0),IF(C354="EDIF",VLOOKUP(D354,#REF!,4,0),IF(C354="CPOS",VLOOKUP(D354,#REF!,7,0),IF(C354="FDE",VLOOKUP(D354,#REF!,5,0),IF(C354="INFRA",VLOOKUP(D354,#REF!,4,0),""))))))*VLOOKUP(C354,#REF!,3,0),"")</f>
        <v/>
      </c>
      <c r="I354" s="1106">
        <v>0.25</v>
      </c>
      <c r="J354" s="67" t="e">
        <f t="shared" ref="J354:J363" si="42">ROUND(H354*(1+I354),2)</f>
        <v>#VALUE!</v>
      </c>
      <c r="K354" s="69" t="e">
        <f t="shared" ref="K354:K363" si="43">SUM(G354*J354)</f>
        <v>#VALUE!</v>
      </c>
      <c r="L354" s="51"/>
      <c r="M354" s="52"/>
      <c r="N354" s="940"/>
    </row>
    <row r="355" spans="1:14" ht="27" customHeight="1">
      <c r="A355" s="25"/>
      <c r="B355" s="61" t="s">
        <v>6592</v>
      </c>
      <c r="C355" s="1114" t="s">
        <v>4872</v>
      </c>
      <c r="D355" s="1107">
        <v>91055</v>
      </c>
      <c r="E355" s="64" t="str">
        <f>IFERROR(UPPER(IF(C355="CPU",VLOOKUP(D355,#REF!,2,0),IF(C355="SINAPI",VLOOKUP(D355,#REF!,2,0),IF(C355="EDIF",VLOOKUP(D355,#REF!,2,0),IF(C355="CPOS",VLOOKUP(D355,#REF!,3,0),IF(C355="FDE",VLOOKUP(D355,#REF!,2,0),IF(C355="INFRA",VLOOKUP(D355,#REF!,2,0),""))))))),"")</f>
        <v/>
      </c>
      <c r="F355" s="65" t="str">
        <f>IFERROR(UPPER(IF(C355="CPU",VLOOKUP(D355,#REF!,3,0),IF(C355="SINAPI",VLOOKUP(D355,#REF!,3,0),IF(C355="EDIF",VLOOKUP(D355,#REF!,3,0),IF(C355="CPOS",VLOOKUP(D355,#REF!,4,0),IF(C355="FDE",VLOOKUP(D355,#REF!,3,0),IF(C355="INFRA",VLOOKUP(D355,#REF!,3,0),""))))))),"")</f>
        <v/>
      </c>
      <c r="G355" s="66">
        <v>2</v>
      </c>
      <c r="H355" s="67" t="str">
        <f>IFERROR(IF(C355="CPU",VLOOKUP(D355,#REF!,4,0),IF(C355="SINAPI",VLOOKUP(D355,#REF!,5,0),IF(C355="EDIF",VLOOKUP(D355,#REF!,4,0),IF(C355="CPOS",VLOOKUP(D355,#REF!,7,0),IF(C355="FDE",VLOOKUP(D355,#REF!,5,0),IF(C355="INFRA",VLOOKUP(D355,#REF!,4,0),""))))))*VLOOKUP(C355,#REF!,3,0),"")</f>
        <v/>
      </c>
      <c r="I355" s="1106">
        <v>0.25</v>
      </c>
      <c r="J355" s="67" t="e">
        <f t="shared" si="42"/>
        <v>#VALUE!</v>
      </c>
      <c r="K355" s="69" t="e">
        <f t="shared" si="43"/>
        <v>#VALUE!</v>
      </c>
      <c r="L355" s="51"/>
      <c r="M355" s="52"/>
      <c r="N355" s="940"/>
    </row>
    <row r="356" spans="1:14" ht="27" customHeight="1">
      <c r="A356" s="25"/>
      <c r="B356" s="61" t="s">
        <v>5192</v>
      </c>
      <c r="C356" s="1114" t="s">
        <v>4872</v>
      </c>
      <c r="D356" s="1107">
        <v>90221</v>
      </c>
      <c r="E356" s="64" t="str">
        <f>IFERROR(UPPER(IF(C356="CPU",VLOOKUP(D356,#REF!,2,0),IF(C356="SINAPI",VLOOKUP(D356,#REF!,2,0),IF(C356="EDIF",VLOOKUP(D356,#REF!,2,0),IF(C356="CPOS",VLOOKUP(D356,#REF!,3,0),IF(C356="FDE",VLOOKUP(D356,#REF!,2,0),IF(C356="INFRA",VLOOKUP(D356,#REF!,2,0),""))))))),"")</f>
        <v/>
      </c>
      <c r="F356" s="65" t="str">
        <f>IFERROR(UPPER(IF(C356="CPU",VLOOKUP(D356,#REF!,3,0),IF(C356="SINAPI",VLOOKUP(D356,#REF!,3,0),IF(C356="EDIF",VLOOKUP(D356,#REF!,3,0),IF(C356="CPOS",VLOOKUP(D356,#REF!,4,0),IF(C356="FDE",VLOOKUP(D356,#REF!,3,0),IF(C356="INFRA",VLOOKUP(D356,#REF!,3,0),""))))))),"")</f>
        <v/>
      </c>
      <c r="G356" s="66">
        <v>300</v>
      </c>
      <c r="H356" s="67" t="str">
        <f>IFERROR(IF(C356="CPU",VLOOKUP(D356,#REF!,4,0),IF(C356="SINAPI",VLOOKUP(D356,#REF!,5,0),IF(C356="EDIF",VLOOKUP(D356,#REF!,4,0),IF(C356="CPOS",VLOOKUP(D356,#REF!,7,0),IF(C356="FDE",VLOOKUP(D356,#REF!,5,0),IF(C356="INFRA",VLOOKUP(D356,#REF!,4,0),""))))))*VLOOKUP(C356,#REF!,3,0),"")</f>
        <v/>
      </c>
      <c r="I356" s="1106">
        <v>0.25</v>
      </c>
      <c r="J356" s="67" t="e">
        <f t="shared" si="42"/>
        <v>#VALUE!</v>
      </c>
      <c r="K356" s="69" t="e">
        <f t="shared" si="43"/>
        <v>#VALUE!</v>
      </c>
      <c r="L356" s="51"/>
      <c r="M356" s="52"/>
      <c r="N356" s="940"/>
    </row>
    <row r="357" spans="1:14" ht="27" customHeight="1">
      <c r="A357" s="25"/>
      <c r="B357" s="61" t="s">
        <v>5194</v>
      </c>
      <c r="C357" s="1114" t="s">
        <v>4872</v>
      </c>
      <c r="D357" s="1107">
        <v>91053</v>
      </c>
      <c r="E357" s="64" t="str">
        <f>IFERROR(UPPER(IF(C357="CPU",VLOOKUP(D357,#REF!,2,0),IF(C357="SINAPI",VLOOKUP(D357,#REF!,2,0),IF(C357="EDIF",VLOOKUP(D357,#REF!,2,0),IF(C357="CPOS",VLOOKUP(D357,#REF!,3,0),IF(C357="FDE",VLOOKUP(D357,#REF!,2,0),IF(C357="INFRA",VLOOKUP(D357,#REF!,2,0),""))))))),"")</f>
        <v/>
      </c>
      <c r="F357" s="65" t="str">
        <f>IFERROR(UPPER(IF(C357="CPU",VLOOKUP(D357,#REF!,3,0),IF(C357="SINAPI",VLOOKUP(D357,#REF!,3,0),IF(C357="EDIF",VLOOKUP(D357,#REF!,3,0),IF(C357="CPOS",VLOOKUP(D357,#REF!,4,0),IF(C357="FDE",VLOOKUP(D357,#REF!,3,0),IF(C357="INFRA",VLOOKUP(D357,#REF!,3,0),""))))))),"")</f>
        <v/>
      </c>
      <c r="G357" s="66">
        <v>1</v>
      </c>
      <c r="H357" s="67" t="str">
        <f>IFERROR(IF(C357="CPU",VLOOKUP(D357,#REF!,4,0),IF(C357="SINAPI",VLOOKUP(D357,#REF!,5,0),IF(C357="EDIF",VLOOKUP(D357,#REF!,4,0),IF(C357="CPOS",VLOOKUP(D357,#REF!,7,0),IF(C357="FDE",VLOOKUP(D357,#REF!,5,0),IF(C357="INFRA",VLOOKUP(D357,#REF!,4,0),""))))))*VLOOKUP(C357,#REF!,3,0),"")</f>
        <v/>
      </c>
      <c r="I357" s="1106">
        <v>0.25</v>
      </c>
      <c r="J357" s="67" t="e">
        <f t="shared" si="42"/>
        <v>#VALUE!</v>
      </c>
      <c r="K357" s="69" t="e">
        <f t="shared" si="43"/>
        <v>#VALUE!</v>
      </c>
      <c r="L357" s="51"/>
      <c r="M357" s="52"/>
      <c r="N357" s="940"/>
    </row>
    <row r="358" spans="1:14" ht="27" customHeight="1">
      <c r="A358" s="25"/>
      <c r="B358" s="61" t="s">
        <v>5197</v>
      </c>
      <c r="C358" s="1114" t="s">
        <v>1479</v>
      </c>
      <c r="D358" s="1108" t="s">
        <v>6593</v>
      </c>
      <c r="E358" s="64" t="str">
        <f>IFERROR(UPPER(IF(C358="CPU",VLOOKUP(D358,#REF!,2,0),IF(C358="SINAPI",VLOOKUP(D358,#REF!,2,0),IF(C358="EDIF",VLOOKUP(D358,#REF!,2,0),IF(C358="CPOS",VLOOKUP(D358,#REF!,3,0),IF(C358="FDE",VLOOKUP(D358,#REF!,2,0),IF(C358="INFRA",VLOOKUP(D358,#REF!,2,0),""))))))),"")</f>
        <v/>
      </c>
      <c r="F358" s="65" t="str">
        <f>IFERROR(UPPER(IF(C358="CPU",VLOOKUP(D358,#REF!,3,0),IF(C358="SINAPI",VLOOKUP(D358,#REF!,3,0),IF(C358="EDIF",VLOOKUP(D358,#REF!,3,0),IF(C358="CPOS",VLOOKUP(D358,#REF!,4,0),IF(C358="FDE",VLOOKUP(D358,#REF!,3,0),IF(C358="INFRA",VLOOKUP(D358,#REF!,3,0),""))))))),"")</f>
        <v/>
      </c>
      <c r="G358" s="66">
        <v>300</v>
      </c>
      <c r="H358" s="67" t="str">
        <f>IFERROR(IF(C358="CPU",VLOOKUP(D358,#REF!,4,0),IF(C358="SINAPI",VLOOKUP(D358,#REF!,5,0),IF(C358="EDIF",VLOOKUP(D358,#REF!,4,0),IF(C358="CPOS",VLOOKUP(D358,#REF!,7,0),IF(C358="FDE",VLOOKUP(D358,#REF!,5,0),IF(C358="INFRA",VLOOKUP(D358,#REF!,4,0),""))))))*VLOOKUP(C358,#REF!,3,0),"")</f>
        <v/>
      </c>
      <c r="I358" s="1106">
        <v>0.25</v>
      </c>
      <c r="J358" s="67" t="e">
        <f t="shared" si="42"/>
        <v>#VALUE!</v>
      </c>
      <c r="K358" s="69" t="e">
        <f t="shared" si="43"/>
        <v>#VALUE!</v>
      </c>
      <c r="L358" s="51"/>
      <c r="M358" s="52"/>
      <c r="N358" s="940"/>
    </row>
    <row r="359" spans="1:14" s="25" customFormat="1" ht="27" customHeight="1">
      <c r="B359" s="61" t="s">
        <v>5199</v>
      </c>
      <c r="C359" s="1114" t="s">
        <v>26</v>
      </c>
      <c r="D359" s="1115" t="s">
        <v>712</v>
      </c>
      <c r="E359" s="64" t="str">
        <f>IFERROR(UPPER(IF(C359="CPU",VLOOKUP(D359,#REF!,2,0),IF(C359="SINAPI",VLOOKUP(D359,#REF!,2,0),IF(C359="EDIF",VLOOKUP(D359,#REF!,2,0),IF(C359="CPOS",VLOOKUP(D359,#REF!,3,0),IF(C359="FDE",VLOOKUP(D359,#REF!,2,0),IF(C359="INFRA",VLOOKUP(D359,#REF!,2,0),""))))))),"")</f>
        <v/>
      </c>
      <c r="F359" s="65" t="str">
        <f>IFERROR(UPPER(IF(C359="CPU",VLOOKUP(D359,#REF!,3,0),IF(C359="SINAPI",VLOOKUP(D359,#REF!,3,0),IF(C359="EDIF",VLOOKUP(D359,#REF!,3,0),IF(C359="CPOS",VLOOKUP(D359,#REF!,4,0),IF(C359="FDE",VLOOKUP(D359,#REF!,3,0),IF(C359="INFRA",VLOOKUP(D359,#REF!,3,0),""))))))),"")</f>
        <v/>
      </c>
      <c r="G359" s="66">
        <v>1</v>
      </c>
      <c r="H359" s="67" t="str">
        <f>IFERROR(IF(C359="CPU",VLOOKUP(D359,#REF!,4,0),IF(C359="SINAPI",VLOOKUP(D359,#REF!,5,0),IF(C359="EDIF",VLOOKUP(D359,#REF!,4,0),IF(C359="CPOS",VLOOKUP(D359,#REF!,7,0),IF(C359="FDE",VLOOKUP(D359,#REF!,5,0),IF(C359="INFRA",VLOOKUP(D359,#REF!,4,0),""))))))*VLOOKUP(C359,#REF!,3,0),"")</f>
        <v/>
      </c>
      <c r="I359" s="1106">
        <v>0.25</v>
      </c>
      <c r="J359" s="67" t="e">
        <f t="shared" si="42"/>
        <v>#VALUE!</v>
      </c>
      <c r="K359" s="69" t="e">
        <f t="shared" si="43"/>
        <v>#VALUE!</v>
      </c>
      <c r="L359" s="51"/>
      <c r="M359" s="52"/>
      <c r="N359" s="940"/>
    </row>
    <row r="360" spans="1:14" ht="27" customHeight="1">
      <c r="A360" s="25"/>
      <c r="B360" s="61" t="s">
        <v>5203</v>
      </c>
      <c r="C360" s="1114" t="s">
        <v>1479</v>
      </c>
      <c r="D360" s="1108" t="s">
        <v>5914</v>
      </c>
      <c r="E360" s="64" t="str">
        <f>IFERROR(UPPER(IF(C360="CPU",VLOOKUP(D360,#REF!,2,0),IF(C360="SINAPI",VLOOKUP(D360,#REF!,2,0),IF(C360="EDIF",VLOOKUP(D360,#REF!,2,0),IF(C360="CPOS",VLOOKUP(D360,#REF!,3,0),IF(C360="FDE",VLOOKUP(D360,#REF!,2,0),IF(C360="INFRA",VLOOKUP(D360,#REF!,2,0),""))))))),"")</f>
        <v/>
      </c>
      <c r="F360" s="65" t="str">
        <f>IFERROR(UPPER(IF(C360="CPU",VLOOKUP(D360,#REF!,3,0),IF(C360="SINAPI",VLOOKUP(D360,#REF!,3,0),IF(C360="EDIF",VLOOKUP(D360,#REF!,3,0),IF(C360="CPOS",VLOOKUP(D360,#REF!,4,0),IF(C360="FDE",VLOOKUP(D360,#REF!,3,0),IF(C360="INFRA",VLOOKUP(D360,#REF!,3,0),""))))))),"")</f>
        <v/>
      </c>
      <c r="G360" s="66">
        <v>2</v>
      </c>
      <c r="H360" s="67" t="str">
        <f>IFERROR(IF(C360="CPU",VLOOKUP(D360,#REF!,4,0),IF(C360="SINAPI",VLOOKUP(D360,#REF!,5,0),IF(C360="EDIF",VLOOKUP(D360,#REF!,4,0),IF(C360="CPOS",VLOOKUP(D360,#REF!,7,0),IF(C360="FDE",VLOOKUP(D360,#REF!,5,0),IF(C360="INFRA",VLOOKUP(D360,#REF!,4,0),""))))))*VLOOKUP(C360,#REF!,3,0),"")</f>
        <v/>
      </c>
      <c r="I360" s="1106">
        <v>0.25</v>
      </c>
      <c r="J360" s="67" t="e">
        <f t="shared" si="42"/>
        <v>#VALUE!</v>
      </c>
      <c r="K360" s="69" t="e">
        <f t="shared" si="43"/>
        <v>#VALUE!</v>
      </c>
      <c r="L360" s="51"/>
      <c r="M360" s="52"/>
      <c r="N360" s="940"/>
    </row>
    <row r="361" spans="1:14" ht="27" customHeight="1">
      <c r="A361" s="25"/>
      <c r="B361" s="61" t="s">
        <v>5207</v>
      </c>
      <c r="C361" s="1114" t="s">
        <v>4872</v>
      </c>
      <c r="D361" s="1107">
        <v>91253</v>
      </c>
      <c r="E361" s="64" t="str">
        <f>IFERROR(UPPER(IF(C361="CPU",VLOOKUP(D361,#REF!,2,0),IF(C361="SINAPI",VLOOKUP(D361,#REF!,2,0),IF(C361="EDIF",VLOOKUP(D361,#REF!,2,0),IF(C361="CPOS",VLOOKUP(D361,#REF!,3,0),IF(C361="FDE",VLOOKUP(D361,#REF!,2,0),IF(C361="INFRA",VLOOKUP(D361,#REF!,2,0),""))))))),"")</f>
        <v/>
      </c>
      <c r="F361" s="65" t="str">
        <f>IFERROR(UPPER(IF(C361="CPU",VLOOKUP(D361,#REF!,3,0),IF(C361="SINAPI",VLOOKUP(D361,#REF!,3,0),IF(C361="EDIF",VLOOKUP(D361,#REF!,3,0),IF(C361="CPOS",VLOOKUP(D361,#REF!,4,0),IF(C361="FDE",VLOOKUP(D361,#REF!,3,0),IF(C361="INFRA",VLOOKUP(D361,#REF!,3,0),""))))))),"")</f>
        <v/>
      </c>
      <c r="G361" s="66">
        <v>1</v>
      </c>
      <c r="H361" s="67" t="str">
        <f>IFERROR(IF(C361="CPU",VLOOKUP(D361,#REF!,4,0),IF(C361="SINAPI",VLOOKUP(D361,#REF!,5,0),IF(C361="EDIF",VLOOKUP(D361,#REF!,4,0),IF(C361="CPOS",VLOOKUP(D361,#REF!,7,0),IF(C361="FDE",VLOOKUP(D361,#REF!,5,0),IF(C361="INFRA",VLOOKUP(D361,#REF!,4,0),""))))))*VLOOKUP(C361,#REF!,3,0),"")</f>
        <v/>
      </c>
      <c r="I361" s="1106">
        <v>0.25</v>
      </c>
      <c r="J361" s="67" t="e">
        <f t="shared" si="42"/>
        <v>#VALUE!</v>
      </c>
      <c r="K361" s="69" t="e">
        <f t="shared" si="43"/>
        <v>#VALUE!</v>
      </c>
      <c r="L361" s="51"/>
      <c r="M361" s="52"/>
      <c r="N361" s="940"/>
    </row>
    <row r="362" spans="1:14" ht="27" customHeight="1">
      <c r="A362" s="25"/>
      <c r="B362" s="61" t="s">
        <v>6594</v>
      </c>
      <c r="C362" s="1114" t="s">
        <v>4872</v>
      </c>
      <c r="D362" s="1107">
        <v>100895</v>
      </c>
      <c r="E362" s="64" t="str">
        <f>IFERROR(UPPER(IF(C362="CPU",VLOOKUP(D362,#REF!,2,0),IF(C362="SINAPI",VLOOKUP(D362,#REF!,2,0),IF(C362="EDIF",VLOOKUP(D362,#REF!,2,0),IF(C362="CPOS",VLOOKUP(D362,#REF!,3,0),IF(C362="FDE",VLOOKUP(D362,#REF!,2,0),IF(C362="INFRA",VLOOKUP(D362,#REF!,2,0),""))))))),"")</f>
        <v/>
      </c>
      <c r="F362" s="65" t="str">
        <f>IFERROR(UPPER(IF(C362="CPU",VLOOKUP(D362,#REF!,3,0),IF(C362="SINAPI",VLOOKUP(D362,#REF!,3,0),IF(C362="EDIF",VLOOKUP(D362,#REF!,3,0),IF(C362="CPOS",VLOOKUP(D362,#REF!,4,0),IF(C362="FDE",VLOOKUP(D362,#REF!,3,0),IF(C362="INFRA",VLOOKUP(D362,#REF!,3,0),""))))))),"")</f>
        <v/>
      </c>
      <c r="G362" s="66">
        <v>4</v>
      </c>
      <c r="H362" s="67" t="str">
        <f>IFERROR(IF(C362="CPU",VLOOKUP(D362,#REF!,4,0),IF(C362="SINAPI",VLOOKUP(D362,#REF!,5,0),IF(C362="EDIF",VLOOKUP(D362,#REF!,4,0),IF(C362="CPOS",VLOOKUP(D362,#REF!,7,0),IF(C362="FDE",VLOOKUP(D362,#REF!,5,0),IF(C362="INFRA",VLOOKUP(D362,#REF!,4,0),""))))))*VLOOKUP(C362,#REF!,3,0),"")</f>
        <v/>
      </c>
      <c r="I362" s="1106">
        <v>0.25</v>
      </c>
      <c r="J362" s="67" t="e">
        <f t="shared" si="42"/>
        <v>#VALUE!</v>
      </c>
      <c r="K362" s="69" t="e">
        <f t="shared" si="43"/>
        <v>#VALUE!</v>
      </c>
      <c r="L362" s="51"/>
      <c r="M362" s="52"/>
      <c r="N362" s="940"/>
    </row>
    <row r="363" spans="1:14" ht="27" customHeight="1">
      <c r="A363" s="25"/>
      <c r="B363" s="61" t="s">
        <v>5211</v>
      </c>
      <c r="C363" s="1114" t="s">
        <v>4872</v>
      </c>
      <c r="D363" s="1107">
        <v>100310</v>
      </c>
      <c r="E363" s="64" t="str">
        <f>IFERROR(UPPER(IF(C363="CPU",VLOOKUP(D363,#REF!,2,0),IF(C363="SINAPI",VLOOKUP(D363,#REF!,2,0),IF(C363="EDIF",VLOOKUP(D363,#REF!,2,0),IF(C363="CPOS",VLOOKUP(D363,#REF!,3,0),IF(C363="FDE",VLOOKUP(D363,#REF!,2,0),IF(C363="INFRA",VLOOKUP(D363,#REF!,2,0),""))))))),"")</f>
        <v/>
      </c>
      <c r="F363" s="65" t="str">
        <f>IFERROR(UPPER(IF(C363="CPU",VLOOKUP(D363,#REF!,3,0),IF(C363="SINAPI",VLOOKUP(D363,#REF!,3,0),IF(C363="EDIF",VLOOKUP(D363,#REF!,3,0),IF(C363="CPOS",VLOOKUP(D363,#REF!,4,0),IF(C363="FDE",VLOOKUP(D363,#REF!,3,0),IF(C363="INFRA",VLOOKUP(D363,#REF!,3,0),""))))))),"")</f>
        <v/>
      </c>
      <c r="G363" s="66">
        <v>1</v>
      </c>
      <c r="H363" s="67" t="str">
        <f>IFERROR(IF(C363="CPU",VLOOKUP(D363,#REF!,4,0),IF(C363="SINAPI",VLOOKUP(D363,#REF!,5,0),IF(C363="EDIF",VLOOKUP(D363,#REF!,4,0),IF(C363="CPOS",VLOOKUP(D363,#REF!,7,0),IF(C363="FDE",VLOOKUP(D363,#REF!,5,0),IF(C363="INFRA",VLOOKUP(D363,#REF!,4,0),""))))))*VLOOKUP(C363,#REF!,3,0),"")</f>
        <v/>
      </c>
      <c r="I363" s="1106">
        <v>0.25</v>
      </c>
      <c r="J363" s="67" t="e">
        <f t="shared" si="42"/>
        <v>#VALUE!</v>
      </c>
      <c r="K363" s="69" t="e">
        <f t="shared" si="43"/>
        <v>#VALUE!</v>
      </c>
      <c r="L363" s="51"/>
      <c r="M363" s="52"/>
      <c r="N363" s="940"/>
    </row>
    <row r="364" spans="1:14" ht="27" customHeight="1">
      <c r="A364" s="25"/>
      <c r="B364" s="53">
        <v>15</v>
      </c>
      <c r="C364" s="54"/>
      <c r="D364" s="54"/>
      <c r="E364" s="55" t="s">
        <v>1393</v>
      </c>
      <c r="F364" s="56" t="str">
        <f>IFERROR(UPPER(IF(C364="CPU",VLOOKUP(D364,#REF!,3,0),IF(C364="SINAPI",VLOOKUP(D364,#REF!,3,0),IF(C364="EDIF",VLOOKUP(D364,#REF!,3,0),IF(C364="CPOS",VLOOKUP(D364,#REF!,4,0),IF(C364="FDE",VLOOKUP(D364,#REF!,3,0),IF(C364="INFRA",VLOOKUP(D364,#REF!,3,0),""))))))),"")</f>
        <v/>
      </c>
      <c r="G364" s="57"/>
      <c r="H364" s="58" t="str">
        <f>IFERROR(IF(C364="CPU",VLOOKUP(D364,#REF!,4,0),IF(C364="SINAPI",VLOOKUP(D364,#REF!,5,0),IF(C364="EDIF",VLOOKUP(D364,#REF!,4,0),IF(C364="CPOS",VLOOKUP(D364,#REF!,7,0),IF(C364="FDE",VLOOKUP(D364,#REF!,5,0),IF(C364="INFRA",VLOOKUP(D364,#REF!,4,0),""))))))*VLOOKUP(C364,#REF!,3,0),"")</f>
        <v/>
      </c>
      <c r="I364" s="59"/>
      <c r="J364" s="59"/>
      <c r="K364" s="1095" t="e">
        <f>SUM(K365:K375)</f>
        <v>#VALUE!</v>
      </c>
      <c r="L364" s="51"/>
      <c r="M364" s="52"/>
      <c r="N364" s="940"/>
    </row>
    <row r="365" spans="1:14" ht="27" customHeight="1">
      <c r="A365" s="25"/>
      <c r="B365" s="61" t="s">
        <v>924</v>
      </c>
      <c r="C365" s="61" t="s">
        <v>1479</v>
      </c>
      <c r="D365" s="1108" t="s">
        <v>6595</v>
      </c>
      <c r="E365" s="64" t="str">
        <f>IFERROR(UPPER(IF(C365="CPU",VLOOKUP(D365,#REF!,2,0),IF(C365="SINAPI",VLOOKUP(D365,#REF!,2,0),IF(C365="EDIF",VLOOKUP(D365,#REF!,2,0),IF(C365="CPOS",VLOOKUP(D365,#REF!,3,0),IF(C365="FDE",VLOOKUP(D365,#REF!,2,0),IF(C365="INFRA",VLOOKUP(D365,#REF!,2,0),""))))))),"")</f>
        <v/>
      </c>
      <c r="F365" s="65" t="str">
        <f>IFERROR(UPPER(IF(C365="CPU",VLOOKUP(D365,#REF!,3,0),IF(C365="SINAPI",VLOOKUP(D365,#REF!,3,0),IF(C365="EDIF",VLOOKUP(D365,#REF!,3,0),IF(C365="CPOS",VLOOKUP(D365,#REF!,4,0),IF(C365="FDE",VLOOKUP(D365,#REF!,3,0),IF(C365="INFRA",VLOOKUP(D365,#REF!,3,0),""))))))),"")</f>
        <v/>
      </c>
      <c r="G365" s="66">
        <v>1900</v>
      </c>
      <c r="H365" s="67" t="str">
        <f>IFERROR(IF(C365="CPU",VLOOKUP(D365,#REF!,4,0),IF(C365="SINAPI",VLOOKUP(D365,#REF!,5,0),IF(C365="EDIF",VLOOKUP(D365,#REF!,4,0),IF(C365="CPOS",VLOOKUP(D365,#REF!,7,0),IF(C365="FDE",VLOOKUP(D365,#REF!,5,0),IF(C365="INFRA",VLOOKUP(D365,#REF!,4,0),""))))))*VLOOKUP(C365,#REF!,3,0),"")</f>
        <v/>
      </c>
      <c r="I365" s="1106">
        <v>0.25</v>
      </c>
      <c r="J365" s="67" t="e">
        <f t="shared" ref="J365:J375" si="44">ROUND(H365*(1+I365),2)</f>
        <v>#VALUE!</v>
      </c>
      <c r="K365" s="69" t="e">
        <f t="shared" ref="K365:K375" si="45">SUM(G365*J365)</f>
        <v>#VALUE!</v>
      </c>
      <c r="L365" s="51"/>
      <c r="M365" s="52" t="s">
        <v>1462</v>
      </c>
      <c r="N365" s="940"/>
    </row>
    <row r="366" spans="1:14" ht="27" customHeight="1">
      <c r="A366" s="25"/>
      <c r="B366" s="61" t="s">
        <v>929</v>
      </c>
      <c r="C366" s="61" t="s">
        <v>1479</v>
      </c>
      <c r="D366" s="1108" t="s">
        <v>6596</v>
      </c>
      <c r="E366" s="64" t="str">
        <f>IFERROR(UPPER(IF(C366="CPU",VLOOKUP(D366,#REF!,2,0),IF(C366="SINAPI",VLOOKUP(D366,#REF!,2,0),IF(C366="EDIF",VLOOKUP(D366,#REF!,2,0),IF(C366="CPOS",VLOOKUP(D366,#REF!,3,0),IF(C366="FDE",VLOOKUP(D366,#REF!,2,0),IF(C366="INFRA",VLOOKUP(D366,#REF!,2,0),""))))))),"")</f>
        <v/>
      </c>
      <c r="F366" s="65" t="str">
        <f>IFERROR(UPPER(IF(C366="CPU",VLOOKUP(D366,#REF!,3,0),IF(C366="SINAPI",VLOOKUP(D366,#REF!,3,0),IF(C366="EDIF",VLOOKUP(D366,#REF!,3,0),IF(C366="CPOS",VLOOKUP(D366,#REF!,4,0),IF(C366="FDE",VLOOKUP(D366,#REF!,3,0),IF(C366="INFRA",VLOOKUP(D366,#REF!,3,0),""))))))),"")</f>
        <v/>
      </c>
      <c r="G366" s="66">
        <f>G365*0.05</f>
        <v>95</v>
      </c>
      <c r="H366" s="67" t="str">
        <f>IFERROR(IF(C366="CPU",VLOOKUP(D366,#REF!,4,0),IF(C366="SINAPI",VLOOKUP(D366,#REF!,5,0),IF(C366="EDIF",VLOOKUP(D366,#REF!,4,0),IF(C366="CPOS",VLOOKUP(D366,#REF!,7,0),IF(C366="FDE",VLOOKUP(D366,#REF!,5,0),IF(C366="INFRA",VLOOKUP(D366,#REF!,4,0),""))))))*VLOOKUP(C366,#REF!,3,0),"")</f>
        <v/>
      </c>
      <c r="I366" s="1106">
        <v>0.25</v>
      </c>
      <c r="J366" s="67" t="e">
        <f t="shared" si="44"/>
        <v>#VALUE!</v>
      </c>
      <c r="K366" s="69" t="e">
        <f t="shared" si="45"/>
        <v>#VALUE!</v>
      </c>
      <c r="L366" s="51"/>
      <c r="M366" s="52"/>
      <c r="N366" s="940"/>
    </row>
    <row r="367" spans="1:14" ht="27" customHeight="1">
      <c r="A367" s="25"/>
      <c r="B367" s="61" t="s">
        <v>936</v>
      </c>
      <c r="C367" s="1114" t="s">
        <v>4872</v>
      </c>
      <c r="D367" s="1107">
        <v>170176</v>
      </c>
      <c r="E367" s="64" t="str">
        <f>IFERROR(UPPER(IF(C367="CPU",VLOOKUP(D367,#REF!,2,0),IF(C367="SINAPI",VLOOKUP(D367,#REF!,2,0),IF(C367="EDIF",VLOOKUP(D367,#REF!,2,0),IF(C367="CPOS",VLOOKUP(D367,#REF!,3,0),IF(C367="FDE",VLOOKUP(D367,#REF!,2,0),IF(C367="INFRA",VLOOKUP(D367,#REF!,2,0),""))))))),"")</f>
        <v/>
      </c>
      <c r="F367" s="65" t="str">
        <f>IFERROR(UPPER(IF(C367="CPU",VLOOKUP(D367,#REF!,3,0),IF(C367="SINAPI",VLOOKUP(D367,#REF!,3,0),IF(C367="EDIF",VLOOKUP(D367,#REF!,3,0),IF(C367="CPOS",VLOOKUP(D367,#REF!,4,0),IF(C367="FDE",VLOOKUP(D367,#REF!,3,0),IF(C367="INFRA",VLOOKUP(D367,#REF!,3,0),""))))))),"")</f>
        <v/>
      </c>
      <c r="G367" s="66">
        <v>120</v>
      </c>
      <c r="H367" s="67" t="str">
        <f>IFERROR(IF(C367="CPU",VLOOKUP(D367,#REF!,4,0),IF(C367="SINAPI",VLOOKUP(D367,#REF!,5,0),IF(C367="EDIF",VLOOKUP(D367,#REF!,4,0),IF(C367="CPOS",VLOOKUP(D367,#REF!,7,0),IF(C367="FDE",VLOOKUP(D367,#REF!,5,0),IF(C367="INFRA",VLOOKUP(D367,#REF!,4,0),""))))))*VLOOKUP(C367,#REF!,3,0),"")</f>
        <v/>
      </c>
      <c r="I367" s="1106">
        <v>0.25</v>
      </c>
      <c r="J367" s="67" t="e">
        <f t="shared" si="44"/>
        <v>#VALUE!</v>
      </c>
      <c r="K367" s="69" t="e">
        <f t="shared" si="45"/>
        <v>#VALUE!</v>
      </c>
      <c r="L367" s="51"/>
      <c r="M367" s="52"/>
      <c r="N367" s="940"/>
    </row>
    <row r="368" spans="1:14" ht="27" customHeight="1">
      <c r="A368" s="25"/>
      <c r="B368" s="61" t="s">
        <v>945</v>
      </c>
      <c r="C368" s="61" t="s">
        <v>4908</v>
      </c>
      <c r="D368" s="65" t="s">
        <v>6411</v>
      </c>
      <c r="E368" s="64" t="str">
        <f>IFERROR(UPPER(IF(C368="CPU",VLOOKUP(D368,#REF!,2,0),IF(C368="SINAPI",VLOOKUP(D368,#REF!,2,0),IF(C368="EDIF",VLOOKUP(D368,#REF!,2,0),IF(C368="CPOS",VLOOKUP(D368,#REF!,3,0),IF(C368="FDE",VLOOKUP(D368,#REF!,2,0),IF(C368="INFRA",VLOOKUP(D368,#REF!,2,0),""))))))),"")</f>
        <v/>
      </c>
      <c r="F368" s="65" t="str">
        <f>IFERROR(UPPER(IF(C368="CPU",VLOOKUP(D368,#REF!,3,0),IF(C368="SINAPI",VLOOKUP(D368,#REF!,3,0),IF(C368="EDIF",VLOOKUP(D368,#REF!,3,0),IF(C368="CPOS",VLOOKUP(D368,#REF!,4,0),IF(C368="FDE",VLOOKUP(D368,#REF!,3,0),IF(C368="INFRA",VLOOKUP(D368,#REF!,3,0),""))))))),"")</f>
        <v/>
      </c>
      <c r="G368" s="66">
        <f>1900*0.05</f>
        <v>95</v>
      </c>
      <c r="H368" s="67" t="str">
        <f>IFERROR(IF(C368="CPU",VLOOKUP(D368,#REF!,4,0),IF(C368="SINAPI",VLOOKUP(D368,#REF!,5,0),IF(C368="EDIF",VLOOKUP(D368,#REF!,4,0),IF(C368="CPOS",VLOOKUP(D368,#REF!,7,0),IF(C368="FDE",VLOOKUP(D368,#REF!,5,0),IF(C368="INFRA",VLOOKUP(D368,#REF!,4,0),""))))))*VLOOKUP(C368,#REF!,3,0),"")</f>
        <v/>
      </c>
      <c r="I368" s="1106">
        <v>0.25</v>
      </c>
      <c r="J368" s="67" t="e">
        <f t="shared" si="44"/>
        <v>#VALUE!</v>
      </c>
      <c r="K368" s="69" t="e">
        <f t="shared" si="45"/>
        <v>#VALUE!</v>
      </c>
      <c r="L368" s="51"/>
      <c r="M368" s="52"/>
      <c r="N368" s="940"/>
    </row>
    <row r="369" spans="1:14" ht="27" customHeight="1">
      <c r="A369" s="25"/>
      <c r="B369" s="61" t="s">
        <v>5219</v>
      </c>
      <c r="C369" s="61" t="s">
        <v>4908</v>
      </c>
      <c r="D369" s="65" t="s">
        <v>6597</v>
      </c>
      <c r="E369" s="64" t="str">
        <f>IFERROR(UPPER(IF(C369="CPU",VLOOKUP(D369,#REF!,2,0),IF(C369="SINAPI",VLOOKUP(D369,#REF!,2,0),IF(C369="EDIF",VLOOKUP(D369,#REF!,2,0),IF(C369="CPOS",VLOOKUP(D369,#REF!,3,0),IF(C369="FDE",VLOOKUP(D369,#REF!,2,0),IF(C369="INFRA",VLOOKUP(D369,#REF!,2,0),""))))))),"")</f>
        <v/>
      </c>
      <c r="F369" s="65" t="str">
        <f>IFERROR(UPPER(IF(C369="CPU",VLOOKUP(D369,#REF!,3,0),IF(C369="SINAPI",VLOOKUP(D369,#REF!,3,0),IF(C369="EDIF",VLOOKUP(D369,#REF!,3,0),IF(C369="CPOS",VLOOKUP(D369,#REF!,4,0),IF(C369="FDE",VLOOKUP(D369,#REF!,3,0),IF(C369="INFRA",VLOOKUP(D369,#REF!,3,0),""))))))),"")</f>
        <v/>
      </c>
      <c r="G369" s="66">
        <v>120</v>
      </c>
      <c r="H369" s="67" t="str">
        <f>IFERROR(IF(C369="CPU",VLOOKUP(D369,#REF!,4,0),IF(C369="SINAPI",VLOOKUP(D369,#REF!,5,0),IF(C369="EDIF",VLOOKUP(D369,#REF!,4,0),IF(C369="CPOS",VLOOKUP(D369,#REF!,7,0),IF(C369="FDE",VLOOKUP(D369,#REF!,5,0),IF(C369="INFRA",VLOOKUP(D369,#REF!,4,0),""))))))*VLOOKUP(C369,#REF!,3,0),"")</f>
        <v/>
      </c>
      <c r="I369" s="1106">
        <v>0.25</v>
      </c>
      <c r="J369" s="67" t="e">
        <f t="shared" si="44"/>
        <v>#VALUE!</v>
      </c>
      <c r="K369" s="69" t="e">
        <f t="shared" si="45"/>
        <v>#VALUE!</v>
      </c>
      <c r="L369" s="51"/>
      <c r="M369" s="52"/>
      <c r="N369" s="940"/>
    </row>
    <row r="370" spans="1:14" ht="27" customHeight="1">
      <c r="A370" s="25"/>
      <c r="B370" s="61" t="s">
        <v>5222</v>
      </c>
      <c r="C370" s="1114" t="s">
        <v>4872</v>
      </c>
      <c r="D370" s="1107">
        <v>101172</v>
      </c>
      <c r="E370" s="64" t="str">
        <f>IFERROR(UPPER(IF(C370="CPU",VLOOKUP(D370,#REF!,2,0),IF(C370="SINAPI",VLOOKUP(D370,#REF!,2,0),IF(C370="EDIF",VLOOKUP(D370,#REF!,2,0),IF(C370="CPOS",VLOOKUP(D370,#REF!,3,0),IF(C370="FDE",VLOOKUP(D370,#REF!,2,0),IF(C370="INFRA",VLOOKUP(D370,#REF!,2,0),""))))))),"")</f>
        <v/>
      </c>
      <c r="F370" s="65" t="str">
        <f>IFERROR(UPPER(IF(C370="CPU",VLOOKUP(D370,#REF!,3,0),IF(C370="SINAPI",VLOOKUP(D370,#REF!,3,0),IF(C370="EDIF",VLOOKUP(D370,#REF!,3,0),IF(C370="CPOS",VLOOKUP(D370,#REF!,4,0),IF(C370="FDE",VLOOKUP(D370,#REF!,3,0),IF(C370="INFRA",VLOOKUP(D370,#REF!,3,0),""))))))),"")</f>
        <v/>
      </c>
      <c r="G370" s="66">
        <v>100</v>
      </c>
      <c r="H370" s="67" t="str">
        <f>IFERROR(IF(C370="CPU",VLOOKUP(D370,#REF!,4,0),IF(C370="SINAPI",VLOOKUP(D370,#REF!,5,0),IF(C370="EDIF",VLOOKUP(D370,#REF!,4,0),IF(C370="CPOS",VLOOKUP(D370,#REF!,7,0),IF(C370="FDE",VLOOKUP(D370,#REF!,5,0),IF(C370="INFRA",VLOOKUP(D370,#REF!,4,0),""))))))*VLOOKUP(C370,#REF!,3,0),"")</f>
        <v/>
      </c>
      <c r="I370" s="1106">
        <v>0.25</v>
      </c>
      <c r="J370" s="67" t="e">
        <f t="shared" si="44"/>
        <v>#VALUE!</v>
      </c>
      <c r="K370" s="69" t="e">
        <f t="shared" si="45"/>
        <v>#VALUE!</v>
      </c>
      <c r="L370" s="51"/>
      <c r="M370" s="52"/>
      <c r="N370" s="940"/>
    </row>
    <row r="371" spans="1:14" ht="27" customHeight="1">
      <c r="A371" s="25"/>
      <c r="B371" s="61" t="s">
        <v>5224</v>
      </c>
      <c r="C371" s="1114" t="s">
        <v>4872</v>
      </c>
      <c r="D371" s="1107">
        <v>101190</v>
      </c>
      <c r="E371" s="64" t="str">
        <f>IFERROR(UPPER(IF(C371="CPU",VLOOKUP(D371,#REF!,2,0),IF(C371="SINAPI",VLOOKUP(D371,#REF!,2,0),IF(C371="EDIF",VLOOKUP(D371,#REF!,2,0),IF(C371="CPOS",VLOOKUP(D371,#REF!,3,0),IF(C371="FDE",VLOOKUP(D371,#REF!,2,0),IF(C371="INFRA",VLOOKUP(D371,#REF!,2,0),""))))))),"")</f>
        <v/>
      </c>
      <c r="F371" s="65" t="str">
        <f>IFERROR(UPPER(IF(C371="CPU",VLOOKUP(D371,#REF!,3,0),IF(C371="SINAPI",VLOOKUP(D371,#REF!,3,0),IF(C371="EDIF",VLOOKUP(D371,#REF!,3,0),IF(C371="CPOS",VLOOKUP(D371,#REF!,4,0),IF(C371="FDE",VLOOKUP(D371,#REF!,3,0),IF(C371="INFRA",VLOOKUP(D371,#REF!,3,0),""))))))),"")</f>
        <v/>
      </c>
      <c r="G371" s="66">
        <v>100</v>
      </c>
      <c r="H371" s="67" t="str">
        <f>IFERROR(IF(C371="CPU",VLOOKUP(D371,#REF!,4,0),IF(C371="SINAPI",VLOOKUP(D371,#REF!,5,0),IF(C371="EDIF",VLOOKUP(D371,#REF!,4,0),IF(C371="CPOS",VLOOKUP(D371,#REF!,7,0),IF(C371="FDE",VLOOKUP(D371,#REF!,5,0),IF(C371="INFRA",VLOOKUP(D371,#REF!,4,0),""))))))*VLOOKUP(C371,#REF!,3,0),"")</f>
        <v/>
      </c>
      <c r="I371" s="1106">
        <v>0.25</v>
      </c>
      <c r="J371" s="67" t="e">
        <f t="shared" si="44"/>
        <v>#VALUE!</v>
      </c>
      <c r="K371" s="69" t="e">
        <f t="shared" si="45"/>
        <v>#VALUE!</v>
      </c>
      <c r="L371" s="51"/>
      <c r="M371" s="52"/>
      <c r="N371" s="940"/>
    </row>
    <row r="372" spans="1:14" ht="27" customHeight="1">
      <c r="A372" s="25"/>
      <c r="B372" s="61" t="s">
        <v>5226</v>
      </c>
      <c r="C372" s="61" t="s">
        <v>4908</v>
      </c>
      <c r="D372" s="65" t="s">
        <v>6598</v>
      </c>
      <c r="E372" s="64" t="str">
        <f>IFERROR(UPPER(IF(C372="CPU",VLOOKUP(D372,#REF!,2,0),IF(C372="SINAPI",VLOOKUP(D372,#REF!,2,0),IF(C372="EDIF",VLOOKUP(D372,#REF!,2,0),IF(C372="CPOS",VLOOKUP(D372,#REF!,3,0),IF(C372="FDE",VLOOKUP(D372,#REF!,2,0),IF(C372="INFRA",VLOOKUP(D372,#REF!,2,0),""))))))),"")</f>
        <v/>
      </c>
      <c r="F372" s="65" t="str">
        <f>IFERROR(UPPER(IF(C372="CPU",VLOOKUP(D372,#REF!,3,0),IF(C372="SINAPI",VLOOKUP(D372,#REF!,3,0),IF(C372="EDIF",VLOOKUP(D372,#REF!,3,0),IF(C372="CPOS",VLOOKUP(D372,#REF!,4,0),IF(C372="FDE",VLOOKUP(D372,#REF!,3,0),IF(C372="INFRA",VLOOKUP(D372,#REF!,3,0),""))))))),"")</f>
        <v/>
      </c>
      <c r="G372" s="66">
        <v>10</v>
      </c>
      <c r="H372" s="67" t="str">
        <f>IFERROR(IF(C372="CPU",VLOOKUP(D372,#REF!,4,0),IF(C372="SINAPI",VLOOKUP(D372,#REF!,5,0),IF(C372="EDIF",VLOOKUP(D372,#REF!,4,0),IF(C372="CPOS",VLOOKUP(D372,#REF!,7,0),IF(C372="FDE",VLOOKUP(D372,#REF!,5,0),IF(C372="INFRA",VLOOKUP(D372,#REF!,4,0),""))))))*VLOOKUP(C372,#REF!,3,0),"")</f>
        <v/>
      </c>
      <c r="I372" s="1106">
        <v>0.25</v>
      </c>
      <c r="J372" s="67" t="e">
        <f t="shared" si="44"/>
        <v>#VALUE!</v>
      </c>
      <c r="K372" s="69" t="e">
        <f t="shared" si="45"/>
        <v>#VALUE!</v>
      </c>
      <c r="L372" s="51"/>
      <c r="M372" s="52"/>
      <c r="N372" s="940"/>
    </row>
    <row r="373" spans="1:14" ht="27" customHeight="1">
      <c r="A373" s="25"/>
      <c r="B373" s="61" t="s">
        <v>5228</v>
      </c>
      <c r="C373" s="1114" t="s">
        <v>4872</v>
      </c>
      <c r="D373" s="1107">
        <v>188001</v>
      </c>
      <c r="E373" s="64" t="str">
        <f>IFERROR(UPPER(IF(C373="CPU",VLOOKUP(D373,#REF!,2,0),IF(C373="SINAPI",VLOOKUP(D373,#REF!,2,0),IF(C373="EDIF",VLOOKUP(D373,#REF!,2,0),IF(C373="CPOS",VLOOKUP(D373,#REF!,3,0),IF(C373="FDE",VLOOKUP(D373,#REF!,2,0),IF(C373="INFRA",VLOOKUP(D373,#REF!,2,0),""))))))),"")</f>
        <v/>
      </c>
      <c r="F373" s="65" t="str">
        <f>IFERROR(UPPER(IF(C373="CPU",VLOOKUP(D373,#REF!,3,0),IF(C373="SINAPI",VLOOKUP(D373,#REF!,3,0),IF(C373="EDIF",VLOOKUP(D373,#REF!,3,0),IF(C373="CPOS",VLOOKUP(D373,#REF!,4,0),IF(C373="FDE",VLOOKUP(D373,#REF!,3,0),IF(C373="INFRA",VLOOKUP(D373,#REF!,3,0),""))))))),"")</f>
        <v/>
      </c>
      <c r="G373" s="66">
        <v>200</v>
      </c>
      <c r="H373" s="67" t="str">
        <f>IFERROR(IF(C373="CPU",VLOOKUP(D373,#REF!,4,0),IF(C373="SINAPI",VLOOKUP(D373,#REF!,5,0),IF(C373="EDIF",VLOOKUP(D373,#REF!,4,0),IF(C373="CPOS",VLOOKUP(D373,#REF!,7,0),IF(C373="FDE",VLOOKUP(D373,#REF!,5,0),IF(C373="INFRA",VLOOKUP(D373,#REF!,4,0),""))))))*VLOOKUP(C373,#REF!,3,0),"")</f>
        <v/>
      </c>
      <c r="I373" s="1106">
        <v>0.25</v>
      </c>
      <c r="J373" s="67" t="e">
        <f t="shared" si="44"/>
        <v>#VALUE!</v>
      </c>
      <c r="K373" s="69" t="e">
        <f t="shared" si="45"/>
        <v>#VALUE!</v>
      </c>
      <c r="L373" s="51"/>
      <c r="M373" s="52"/>
      <c r="N373" s="940"/>
    </row>
    <row r="374" spans="1:14" ht="27" customHeight="1">
      <c r="A374" s="25"/>
      <c r="B374" s="61" t="s">
        <v>5230</v>
      </c>
      <c r="C374" s="1114" t="s">
        <v>4872</v>
      </c>
      <c r="D374" s="1107">
        <v>188011</v>
      </c>
      <c r="E374" s="64" t="str">
        <f>IFERROR(UPPER(IF(C374="CPU",VLOOKUP(D374,#REF!,2,0),IF(C374="SINAPI",VLOOKUP(D374,#REF!,2,0),IF(C374="EDIF",VLOOKUP(D374,#REF!,2,0),IF(C374="CPOS",VLOOKUP(D374,#REF!,3,0),IF(C374="FDE",VLOOKUP(D374,#REF!,2,0),IF(C374="INFRA",VLOOKUP(D374,#REF!,2,0),""))))))),"")</f>
        <v/>
      </c>
      <c r="F374" s="65" t="str">
        <f>IFERROR(UPPER(IF(C374="CPU",VLOOKUP(D374,#REF!,3,0),IF(C374="SINAPI",VLOOKUP(D374,#REF!,3,0),IF(C374="EDIF",VLOOKUP(D374,#REF!,3,0),IF(C374="CPOS",VLOOKUP(D374,#REF!,4,0),IF(C374="FDE",VLOOKUP(D374,#REF!,3,0),IF(C374="INFRA",VLOOKUP(D374,#REF!,3,0),""))))))),"")</f>
        <v/>
      </c>
      <c r="G374" s="66">
        <f>G373*0.1</f>
        <v>20</v>
      </c>
      <c r="H374" s="67" t="str">
        <f>IFERROR(IF(C374="CPU",VLOOKUP(D374,#REF!,4,0),IF(C374="SINAPI",VLOOKUP(D374,#REF!,5,0),IF(C374="EDIF",VLOOKUP(D374,#REF!,4,0),IF(C374="CPOS",VLOOKUP(D374,#REF!,7,0),IF(C374="FDE",VLOOKUP(D374,#REF!,5,0),IF(C374="INFRA",VLOOKUP(D374,#REF!,4,0),""))))))*VLOOKUP(C374,#REF!,3,0),"")</f>
        <v/>
      </c>
      <c r="I374" s="1106">
        <v>0.25</v>
      </c>
      <c r="J374" s="67" t="e">
        <f t="shared" si="44"/>
        <v>#VALUE!</v>
      </c>
      <c r="K374" s="69" t="e">
        <f t="shared" si="45"/>
        <v>#VALUE!</v>
      </c>
      <c r="L374" s="51"/>
      <c r="M374" s="52"/>
      <c r="N374" s="940"/>
    </row>
    <row r="375" spans="1:14" ht="27" customHeight="1">
      <c r="A375" s="25"/>
      <c r="B375" s="61" t="s">
        <v>5232</v>
      </c>
      <c r="C375" s="61" t="s">
        <v>4908</v>
      </c>
      <c r="D375" s="65" t="s">
        <v>6599</v>
      </c>
      <c r="E375" s="64" t="str">
        <f>IFERROR(UPPER(IF(C375="CPU",VLOOKUP(D375,#REF!,2,0),IF(C375="SINAPI",VLOOKUP(D375,#REF!,2,0),IF(C375="EDIF",VLOOKUP(D375,#REF!,2,0),IF(C375="CPOS",VLOOKUP(D375,#REF!,3,0),IF(C375="FDE",VLOOKUP(D375,#REF!,2,0),IF(C375="INFRA",VLOOKUP(D375,#REF!,2,0),""))))))),"")</f>
        <v/>
      </c>
      <c r="F375" s="65" t="str">
        <f>IFERROR(UPPER(IF(C375="CPU",VLOOKUP(D375,#REF!,3,0),IF(C375="SINAPI",VLOOKUP(D375,#REF!,3,0),IF(C375="EDIF",VLOOKUP(D375,#REF!,3,0),IF(C375="CPOS",VLOOKUP(D375,#REF!,4,0),IF(C375="FDE",VLOOKUP(D375,#REF!,3,0),IF(C375="INFRA",VLOOKUP(D375,#REF!,3,0),""))))))),"")</f>
        <v/>
      </c>
      <c r="G375" s="66">
        <v>200</v>
      </c>
      <c r="H375" s="67" t="str">
        <f>IFERROR(IF(C375="CPU",VLOOKUP(D375,#REF!,4,0),IF(C375="SINAPI",VLOOKUP(D375,#REF!,5,0),IF(C375="EDIF",VLOOKUP(D375,#REF!,4,0),IF(C375="CPOS",VLOOKUP(D375,#REF!,7,0),IF(C375="FDE",VLOOKUP(D375,#REF!,5,0),IF(C375="INFRA",VLOOKUP(D375,#REF!,4,0),""))))))*VLOOKUP(C375,#REF!,3,0),"")</f>
        <v/>
      </c>
      <c r="I375" s="1106">
        <v>0.25</v>
      </c>
      <c r="J375" s="67" t="e">
        <f t="shared" si="44"/>
        <v>#VALUE!</v>
      </c>
      <c r="K375" s="69" t="e">
        <f t="shared" si="45"/>
        <v>#VALUE!</v>
      </c>
      <c r="L375" s="51"/>
      <c r="M375" s="52"/>
      <c r="N375" s="940"/>
    </row>
    <row r="376" spans="1:14" ht="27" customHeight="1">
      <c r="A376" s="25"/>
      <c r="B376" s="53">
        <v>16</v>
      </c>
      <c r="C376" s="54"/>
      <c r="D376" s="55"/>
      <c r="E376" s="55" t="s">
        <v>6600</v>
      </c>
      <c r="F376" s="57"/>
      <c r="G376" s="57"/>
      <c r="H376" s="58" t="str">
        <f>IFERROR(IF(C376="CPU",VLOOKUP(D376,#REF!,4,0),IF(C376="SINAPI",VLOOKUP(D376,#REF!,5,0),IF(C376="EDIF",VLOOKUP(D376,#REF!,4,0),IF(C376="CPOS",VLOOKUP(D376,#REF!,7,0),IF(C376="FDE",VLOOKUP(D376,#REF!,5,0),IF(C376="INFRA",VLOOKUP(D376,#REF!,4,0),""))))))*VLOOKUP(C376,#REF!,3,0),"")</f>
        <v/>
      </c>
      <c r="I376" s="59"/>
      <c r="J376" s="59"/>
      <c r="K376" s="1095" t="e">
        <f>SUM(K377:K382)</f>
        <v>#VALUE!</v>
      </c>
      <c r="L376" s="51" t="e">
        <f>K376</f>
        <v>#VALUE!</v>
      </c>
      <c r="M376" s="52"/>
      <c r="N376" s="940"/>
    </row>
    <row r="377" spans="1:14" ht="27" customHeight="1">
      <c r="A377" s="25"/>
      <c r="B377" s="61" t="s">
        <v>952</v>
      </c>
      <c r="C377" s="1114" t="s">
        <v>4872</v>
      </c>
      <c r="D377" s="1107">
        <v>100120</v>
      </c>
      <c r="E377" s="64" t="str">
        <f>IFERROR(UPPER(IF(C377="CPU",VLOOKUP(D377,#REF!,2,0),IF(C377="SINAPI",VLOOKUP(D377,#REF!,2,0),IF(C377="EDIF",VLOOKUP(D377,#REF!,2,0),IF(C377="CPOS",VLOOKUP(D377,#REF!,3,0),IF(C377="FDE",VLOOKUP(D377,#REF!,2,0),IF(C377="INFRA",VLOOKUP(D377,#REF!,2,0),""))))))),"")</f>
        <v/>
      </c>
      <c r="F377" s="65" t="str">
        <f>IFERROR(UPPER(IF(C377="CPU",VLOOKUP(D377,#REF!,3,0),IF(C377="SINAPI",VLOOKUP(D377,#REF!,3,0),IF(C377="EDIF",VLOOKUP(D377,#REF!,3,0),IF(C377="CPOS",VLOOKUP(D377,#REF!,4,0),IF(C377="FDE",VLOOKUP(D377,#REF!,3,0),IF(C377="INFRA",VLOOKUP(D377,#REF!,3,0),""))))))),"")</f>
        <v/>
      </c>
      <c r="G377" s="66">
        <v>1</v>
      </c>
      <c r="H377" s="67" t="str">
        <f>IFERROR(IF(C377="CPU",VLOOKUP(D377,#REF!,4,0),IF(C377="SINAPI",VLOOKUP(D377,#REF!,5,0),IF(C377="EDIF",VLOOKUP(D377,#REF!,4,0),IF(C377="CPOS",VLOOKUP(D377,#REF!,7,0),IF(C377="FDE",VLOOKUP(D377,#REF!,5,0),IF(C377="INFRA",VLOOKUP(D377,#REF!,4,0),""))))))*VLOOKUP(C377,#REF!,3,0),"")</f>
        <v/>
      </c>
      <c r="I377" s="1106">
        <v>0.25</v>
      </c>
      <c r="J377" s="67" t="e">
        <f t="shared" ref="J377:J382" si="46">ROUND(H377*(1+I377),2)</f>
        <v>#VALUE!</v>
      </c>
      <c r="K377" s="69" t="e">
        <f t="shared" ref="K377:K382" si="47">SUM(G377*J377)</f>
        <v>#VALUE!</v>
      </c>
      <c r="L377" s="51"/>
      <c r="M377" s="52"/>
      <c r="N377" s="940"/>
    </row>
    <row r="378" spans="1:14" ht="27" customHeight="1">
      <c r="A378" s="25"/>
      <c r="B378" s="61" t="s">
        <v>967</v>
      </c>
      <c r="C378" s="1114" t="s">
        <v>4872</v>
      </c>
      <c r="D378" s="1107">
        <v>100764</v>
      </c>
      <c r="E378" s="64" t="str">
        <f>IFERROR(UPPER(IF(C378="CPU",VLOOKUP(D378,#REF!,2,0),IF(C378="SINAPI",VLOOKUP(D378,#REF!,2,0),IF(C378="EDIF",VLOOKUP(D378,#REF!,2,0),IF(C378="CPOS",VLOOKUP(D378,#REF!,3,0),IF(C378="FDE",VLOOKUP(D378,#REF!,2,0),IF(C378="INFRA",VLOOKUP(D378,#REF!,2,0),""))))))),"")</f>
        <v/>
      </c>
      <c r="F378" s="65" t="str">
        <f>IFERROR(UPPER(IF(C378="CPU",VLOOKUP(D378,#REF!,3,0),IF(C378="SINAPI",VLOOKUP(D378,#REF!,3,0),IF(C378="EDIF",VLOOKUP(D378,#REF!,3,0),IF(C378="CPOS",VLOOKUP(D378,#REF!,4,0),IF(C378="FDE",VLOOKUP(D378,#REF!,3,0),IF(C378="INFRA",VLOOKUP(D378,#REF!,3,0),""))))))),"")</f>
        <v/>
      </c>
      <c r="G378" s="66">
        <v>1</v>
      </c>
      <c r="H378" s="67" t="str">
        <f>IFERROR(IF(C378="CPU",VLOOKUP(D378,#REF!,4,0),IF(C378="SINAPI",VLOOKUP(D378,#REF!,5,0),IF(C378="EDIF",VLOOKUP(D378,#REF!,4,0),IF(C378="CPOS",VLOOKUP(D378,#REF!,7,0),IF(C378="FDE",VLOOKUP(D378,#REF!,5,0),IF(C378="INFRA",VLOOKUP(D378,#REF!,4,0),""))))))*VLOOKUP(C378,#REF!,3,0),"")</f>
        <v/>
      </c>
      <c r="I378" s="1106">
        <v>0.25</v>
      </c>
      <c r="J378" s="67" t="e">
        <f t="shared" si="46"/>
        <v>#VALUE!</v>
      </c>
      <c r="K378" s="69" t="e">
        <f t="shared" si="47"/>
        <v>#VALUE!</v>
      </c>
      <c r="L378" s="51"/>
      <c r="M378" s="52"/>
      <c r="N378" s="940"/>
    </row>
    <row r="379" spans="1:14" ht="27" customHeight="1">
      <c r="A379" s="25"/>
      <c r="B379" s="61" t="s">
        <v>984</v>
      </c>
      <c r="C379" s="1114" t="s">
        <v>4872</v>
      </c>
      <c r="D379" s="1107">
        <v>170383</v>
      </c>
      <c r="E379" s="64" t="str">
        <f>IFERROR(UPPER(IF(C379="CPU",VLOOKUP(D379,#REF!,2,0),IF(C379="SINAPI",VLOOKUP(D379,#REF!,2,0),IF(C379="EDIF",VLOOKUP(D379,#REF!,2,0),IF(C379="CPOS",VLOOKUP(D379,#REF!,3,0),IF(C379="FDE",VLOOKUP(D379,#REF!,2,0),IF(C379="INFRA",VLOOKUP(D379,#REF!,2,0),""))))))),"")</f>
        <v/>
      </c>
      <c r="F379" s="65" t="str">
        <f>IFERROR(UPPER(IF(C379="CPU",VLOOKUP(D379,#REF!,3,0),IF(C379="SINAPI",VLOOKUP(D379,#REF!,3,0),IF(C379="EDIF",VLOOKUP(D379,#REF!,3,0),IF(C379="CPOS",VLOOKUP(D379,#REF!,4,0),IF(C379="FDE",VLOOKUP(D379,#REF!,3,0),IF(C379="INFRA",VLOOKUP(D379,#REF!,3,0),""))))))),"")</f>
        <v/>
      </c>
      <c r="G379" s="66">
        <v>1</v>
      </c>
      <c r="H379" s="67" t="str">
        <f>IFERROR(IF(C379="CPU",VLOOKUP(D379,#REF!,4,0),IF(C379="SINAPI",VLOOKUP(D379,#REF!,5,0),IF(C379="EDIF",VLOOKUP(D379,#REF!,4,0),IF(C379="CPOS",VLOOKUP(D379,#REF!,7,0),IF(C379="FDE",VLOOKUP(D379,#REF!,5,0),IF(C379="INFRA",VLOOKUP(D379,#REF!,4,0),""))))))*VLOOKUP(C379,#REF!,3,0),"")</f>
        <v/>
      </c>
      <c r="I379" s="1106">
        <v>0.25</v>
      </c>
      <c r="J379" s="67" t="e">
        <f t="shared" si="46"/>
        <v>#VALUE!</v>
      </c>
      <c r="K379" s="69" t="e">
        <f t="shared" si="47"/>
        <v>#VALUE!</v>
      </c>
      <c r="L379" s="51"/>
      <c r="M379" s="52"/>
      <c r="N379" s="940"/>
    </row>
    <row r="380" spans="1:14" ht="27" customHeight="1">
      <c r="A380" s="25"/>
      <c r="B380" s="61" t="s">
        <v>995</v>
      </c>
      <c r="C380" s="1114" t="s">
        <v>4872</v>
      </c>
      <c r="D380" s="1107">
        <v>80306</v>
      </c>
      <c r="E380" s="64" t="str">
        <f>IFERROR(UPPER(IF(C380="CPU",VLOOKUP(D380,#REF!,2,0),IF(C380="SINAPI",VLOOKUP(D380,#REF!,2,0),IF(C380="EDIF",VLOOKUP(D380,#REF!,2,0),IF(C380="CPOS",VLOOKUP(D380,#REF!,3,0),IF(C380="FDE",VLOOKUP(D380,#REF!,2,0),IF(C380="INFRA",VLOOKUP(D380,#REF!,2,0),""))))))),"")</f>
        <v/>
      </c>
      <c r="F380" s="65" t="str">
        <f>IFERROR(UPPER(IF(C380="CPU",VLOOKUP(D380,#REF!,3,0),IF(C380="SINAPI",VLOOKUP(D380,#REF!,3,0),IF(C380="EDIF",VLOOKUP(D380,#REF!,3,0),IF(C380="CPOS",VLOOKUP(D380,#REF!,4,0),IF(C380="FDE",VLOOKUP(D380,#REF!,3,0),IF(C380="INFRA",VLOOKUP(D380,#REF!,3,0),""))))))),"")</f>
        <v/>
      </c>
      <c r="G380" s="66">
        <v>4</v>
      </c>
      <c r="H380" s="67" t="str">
        <f>IFERROR(IF(C380="CPU",VLOOKUP(D380,#REF!,4,0),IF(C380="SINAPI",VLOOKUP(D380,#REF!,5,0),IF(C380="EDIF",VLOOKUP(D380,#REF!,4,0),IF(C380="CPOS",VLOOKUP(D380,#REF!,7,0),IF(C380="FDE",VLOOKUP(D380,#REF!,5,0),IF(C380="INFRA",VLOOKUP(D380,#REF!,4,0),""))))))*VLOOKUP(C380,#REF!,3,0),"")</f>
        <v/>
      </c>
      <c r="I380" s="1106">
        <v>0.25</v>
      </c>
      <c r="J380" s="67" t="e">
        <f t="shared" si="46"/>
        <v>#VALUE!</v>
      </c>
      <c r="K380" s="69" t="e">
        <f t="shared" si="47"/>
        <v>#VALUE!</v>
      </c>
      <c r="L380" s="51"/>
      <c r="M380" s="52"/>
      <c r="N380" s="940"/>
    </row>
    <row r="381" spans="1:14" ht="27" customHeight="1">
      <c r="A381" s="25"/>
      <c r="B381" s="61" t="s">
        <v>1026</v>
      </c>
      <c r="C381" s="1114" t="s">
        <v>4872</v>
      </c>
      <c r="D381" s="1107">
        <v>80305</v>
      </c>
      <c r="E381" s="64" t="str">
        <f>IFERROR(UPPER(IF(C381="CPU",VLOOKUP(D381,#REF!,2,0),IF(C381="SINAPI",VLOOKUP(D381,#REF!,2,0),IF(C381="EDIF",VLOOKUP(D381,#REF!,2,0),IF(C381="CPOS",VLOOKUP(D381,#REF!,3,0),IF(C381="FDE",VLOOKUP(D381,#REF!,2,0),IF(C381="INFRA",VLOOKUP(D381,#REF!,2,0),""))))))),"")</f>
        <v/>
      </c>
      <c r="F381" s="65" t="str">
        <f>IFERROR(UPPER(IF(C381="CPU",VLOOKUP(D381,#REF!,3,0),IF(C381="SINAPI",VLOOKUP(D381,#REF!,3,0),IF(C381="EDIF",VLOOKUP(D381,#REF!,3,0),IF(C381="CPOS",VLOOKUP(D381,#REF!,4,0),IF(C381="FDE",VLOOKUP(D381,#REF!,3,0),IF(C381="INFRA",VLOOKUP(D381,#REF!,3,0),""))))))),"")</f>
        <v/>
      </c>
      <c r="G381" s="66">
        <v>2.8</v>
      </c>
      <c r="H381" s="67" t="str">
        <f>IFERROR(IF(C381="CPU",VLOOKUP(D381,#REF!,4,0),IF(C381="SINAPI",VLOOKUP(D381,#REF!,5,0),IF(C381="EDIF",VLOOKUP(D381,#REF!,4,0),IF(C381="CPOS",VLOOKUP(D381,#REF!,7,0),IF(C381="FDE",VLOOKUP(D381,#REF!,5,0),IF(C381="INFRA",VLOOKUP(D381,#REF!,4,0),""))))))*VLOOKUP(C381,#REF!,3,0),"")</f>
        <v/>
      </c>
      <c r="I381" s="1106">
        <v>0.25</v>
      </c>
      <c r="J381" s="67" t="e">
        <f t="shared" si="46"/>
        <v>#VALUE!</v>
      </c>
      <c r="K381" s="69" t="e">
        <f t="shared" si="47"/>
        <v>#VALUE!</v>
      </c>
      <c r="L381" s="51"/>
      <c r="M381" s="52"/>
      <c r="N381" s="940"/>
    </row>
    <row r="382" spans="1:14" ht="27" customHeight="1">
      <c r="A382" s="25"/>
      <c r="B382" s="61" t="s">
        <v>1055</v>
      </c>
      <c r="C382" s="1114" t="s">
        <v>4872</v>
      </c>
      <c r="D382" s="1107">
        <v>170136</v>
      </c>
      <c r="E382" s="64" t="str">
        <f>IFERROR(UPPER(IF(C382="CPU",VLOOKUP(D382,#REF!,2,0),IF(C382="SINAPI",VLOOKUP(D382,#REF!,2,0),IF(C382="EDIF",VLOOKUP(D382,#REF!,2,0),IF(C382="CPOS",VLOOKUP(D382,#REF!,3,0),IF(C382="FDE",VLOOKUP(D382,#REF!,2,0),IF(C382="INFRA",VLOOKUP(D382,#REF!,2,0),""))))))),"")</f>
        <v/>
      </c>
      <c r="F382" s="65" t="str">
        <f>IFERROR(UPPER(IF(C382="CPU",VLOOKUP(D382,#REF!,3,0),IF(C382="SINAPI",VLOOKUP(D382,#REF!,3,0),IF(C382="EDIF",VLOOKUP(D382,#REF!,3,0),IF(C382="CPOS",VLOOKUP(D382,#REF!,4,0),IF(C382="FDE",VLOOKUP(D382,#REF!,3,0),IF(C382="INFRA",VLOOKUP(D382,#REF!,3,0),""))))))),"")</f>
        <v/>
      </c>
      <c r="G382" s="66">
        <v>1</v>
      </c>
      <c r="H382" s="67" t="str">
        <f>IFERROR(IF(C382="CPU",VLOOKUP(D382,#REF!,4,0),IF(C382="SINAPI",VLOOKUP(D382,#REF!,5,0),IF(C382="EDIF",VLOOKUP(D382,#REF!,4,0),IF(C382="CPOS",VLOOKUP(D382,#REF!,7,0),IF(C382="FDE",VLOOKUP(D382,#REF!,5,0),IF(C382="INFRA",VLOOKUP(D382,#REF!,4,0),""))))))*VLOOKUP(C382,#REF!,3,0),"")</f>
        <v/>
      </c>
      <c r="I382" s="1106">
        <v>0.25</v>
      </c>
      <c r="J382" s="67" t="e">
        <f t="shared" si="46"/>
        <v>#VALUE!</v>
      </c>
      <c r="K382" s="69" t="e">
        <f t="shared" si="47"/>
        <v>#VALUE!</v>
      </c>
      <c r="L382" s="51"/>
      <c r="M382" s="52"/>
      <c r="N382" s="940"/>
    </row>
    <row r="383" spans="1:14" ht="27" customHeight="1">
      <c r="A383" s="25"/>
      <c r="B383" s="53">
        <v>17</v>
      </c>
      <c r="C383" s="54"/>
      <c r="D383" s="55"/>
      <c r="E383" s="55" t="s">
        <v>6601</v>
      </c>
      <c r="F383" s="57"/>
      <c r="G383" s="57"/>
      <c r="H383" s="58" t="str">
        <f>IFERROR(IF(C383="CPU",VLOOKUP(D383,#REF!,4,0),IF(C383="SINAPI",VLOOKUP(D383,#REF!,5,0),IF(C383="EDIF",VLOOKUP(D383,#REF!,4,0),IF(C383="CPOS",VLOOKUP(D383,#REF!,7,0),IF(C383="FDE",VLOOKUP(D383,#REF!,5,0),IF(C383="INFRA",VLOOKUP(D383,#REF!,4,0),""))))))*VLOOKUP(C383,#REF!,3,0),"")</f>
        <v/>
      </c>
      <c r="I383" s="59"/>
      <c r="J383" s="59"/>
      <c r="K383" s="1095" t="e">
        <f>SUM(K384:K385)</f>
        <v>#VALUE!</v>
      </c>
      <c r="L383" s="51" t="e">
        <f>K383</f>
        <v>#VALUE!</v>
      </c>
      <c r="M383" s="52"/>
      <c r="N383" s="940"/>
    </row>
    <row r="384" spans="1:14" ht="27" customHeight="1">
      <c r="A384" s="25"/>
      <c r="B384" s="61" t="s">
        <v>5494</v>
      </c>
      <c r="C384" s="61" t="s">
        <v>6322</v>
      </c>
      <c r="D384" s="1108">
        <v>42425</v>
      </c>
      <c r="E384" s="64" t="s">
        <v>6602</v>
      </c>
      <c r="F384" s="65" t="s">
        <v>1615</v>
      </c>
      <c r="G384" s="66">
        <v>2</v>
      </c>
      <c r="H384" s="67">
        <v>1631.18</v>
      </c>
      <c r="I384" s="1106">
        <v>0.25</v>
      </c>
      <c r="J384" s="67">
        <f>ROUND(H384*(1+I384),2)</f>
        <v>2038.98</v>
      </c>
      <c r="K384" s="69">
        <f>SUM(G384*J384)</f>
        <v>4077.96</v>
      </c>
      <c r="L384" s="51"/>
      <c r="M384" s="52"/>
      <c r="N384" s="940"/>
    </row>
    <row r="385" spans="1:14" ht="27" customHeight="1">
      <c r="A385" s="25"/>
      <c r="B385" s="61" t="s">
        <v>5496</v>
      </c>
      <c r="C385" s="1114" t="s">
        <v>4872</v>
      </c>
      <c r="D385" s="1107">
        <v>171071</v>
      </c>
      <c r="E385" s="64" t="str">
        <f>IFERROR(UPPER(IF(C385="CPU",VLOOKUP(D385,#REF!,2,0),IF(C385="SINAPI",VLOOKUP(D385,#REF!,2,0),IF(C385="EDIF",VLOOKUP(D385,#REF!,2,0),IF(C385="CPOS",VLOOKUP(D385,#REF!,3,0),IF(C385="FDE",VLOOKUP(D385,#REF!,2,0),IF(C385="INFRA",VLOOKUP(D385,#REF!,2,0),""))))))),"")</f>
        <v/>
      </c>
      <c r="F385" s="65" t="str">
        <f>IFERROR(UPPER(IF(C385="CPU",VLOOKUP(D385,#REF!,3,0),IF(C385="SINAPI",VLOOKUP(D385,#REF!,3,0),IF(C385="EDIF",VLOOKUP(D385,#REF!,3,0),IF(C385="CPOS",VLOOKUP(D385,#REF!,4,0),IF(C385="FDE",VLOOKUP(D385,#REF!,3,0),IF(C385="INFRA",VLOOKUP(D385,#REF!,3,0),""))))))),"")</f>
        <v/>
      </c>
      <c r="G385" s="66">
        <v>9</v>
      </c>
      <c r="H385" s="67" t="str">
        <f>IFERROR(IF(C385="CPU",VLOOKUP(D385,#REF!,4,0),IF(C385="SINAPI",VLOOKUP(D385,#REF!,5,0),IF(C385="EDIF",VLOOKUP(D385,#REF!,4,0),IF(C385="CPOS",VLOOKUP(D385,#REF!,7,0),IF(C385="FDE",VLOOKUP(D385,#REF!,5,0),IF(C385="INFRA",VLOOKUP(D385,#REF!,4,0),""))))))*VLOOKUP(C385,#REF!,3,0),"")</f>
        <v/>
      </c>
      <c r="I385" s="1106">
        <v>0.25</v>
      </c>
      <c r="J385" s="67" t="e">
        <f>ROUND(H385*(1+I385),2)</f>
        <v>#VALUE!</v>
      </c>
      <c r="K385" s="69" t="e">
        <f>SUM(G385*J385)</f>
        <v>#VALUE!</v>
      </c>
      <c r="L385" s="51"/>
      <c r="M385" s="52"/>
      <c r="N385" s="940"/>
    </row>
    <row r="386" spans="1:14" ht="27" customHeight="1">
      <c r="A386" s="25"/>
      <c r="B386" s="53">
        <v>18</v>
      </c>
      <c r="C386" s="54"/>
      <c r="D386" s="55"/>
      <c r="E386" s="55" t="s">
        <v>6603</v>
      </c>
      <c r="F386" s="57"/>
      <c r="G386" s="57"/>
      <c r="H386" s="58" t="str">
        <f>IFERROR(IF(C386="CPU",VLOOKUP(D386,#REF!,4,0),IF(C386="SINAPI",VLOOKUP(D386,#REF!,5,0),IF(C386="EDIF",VLOOKUP(D386,#REF!,4,0),IF(C386="CPOS",VLOOKUP(D386,#REF!,7,0),IF(C386="FDE",VLOOKUP(D386,#REF!,5,0),IF(C386="INFRA",VLOOKUP(D386,#REF!,4,0),""))))))*VLOOKUP(C386,#REF!,3,0),"")</f>
        <v/>
      </c>
      <c r="I386" s="59"/>
      <c r="J386" s="59"/>
      <c r="K386" s="1095">
        <f>SUM(K387:K390)</f>
        <v>11868.649999999998</v>
      </c>
      <c r="L386" s="51">
        <f>K386</f>
        <v>11868.649999999998</v>
      </c>
      <c r="M386" s="52"/>
      <c r="N386" s="940"/>
    </row>
    <row r="387" spans="1:14" ht="27.75" customHeight="1">
      <c r="B387" s="61" t="s">
        <v>5504</v>
      </c>
      <c r="C387" s="61" t="s">
        <v>6604</v>
      </c>
      <c r="D387" s="1108" t="s">
        <v>6605</v>
      </c>
      <c r="E387" s="64" t="s">
        <v>6606</v>
      </c>
      <c r="F387" s="65" t="s">
        <v>6607</v>
      </c>
      <c r="G387" s="66">
        <v>1</v>
      </c>
      <c r="H387" s="67">
        <f>1264.33*0.83</f>
        <v>1049.3938999999998</v>
      </c>
      <c r="I387" s="1106">
        <v>0.25</v>
      </c>
      <c r="J387" s="67">
        <f>ROUND(H387*(1+I387),2)</f>
        <v>1311.74</v>
      </c>
      <c r="K387" s="69">
        <f>SUM(G387*J387)</f>
        <v>1311.74</v>
      </c>
      <c r="L387" s="51"/>
    </row>
    <row r="388" spans="1:14" ht="27.75" customHeight="1">
      <c r="B388" s="61" t="s">
        <v>5506</v>
      </c>
      <c r="C388" s="61" t="s">
        <v>6604</v>
      </c>
      <c r="D388" s="1108" t="s">
        <v>6608</v>
      </c>
      <c r="E388" s="64" t="s">
        <v>6609</v>
      </c>
      <c r="F388" s="65" t="s">
        <v>1615</v>
      </c>
      <c r="G388" s="66">
        <v>2</v>
      </c>
      <c r="H388" s="67">
        <f>4046*0.83</f>
        <v>3358.18</v>
      </c>
      <c r="I388" s="1106">
        <v>0.25</v>
      </c>
      <c r="J388" s="67">
        <f>ROUND(H388*(1+I388),2)</f>
        <v>4197.7299999999996</v>
      </c>
      <c r="K388" s="69">
        <f>SUM(G388*J388)</f>
        <v>8395.4599999999991</v>
      </c>
      <c r="L388" s="51"/>
    </row>
    <row r="389" spans="1:14" ht="27.75" customHeight="1">
      <c r="B389" s="61" t="s">
        <v>5508</v>
      </c>
      <c r="C389" s="61" t="s">
        <v>6604</v>
      </c>
      <c r="D389" s="1108" t="s">
        <v>6610</v>
      </c>
      <c r="E389" s="64" t="s">
        <v>6611</v>
      </c>
      <c r="F389" s="65" t="s">
        <v>6607</v>
      </c>
      <c r="G389" s="66">
        <v>1</v>
      </c>
      <c r="H389" s="67">
        <f>1264.33*0.83</f>
        <v>1049.3938999999998</v>
      </c>
      <c r="I389" s="1106">
        <v>0.25</v>
      </c>
      <c r="J389" s="67">
        <f>ROUND(H389*(1+I389),2)</f>
        <v>1311.74</v>
      </c>
      <c r="K389" s="69">
        <f>SUM(G389*J389)</f>
        <v>1311.74</v>
      </c>
      <c r="L389" s="51"/>
    </row>
    <row r="390" spans="1:14" ht="27.75" customHeight="1">
      <c r="B390" s="61" t="s">
        <v>5510</v>
      </c>
      <c r="C390" s="61" t="s">
        <v>6604</v>
      </c>
      <c r="D390" s="1108" t="s">
        <v>6612</v>
      </c>
      <c r="E390" s="64" t="s">
        <v>6613</v>
      </c>
      <c r="F390" s="65" t="s">
        <v>1615</v>
      </c>
      <c r="G390" s="66">
        <v>1</v>
      </c>
      <c r="H390" s="67">
        <f>819*0.83</f>
        <v>679.77</v>
      </c>
      <c r="I390" s="1106">
        <v>0.25</v>
      </c>
      <c r="J390" s="67">
        <f>ROUND(H390*(1+I390),2)</f>
        <v>849.71</v>
      </c>
      <c r="K390" s="69">
        <f>SUM(G390*J390)</f>
        <v>849.71</v>
      </c>
      <c r="L390" s="51"/>
    </row>
    <row r="391" spans="1:14" ht="27" customHeight="1">
      <c r="A391" s="25"/>
      <c r="B391" s="53">
        <v>19</v>
      </c>
      <c r="C391" s="54"/>
      <c r="D391" s="55"/>
      <c r="E391" s="55" t="s">
        <v>6614</v>
      </c>
      <c r="F391" s="57"/>
      <c r="G391" s="57"/>
      <c r="H391" s="58" t="str">
        <f>IFERROR(IF(C391="CPU",VLOOKUP(D391,#REF!,4,0),IF(C391="SINAPI",VLOOKUP(D391,#REF!,5,0),IF(C391="EDIF",VLOOKUP(D391,#REF!,4,0),IF(C391="CPOS",VLOOKUP(D391,#REF!,7,0),IF(C391="FDE",VLOOKUP(D391,#REF!,5,0),IF(C391="INFRA",VLOOKUP(D391,#REF!,4,0),""))))))*VLOOKUP(C391,#REF!,3,0),"")</f>
        <v/>
      </c>
      <c r="I391" s="59"/>
      <c r="J391" s="59"/>
      <c r="K391" s="1095" t="e">
        <f>SUM(K392:K397)</f>
        <v>#VALUE!</v>
      </c>
      <c r="L391" s="51" t="e">
        <f>K391</f>
        <v>#VALUE!</v>
      </c>
      <c r="M391" s="52"/>
      <c r="N391" s="940"/>
    </row>
    <row r="392" spans="1:14" ht="27.75" customHeight="1">
      <c r="B392" s="61" t="s">
        <v>5513</v>
      </c>
      <c r="C392" s="61" t="s">
        <v>4872</v>
      </c>
      <c r="D392" s="1107">
        <v>170594</v>
      </c>
      <c r="E392" s="64" t="str">
        <f>IFERROR(UPPER(IF(C392="CPU",VLOOKUP(D392,#REF!,2,0),IF(C392="SINAPI",VLOOKUP(D392,#REF!,2,0),IF(C392="EDIF",VLOOKUP(D392,#REF!,2,0),IF(C392="CPOS",VLOOKUP(D392,#REF!,3,0),IF(C392="FDE",VLOOKUP(D392,#REF!,2,0),IF(C392="INFRA",VLOOKUP(D392,#REF!,2,0),""))))))),"")</f>
        <v/>
      </c>
      <c r="F392" s="65" t="str">
        <f>IFERROR(UPPER(IF(C392="CPU",VLOOKUP(D392,#REF!,3,0),IF(C392="SINAPI",VLOOKUP(D392,#REF!,3,0),IF(C392="EDIF",VLOOKUP(D392,#REF!,3,0),IF(C392="CPOS",VLOOKUP(D392,#REF!,4,0),IF(C392="FDE",VLOOKUP(D392,#REF!,3,0),IF(C392="INFRA",VLOOKUP(D392,#REF!,3,0),""))))))),"")</f>
        <v/>
      </c>
      <c r="G392" s="66">
        <v>4</v>
      </c>
      <c r="H392" s="67" t="str">
        <f>IFERROR(IF(C392="CPU",VLOOKUP(D392,#REF!,4,0),IF(C392="SINAPI",VLOOKUP(D392,#REF!,5,0),IF(C392="EDIF",VLOOKUP(D392,#REF!,4,0),IF(C392="CPOS",VLOOKUP(D392,#REF!,7,0),IF(C392="FDE",VLOOKUP(D392,#REF!,5,0),IF(C392="INFRA",VLOOKUP(D392,#REF!,4,0),""))))))*VLOOKUP(C392,#REF!,3,0),"")</f>
        <v/>
      </c>
      <c r="I392" s="1106">
        <v>0.25</v>
      </c>
      <c r="J392" s="67" t="e">
        <f t="shared" ref="J392:J397" si="48">ROUND(H392*(1+I392),2)</f>
        <v>#VALUE!</v>
      </c>
      <c r="K392" s="69" t="e">
        <f t="shared" ref="K392:K397" si="49">SUM(G392*J392)</f>
        <v>#VALUE!</v>
      </c>
      <c r="L392" s="1116"/>
    </row>
    <row r="393" spans="1:14" ht="27.75" customHeight="1">
      <c r="B393" s="61" t="s">
        <v>5515</v>
      </c>
      <c r="C393" s="61" t="s">
        <v>4872</v>
      </c>
      <c r="D393" s="1107">
        <v>170595</v>
      </c>
      <c r="E393" s="64" t="str">
        <f>IFERROR(UPPER(IF(C393="CPU",VLOOKUP(D393,#REF!,2,0),IF(C393="SINAPI",VLOOKUP(D393,#REF!,2,0),IF(C393="EDIF",VLOOKUP(D393,#REF!,2,0),IF(C393="CPOS",VLOOKUP(D393,#REF!,3,0),IF(C393="FDE",VLOOKUP(D393,#REF!,2,0),IF(C393="INFRA",VLOOKUP(D393,#REF!,2,0),""))))))),"")</f>
        <v/>
      </c>
      <c r="F393" s="65" t="str">
        <f>IFERROR(UPPER(IF(C393="CPU",VLOOKUP(D393,#REF!,3,0),IF(C393="SINAPI",VLOOKUP(D393,#REF!,3,0),IF(C393="EDIF",VLOOKUP(D393,#REF!,3,0),IF(C393="CPOS",VLOOKUP(D393,#REF!,4,0),IF(C393="FDE",VLOOKUP(D393,#REF!,3,0),IF(C393="INFRA",VLOOKUP(D393,#REF!,3,0),""))))))),"")</f>
        <v/>
      </c>
      <c r="G393" s="66">
        <v>2</v>
      </c>
      <c r="H393" s="67" t="str">
        <f>IFERROR(IF(C393="CPU",VLOOKUP(D393,#REF!,4,0),IF(C393="SINAPI",VLOOKUP(D393,#REF!,5,0),IF(C393="EDIF",VLOOKUP(D393,#REF!,4,0),IF(C393="CPOS",VLOOKUP(D393,#REF!,7,0),IF(C393="FDE",VLOOKUP(D393,#REF!,5,0),IF(C393="INFRA",VLOOKUP(D393,#REF!,4,0),""))))))*VLOOKUP(C393,#REF!,3,0),"")</f>
        <v/>
      </c>
      <c r="I393" s="1106">
        <v>0.25</v>
      </c>
      <c r="J393" s="67" t="e">
        <f t="shared" si="48"/>
        <v>#VALUE!</v>
      </c>
      <c r="K393" s="69" t="e">
        <f t="shared" si="49"/>
        <v>#VALUE!</v>
      </c>
      <c r="L393" s="1116"/>
    </row>
    <row r="394" spans="1:14" ht="27.75" customHeight="1">
      <c r="B394" s="61" t="s">
        <v>5517</v>
      </c>
      <c r="C394" s="61" t="s">
        <v>4872</v>
      </c>
      <c r="D394" s="1107">
        <v>170597</v>
      </c>
      <c r="E394" s="64" t="str">
        <f>IFERROR(UPPER(IF(C394="CPU",VLOOKUP(D394,#REF!,2,0),IF(C394="SINAPI",VLOOKUP(D394,#REF!,2,0),IF(C394="EDIF",VLOOKUP(D394,#REF!,2,0),IF(C394="CPOS",VLOOKUP(D394,#REF!,3,0),IF(C394="FDE",VLOOKUP(D394,#REF!,2,0),IF(C394="INFRA",VLOOKUP(D394,#REF!,2,0),""))))))),"")</f>
        <v/>
      </c>
      <c r="F394" s="65" t="str">
        <f>IFERROR(UPPER(IF(C394="CPU",VLOOKUP(D394,#REF!,3,0),IF(C394="SINAPI",VLOOKUP(D394,#REF!,3,0),IF(C394="EDIF",VLOOKUP(D394,#REF!,3,0),IF(C394="CPOS",VLOOKUP(D394,#REF!,4,0),IF(C394="FDE",VLOOKUP(D394,#REF!,3,0),IF(C394="INFRA",VLOOKUP(D394,#REF!,3,0),""))))))),"")</f>
        <v/>
      </c>
      <c r="G394" s="66">
        <v>2</v>
      </c>
      <c r="H394" s="67" t="str">
        <f>IFERROR(IF(C394="CPU",VLOOKUP(D394,#REF!,4,0),IF(C394="SINAPI",VLOOKUP(D394,#REF!,5,0),IF(C394="EDIF",VLOOKUP(D394,#REF!,4,0),IF(C394="CPOS",VLOOKUP(D394,#REF!,7,0),IF(C394="FDE",VLOOKUP(D394,#REF!,5,0),IF(C394="INFRA",VLOOKUP(D394,#REF!,4,0),""))))))*VLOOKUP(C394,#REF!,3,0),"")</f>
        <v/>
      </c>
      <c r="I394" s="1106">
        <v>0.25</v>
      </c>
      <c r="J394" s="67" t="e">
        <f t="shared" si="48"/>
        <v>#VALUE!</v>
      </c>
      <c r="K394" s="69" t="e">
        <f t="shared" si="49"/>
        <v>#VALUE!</v>
      </c>
      <c r="L394" s="1116"/>
    </row>
    <row r="395" spans="1:14" ht="27.75" customHeight="1">
      <c r="B395" s="61" t="s">
        <v>5519</v>
      </c>
      <c r="C395" s="61" t="s">
        <v>4872</v>
      </c>
      <c r="D395" s="1107">
        <v>173001</v>
      </c>
      <c r="E395" s="64" t="str">
        <f>IFERROR(UPPER(IF(C395="CPU",VLOOKUP(D395,#REF!,2,0),IF(C395="SINAPI",VLOOKUP(D395,#REF!,2,0),IF(C395="EDIF",VLOOKUP(D395,#REF!,2,0),IF(C395="CPOS",VLOOKUP(D395,#REF!,3,0),IF(C395="FDE",VLOOKUP(D395,#REF!,2,0),IF(C395="INFRA",VLOOKUP(D395,#REF!,2,0),""))))))),"")</f>
        <v/>
      </c>
      <c r="F395" s="65" t="str">
        <f>IFERROR(UPPER(IF(C395="CPU",VLOOKUP(D395,#REF!,3,0),IF(C395="SINAPI",VLOOKUP(D395,#REF!,3,0),IF(C395="EDIF",VLOOKUP(D395,#REF!,3,0),IF(C395="CPOS",VLOOKUP(D395,#REF!,4,0),IF(C395="FDE",VLOOKUP(D395,#REF!,3,0),IF(C395="INFRA",VLOOKUP(D395,#REF!,3,0),""))))))),"")</f>
        <v/>
      </c>
      <c r="G395" s="66">
        <v>1</v>
      </c>
      <c r="H395" s="67" t="str">
        <f>IFERROR(IF(C395="CPU",VLOOKUP(D395,#REF!,4,0),IF(C395="SINAPI",VLOOKUP(D395,#REF!,5,0),IF(C395="EDIF",VLOOKUP(D395,#REF!,4,0),IF(C395="CPOS",VLOOKUP(D395,#REF!,7,0),IF(C395="FDE",VLOOKUP(D395,#REF!,5,0),IF(C395="INFRA",VLOOKUP(D395,#REF!,4,0),""))))))*VLOOKUP(C395,#REF!,3,0),"")</f>
        <v/>
      </c>
      <c r="I395" s="1106">
        <v>0.25</v>
      </c>
      <c r="J395" s="67" t="e">
        <f t="shared" si="48"/>
        <v>#VALUE!</v>
      </c>
      <c r="K395" s="69" t="e">
        <f t="shared" si="49"/>
        <v>#VALUE!</v>
      </c>
      <c r="L395" s="1116"/>
    </row>
    <row r="396" spans="1:14" ht="27.75" customHeight="1">
      <c r="B396" s="61" t="s">
        <v>5521</v>
      </c>
      <c r="C396" s="61" t="s">
        <v>1479</v>
      </c>
      <c r="D396" s="1108" t="s">
        <v>6615</v>
      </c>
      <c r="E396" s="64" t="str">
        <f>IFERROR(UPPER(IF(C396="CPU",VLOOKUP(D396,#REF!,2,0),IF(C396="SINAPI",VLOOKUP(D396,#REF!,2,0),IF(C396="EDIF",VLOOKUP(D396,#REF!,2,0),IF(C396="CPOS",VLOOKUP(D396,#REF!,3,0),IF(C396="FDE",VLOOKUP(D396,#REF!,2,0),IF(C396="INFRA",VLOOKUP(D396,#REF!,2,0),""))))))),"")</f>
        <v/>
      </c>
      <c r="F396" s="65" t="str">
        <f>IFERROR(UPPER(IF(C396="CPU",VLOOKUP(D396,#REF!,3,0),IF(C396="SINAPI",VLOOKUP(D396,#REF!,3,0),IF(C396="EDIF",VLOOKUP(D396,#REF!,3,0),IF(C396="CPOS",VLOOKUP(D396,#REF!,4,0),IF(C396="FDE",VLOOKUP(D396,#REF!,3,0),IF(C396="INFRA",VLOOKUP(D396,#REF!,3,0),""))))))),"")</f>
        <v/>
      </c>
      <c r="G396" s="66">
        <v>2</v>
      </c>
      <c r="H396" s="67" t="str">
        <f>IFERROR(IF(C396="CPU",VLOOKUP(D396,#REF!,4,0),IF(C396="SINAPI",VLOOKUP(D396,#REF!,5,0),IF(C396="EDIF",VLOOKUP(D396,#REF!,4,0),IF(C396="CPOS",VLOOKUP(D396,#REF!,7,0),IF(C396="FDE",VLOOKUP(D396,#REF!,5,0),IF(C396="INFRA",VLOOKUP(D396,#REF!,4,0),""))))))*VLOOKUP(C396,#REF!,3,0),"")</f>
        <v/>
      </c>
      <c r="I396" s="1106">
        <v>0.25</v>
      </c>
      <c r="J396" s="67" t="e">
        <f t="shared" si="48"/>
        <v>#VALUE!</v>
      </c>
      <c r="K396" s="69" t="e">
        <f t="shared" si="49"/>
        <v>#VALUE!</v>
      </c>
      <c r="L396" s="1116"/>
    </row>
    <row r="397" spans="1:14" ht="27.75" customHeight="1">
      <c r="B397" s="61" t="s">
        <v>5524</v>
      </c>
      <c r="C397" s="61" t="s">
        <v>4872</v>
      </c>
      <c r="D397" s="1107">
        <v>170401</v>
      </c>
      <c r="E397" s="64" t="str">
        <f>IFERROR(UPPER(IF(C397="CPU",VLOOKUP(D397,#REF!,2,0),IF(C397="SINAPI",VLOOKUP(D397,#REF!,2,0),IF(C397="EDIF",VLOOKUP(D397,#REF!,2,0),IF(C397="CPOS",VLOOKUP(D397,#REF!,3,0),IF(C397="FDE",VLOOKUP(D397,#REF!,2,0),IF(C397="INFRA",VLOOKUP(D397,#REF!,2,0),""))))))),"")</f>
        <v/>
      </c>
      <c r="F397" s="65" t="str">
        <f>IFERROR(UPPER(IF(C397="CPU",VLOOKUP(D397,#REF!,3,0),IF(C397="SINAPI",VLOOKUP(D397,#REF!,3,0),IF(C397="EDIF",VLOOKUP(D397,#REF!,3,0),IF(C397="CPOS",VLOOKUP(D397,#REF!,4,0),IF(C397="FDE",VLOOKUP(D397,#REF!,3,0),IF(C397="INFRA",VLOOKUP(D397,#REF!,3,0),""))))))),"")</f>
        <v/>
      </c>
      <c r="G397" s="66">
        <v>2750</v>
      </c>
      <c r="H397" s="67" t="str">
        <f>IFERROR(IF(C397="CPU",VLOOKUP(D397,#REF!,4,0),IF(C397="SINAPI",VLOOKUP(D397,#REF!,5,0),IF(C397="EDIF",VLOOKUP(D397,#REF!,4,0),IF(C397="CPOS",VLOOKUP(D397,#REF!,7,0),IF(C397="FDE",VLOOKUP(D397,#REF!,5,0),IF(C397="INFRA",VLOOKUP(D397,#REF!,4,0),""))))))*VLOOKUP(C397,#REF!,3,0),"")</f>
        <v/>
      </c>
      <c r="I397" s="1106">
        <v>0.25</v>
      </c>
      <c r="J397" s="67" t="e">
        <f t="shared" si="48"/>
        <v>#VALUE!</v>
      </c>
      <c r="K397" s="69" t="e">
        <f t="shared" si="49"/>
        <v>#VALUE!</v>
      </c>
      <c r="L397" s="1116"/>
    </row>
    <row r="398" spans="1:14" ht="27.75" customHeight="1">
      <c r="B398" s="1414" t="str">
        <f>IFERROR(UPPER(IF(C398="CPU",VLOOKUP(D398,#REF!,2,0),IF(C398="SINAPI",VLOOKUP(D398,#REF!,2,0),IF(C398="EDIF",VLOOKUP(D398,#REF!,2,0),IF(C398="CPOS",VLOOKUP(D398,#REF!,3,0),IF(C398="FDE",VLOOKUP(D398,#REF!,2,0),IF(C398="INFRA",VLOOKUP(D398,#REF!,2,0),""))))))),"")</f>
        <v/>
      </c>
      <c r="C398" s="1414"/>
      <c r="D398" s="1414"/>
      <c r="E398" s="1414"/>
      <c r="F398" s="1414"/>
      <c r="G398" s="1414"/>
      <c r="H398" s="1412" t="s">
        <v>6616</v>
      </c>
      <c r="I398" s="1412"/>
      <c r="J398" s="1117"/>
      <c r="K398" s="1064" t="e">
        <f>K400/1.25</f>
        <v>#VALUE!</v>
      </c>
      <c r="L398" s="51"/>
    </row>
    <row r="399" spans="1:14" ht="22.5" customHeight="1">
      <c r="B399" s="1414" t="str">
        <f>IFERROR(UPPER(IF(C399="CPU",VLOOKUP(D399,#REF!,2,0),IF(C399="SINAPI",VLOOKUP(D399,#REF!,2,0),IF(C399="EDIF",VLOOKUP(D399,#REF!,2,0),IF(C399="CPOS",VLOOKUP(D399,#REF!,3,0),IF(C399="FDE",VLOOKUP(D399,#REF!,2,0),IF(C399="INFRA",VLOOKUP(D399,#REF!,2,0),""))))))),"")</f>
        <v/>
      </c>
      <c r="C399" s="1414"/>
      <c r="D399" s="1414"/>
      <c r="E399" s="1414"/>
      <c r="F399" s="1414"/>
      <c r="G399" s="1414"/>
      <c r="H399" s="1412" t="s">
        <v>6617</v>
      </c>
      <c r="I399" s="1412"/>
      <c r="J399" s="1117"/>
      <c r="K399" s="1064" t="e">
        <f>K400-K398</f>
        <v>#VALUE!</v>
      </c>
    </row>
    <row r="400" spans="1:14" ht="32.25" customHeight="1">
      <c r="B400" s="1414" t="str">
        <f>IFERROR(UPPER(IF(C400="CPU",VLOOKUP(D400,#REF!,2,0),IF(C400="SINAPI",VLOOKUP(D400,#REF!,2,0),IF(C400="EDIF",VLOOKUP(D400,#REF!,2,0),IF(C400="CPOS",VLOOKUP(D400,#REF!,3,0),IF(C400="FDE",VLOOKUP(D400,#REF!,2,0),IF(C400="INFRA",VLOOKUP(D400,#REF!,2,0),""))))))),"")</f>
        <v/>
      </c>
      <c r="C400" s="1414"/>
      <c r="D400" s="1414"/>
      <c r="E400" s="1414"/>
      <c r="F400" s="1414"/>
      <c r="G400" s="1414"/>
      <c r="H400" s="1412" t="s">
        <v>1140</v>
      </c>
      <c r="I400" s="1412"/>
      <c r="J400" s="1117"/>
      <c r="K400" s="1064" t="e">
        <f>SUM(K13:K397)/2</f>
        <v>#VALUE!</v>
      </c>
      <c r="L400" s="1116" t="e">
        <f>4200000-K400</f>
        <v>#VALUE!</v>
      </c>
    </row>
    <row r="401" spans="2:11" ht="11.4">
      <c r="B401" s="1118"/>
      <c r="C401" s="1118"/>
      <c r="D401" s="1119"/>
      <c r="E401" s="1120" t="str">
        <f>IFERROR(UPPER(IF(C401="CPU",VLOOKUP(D401,#REF!,2,0),IF(C401="SINAPI",VLOOKUP(D401,#REF!,2,0),IF(C401="EDIF",VLOOKUP(D401,#REF!,2,0),IF(C401="CPOS",VLOOKUP(D401,#REF!,3,0),IF(C401="FDE",VLOOKUP(D401,#REF!,2,0),IF(C401="INFRA",VLOOKUP(D401,#REF!,2,0),""))))))),"")</f>
        <v/>
      </c>
      <c r="F401" s="1121" t="str">
        <f>IFERROR(UPPER(IF(C401="CPU",VLOOKUP(D401,#REF!,3,0),IF(C401="SINAPI",VLOOKUP(D401,#REF!,3,0),IF(C401="EDIF",VLOOKUP(D401,#REF!,3,0),IF(C401="CPOS",VLOOKUP(D401,#REF!,4,0),IF(C401="FDE",VLOOKUP(D401,#REF!,3,0),IF(C401="INFRA",VLOOKUP(D401,#REF!,3,0),""))))))),"")</f>
        <v/>
      </c>
      <c r="G401" s="1122"/>
      <c r="H401" s="1123" t="str">
        <f>IFERROR(IF(C401="CPU",VLOOKUP(D401,#REF!,4,0),IF(C401="SINAPI",VLOOKUP(D401,#REF!,5,0),IF(C401="EDIF",VLOOKUP(D401,#REF!,4,0),IF(C401="CPOS",VLOOKUP(D401,#REF!,7,0),IF(C401="FDE",VLOOKUP(D401,#REF!,5,0),IF(C401="INFRA",VLOOKUP(D401,#REF!,4,0),""))))))*VLOOKUP(C401,#REF!,3,0),"")</f>
        <v/>
      </c>
      <c r="I401" s="1124"/>
      <c r="J401" s="1124"/>
      <c r="K401" s="1125"/>
    </row>
    <row r="402" spans="2:11">
      <c r="B402" s="1070"/>
      <c r="C402" s="1413"/>
      <c r="D402" s="1413"/>
      <c r="E402" s="1413"/>
      <c r="F402" s="1413"/>
      <c r="G402" s="1413"/>
      <c r="H402" s="1413"/>
      <c r="I402" s="1413"/>
      <c r="J402" s="1413"/>
      <c r="K402" s="1413"/>
    </row>
    <row r="404" spans="2:11">
      <c r="K404" s="1071"/>
    </row>
    <row r="405" spans="2:11">
      <c r="K405" s="1071" t="e">
        <f>K400/300</f>
        <v>#VALUE!</v>
      </c>
    </row>
  </sheetData>
  <autoFilter ref="B12:K401" xr:uid="{00000000-0009-0000-0000-00000E000000}"/>
  <mergeCells count="13">
    <mergeCell ref="B400:G400"/>
    <mergeCell ref="H400:I400"/>
    <mergeCell ref="C402:K402"/>
    <mergeCell ref="B11:K11"/>
    <mergeCell ref="B398:G398"/>
    <mergeCell ref="H398:I398"/>
    <mergeCell ref="B399:G399"/>
    <mergeCell ref="H399:I399"/>
    <mergeCell ref="B1:H1"/>
    <mergeCell ref="I1:K10"/>
    <mergeCell ref="E3:E4"/>
    <mergeCell ref="E6:E7"/>
    <mergeCell ref="E8:E9"/>
  </mergeCells>
  <printOptions horizontalCentered="1" verticalCentered="1"/>
  <pageMargins left="0.27569444444444402" right="0.27569444444444402" top="0.59027777777777801" bottom="0.86597222222222203" header="0.511811023622047" footer="0.196527777777778"/>
  <pageSetup paperSize="9" scale="60" fitToHeight="15" orientation="landscape" horizontalDpi="300" verticalDpi="300" r:id="rId1"/>
  <headerFooter>
    <oddFooter>&amp;C&amp;P de &amp;N</oddFooter>
  </headerFooter>
  <rowBreaks count="3" manualBreakCount="3">
    <brk id="31" max="16383" man="1"/>
    <brk id="49" max="16383" man="1"/>
    <brk id="390" max="16383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X49"/>
  <sheetViews>
    <sheetView tabSelected="1" view="pageBreakPreview" topLeftCell="A15" zoomScale="90" zoomScaleNormal="100" zoomScalePageLayoutView="90" workbookViewId="0">
      <selection activeCell="H35" sqref="H35"/>
    </sheetView>
  </sheetViews>
  <sheetFormatPr defaultColWidth="8.6640625" defaultRowHeight="13.2"/>
  <cols>
    <col min="1" max="1" width="11" customWidth="1"/>
    <col min="2" max="2" width="44" customWidth="1"/>
    <col min="3" max="3" width="8" customWidth="1"/>
    <col min="4" max="4" width="10.6640625" customWidth="1"/>
    <col min="5" max="5" width="8.5546875" customWidth="1"/>
    <col min="6" max="6" width="9.109375" customWidth="1"/>
  </cols>
  <sheetData>
    <row r="1" spans="1:24" s="1126" customFormat="1" ht="13.8">
      <c r="B1" s="1127"/>
      <c r="C1" s="1128"/>
      <c r="D1" s="1129"/>
      <c r="E1" s="1127"/>
      <c r="F1" s="1130"/>
      <c r="G1" s="1130"/>
      <c r="H1" s="1130"/>
      <c r="I1" s="1130"/>
      <c r="J1" s="1130"/>
      <c r="K1" s="1130"/>
      <c r="L1" s="1130"/>
      <c r="M1" s="1130"/>
      <c r="O1" s="1131"/>
      <c r="V1" s="1132"/>
      <c r="W1" s="1132"/>
      <c r="X1" s="1132"/>
    </row>
    <row r="2" spans="1:24" s="1126" customFormat="1" ht="13.8">
      <c r="B2" s="1128"/>
      <c r="C2" s="1129"/>
      <c r="D2" s="1127"/>
      <c r="E2" s="1130"/>
      <c r="F2" s="1130"/>
      <c r="G2" s="1130"/>
      <c r="H2" s="1130"/>
      <c r="I2" s="1130"/>
      <c r="J2" s="1130"/>
      <c r="K2" s="1130"/>
      <c r="L2" s="1130"/>
      <c r="N2" s="1131"/>
      <c r="U2" s="1132"/>
      <c r="V2" s="1132"/>
      <c r="W2" s="1132"/>
    </row>
    <row r="3" spans="1:24" s="1126" customFormat="1" ht="14.25" customHeight="1">
      <c r="A3" s="1133"/>
      <c r="B3" s="1415" t="s">
        <v>1166</v>
      </c>
      <c r="C3" s="1415"/>
      <c r="D3" s="1415"/>
      <c r="E3" s="1415"/>
      <c r="F3" s="1415"/>
      <c r="G3" s="1415"/>
      <c r="H3" s="1415"/>
      <c r="I3" s="1415"/>
      <c r="K3" s="1131"/>
      <c r="R3" s="1132"/>
      <c r="S3" s="1132"/>
      <c r="T3" s="1132"/>
    </row>
    <row r="4" spans="1:24" s="1126" customFormat="1" ht="14.25" customHeight="1">
      <c r="A4" s="1134"/>
      <c r="B4" s="1415"/>
      <c r="C4" s="1415"/>
      <c r="D4" s="1415"/>
      <c r="E4" s="1415"/>
      <c r="F4" s="1415"/>
      <c r="G4" s="1415"/>
      <c r="H4" s="1415"/>
      <c r="I4" s="1415"/>
      <c r="K4" s="1131"/>
      <c r="R4" s="1132"/>
      <c r="S4" s="1132"/>
      <c r="T4" s="1132"/>
    </row>
    <row r="5" spans="1:24" s="1126" customFormat="1" ht="72.75" customHeight="1">
      <c r="A5" s="1135"/>
      <c r="B5" s="1415"/>
      <c r="C5" s="1415"/>
      <c r="D5" s="1415"/>
      <c r="E5" s="1415"/>
      <c r="F5" s="1415"/>
      <c r="G5" s="1415"/>
      <c r="H5" s="1415"/>
      <c r="I5" s="1415"/>
      <c r="K5" s="1131"/>
      <c r="R5" s="1132"/>
      <c r="S5" s="1132"/>
      <c r="T5" s="1132"/>
    </row>
    <row r="6" spans="1:24" s="1126" customFormat="1" ht="14.25" customHeight="1">
      <c r="A6" s="1136" t="s">
        <v>6618</v>
      </c>
      <c r="B6" s="1416" t="s">
        <v>6619</v>
      </c>
      <c r="C6" s="1416"/>
      <c r="D6" s="1416"/>
      <c r="E6" s="1416"/>
      <c r="F6" s="1416"/>
      <c r="G6" s="1416"/>
      <c r="H6" s="1416"/>
      <c r="I6" s="1416"/>
      <c r="K6" s="1131"/>
      <c r="R6" s="1132"/>
      <c r="S6" s="1132"/>
      <c r="T6" s="1132"/>
    </row>
    <row r="7" spans="1:24" s="1126" customFormat="1" ht="13.8">
      <c r="A7" s="1136" t="s">
        <v>1167</v>
      </c>
      <c r="B7" s="1416" t="str">
        <f>CRONOGRAMA!C7</f>
        <v>RUA JOSÉ GOMES, PARQUE RESIDENCIAL PORTO BELO</v>
      </c>
      <c r="C7" s="1416"/>
      <c r="D7" s="1416"/>
      <c r="E7" s="1416"/>
      <c r="F7" s="1416"/>
      <c r="G7" s="1416"/>
      <c r="H7" s="1416"/>
      <c r="I7" s="1416"/>
      <c r="K7" s="1131"/>
      <c r="R7" s="1132"/>
      <c r="S7" s="1132"/>
      <c r="T7" s="1132"/>
    </row>
    <row r="8" spans="1:24" ht="13.8">
      <c r="A8" s="1136" t="s">
        <v>1168</v>
      </c>
      <c r="B8" s="1417">
        <f>CRONOGRAMA!C8</f>
        <v>0.23</v>
      </c>
      <c r="C8" s="1417"/>
      <c r="D8" s="1417"/>
      <c r="E8" s="1417"/>
      <c r="F8" s="1417"/>
      <c r="G8" s="1417"/>
      <c r="H8" s="1417"/>
      <c r="I8" s="1417"/>
      <c r="J8" s="1126"/>
      <c r="K8" s="1131"/>
      <c r="L8" s="1126"/>
      <c r="M8" s="1126"/>
      <c r="N8" s="1126"/>
      <c r="O8" s="1126"/>
      <c r="P8" s="1126"/>
      <c r="Q8" s="1126"/>
      <c r="R8" s="1132"/>
      <c r="S8" s="1132"/>
      <c r="T8" s="1132"/>
      <c r="U8" s="1126"/>
      <c r="V8" s="1126"/>
      <c r="W8" s="1126"/>
      <c r="X8" s="1126"/>
    </row>
    <row r="9" spans="1:24" ht="13.8">
      <c r="A9" s="1136"/>
      <c r="B9" s="1137"/>
      <c r="C9" s="1138"/>
      <c r="D9" s="1138"/>
      <c r="E9" s="1138"/>
      <c r="F9" s="1138"/>
      <c r="G9" s="1138"/>
      <c r="H9" s="1138"/>
      <c r="I9" s="1139"/>
      <c r="J9" s="1126"/>
      <c r="K9" s="1131"/>
      <c r="L9" s="1126"/>
      <c r="M9" s="1126"/>
      <c r="N9" s="1126"/>
      <c r="O9" s="1126"/>
      <c r="P9" s="1126"/>
      <c r="Q9" s="1126"/>
      <c r="R9" s="1132"/>
      <c r="S9" s="1132"/>
      <c r="T9" s="1132"/>
      <c r="U9" s="1126"/>
      <c r="V9" s="1126"/>
      <c r="W9" s="1126"/>
      <c r="X9" s="1126"/>
    </row>
    <row r="10" spans="1:24" ht="13.8" hidden="1">
      <c r="A10" s="1126"/>
      <c r="B10" s="1127"/>
      <c r="C10" s="1128"/>
      <c r="D10" s="1129"/>
      <c r="E10" s="1127"/>
      <c r="F10" s="1130"/>
      <c r="G10" s="1130"/>
      <c r="H10" s="1130"/>
      <c r="I10" s="1130"/>
      <c r="J10" s="1130"/>
      <c r="K10" s="1130"/>
      <c r="L10" s="1126"/>
      <c r="M10" s="1131"/>
      <c r="N10" s="1126"/>
      <c r="O10" s="1126"/>
      <c r="P10" s="1126"/>
      <c r="Q10" s="1126"/>
      <c r="R10" s="1126"/>
      <c r="S10" s="1126"/>
      <c r="T10" s="1132"/>
      <c r="U10" s="1132"/>
      <c r="V10" s="1132"/>
      <c r="W10" s="1126"/>
      <c r="X10" s="1126"/>
    </row>
    <row r="11" spans="1:24" hidden="1">
      <c r="A11" s="1418" t="s">
        <v>1140</v>
      </c>
      <c r="B11" s="1418"/>
      <c r="C11" s="1140"/>
      <c r="D11" s="1141">
        <f>F29</f>
        <v>0.23</v>
      </c>
      <c r="E11" s="1419" t="e">
        <f>$D$11*#REF!</f>
        <v>#REF!</v>
      </c>
      <c r="F11" s="1419"/>
    </row>
    <row r="12" spans="1:24" hidden="1"/>
    <row r="13" spans="1:24" hidden="1">
      <c r="A13" s="1142"/>
    </row>
    <row r="14" spans="1:24" hidden="1"/>
    <row r="15" spans="1:24" ht="13.8">
      <c r="A15" s="1143" t="s">
        <v>6620</v>
      </c>
      <c r="B15" s="1144"/>
      <c r="C15" s="1144"/>
      <c r="D15" s="1145"/>
      <c r="E15" s="1145"/>
      <c r="F15" s="1144"/>
    </row>
    <row r="16" spans="1:24" ht="13.8">
      <c r="A16" s="1420" t="s">
        <v>6621</v>
      </c>
      <c r="B16" s="1420"/>
      <c r="C16" s="1420"/>
      <c r="D16" s="1420"/>
      <c r="E16" s="1420"/>
      <c r="F16" s="1420"/>
    </row>
    <row r="17" spans="1:12" ht="13.8">
      <c r="A17" s="1146"/>
      <c r="B17" s="1146"/>
      <c r="C17" s="1146"/>
      <c r="D17" s="1146"/>
      <c r="E17" s="1146"/>
      <c r="F17" s="1146"/>
      <c r="G17" s="1147" t="s">
        <v>6622</v>
      </c>
      <c r="H17" s="1421" t="s">
        <v>6623</v>
      </c>
      <c r="I17" s="1421"/>
    </row>
    <row r="18" spans="1:12" ht="13.8">
      <c r="A18" s="1149" t="s">
        <v>6624</v>
      </c>
      <c r="B18" s="1150"/>
      <c r="C18" s="1150"/>
      <c r="D18" s="1150"/>
      <c r="E18" s="1151" t="s">
        <v>6625</v>
      </c>
      <c r="F18" s="1151" t="s">
        <v>6626</v>
      </c>
      <c r="G18" s="1147" t="s">
        <v>6627</v>
      </c>
      <c r="H18" s="1148" t="s">
        <v>6628</v>
      </c>
      <c r="I18" s="1148" t="s">
        <v>6629</v>
      </c>
    </row>
    <row r="19" spans="1:12" ht="13.8">
      <c r="A19" s="1152" t="s">
        <v>6630</v>
      </c>
      <c r="B19" s="1153"/>
      <c r="C19" s="1153"/>
      <c r="D19" s="1153"/>
      <c r="E19" s="1154" t="s">
        <v>6631</v>
      </c>
      <c r="F19" s="1155">
        <v>0.03</v>
      </c>
      <c r="G19" s="1156" t="str">
        <f>IF(OR(F19&lt;H19,F19&gt;I19),"NÃO","SIM")</f>
        <v>SIM</v>
      </c>
      <c r="H19" s="1157">
        <v>0.03</v>
      </c>
      <c r="I19" s="1158">
        <v>5.5E-2</v>
      </c>
      <c r="J19" s="1159">
        <f>I19-H19</f>
        <v>2.5000000000000001E-2</v>
      </c>
      <c r="K19">
        <f>J19/4</f>
        <v>6.2500000000000003E-3</v>
      </c>
      <c r="L19" s="1159">
        <f>H19+K19</f>
        <v>3.6249999999999998E-2</v>
      </c>
    </row>
    <row r="20" spans="1:12" ht="13.8">
      <c r="A20" s="1160" t="s">
        <v>6632</v>
      </c>
      <c r="B20" s="1161"/>
      <c r="C20" s="1161"/>
      <c r="D20" s="1161"/>
      <c r="E20" s="1162" t="s">
        <v>6633</v>
      </c>
      <c r="F20" s="1163">
        <v>8.0000000000000002E-3</v>
      </c>
      <c r="G20" s="1156" t="str">
        <f>IF(OR(F20&lt;H20,F20&gt;I20),"NÃO","SIM")</f>
        <v>SIM</v>
      </c>
      <c r="H20" s="1164">
        <v>8.0000000000000002E-3</v>
      </c>
      <c r="I20" s="1165">
        <v>0.01</v>
      </c>
      <c r="J20" s="1159">
        <f>I20-H20</f>
        <v>2E-3</v>
      </c>
      <c r="K20">
        <f>J20/4</f>
        <v>5.0000000000000001E-4</v>
      </c>
      <c r="L20" s="1159">
        <f>H20+K20</f>
        <v>8.5000000000000006E-3</v>
      </c>
    </row>
    <row r="21" spans="1:12" ht="13.8">
      <c r="A21" s="1160" t="s">
        <v>6634</v>
      </c>
      <c r="B21" s="1161"/>
      <c r="C21" s="1161"/>
      <c r="D21" s="1161"/>
      <c r="E21" s="1162" t="s">
        <v>6635</v>
      </c>
      <c r="F21" s="1163">
        <v>9.7000000000000003E-3</v>
      </c>
      <c r="G21" s="1156" t="str">
        <f>IF(OR(F21&lt;H21,F21&gt;I21),"NÃO","SIM")</f>
        <v>SIM</v>
      </c>
      <c r="H21" s="1164">
        <v>9.7000000000000003E-3</v>
      </c>
      <c r="I21" s="1165">
        <v>1.2699999999999999E-2</v>
      </c>
      <c r="J21" s="1159">
        <f>I21-H21</f>
        <v>2.9999999999999992E-3</v>
      </c>
      <c r="K21">
        <f>J21/4</f>
        <v>7.499999999999998E-4</v>
      </c>
      <c r="L21" s="1159">
        <f>H21+K21</f>
        <v>1.0450000000000001E-2</v>
      </c>
    </row>
    <row r="22" spans="1:12" ht="13.8">
      <c r="A22" s="1160" t="s">
        <v>6636</v>
      </c>
      <c r="B22" s="1161"/>
      <c r="C22" s="1161"/>
      <c r="D22" s="1161"/>
      <c r="E22" s="1162" t="s">
        <v>6637</v>
      </c>
      <c r="F22" s="1163">
        <v>1.0200000000000001E-2</v>
      </c>
      <c r="G22" s="1156" t="str">
        <f>IF(OR(F22&lt;H22,F22&gt;I22),"NÃO","SIM")</f>
        <v>SIM</v>
      </c>
      <c r="H22" s="1164">
        <v>5.8999999999999999E-3</v>
      </c>
      <c r="I22" s="1165">
        <v>1.3899999999999999E-2</v>
      </c>
      <c r="J22" s="1159">
        <f>I22-H22</f>
        <v>8.0000000000000002E-3</v>
      </c>
      <c r="K22">
        <f>J22/4</f>
        <v>2E-3</v>
      </c>
      <c r="L22" s="1159">
        <f>H22+K22</f>
        <v>7.9000000000000008E-3</v>
      </c>
    </row>
    <row r="23" spans="1:12" ht="13.8">
      <c r="A23" s="1166" t="s">
        <v>6638</v>
      </c>
      <c r="B23" s="1167"/>
      <c r="C23" s="1167"/>
      <c r="D23" s="1167"/>
      <c r="E23" s="1162" t="s">
        <v>6639</v>
      </c>
      <c r="F23" s="1168">
        <v>6.1600000000000002E-2</v>
      </c>
      <c r="G23" s="1156" t="str">
        <f>IF(OR(F23&lt;H23,F23&gt;I23),"NÃO","SIM")</f>
        <v>SIM</v>
      </c>
      <c r="H23" s="1169">
        <v>6.1600000000000002E-2</v>
      </c>
      <c r="I23" s="1170">
        <v>8.9599999999999999E-2</v>
      </c>
      <c r="J23" s="1159">
        <f>I23-H23</f>
        <v>2.7999999999999997E-2</v>
      </c>
      <c r="K23">
        <f>J23/4</f>
        <v>6.9999999999999993E-3</v>
      </c>
      <c r="L23" s="1159">
        <f>H23+K23</f>
        <v>6.8599999999999994E-2</v>
      </c>
    </row>
    <row r="24" spans="1:12" ht="13.8">
      <c r="A24" s="1166" t="s">
        <v>6640</v>
      </c>
      <c r="B24" s="1171" t="s">
        <v>6641</v>
      </c>
      <c r="C24" s="1161"/>
      <c r="D24" s="1172"/>
      <c r="E24" s="1173" t="s">
        <v>6642</v>
      </c>
      <c r="F24" s="1168">
        <v>6.4999999999999997E-3</v>
      </c>
      <c r="G24" s="1156"/>
      <c r="H24" s="1422" t="s">
        <v>6643</v>
      </c>
      <c r="I24" s="1422"/>
    </row>
    <row r="25" spans="1:12" ht="13.8">
      <c r="A25" s="1174"/>
      <c r="B25" s="1171" t="s">
        <v>6644</v>
      </c>
      <c r="C25" s="1161"/>
      <c r="D25" s="1172"/>
      <c r="E25" s="1173"/>
      <c r="F25" s="1168">
        <v>0.03</v>
      </c>
      <c r="G25" s="1156"/>
      <c r="H25" s="1422"/>
      <c r="I25" s="1422"/>
    </row>
    <row r="26" spans="1:12" ht="13.8">
      <c r="A26" s="1174"/>
      <c r="B26" s="1171" t="s">
        <v>6645</v>
      </c>
      <c r="C26" s="1161"/>
      <c r="D26" s="1172"/>
      <c r="E26" s="1173"/>
      <c r="F26" s="1175">
        <f>IF(A16=" - Fornecimento de Materiais e Equipamentos (Aquisição direta)",0,ROUND(F31*E32,4))</f>
        <v>0.05</v>
      </c>
      <c r="G26" s="1156"/>
      <c r="H26" s="1422"/>
      <c r="I26" s="1422"/>
    </row>
    <row r="27" spans="1:12" ht="13.8">
      <c r="A27" s="1174"/>
      <c r="B27" s="1176" t="s">
        <v>6646</v>
      </c>
      <c r="C27" s="1146"/>
      <c r="D27" s="1177"/>
      <c r="E27" s="1173"/>
      <c r="F27" s="1178">
        <f>IF([1]Dados!$G$28="SELECIONAR","Ver DADOS",IF(A16=" - Fornecimento de Materiais e Equipamentos (Aquisição direta)",0,IF([1]Dados!$G$28="não desonerado",0%,4.5%)))</f>
        <v>0</v>
      </c>
      <c r="G27" s="1156"/>
      <c r="H27" s="1422"/>
      <c r="I27" s="1422"/>
    </row>
    <row r="28" spans="1:12" ht="13.8">
      <c r="A28" s="1179" t="s">
        <v>6647</v>
      </c>
      <c r="B28" s="1179"/>
      <c r="C28" s="1179"/>
      <c r="D28" s="1179"/>
      <c r="E28" s="1179"/>
      <c r="F28" s="1180">
        <f>IF(A16=" - Fornecimento de Materiais e Equipamentos (Aquisição direta)",0,ROUND((((1+SUM(F$19:F$21))*(1+F$22)*(1+F$23))/(1-SUM(F$24:F$27)))-1,4))</f>
        <v>0.23</v>
      </c>
      <c r="G28" s="1156" t="str">
        <f>IF(OR(F28&lt;H28,F28&gt;I28),"NÃO","SIM")</f>
        <v>SIM</v>
      </c>
      <c r="H28" s="1181">
        <v>0.2034</v>
      </c>
      <c r="I28" s="1181">
        <v>0.25</v>
      </c>
    </row>
    <row r="29" spans="1:12" ht="13.8">
      <c r="A29" s="1182" t="s">
        <v>6648</v>
      </c>
      <c r="B29" s="1183"/>
      <c r="C29" s="1183"/>
      <c r="D29" s="1183"/>
      <c r="E29" s="1183"/>
      <c r="F29" s="1184">
        <f>IF(A16=" - Fornecimento de Materiais e Equipamentos (Aquisição direta)",0,ROUND((((1+SUM(F$19:F$21))*(1+F$22)*(1+F$23))/(1-SUM(F$24:F$27)))-1,4))</f>
        <v>0.23</v>
      </c>
    </row>
    <row r="30" spans="1:12" ht="13.8">
      <c r="A30" s="1146"/>
      <c r="B30" s="1146"/>
      <c r="C30" s="1146"/>
      <c r="D30" s="1146"/>
      <c r="E30" s="1146"/>
      <c r="F30" s="1146"/>
    </row>
    <row r="31" spans="1:12" ht="15" customHeight="1">
      <c r="A31" s="1423" t="s">
        <v>6649</v>
      </c>
      <c r="B31" s="1423"/>
      <c r="C31" s="1423"/>
      <c r="D31" s="1423"/>
      <c r="E31" s="1423"/>
      <c r="F31" s="1186">
        <v>1</v>
      </c>
    </row>
    <row r="32" spans="1:12" ht="15" customHeight="1">
      <c r="A32" s="1423" t="s">
        <v>6650</v>
      </c>
      <c r="B32" s="1423"/>
      <c r="C32" s="1423"/>
      <c r="D32" s="1423"/>
      <c r="E32" s="1186">
        <v>0.05</v>
      </c>
      <c r="F32" s="1187"/>
    </row>
    <row r="33" spans="1:7" ht="14.4">
      <c r="A33" s="1185"/>
      <c r="B33" s="1188"/>
      <c r="C33" s="1188"/>
      <c r="D33" s="1188"/>
      <c r="E33" s="1189"/>
      <c r="F33" s="1187"/>
    </row>
    <row r="37" spans="1:7">
      <c r="B37" s="16" t="s">
        <v>1141</v>
      </c>
      <c r="C37" s="79">
        <f ca="1">TODAY()</f>
        <v>45436</v>
      </c>
    </row>
    <row r="41" spans="1:7">
      <c r="B41" s="16"/>
      <c r="C41" s="17"/>
      <c r="D41" s="16"/>
    </row>
    <row r="42" spans="1:7">
      <c r="B42" s="6" t="s">
        <v>1142</v>
      </c>
      <c r="C42" s="6"/>
      <c r="D42" s="6" t="s">
        <v>1145</v>
      </c>
      <c r="E42" s="6"/>
      <c r="F42" s="6"/>
      <c r="G42" s="6"/>
    </row>
    <row r="43" spans="1:7">
      <c r="B43" s="17" t="s">
        <v>6651</v>
      </c>
      <c r="C43" s="17"/>
      <c r="D43" s="16"/>
      <c r="E43" s="17" t="s">
        <v>6652</v>
      </c>
      <c r="F43" s="17"/>
    </row>
    <row r="44" spans="1:7">
      <c r="B44" s="17" t="s">
        <v>6653</v>
      </c>
      <c r="C44" s="17"/>
      <c r="D44" s="16"/>
    </row>
    <row r="45" spans="1:7">
      <c r="B45" s="80"/>
      <c r="C45" s="80"/>
      <c r="D45" s="20"/>
    </row>
    <row r="46" spans="1:7">
      <c r="B46" s="80"/>
      <c r="C46" s="80"/>
      <c r="D46" s="20"/>
    </row>
    <row r="47" spans="1:7">
      <c r="B47" s="16"/>
      <c r="C47" s="17"/>
      <c r="D47" s="16"/>
    </row>
    <row r="48" spans="1:7">
      <c r="B48" s="6"/>
      <c r="C48" s="6"/>
      <c r="D48" s="16"/>
    </row>
    <row r="49" spans="2:4">
      <c r="B49" s="17"/>
      <c r="C49" s="17"/>
      <c r="D49" s="16"/>
    </row>
  </sheetData>
  <mergeCells count="14">
    <mergeCell ref="B42:C42"/>
    <mergeCell ref="D42:G42"/>
    <mergeCell ref="B48:C48"/>
    <mergeCell ref="A16:F16"/>
    <mergeCell ref="H17:I17"/>
    <mergeCell ref="H24:I27"/>
    <mergeCell ref="A31:E31"/>
    <mergeCell ref="A32:D32"/>
    <mergeCell ref="B3:I5"/>
    <mergeCell ref="B6:I6"/>
    <mergeCell ref="B7:I7"/>
    <mergeCell ref="B8:I8"/>
    <mergeCell ref="A11:B11"/>
    <mergeCell ref="E11:F11"/>
  </mergeCells>
  <conditionalFormatting sqref="R1 Q2 N3:N9 P10">
    <cfRule type="cellIs" dxfId="0" priority="2" operator="equal">
      <formula>0.01</formula>
    </cfRule>
  </conditionalFormatting>
  <dataValidations count="2">
    <dataValidation type="decimal" allowBlank="1" showInputMessage="1" showErrorMessage="1" sqref="E32" xr:uid="{00000000-0002-0000-0F00-000000000000}">
      <formula1>0</formula1>
      <formula2>0.05</formula2>
    </dataValidation>
    <dataValidation type="list" allowBlank="1" showInputMessage="1" showErrorMessage="1" sqref="A16:F16" xr:uid="{00000000-0002-0000-0F00-000001000000}">
      <formula1>#REF!</formula1>
      <formula2>0</formula2>
    </dataValidation>
  </dataValidations>
  <pageMargins left="0.51180555555555596" right="0.51180555555555596" top="0.78749999999999998" bottom="0.78749999999999998" header="0.511811023622047" footer="0.511811023622047"/>
  <pageSetup paperSize="9" fitToHeight="0" orientation="landscape" horizontalDpi="300" verticalDpi="3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595959"/>
  </sheetPr>
  <dimension ref="A1:F3180"/>
  <sheetViews>
    <sheetView view="pageBreakPreview" topLeftCell="A721" zoomScale="90" zoomScaleNormal="100" zoomScalePageLayoutView="90" workbookViewId="0">
      <selection activeCell="A751" sqref="A751"/>
    </sheetView>
  </sheetViews>
  <sheetFormatPr defaultColWidth="45.33203125" defaultRowHeight="13.8"/>
  <cols>
    <col min="1" max="1" width="15.44140625" style="1190" customWidth="1"/>
    <col min="2" max="2" width="94" style="1190" customWidth="1"/>
    <col min="3" max="3" width="10.6640625" style="1190" customWidth="1"/>
    <col min="4" max="5" width="10.5546875" style="1191" customWidth="1"/>
    <col min="6" max="16384" width="45.33203125" style="1190"/>
  </cols>
  <sheetData>
    <row r="1" spans="1:6" ht="82.5" customHeight="1">
      <c r="A1" s="1424" t="s">
        <v>6654</v>
      </c>
      <c r="B1" s="1424"/>
      <c r="C1" s="1424"/>
      <c r="D1" s="1424"/>
      <c r="E1" s="1424"/>
    </row>
    <row r="2" spans="1:6">
      <c r="A2" s="1192"/>
      <c r="B2" s="1193"/>
      <c r="C2" s="1192"/>
      <c r="D2" s="1194"/>
      <c r="E2" s="1194"/>
    </row>
    <row r="3" spans="1:6" s="1198" customFormat="1">
      <c r="A3" s="1195"/>
      <c r="B3" s="1195"/>
      <c r="C3" s="1196"/>
      <c r="D3" s="1197" t="s">
        <v>6655</v>
      </c>
      <c r="E3" s="1197" t="s">
        <v>6656</v>
      </c>
    </row>
    <row r="4" spans="1:6">
      <c r="A4" s="1003" t="s">
        <v>27</v>
      </c>
      <c r="B4" s="1003" t="s">
        <v>6657</v>
      </c>
      <c r="C4" s="1199" t="s">
        <v>1240</v>
      </c>
      <c r="D4" s="1199">
        <v>3.67</v>
      </c>
      <c r="E4" s="1199">
        <f t="shared" ref="E4:E67" si="0">ROUND(D4/1.195,2)</f>
        <v>3.07</v>
      </c>
      <c r="F4" s="1200"/>
    </row>
    <row r="5" spans="1:6">
      <c r="A5" s="1003" t="s">
        <v>6658</v>
      </c>
      <c r="B5" s="1003" t="s">
        <v>6659</v>
      </c>
      <c r="C5" s="1199" t="s">
        <v>1615</v>
      </c>
      <c r="D5" s="1199">
        <v>147.4</v>
      </c>
      <c r="E5" s="1199">
        <f t="shared" si="0"/>
        <v>123.35</v>
      </c>
      <c r="F5" s="1200"/>
    </row>
    <row r="6" spans="1:6">
      <c r="A6" s="1003" t="s">
        <v>6660</v>
      </c>
      <c r="B6" s="1003" t="s">
        <v>6661</v>
      </c>
      <c r="C6" s="1199" t="s">
        <v>1615</v>
      </c>
      <c r="D6" s="1199">
        <v>896.73</v>
      </c>
      <c r="E6" s="1199">
        <f t="shared" si="0"/>
        <v>750.4</v>
      </c>
      <c r="F6" s="1200"/>
    </row>
    <row r="7" spans="1:6">
      <c r="A7" s="1003" t="s">
        <v>6662</v>
      </c>
      <c r="B7" s="1003" t="s">
        <v>6663</v>
      </c>
      <c r="C7" s="1199" t="s">
        <v>1615</v>
      </c>
      <c r="D7" s="1199">
        <v>2704.36</v>
      </c>
      <c r="E7" s="1199">
        <f t="shared" si="0"/>
        <v>2263.06</v>
      </c>
      <c r="F7" s="1200"/>
    </row>
    <row r="8" spans="1:6">
      <c r="A8" s="1003" t="s">
        <v>6664</v>
      </c>
      <c r="B8" s="1003" t="s">
        <v>6665</v>
      </c>
      <c r="C8" s="1199" t="s">
        <v>1615</v>
      </c>
      <c r="D8" s="1199">
        <v>4287.66</v>
      </c>
      <c r="E8" s="1199">
        <f t="shared" si="0"/>
        <v>3588</v>
      </c>
      <c r="F8" s="1200"/>
    </row>
    <row r="9" spans="1:6">
      <c r="A9" s="1003" t="s">
        <v>6666</v>
      </c>
      <c r="B9" s="1003" t="s">
        <v>6667</v>
      </c>
      <c r="C9" s="1199" t="s">
        <v>1615</v>
      </c>
      <c r="D9" s="1199">
        <v>8482.33</v>
      </c>
      <c r="E9" s="1199">
        <f t="shared" si="0"/>
        <v>7098.18</v>
      </c>
      <c r="F9" s="1200"/>
    </row>
    <row r="10" spans="1:6">
      <c r="A10" s="1003" t="s">
        <v>6668</v>
      </c>
      <c r="B10" s="1003" t="s">
        <v>6669</v>
      </c>
      <c r="C10" s="1199" t="s">
        <v>1615</v>
      </c>
      <c r="D10" s="1199">
        <v>11869.1</v>
      </c>
      <c r="E10" s="1199">
        <f t="shared" si="0"/>
        <v>9932.2999999999993</v>
      </c>
      <c r="F10" s="1200"/>
    </row>
    <row r="11" spans="1:6">
      <c r="A11" s="1003" t="s">
        <v>6670</v>
      </c>
      <c r="B11" s="1003" t="s">
        <v>6671</v>
      </c>
      <c r="C11" s="1199" t="s">
        <v>1615</v>
      </c>
      <c r="D11" s="1199">
        <v>110.6</v>
      </c>
      <c r="E11" s="1199">
        <f t="shared" si="0"/>
        <v>92.55</v>
      </c>
      <c r="F11" s="1200"/>
    </row>
    <row r="12" spans="1:6">
      <c r="A12" s="1003" t="s">
        <v>6672</v>
      </c>
      <c r="B12" s="1003" t="s">
        <v>6673</v>
      </c>
      <c r="C12" s="1199" t="s">
        <v>1615</v>
      </c>
      <c r="D12" s="1199">
        <v>631.12</v>
      </c>
      <c r="E12" s="1199">
        <f t="shared" si="0"/>
        <v>528.13</v>
      </c>
      <c r="F12" s="1200"/>
    </row>
    <row r="13" spans="1:6">
      <c r="A13" s="1003" t="s">
        <v>6674</v>
      </c>
      <c r="B13" s="1003" t="s">
        <v>6675</v>
      </c>
      <c r="C13" s="1199" t="s">
        <v>1615</v>
      </c>
      <c r="D13" s="1199">
        <v>2173.13</v>
      </c>
      <c r="E13" s="1199">
        <f t="shared" si="0"/>
        <v>1818.52</v>
      </c>
      <c r="F13" s="1200"/>
    </row>
    <row r="14" spans="1:6">
      <c r="A14" s="1003" t="s">
        <v>6676</v>
      </c>
      <c r="B14" s="1003" t="s">
        <v>6677</v>
      </c>
      <c r="C14" s="1199" t="s">
        <v>1615</v>
      </c>
      <c r="D14" s="1199">
        <v>3490.82</v>
      </c>
      <c r="E14" s="1199">
        <f t="shared" si="0"/>
        <v>2921.19</v>
      </c>
      <c r="F14" s="1200"/>
    </row>
    <row r="15" spans="1:6">
      <c r="A15" s="1003" t="s">
        <v>6678</v>
      </c>
      <c r="B15" s="1003" t="s">
        <v>6679</v>
      </c>
      <c r="C15" s="1199" t="s">
        <v>1615</v>
      </c>
      <c r="D15" s="1199">
        <v>7419.88</v>
      </c>
      <c r="E15" s="1199">
        <f t="shared" si="0"/>
        <v>6209.1</v>
      </c>
      <c r="F15" s="1200"/>
    </row>
    <row r="16" spans="1:6">
      <c r="A16" s="1003" t="s">
        <v>6680</v>
      </c>
      <c r="B16" s="1003" t="s">
        <v>6681</v>
      </c>
      <c r="C16" s="1199" t="s">
        <v>1615</v>
      </c>
      <c r="D16" s="1199">
        <v>10541.03</v>
      </c>
      <c r="E16" s="1199">
        <f t="shared" si="0"/>
        <v>8820.9500000000007</v>
      </c>
      <c r="F16" s="1200"/>
    </row>
    <row r="17" spans="1:5">
      <c r="A17" s="1003" t="s">
        <v>6682</v>
      </c>
      <c r="B17" s="1003" t="s">
        <v>6683</v>
      </c>
      <c r="C17" s="1199" t="s">
        <v>1615</v>
      </c>
      <c r="D17" s="1199">
        <v>21082.07</v>
      </c>
      <c r="E17" s="1199">
        <f t="shared" si="0"/>
        <v>17641.900000000001</v>
      </c>
    </row>
    <row r="18" spans="1:5">
      <c r="A18" s="1003" t="s">
        <v>6684</v>
      </c>
      <c r="B18" s="1003" t="s">
        <v>6685</v>
      </c>
      <c r="C18" s="1199" t="s">
        <v>1615</v>
      </c>
      <c r="D18" s="1199">
        <v>31623.11</v>
      </c>
      <c r="E18" s="1199">
        <f t="shared" si="0"/>
        <v>26462.85</v>
      </c>
    </row>
    <row r="19" spans="1:5">
      <c r="A19" s="1003" t="s">
        <v>6686</v>
      </c>
      <c r="B19" s="1003" t="s">
        <v>6687</v>
      </c>
      <c r="C19" s="1199" t="s">
        <v>1615</v>
      </c>
      <c r="D19" s="1199">
        <v>2372.1999999999998</v>
      </c>
      <c r="E19" s="1199">
        <f t="shared" si="0"/>
        <v>1985.1</v>
      </c>
    </row>
    <row r="20" spans="1:5">
      <c r="A20" s="1003" t="s">
        <v>6688</v>
      </c>
      <c r="B20" s="1003" t="s">
        <v>6689</v>
      </c>
      <c r="C20" s="1199" t="s">
        <v>1615</v>
      </c>
      <c r="D20" s="1199">
        <v>3038.38</v>
      </c>
      <c r="E20" s="1199">
        <f t="shared" si="0"/>
        <v>2542.58</v>
      </c>
    </row>
    <row r="21" spans="1:5">
      <c r="A21" s="1003" t="s">
        <v>6690</v>
      </c>
      <c r="B21" s="1003" t="s">
        <v>6691</v>
      </c>
      <c r="C21" s="1199" t="s">
        <v>1615</v>
      </c>
      <c r="D21" s="1199">
        <v>4012.02</v>
      </c>
      <c r="E21" s="1199">
        <f t="shared" si="0"/>
        <v>3357.34</v>
      </c>
    </row>
    <row r="22" spans="1:5">
      <c r="A22" s="1003" t="s">
        <v>6692</v>
      </c>
      <c r="B22" s="1003" t="s">
        <v>6693</v>
      </c>
      <c r="C22" s="1199" t="s">
        <v>1615</v>
      </c>
      <c r="D22" s="1199">
        <v>4454.4399999999996</v>
      </c>
      <c r="E22" s="1199">
        <f t="shared" si="0"/>
        <v>3727.56</v>
      </c>
    </row>
    <row r="23" spans="1:5">
      <c r="A23" s="1003" t="s">
        <v>6694</v>
      </c>
      <c r="B23" s="1003" t="s">
        <v>6695</v>
      </c>
      <c r="C23" s="1199" t="s">
        <v>1652</v>
      </c>
      <c r="D23" s="1199">
        <v>637.01</v>
      </c>
      <c r="E23" s="1199">
        <f t="shared" si="0"/>
        <v>533.05999999999995</v>
      </c>
    </row>
    <row r="24" spans="1:5">
      <c r="A24" s="1003" t="s">
        <v>6696</v>
      </c>
      <c r="B24" s="1003" t="s">
        <v>6697</v>
      </c>
      <c r="C24" s="1199" t="s">
        <v>1650</v>
      </c>
      <c r="D24" s="1199">
        <v>45.99</v>
      </c>
      <c r="E24" s="1199">
        <f t="shared" si="0"/>
        <v>38.49</v>
      </c>
    </row>
    <row r="25" spans="1:5">
      <c r="A25" s="1003" t="s">
        <v>6698</v>
      </c>
      <c r="B25" s="1003" t="s">
        <v>6699</v>
      </c>
      <c r="C25" s="1199" t="s">
        <v>1650</v>
      </c>
      <c r="D25" s="1199">
        <v>54.76</v>
      </c>
      <c r="E25" s="1199">
        <f t="shared" si="0"/>
        <v>45.82</v>
      </c>
    </row>
    <row r="26" spans="1:5">
      <c r="A26" s="1003" t="s">
        <v>6700</v>
      </c>
      <c r="B26" s="1003" t="s">
        <v>6701</v>
      </c>
      <c r="C26" s="1199" t="s">
        <v>1650</v>
      </c>
      <c r="D26" s="1199">
        <v>54.76</v>
      </c>
      <c r="E26" s="1199">
        <f t="shared" si="0"/>
        <v>45.82</v>
      </c>
    </row>
    <row r="27" spans="1:5">
      <c r="A27" s="1003" t="s">
        <v>6702</v>
      </c>
      <c r="B27" s="1003" t="s">
        <v>6703</v>
      </c>
      <c r="C27" s="1199" t="s">
        <v>4478</v>
      </c>
      <c r="D27" s="1199">
        <v>2.41</v>
      </c>
      <c r="E27" s="1199">
        <f t="shared" si="0"/>
        <v>2.02</v>
      </c>
    </row>
    <row r="28" spans="1:5">
      <c r="A28" s="1003" t="s">
        <v>6704</v>
      </c>
      <c r="B28" s="1003" t="s">
        <v>6705</v>
      </c>
      <c r="C28" s="1199" t="s">
        <v>1652</v>
      </c>
      <c r="D28" s="1199">
        <v>637.01</v>
      </c>
      <c r="E28" s="1199">
        <f t="shared" si="0"/>
        <v>533.05999999999995</v>
      </c>
    </row>
    <row r="29" spans="1:5">
      <c r="A29" s="1003" t="s">
        <v>32</v>
      </c>
      <c r="B29" s="1003" t="s">
        <v>6697</v>
      </c>
      <c r="C29" s="1199" t="s">
        <v>1650</v>
      </c>
      <c r="D29" s="1199">
        <v>10.79</v>
      </c>
      <c r="E29" s="1199">
        <f t="shared" si="0"/>
        <v>9.0299999999999994</v>
      </c>
    </row>
    <row r="30" spans="1:5">
      <c r="A30" s="1003" t="s">
        <v>34</v>
      </c>
      <c r="B30" s="1003" t="s">
        <v>6699</v>
      </c>
      <c r="C30" s="1199" t="s">
        <v>1650</v>
      </c>
      <c r="D30" s="1199">
        <v>29.94</v>
      </c>
      <c r="E30" s="1199">
        <f t="shared" si="0"/>
        <v>25.05</v>
      </c>
    </row>
    <row r="31" spans="1:5">
      <c r="A31" s="1003" t="s">
        <v>6706</v>
      </c>
      <c r="B31" s="1003" t="s">
        <v>6701</v>
      </c>
      <c r="C31" s="1199" t="s">
        <v>1650</v>
      </c>
      <c r="D31" s="1199">
        <v>32.07</v>
      </c>
      <c r="E31" s="1199">
        <f t="shared" si="0"/>
        <v>26.84</v>
      </c>
    </row>
    <row r="32" spans="1:5">
      <c r="A32" s="1003" t="s">
        <v>36</v>
      </c>
      <c r="B32" s="1003" t="s">
        <v>6703</v>
      </c>
      <c r="C32" s="1199" t="s">
        <v>4478</v>
      </c>
      <c r="D32" s="1199">
        <v>3.21</v>
      </c>
      <c r="E32" s="1199">
        <f t="shared" si="0"/>
        <v>2.69</v>
      </c>
    </row>
    <row r="33" spans="1:5">
      <c r="A33" s="1003" t="s">
        <v>6707</v>
      </c>
      <c r="B33" s="1003" t="s">
        <v>6708</v>
      </c>
      <c r="C33" s="1199" t="s">
        <v>1652</v>
      </c>
      <c r="D33" s="1199">
        <v>637.01</v>
      </c>
      <c r="E33" s="1199">
        <f t="shared" si="0"/>
        <v>533.05999999999995</v>
      </c>
    </row>
    <row r="34" spans="1:5">
      <c r="A34" s="1003" t="s">
        <v>6709</v>
      </c>
      <c r="B34" s="1003" t="s">
        <v>4571</v>
      </c>
      <c r="C34" s="1199" t="s">
        <v>1240</v>
      </c>
      <c r="D34" s="1199">
        <v>113.02</v>
      </c>
      <c r="E34" s="1199">
        <f t="shared" si="0"/>
        <v>94.58</v>
      </c>
    </row>
    <row r="35" spans="1:5">
      <c r="A35" s="1003" t="s">
        <v>6710</v>
      </c>
      <c r="B35" s="1003" t="s">
        <v>6711</v>
      </c>
      <c r="C35" s="1199" t="s">
        <v>1240</v>
      </c>
      <c r="D35" s="1199">
        <v>126.45</v>
      </c>
      <c r="E35" s="1199">
        <f t="shared" si="0"/>
        <v>105.82</v>
      </c>
    </row>
    <row r="36" spans="1:5">
      <c r="A36" s="1003" t="s">
        <v>6712</v>
      </c>
      <c r="B36" s="1003" t="s">
        <v>6713</v>
      </c>
      <c r="C36" s="1199" t="s">
        <v>1240</v>
      </c>
      <c r="D36" s="1199">
        <v>82.42</v>
      </c>
      <c r="E36" s="1199">
        <f t="shared" si="0"/>
        <v>68.97</v>
      </c>
    </row>
    <row r="37" spans="1:5">
      <c r="A37" s="1003" t="s">
        <v>6714</v>
      </c>
      <c r="B37" s="1003" t="s">
        <v>6715</v>
      </c>
      <c r="C37" s="1199" t="s">
        <v>1652</v>
      </c>
      <c r="D37" s="1199">
        <v>637.01</v>
      </c>
      <c r="E37" s="1199">
        <f t="shared" si="0"/>
        <v>533.05999999999995</v>
      </c>
    </row>
    <row r="38" spans="1:5">
      <c r="A38" s="1003" t="s">
        <v>6716</v>
      </c>
      <c r="B38" s="1003" t="s">
        <v>1696</v>
      </c>
      <c r="C38" s="1199" t="s">
        <v>1650</v>
      </c>
      <c r="D38" s="1199">
        <v>42.31</v>
      </c>
      <c r="E38" s="1199">
        <f t="shared" si="0"/>
        <v>35.409999999999997</v>
      </c>
    </row>
    <row r="39" spans="1:5">
      <c r="A39" s="1003" t="s">
        <v>6717</v>
      </c>
      <c r="B39" s="1003" t="s">
        <v>1697</v>
      </c>
      <c r="C39" s="1199" t="s">
        <v>1650</v>
      </c>
      <c r="D39" s="1199">
        <v>55.19</v>
      </c>
      <c r="E39" s="1199">
        <f t="shared" si="0"/>
        <v>46.18</v>
      </c>
    </row>
    <row r="40" spans="1:5">
      <c r="A40" s="1003" t="s">
        <v>6718</v>
      </c>
      <c r="B40" s="1003" t="s">
        <v>6719</v>
      </c>
      <c r="C40" s="1199" t="s">
        <v>1652</v>
      </c>
      <c r="D40" s="1199">
        <v>637.01</v>
      </c>
      <c r="E40" s="1199">
        <f t="shared" si="0"/>
        <v>533.05999999999995</v>
      </c>
    </row>
    <row r="41" spans="1:5">
      <c r="A41" s="1003" t="s">
        <v>6720</v>
      </c>
      <c r="B41" s="1003" t="s">
        <v>1700</v>
      </c>
      <c r="C41" s="1199" t="s">
        <v>1240</v>
      </c>
      <c r="D41" s="1199">
        <v>7.35</v>
      </c>
      <c r="E41" s="1199">
        <f t="shared" si="0"/>
        <v>6.15</v>
      </c>
    </row>
    <row r="42" spans="1:5">
      <c r="A42" s="1003" t="s">
        <v>6721</v>
      </c>
      <c r="B42" s="1003" t="s">
        <v>1701</v>
      </c>
      <c r="C42" s="1199" t="s">
        <v>1650</v>
      </c>
      <c r="D42" s="1199">
        <v>64.39</v>
      </c>
      <c r="E42" s="1199">
        <f t="shared" si="0"/>
        <v>53.88</v>
      </c>
    </row>
    <row r="43" spans="1:5">
      <c r="A43" s="1003" t="s">
        <v>6722</v>
      </c>
      <c r="B43" s="1003" t="s">
        <v>1647</v>
      </c>
      <c r="C43" s="1199" t="s">
        <v>1652</v>
      </c>
      <c r="D43" s="1199">
        <v>637.01</v>
      </c>
      <c r="E43" s="1199">
        <f t="shared" si="0"/>
        <v>533.05999999999995</v>
      </c>
    </row>
    <row r="44" spans="1:5">
      <c r="A44" s="1003" t="s">
        <v>6723</v>
      </c>
      <c r="B44" s="1003" t="s">
        <v>1654</v>
      </c>
      <c r="C44" s="1199" t="s">
        <v>1240</v>
      </c>
      <c r="D44" s="1199">
        <v>11.6</v>
      </c>
      <c r="E44" s="1199">
        <f t="shared" si="0"/>
        <v>9.7100000000000009</v>
      </c>
    </row>
    <row r="45" spans="1:5">
      <c r="A45" s="1003" t="s">
        <v>6724</v>
      </c>
      <c r="B45" s="1003" t="s">
        <v>1655</v>
      </c>
      <c r="C45" s="1199" t="s">
        <v>1240</v>
      </c>
      <c r="D45" s="1199">
        <v>40.4</v>
      </c>
      <c r="E45" s="1199">
        <f t="shared" si="0"/>
        <v>33.81</v>
      </c>
    </row>
    <row r="46" spans="1:5">
      <c r="A46" s="1003" t="s">
        <v>6725</v>
      </c>
      <c r="B46" s="1003" t="s">
        <v>1656</v>
      </c>
      <c r="C46" s="1199" t="s">
        <v>1652</v>
      </c>
      <c r="D46" s="1199">
        <v>637.01</v>
      </c>
      <c r="E46" s="1199">
        <f t="shared" si="0"/>
        <v>533.05999999999995</v>
      </c>
    </row>
    <row r="47" spans="1:5">
      <c r="A47" s="1003" t="s">
        <v>6726</v>
      </c>
      <c r="B47" s="1003" t="s">
        <v>6727</v>
      </c>
      <c r="C47" s="1199" t="s">
        <v>1214</v>
      </c>
      <c r="D47" s="1199">
        <v>84.83</v>
      </c>
      <c r="E47" s="1199">
        <f t="shared" si="0"/>
        <v>70.989999999999995</v>
      </c>
    </row>
    <row r="48" spans="1:5">
      <c r="A48" s="1003" t="s">
        <v>6728</v>
      </c>
      <c r="B48" s="1003" t="s">
        <v>6729</v>
      </c>
      <c r="C48" s="1199" t="s">
        <v>1214</v>
      </c>
      <c r="D48" s="1199">
        <v>125.72</v>
      </c>
      <c r="E48" s="1199">
        <f t="shared" si="0"/>
        <v>105.21</v>
      </c>
    </row>
    <row r="49" spans="1:5">
      <c r="A49" s="1003" t="s">
        <v>6730</v>
      </c>
      <c r="B49" s="1003" t="s">
        <v>1671</v>
      </c>
      <c r="C49" s="1199" t="s">
        <v>1214</v>
      </c>
      <c r="D49" s="1199">
        <v>139.16999999999999</v>
      </c>
      <c r="E49" s="1199">
        <f t="shared" si="0"/>
        <v>116.46</v>
      </c>
    </row>
    <row r="50" spans="1:5">
      <c r="A50" s="1003" t="s">
        <v>6731</v>
      </c>
      <c r="B50" s="1003" t="s">
        <v>1672</v>
      </c>
      <c r="C50" s="1199" t="s">
        <v>1214</v>
      </c>
      <c r="D50" s="1199">
        <v>171.09</v>
      </c>
      <c r="E50" s="1199">
        <f t="shared" si="0"/>
        <v>143.16999999999999</v>
      </c>
    </row>
    <row r="51" spans="1:5">
      <c r="A51" s="1003" t="s">
        <v>6732</v>
      </c>
      <c r="B51" s="1003" t="s">
        <v>6733</v>
      </c>
      <c r="C51" s="1199" t="s">
        <v>1240</v>
      </c>
      <c r="D51" s="1199">
        <v>18.190000000000001</v>
      </c>
      <c r="E51" s="1199">
        <f t="shared" si="0"/>
        <v>15.22</v>
      </c>
    </row>
    <row r="52" spans="1:5">
      <c r="A52" s="1003" t="s">
        <v>6734</v>
      </c>
      <c r="B52" s="1003" t="s">
        <v>6735</v>
      </c>
      <c r="C52" s="1199" t="s">
        <v>1240</v>
      </c>
      <c r="D52" s="1199">
        <v>20.78</v>
      </c>
      <c r="E52" s="1199">
        <f t="shared" si="0"/>
        <v>17.39</v>
      </c>
    </row>
    <row r="53" spans="1:5">
      <c r="A53" s="1003" t="s">
        <v>6736</v>
      </c>
      <c r="B53" s="1003" t="s">
        <v>6737</v>
      </c>
      <c r="C53" s="1199" t="s">
        <v>1240</v>
      </c>
      <c r="D53" s="1199">
        <v>28.9</v>
      </c>
      <c r="E53" s="1199">
        <f t="shared" si="0"/>
        <v>24.18</v>
      </c>
    </row>
    <row r="54" spans="1:5">
      <c r="A54" s="1003" t="s">
        <v>6738</v>
      </c>
      <c r="B54" s="1003" t="s">
        <v>1676</v>
      </c>
      <c r="C54" s="1199" t="s">
        <v>1650</v>
      </c>
      <c r="D54" s="1199">
        <v>222.97</v>
      </c>
      <c r="E54" s="1199">
        <f t="shared" si="0"/>
        <v>186.59</v>
      </c>
    </row>
    <row r="55" spans="1:5">
      <c r="A55" s="1003" t="s">
        <v>6739</v>
      </c>
      <c r="B55" s="1003" t="s">
        <v>1677</v>
      </c>
      <c r="C55" s="1199" t="s">
        <v>1650</v>
      </c>
      <c r="D55" s="1199">
        <v>242.29</v>
      </c>
      <c r="E55" s="1199">
        <f t="shared" si="0"/>
        <v>202.75</v>
      </c>
    </row>
    <row r="56" spans="1:5">
      <c r="A56" s="1003" t="s">
        <v>6740</v>
      </c>
      <c r="B56" s="1003" t="s">
        <v>1678</v>
      </c>
      <c r="C56" s="1199" t="s">
        <v>1214</v>
      </c>
      <c r="D56" s="1199">
        <v>354.11</v>
      </c>
      <c r="E56" s="1199">
        <f t="shared" si="0"/>
        <v>296.33</v>
      </c>
    </row>
    <row r="57" spans="1:5">
      <c r="A57" s="1003" t="s">
        <v>6741</v>
      </c>
      <c r="B57" s="1003" t="s">
        <v>1679</v>
      </c>
      <c r="C57" s="1199" t="s">
        <v>1214</v>
      </c>
      <c r="D57" s="1199">
        <v>380.58</v>
      </c>
      <c r="E57" s="1199">
        <f t="shared" si="0"/>
        <v>318.48</v>
      </c>
    </row>
    <row r="58" spans="1:5">
      <c r="A58" s="1003" t="s">
        <v>6742</v>
      </c>
      <c r="B58" s="1003" t="s">
        <v>1680</v>
      </c>
      <c r="C58" s="1199" t="s">
        <v>1240</v>
      </c>
      <c r="D58" s="1199">
        <v>237.46</v>
      </c>
      <c r="E58" s="1199">
        <f t="shared" si="0"/>
        <v>198.71</v>
      </c>
    </row>
    <row r="59" spans="1:5">
      <c r="A59" s="1003" t="s">
        <v>6743</v>
      </c>
      <c r="B59" s="1003" t="s">
        <v>1681</v>
      </c>
      <c r="C59" s="1199" t="s">
        <v>1240</v>
      </c>
      <c r="D59" s="1199">
        <v>378.98</v>
      </c>
      <c r="E59" s="1199">
        <f t="shared" si="0"/>
        <v>317.14</v>
      </c>
    </row>
    <row r="60" spans="1:5">
      <c r="A60" s="1003" t="s">
        <v>6744</v>
      </c>
      <c r="B60" s="1003" t="s">
        <v>1682</v>
      </c>
      <c r="C60" s="1199" t="s">
        <v>1240</v>
      </c>
      <c r="D60" s="1199">
        <v>234.83</v>
      </c>
      <c r="E60" s="1199">
        <f t="shared" si="0"/>
        <v>196.51</v>
      </c>
    </row>
    <row r="61" spans="1:5">
      <c r="A61" s="1003" t="s">
        <v>6745</v>
      </c>
      <c r="B61" s="1003" t="s">
        <v>6746</v>
      </c>
      <c r="C61" s="1199" t="s">
        <v>1214</v>
      </c>
      <c r="D61" s="1199">
        <v>148.07</v>
      </c>
      <c r="E61" s="1199">
        <f t="shared" si="0"/>
        <v>123.91</v>
      </c>
    </row>
    <row r="62" spans="1:5">
      <c r="A62" s="1003" t="s">
        <v>6747</v>
      </c>
      <c r="B62" s="1003" t="s">
        <v>6748</v>
      </c>
      <c r="C62" s="1199" t="s">
        <v>1214</v>
      </c>
      <c r="D62" s="1199">
        <v>134.47</v>
      </c>
      <c r="E62" s="1199">
        <f t="shared" si="0"/>
        <v>112.53</v>
      </c>
    </row>
    <row r="63" spans="1:5">
      <c r="A63" s="1003" t="s">
        <v>6749</v>
      </c>
      <c r="B63" s="1003" t="s">
        <v>6750</v>
      </c>
      <c r="C63" s="1199" t="s">
        <v>1214</v>
      </c>
      <c r="D63" s="1199">
        <v>182.82</v>
      </c>
      <c r="E63" s="1199">
        <f t="shared" si="0"/>
        <v>152.99</v>
      </c>
    </row>
    <row r="64" spans="1:5">
      <c r="A64" s="1003" t="s">
        <v>6751</v>
      </c>
      <c r="B64" s="1003" t="s">
        <v>6752</v>
      </c>
      <c r="C64" s="1199" t="s">
        <v>1214</v>
      </c>
      <c r="D64" s="1199">
        <v>224.6</v>
      </c>
      <c r="E64" s="1199">
        <f t="shared" si="0"/>
        <v>187.95</v>
      </c>
    </row>
    <row r="65" spans="1:5">
      <c r="A65" s="1003" t="s">
        <v>6753</v>
      </c>
      <c r="B65" s="1003" t="s">
        <v>6754</v>
      </c>
      <c r="C65" s="1199" t="s">
        <v>1214</v>
      </c>
      <c r="D65" s="1199">
        <v>481.86</v>
      </c>
      <c r="E65" s="1199">
        <f t="shared" si="0"/>
        <v>403.23</v>
      </c>
    </row>
    <row r="66" spans="1:5">
      <c r="A66" s="1003" t="s">
        <v>6755</v>
      </c>
      <c r="B66" s="1003" t="s">
        <v>6756</v>
      </c>
      <c r="C66" s="1199" t="s">
        <v>1214</v>
      </c>
      <c r="D66" s="1199">
        <v>676.3</v>
      </c>
      <c r="E66" s="1199">
        <f t="shared" si="0"/>
        <v>565.94000000000005</v>
      </c>
    </row>
    <row r="67" spans="1:5">
      <c r="A67" s="1003" t="s">
        <v>6757</v>
      </c>
      <c r="B67" s="1003" t="s">
        <v>6758</v>
      </c>
      <c r="C67" s="1199" t="s">
        <v>1214</v>
      </c>
      <c r="D67" s="1199">
        <v>1003.21</v>
      </c>
      <c r="E67" s="1199">
        <f t="shared" si="0"/>
        <v>839.51</v>
      </c>
    </row>
    <row r="68" spans="1:5">
      <c r="A68" s="1003" t="s">
        <v>6759</v>
      </c>
      <c r="B68" s="1003" t="s">
        <v>1683</v>
      </c>
      <c r="C68" s="1199" t="s">
        <v>1214</v>
      </c>
      <c r="D68" s="1199">
        <v>73.150000000000006</v>
      </c>
      <c r="E68" s="1199">
        <f t="shared" ref="E68:E131" si="1">ROUND(D68/1.195,2)</f>
        <v>61.21</v>
      </c>
    </row>
    <row r="69" spans="1:5">
      <c r="A69" s="1003" t="s">
        <v>6760</v>
      </c>
      <c r="B69" s="1003" t="s">
        <v>1684</v>
      </c>
      <c r="C69" s="1199" t="s">
        <v>1214</v>
      </c>
      <c r="D69" s="1199">
        <v>81.33</v>
      </c>
      <c r="E69" s="1199">
        <f t="shared" si="1"/>
        <v>68.06</v>
      </c>
    </row>
    <row r="70" spans="1:5">
      <c r="A70" s="1003" t="s">
        <v>6761</v>
      </c>
      <c r="B70" s="1003" t="s">
        <v>1685</v>
      </c>
      <c r="C70" s="1199" t="s">
        <v>1214</v>
      </c>
      <c r="D70" s="1199">
        <v>91.34</v>
      </c>
      <c r="E70" s="1199">
        <f t="shared" si="1"/>
        <v>76.44</v>
      </c>
    </row>
    <row r="71" spans="1:5">
      <c r="A71" s="1003" t="s">
        <v>6762</v>
      </c>
      <c r="B71" s="1003" t="s">
        <v>1686</v>
      </c>
      <c r="C71" s="1199" t="s">
        <v>1214</v>
      </c>
      <c r="D71" s="1199">
        <v>128.30000000000001</v>
      </c>
      <c r="E71" s="1199">
        <f t="shared" si="1"/>
        <v>107.36</v>
      </c>
    </row>
    <row r="72" spans="1:5">
      <c r="A72" s="1003" t="s">
        <v>6763</v>
      </c>
      <c r="B72" s="1003" t="s">
        <v>1687</v>
      </c>
      <c r="C72" s="1199" t="s">
        <v>1214</v>
      </c>
      <c r="D72" s="1199">
        <v>69.55</v>
      </c>
      <c r="E72" s="1199">
        <f t="shared" si="1"/>
        <v>58.2</v>
      </c>
    </row>
    <row r="73" spans="1:5">
      <c r="A73" s="1003" t="s">
        <v>6764</v>
      </c>
      <c r="B73" s="1003" t="s">
        <v>1688</v>
      </c>
      <c r="C73" s="1199" t="s">
        <v>1214</v>
      </c>
      <c r="D73" s="1199">
        <v>87.51</v>
      </c>
      <c r="E73" s="1199">
        <f t="shared" si="1"/>
        <v>73.23</v>
      </c>
    </row>
    <row r="74" spans="1:5">
      <c r="A74" s="1003" t="s">
        <v>6765</v>
      </c>
      <c r="B74" s="1003" t="s">
        <v>1689</v>
      </c>
      <c r="C74" s="1199" t="s">
        <v>1652</v>
      </c>
      <c r="D74" s="1199">
        <v>637.01</v>
      </c>
      <c r="E74" s="1199">
        <f t="shared" si="1"/>
        <v>533.05999999999995</v>
      </c>
    </row>
    <row r="75" spans="1:5">
      <c r="A75" s="1003" t="s">
        <v>6766</v>
      </c>
      <c r="B75" s="1003" t="s">
        <v>6767</v>
      </c>
      <c r="C75" s="1199" t="s">
        <v>1214</v>
      </c>
      <c r="D75" s="1199">
        <v>27.06</v>
      </c>
      <c r="E75" s="1199">
        <f t="shared" si="1"/>
        <v>22.64</v>
      </c>
    </row>
    <row r="76" spans="1:5">
      <c r="A76" s="1003" t="s">
        <v>6768</v>
      </c>
      <c r="B76" s="1003" t="s">
        <v>1690</v>
      </c>
      <c r="C76" s="1199" t="s">
        <v>1652</v>
      </c>
      <c r="D76" s="1199">
        <v>637.01</v>
      </c>
      <c r="E76" s="1199">
        <f t="shared" si="1"/>
        <v>533.05999999999995</v>
      </c>
    </row>
    <row r="77" spans="1:5">
      <c r="A77" s="1003" t="s">
        <v>6769</v>
      </c>
      <c r="B77" s="1003" t="s">
        <v>1691</v>
      </c>
      <c r="C77" s="1199" t="s">
        <v>1652</v>
      </c>
      <c r="D77" s="1199">
        <v>637.01</v>
      </c>
      <c r="E77" s="1199">
        <f t="shared" si="1"/>
        <v>533.05999999999995</v>
      </c>
    </row>
    <row r="78" spans="1:5">
      <c r="A78" s="1003" t="s">
        <v>6770</v>
      </c>
      <c r="B78" s="1003" t="s">
        <v>1692</v>
      </c>
      <c r="C78" s="1199" t="s">
        <v>1652</v>
      </c>
      <c r="D78" s="1199">
        <v>637.01</v>
      </c>
      <c r="E78" s="1199">
        <f t="shared" si="1"/>
        <v>533.05999999999995</v>
      </c>
    </row>
    <row r="79" spans="1:5">
      <c r="A79" s="1003" t="s">
        <v>6771</v>
      </c>
      <c r="B79" s="1003" t="s">
        <v>6772</v>
      </c>
      <c r="C79" s="1199" t="s">
        <v>1652</v>
      </c>
      <c r="D79" s="1199">
        <v>637.01</v>
      </c>
      <c r="E79" s="1199">
        <f t="shared" si="1"/>
        <v>533.05999999999995</v>
      </c>
    </row>
    <row r="80" spans="1:5">
      <c r="A80" s="1003" t="s">
        <v>43</v>
      </c>
      <c r="B80" s="1003" t="s">
        <v>1696</v>
      </c>
      <c r="C80" s="1199" t="s">
        <v>1650</v>
      </c>
      <c r="D80" s="1199">
        <v>73.59</v>
      </c>
      <c r="E80" s="1199">
        <f t="shared" si="1"/>
        <v>61.58</v>
      </c>
    </row>
    <row r="81" spans="1:5">
      <c r="A81" s="1003" t="s">
        <v>6773</v>
      </c>
      <c r="B81" s="1003" t="s">
        <v>1697</v>
      </c>
      <c r="C81" s="1199" t="s">
        <v>1650</v>
      </c>
      <c r="D81" s="1199">
        <v>82.79</v>
      </c>
      <c r="E81" s="1199">
        <f t="shared" si="1"/>
        <v>69.28</v>
      </c>
    </row>
    <row r="82" spans="1:5">
      <c r="A82" s="1003" t="s">
        <v>6774</v>
      </c>
      <c r="B82" s="1003" t="s">
        <v>1698</v>
      </c>
      <c r="C82" s="1199" t="s">
        <v>1240</v>
      </c>
      <c r="D82" s="1199">
        <v>234.78</v>
      </c>
      <c r="E82" s="1199">
        <f t="shared" si="1"/>
        <v>196.47</v>
      </c>
    </row>
    <row r="83" spans="1:5">
      <c r="A83" s="1003" t="s">
        <v>6775</v>
      </c>
      <c r="B83" s="1003" t="s">
        <v>1699</v>
      </c>
      <c r="C83" s="1199" t="s">
        <v>1240</v>
      </c>
      <c r="D83" s="1199">
        <v>119.42</v>
      </c>
      <c r="E83" s="1199">
        <f t="shared" si="1"/>
        <v>99.93</v>
      </c>
    </row>
    <row r="84" spans="1:5">
      <c r="A84" s="1003" t="s">
        <v>45</v>
      </c>
      <c r="B84" s="1003" t="s">
        <v>1700</v>
      </c>
      <c r="C84" s="1199" t="s">
        <v>1240</v>
      </c>
      <c r="D84" s="1199">
        <v>7.35</v>
      </c>
      <c r="E84" s="1199">
        <f t="shared" si="1"/>
        <v>6.15</v>
      </c>
    </row>
    <row r="85" spans="1:5">
      <c r="A85" s="1003" t="s">
        <v>47</v>
      </c>
      <c r="B85" s="1003" t="s">
        <v>1654</v>
      </c>
      <c r="C85" s="1199" t="s">
        <v>1240</v>
      </c>
      <c r="D85" s="1199">
        <v>11.6</v>
      </c>
      <c r="E85" s="1199">
        <f t="shared" si="1"/>
        <v>9.7100000000000009</v>
      </c>
    </row>
    <row r="86" spans="1:5">
      <c r="A86" s="1003" t="s">
        <v>49</v>
      </c>
      <c r="B86" s="1003" t="s">
        <v>1655</v>
      </c>
      <c r="C86" s="1199" t="s">
        <v>1240</v>
      </c>
      <c r="D86" s="1199">
        <v>40.4</v>
      </c>
      <c r="E86" s="1199">
        <f t="shared" si="1"/>
        <v>33.81</v>
      </c>
    </row>
    <row r="87" spans="1:5">
      <c r="A87" s="1003" t="s">
        <v>51</v>
      </c>
      <c r="B87" s="1003" t="s">
        <v>1701</v>
      </c>
      <c r="C87" s="1199" t="s">
        <v>1650</v>
      </c>
      <c r="D87" s="1199">
        <v>55.19</v>
      </c>
      <c r="E87" s="1199">
        <f t="shared" si="1"/>
        <v>46.18</v>
      </c>
    </row>
    <row r="88" spans="1:5">
      <c r="A88" s="1003" t="s">
        <v>6776</v>
      </c>
      <c r="B88" s="1003" t="s">
        <v>1702</v>
      </c>
      <c r="C88" s="1199" t="s">
        <v>1650</v>
      </c>
      <c r="D88" s="1199">
        <v>176.08</v>
      </c>
      <c r="E88" s="1199">
        <f t="shared" si="1"/>
        <v>147.35</v>
      </c>
    </row>
    <row r="89" spans="1:5">
      <c r="A89" s="1003" t="s">
        <v>6777</v>
      </c>
      <c r="B89" s="1003" t="s">
        <v>1703</v>
      </c>
      <c r="C89" s="1199" t="s">
        <v>1652</v>
      </c>
      <c r="D89" s="1199">
        <v>637.01</v>
      </c>
      <c r="E89" s="1199">
        <f t="shared" si="1"/>
        <v>533.05999999999995</v>
      </c>
    </row>
    <row r="90" spans="1:5">
      <c r="A90" s="1003" t="s">
        <v>6778</v>
      </c>
      <c r="B90" s="1003" t="s">
        <v>6779</v>
      </c>
      <c r="C90" s="1199" t="s">
        <v>1650</v>
      </c>
      <c r="D90" s="1199">
        <v>367.99</v>
      </c>
      <c r="E90" s="1199">
        <f t="shared" si="1"/>
        <v>307.94</v>
      </c>
    </row>
    <row r="91" spans="1:5" ht="27.6">
      <c r="A91" s="1003" t="s">
        <v>6780</v>
      </c>
      <c r="B91" s="1003" t="s">
        <v>6781</v>
      </c>
      <c r="C91" s="1199" t="s">
        <v>1214</v>
      </c>
      <c r="D91" s="1199">
        <v>252.15</v>
      </c>
      <c r="E91" s="1199">
        <f t="shared" si="1"/>
        <v>211</v>
      </c>
    </row>
    <row r="92" spans="1:5">
      <c r="A92" s="1003" t="s">
        <v>6782</v>
      </c>
      <c r="B92" s="1003" t="s">
        <v>6783</v>
      </c>
      <c r="C92" s="1199" t="s">
        <v>1650</v>
      </c>
      <c r="D92" s="1199">
        <v>635.97</v>
      </c>
      <c r="E92" s="1199">
        <f t="shared" si="1"/>
        <v>532.19000000000005</v>
      </c>
    </row>
    <row r="93" spans="1:5">
      <c r="A93" s="1003" t="s">
        <v>6784</v>
      </c>
      <c r="B93" s="1003" t="s">
        <v>6785</v>
      </c>
      <c r="C93" s="1199" t="s">
        <v>1650</v>
      </c>
      <c r="D93" s="1199">
        <v>393.74</v>
      </c>
      <c r="E93" s="1199">
        <f t="shared" si="1"/>
        <v>329.49</v>
      </c>
    </row>
    <row r="94" spans="1:5">
      <c r="A94" s="1003" t="s">
        <v>56</v>
      </c>
      <c r="B94" s="1003" t="s">
        <v>1709</v>
      </c>
      <c r="C94" s="1199" t="s">
        <v>1248</v>
      </c>
      <c r="D94" s="1199">
        <v>14.56</v>
      </c>
      <c r="E94" s="1199">
        <f t="shared" si="1"/>
        <v>12.18</v>
      </c>
    </row>
    <row r="95" spans="1:5">
      <c r="A95" s="1003" t="s">
        <v>6786</v>
      </c>
      <c r="B95" s="1003" t="s">
        <v>1751</v>
      </c>
      <c r="C95" s="1199" t="s">
        <v>1248</v>
      </c>
      <c r="D95" s="1199">
        <v>15.03</v>
      </c>
      <c r="E95" s="1199">
        <f t="shared" si="1"/>
        <v>12.58</v>
      </c>
    </row>
    <row r="96" spans="1:5">
      <c r="A96" s="1003" t="s">
        <v>58</v>
      </c>
      <c r="B96" s="1003" t="s">
        <v>1711</v>
      </c>
      <c r="C96" s="1199" t="s">
        <v>1214</v>
      </c>
      <c r="D96" s="1199">
        <v>84.93</v>
      </c>
      <c r="E96" s="1199">
        <f t="shared" si="1"/>
        <v>71.069999999999993</v>
      </c>
    </row>
    <row r="97" spans="1:5">
      <c r="A97" s="1003" t="s">
        <v>6787</v>
      </c>
      <c r="B97" s="1003" t="s">
        <v>1712</v>
      </c>
      <c r="C97" s="1199" t="s">
        <v>1214</v>
      </c>
      <c r="D97" s="1199">
        <v>126.75</v>
      </c>
      <c r="E97" s="1199">
        <f t="shared" si="1"/>
        <v>106.07</v>
      </c>
    </row>
    <row r="98" spans="1:5">
      <c r="A98" s="1003" t="s">
        <v>6788</v>
      </c>
      <c r="B98" s="1003" t="s">
        <v>6789</v>
      </c>
      <c r="C98" s="1199" t="s">
        <v>1214</v>
      </c>
      <c r="D98" s="1199">
        <v>85.57</v>
      </c>
      <c r="E98" s="1199">
        <f t="shared" si="1"/>
        <v>71.61</v>
      </c>
    </row>
    <row r="99" spans="1:5">
      <c r="A99" s="1003" t="s">
        <v>6790</v>
      </c>
      <c r="B99" s="1003" t="s">
        <v>6791</v>
      </c>
      <c r="C99" s="1199" t="s">
        <v>1214</v>
      </c>
      <c r="D99" s="1199">
        <v>111.97</v>
      </c>
      <c r="E99" s="1199">
        <f t="shared" si="1"/>
        <v>93.7</v>
      </c>
    </row>
    <row r="100" spans="1:5">
      <c r="A100" s="1003" t="s">
        <v>6792</v>
      </c>
      <c r="B100" s="1003" t="s">
        <v>6793</v>
      </c>
      <c r="C100" s="1199" t="s">
        <v>1214</v>
      </c>
      <c r="D100" s="1199">
        <v>140.88</v>
      </c>
      <c r="E100" s="1199">
        <f t="shared" si="1"/>
        <v>117.89</v>
      </c>
    </row>
    <row r="101" spans="1:5">
      <c r="A101" s="1003" t="s">
        <v>6794</v>
      </c>
      <c r="B101" s="1003" t="s">
        <v>6795</v>
      </c>
      <c r="C101" s="1199" t="s">
        <v>1214</v>
      </c>
      <c r="D101" s="1199">
        <v>202.15</v>
      </c>
      <c r="E101" s="1199">
        <f t="shared" si="1"/>
        <v>169.16</v>
      </c>
    </row>
    <row r="102" spans="1:5">
      <c r="A102" s="1003" t="s">
        <v>60</v>
      </c>
      <c r="B102" s="1003" t="s">
        <v>6796</v>
      </c>
      <c r="C102" s="1199" t="s">
        <v>1214</v>
      </c>
      <c r="D102" s="1199">
        <v>74.819999999999993</v>
      </c>
      <c r="E102" s="1199">
        <f t="shared" si="1"/>
        <v>62.61</v>
      </c>
    </row>
    <row r="103" spans="1:5">
      <c r="A103" s="1003" t="s">
        <v>62</v>
      </c>
      <c r="B103" s="1003" t="s">
        <v>6797</v>
      </c>
      <c r="C103" s="1199" t="s">
        <v>1214</v>
      </c>
      <c r="D103" s="1199">
        <v>96.42</v>
      </c>
      <c r="E103" s="1199">
        <f t="shared" si="1"/>
        <v>80.69</v>
      </c>
    </row>
    <row r="104" spans="1:5">
      <c r="A104" s="1003" t="s">
        <v>64</v>
      </c>
      <c r="B104" s="1003" t="s">
        <v>6798</v>
      </c>
      <c r="C104" s="1199" t="s">
        <v>1214</v>
      </c>
      <c r="D104" s="1199">
        <v>121.46</v>
      </c>
      <c r="E104" s="1199">
        <f t="shared" si="1"/>
        <v>101.64</v>
      </c>
    </row>
    <row r="105" spans="1:5">
      <c r="A105" s="1003" t="s">
        <v>6799</v>
      </c>
      <c r="B105" s="1003" t="s">
        <v>6800</v>
      </c>
      <c r="C105" s="1199" t="s">
        <v>1214</v>
      </c>
      <c r="D105" s="1199">
        <v>147.77000000000001</v>
      </c>
      <c r="E105" s="1199">
        <f t="shared" si="1"/>
        <v>123.66</v>
      </c>
    </row>
    <row r="106" spans="1:5">
      <c r="A106" s="1003" t="s">
        <v>6801</v>
      </c>
      <c r="B106" s="1003" t="s">
        <v>6802</v>
      </c>
      <c r="C106" s="1199" t="s">
        <v>1214</v>
      </c>
      <c r="D106" s="1199">
        <v>203.06</v>
      </c>
      <c r="E106" s="1199">
        <f t="shared" si="1"/>
        <v>169.92</v>
      </c>
    </row>
    <row r="107" spans="1:5">
      <c r="A107" s="1003" t="s">
        <v>6803</v>
      </c>
      <c r="B107" s="1003" t="s">
        <v>6804</v>
      </c>
      <c r="C107" s="1199" t="s">
        <v>1214</v>
      </c>
      <c r="D107" s="1199">
        <v>272.54000000000002</v>
      </c>
      <c r="E107" s="1199">
        <f t="shared" si="1"/>
        <v>228.07</v>
      </c>
    </row>
    <row r="108" spans="1:5">
      <c r="A108" s="1003" t="s">
        <v>6805</v>
      </c>
      <c r="B108" s="1003" t="s">
        <v>6806</v>
      </c>
      <c r="C108" s="1199" t="s">
        <v>1214</v>
      </c>
      <c r="D108" s="1199">
        <v>357.52</v>
      </c>
      <c r="E108" s="1199">
        <f t="shared" si="1"/>
        <v>299.18</v>
      </c>
    </row>
    <row r="109" spans="1:5">
      <c r="A109" s="1003" t="s">
        <v>6807</v>
      </c>
      <c r="B109" s="1003" t="s">
        <v>6808</v>
      </c>
      <c r="C109" s="1199" t="s">
        <v>1214</v>
      </c>
      <c r="D109" s="1199">
        <v>451.15</v>
      </c>
      <c r="E109" s="1199">
        <f t="shared" si="1"/>
        <v>377.53</v>
      </c>
    </row>
    <row r="110" spans="1:5">
      <c r="A110" s="1003" t="s">
        <v>6809</v>
      </c>
      <c r="B110" s="1003" t="s">
        <v>6810</v>
      </c>
      <c r="C110" s="1199" t="s">
        <v>1214</v>
      </c>
      <c r="D110" s="1199">
        <v>552.35</v>
      </c>
      <c r="E110" s="1199">
        <f t="shared" si="1"/>
        <v>462.22</v>
      </c>
    </row>
    <row r="111" spans="1:5">
      <c r="A111" s="1003" t="s">
        <v>66</v>
      </c>
      <c r="B111" s="1003" t="s">
        <v>6811</v>
      </c>
      <c r="C111" s="1199" t="s">
        <v>1650</v>
      </c>
      <c r="D111" s="1199">
        <v>68.069999999999993</v>
      </c>
      <c r="E111" s="1199">
        <f t="shared" si="1"/>
        <v>56.96</v>
      </c>
    </row>
    <row r="112" spans="1:5">
      <c r="A112" s="1003" t="s">
        <v>6812</v>
      </c>
      <c r="B112" s="1003" t="s">
        <v>6813</v>
      </c>
      <c r="C112" s="1199" t="s">
        <v>1615</v>
      </c>
      <c r="D112" s="1199">
        <v>14342.23</v>
      </c>
      <c r="E112" s="1199">
        <f t="shared" si="1"/>
        <v>12001.87</v>
      </c>
    </row>
    <row r="113" spans="1:5">
      <c r="A113" s="1003" t="s">
        <v>6814</v>
      </c>
      <c r="B113" s="1003" t="s">
        <v>6815</v>
      </c>
      <c r="C113" s="1199" t="s">
        <v>1615</v>
      </c>
      <c r="D113" s="1199">
        <v>2693.05</v>
      </c>
      <c r="E113" s="1199">
        <f t="shared" si="1"/>
        <v>2253.6</v>
      </c>
    </row>
    <row r="114" spans="1:5">
      <c r="A114" s="1003" t="s">
        <v>6816</v>
      </c>
      <c r="B114" s="1003" t="s">
        <v>6817</v>
      </c>
      <c r="C114" s="1199" t="s">
        <v>1615</v>
      </c>
      <c r="D114" s="1199">
        <v>26069.16</v>
      </c>
      <c r="E114" s="1199">
        <f t="shared" si="1"/>
        <v>21815.200000000001</v>
      </c>
    </row>
    <row r="115" spans="1:5">
      <c r="A115" s="1003" t="s">
        <v>6818</v>
      </c>
      <c r="B115" s="1003" t="s">
        <v>1743</v>
      </c>
      <c r="C115" s="1199" t="s">
        <v>1615</v>
      </c>
      <c r="D115" s="1199">
        <v>41181.14</v>
      </c>
      <c r="E115" s="1199">
        <f t="shared" si="1"/>
        <v>34461.21</v>
      </c>
    </row>
    <row r="116" spans="1:5">
      <c r="A116" s="1003" t="s">
        <v>6819</v>
      </c>
      <c r="B116" s="1003" t="s">
        <v>1744</v>
      </c>
      <c r="C116" s="1199" t="s">
        <v>1615</v>
      </c>
      <c r="D116" s="1199">
        <v>654.57000000000005</v>
      </c>
      <c r="E116" s="1199">
        <f t="shared" si="1"/>
        <v>547.76</v>
      </c>
    </row>
    <row r="117" spans="1:5">
      <c r="A117" s="1003" t="s">
        <v>6820</v>
      </c>
      <c r="B117" s="1003" t="s">
        <v>6821</v>
      </c>
      <c r="C117" s="1199" t="s">
        <v>1615</v>
      </c>
      <c r="D117" s="1199">
        <v>6811.5</v>
      </c>
      <c r="E117" s="1199">
        <f t="shared" si="1"/>
        <v>5700</v>
      </c>
    </row>
    <row r="118" spans="1:5">
      <c r="A118" s="1003" t="s">
        <v>6822</v>
      </c>
      <c r="B118" s="1003" t="s">
        <v>6823</v>
      </c>
      <c r="C118" s="1199" t="s">
        <v>1615</v>
      </c>
      <c r="D118" s="1199">
        <v>2976.67</v>
      </c>
      <c r="E118" s="1199">
        <f t="shared" si="1"/>
        <v>2490.94</v>
      </c>
    </row>
    <row r="119" spans="1:5">
      <c r="A119" s="1003" t="s">
        <v>6824</v>
      </c>
      <c r="B119" s="1003" t="s">
        <v>1747</v>
      </c>
      <c r="C119" s="1199" t="s">
        <v>1652</v>
      </c>
      <c r="D119" s="1199">
        <v>637.01</v>
      </c>
      <c r="E119" s="1199">
        <f t="shared" si="1"/>
        <v>533.05999999999995</v>
      </c>
    </row>
    <row r="120" spans="1:5">
      <c r="A120" s="1003" t="s">
        <v>6825</v>
      </c>
      <c r="B120" s="1003" t="s">
        <v>6826</v>
      </c>
      <c r="C120" s="1199" t="s">
        <v>1214</v>
      </c>
      <c r="D120" s="1199">
        <v>55.66</v>
      </c>
      <c r="E120" s="1199">
        <f t="shared" si="1"/>
        <v>46.58</v>
      </c>
    </row>
    <row r="121" spans="1:5">
      <c r="A121" s="1003" t="s">
        <v>6827</v>
      </c>
      <c r="B121" s="1003" t="s">
        <v>6828</v>
      </c>
      <c r="C121" s="1199" t="s">
        <v>1214</v>
      </c>
      <c r="D121" s="1199">
        <v>71.599999999999994</v>
      </c>
      <c r="E121" s="1199">
        <f t="shared" si="1"/>
        <v>59.92</v>
      </c>
    </row>
    <row r="122" spans="1:5">
      <c r="A122" s="1003" t="s">
        <v>6829</v>
      </c>
      <c r="B122" s="1003" t="s">
        <v>6830</v>
      </c>
      <c r="C122" s="1199" t="s">
        <v>1214</v>
      </c>
      <c r="D122" s="1199">
        <v>92.43</v>
      </c>
      <c r="E122" s="1199">
        <f t="shared" si="1"/>
        <v>77.349999999999994</v>
      </c>
    </row>
    <row r="123" spans="1:5">
      <c r="A123" s="1003" t="s">
        <v>6831</v>
      </c>
      <c r="B123" s="1003" t="s">
        <v>6832</v>
      </c>
      <c r="C123" s="1199" t="s">
        <v>1214</v>
      </c>
      <c r="D123" s="1199">
        <v>114.48</v>
      </c>
      <c r="E123" s="1199">
        <f t="shared" si="1"/>
        <v>95.8</v>
      </c>
    </row>
    <row r="124" spans="1:5">
      <c r="A124" s="1003" t="s">
        <v>6833</v>
      </c>
      <c r="B124" s="1003" t="s">
        <v>6834</v>
      </c>
      <c r="C124" s="1199" t="s">
        <v>1214</v>
      </c>
      <c r="D124" s="1199">
        <v>165.65</v>
      </c>
      <c r="E124" s="1199">
        <f t="shared" si="1"/>
        <v>138.62</v>
      </c>
    </row>
    <row r="125" spans="1:5">
      <c r="A125" s="1003" t="s">
        <v>6835</v>
      </c>
      <c r="B125" s="1003" t="s">
        <v>6836</v>
      </c>
      <c r="C125" s="1199" t="s">
        <v>1214</v>
      </c>
      <c r="D125" s="1199">
        <v>224.12</v>
      </c>
      <c r="E125" s="1199">
        <f t="shared" si="1"/>
        <v>187.55</v>
      </c>
    </row>
    <row r="126" spans="1:5">
      <c r="A126" s="1003" t="s">
        <v>6837</v>
      </c>
      <c r="B126" s="1003" t="s">
        <v>6838</v>
      </c>
      <c r="C126" s="1199" t="s">
        <v>1214</v>
      </c>
      <c r="D126" s="1199">
        <v>296.48</v>
      </c>
      <c r="E126" s="1199">
        <f t="shared" si="1"/>
        <v>248.1</v>
      </c>
    </row>
    <row r="127" spans="1:5">
      <c r="A127" s="1003" t="s">
        <v>6839</v>
      </c>
      <c r="B127" s="1003" t="s">
        <v>6840</v>
      </c>
      <c r="C127" s="1199" t="s">
        <v>1214</v>
      </c>
      <c r="D127" s="1199">
        <v>123.09</v>
      </c>
      <c r="E127" s="1199">
        <f t="shared" si="1"/>
        <v>103</v>
      </c>
    </row>
    <row r="128" spans="1:5">
      <c r="A128" s="1003" t="s">
        <v>6841</v>
      </c>
      <c r="B128" s="1003" t="s">
        <v>6842</v>
      </c>
      <c r="C128" s="1199" t="s">
        <v>1214</v>
      </c>
      <c r="D128" s="1199">
        <v>138.79</v>
      </c>
      <c r="E128" s="1199">
        <f t="shared" si="1"/>
        <v>116.14</v>
      </c>
    </row>
    <row r="129" spans="1:5">
      <c r="A129" s="1003" t="s">
        <v>6843</v>
      </c>
      <c r="B129" s="1003" t="s">
        <v>6844</v>
      </c>
      <c r="C129" s="1199" t="s">
        <v>1214</v>
      </c>
      <c r="D129" s="1199">
        <v>164.75</v>
      </c>
      <c r="E129" s="1199">
        <f t="shared" si="1"/>
        <v>137.87</v>
      </c>
    </row>
    <row r="130" spans="1:5">
      <c r="A130" s="1003" t="s">
        <v>6845</v>
      </c>
      <c r="B130" s="1003" t="s">
        <v>6846</v>
      </c>
      <c r="C130" s="1199" t="s">
        <v>1214</v>
      </c>
      <c r="D130" s="1199">
        <v>201.76</v>
      </c>
      <c r="E130" s="1199">
        <f t="shared" si="1"/>
        <v>168.84</v>
      </c>
    </row>
    <row r="131" spans="1:5">
      <c r="A131" s="1003" t="s">
        <v>6847</v>
      </c>
      <c r="B131" s="1003" t="s">
        <v>6848</v>
      </c>
      <c r="C131" s="1199" t="s">
        <v>1214</v>
      </c>
      <c r="D131" s="1199">
        <v>238.27</v>
      </c>
      <c r="E131" s="1199">
        <f t="shared" si="1"/>
        <v>199.39</v>
      </c>
    </row>
    <row r="132" spans="1:5">
      <c r="A132" s="1003" t="s">
        <v>6849</v>
      </c>
      <c r="B132" s="1003" t="s">
        <v>6850</v>
      </c>
      <c r="C132" s="1199" t="s">
        <v>1214</v>
      </c>
      <c r="D132" s="1199">
        <v>287.92</v>
      </c>
      <c r="E132" s="1199">
        <f t="shared" ref="E132:E195" si="2">ROUND(D132/1.195,2)</f>
        <v>240.94</v>
      </c>
    </row>
    <row r="133" spans="1:5">
      <c r="A133" s="1003" t="s">
        <v>6851</v>
      </c>
      <c r="B133" s="1003" t="s">
        <v>6852</v>
      </c>
      <c r="C133" s="1199" t="s">
        <v>1214</v>
      </c>
      <c r="D133" s="1199">
        <v>300.58</v>
      </c>
      <c r="E133" s="1199">
        <f t="shared" si="2"/>
        <v>251.53</v>
      </c>
    </row>
    <row r="134" spans="1:5">
      <c r="A134" s="1003" t="s">
        <v>6853</v>
      </c>
      <c r="B134" s="1003" t="s">
        <v>6854</v>
      </c>
      <c r="C134" s="1199" t="s">
        <v>1214</v>
      </c>
      <c r="D134" s="1199">
        <v>331.97</v>
      </c>
      <c r="E134" s="1199">
        <f t="shared" si="2"/>
        <v>277.8</v>
      </c>
    </row>
    <row r="135" spans="1:5">
      <c r="A135" s="1003" t="s">
        <v>6855</v>
      </c>
      <c r="B135" s="1003" t="s">
        <v>6856</v>
      </c>
      <c r="C135" s="1199" t="s">
        <v>1214</v>
      </c>
      <c r="D135" s="1199">
        <v>382.03</v>
      </c>
      <c r="E135" s="1199">
        <f t="shared" si="2"/>
        <v>319.69</v>
      </c>
    </row>
    <row r="136" spans="1:5">
      <c r="A136" s="1003" t="s">
        <v>6857</v>
      </c>
      <c r="B136" s="1003" t="s">
        <v>6858</v>
      </c>
      <c r="C136" s="1199" t="s">
        <v>1214</v>
      </c>
      <c r="D136" s="1199">
        <v>461.43</v>
      </c>
      <c r="E136" s="1199">
        <f t="shared" si="2"/>
        <v>386.13</v>
      </c>
    </row>
    <row r="137" spans="1:5">
      <c r="A137" s="1003" t="s">
        <v>6859</v>
      </c>
      <c r="B137" s="1003" t="s">
        <v>6860</v>
      </c>
      <c r="C137" s="1199" t="s">
        <v>1214</v>
      </c>
      <c r="D137" s="1199">
        <v>628.12</v>
      </c>
      <c r="E137" s="1199">
        <f t="shared" si="2"/>
        <v>525.62</v>
      </c>
    </row>
    <row r="138" spans="1:5">
      <c r="A138" s="1003" t="s">
        <v>71</v>
      </c>
      <c r="B138" s="1003" t="s">
        <v>1748</v>
      </c>
      <c r="C138" s="1199" t="s">
        <v>1240</v>
      </c>
      <c r="D138" s="1199">
        <v>89.95</v>
      </c>
      <c r="E138" s="1199">
        <f t="shared" si="2"/>
        <v>75.27</v>
      </c>
    </row>
    <row r="139" spans="1:5">
      <c r="A139" s="1003" t="s">
        <v>6861</v>
      </c>
      <c r="B139" s="1003" t="s">
        <v>1749</v>
      </c>
      <c r="C139" s="1199" t="s">
        <v>1652</v>
      </c>
      <c r="D139" s="1199">
        <v>637.01</v>
      </c>
      <c r="E139" s="1199">
        <f t="shared" si="2"/>
        <v>533.05999999999995</v>
      </c>
    </row>
    <row r="140" spans="1:5">
      <c r="A140" s="1003" t="s">
        <v>76</v>
      </c>
      <c r="B140" s="1003" t="s">
        <v>1750</v>
      </c>
      <c r="C140" s="1199" t="s">
        <v>1248</v>
      </c>
      <c r="D140" s="1199">
        <v>14.56</v>
      </c>
      <c r="E140" s="1199">
        <f t="shared" si="2"/>
        <v>12.18</v>
      </c>
    </row>
    <row r="141" spans="1:5">
      <c r="A141" s="1003" t="s">
        <v>78</v>
      </c>
      <c r="B141" s="1003" t="s">
        <v>1751</v>
      </c>
      <c r="C141" s="1199" t="s">
        <v>1248</v>
      </c>
      <c r="D141" s="1199">
        <v>15.03</v>
      </c>
      <c r="E141" s="1199">
        <f t="shared" si="2"/>
        <v>12.58</v>
      </c>
    </row>
    <row r="142" spans="1:5">
      <c r="A142" s="1003" t="s">
        <v>6862</v>
      </c>
      <c r="B142" s="1003" t="s">
        <v>1752</v>
      </c>
      <c r="C142" s="1199" t="s">
        <v>1248</v>
      </c>
      <c r="D142" s="1199">
        <v>13.67</v>
      </c>
      <c r="E142" s="1199">
        <f t="shared" si="2"/>
        <v>11.44</v>
      </c>
    </row>
    <row r="143" spans="1:5">
      <c r="A143" s="1003" t="s">
        <v>6863</v>
      </c>
      <c r="B143" s="1003" t="s">
        <v>1753</v>
      </c>
      <c r="C143" s="1199" t="s">
        <v>1652</v>
      </c>
      <c r="D143" s="1199">
        <v>637.01</v>
      </c>
      <c r="E143" s="1199">
        <f t="shared" si="2"/>
        <v>533.05999999999995</v>
      </c>
    </row>
    <row r="144" spans="1:5">
      <c r="A144" s="1003" t="s">
        <v>6864</v>
      </c>
      <c r="B144" s="1003" t="s">
        <v>6865</v>
      </c>
      <c r="C144" s="1199" t="s">
        <v>1650</v>
      </c>
      <c r="D144" s="1199">
        <v>591.75</v>
      </c>
      <c r="E144" s="1199">
        <f t="shared" si="2"/>
        <v>495.19</v>
      </c>
    </row>
    <row r="145" spans="1:5">
      <c r="A145" s="1003" t="s">
        <v>83</v>
      </c>
      <c r="B145" s="1003" t="s">
        <v>1755</v>
      </c>
      <c r="C145" s="1199" t="s">
        <v>1650</v>
      </c>
      <c r="D145" s="1199">
        <v>625.89</v>
      </c>
      <c r="E145" s="1199">
        <f t="shared" si="2"/>
        <v>523.76</v>
      </c>
    </row>
    <row r="146" spans="1:5">
      <c r="A146" s="1003" t="s">
        <v>6866</v>
      </c>
      <c r="B146" s="1003" t="s">
        <v>1756</v>
      </c>
      <c r="C146" s="1199" t="s">
        <v>1650</v>
      </c>
      <c r="D146" s="1199">
        <v>643.12</v>
      </c>
      <c r="E146" s="1199">
        <f t="shared" si="2"/>
        <v>538.17999999999995</v>
      </c>
    </row>
    <row r="147" spans="1:5">
      <c r="A147" s="1003" t="s">
        <v>6867</v>
      </c>
      <c r="B147" s="1003" t="s">
        <v>6868</v>
      </c>
      <c r="C147" s="1199" t="s">
        <v>1650</v>
      </c>
      <c r="D147" s="1199">
        <v>648.37</v>
      </c>
      <c r="E147" s="1199">
        <f t="shared" si="2"/>
        <v>542.57000000000005</v>
      </c>
    </row>
    <row r="148" spans="1:5">
      <c r="A148" s="1003" t="s">
        <v>6869</v>
      </c>
      <c r="B148" s="1003" t="s">
        <v>1758</v>
      </c>
      <c r="C148" s="1199" t="s">
        <v>1650</v>
      </c>
      <c r="D148" s="1199">
        <v>673.1</v>
      </c>
      <c r="E148" s="1199">
        <f t="shared" si="2"/>
        <v>563.26</v>
      </c>
    </row>
    <row r="149" spans="1:5">
      <c r="A149" s="1003" t="s">
        <v>6870</v>
      </c>
      <c r="B149" s="1003" t="s">
        <v>1759</v>
      </c>
      <c r="C149" s="1199" t="s">
        <v>1650</v>
      </c>
      <c r="D149" s="1199">
        <v>699.82</v>
      </c>
      <c r="E149" s="1199">
        <f t="shared" si="2"/>
        <v>585.62</v>
      </c>
    </row>
    <row r="150" spans="1:5">
      <c r="A150" s="1003" t="s">
        <v>85</v>
      </c>
      <c r="B150" s="1003" t="s">
        <v>6871</v>
      </c>
      <c r="C150" s="1199" t="s">
        <v>1650</v>
      </c>
      <c r="D150" s="1199">
        <v>580.48</v>
      </c>
      <c r="E150" s="1199">
        <f t="shared" si="2"/>
        <v>485.76</v>
      </c>
    </row>
    <row r="151" spans="1:5">
      <c r="A151" s="1003" t="s">
        <v>6872</v>
      </c>
      <c r="B151" s="1003" t="s">
        <v>1761</v>
      </c>
      <c r="C151" s="1199" t="s">
        <v>1650</v>
      </c>
      <c r="D151" s="1199">
        <v>6561.78</v>
      </c>
      <c r="E151" s="1199">
        <f t="shared" si="2"/>
        <v>5491.03</v>
      </c>
    </row>
    <row r="152" spans="1:5">
      <c r="A152" s="1003" t="s">
        <v>6873</v>
      </c>
      <c r="B152" s="1003" t="s">
        <v>1762</v>
      </c>
      <c r="C152" s="1199" t="s">
        <v>1652</v>
      </c>
      <c r="D152" s="1199">
        <v>637.01</v>
      </c>
      <c r="E152" s="1199">
        <f t="shared" si="2"/>
        <v>533.05999999999995</v>
      </c>
    </row>
    <row r="153" spans="1:5">
      <c r="A153" s="1003" t="s">
        <v>6874</v>
      </c>
      <c r="B153" s="1003" t="s">
        <v>6875</v>
      </c>
      <c r="C153" s="1199" t="s">
        <v>1240</v>
      </c>
      <c r="D153" s="1199">
        <v>124.69</v>
      </c>
      <c r="E153" s="1199">
        <f t="shared" si="2"/>
        <v>104.34</v>
      </c>
    </row>
    <row r="154" spans="1:5">
      <c r="A154" s="1003" t="s">
        <v>90</v>
      </c>
      <c r="B154" s="1003" t="s">
        <v>6876</v>
      </c>
      <c r="C154" s="1199" t="s">
        <v>1240</v>
      </c>
      <c r="D154" s="1199">
        <v>225.95</v>
      </c>
      <c r="E154" s="1199">
        <f t="shared" si="2"/>
        <v>189.08</v>
      </c>
    </row>
    <row r="155" spans="1:5">
      <c r="A155" s="1003" t="s">
        <v>6877</v>
      </c>
      <c r="B155" s="1003" t="s">
        <v>6878</v>
      </c>
      <c r="C155" s="1199" t="s">
        <v>1240</v>
      </c>
      <c r="D155" s="1199">
        <v>104.66</v>
      </c>
      <c r="E155" s="1199">
        <f t="shared" si="2"/>
        <v>87.58</v>
      </c>
    </row>
    <row r="156" spans="1:5">
      <c r="A156" s="1003" t="s">
        <v>6879</v>
      </c>
      <c r="B156" s="1003" t="s">
        <v>6880</v>
      </c>
      <c r="C156" s="1199" t="s">
        <v>1240</v>
      </c>
      <c r="D156" s="1199">
        <v>136.38</v>
      </c>
      <c r="E156" s="1199">
        <f t="shared" si="2"/>
        <v>114.13</v>
      </c>
    </row>
    <row r="157" spans="1:5">
      <c r="A157" s="1003" t="s">
        <v>6881</v>
      </c>
      <c r="B157" s="1003" t="s">
        <v>1770</v>
      </c>
      <c r="C157" s="1199" t="s">
        <v>1652</v>
      </c>
      <c r="D157" s="1199">
        <v>637.01</v>
      </c>
      <c r="E157" s="1199">
        <f t="shared" si="2"/>
        <v>533.05999999999995</v>
      </c>
    </row>
    <row r="158" spans="1:5">
      <c r="A158" s="1003" t="s">
        <v>95</v>
      </c>
      <c r="B158" s="1003" t="s">
        <v>1772</v>
      </c>
      <c r="C158" s="1199" t="s">
        <v>1240</v>
      </c>
      <c r="D158" s="1199">
        <v>57.11</v>
      </c>
      <c r="E158" s="1199">
        <f t="shared" si="2"/>
        <v>47.79</v>
      </c>
    </row>
    <row r="159" spans="1:5">
      <c r="A159" s="1003" t="s">
        <v>6882</v>
      </c>
      <c r="B159" s="1003" t="s">
        <v>6883</v>
      </c>
      <c r="C159" s="1199" t="s">
        <v>1240</v>
      </c>
      <c r="D159" s="1199">
        <v>87.83</v>
      </c>
      <c r="E159" s="1199">
        <f t="shared" si="2"/>
        <v>73.5</v>
      </c>
    </row>
    <row r="160" spans="1:5">
      <c r="A160" s="1003" t="s">
        <v>6884</v>
      </c>
      <c r="B160" s="1003" t="s">
        <v>1774</v>
      </c>
      <c r="C160" s="1199" t="s">
        <v>1240</v>
      </c>
      <c r="D160" s="1199">
        <v>13.15</v>
      </c>
      <c r="E160" s="1199">
        <f t="shared" si="2"/>
        <v>11</v>
      </c>
    </row>
    <row r="161" spans="1:5">
      <c r="A161" s="1003" t="s">
        <v>6885</v>
      </c>
      <c r="B161" s="1003" t="s">
        <v>93</v>
      </c>
      <c r="C161" s="1199" t="s">
        <v>1652</v>
      </c>
      <c r="D161" s="1199">
        <v>637.01</v>
      </c>
      <c r="E161" s="1199">
        <f t="shared" si="2"/>
        <v>533.05999999999995</v>
      </c>
    </row>
    <row r="162" spans="1:5">
      <c r="A162" s="1003" t="s">
        <v>6886</v>
      </c>
      <c r="B162" s="1003" t="s">
        <v>6887</v>
      </c>
      <c r="C162" s="1199" t="s">
        <v>1650</v>
      </c>
      <c r="D162" s="1199">
        <v>202.39</v>
      </c>
      <c r="E162" s="1199">
        <f t="shared" si="2"/>
        <v>169.36</v>
      </c>
    </row>
    <row r="163" spans="1:5">
      <c r="A163" s="1003" t="s">
        <v>6888</v>
      </c>
      <c r="B163" s="1003" t="s">
        <v>6889</v>
      </c>
      <c r="C163" s="1199" t="s">
        <v>1650</v>
      </c>
      <c r="D163" s="1199">
        <v>239.19</v>
      </c>
      <c r="E163" s="1199">
        <f t="shared" si="2"/>
        <v>200.16</v>
      </c>
    </row>
    <row r="164" spans="1:5">
      <c r="A164" s="1003" t="s">
        <v>6890</v>
      </c>
      <c r="B164" s="1003" t="s">
        <v>6891</v>
      </c>
      <c r="C164" s="1199" t="s">
        <v>1650</v>
      </c>
      <c r="D164" s="1199">
        <v>110.39</v>
      </c>
      <c r="E164" s="1199">
        <f t="shared" si="2"/>
        <v>92.38</v>
      </c>
    </row>
    <row r="165" spans="1:5">
      <c r="A165" s="1003" t="s">
        <v>6892</v>
      </c>
      <c r="B165" s="1003" t="s">
        <v>1690</v>
      </c>
      <c r="C165" s="1199" t="s">
        <v>1652</v>
      </c>
      <c r="D165" s="1199">
        <v>637.01</v>
      </c>
      <c r="E165" s="1199">
        <f t="shared" si="2"/>
        <v>533.05999999999995</v>
      </c>
    </row>
    <row r="166" spans="1:5">
      <c r="A166" s="1003" t="s">
        <v>6893</v>
      </c>
      <c r="B166" s="1003" t="s">
        <v>1691</v>
      </c>
      <c r="C166" s="1199" t="s">
        <v>1652</v>
      </c>
      <c r="D166" s="1199">
        <v>637.01</v>
      </c>
      <c r="E166" s="1199">
        <f t="shared" si="2"/>
        <v>533.05999999999995</v>
      </c>
    </row>
    <row r="167" spans="1:5">
      <c r="A167" s="1003" t="s">
        <v>6894</v>
      </c>
      <c r="B167" s="1003" t="s">
        <v>1692</v>
      </c>
      <c r="C167" s="1199" t="s">
        <v>1652</v>
      </c>
      <c r="D167" s="1199">
        <v>637.01</v>
      </c>
      <c r="E167" s="1199">
        <f t="shared" si="2"/>
        <v>533.05999999999995</v>
      </c>
    </row>
    <row r="168" spans="1:5">
      <c r="A168" s="1003" t="s">
        <v>6895</v>
      </c>
      <c r="B168" s="1003" t="s">
        <v>6896</v>
      </c>
      <c r="C168" s="1199" t="s">
        <v>1652</v>
      </c>
      <c r="D168" s="1199">
        <v>637.01</v>
      </c>
      <c r="E168" s="1199">
        <f t="shared" si="2"/>
        <v>533.05999999999995</v>
      </c>
    </row>
    <row r="169" spans="1:5">
      <c r="A169" s="1003" t="s">
        <v>6897</v>
      </c>
      <c r="B169" s="1003" t="s">
        <v>1780</v>
      </c>
      <c r="C169" s="1199" t="s">
        <v>1240</v>
      </c>
      <c r="D169" s="1199">
        <v>131.76</v>
      </c>
      <c r="E169" s="1199">
        <f t="shared" si="2"/>
        <v>110.26</v>
      </c>
    </row>
    <row r="170" spans="1:5">
      <c r="A170" s="1003" t="s">
        <v>101</v>
      </c>
      <c r="B170" s="1003" t="s">
        <v>1781</v>
      </c>
      <c r="C170" s="1199" t="s">
        <v>1240</v>
      </c>
      <c r="D170" s="1199">
        <v>151.46</v>
      </c>
      <c r="E170" s="1199">
        <f t="shared" si="2"/>
        <v>126.74</v>
      </c>
    </row>
    <row r="171" spans="1:5">
      <c r="A171" s="1003" t="s">
        <v>6898</v>
      </c>
      <c r="B171" s="1003" t="s">
        <v>1782</v>
      </c>
      <c r="C171" s="1199" t="s">
        <v>1240</v>
      </c>
      <c r="D171" s="1199">
        <v>196.6</v>
      </c>
      <c r="E171" s="1199">
        <f t="shared" si="2"/>
        <v>164.52</v>
      </c>
    </row>
    <row r="172" spans="1:5">
      <c r="A172" s="1003" t="s">
        <v>6899</v>
      </c>
      <c r="B172" s="1003" t="s">
        <v>1783</v>
      </c>
      <c r="C172" s="1199" t="s">
        <v>1650</v>
      </c>
      <c r="D172" s="1199">
        <v>44.59</v>
      </c>
      <c r="E172" s="1199">
        <f t="shared" si="2"/>
        <v>37.31</v>
      </c>
    </row>
    <row r="173" spans="1:5">
      <c r="A173" s="1003" t="s">
        <v>6900</v>
      </c>
      <c r="B173" s="1003" t="s">
        <v>6901</v>
      </c>
      <c r="C173" s="1199" t="s">
        <v>1214</v>
      </c>
      <c r="D173" s="1199">
        <v>99.77</v>
      </c>
      <c r="E173" s="1199">
        <f t="shared" si="2"/>
        <v>83.49</v>
      </c>
    </row>
    <row r="174" spans="1:5">
      <c r="A174" s="1003" t="s">
        <v>6902</v>
      </c>
      <c r="B174" s="1003" t="s">
        <v>6903</v>
      </c>
      <c r="C174" s="1199" t="s">
        <v>1214</v>
      </c>
      <c r="D174" s="1199">
        <v>118.51</v>
      </c>
      <c r="E174" s="1199">
        <f t="shared" si="2"/>
        <v>99.17</v>
      </c>
    </row>
    <row r="175" spans="1:5">
      <c r="A175" s="1003" t="s">
        <v>6904</v>
      </c>
      <c r="B175" s="1003" t="s">
        <v>6905</v>
      </c>
      <c r="C175" s="1199" t="s">
        <v>1214</v>
      </c>
      <c r="D175" s="1199">
        <v>185.62</v>
      </c>
      <c r="E175" s="1199">
        <f t="shared" si="2"/>
        <v>155.33000000000001</v>
      </c>
    </row>
    <row r="176" spans="1:5">
      <c r="A176" s="1003" t="s">
        <v>6906</v>
      </c>
      <c r="B176" s="1003" t="s">
        <v>6907</v>
      </c>
      <c r="C176" s="1199" t="s">
        <v>1214</v>
      </c>
      <c r="D176" s="1199">
        <v>222.88</v>
      </c>
      <c r="E176" s="1199">
        <f t="shared" si="2"/>
        <v>186.51</v>
      </c>
    </row>
    <row r="177" spans="1:5">
      <c r="A177" s="1003" t="s">
        <v>6908</v>
      </c>
      <c r="B177" s="1003" t="s">
        <v>6909</v>
      </c>
      <c r="C177" s="1199" t="s">
        <v>1214</v>
      </c>
      <c r="D177" s="1199">
        <v>260.39999999999998</v>
      </c>
      <c r="E177" s="1199">
        <f t="shared" si="2"/>
        <v>217.91</v>
      </c>
    </row>
    <row r="178" spans="1:5">
      <c r="A178" s="1003" t="s">
        <v>6910</v>
      </c>
      <c r="B178" s="1003" t="s">
        <v>6911</v>
      </c>
      <c r="C178" s="1199" t="s">
        <v>1214</v>
      </c>
      <c r="D178" s="1199">
        <v>288.95999999999998</v>
      </c>
      <c r="E178" s="1199">
        <f t="shared" si="2"/>
        <v>241.81</v>
      </c>
    </row>
    <row r="179" spans="1:5">
      <c r="A179" s="1003" t="s">
        <v>6912</v>
      </c>
      <c r="B179" s="1003" t="s">
        <v>6913</v>
      </c>
      <c r="C179" s="1199" t="s">
        <v>1214</v>
      </c>
      <c r="D179" s="1199">
        <v>259.48</v>
      </c>
      <c r="E179" s="1199">
        <f t="shared" si="2"/>
        <v>217.14</v>
      </c>
    </row>
    <row r="180" spans="1:5">
      <c r="A180" s="1003" t="s">
        <v>6914</v>
      </c>
      <c r="B180" s="1003" t="s">
        <v>6915</v>
      </c>
      <c r="C180" s="1199" t="s">
        <v>1214</v>
      </c>
      <c r="D180" s="1199">
        <v>287.23</v>
      </c>
      <c r="E180" s="1199">
        <f t="shared" si="2"/>
        <v>240.36</v>
      </c>
    </row>
    <row r="181" spans="1:5">
      <c r="A181" s="1003" t="s">
        <v>6916</v>
      </c>
      <c r="B181" s="1003" t="s">
        <v>6917</v>
      </c>
      <c r="C181" s="1199" t="s">
        <v>1214</v>
      </c>
      <c r="D181" s="1199">
        <v>458.17</v>
      </c>
      <c r="E181" s="1199">
        <f t="shared" si="2"/>
        <v>383.41</v>
      </c>
    </row>
    <row r="182" spans="1:5">
      <c r="A182" s="1003" t="s">
        <v>6918</v>
      </c>
      <c r="B182" s="1003" t="s">
        <v>6919</v>
      </c>
      <c r="C182" s="1199" t="s">
        <v>1214</v>
      </c>
      <c r="D182" s="1199">
        <v>556.66</v>
      </c>
      <c r="E182" s="1199">
        <f t="shared" si="2"/>
        <v>465.82</v>
      </c>
    </row>
    <row r="183" spans="1:5">
      <c r="A183" s="1003" t="s">
        <v>6920</v>
      </c>
      <c r="B183" s="1003" t="s">
        <v>1749</v>
      </c>
      <c r="C183" s="1199" t="s">
        <v>1652</v>
      </c>
      <c r="D183" s="1199">
        <v>637.01</v>
      </c>
      <c r="E183" s="1199">
        <f t="shared" si="2"/>
        <v>533.05999999999995</v>
      </c>
    </row>
    <row r="184" spans="1:5">
      <c r="A184" s="1003" t="s">
        <v>105</v>
      </c>
      <c r="B184" s="1003" t="s">
        <v>1750</v>
      </c>
      <c r="C184" s="1199" t="s">
        <v>1248</v>
      </c>
      <c r="D184" s="1199">
        <v>14.56</v>
      </c>
      <c r="E184" s="1199">
        <f t="shared" si="2"/>
        <v>12.18</v>
      </c>
    </row>
    <row r="185" spans="1:5">
      <c r="A185" s="1003" t="s">
        <v>6921</v>
      </c>
      <c r="B185" s="1003" t="s">
        <v>1751</v>
      </c>
      <c r="C185" s="1199" t="s">
        <v>1248</v>
      </c>
      <c r="D185" s="1199">
        <v>15.03</v>
      </c>
      <c r="E185" s="1199">
        <f t="shared" si="2"/>
        <v>12.58</v>
      </c>
    </row>
    <row r="186" spans="1:5">
      <c r="A186" s="1003" t="s">
        <v>107</v>
      </c>
      <c r="B186" s="1003" t="s">
        <v>1752</v>
      </c>
      <c r="C186" s="1199" t="s">
        <v>1248</v>
      </c>
      <c r="D186" s="1199">
        <v>13.67</v>
      </c>
      <c r="E186" s="1199">
        <f t="shared" si="2"/>
        <v>11.44</v>
      </c>
    </row>
    <row r="187" spans="1:5">
      <c r="A187" s="1003" t="s">
        <v>109</v>
      </c>
      <c r="B187" s="1003" t="s">
        <v>6922</v>
      </c>
      <c r="C187" s="1199" t="s">
        <v>1248</v>
      </c>
      <c r="D187" s="1199">
        <v>72.22</v>
      </c>
      <c r="E187" s="1199">
        <f t="shared" si="2"/>
        <v>60.44</v>
      </c>
    </row>
    <row r="188" spans="1:5">
      <c r="A188" s="1003" t="s">
        <v>111</v>
      </c>
      <c r="B188" s="1003" t="s">
        <v>6923</v>
      </c>
      <c r="C188" s="1199" t="s">
        <v>1615</v>
      </c>
      <c r="D188" s="1199">
        <v>105.24</v>
      </c>
      <c r="E188" s="1199">
        <f t="shared" si="2"/>
        <v>88.07</v>
      </c>
    </row>
    <row r="189" spans="1:5">
      <c r="A189" s="1003" t="s">
        <v>6924</v>
      </c>
      <c r="B189" s="1003" t="s">
        <v>6925</v>
      </c>
      <c r="C189" s="1199" t="s">
        <v>1615</v>
      </c>
      <c r="D189" s="1199">
        <v>136.63999999999999</v>
      </c>
      <c r="E189" s="1199">
        <f t="shared" si="2"/>
        <v>114.34</v>
      </c>
    </row>
    <row r="190" spans="1:5">
      <c r="A190" s="1003" t="s">
        <v>113</v>
      </c>
      <c r="B190" s="1003" t="s">
        <v>6926</v>
      </c>
      <c r="C190" s="1199" t="s">
        <v>1615</v>
      </c>
      <c r="D190" s="1199">
        <v>176.84</v>
      </c>
      <c r="E190" s="1199">
        <f t="shared" si="2"/>
        <v>147.97999999999999</v>
      </c>
    </row>
    <row r="191" spans="1:5">
      <c r="A191" s="1003" t="s">
        <v>6927</v>
      </c>
      <c r="B191" s="1003" t="s">
        <v>6928</v>
      </c>
      <c r="C191" s="1199" t="s">
        <v>1615</v>
      </c>
      <c r="D191" s="1199">
        <v>291.05</v>
      </c>
      <c r="E191" s="1199">
        <f t="shared" si="2"/>
        <v>243.56</v>
      </c>
    </row>
    <row r="192" spans="1:5">
      <c r="A192" s="1003" t="s">
        <v>6929</v>
      </c>
      <c r="B192" s="1003" t="s">
        <v>6930</v>
      </c>
      <c r="C192" s="1199" t="s">
        <v>1615</v>
      </c>
      <c r="D192" s="1199">
        <v>477.01</v>
      </c>
      <c r="E192" s="1199">
        <f t="shared" si="2"/>
        <v>399.17</v>
      </c>
    </row>
    <row r="193" spans="1:5">
      <c r="A193" s="1003" t="s">
        <v>6931</v>
      </c>
      <c r="B193" s="1003" t="s">
        <v>1753</v>
      </c>
      <c r="C193" s="1199" t="s">
        <v>1652</v>
      </c>
      <c r="D193" s="1199">
        <v>637.01</v>
      </c>
      <c r="E193" s="1199">
        <f t="shared" si="2"/>
        <v>533.05999999999995</v>
      </c>
    </row>
    <row r="194" spans="1:5">
      <c r="A194" s="1003" t="s">
        <v>6932</v>
      </c>
      <c r="B194" s="1003" t="s">
        <v>1795</v>
      </c>
      <c r="C194" s="1199" t="s">
        <v>1240</v>
      </c>
      <c r="D194" s="1199">
        <v>213.88</v>
      </c>
      <c r="E194" s="1199">
        <f t="shared" si="2"/>
        <v>178.98</v>
      </c>
    </row>
    <row r="195" spans="1:5">
      <c r="A195" s="1003" t="s">
        <v>6933</v>
      </c>
      <c r="B195" s="1003" t="s">
        <v>1796</v>
      </c>
      <c r="C195" s="1199" t="s">
        <v>1240</v>
      </c>
      <c r="D195" s="1199">
        <v>211.81</v>
      </c>
      <c r="E195" s="1199">
        <f t="shared" si="2"/>
        <v>177.25</v>
      </c>
    </row>
    <row r="196" spans="1:5">
      <c r="A196" s="1003" t="s">
        <v>6934</v>
      </c>
      <c r="B196" s="1003" t="s">
        <v>1797</v>
      </c>
      <c r="C196" s="1199" t="s">
        <v>1240</v>
      </c>
      <c r="D196" s="1199">
        <v>229.52</v>
      </c>
      <c r="E196" s="1199">
        <f t="shared" ref="E196:E259" si="3">ROUND(D196/1.195,2)</f>
        <v>192.07</v>
      </c>
    </row>
    <row r="197" spans="1:5">
      <c r="A197" s="1003" t="s">
        <v>6935</v>
      </c>
      <c r="B197" s="1003" t="s">
        <v>1798</v>
      </c>
      <c r="C197" s="1199" t="s">
        <v>1240</v>
      </c>
      <c r="D197" s="1199">
        <v>236.68</v>
      </c>
      <c r="E197" s="1199">
        <f t="shared" si="3"/>
        <v>198.06</v>
      </c>
    </row>
    <row r="198" spans="1:5">
      <c r="A198" s="1003" t="s">
        <v>6936</v>
      </c>
      <c r="B198" s="1003" t="s">
        <v>1799</v>
      </c>
      <c r="C198" s="1199" t="s">
        <v>1240</v>
      </c>
      <c r="D198" s="1199">
        <v>248.17</v>
      </c>
      <c r="E198" s="1199">
        <f t="shared" si="3"/>
        <v>207.67</v>
      </c>
    </row>
    <row r="199" spans="1:5">
      <c r="A199" s="1003" t="s">
        <v>6937</v>
      </c>
      <c r="B199" s="1003" t="s">
        <v>1800</v>
      </c>
      <c r="C199" s="1199" t="s">
        <v>1240</v>
      </c>
      <c r="D199" s="1199">
        <v>260.87</v>
      </c>
      <c r="E199" s="1199">
        <f t="shared" si="3"/>
        <v>218.3</v>
      </c>
    </row>
    <row r="200" spans="1:5">
      <c r="A200" s="1003" t="s">
        <v>6938</v>
      </c>
      <c r="B200" s="1003" t="s">
        <v>1801</v>
      </c>
      <c r="C200" s="1199" t="s">
        <v>1240</v>
      </c>
      <c r="D200" s="1199">
        <v>262.86</v>
      </c>
      <c r="E200" s="1199">
        <f t="shared" si="3"/>
        <v>219.97</v>
      </c>
    </row>
    <row r="201" spans="1:5">
      <c r="A201" s="1003" t="s">
        <v>6939</v>
      </c>
      <c r="B201" s="1003" t="s">
        <v>1802</v>
      </c>
      <c r="C201" s="1199" t="s">
        <v>1240</v>
      </c>
      <c r="D201" s="1199">
        <v>266.77</v>
      </c>
      <c r="E201" s="1199">
        <f t="shared" si="3"/>
        <v>223.24</v>
      </c>
    </row>
    <row r="202" spans="1:5">
      <c r="A202" s="1003" t="s">
        <v>6940</v>
      </c>
      <c r="B202" s="1003" t="s">
        <v>1754</v>
      </c>
      <c r="C202" s="1199" t="s">
        <v>1650</v>
      </c>
      <c r="D202" s="1199">
        <v>591.75</v>
      </c>
      <c r="E202" s="1199">
        <f t="shared" si="3"/>
        <v>495.19</v>
      </c>
    </row>
    <row r="203" spans="1:5">
      <c r="A203" s="1003" t="s">
        <v>6941</v>
      </c>
      <c r="B203" s="1003" t="s">
        <v>1803</v>
      </c>
      <c r="C203" s="1199" t="s">
        <v>1240</v>
      </c>
      <c r="D203" s="1199">
        <v>273.93</v>
      </c>
      <c r="E203" s="1199">
        <f t="shared" si="3"/>
        <v>229.23</v>
      </c>
    </row>
    <row r="204" spans="1:5">
      <c r="A204" s="1003" t="s">
        <v>6942</v>
      </c>
      <c r="B204" s="1003" t="s">
        <v>1804</v>
      </c>
      <c r="C204" s="1199" t="s">
        <v>1650</v>
      </c>
      <c r="D204" s="1199">
        <v>625.89</v>
      </c>
      <c r="E204" s="1199">
        <f t="shared" si="3"/>
        <v>523.76</v>
      </c>
    </row>
    <row r="205" spans="1:5">
      <c r="A205" s="1003" t="s">
        <v>6943</v>
      </c>
      <c r="B205" s="1003" t="s">
        <v>1805</v>
      </c>
      <c r="C205" s="1199" t="s">
        <v>1240</v>
      </c>
      <c r="D205" s="1199">
        <v>279.27999999999997</v>
      </c>
      <c r="E205" s="1199">
        <f t="shared" si="3"/>
        <v>233.71</v>
      </c>
    </row>
    <row r="206" spans="1:5">
      <c r="A206" s="1003" t="s">
        <v>6944</v>
      </c>
      <c r="B206" s="1003" t="s">
        <v>1806</v>
      </c>
      <c r="C206" s="1199" t="s">
        <v>1240</v>
      </c>
      <c r="D206" s="1199">
        <v>167.84</v>
      </c>
      <c r="E206" s="1199">
        <f t="shared" si="3"/>
        <v>140.44999999999999</v>
      </c>
    </row>
    <row r="207" spans="1:5">
      <c r="A207" s="1003" t="s">
        <v>6945</v>
      </c>
      <c r="B207" s="1003" t="s">
        <v>1807</v>
      </c>
      <c r="C207" s="1199" t="s">
        <v>1240</v>
      </c>
      <c r="D207" s="1199">
        <v>199.39</v>
      </c>
      <c r="E207" s="1199">
        <f t="shared" si="3"/>
        <v>166.85</v>
      </c>
    </row>
    <row r="208" spans="1:5">
      <c r="A208" s="1003" t="s">
        <v>6946</v>
      </c>
      <c r="B208" s="1003" t="s">
        <v>1756</v>
      </c>
      <c r="C208" s="1199" t="s">
        <v>1650</v>
      </c>
      <c r="D208" s="1199">
        <v>643.12</v>
      </c>
      <c r="E208" s="1199">
        <f t="shared" si="3"/>
        <v>538.17999999999995</v>
      </c>
    </row>
    <row r="209" spans="1:5">
      <c r="A209" s="1003" t="s">
        <v>6947</v>
      </c>
      <c r="B209" s="1003" t="s">
        <v>1808</v>
      </c>
      <c r="C209" s="1199" t="s">
        <v>1240</v>
      </c>
      <c r="D209" s="1199">
        <v>200.89</v>
      </c>
      <c r="E209" s="1199">
        <f t="shared" si="3"/>
        <v>168.11</v>
      </c>
    </row>
    <row r="210" spans="1:5">
      <c r="A210" s="1003" t="s">
        <v>6948</v>
      </c>
      <c r="B210" s="1003" t="s">
        <v>1757</v>
      </c>
      <c r="C210" s="1199" t="s">
        <v>1650</v>
      </c>
      <c r="D210" s="1199">
        <v>648.37</v>
      </c>
      <c r="E210" s="1199">
        <f t="shared" si="3"/>
        <v>542.57000000000005</v>
      </c>
    </row>
    <row r="211" spans="1:5">
      <c r="A211" s="1003" t="s">
        <v>117</v>
      </c>
      <c r="B211" s="1003" t="s">
        <v>1809</v>
      </c>
      <c r="C211" s="1199" t="s">
        <v>1650</v>
      </c>
      <c r="D211" s="1199">
        <v>673.1</v>
      </c>
      <c r="E211" s="1199">
        <f t="shared" si="3"/>
        <v>563.26</v>
      </c>
    </row>
    <row r="212" spans="1:5">
      <c r="A212" s="1003" t="s">
        <v>6949</v>
      </c>
      <c r="B212" s="1003" t="s">
        <v>1810</v>
      </c>
      <c r="C212" s="1199" t="s">
        <v>1240</v>
      </c>
      <c r="D212" s="1199">
        <v>219.01</v>
      </c>
      <c r="E212" s="1199">
        <f t="shared" si="3"/>
        <v>183.27</v>
      </c>
    </row>
    <row r="213" spans="1:5">
      <c r="A213" s="1003" t="s">
        <v>6950</v>
      </c>
      <c r="B213" s="1003" t="s">
        <v>1811</v>
      </c>
      <c r="C213" s="1199" t="s">
        <v>1240</v>
      </c>
      <c r="D213" s="1199">
        <v>263.82</v>
      </c>
      <c r="E213" s="1199">
        <f t="shared" si="3"/>
        <v>220.77</v>
      </c>
    </row>
    <row r="214" spans="1:5">
      <c r="A214" s="1003" t="s">
        <v>6951</v>
      </c>
      <c r="B214" s="1003" t="s">
        <v>1812</v>
      </c>
      <c r="C214" s="1199" t="s">
        <v>1240</v>
      </c>
      <c r="D214" s="1199">
        <v>255.46</v>
      </c>
      <c r="E214" s="1199">
        <f t="shared" si="3"/>
        <v>213.77</v>
      </c>
    </row>
    <row r="215" spans="1:5">
      <c r="A215" s="1003" t="s">
        <v>6952</v>
      </c>
      <c r="B215" s="1003" t="s">
        <v>1759</v>
      </c>
      <c r="C215" s="1199" t="s">
        <v>1650</v>
      </c>
      <c r="D215" s="1199">
        <v>699.82</v>
      </c>
      <c r="E215" s="1199">
        <f t="shared" si="3"/>
        <v>585.62</v>
      </c>
    </row>
    <row r="216" spans="1:5">
      <c r="A216" s="1003" t="s">
        <v>6953</v>
      </c>
      <c r="B216" s="1003" t="s">
        <v>1813</v>
      </c>
      <c r="C216" s="1199" t="s">
        <v>1240</v>
      </c>
      <c r="D216" s="1199">
        <v>278.10000000000002</v>
      </c>
      <c r="E216" s="1199">
        <f t="shared" si="3"/>
        <v>232.72</v>
      </c>
    </row>
    <row r="217" spans="1:5">
      <c r="A217" s="1003" t="s">
        <v>6954</v>
      </c>
      <c r="B217" s="1003" t="s">
        <v>1814</v>
      </c>
      <c r="C217" s="1199" t="s">
        <v>1240</v>
      </c>
      <c r="D217" s="1199">
        <v>297.83999999999997</v>
      </c>
      <c r="E217" s="1199">
        <f t="shared" si="3"/>
        <v>249.24</v>
      </c>
    </row>
    <row r="218" spans="1:5">
      <c r="A218" s="1003" t="s">
        <v>119</v>
      </c>
      <c r="B218" s="1003" t="s">
        <v>1816</v>
      </c>
      <c r="C218" s="1199" t="s">
        <v>1240</v>
      </c>
      <c r="D218" s="1199">
        <v>363.06</v>
      </c>
      <c r="E218" s="1199">
        <f t="shared" si="3"/>
        <v>303.82</v>
      </c>
    </row>
    <row r="219" spans="1:5">
      <c r="A219" s="1003" t="s">
        <v>121</v>
      </c>
      <c r="B219" s="1003" t="s">
        <v>1817</v>
      </c>
      <c r="C219" s="1199" t="s">
        <v>1240</v>
      </c>
      <c r="D219" s="1199">
        <v>360.04</v>
      </c>
      <c r="E219" s="1199">
        <f t="shared" si="3"/>
        <v>301.29000000000002</v>
      </c>
    </row>
    <row r="220" spans="1:5">
      <c r="A220" s="1003" t="s">
        <v>123</v>
      </c>
      <c r="B220" s="1003" t="s">
        <v>1818</v>
      </c>
      <c r="C220" s="1199" t="s">
        <v>1240</v>
      </c>
      <c r="D220" s="1199">
        <v>367.22</v>
      </c>
      <c r="E220" s="1199">
        <f t="shared" si="3"/>
        <v>307.3</v>
      </c>
    </row>
    <row r="221" spans="1:5">
      <c r="A221" s="1003" t="s">
        <v>6351</v>
      </c>
      <c r="B221" s="1003" t="s">
        <v>1819</v>
      </c>
      <c r="C221" s="1199" t="s">
        <v>1240</v>
      </c>
      <c r="D221" s="1199">
        <v>423.2</v>
      </c>
      <c r="E221" s="1199">
        <f t="shared" si="3"/>
        <v>354.14</v>
      </c>
    </row>
    <row r="222" spans="1:5">
      <c r="A222" s="1003" t="s">
        <v>6955</v>
      </c>
      <c r="B222" s="1003" t="s">
        <v>1820</v>
      </c>
      <c r="C222" s="1199" t="s">
        <v>1240</v>
      </c>
      <c r="D222" s="1199">
        <v>410.35</v>
      </c>
      <c r="E222" s="1199">
        <f t="shared" si="3"/>
        <v>343.39</v>
      </c>
    </row>
    <row r="223" spans="1:5">
      <c r="A223" s="1003" t="s">
        <v>6956</v>
      </c>
      <c r="B223" s="1003" t="s">
        <v>1828</v>
      </c>
      <c r="C223" s="1199" t="s">
        <v>1240</v>
      </c>
      <c r="D223" s="1199">
        <v>253.27</v>
      </c>
      <c r="E223" s="1199">
        <f t="shared" si="3"/>
        <v>211.94</v>
      </c>
    </row>
    <row r="224" spans="1:5">
      <c r="A224" s="1003" t="s">
        <v>6957</v>
      </c>
      <c r="B224" s="1003" t="s">
        <v>1829</v>
      </c>
      <c r="C224" s="1199" t="s">
        <v>1240</v>
      </c>
      <c r="D224" s="1199">
        <v>291.76</v>
      </c>
      <c r="E224" s="1199">
        <f t="shared" si="3"/>
        <v>244.15</v>
      </c>
    </row>
    <row r="225" spans="1:5">
      <c r="A225" s="1003" t="s">
        <v>6958</v>
      </c>
      <c r="B225" s="1003" t="s">
        <v>1830</v>
      </c>
      <c r="C225" s="1199" t="s">
        <v>1240</v>
      </c>
      <c r="D225" s="1199">
        <v>310.63</v>
      </c>
      <c r="E225" s="1199">
        <f t="shared" si="3"/>
        <v>259.94</v>
      </c>
    </row>
    <row r="226" spans="1:5">
      <c r="A226" s="1003" t="s">
        <v>6959</v>
      </c>
      <c r="B226" s="1003" t="s">
        <v>1833</v>
      </c>
      <c r="C226" s="1199" t="s">
        <v>1240</v>
      </c>
      <c r="D226" s="1199">
        <v>341.32</v>
      </c>
      <c r="E226" s="1199">
        <f t="shared" si="3"/>
        <v>285.62</v>
      </c>
    </row>
    <row r="227" spans="1:5">
      <c r="A227" s="1003" t="s">
        <v>6960</v>
      </c>
      <c r="B227" s="1003" t="s">
        <v>1834</v>
      </c>
      <c r="C227" s="1199" t="s">
        <v>1650</v>
      </c>
      <c r="D227" s="1199">
        <v>490.38</v>
      </c>
      <c r="E227" s="1199">
        <f t="shared" si="3"/>
        <v>410.36</v>
      </c>
    </row>
    <row r="228" spans="1:5">
      <c r="A228" s="1003" t="s">
        <v>6961</v>
      </c>
      <c r="B228" s="1003" t="s">
        <v>1835</v>
      </c>
      <c r="C228" s="1199" t="s">
        <v>1650</v>
      </c>
      <c r="D228" s="1199">
        <v>1015.88</v>
      </c>
      <c r="E228" s="1199">
        <f t="shared" si="3"/>
        <v>850.11</v>
      </c>
    </row>
    <row r="229" spans="1:5">
      <c r="A229" s="1003" t="s">
        <v>6962</v>
      </c>
      <c r="B229" s="1003" t="s">
        <v>1836</v>
      </c>
      <c r="C229" s="1199" t="s">
        <v>1240</v>
      </c>
      <c r="D229" s="1199">
        <v>356.42</v>
      </c>
      <c r="E229" s="1199">
        <f t="shared" si="3"/>
        <v>298.26</v>
      </c>
    </row>
    <row r="230" spans="1:5">
      <c r="A230" s="1003" t="s">
        <v>6963</v>
      </c>
      <c r="B230" s="1003" t="s">
        <v>1837</v>
      </c>
      <c r="C230" s="1199" t="s">
        <v>1240</v>
      </c>
      <c r="D230" s="1199">
        <v>382.1</v>
      </c>
      <c r="E230" s="1199">
        <f t="shared" si="3"/>
        <v>319.75</v>
      </c>
    </row>
    <row r="231" spans="1:5">
      <c r="A231" s="1003" t="s">
        <v>6964</v>
      </c>
      <c r="B231" s="1003" t="s">
        <v>1838</v>
      </c>
      <c r="C231" s="1199" t="s">
        <v>1240</v>
      </c>
      <c r="D231" s="1199">
        <v>420.46</v>
      </c>
      <c r="E231" s="1199">
        <f t="shared" si="3"/>
        <v>351.85</v>
      </c>
    </row>
    <row r="232" spans="1:5">
      <c r="A232" s="1003" t="s">
        <v>6965</v>
      </c>
      <c r="B232" s="1003" t="s">
        <v>1841</v>
      </c>
      <c r="C232" s="1199" t="s">
        <v>1240</v>
      </c>
      <c r="D232" s="1199">
        <v>424.47</v>
      </c>
      <c r="E232" s="1199">
        <f t="shared" si="3"/>
        <v>355.21</v>
      </c>
    </row>
    <row r="233" spans="1:5">
      <c r="A233" s="1003" t="s">
        <v>6966</v>
      </c>
      <c r="B233" s="1003" t="s">
        <v>6967</v>
      </c>
      <c r="C233" s="1199" t="s">
        <v>1214</v>
      </c>
      <c r="D233" s="1199">
        <v>92.4</v>
      </c>
      <c r="E233" s="1199">
        <f t="shared" si="3"/>
        <v>77.319999999999993</v>
      </c>
    </row>
    <row r="234" spans="1:5">
      <c r="A234" s="1003" t="s">
        <v>6968</v>
      </c>
      <c r="B234" s="1003" t="s">
        <v>1843</v>
      </c>
      <c r="C234" s="1199" t="s">
        <v>1240</v>
      </c>
      <c r="D234" s="1199">
        <v>259.04000000000002</v>
      </c>
      <c r="E234" s="1199">
        <f t="shared" si="3"/>
        <v>216.77</v>
      </c>
    </row>
    <row r="235" spans="1:5">
      <c r="A235" s="1003" t="s">
        <v>6969</v>
      </c>
      <c r="B235" s="1003" t="s">
        <v>1844</v>
      </c>
      <c r="C235" s="1199" t="s">
        <v>1240</v>
      </c>
      <c r="D235" s="1199">
        <v>316.76</v>
      </c>
      <c r="E235" s="1199">
        <f t="shared" si="3"/>
        <v>265.07</v>
      </c>
    </row>
    <row r="236" spans="1:5">
      <c r="A236" s="1003" t="s">
        <v>6970</v>
      </c>
      <c r="B236" s="1003" t="s">
        <v>1845</v>
      </c>
      <c r="C236" s="1199" t="s">
        <v>1240</v>
      </c>
      <c r="D236" s="1199">
        <v>276.14</v>
      </c>
      <c r="E236" s="1199">
        <f t="shared" si="3"/>
        <v>231.08</v>
      </c>
    </row>
    <row r="237" spans="1:5">
      <c r="A237" s="1003" t="s">
        <v>6971</v>
      </c>
      <c r="B237" s="1003" t="s">
        <v>1846</v>
      </c>
      <c r="C237" s="1199" t="s">
        <v>1240</v>
      </c>
      <c r="D237" s="1199">
        <v>361.15</v>
      </c>
      <c r="E237" s="1199">
        <f t="shared" si="3"/>
        <v>302.22000000000003</v>
      </c>
    </row>
    <row r="238" spans="1:5">
      <c r="A238" s="1003" t="s">
        <v>6972</v>
      </c>
      <c r="B238" s="1003" t="s">
        <v>1847</v>
      </c>
      <c r="C238" s="1199" t="s">
        <v>1240</v>
      </c>
      <c r="D238" s="1199">
        <v>309.74</v>
      </c>
      <c r="E238" s="1199">
        <f t="shared" si="3"/>
        <v>259.2</v>
      </c>
    </row>
    <row r="239" spans="1:5">
      <c r="A239" s="1003" t="s">
        <v>6973</v>
      </c>
      <c r="B239" s="1003" t="s">
        <v>1848</v>
      </c>
      <c r="C239" s="1199" t="s">
        <v>1240</v>
      </c>
      <c r="D239" s="1199">
        <v>411.73</v>
      </c>
      <c r="E239" s="1199">
        <f t="shared" si="3"/>
        <v>344.54</v>
      </c>
    </row>
    <row r="240" spans="1:5">
      <c r="A240" s="1003" t="s">
        <v>6974</v>
      </c>
      <c r="B240" s="1003" t="s">
        <v>1849</v>
      </c>
      <c r="C240" s="1199" t="s">
        <v>1240</v>
      </c>
      <c r="D240" s="1199">
        <v>354.76</v>
      </c>
      <c r="E240" s="1199">
        <f t="shared" si="3"/>
        <v>296.87</v>
      </c>
    </row>
    <row r="241" spans="1:5">
      <c r="A241" s="1003" t="s">
        <v>6975</v>
      </c>
      <c r="B241" s="1003" t="s">
        <v>1850</v>
      </c>
      <c r="C241" s="1199" t="s">
        <v>1240</v>
      </c>
      <c r="D241" s="1199">
        <v>377.88</v>
      </c>
      <c r="E241" s="1199">
        <f t="shared" si="3"/>
        <v>316.22000000000003</v>
      </c>
    </row>
    <row r="242" spans="1:5">
      <c r="A242" s="1003" t="s">
        <v>125</v>
      </c>
      <c r="B242" s="1003" t="s">
        <v>6976</v>
      </c>
      <c r="C242" s="1199" t="s">
        <v>1650</v>
      </c>
      <c r="D242" s="1199">
        <v>7312.32</v>
      </c>
      <c r="E242" s="1199">
        <f t="shared" si="3"/>
        <v>6119.1</v>
      </c>
    </row>
    <row r="243" spans="1:5">
      <c r="A243" s="1003" t="s">
        <v>127</v>
      </c>
      <c r="B243" s="1003" t="s">
        <v>1761</v>
      </c>
      <c r="C243" s="1199" t="s">
        <v>1650</v>
      </c>
      <c r="D243" s="1199">
        <v>6561.78</v>
      </c>
      <c r="E243" s="1199">
        <f t="shared" si="3"/>
        <v>5491.03</v>
      </c>
    </row>
    <row r="244" spans="1:5">
      <c r="A244" s="1003" t="s">
        <v>6977</v>
      </c>
      <c r="B244" s="1003" t="s">
        <v>1762</v>
      </c>
      <c r="C244" s="1199" t="s">
        <v>1652</v>
      </c>
      <c r="D244" s="1199">
        <v>637.01</v>
      </c>
      <c r="E244" s="1199">
        <f t="shared" si="3"/>
        <v>533.05999999999995</v>
      </c>
    </row>
    <row r="245" spans="1:5">
      <c r="A245" s="1003" t="s">
        <v>6978</v>
      </c>
      <c r="B245" s="1003" t="s">
        <v>6979</v>
      </c>
      <c r="C245" s="1199" t="s">
        <v>1240</v>
      </c>
      <c r="D245" s="1199">
        <v>186.66</v>
      </c>
      <c r="E245" s="1199">
        <f t="shared" si="3"/>
        <v>156.19999999999999</v>
      </c>
    </row>
    <row r="246" spans="1:5">
      <c r="A246" s="1003" t="s">
        <v>6980</v>
      </c>
      <c r="B246" s="1003" t="s">
        <v>6981</v>
      </c>
      <c r="C246" s="1199" t="s">
        <v>1214</v>
      </c>
      <c r="D246" s="1199">
        <v>81.53</v>
      </c>
      <c r="E246" s="1199">
        <f t="shared" si="3"/>
        <v>68.23</v>
      </c>
    </row>
    <row r="247" spans="1:5">
      <c r="A247" s="1003" t="s">
        <v>6982</v>
      </c>
      <c r="B247" s="1003" t="s">
        <v>6983</v>
      </c>
      <c r="C247" s="1199" t="s">
        <v>1240</v>
      </c>
      <c r="D247" s="1199">
        <v>21.11</v>
      </c>
      <c r="E247" s="1199">
        <f t="shared" si="3"/>
        <v>17.670000000000002</v>
      </c>
    </row>
    <row r="248" spans="1:5">
      <c r="A248" s="1003" t="s">
        <v>132</v>
      </c>
      <c r="B248" s="1003" t="s">
        <v>6984</v>
      </c>
      <c r="C248" s="1199" t="s">
        <v>1248</v>
      </c>
      <c r="D248" s="1199">
        <v>31.41</v>
      </c>
      <c r="E248" s="1199">
        <f t="shared" si="3"/>
        <v>26.28</v>
      </c>
    </row>
    <row r="249" spans="1:5">
      <c r="A249" s="1003" t="s">
        <v>6985</v>
      </c>
      <c r="B249" s="1003" t="s">
        <v>6986</v>
      </c>
      <c r="C249" s="1199" t="s">
        <v>1248</v>
      </c>
      <c r="D249" s="1199">
        <v>31.41</v>
      </c>
      <c r="E249" s="1199">
        <f t="shared" si="3"/>
        <v>26.28</v>
      </c>
    </row>
    <row r="250" spans="1:5">
      <c r="A250" s="1003" t="s">
        <v>6987</v>
      </c>
      <c r="B250" s="1003" t="s">
        <v>1854</v>
      </c>
      <c r="C250" s="1199" t="s">
        <v>1248</v>
      </c>
      <c r="D250" s="1199">
        <v>5.32</v>
      </c>
      <c r="E250" s="1199">
        <f t="shared" si="3"/>
        <v>4.45</v>
      </c>
    </row>
    <row r="251" spans="1:5">
      <c r="A251" s="1003" t="s">
        <v>6988</v>
      </c>
      <c r="B251" s="1003" t="s">
        <v>1855</v>
      </c>
      <c r="C251" s="1199" t="s">
        <v>1652</v>
      </c>
      <c r="D251" s="1199">
        <v>637.01</v>
      </c>
      <c r="E251" s="1199">
        <f t="shared" si="3"/>
        <v>533.05999999999995</v>
      </c>
    </row>
    <row r="252" spans="1:5">
      <c r="A252" s="1003" t="s">
        <v>6989</v>
      </c>
      <c r="B252" s="1003" t="s">
        <v>1857</v>
      </c>
      <c r="C252" s="1199" t="s">
        <v>1615</v>
      </c>
      <c r="D252" s="1199">
        <v>697.19</v>
      </c>
      <c r="E252" s="1199">
        <f t="shared" si="3"/>
        <v>583.41999999999996</v>
      </c>
    </row>
    <row r="253" spans="1:5">
      <c r="A253" s="1003" t="s">
        <v>6990</v>
      </c>
      <c r="B253" s="1003" t="s">
        <v>1858</v>
      </c>
      <c r="C253" s="1199" t="s">
        <v>1214</v>
      </c>
      <c r="D253" s="1199">
        <v>49.8</v>
      </c>
      <c r="E253" s="1199">
        <f t="shared" si="3"/>
        <v>41.67</v>
      </c>
    </row>
    <row r="254" spans="1:5">
      <c r="A254" s="1003" t="s">
        <v>6991</v>
      </c>
      <c r="B254" s="1003" t="s">
        <v>1859</v>
      </c>
      <c r="C254" s="1199" t="s">
        <v>1214</v>
      </c>
      <c r="D254" s="1199">
        <v>67.760000000000005</v>
      </c>
      <c r="E254" s="1199">
        <f t="shared" si="3"/>
        <v>56.7</v>
      </c>
    </row>
    <row r="255" spans="1:5">
      <c r="A255" s="1003" t="s">
        <v>6992</v>
      </c>
      <c r="B255" s="1003" t="s">
        <v>1860</v>
      </c>
      <c r="C255" s="1199" t="s">
        <v>1652</v>
      </c>
      <c r="D255" s="1199">
        <v>637.01</v>
      </c>
      <c r="E255" s="1199">
        <f t="shared" si="3"/>
        <v>533.05999999999995</v>
      </c>
    </row>
    <row r="256" spans="1:5">
      <c r="A256" s="1003" t="s">
        <v>6993</v>
      </c>
      <c r="B256" s="1003" t="s">
        <v>6994</v>
      </c>
      <c r="C256" s="1199" t="s">
        <v>1650</v>
      </c>
      <c r="D256" s="1199">
        <v>367.99</v>
      </c>
      <c r="E256" s="1199">
        <f t="shared" si="3"/>
        <v>307.94</v>
      </c>
    </row>
    <row r="257" spans="1:5">
      <c r="A257" s="1003" t="s">
        <v>6995</v>
      </c>
      <c r="B257" s="1003" t="s">
        <v>6996</v>
      </c>
      <c r="C257" s="1199" t="s">
        <v>1240</v>
      </c>
      <c r="D257" s="1199">
        <v>27.59</v>
      </c>
      <c r="E257" s="1199">
        <f t="shared" si="3"/>
        <v>23.09</v>
      </c>
    </row>
    <row r="258" spans="1:5">
      <c r="A258" s="1003" t="s">
        <v>6997</v>
      </c>
      <c r="B258" s="1003" t="s">
        <v>1690</v>
      </c>
      <c r="C258" s="1199" t="s">
        <v>1652</v>
      </c>
      <c r="D258" s="1199">
        <v>637.01</v>
      </c>
      <c r="E258" s="1199">
        <f t="shared" si="3"/>
        <v>533.05999999999995</v>
      </c>
    </row>
    <row r="259" spans="1:5">
      <c r="A259" s="1003" t="s">
        <v>6998</v>
      </c>
      <c r="B259" s="1003" t="s">
        <v>1691</v>
      </c>
      <c r="C259" s="1199" t="s">
        <v>1652</v>
      </c>
      <c r="D259" s="1199">
        <v>637.01</v>
      </c>
      <c r="E259" s="1199">
        <f t="shared" si="3"/>
        <v>533.05999999999995</v>
      </c>
    </row>
    <row r="260" spans="1:5">
      <c r="A260" s="1003" t="s">
        <v>6999</v>
      </c>
      <c r="B260" s="1003" t="s">
        <v>1692</v>
      </c>
      <c r="C260" s="1199" t="s">
        <v>1652</v>
      </c>
      <c r="D260" s="1199">
        <v>637.01</v>
      </c>
      <c r="E260" s="1199">
        <f t="shared" ref="E260:E323" si="4">ROUND(D260/1.195,2)</f>
        <v>533.05999999999995</v>
      </c>
    </row>
    <row r="261" spans="1:5">
      <c r="A261" s="1003" t="s">
        <v>7000</v>
      </c>
      <c r="B261" s="1003" t="s">
        <v>7001</v>
      </c>
      <c r="C261" s="1199" t="s">
        <v>1652</v>
      </c>
      <c r="D261" s="1199">
        <v>637.01</v>
      </c>
      <c r="E261" s="1199">
        <f t="shared" si="4"/>
        <v>533.05999999999995</v>
      </c>
    </row>
    <row r="262" spans="1:5">
      <c r="A262" s="1003" t="s">
        <v>7002</v>
      </c>
      <c r="B262" s="1003" t="s">
        <v>1865</v>
      </c>
      <c r="C262" s="1199" t="s">
        <v>1240</v>
      </c>
      <c r="D262" s="1199">
        <v>71.17</v>
      </c>
      <c r="E262" s="1199">
        <f t="shared" si="4"/>
        <v>59.56</v>
      </c>
    </row>
    <row r="263" spans="1:5">
      <c r="A263" s="1003" t="s">
        <v>7003</v>
      </c>
      <c r="B263" s="1003" t="s">
        <v>1866</v>
      </c>
      <c r="C263" s="1199" t="s">
        <v>1240</v>
      </c>
      <c r="D263" s="1199">
        <v>124.69</v>
      </c>
      <c r="E263" s="1199">
        <f t="shared" si="4"/>
        <v>104.34</v>
      </c>
    </row>
    <row r="264" spans="1:5">
      <c r="A264" s="1003" t="s">
        <v>7004</v>
      </c>
      <c r="B264" s="1003" t="s">
        <v>1867</v>
      </c>
      <c r="C264" s="1199" t="s">
        <v>1240</v>
      </c>
      <c r="D264" s="1199">
        <v>229.24</v>
      </c>
      <c r="E264" s="1199">
        <f t="shared" si="4"/>
        <v>191.83</v>
      </c>
    </row>
    <row r="265" spans="1:5">
      <c r="A265" s="1003" t="s">
        <v>7005</v>
      </c>
      <c r="B265" s="1003" t="s">
        <v>1868</v>
      </c>
      <c r="C265" s="1199" t="s">
        <v>1240</v>
      </c>
      <c r="D265" s="1199">
        <v>125.33</v>
      </c>
      <c r="E265" s="1199">
        <f t="shared" si="4"/>
        <v>104.88</v>
      </c>
    </row>
    <row r="266" spans="1:5">
      <c r="A266" s="1003" t="s">
        <v>7006</v>
      </c>
      <c r="B266" s="1003" t="s">
        <v>7007</v>
      </c>
      <c r="C266" s="1199" t="s">
        <v>1240</v>
      </c>
      <c r="D266" s="1199">
        <v>178.47</v>
      </c>
      <c r="E266" s="1199">
        <f t="shared" si="4"/>
        <v>149.35</v>
      </c>
    </row>
    <row r="267" spans="1:5">
      <c r="A267" s="1003" t="s">
        <v>7008</v>
      </c>
      <c r="B267" s="1003" t="s">
        <v>1870</v>
      </c>
      <c r="C267" s="1199" t="s">
        <v>1240</v>
      </c>
      <c r="D267" s="1199">
        <v>253.52</v>
      </c>
      <c r="E267" s="1199">
        <f t="shared" si="4"/>
        <v>212.15</v>
      </c>
    </row>
    <row r="268" spans="1:5">
      <c r="A268" s="1003" t="s">
        <v>7009</v>
      </c>
      <c r="B268" s="1003" t="s">
        <v>1871</v>
      </c>
      <c r="C268" s="1199" t="s">
        <v>1240</v>
      </c>
      <c r="D268" s="1199">
        <v>445.06</v>
      </c>
      <c r="E268" s="1199">
        <f t="shared" si="4"/>
        <v>372.44</v>
      </c>
    </row>
    <row r="269" spans="1:5">
      <c r="A269" s="1003" t="s">
        <v>7010</v>
      </c>
      <c r="B269" s="1003" t="s">
        <v>1872</v>
      </c>
      <c r="C269" s="1199" t="s">
        <v>1240</v>
      </c>
      <c r="D269" s="1199">
        <v>183.73</v>
      </c>
      <c r="E269" s="1199">
        <f t="shared" si="4"/>
        <v>153.75</v>
      </c>
    </row>
    <row r="270" spans="1:5">
      <c r="A270" s="1003" t="s">
        <v>7011</v>
      </c>
      <c r="B270" s="1003" t="s">
        <v>1873</v>
      </c>
      <c r="C270" s="1199" t="s">
        <v>1240</v>
      </c>
      <c r="D270" s="1199">
        <v>148.29</v>
      </c>
      <c r="E270" s="1199">
        <f t="shared" si="4"/>
        <v>124.09</v>
      </c>
    </row>
    <row r="271" spans="1:5">
      <c r="A271" s="1003" t="s">
        <v>7012</v>
      </c>
      <c r="B271" s="1003" t="s">
        <v>1874</v>
      </c>
      <c r="C271" s="1199" t="s">
        <v>1240</v>
      </c>
      <c r="D271" s="1199">
        <v>261.99</v>
      </c>
      <c r="E271" s="1199">
        <f t="shared" si="4"/>
        <v>219.24</v>
      </c>
    </row>
    <row r="272" spans="1:5">
      <c r="A272" s="1003" t="s">
        <v>7013</v>
      </c>
      <c r="B272" s="1003" t="s">
        <v>1875</v>
      </c>
      <c r="C272" s="1199" t="s">
        <v>1240</v>
      </c>
      <c r="D272" s="1199">
        <v>484.27</v>
      </c>
      <c r="E272" s="1199">
        <f t="shared" si="4"/>
        <v>405.25</v>
      </c>
    </row>
    <row r="273" spans="1:5">
      <c r="A273" s="1003" t="s">
        <v>7014</v>
      </c>
      <c r="B273" s="1003" t="s">
        <v>7015</v>
      </c>
      <c r="C273" s="1199" t="s">
        <v>1240</v>
      </c>
      <c r="D273" s="1199">
        <v>78.540000000000006</v>
      </c>
      <c r="E273" s="1199">
        <f t="shared" si="4"/>
        <v>65.72</v>
      </c>
    </row>
    <row r="274" spans="1:5">
      <c r="A274" s="1003" t="s">
        <v>139</v>
      </c>
      <c r="B274" s="1003" t="s">
        <v>7016</v>
      </c>
      <c r="C274" s="1199" t="s">
        <v>1240</v>
      </c>
      <c r="D274" s="1199">
        <v>94.77</v>
      </c>
      <c r="E274" s="1199">
        <f t="shared" si="4"/>
        <v>79.31</v>
      </c>
    </row>
    <row r="275" spans="1:5">
      <c r="A275" s="1003" t="s">
        <v>141</v>
      </c>
      <c r="B275" s="1003" t="s">
        <v>7017</v>
      </c>
      <c r="C275" s="1199" t="s">
        <v>1240</v>
      </c>
      <c r="D275" s="1199">
        <v>114.95</v>
      </c>
      <c r="E275" s="1199">
        <f t="shared" si="4"/>
        <v>96.19</v>
      </c>
    </row>
    <row r="276" spans="1:5">
      <c r="A276" s="1003" t="s">
        <v>7018</v>
      </c>
      <c r="B276" s="1003" t="s">
        <v>1879</v>
      </c>
      <c r="C276" s="1199" t="s">
        <v>1240</v>
      </c>
      <c r="D276" s="1199">
        <v>87.4</v>
      </c>
      <c r="E276" s="1199">
        <f t="shared" si="4"/>
        <v>73.14</v>
      </c>
    </row>
    <row r="277" spans="1:5">
      <c r="A277" s="1003" t="s">
        <v>7019</v>
      </c>
      <c r="B277" s="1003" t="s">
        <v>1880</v>
      </c>
      <c r="C277" s="1199" t="s">
        <v>1240</v>
      </c>
      <c r="D277" s="1199">
        <v>103.59</v>
      </c>
      <c r="E277" s="1199">
        <f t="shared" si="4"/>
        <v>86.69</v>
      </c>
    </row>
    <row r="278" spans="1:5">
      <c r="A278" s="1003" t="s">
        <v>143</v>
      </c>
      <c r="B278" s="1003" t="s">
        <v>6871</v>
      </c>
      <c r="C278" s="1199" t="s">
        <v>1650</v>
      </c>
      <c r="D278" s="1199">
        <v>580.48</v>
      </c>
      <c r="E278" s="1199">
        <f t="shared" si="4"/>
        <v>485.76</v>
      </c>
    </row>
    <row r="279" spans="1:5">
      <c r="A279" s="1003" t="s">
        <v>145</v>
      </c>
      <c r="B279" s="1003" t="s">
        <v>1882</v>
      </c>
      <c r="C279" s="1199" t="s">
        <v>1248</v>
      </c>
      <c r="D279" s="1199">
        <v>14.56</v>
      </c>
      <c r="E279" s="1199">
        <f t="shared" si="4"/>
        <v>12.18</v>
      </c>
    </row>
    <row r="280" spans="1:5">
      <c r="A280" s="1003" t="s">
        <v>7020</v>
      </c>
      <c r="B280" s="1003" t="s">
        <v>1883</v>
      </c>
      <c r="C280" s="1199" t="s">
        <v>1248</v>
      </c>
      <c r="D280" s="1199">
        <v>15.03</v>
      </c>
      <c r="E280" s="1199">
        <f t="shared" si="4"/>
        <v>12.58</v>
      </c>
    </row>
    <row r="281" spans="1:5">
      <c r="A281" s="1003" t="s">
        <v>147</v>
      </c>
      <c r="B281" s="1003" t="s">
        <v>7021</v>
      </c>
      <c r="C281" s="1199" t="s">
        <v>1240</v>
      </c>
      <c r="D281" s="1199">
        <v>168.34</v>
      </c>
      <c r="E281" s="1199">
        <f t="shared" si="4"/>
        <v>140.87</v>
      </c>
    </row>
    <row r="282" spans="1:5">
      <c r="A282" s="1003" t="s">
        <v>7022</v>
      </c>
      <c r="B282" s="1003" t="s">
        <v>7023</v>
      </c>
      <c r="C282" s="1199" t="s">
        <v>1240</v>
      </c>
      <c r="D282" s="1199">
        <v>105.75</v>
      </c>
      <c r="E282" s="1199">
        <f t="shared" si="4"/>
        <v>88.49</v>
      </c>
    </row>
    <row r="283" spans="1:5">
      <c r="A283" s="1003" t="s">
        <v>7024</v>
      </c>
      <c r="B283" s="1003" t="s">
        <v>7025</v>
      </c>
      <c r="C283" s="1199" t="s">
        <v>1240</v>
      </c>
      <c r="D283" s="1199">
        <v>128.91999999999999</v>
      </c>
      <c r="E283" s="1199">
        <f t="shared" si="4"/>
        <v>107.88</v>
      </c>
    </row>
    <row r="284" spans="1:5">
      <c r="A284" s="1003" t="s">
        <v>7026</v>
      </c>
      <c r="B284" s="1003" t="s">
        <v>1888</v>
      </c>
      <c r="C284" s="1199" t="s">
        <v>1214</v>
      </c>
      <c r="D284" s="1199">
        <v>44.55</v>
      </c>
      <c r="E284" s="1199">
        <f t="shared" si="4"/>
        <v>37.28</v>
      </c>
    </row>
    <row r="285" spans="1:5">
      <c r="A285" s="1003" t="s">
        <v>7027</v>
      </c>
      <c r="B285" s="1003" t="s">
        <v>1889</v>
      </c>
      <c r="C285" s="1199" t="s">
        <v>1214</v>
      </c>
      <c r="D285" s="1199">
        <v>49.93</v>
      </c>
      <c r="E285" s="1199">
        <f t="shared" si="4"/>
        <v>41.78</v>
      </c>
    </row>
    <row r="286" spans="1:5">
      <c r="A286" s="1003" t="s">
        <v>7028</v>
      </c>
      <c r="B286" s="1003" t="s">
        <v>7029</v>
      </c>
      <c r="C286" s="1199" t="s">
        <v>1240</v>
      </c>
      <c r="D286" s="1199">
        <v>113.87</v>
      </c>
      <c r="E286" s="1199">
        <f t="shared" si="4"/>
        <v>95.29</v>
      </c>
    </row>
    <row r="287" spans="1:5">
      <c r="A287" s="1003" t="s">
        <v>149</v>
      </c>
      <c r="B287" s="1003" t="s">
        <v>7030</v>
      </c>
      <c r="C287" s="1199" t="s">
        <v>1240</v>
      </c>
      <c r="D287" s="1199">
        <v>160.56</v>
      </c>
      <c r="E287" s="1199">
        <f t="shared" si="4"/>
        <v>134.36000000000001</v>
      </c>
    </row>
    <row r="288" spans="1:5">
      <c r="A288" s="1003" t="s">
        <v>7031</v>
      </c>
      <c r="B288" s="1003" t="s">
        <v>7032</v>
      </c>
      <c r="C288" s="1199" t="s">
        <v>1240</v>
      </c>
      <c r="D288" s="1199">
        <v>210.63</v>
      </c>
      <c r="E288" s="1199">
        <f t="shared" si="4"/>
        <v>176.26</v>
      </c>
    </row>
    <row r="289" spans="1:5">
      <c r="A289" s="1003" t="s">
        <v>7033</v>
      </c>
      <c r="B289" s="1003" t="s">
        <v>7034</v>
      </c>
      <c r="C289" s="1199" t="s">
        <v>1214</v>
      </c>
      <c r="D289" s="1199">
        <v>109.84</v>
      </c>
      <c r="E289" s="1199">
        <f t="shared" si="4"/>
        <v>91.92</v>
      </c>
    </row>
    <row r="290" spans="1:5">
      <c r="A290" s="1003" t="s">
        <v>7035</v>
      </c>
      <c r="B290" s="1003" t="s">
        <v>1895</v>
      </c>
      <c r="C290" s="1199" t="s">
        <v>1240</v>
      </c>
      <c r="D290" s="1199">
        <v>85.95</v>
      </c>
      <c r="E290" s="1199">
        <f t="shared" si="4"/>
        <v>71.92</v>
      </c>
    </row>
    <row r="291" spans="1:5">
      <c r="A291" s="1003" t="s">
        <v>7036</v>
      </c>
      <c r="B291" s="1003" t="s">
        <v>1896</v>
      </c>
      <c r="C291" s="1199" t="s">
        <v>1240</v>
      </c>
      <c r="D291" s="1199">
        <v>98.21</v>
      </c>
      <c r="E291" s="1199">
        <f t="shared" si="4"/>
        <v>82.18</v>
      </c>
    </row>
    <row r="292" spans="1:5">
      <c r="A292" s="1003" t="s">
        <v>7037</v>
      </c>
      <c r="B292" s="1003" t="s">
        <v>1897</v>
      </c>
      <c r="C292" s="1199" t="s">
        <v>1240</v>
      </c>
      <c r="D292" s="1199">
        <v>80.97</v>
      </c>
      <c r="E292" s="1199">
        <f t="shared" si="4"/>
        <v>67.760000000000005</v>
      </c>
    </row>
    <row r="293" spans="1:5">
      <c r="A293" s="1003" t="s">
        <v>7038</v>
      </c>
      <c r="B293" s="1003" t="s">
        <v>1898</v>
      </c>
      <c r="C293" s="1199" t="s">
        <v>1240</v>
      </c>
      <c r="D293" s="1199">
        <v>104.25</v>
      </c>
      <c r="E293" s="1199">
        <f t="shared" si="4"/>
        <v>87.24</v>
      </c>
    </row>
    <row r="294" spans="1:5">
      <c r="A294" s="1003" t="s">
        <v>7039</v>
      </c>
      <c r="B294" s="1003" t="s">
        <v>1899</v>
      </c>
      <c r="C294" s="1199" t="s">
        <v>1652</v>
      </c>
      <c r="D294" s="1199">
        <v>637.01</v>
      </c>
      <c r="E294" s="1199">
        <f t="shared" si="4"/>
        <v>533.05999999999995</v>
      </c>
    </row>
    <row r="295" spans="1:5">
      <c r="A295" s="1003" t="s">
        <v>7040</v>
      </c>
      <c r="B295" s="1003" t="s">
        <v>7041</v>
      </c>
      <c r="C295" s="1199" t="s">
        <v>1240</v>
      </c>
      <c r="D295" s="1199">
        <v>197.33</v>
      </c>
      <c r="E295" s="1199">
        <f t="shared" si="4"/>
        <v>165.13</v>
      </c>
    </row>
    <row r="296" spans="1:5">
      <c r="A296" s="1003" t="s">
        <v>5687</v>
      </c>
      <c r="B296" s="1003" t="s">
        <v>5688</v>
      </c>
      <c r="C296" s="1199" t="s">
        <v>1240</v>
      </c>
      <c r="D296" s="1199">
        <v>187.47</v>
      </c>
      <c r="E296" s="1199">
        <f t="shared" si="4"/>
        <v>156.88</v>
      </c>
    </row>
    <row r="297" spans="1:5">
      <c r="A297" s="1003" t="s">
        <v>7042</v>
      </c>
      <c r="B297" s="1003" t="s">
        <v>7043</v>
      </c>
      <c r="C297" s="1199" t="s">
        <v>1240</v>
      </c>
      <c r="D297" s="1199">
        <v>767.85</v>
      </c>
      <c r="E297" s="1199">
        <f t="shared" si="4"/>
        <v>642.54999999999995</v>
      </c>
    </row>
    <row r="298" spans="1:5">
      <c r="A298" s="1003" t="s">
        <v>7044</v>
      </c>
      <c r="B298" s="1003" t="s">
        <v>7045</v>
      </c>
      <c r="C298" s="1199" t="s">
        <v>1240</v>
      </c>
      <c r="D298" s="1199">
        <v>107.56</v>
      </c>
      <c r="E298" s="1199">
        <f t="shared" si="4"/>
        <v>90.01</v>
      </c>
    </row>
    <row r="299" spans="1:5">
      <c r="A299" s="1003" t="s">
        <v>7046</v>
      </c>
      <c r="B299" s="1003" t="s">
        <v>1904</v>
      </c>
      <c r="C299" s="1199" t="s">
        <v>1240</v>
      </c>
      <c r="D299" s="1199">
        <v>160.26</v>
      </c>
      <c r="E299" s="1199">
        <f t="shared" si="4"/>
        <v>134.11000000000001</v>
      </c>
    </row>
    <row r="300" spans="1:5">
      <c r="A300" s="1003" t="s">
        <v>7047</v>
      </c>
      <c r="B300" s="1003" t="s">
        <v>1921</v>
      </c>
      <c r="C300" s="1199" t="s">
        <v>1240</v>
      </c>
      <c r="D300" s="1199">
        <v>502.07</v>
      </c>
      <c r="E300" s="1199">
        <f t="shared" si="4"/>
        <v>420.14</v>
      </c>
    </row>
    <row r="301" spans="1:5">
      <c r="A301" s="1003" t="s">
        <v>7048</v>
      </c>
      <c r="B301" s="1003" t="s">
        <v>1900</v>
      </c>
      <c r="C301" s="1199" t="s">
        <v>1652</v>
      </c>
      <c r="D301" s="1199">
        <v>637.01</v>
      </c>
      <c r="E301" s="1199">
        <f t="shared" si="4"/>
        <v>533.05999999999995</v>
      </c>
    </row>
    <row r="302" spans="1:5">
      <c r="A302" s="1003" t="s">
        <v>154</v>
      </c>
      <c r="B302" s="1003" t="s">
        <v>1922</v>
      </c>
      <c r="C302" s="1199" t="s">
        <v>1214</v>
      </c>
      <c r="D302" s="1199">
        <v>630.4</v>
      </c>
      <c r="E302" s="1199">
        <f t="shared" si="4"/>
        <v>527.53</v>
      </c>
    </row>
    <row r="303" spans="1:5">
      <c r="A303" s="1003" t="s">
        <v>156</v>
      </c>
      <c r="B303" s="1003" t="s">
        <v>1923</v>
      </c>
      <c r="C303" s="1199" t="s">
        <v>1214</v>
      </c>
      <c r="D303" s="1199">
        <v>630.4</v>
      </c>
      <c r="E303" s="1199">
        <f t="shared" si="4"/>
        <v>527.53</v>
      </c>
    </row>
    <row r="304" spans="1:5">
      <c r="A304" s="1003" t="s">
        <v>158</v>
      </c>
      <c r="B304" s="1003" t="s">
        <v>1924</v>
      </c>
      <c r="C304" s="1199" t="s">
        <v>1214</v>
      </c>
      <c r="D304" s="1199">
        <v>2182.4699999999998</v>
      </c>
      <c r="E304" s="1199">
        <f t="shared" si="4"/>
        <v>1826.33</v>
      </c>
    </row>
    <row r="305" spans="1:5">
      <c r="A305" s="1003" t="s">
        <v>7049</v>
      </c>
      <c r="B305" s="1003" t="s">
        <v>7050</v>
      </c>
      <c r="C305" s="1199" t="s">
        <v>1214</v>
      </c>
      <c r="D305" s="1199">
        <v>439.53</v>
      </c>
      <c r="E305" s="1199">
        <f t="shared" si="4"/>
        <v>367.81</v>
      </c>
    </row>
    <row r="306" spans="1:5">
      <c r="A306" s="1003" t="s">
        <v>160</v>
      </c>
      <c r="B306" s="1003" t="s">
        <v>7051</v>
      </c>
      <c r="C306" s="1199" t="s">
        <v>1214</v>
      </c>
      <c r="D306" s="1199">
        <v>659.66</v>
      </c>
      <c r="E306" s="1199">
        <f t="shared" si="4"/>
        <v>552.02</v>
      </c>
    </row>
    <row r="307" spans="1:5">
      <c r="A307" s="1003" t="s">
        <v>7052</v>
      </c>
      <c r="B307" s="1003" t="s">
        <v>7053</v>
      </c>
      <c r="C307" s="1199" t="s">
        <v>1240</v>
      </c>
      <c r="D307" s="1199">
        <v>216.9</v>
      </c>
      <c r="E307" s="1199">
        <f t="shared" si="4"/>
        <v>181.51</v>
      </c>
    </row>
    <row r="308" spans="1:5">
      <c r="A308" s="1003" t="s">
        <v>7054</v>
      </c>
      <c r="B308" s="1003" t="s">
        <v>7055</v>
      </c>
      <c r="C308" s="1199" t="s">
        <v>1214</v>
      </c>
      <c r="D308" s="1199">
        <v>882.61</v>
      </c>
      <c r="E308" s="1199">
        <f t="shared" si="4"/>
        <v>738.59</v>
      </c>
    </row>
    <row r="309" spans="1:5">
      <c r="A309" s="1003" t="s">
        <v>7056</v>
      </c>
      <c r="B309" s="1003" t="s">
        <v>1926</v>
      </c>
      <c r="C309" s="1199" t="s">
        <v>1240</v>
      </c>
      <c r="D309" s="1199">
        <v>326.45</v>
      </c>
      <c r="E309" s="1199">
        <f t="shared" si="4"/>
        <v>273.18</v>
      </c>
    </row>
    <row r="310" spans="1:5">
      <c r="A310" s="1003" t="s">
        <v>7057</v>
      </c>
      <c r="B310" s="1003" t="s">
        <v>1927</v>
      </c>
      <c r="C310" s="1199" t="s">
        <v>1240</v>
      </c>
      <c r="D310" s="1199">
        <v>277.61</v>
      </c>
      <c r="E310" s="1199">
        <f t="shared" si="4"/>
        <v>232.31</v>
      </c>
    </row>
    <row r="311" spans="1:5">
      <c r="A311" s="1003" t="s">
        <v>162</v>
      </c>
      <c r="B311" s="1003" t="s">
        <v>1928</v>
      </c>
      <c r="C311" s="1199" t="s">
        <v>1240</v>
      </c>
      <c r="D311" s="1199">
        <v>179.82</v>
      </c>
      <c r="E311" s="1199">
        <f t="shared" si="4"/>
        <v>150.47999999999999</v>
      </c>
    </row>
    <row r="312" spans="1:5">
      <c r="A312" s="1003" t="s">
        <v>7058</v>
      </c>
      <c r="B312" s="1003" t="s">
        <v>1929</v>
      </c>
      <c r="C312" s="1199" t="s">
        <v>1240</v>
      </c>
      <c r="D312" s="1199">
        <v>280.89</v>
      </c>
      <c r="E312" s="1199">
        <f t="shared" si="4"/>
        <v>235.05</v>
      </c>
    </row>
    <row r="313" spans="1:5">
      <c r="A313" s="1003" t="s">
        <v>7059</v>
      </c>
      <c r="B313" s="1003" t="s">
        <v>7060</v>
      </c>
      <c r="C313" s="1199" t="s">
        <v>1240</v>
      </c>
      <c r="D313" s="1199">
        <v>194.12</v>
      </c>
      <c r="E313" s="1199">
        <f t="shared" si="4"/>
        <v>162.44</v>
      </c>
    </row>
    <row r="314" spans="1:5" ht="27.6">
      <c r="A314" s="1003" t="s">
        <v>7061</v>
      </c>
      <c r="B314" s="1003" t="s">
        <v>7062</v>
      </c>
      <c r="C314" s="1199" t="s">
        <v>1240</v>
      </c>
      <c r="D314" s="1199">
        <v>272.98</v>
      </c>
      <c r="E314" s="1199">
        <f t="shared" si="4"/>
        <v>228.44</v>
      </c>
    </row>
    <row r="315" spans="1:5" ht="27.6">
      <c r="A315" s="1003" t="s">
        <v>7063</v>
      </c>
      <c r="B315" s="1003" t="s">
        <v>7064</v>
      </c>
      <c r="C315" s="1199" t="s">
        <v>1240</v>
      </c>
      <c r="D315" s="1199">
        <v>208.18</v>
      </c>
      <c r="E315" s="1199">
        <f t="shared" si="4"/>
        <v>174.21</v>
      </c>
    </row>
    <row r="316" spans="1:5">
      <c r="A316" s="1003" t="s">
        <v>7065</v>
      </c>
      <c r="B316" s="1003" t="s">
        <v>1149</v>
      </c>
      <c r="C316" s="1199" t="s">
        <v>1652</v>
      </c>
      <c r="D316" s="1199">
        <v>637.01</v>
      </c>
      <c r="E316" s="1199">
        <f t="shared" si="4"/>
        <v>533.05999999999995</v>
      </c>
    </row>
    <row r="317" spans="1:5">
      <c r="A317" s="1003" t="s">
        <v>7066</v>
      </c>
      <c r="B317" s="1003" t="s">
        <v>7067</v>
      </c>
      <c r="C317" s="1199" t="s">
        <v>1650</v>
      </c>
      <c r="D317" s="1199">
        <v>85.18</v>
      </c>
      <c r="E317" s="1199">
        <f t="shared" si="4"/>
        <v>71.28</v>
      </c>
    </row>
    <row r="318" spans="1:5">
      <c r="A318" s="1003" t="s">
        <v>7068</v>
      </c>
      <c r="B318" s="1003" t="s">
        <v>7069</v>
      </c>
      <c r="C318" s="1199" t="s">
        <v>1240</v>
      </c>
      <c r="D318" s="1199">
        <v>5.51</v>
      </c>
      <c r="E318" s="1199">
        <f t="shared" si="4"/>
        <v>4.6100000000000003</v>
      </c>
    </row>
    <row r="319" spans="1:5">
      <c r="A319" s="1003" t="s">
        <v>7070</v>
      </c>
      <c r="B319" s="1003" t="s">
        <v>7071</v>
      </c>
      <c r="C319" s="1199" t="s">
        <v>1240</v>
      </c>
      <c r="D319" s="1199">
        <v>5.51</v>
      </c>
      <c r="E319" s="1199">
        <f t="shared" si="4"/>
        <v>4.6100000000000003</v>
      </c>
    </row>
    <row r="320" spans="1:5">
      <c r="A320" s="1003" t="s">
        <v>7072</v>
      </c>
      <c r="B320" s="1003" t="s">
        <v>7073</v>
      </c>
      <c r="C320" s="1199" t="s">
        <v>1240</v>
      </c>
      <c r="D320" s="1199">
        <v>6.71</v>
      </c>
      <c r="E320" s="1199">
        <f t="shared" si="4"/>
        <v>5.62</v>
      </c>
    </row>
    <row r="321" spans="1:5">
      <c r="A321" s="1003" t="s">
        <v>7074</v>
      </c>
      <c r="B321" s="1003" t="s">
        <v>1690</v>
      </c>
      <c r="C321" s="1199" t="s">
        <v>1652</v>
      </c>
      <c r="D321" s="1199">
        <v>637.01</v>
      </c>
      <c r="E321" s="1199">
        <f t="shared" si="4"/>
        <v>533.05999999999995</v>
      </c>
    </row>
    <row r="322" spans="1:5">
      <c r="A322" s="1003" t="s">
        <v>7075</v>
      </c>
      <c r="B322" s="1003" t="s">
        <v>7076</v>
      </c>
      <c r="C322" s="1199" t="s">
        <v>1240</v>
      </c>
      <c r="D322" s="1199">
        <v>13.42</v>
      </c>
      <c r="E322" s="1199">
        <f t="shared" si="4"/>
        <v>11.23</v>
      </c>
    </row>
    <row r="323" spans="1:5">
      <c r="A323" s="1003" t="s">
        <v>7077</v>
      </c>
      <c r="B323" s="1003" t="s">
        <v>7078</v>
      </c>
      <c r="C323" s="1199" t="s">
        <v>1240</v>
      </c>
      <c r="D323" s="1199">
        <v>4.47</v>
      </c>
      <c r="E323" s="1199">
        <f t="shared" si="4"/>
        <v>3.74</v>
      </c>
    </row>
    <row r="324" spans="1:5">
      <c r="A324" s="1003" t="s">
        <v>7079</v>
      </c>
      <c r="B324" s="1003" t="s">
        <v>7080</v>
      </c>
      <c r="C324" s="1199" t="s">
        <v>1240</v>
      </c>
      <c r="D324" s="1199">
        <v>6.07</v>
      </c>
      <c r="E324" s="1199">
        <f t="shared" ref="E324:E387" si="5">ROUND(D324/1.195,2)</f>
        <v>5.08</v>
      </c>
    </row>
    <row r="325" spans="1:5">
      <c r="A325" s="1003" t="s">
        <v>7081</v>
      </c>
      <c r="B325" s="1003" t="s">
        <v>1691</v>
      </c>
      <c r="C325" s="1199" t="s">
        <v>1652</v>
      </c>
      <c r="D325" s="1199">
        <v>637.01</v>
      </c>
      <c r="E325" s="1199">
        <f t="shared" si="5"/>
        <v>533.05999999999995</v>
      </c>
    </row>
    <row r="326" spans="1:5">
      <c r="A326" s="1003" t="s">
        <v>7082</v>
      </c>
      <c r="B326" s="1003" t="s">
        <v>7083</v>
      </c>
      <c r="C326" s="1199" t="s">
        <v>1240</v>
      </c>
      <c r="D326" s="1199">
        <v>52.14</v>
      </c>
      <c r="E326" s="1199">
        <f t="shared" si="5"/>
        <v>43.63</v>
      </c>
    </row>
    <row r="327" spans="1:5">
      <c r="A327" s="1003" t="s">
        <v>7084</v>
      </c>
      <c r="B327" s="1003" t="s">
        <v>7085</v>
      </c>
      <c r="C327" s="1199" t="s">
        <v>1240</v>
      </c>
      <c r="D327" s="1199">
        <v>16.3</v>
      </c>
      <c r="E327" s="1199">
        <f t="shared" si="5"/>
        <v>13.64</v>
      </c>
    </row>
    <row r="328" spans="1:5">
      <c r="A328" s="1003" t="s">
        <v>7086</v>
      </c>
      <c r="B328" s="1003" t="s">
        <v>7087</v>
      </c>
      <c r="C328" s="1199" t="s">
        <v>1240</v>
      </c>
      <c r="D328" s="1199">
        <v>40.36</v>
      </c>
      <c r="E328" s="1199">
        <f t="shared" si="5"/>
        <v>33.770000000000003</v>
      </c>
    </row>
    <row r="329" spans="1:5">
      <c r="A329" s="1003" t="s">
        <v>7088</v>
      </c>
      <c r="B329" s="1003" t="s">
        <v>1943</v>
      </c>
      <c r="C329" s="1199" t="s">
        <v>1652</v>
      </c>
      <c r="D329" s="1199">
        <v>637.01</v>
      </c>
      <c r="E329" s="1199">
        <f t="shared" si="5"/>
        <v>533.05999999999995</v>
      </c>
    </row>
    <row r="330" spans="1:5">
      <c r="A330" s="1003" t="s">
        <v>7089</v>
      </c>
      <c r="B330" s="1003" t="s">
        <v>7090</v>
      </c>
      <c r="C330" s="1199" t="s">
        <v>1240</v>
      </c>
      <c r="D330" s="1199">
        <v>301.58</v>
      </c>
      <c r="E330" s="1199">
        <f t="shared" si="5"/>
        <v>252.37</v>
      </c>
    </row>
    <row r="331" spans="1:5">
      <c r="A331" s="1003" t="s">
        <v>7091</v>
      </c>
      <c r="B331" s="1003" t="s">
        <v>7092</v>
      </c>
      <c r="C331" s="1199" t="s">
        <v>1240</v>
      </c>
      <c r="D331" s="1199">
        <v>697.82</v>
      </c>
      <c r="E331" s="1199">
        <f t="shared" si="5"/>
        <v>583.95000000000005</v>
      </c>
    </row>
    <row r="332" spans="1:5">
      <c r="A332" s="1003" t="s">
        <v>7093</v>
      </c>
      <c r="B332" s="1003" t="s">
        <v>7094</v>
      </c>
      <c r="C332" s="1199" t="s">
        <v>1240</v>
      </c>
      <c r="D332" s="1199">
        <v>161.4</v>
      </c>
      <c r="E332" s="1199">
        <f t="shared" si="5"/>
        <v>135.06</v>
      </c>
    </row>
    <row r="333" spans="1:5">
      <c r="A333" s="1003" t="s">
        <v>7095</v>
      </c>
      <c r="B333" s="1003" t="s">
        <v>7096</v>
      </c>
      <c r="C333" s="1199" t="s">
        <v>1240</v>
      </c>
      <c r="D333" s="1199">
        <v>136.19</v>
      </c>
      <c r="E333" s="1199">
        <f t="shared" si="5"/>
        <v>113.97</v>
      </c>
    </row>
    <row r="334" spans="1:5">
      <c r="A334" s="1003" t="s">
        <v>7097</v>
      </c>
      <c r="B334" s="1003" t="s">
        <v>1950</v>
      </c>
      <c r="C334" s="1199" t="s">
        <v>1240</v>
      </c>
      <c r="D334" s="1199">
        <v>214.57</v>
      </c>
      <c r="E334" s="1199">
        <f t="shared" si="5"/>
        <v>179.56</v>
      </c>
    </row>
    <row r="335" spans="1:5">
      <c r="A335" s="1003" t="s">
        <v>7098</v>
      </c>
      <c r="B335" s="1003" t="s">
        <v>7099</v>
      </c>
      <c r="C335" s="1199" t="s">
        <v>1652</v>
      </c>
      <c r="D335" s="1199">
        <v>637.01</v>
      </c>
      <c r="E335" s="1199">
        <f t="shared" si="5"/>
        <v>533.05999999999995</v>
      </c>
    </row>
    <row r="336" spans="1:5">
      <c r="A336" s="1003" t="s">
        <v>169</v>
      </c>
      <c r="B336" s="1003" t="s">
        <v>1952</v>
      </c>
      <c r="C336" s="1199" t="s">
        <v>1615</v>
      </c>
      <c r="D336" s="1199">
        <v>2910.26</v>
      </c>
      <c r="E336" s="1199">
        <f t="shared" si="5"/>
        <v>2435.36</v>
      </c>
    </row>
    <row r="337" spans="1:5">
      <c r="A337" s="1003" t="s">
        <v>171</v>
      </c>
      <c r="B337" s="1003" t="s">
        <v>1953</v>
      </c>
      <c r="C337" s="1199" t="s">
        <v>1615</v>
      </c>
      <c r="D337" s="1199">
        <v>3034.93</v>
      </c>
      <c r="E337" s="1199">
        <f t="shared" si="5"/>
        <v>2539.69</v>
      </c>
    </row>
    <row r="338" spans="1:5">
      <c r="A338" s="1003" t="s">
        <v>7100</v>
      </c>
      <c r="B338" s="1003" t="s">
        <v>1954</v>
      </c>
      <c r="C338" s="1199" t="s">
        <v>1615</v>
      </c>
      <c r="D338" s="1199">
        <v>1276.68</v>
      </c>
      <c r="E338" s="1199">
        <f t="shared" si="5"/>
        <v>1068.3499999999999</v>
      </c>
    </row>
    <row r="339" spans="1:5">
      <c r="A339" s="1003" t="s">
        <v>7101</v>
      </c>
      <c r="B339" s="1003" t="s">
        <v>1955</v>
      </c>
      <c r="C339" s="1199" t="s">
        <v>1615</v>
      </c>
      <c r="D339" s="1199">
        <v>1349.85</v>
      </c>
      <c r="E339" s="1199">
        <f t="shared" si="5"/>
        <v>1129.58</v>
      </c>
    </row>
    <row r="340" spans="1:5">
      <c r="A340" s="1003" t="s">
        <v>7102</v>
      </c>
      <c r="B340" s="1003" t="s">
        <v>1958</v>
      </c>
      <c r="C340" s="1199" t="s">
        <v>1615</v>
      </c>
      <c r="D340" s="1199">
        <v>1876.03</v>
      </c>
      <c r="E340" s="1199">
        <f t="shared" si="5"/>
        <v>1569.9</v>
      </c>
    </row>
    <row r="341" spans="1:5">
      <c r="A341" s="1003" t="s">
        <v>7103</v>
      </c>
      <c r="B341" s="1003" t="s">
        <v>1959</v>
      </c>
      <c r="C341" s="1199" t="s">
        <v>1615</v>
      </c>
      <c r="D341" s="1199">
        <v>1971.17</v>
      </c>
      <c r="E341" s="1199">
        <f t="shared" si="5"/>
        <v>1649.51</v>
      </c>
    </row>
    <row r="342" spans="1:5">
      <c r="A342" s="1003" t="s">
        <v>7104</v>
      </c>
      <c r="B342" s="1003" t="s">
        <v>1960</v>
      </c>
      <c r="C342" s="1199" t="s">
        <v>1615</v>
      </c>
      <c r="D342" s="1199">
        <v>2072.06</v>
      </c>
      <c r="E342" s="1199">
        <f t="shared" si="5"/>
        <v>1733.94</v>
      </c>
    </row>
    <row r="343" spans="1:5">
      <c r="A343" s="1003" t="s">
        <v>7105</v>
      </c>
      <c r="B343" s="1003" t="s">
        <v>1962</v>
      </c>
      <c r="C343" s="1199" t="s">
        <v>1615</v>
      </c>
      <c r="D343" s="1199">
        <v>1930.43</v>
      </c>
      <c r="E343" s="1199">
        <f t="shared" si="5"/>
        <v>1615.42</v>
      </c>
    </row>
    <row r="344" spans="1:5">
      <c r="A344" s="1003" t="s">
        <v>7106</v>
      </c>
      <c r="B344" s="1003" t="s">
        <v>1963</v>
      </c>
      <c r="C344" s="1199" t="s">
        <v>1615</v>
      </c>
      <c r="D344" s="1199">
        <v>1270.46</v>
      </c>
      <c r="E344" s="1199">
        <f t="shared" si="5"/>
        <v>1063.1500000000001</v>
      </c>
    </row>
    <row r="345" spans="1:5">
      <c r="A345" s="1003" t="s">
        <v>7107</v>
      </c>
      <c r="B345" s="1003" t="s">
        <v>1964</v>
      </c>
      <c r="C345" s="1199" t="s">
        <v>1615</v>
      </c>
      <c r="D345" s="1199">
        <v>3134.69</v>
      </c>
      <c r="E345" s="1199">
        <f t="shared" si="5"/>
        <v>2623.17</v>
      </c>
    </row>
    <row r="346" spans="1:5">
      <c r="A346" s="1003" t="s">
        <v>7108</v>
      </c>
      <c r="B346" s="1003" t="s">
        <v>1965</v>
      </c>
      <c r="C346" s="1199" t="s">
        <v>1615</v>
      </c>
      <c r="D346" s="1199">
        <v>3240.15</v>
      </c>
      <c r="E346" s="1199">
        <f t="shared" si="5"/>
        <v>2711.42</v>
      </c>
    </row>
    <row r="347" spans="1:5">
      <c r="A347" s="1003" t="s">
        <v>7109</v>
      </c>
      <c r="B347" s="1003" t="s">
        <v>1966</v>
      </c>
      <c r="C347" s="1199" t="s">
        <v>1615</v>
      </c>
      <c r="D347" s="1199">
        <v>3405.76</v>
      </c>
      <c r="E347" s="1199">
        <f t="shared" si="5"/>
        <v>2850.01</v>
      </c>
    </row>
    <row r="348" spans="1:5">
      <c r="A348" s="1003" t="s">
        <v>173</v>
      </c>
      <c r="B348" s="1003" t="s">
        <v>1968</v>
      </c>
      <c r="C348" s="1199" t="s">
        <v>1615</v>
      </c>
      <c r="D348" s="1199">
        <v>646.23</v>
      </c>
      <c r="E348" s="1199">
        <f t="shared" si="5"/>
        <v>540.78</v>
      </c>
    </row>
    <row r="349" spans="1:5">
      <c r="A349" s="1003" t="s">
        <v>175</v>
      </c>
      <c r="B349" s="1003" t="s">
        <v>7110</v>
      </c>
      <c r="C349" s="1199" t="s">
        <v>1615</v>
      </c>
      <c r="D349" s="1199">
        <v>721.63</v>
      </c>
      <c r="E349" s="1199">
        <f t="shared" si="5"/>
        <v>603.87</v>
      </c>
    </row>
    <row r="350" spans="1:5">
      <c r="A350" s="1003" t="s">
        <v>7111</v>
      </c>
      <c r="B350" s="1003" t="s">
        <v>7112</v>
      </c>
      <c r="C350" s="1199" t="s">
        <v>1615</v>
      </c>
      <c r="D350" s="1199">
        <v>1581.8</v>
      </c>
      <c r="E350" s="1199">
        <f t="shared" si="5"/>
        <v>1323.68</v>
      </c>
    </row>
    <row r="351" spans="1:5">
      <c r="A351" s="1003" t="s">
        <v>7113</v>
      </c>
      <c r="B351" s="1003" t="s">
        <v>1970</v>
      </c>
      <c r="C351" s="1199" t="s">
        <v>1615</v>
      </c>
      <c r="D351" s="1199">
        <v>2147</v>
      </c>
      <c r="E351" s="1199">
        <f t="shared" si="5"/>
        <v>1796.65</v>
      </c>
    </row>
    <row r="352" spans="1:5">
      <c r="A352" s="1003" t="s">
        <v>7114</v>
      </c>
      <c r="B352" s="1003" t="s">
        <v>1971</v>
      </c>
      <c r="C352" s="1199" t="s">
        <v>1615</v>
      </c>
      <c r="D352" s="1199">
        <v>2218.63</v>
      </c>
      <c r="E352" s="1199">
        <f t="shared" si="5"/>
        <v>1856.59</v>
      </c>
    </row>
    <row r="353" spans="1:5">
      <c r="A353" s="1003" t="s">
        <v>7115</v>
      </c>
      <c r="B353" s="1003" t="s">
        <v>1972</v>
      </c>
      <c r="C353" s="1199" t="s">
        <v>1615</v>
      </c>
      <c r="D353" s="1199">
        <v>2350.4299999999998</v>
      </c>
      <c r="E353" s="1199">
        <f t="shared" si="5"/>
        <v>1966.89</v>
      </c>
    </row>
    <row r="354" spans="1:5">
      <c r="A354" s="1003" t="s">
        <v>7116</v>
      </c>
      <c r="B354" s="1003" t="s">
        <v>1974</v>
      </c>
      <c r="C354" s="1199" t="s">
        <v>1615</v>
      </c>
      <c r="D354" s="1199">
        <v>2185.7800000000002</v>
      </c>
      <c r="E354" s="1199">
        <f t="shared" si="5"/>
        <v>1829.1</v>
      </c>
    </row>
    <row r="355" spans="1:5">
      <c r="A355" s="1003" t="s">
        <v>7117</v>
      </c>
      <c r="B355" s="1003" t="s">
        <v>1975</v>
      </c>
      <c r="C355" s="1199" t="s">
        <v>1615</v>
      </c>
      <c r="D355" s="1199">
        <v>2215.7800000000002</v>
      </c>
      <c r="E355" s="1199">
        <f t="shared" si="5"/>
        <v>1854.21</v>
      </c>
    </row>
    <row r="356" spans="1:5">
      <c r="A356" s="1003" t="s">
        <v>177</v>
      </c>
      <c r="B356" s="1003" t="s">
        <v>1976</v>
      </c>
      <c r="C356" s="1199" t="s">
        <v>1615</v>
      </c>
      <c r="D356" s="1199">
        <v>2312.7199999999998</v>
      </c>
      <c r="E356" s="1199">
        <f t="shared" si="5"/>
        <v>1935.33</v>
      </c>
    </row>
    <row r="357" spans="1:5">
      <c r="A357" s="1003" t="s">
        <v>7118</v>
      </c>
      <c r="B357" s="1003" t="s">
        <v>7119</v>
      </c>
      <c r="C357" s="1199" t="s">
        <v>1615</v>
      </c>
      <c r="D357" s="1199">
        <v>1322.58</v>
      </c>
      <c r="E357" s="1199">
        <f t="shared" si="5"/>
        <v>1106.76</v>
      </c>
    </row>
    <row r="358" spans="1:5">
      <c r="A358" s="1003" t="s">
        <v>179</v>
      </c>
      <c r="B358" s="1003" t="s">
        <v>7120</v>
      </c>
      <c r="C358" s="1199" t="s">
        <v>1615</v>
      </c>
      <c r="D358" s="1199">
        <v>2573.4299999999998</v>
      </c>
      <c r="E358" s="1199">
        <f t="shared" si="5"/>
        <v>2153.5</v>
      </c>
    </row>
    <row r="359" spans="1:5">
      <c r="A359" s="1003" t="s">
        <v>7121</v>
      </c>
      <c r="B359" s="1003" t="s">
        <v>7122</v>
      </c>
      <c r="C359" s="1199" t="s">
        <v>1615</v>
      </c>
      <c r="D359" s="1199">
        <v>3965.28</v>
      </c>
      <c r="E359" s="1199">
        <f t="shared" si="5"/>
        <v>3318.23</v>
      </c>
    </row>
    <row r="360" spans="1:5">
      <c r="A360" s="1003" t="s">
        <v>181</v>
      </c>
      <c r="B360" s="1003" t="s">
        <v>7123</v>
      </c>
      <c r="C360" s="1199" t="s">
        <v>1615</v>
      </c>
      <c r="D360" s="1199">
        <v>3708.27</v>
      </c>
      <c r="E360" s="1199">
        <f t="shared" si="5"/>
        <v>3103.15</v>
      </c>
    </row>
    <row r="361" spans="1:5">
      <c r="A361" s="1003" t="s">
        <v>7124</v>
      </c>
      <c r="B361" s="1003" t="s">
        <v>7125</v>
      </c>
      <c r="C361" s="1199" t="s">
        <v>1615</v>
      </c>
      <c r="D361" s="1199">
        <v>2314.62</v>
      </c>
      <c r="E361" s="1199">
        <f t="shared" si="5"/>
        <v>1936.92</v>
      </c>
    </row>
    <row r="362" spans="1:5">
      <c r="A362" s="1003" t="s">
        <v>7126</v>
      </c>
      <c r="B362" s="1003" t="s">
        <v>7127</v>
      </c>
      <c r="C362" s="1199" t="s">
        <v>1615</v>
      </c>
      <c r="D362" s="1199">
        <v>2362.6999999999998</v>
      </c>
      <c r="E362" s="1199">
        <f t="shared" si="5"/>
        <v>1977.15</v>
      </c>
    </row>
    <row r="363" spans="1:5">
      <c r="A363" s="1003" t="s">
        <v>7128</v>
      </c>
      <c r="B363" s="1003" t="s">
        <v>7129</v>
      </c>
      <c r="C363" s="1199" t="s">
        <v>1615</v>
      </c>
      <c r="D363" s="1199">
        <v>2477.7199999999998</v>
      </c>
      <c r="E363" s="1199">
        <f t="shared" si="5"/>
        <v>2073.41</v>
      </c>
    </row>
    <row r="364" spans="1:5">
      <c r="A364" s="1003" t="s">
        <v>7130</v>
      </c>
      <c r="B364" s="1003" t="s">
        <v>7131</v>
      </c>
      <c r="C364" s="1199" t="s">
        <v>1615</v>
      </c>
      <c r="D364" s="1199">
        <v>1326.93</v>
      </c>
      <c r="E364" s="1199">
        <f t="shared" si="5"/>
        <v>1110.4000000000001</v>
      </c>
    </row>
    <row r="365" spans="1:5">
      <c r="A365" s="1003" t="s">
        <v>7132</v>
      </c>
      <c r="B365" s="1003" t="s">
        <v>7133</v>
      </c>
      <c r="C365" s="1199" t="s">
        <v>1615</v>
      </c>
      <c r="D365" s="1199">
        <v>1341.19</v>
      </c>
      <c r="E365" s="1199">
        <f t="shared" si="5"/>
        <v>1122.33</v>
      </c>
    </row>
    <row r="366" spans="1:5">
      <c r="A366" s="1003" t="s">
        <v>7134</v>
      </c>
      <c r="B366" s="1003" t="s">
        <v>7135</v>
      </c>
      <c r="C366" s="1199" t="s">
        <v>1615</v>
      </c>
      <c r="D366" s="1199">
        <v>1422.39</v>
      </c>
      <c r="E366" s="1199">
        <f t="shared" si="5"/>
        <v>1190.28</v>
      </c>
    </row>
    <row r="367" spans="1:5">
      <c r="A367" s="1003" t="s">
        <v>7136</v>
      </c>
      <c r="B367" s="1003" t="s">
        <v>1992</v>
      </c>
      <c r="C367" s="1199" t="s">
        <v>1615</v>
      </c>
      <c r="D367" s="1199">
        <v>2845.75</v>
      </c>
      <c r="E367" s="1199">
        <f t="shared" si="5"/>
        <v>2381.38</v>
      </c>
    </row>
    <row r="368" spans="1:5">
      <c r="A368" s="1003" t="s">
        <v>7137</v>
      </c>
      <c r="B368" s="1003" t="s">
        <v>1993</v>
      </c>
      <c r="C368" s="1199" t="s">
        <v>1652</v>
      </c>
      <c r="D368" s="1199">
        <v>637.01</v>
      </c>
      <c r="E368" s="1199">
        <f t="shared" si="5"/>
        <v>533.05999999999995</v>
      </c>
    </row>
    <row r="369" spans="1:5">
      <c r="A369" s="1003" t="s">
        <v>7138</v>
      </c>
      <c r="B369" s="1003" t="s">
        <v>1956</v>
      </c>
      <c r="C369" s="1199" t="s">
        <v>1615</v>
      </c>
      <c r="D369" s="1199">
        <v>4427.68</v>
      </c>
      <c r="E369" s="1199">
        <f t="shared" si="5"/>
        <v>3705.17</v>
      </c>
    </row>
    <row r="370" spans="1:5">
      <c r="A370" s="1003" t="s">
        <v>7139</v>
      </c>
      <c r="B370" s="1003" t="s">
        <v>7140</v>
      </c>
      <c r="C370" s="1199" t="s">
        <v>1615</v>
      </c>
      <c r="D370" s="1199">
        <v>1905.03</v>
      </c>
      <c r="E370" s="1199">
        <f t="shared" si="5"/>
        <v>1594.17</v>
      </c>
    </row>
    <row r="371" spans="1:5">
      <c r="A371" s="1003" t="s">
        <v>7141</v>
      </c>
      <c r="B371" s="1003" t="s">
        <v>1961</v>
      </c>
      <c r="C371" s="1199" t="s">
        <v>1615</v>
      </c>
      <c r="D371" s="1199">
        <v>3488.7</v>
      </c>
      <c r="E371" s="1199">
        <f t="shared" si="5"/>
        <v>2919.41</v>
      </c>
    </row>
    <row r="372" spans="1:5">
      <c r="A372" s="1003" t="s">
        <v>7142</v>
      </c>
      <c r="B372" s="1003" t="s">
        <v>1967</v>
      </c>
      <c r="C372" s="1199" t="s">
        <v>1615</v>
      </c>
      <c r="D372" s="1199">
        <v>4923.63</v>
      </c>
      <c r="E372" s="1199">
        <f t="shared" si="5"/>
        <v>4120.1899999999996</v>
      </c>
    </row>
    <row r="373" spans="1:5">
      <c r="A373" s="1003" t="s">
        <v>7143</v>
      </c>
      <c r="B373" s="1003" t="s">
        <v>1973</v>
      </c>
      <c r="C373" s="1199" t="s">
        <v>1615</v>
      </c>
      <c r="D373" s="1199">
        <v>3860.03</v>
      </c>
      <c r="E373" s="1199">
        <f t="shared" si="5"/>
        <v>3230.15</v>
      </c>
    </row>
    <row r="374" spans="1:5">
      <c r="A374" s="1003" t="s">
        <v>7144</v>
      </c>
      <c r="B374" s="1003" t="s">
        <v>7145</v>
      </c>
      <c r="C374" s="1199" t="s">
        <v>1615</v>
      </c>
      <c r="D374" s="1199">
        <v>2844</v>
      </c>
      <c r="E374" s="1199">
        <f t="shared" si="5"/>
        <v>2379.92</v>
      </c>
    </row>
    <row r="375" spans="1:5" ht="27.6">
      <c r="A375" s="1003" t="s">
        <v>7146</v>
      </c>
      <c r="B375" s="1003" t="s">
        <v>7147</v>
      </c>
      <c r="C375" s="1199" t="s">
        <v>1615</v>
      </c>
      <c r="D375" s="1199">
        <v>3065.52</v>
      </c>
      <c r="E375" s="1199">
        <f t="shared" si="5"/>
        <v>2565.29</v>
      </c>
    </row>
    <row r="376" spans="1:5" ht="27.6">
      <c r="A376" s="1003" t="s">
        <v>7148</v>
      </c>
      <c r="B376" s="1003" t="s">
        <v>7149</v>
      </c>
      <c r="C376" s="1199" t="s">
        <v>1615</v>
      </c>
      <c r="D376" s="1199">
        <v>2001.92</v>
      </c>
      <c r="E376" s="1199">
        <f t="shared" si="5"/>
        <v>1675.25</v>
      </c>
    </row>
    <row r="377" spans="1:5">
      <c r="A377" s="1003" t="s">
        <v>7150</v>
      </c>
      <c r="B377" s="1003" t="s">
        <v>7151</v>
      </c>
      <c r="C377" s="1199" t="s">
        <v>1615</v>
      </c>
      <c r="D377" s="1199">
        <v>1607.34</v>
      </c>
      <c r="E377" s="1199">
        <f t="shared" si="5"/>
        <v>1345.05</v>
      </c>
    </row>
    <row r="378" spans="1:5">
      <c r="A378" s="1003" t="s">
        <v>7152</v>
      </c>
      <c r="B378" s="1003" t="s">
        <v>7153</v>
      </c>
      <c r="C378" s="1199" t="s">
        <v>1615</v>
      </c>
      <c r="D378" s="1199">
        <v>2573.4299999999998</v>
      </c>
      <c r="E378" s="1199">
        <f t="shared" si="5"/>
        <v>2153.5</v>
      </c>
    </row>
    <row r="379" spans="1:5">
      <c r="A379" s="1003" t="s">
        <v>7154</v>
      </c>
      <c r="B379" s="1003" t="s">
        <v>7155</v>
      </c>
      <c r="C379" s="1199" t="s">
        <v>1615</v>
      </c>
      <c r="D379" s="1199">
        <v>1607.34</v>
      </c>
      <c r="E379" s="1199">
        <f t="shared" si="5"/>
        <v>1345.05</v>
      </c>
    </row>
    <row r="380" spans="1:5">
      <c r="A380" s="1003" t="s">
        <v>7156</v>
      </c>
      <c r="B380" s="1003" t="s">
        <v>7157</v>
      </c>
      <c r="C380" s="1199" t="s">
        <v>1615</v>
      </c>
      <c r="D380" s="1199">
        <v>4317.26</v>
      </c>
      <c r="E380" s="1199">
        <f t="shared" si="5"/>
        <v>3612.77</v>
      </c>
    </row>
    <row r="381" spans="1:5">
      <c r="A381" s="1003" t="s">
        <v>7158</v>
      </c>
      <c r="B381" s="1003" t="s">
        <v>1993</v>
      </c>
      <c r="C381" s="1199" t="s">
        <v>1652</v>
      </c>
      <c r="D381" s="1199">
        <v>637.01</v>
      </c>
      <c r="E381" s="1199">
        <f t="shared" si="5"/>
        <v>533.05999999999995</v>
      </c>
    </row>
    <row r="382" spans="1:5">
      <c r="A382" s="1003" t="s">
        <v>7159</v>
      </c>
      <c r="B382" s="1003" t="s">
        <v>1996</v>
      </c>
      <c r="C382" s="1199" t="s">
        <v>1652</v>
      </c>
      <c r="D382" s="1199">
        <v>637.01</v>
      </c>
      <c r="E382" s="1199">
        <f t="shared" si="5"/>
        <v>533.05999999999995</v>
      </c>
    </row>
    <row r="383" spans="1:5">
      <c r="A383" s="1003" t="s">
        <v>7160</v>
      </c>
      <c r="B383" s="1003" t="s">
        <v>1997</v>
      </c>
      <c r="C383" s="1199" t="s">
        <v>1652</v>
      </c>
      <c r="D383" s="1199">
        <v>637.01</v>
      </c>
      <c r="E383" s="1199">
        <f t="shared" si="5"/>
        <v>533.05999999999995</v>
      </c>
    </row>
    <row r="384" spans="1:5">
      <c r="A384" s="1003" t="s">
        <v>7161</v>
      </c>
      <c r="B384" s="1003" t="s">
        <v>7162</v>
      </c>
      <c r="C384" s="1199" t="s">
        <v>1214</v>
      </c>
      <c r="D384" s="1199">
        <v>1160.57</v>
      </c>
      <c r="E384" s="1199">
        <f t="shared" si="5"/>
        <v>971.19</v>
      </c>
    </row>
    <row r="385" spans="1:5">
      <c r="A385" s="1003" t="s">
        <v>186</v>
      </c>
      <c r="B385" s="1003" t="s">
        <v>7163</v>
      </c>
      <c r="C385" s="1199" t="s">
        <v>1214</v>
      </c>
      <c r="D385" s="1199">
        <v>514.53</v>
      </c>
      <c r="E385" s="1199">
        <f t="shared" si="5"/>
        <v>430.57</v>
      </c>
    </row>
    <row r="386" spans="1:5">
      <c r="A386" s="1003" t="s">
        <v>7164</v>
      </c>
      <c r="B386" s="1003" t="s">
        <v>7165</v>
      </c>
      <c r="C386" s="1199" t="s">
        <v>1615</v>
      </c>
      <c r="D386" s="1199">
        <v>1901.15</v>
      </c>
      <c r="E386" s="1199">
        <f t="shared" si="5"/>
        <v>1590.92</v>
      </c>
    </row>
    <row r="387" spans="1:5">
      <c r="A387" s="1003" t="s">
        <v>7166</v>
      </c>
      <c r="B387" s="1003" t="s">
        <v>7167</v>
      </c>
      <c r="C387" s="1199" t="s">
        <v>1214</v>
      </c>
      <c r="D387" s="1199">
        <v>763.04</v>
      </c>
      <c r="E387" s="1199">
        <f t="shared" si="5"/>
        <v>638.53</v>
      </c>
    </row>
    <row r="388" spans="1:5">
      <c r="A388" s="1003" t="s">
        <v>188</v>
      </c>
      <c r="B388" s="1003" t="s">
        <v>7168</v>
      </c>
      <c r="C388" s="1199" t="s">
        <v>1615</v>
      </c>
      <c r="D388" s="1199">
        <v>2021.58</v>
      </c>
      <c r="E388" s="1199">
        <f t="shared" ref="E388:E451" si="6">ROUND(D388/1.195,2)</f>
        <v>1691.7</v>
      </c>
    </row>
    <row r="389" spans="1:5">
      <c r="A389" s="1003" t="s">
        <v>190</v>
      </c>
      <c r="B389" s="1003" t="s">
        <v>7169</v>
      </c>
      <c r="C389" s="1199" t="s">
        <v>1615</v>
      </c>
      <c r="D389" s="1199">
        <v>2322.0500000000002</v>
      </c>
      <c r="E389" s="1199">
        <f t="shared" si="6"/>
        <v>1943.14</v>
      </c>
    </row>
    <row r="390" spans="1:5">
      <c r="A390" s="1003" t="s">
        <v>192</v>
      </c>
      <c r="B390" s="1003" t="s">
        <v>7170</v>
      </c>
      <c r="C390" s="1199" t="s">
        <v>1615</v>
      </c>
      <c r="D390" s="1199">
        <v>3619.3</v>
      </c>
      <c r="E390" s="1199">
        <f t="shared" si="6"/>
        <v>3028.7</v>
      </c>
    </row>
    <row r="391" spans="1:5">
      <c r="A391" s="1003" t="s">
        <v>7171</v>
      </c>
      <c r="B391" s="1003" t="s">
        <v>7172</v>
      </c>
      <c r="C391" s="1199" t="s">
        <v>1615</v>
      </c>
      <c r="D391" s="1199">
        <v>1715.32</v>
      </c>
      <c r="E391" s="1199">
        <f t="shared" si="6"/>
        <v>1435.41</v>
      </c>
    </row>
    <row r="392" spans="1:5">
      <c r="A392" s="1003" t="s">
        <v>7173</v>
      </c>
      <c r="B392" s="1003" t="s">
        <v>7174</v>
      </c>
      <c r="C392" s="1199" t="s">
        <v>1615</v>
      </c>
      <c r="D392" s="1199">
        <v>2014.08</v>
      </c>
      <c r="E392" s="1199">
        <f t="shared" si="6"/>
        <v>1685.42</v>
      </c>
    </row>
    <row r="393" spans="1:5">
      <c r="A393" s="1003" t="s">
        <v>7175</v>
      </c>
      <c r="B393" s="1003" t="s">
        <v>7176</v>
      </c>
      <c r="C393" s="1199" t="s">
        <v>1615</v>
      </c>
      <c r="D393" s="1199">
        <v>3046.49</v>
      </c>
      <c r="E393" s="1199">
        <f t="shared" si="6"/>
        <v>2549.36</v>
      </c>
    </row>
    <row r="394" spans="1:5">
      <c r="A394" s="1003" t="s">
        <v>194</v>
      </c>
      <c r="B394" s="1003" t="s">
        <v>7177</v>
      </c>
      <c r="C394" s="1199" t="s">
        <v>1615</v>
      </c>
      <c r="D394" s="1199">
        <v>1092.58</v>
      </c>
      <c r="E394" s="1199">
        <f t="shared" si="6"/>
        <v>914.29</v>
      </c>
    </row>
    <row r="395" spans="1:5">
      <c r="A395" s="1003" t="s">
        <v>196</v>
      </c>
      <c r="B395" s="1003" t="s">
        <v>7178</v>
      </c>
      <c r="C395" s="1199" t="s">
        <v>1214</v>
      </c>
      <c r="D395" s="1199">
        <v>1823.83</v>
      </c>
      <c r="E395" s="1199">
        <f t="shared" si="6"/>
        <v>1526.22</v>
      </c>
    </row>
    <row r="396" spans="1:5">
      <c r="A396" s="1003" t="s">
        <v>198</v>
      </c>
      <c r="B396" s="1003" t="s">
        <v>7179</v>
      </c>
      <c r="C396" s="1199" t="s">
        <v>1615</v>
      </c>
      <c r="D396" s="1199">
        <v>5102.46</v>
      </c>
      <c r="E396" s="1199">
        <f t="shared" si="6"/>
        <v>4269.84</v>
      </c>
    </row>
    <row r="397" spans="1:5">
      <c r="A397" s="1003" t="s">
        <v>7180</v>
      </c>
      <c r="B397" s="1003" t="s">
        <v>7181</v>
      </c>
      <c r="C397" s="1199" t="s">
        <v>1615</v>
      </c>
      <c r="D397" s="1199">
        <v>2919.99</v>
      </c>
      <c r="E397" s="1199">
        <f t="shared" si="6"/>
        <v>2443.5100000000002</v>
      </c>
    </row>
    <row r="398" spans="1:5">
      <c r="A398" s="1003" t="s">
        <v>200</v>
      </c>
      <c r="B398" s="1003" t="s">
        <v>2001</v>
      </c>
      <c r="C398" s="1199" t="s">
        <v>1214</v>
      </c>
      <c r="D398" s="1199">
        <v>251.23</v>
      </c>
      <c r="E398" s="1199">
        <f t="shared" si="6"/>
        <v>210.23</v>
      </c>
    </row>
    <row r="399" spans="1:5">
      <c r="A399" s="1003" t="s">
        <v>202</v>
      </c>
      <c r="B399" s="1003" t="s">
        <v>2002</v>
      </c>
      <c r="C399" s="1199" t="s">
        <v>1214</v>
      </c>
      <c r="D399" s="1199">
        <v>1171.8599999999999</v>
      </c>
      <c r="E399" s="1199">
        <f t="shared" si="6"/>
        <v>980.64</v>
      </c>
    </row>
    <row r="400" spans="1:5">
      <c r="A400" s="1003" t="s">
        <v>204</v>
      </c>
      <c r="B400" s="1003" t="s">
        <v>7182</v>
      </c>
      <c r="C400" s="1199" t="s">
        <v>1615</v>
      </c>
      <c r="D400" s="1199">
        <v>4176.09</v>
      </c>
      <c r="E400" s="1199">
        <f t="shared" si="6"/>
        <v>3494.64</v>
      </c>
    </row>
    <row r="401" spans="1:5">
      <c r="A401" s="1003" t="s">
        <v>206</v>
      </c>
      <c r="B401" s="1003" t="s">
        <v>7183</v>
      </c>
      <c r="C401" s="1199" t="s">
        <v>1214</v>
      </c>
      <c r="D401" s="1199">
        <v>877.64</v>
      </c>
      <c r="E401" s="1199">
        <f t="shared" si="6"/>
        <v>734.43</v>
      </c>
    </row>
    <row r="402" spans="1:5">
      <c r="A402" s="1003" t="s">
        <v>208</v>
      </c>
      <c r="B402" s="1003" t="s">
        <v>2005</v>
      </c>
      <c r="C402" s="1199" t="s">
        <v>1214</v>
      </c>
      <c r="D402" s="1199">
        <v>1379.78</v>
      </c>
      <c r="E402" s="1199">
        <f t="shared" si="6"/>
        <v>1154.6300000000001</v>
      </c>
    </row>
    <row r="403" spans="1:5">
      <c r="A403" s="1003" t="s">
        <v>210</v>
      </c>
      <c r="B403" s="1003" t="s">
        <v>7184</v>
      </c>
      <c r="C403" s="1199" t="s">
        <v>1615</v>
      </c>
      <c r="D403" s="1199">
        <v>4232.5600000000004</v>
      </c>
      <c r="E403" s="1199">
        <f t="shared" si="6"/>
        <v>3541.89</v>
      </c>
    </row>
    <row r="404" spans="1:5">
      <c r="A404" s="1003" t="s">
        <v>7185</v>
      </c>
      <c r="B404" s="1003" t="s">
        <v>2007</v>
      </c>
      <c r="C404" s="1199" t="s">
        <v>1214</v>
      </c>
      <c r="D404" s="1199">
        <v>1943.32</v>
      </c>
      <c r="E404" s="1199">
        <f t="shared" si="6"/>
        <v>1626.21</v>
      </c>
    </row>
    <row r="405" spans="1:5">
      <c r="A405" s="1003" t="s">
        <v>212</v>
      </c>
      <c r="B405" s="1003" t="s">
        <v>2008</v>
      </c>
      <c r="C405" s="1199" t="s">
        <v>1214</v>
      </c>
      <c r="D405" s="1199">
        <v>126.22</v>
      </c>
      <c r="E405" s="1199">
        <f t="shared" si="6"/>
        <v>105.62</v>
      </c>
    </row>
    <row r="406" spans="1:5">
      <c r="A406" s="1003" t="s">
        <v>7186</v>
      </c>
      <c r="B406" s="1003" t="s">
        <v>2010</v>
      </c>
      <c r="C406" s="1199" t="s">
        <v>1615</v>
      </c>
      <c r="D406" s="1199">
        <v>5666.07</v>
      </c>
      <c r="E406" s="1199">
        <f t="shared" si="6"/>
        <v>4741.4799999999996</v>
      </c>
    </row>
    <row r="407" spans="1:5">
      <c r="A407" s="1003" t="s">
        <v>214</v>
      </c>
      <c r="B407" s="1003" t="s">
        <v>7187</v>
      </c>
      <c r="C407" s="1199" t="s">
        <v>1615</v>
      </c>
      <c r="D407" s="1199">
        <v>5536.34</v>
      </c>
      <c r="E407" s="1199">
        <f t="shared" si="6"/>
        <v>4632.92</v>
      </c>
    </row>
    <row r="408" spans="1:5">
      <c r="A408" s="1003" t="s">
        <v>7188</v>
      </c>
      <c r="B408" s="1003" t="s">
        <v>7189</v>
      </c>
      <c r="C408" s="1199" t="s">
        <v>1615</v>
      </c>
      <c r="D408" s="1199">
        <v>4947.38</v>
      </c>
      <c r="E408" s="1199">
        <f t="shared" si="6"/>
        <v>4140.07</v>
      </c>
    </row>
    <row r="409" spans="1:5">
      <c r="A409" s="1003" t="s">
        <v>216</v>
      </c>
      <c r="B409" s="1003" t="s">
        <v>2013</v>
      </c>
      <c r="C409" s="1199" t="s">
        <v>1615</v>
      </c>
      <c r="D409" s="1199">
        <v>10166.040000000001</v>
      </c>
      <c r="E409" s="1199">
        <f t="shared" si="6"/>
        <v>8507.15</v>
      </c>
    </row>
    <row r="410" spans="1:5">
      <c r="A410" s="1003" t="s">
        <v>218</v>
      </c>
      <c r="B410" s="1003" t="s">
        <v>2014</v>
      </c>
      <c r="C410" s="1199" t="s">
        <v>1615</v>
      </c>
      <c r="D410" s="1199">
        <v>3231.5</v>
      </c>
      <c r="E410" s="1199">
        <f t="shared" si="6"/>
        <v>2704.18</v>
      </c>
    </row>
    <row r="411" spans="1:5">
      <c r="A411" s="1003" t="s">
        <v>7190</v>
      </c>
      <c r="B411" s="1003" t="s">
        <v>7191</v>
      </c>
      <c r="C411" s="1199" t="s">
        <v>1615</v>
      </c>
      <c r="D411" s="1199">
        <v>2727.23</v>
      </c>
      <c r="E411" s="1199">
        <f t="shared" si="6"/>
        <v>2282.1999999999998</v>
      </c>
    </row>
    <row r="412" spans="1:5">
      <c r="A412" s="1003" t="s">
        <v>7192</v>
      </c>
      <c r="B412" s="1003" t="s">
        <v>2019</v>
      </c>
      <c r="C412" s="1199" t="s">
        <v>1652</v>
      </c>
      <c r="D412" s="1199">
        <v>637.01</v>
      </c>
      <c r="E412" s="1199">
        <f t="shared" si="6"/>
        <v>533.05999999999995</v>
      </c>
    </row>
    <row r="413" spans="1:5">
      <c r="A413" s="1003" t="s">
        <v>220</v>
      </c>
      <c r="B413" s="1003" t="s">
        <v>7193</v>
      </c>
      <c r="C413" s="1199" t="s">
        <v>1615</v>
      </c>
      <c r="D413" s="1199">
        <v>3485.35</v>
      </c>
      <c r="E413" s="1199">
        <f t="shared" si="6"/>
        <v>2916.61</v>
      </c>
    </row>
    <row r="414" spans="1:5">
      <c r="A414" s="1003" t="s">
        <v>222</v>
      </c>
      <c r="B414" s="1003" t="s">
        <v>7194</v>
      </c>
      <c r="C414" s="1199" t="s">
        <v>1615</v>
      </c>
      <c r="D414" s="1199">
        <v>3017.71</v>
      </c>
      <c r="E414" s="1199">
        <f t="shared" si="6"/>
        <v>2525.2800000000002</v>
      </c>
    </row>
    <row r="415" spans="1:5">
      <c r="A415" s="1003" t="s">
        <v>224</v>
      </c>
      <c r="B415" s="1003" t="s">
        <v>7195</v>
      </c>
      <c r="C415" s="1199" t="s">
        <v>1615</v>
      </c>
      <c r="D415" s="1199">
        <v>5751.01</v>
      </c>
      <c r="E415" s="1199">
        <f t="shared" si="6"/>
        <v>4812.5600000000004</v>
      </c>
    </row>
    <row r="416" spans="1:5">
      <c r="A416" s="1003" t="s">
        <v>7196</v>
      </c>
      <c r="B416" s="1003" t="s">
        <v>7197</v>
      </c>
      <c r="C416" s="1199" t="s">
        <v>1615</v>
      </c>
      <c r="D416" s="1199">
        <v>3476.77</v>
      </c>
      <c r="E416" s="1199">
        <f t="shared" si="6"/>
        <v>2909.43</v>
      </c>
    </row>
    <row r="417" spans="1:5" ht="27.6">
      <c r="A417" s="1003" t="s">
        <v>7198</v>
      </c>
      <c r="B417" s="1003" t="s">
        <v>7199</v>
      </c>
      <c r="C417" s="1199" t="s">
        <v>1615</v>
      </c>
      <c r="D417" s="1199">
        <v>3997.72</v>
      </c>
      <c r="E417" s="1199">
        <f t="shared" si="6"/>
        <v>3345.37</v>
      </c>
    </row>
    <row r="418" spans="1:5" ht="27.6">
      <c r="A418" s="1003" t="s">
        <v>7200</v>
      </c>
      <c r="B418" s="1003" t="s">
        <v>7201</v>
      </c>
      <c r="C418" s="1199" t="s">
        <v>1240</v>
      </c>
      <c r="D418" s="1199">
        <v>479</v>
      </c>
      <c r="E418" s="1199">
        <f t="shared" si="6"/>
        <v>400.84</v>
      </c>
    </row>
    <row r="419" spans="1:5">
      <c r="A419" s="1003" t="s">
        <v>7202</v>
      </c>
      <c r="B419" s="1003" t="s">
        <v>2026</v>
      </c>
      <c r="C419" s="1199" t="s">
        <v>1615</v>
      </c>
      <c r="D419" s="1199">
        <v>103.33</v>
      </c>
      <c r="E419" s="1199">
        <f t="shared" si="6"/>
        <v>86.47</v>
      </c>
    </row>
    <row r="420" spans="1:5">
      <c r="A420" s="1003" t="s">
        <v>7203</v>
      </c>
      <c r="B420" s="1003" t="s">
        <v>2019</v>
      </c>
      <c r="C420" s="1199" t="s">
        <v>1652</v>
      </c>
      <c r="D420" s="1199">
        <v>637.01</v>
      </c>
      <c r="E420" s="1199">
        <f t="shared" si="6"/>
        <v>533.05999999999995</v>
      </c>
    </row>
    <row r="421" spans="1:5">
      <c r="A421" s="1003" t="s">
        <v>7204</v>
      </c>
      <c r="B421" s="1003" t="s">
        <v>7205</v>
      </c>
      <c r="C421" s="1199" t="s">
        <v>1240</v>
      </c>
      <c r="D421" s="1199">
        <v>5.51</v>
      </c>
      <c r="E421" s="1199">
        <f t="shared" si="6"/>
        <v>4.6100000000000003</v>
      </c>
    </row>
    <row r="422" spans="1:5">
      <c r="A422" s="1003" t="s">
        <v>7206</v>
      </c>
      <c r="B422" s="1003" t="s">
        <v>1690</v>
      </c>
      <c r="C422" s="1199" t="s">
        <v>1652</v>
      </c>
      <c r="D422" s="1199">
        <v>637.01</v>
      </c>
      <c r="E422" s="1199">
        <f t="shared" si="6"/>
        <v>533.05999999999995</v>
      </c>
    </row>
    <row r="423" spans="1:5">
      <c r="A423" s="1003" t="s">
        <v>7207</v>
      </c>
      <c r="B423" s="1003" t="s">
        <v>7208</v>
      </c>
      <c r="C423" s="1199" t="s">
        <v>1615</v>
      </c>
      <c r="D423" s="1199">
        <v>11.18</v>
      </c>
      <c r="E423" s="1199">
        <f t="shared" si="6"/>
        <v>9.36</v>
      </c>
    </row>
    <row r="424" spans="1:5">
      <c r="A424" s="1003" t="s">
        <v>7209</v>
      </c>
      <c r="B424" s="1003" t="s">
        <v>7210</v>
      </c>
      <c r="C424" s="1199" t="s">
        <v>1615</v>
      </c>
      <c r="D424" s="1199">
        <v>48.92</v>
      </c>
      <c r="E424" s="1199">
        <f t="shared" si="6"/>
        <v>40.94</v>
      </c>
    </row>
    <row r="425" spans="1:5">
      <c r="A425" s="1003" t="s">
        <v>7211</v>
      </c>
      <c r="B425" s="1003" t="s">
        <v>7212</v>
      </c>
      <c r="C425" s="1199" t="s">
        <v>1214</v>
      </c>
      <c r="D425" s="1199">
        <v>1.56</v>
      </c>
      <c r="E425" s="1199">
        <f t="shared" si="6"/>
        <v>1.31</v>
      </c>
    </row>
    <row r="426" spans="1:5">
      <c r="A426" s="1003" t="s">
        <v>7213</v>
      </c>
      <c r="B426" s="1003" t="s">
        <v>7214</v>
      </c>
      <c r="C426" s="1199" t="s">
        <v>1214</v>
      </c>
      <c r="D426" s="1199">
        <v>8.94</v>
      </c>
      <c r="E426" s="1199">
        <f t="shared" si="6"/>
        <v>7.48</v>
      </c>
    </row>
    <row r="427" spans="1:5">
      <c r="A427" s="1003" t="s">
        <v>7215</v>
      </c>
      <c r="B427" s="1003" t="s">
        <v>7216</v>
      </c>
      <c r="C427" s="1199" t="s">
        <v>1615</v>
      </c>
      <c r="D427" s="1199">
        <v>11.18</v>
      </c>
      <c r="E427" s="1199">
        <f t="shared" si="6"/>
        <v>9.36</v>
      </c>
    </row>
    <row r="428" spans="1:5">
      <c r="A428" s="1003" t="s">
        <v>7217</v>
      </c>
      <c r="B428" s="1003" t="s">
        <v>7218</v>
      </c>
      <c r="C428" s="1199" t="s">
        <v>1615</v>
      </c>
      <c r="D428" s="1199">
        <v>4.47</v>
      </c>
      <c r="E428" s="1199">
        <f t="shared" si="6"/>
        <v>3.74</v>
      </c>
    </row>
    <row r="429" spans="1:5">
      <c r="A429" s="1003" t="s">
        <v>7219</v>
      </c>
      <c r="B429" s="1003" t="s">
        <v>7220</v>
      </c>
      <c r="C429" s="1199" t="s">
        <v>1615</v>
      </c>
      <c r="D429" s="1199">
        <v>4.47</v>
      </c>
      <c r="E429" s="1199">
        <f t="shared" si="6"/>
        <v>3.74</v>
      </c>
    </row>
    <row r="430" spans="1:5">
      <c r="A430" s="1003" t="s">
        <v>7221</v>
      </c>
      <c r="B430" s="1003" t="s">
        <v>1691</v>
      </c>
      <c r="C430" s="1199" t="s">
        <v>1652</v>
      </c>
      <c r="D430" s="1199">
        <v>637.01</v>
      </c>
      <c r="E430" s="1199">
        <f t="shared" si="6"/>
        <v>533.05999999999995</v>
      </c>
    </row>
    <row r="431" spans="1:5">
      <c r="A431" s="1003" t="s">
        <v>7222</v>
      </c>
      <c r="B431" s="1003" t="s">
        <v>7223</v>
      </c>
      <c r="C431" s="1199" t="s">
        <v>1615</v>
      </c>
      <c r="D431" s="1199">
        <v>89.69</v>
      </c>
      <c r="E431" s="1199">
        <f t="shared" si="6"/>
        <v>75.05</v>
      </c>
    </row>
    <row r="432" spans="1:5">
      <c r="A432" s="1003" t="s">
        <v>7224</v>
      </c>
      <c r="B432" s="1003" t="s">
        <v>7225</v>
      </c>
      <c r="C432" s="1199" t="s">
        <v>1615</v>
      </c>
      <c r="D432" s="1199">
        <v>56.22</v>
      </c>
      <c r="E432" s="1199">
        <f t="shared" si="6"/>
        <v>47.05</v>
      </c>
    </row>
    <row r="433" spans="1:5">
      <c r="A433" s="1003" t="s">
        <v>7226</v>
      </c>
      <c r="B433" s="1003" t="s">
        <v>7227</v>
      </c>
      <c r="C433" s="1199" t="s">
        <v>1214</v>
      </c>
      <c r="D433" s="1199">
        <v>2.0299999999999998</v>
      </c>
      <c r="E433" s="1199">
        <f t="shared" si="6"/>
        <v>1.7</v>
      </c>
    </row>
    <row r="434" spans="1:5">
      <c r="A434" s="1003" t="s">
        <v>7228</v>
      </c>
      <c r="B434" s="1003" t="s">
        <v>7229</v>
      </c>
      <c r="C434" s="1199" t="s">
        <v>1214</v>
      </c>
      <c r="D434" s="1199">
        <v>22.99</v>
      </c>
      <c r="E434" s="1199">
        <f t="shared" si="6"/>
        <v>19.239999999999998</v>
      </c>
    </row>
    <row r="435" spans="1:5">
      <c r="A435" s="1003" t="s">
        <v>7230</v>
      </c>
      <c r="B435" s="1003" t="s">
        <v>7231</v>
      </c>
      <c r="C435" s="1199" t="s">
        <v>1615</v>
      </c>
      <c r="D435" s="1199">
        <v>64.819999999999993</v>
      </c>
      <c r="E435" s="1199">
        <f t="shared" si="6"/>
        <v>54.24</v>
      </c>
    </row>
    <row r="436" spans="1:5">
      <c r="A436" s="1003" t="s">
        <v>7232</v>
      </c>
      <c r="B436" s="1003" t="s">
        <v>7233</v>
      </c>
      <c r="C436" s="1199" t="s">
        <v>1615</v>
      </c>
      <c r="D436" s="1199">
        <v>52.59</v>
      </c>
      <c r="E436" s="1199">
        <f t="shared" si="6"/>
        <v>44.01</v>
      </c>
    </row>
    <row r="437" spans="1:5">
      <c r="A437" s="1003" t="s">
        <v>7234</v>
      </c>
      <c r="B437" s="1003" t="s">
        <v>7235</v>
      </c>
      <c r="C437" s="1199" t="s">
        <v>1615</v>
      </c>
      <c r="D437" s="1199">
        <v>6.93</v>
      </c>
      <c r="E437" s="1199">
        <f t="shared" si="6"/>
        <v>5.8</v>
      </c>
    </row>
    <row r="438" spans="1:5">
      <c r="A438" s="1003" t="s">
        <v>7236</v>
      </c>
      <c r="B438" s="1003" t="s">
        <v>2039</v>
      </c>
      <c r="C438" s="1199" t="s">
        <v>1652</v>
      </c>
      <c r="D438" s="1199">
        <v>637.01</v>
      </c>
      <c r="E438" s="1199">
        <f t="shared" si="6"/>
        <v>533.05999999999995</v>
      </c>
    </row>
    <row r="439" spans="1:5">
      <c r="A439" s="1003" t="s">
        <v>7237</v>
      </c>
      <c r="B439" s="1003" t="s">
        <v>7238</v>
      </c>
      <c r="C439" s="1199" t="s">
        <v>1240</v>
      </c>
      <c r="D439" s="1199">
        <v>192.31</v>
      </c>
      <c r="E439" s="1199">
        <f t="shared" si="6"/>
        <v>160.93</v>
      </c>
    </row>
    <row r="440" spans="1:5">
      <c r="A440" s="1003" t="s">
        <v>7239</v>
      </c>
      <c r="B440" s="1003" t="s">
        <v>7240</v>
      </c>
      <c r="C440" s="1199" t="s">
        <v>1240</v>
      </c>
      <c r="D440" s="1199">
        <v>683.95</v>
      </c>
      <c r="E440" s="1199">
        <f t="shared" si="6"/>
        <v>572.34</v>
      </c>
    </row>
    <row r="441" spans="1:5">
      <c r="A441" s="1003" t="s">
        <v>7241</v>
      </c>
      <c r="B441" s="1003" t="s">
        <v>7242</v>
      </c>
      <c r="C441" s="1199" t="s">
        <v>1240</v>
      </c>
      <c r="D441" s="1199">
        <v>623</v>
      </c>
      <c r="E441" s="1199">
        <f t="shared" si="6"/>
        <v>521.34</v>
      </c>
    </row>
    <row r="442" spans="1:5">
      <c r="A442" s="1003" t="s">
        <v>7243</v>
      </c>
      <c r="B442" s="1003" t="s">
        <v>7244</v>
      </c>
      <c r="C442" s="1199" t="s">
        <v>1240</v>
      </c>
      <c r="D442" s="1199">
        <v>664.88</v>
      </c>
      <c r="E442" s="1199">
        <f t="shared" si="6"/>
        <v>556.38</v>
      </c>
    </row>
    <row r="443" spans="1:5">
      <c r="A443" s="1003" t="s">
        <v>7245</v>
      </c>
      <c r="B443" s="1003" t="s">
        <v>2045</v>
      </c>
      <c r="C443" s="1199" t="s">
        <v>1240</v>
      </c>
      <c r="D443" s="1199">
        <v>724.08</v>
      </c>
      <c r="E443" s="1199">
        <f t="shared" si="6"/>
        <v>605.91999999999996</v>
      </c>
    </row>
    <row r="444" spans="1:5">
      <c r="A444" s="1003" t="s">
        <v>7246</v>
      </c>
      <c r="B444" s="1003" t="s">
        <v>2046</v>
      </c>
      <c r="C444" s="1199" t="s">
        <v>1240</v>
      </c>
      <c r="D444" s="1199">
        <v>844.86</v>
      </c>
      <c r="E444" s="1199">
        <f t="shared" si="6"/>
        <v>707</v>
      </c>
    </row>
    <row r="445" spans="1:5">
      <c r="A445" s="1003" t="s">
        <v>7247</v>
      </c>
      <c r="B445" s="1003" t="s">
        <v>7248</v>
      </c>
      <c r="C445" s="1199" t="s">
        <v>1240</v>
      </c>
      <c r="D445" s="1199">
        <v>175.6</v>
      </c>
      <c r="E445" s="1199">
        <f t="shared" si="6"/>
        <v>146.94999999999999</v>
      </c>
    </row>
    <row r="446" spans="1:5">
      <c r="A446" s="1003" t="s">
        <v>7249</v>
      </c>
      <c r="B446" s="1003" t="s">
        <v>2049</v>
      </c>
      <c r="C446" s="1199" t="s">
        <v>2050</v>
      </c>
      <c r="D446" s="1199">
        <v>291.85000000000002</v>
      </c>
      <c r="E446" s="1199">
        <f t="shared" si="6"/>
        <v>244.23</v>
      </c>
    </row>
    <row r="447" spans="1:5">
      <c r="A447" s="1003" t="s">
        <v>7250</v>
      </c>
      <c r="B447" s="1003" t="s">
        <v>2051</v>
      </c>
      <c r="C447" s="1199" t="s">
        <v>2050</v>
      </c>
      <c r="D447" s="1199">
        <v>292.98</v>
      </c>
      <c r="E447" s="1199">
        <f t="shared" si="6"/>
        <v>245.17</v>
      </c>
    </row>
    <row r="448" spans="1:5">
      <c r="A448" s="1003" t="s">
        <v>7251</v>
      </c>
      <c r="B448" s="1003" t="s">
        <v>2052</v>
      </c>
      <c r="C448" s="1199" t="s">
        <v>2050</v>
      </c>
      <c r="D448" s="1199">
        <v>425.78</v>
      </c>
      <c r="E448" s="1199">
        <f t="shared" si="6"/>
        <v>356.3</v>
      </c>
    </row>
    <row r="449" spans="1:5">
      <c r="A449" s="1003" t="s">
        <v>7252</v>
      </c>
      <c r="B449" s="1003" t="s">
        <v>2053</v>
      </c>
      <c r="C449" s="1199" t="s">
        <v>2050</v>
      </c>
      <c r="D449" s="1199">
        <v>427.23</v>
      </c>
      <c r="E449" s="1199">
        <f t="shared" si="6"/>
        <v>357.51</v>
      </c>
    </row>
    <row r="450" spans="1:5">
      <c r="A450" s="1003" t="s">
        <v>7253</v>
      </c>
      <c r="B450" s="1003" t="s">
        <v>7254</v>
      </c>
      <c r="C450" s="1199" t="s">
        <v>1214</v>
      </c>
      <c r="D450" s="1199">
        <v>249.94</v>
      </c>
      <c r="E450" s="1199">
        <f t="shared" si="6"/>
        <v>209.15</v>
      </c>
    </row>
    <row r="451" spans="1:5">
      <c r="A451" s="1003" t="s">
        <v>7255</v>
      </c>
      <c r="B451" s="1003" t="s">
        <v>2060</v>
      </c>
      <c r="C451" s="1199" t="s">
        <v>2050</v>
      </c>
      <c r="D451" s="1199">
        <v>34.42</v>
      </c>
      <c r="E451" s="1199">
        <f t="shared" si="6"/>
        <v>28.8</v>
      </c>
    </row>
    <row r="452" spans="1:5">
      <c r="A452" s="1003" t="s">
        <v>7256</v>
      </c>
      <c r="B452" s="1003" t="s">
        <v>2061</v>
      </c>
      <c r="C452" s="1199" t="s">
        <v>2050</v>
      </c>
      <c r="D452" s="1199">
        <v>45.43</v>
      </c>
      <c r="E452" s="1199">
        <f t="shared" ref="E452:E515" si="7">ROUND(D452/1.195,2)</f>
        <v>38.020000000000003</v>
      </c>
    </row>
    <row r="453" spans="1:5">
      <c r="A453" s="1003" t="s">
        <v>7257</v>
      </c>
      <c r="B453" s="1003" t="s">
        <v>2062</v>
      </c>
      <c r="C453" s="1199" t="s">
        <v>1214</v>
      </c>
      <c r="D453" s="1199">
        <v>13.12</v>
      </c>
      <c r="E453" s="1199">
        <f t="shared" si="7"/>
        <v>10.98</v>
      </c>
    </row>
    <row r="454" spans="1:5">
      <c r="A454" s="1003" t="s">
        <v>7258</v>
      </c>
      <c r="B454" s="1003" t="s">
        <v>2063</v>
      </c>
      <c r="C454" s="1199" t="s">
        <v>1214</v>
      </c>
      <c r="D454" s="1199">
        <v>14.86</v>
      </c>
      <c r="E454" s="1199">
        <f t="shared" si="7"/>
        <v>12.44</v>
      </c>
    </row>
    <row r="455" spans="1:5">
      <c r="A455" s="1003" t="s">
        <v>7259</v>
      </c>
      <c r="B455" s="1201" t="s">
        <v>2064</v>
      </c>
      <c r="C455" s="1199" t="s">
        <v>1214</v>
      </c>
      <c r="D455" s="1199">
        <v>21.87</v>
      </c>
      <c r="E455" s="1199">
        <f t="shared" si="7"/>
        <v>18.3</v>
      </c>
    </row>
    <row r="456" spans="1:5">
      <c r="A456" s="1003" t="s">
        <v>7260</v>
      </c>
      <c r="B456" s="1003" t="s">
        <v>2065</v>
      </c>
      <c r="C456" s="1199" t="s">
        <v>1214</v>
      </c>
      <c r="D456" s="1199">
        <v>21.32</v>
      </c>
      <c r="E456" s="1199">
        <f t="shared" si="7"/>
        <v>17.84</v>
      </c>
    </row>
    <row r="457" spans="1:5">
      <c r="A457" s="1003" t="s">
        <v>7261</v>
      </c>
      <c r="B457" s="1003" t="s">
        <v>2066</v>
      </c>
      <c r="C457" s="1199" t="s">
        <v>1214</v>
      </c>
      <c r="D457" s="1199">
        <v>331.88</v>
      </c>
      <c r="E457" s="1199">
        <f t="shared" si="7"/>
        <v>277.72000000000003</v>
      </c>
    </row>
    <row r="458" spans="1:5">
      <c r="A458" s="1003" t="s">
        <v>7262</v>
      </c>
      <c r="B458" s="1003" t="s">
        <v>7263</v>
      </c>
      <c r="C458" s="1199" t="s">
        <v>1615</v>
      </c>
      <c r="D458" s="1199">
        <v>3215.66</v>
      </c>
      <c r="E458" s="1199">
        <f t="shared" si="7"/>
        <v>2690.93</v>
      </c>
    </row>
    <row r="459" spans="1:5">
      <c r="A459" s="1003" t="s">
        <v>7264</v>
      </c>
      <c r="B459" s="1003" t="s">
        <v>2068</v>
      </c>
      <c r="C459" s="1199" t="s">
        <v>1240</v>
      </c>
      <c r="D459" s="1199">
        <v>244.67</v>
      </c>
      <c r="E459" s="1199">
        <f t="shared" si="7"/>
        <v>204.74</v>
      </c>
    </row>
    <row r="460" spans="1:5">
      <c r="A460" s="1003" t="s">
        <v>7265</v>
      </c>
      <c r="B460" s="1003" t="s">
        <v>7266</v>
      </c>
      <c r="C460" s="1199" t="s">
        <v>1615</v>
      </c>
      <c r="D460" s="1199">
        <v>1740.68</v>
      </c>
      <c r="E460" s="1199">
        <f t="shared" si="7"/>
        <v>1456.64</v>
      </c>
    </row>
    <row r="461" spans="1:5">
      <c r="A461" s="1003" t="s">
        <v>7267</v>
      </c>
      <c r="B461" s="1003" t="s">
        <v>7268</v>
      </c>
      <c r="C461" s="1199" t="s">
        <v>1615</v>
      </c>
      <c r="D461" s="1199">
        <v>2273.1799999999998</v>
      </c>
      <c r="E461" s="1199">
        <f t="shared" si="7"/>
        <v>1902.24</v>
      </c>
    </row>
    <row r="462" spans="1:5">
      <c r="A462" s="1003" t="s">
        <v>7269</v>
      </c>
      <c r="B462" s="1202" t="s">
        <v>2072</v>
      </c>
      <c r="C462" s="1199" t="s">
        <v>1240</v>
      </c>
      <c r="D462" s="1199">
        <v>391.7</v>
      </c>
      <c r="E462" s="1199">
        <f t="shared" si="7"/>
        <v>327.78</v>
      </c>
    </row>
    <row r="463" spans="1:5">
      <c r="A463" s="1003" t="s">
        <v>7270</v>
      </c>
      <c r="B463" s="1202" t="s">
        <v>2075</v>
      </c>
      <c r="C463" s="1199" t="s">
        <v>2076</v>
      </c>
      <c r="D463" s="1199">
        <v>420.25</v>
      </c>
      <c r="E463" s="1199">
        <f t="shared" si="7"/>
        <v>351.67</v>
      </c>
    </row>
    <row r="464" spans="1:5">
      <c r="A464" s="1003" t="s">
        <v>7271</v>
      </c>
      <c r="B464" s="1202" t="s">
        <v>2077</v>
      </c>
      <c r="C464" s="1199" t="s">
        <v>2076</v>
      </c>
      <c r="D464" s="1199">
        <v>200.63</v>
      </c>
      <c r="E464" s="1199">
        <f t="shared" si="7"/>
        <v>167.89</v>
      </c>
    </row>
    <row r="465" spans="1:5">
      <c r="A465" s="1003" t="s">
        <v>7272</v>
      </c>
      <c r="B465" s="1202" t="s">
        <v>2078</v>
      </c>
      <c r="C465" s="1199" t="s">
        <v>2076</v>
      </c>
      <c r="D465" s="1199">
        <v>145.16</v>
      </c>
      <c r="E465" s="1199">
        <f t="shared" si="7"/>
        <v>121.47</v>
      </c>
    </row>
    <row r="466" spans="1:5">
      <c r="A466" s="1003" t="s">
        <v>7273</v>
      </c>
      <c r="B466" s="1202" t="s">
        <v>2079</v>
      </c>
      <c r="C466" s="1199" t="s">
        <v>1615</v>
      </c>
      <c r="D466" s="1199">
        <v>161.76</v>
      </c>
      <c r="E466" s="1199">
        <f t="shared" si="7"/>
        <v>135.36000000000001</v>
      </c>
    </row>
    <row r="467" spans="1:5">
      <c r="A467" s="1003" t="s">
        <v>7274</v>
      </c>
      <c r="B467" s="1202" t="s">
        <v>2080</v>
      </c>
      <c r="C467" s="1199" t="s">
        <v>1615</v>
      </c>
      <c r="D467" s="1199">
        <v>41.03</v>
      </c>
      <c r="E467" s="1199">
        <f t="shared" si="7"/>
        <v>34.33</v>
      </c>
    </row>
    <row r="468" spans="1:5">
      <c r="A468" s="1003" t="s">
        <v>7275</v>
      </c>
      <c r="B468" s="1202" t="s">
        <v>2081</v>
      </c>
      <c r="C468" s="1199" t="s">
        <v>1615</v>
      </c>
      <c r="D468" s="1199">
        <v>23.01</v>
      </c>
      <c r="E468" s="1199">
        <f t="shared" si="7"/>
        <v>19.260000000000002</v>
      </c>
    </row>
    <row r="469" spans="1:5">
      <c r="A469" s="1003" t="s">
        <v>7276</v>
      </c>
      <c r="B469" s="1202" t="s">
        <v>2082</v>
      </c>
      <c r="C469" s="1199" t="s">
        <v>1615</v>
      </c>
      <c r="D469" s="1199">
        <v>39.119999999999997</v>
      </c>
      <c r="E469" s="1199">
        <f t="shared" si="7"/>
        <v>32.74</v>
      </c>
    </row>
    <row r="470" spans="1:5">
      <c r="A470" s="1003" t="s">
        <v>7277</v>
      </c>
      <c r="B470" s="1202" t="s">
        <v>2083</v>
      </c>
      <c r="C470" s="1199" t="s">
        <v>1615</v>
      </c>
      <c r="D470" s="1199">
        <v>39.119999999999997</v>
      </c>
      <c r="E470" s="1199">
        <f t="shared" si="7"/>
        <v>32.74</v>
      </c>
    </row>
    <row r="471" spans="1:5">
      <c r="A471" s="1003" t="s">
        <v>7278</v>
      </c>
      <c r="B471" s="1202" t="s">
        <v>7279</v>
      </c>
      <c r="C471" s="1199" t="s">
        <v>1615</v>
      </c>
      <c r="D471" s="1199">
        <v>143.02000000000001</v>
      </c>
      <c r="E471" s="1199">
        <f t="shared" si="7"/>
        <v>119.68</v>
      </c>
    </row>
    <row r="472" spans="1:5">
      <c r="A472" s="1003" t="s">
        <v>7280</v>
      </c>
      <c r="B472" s="1202" t="s">
        <v>2084</v>
      </c>
      <c r="C472" s="1199" t="s">
        <v>2076</v>
      </c>
      <c r="D472" s="1199">
        <v>507.71</v>
      </c>
      <c r="E472" s="1199">
        <f t="shared" si="7"/>
        <v>424.86</v>
      </c>
    </row>
    <row r="473" spans="1:5">
      <c r="A473" s="1003" t="s">
        <v>7281</v>
      </c>
      <c r="B473" s="1202" t="s">
        <v>2085</v>
      </c>
      <c r="C473" s="1199" t="s">
        <v>1214</v>
      </c>
      <c r="D473" s="1199">
        <v>48.39</v>
      </c>
      <c r="E473" s="1199">
        <f t="shared" si="7"/>
        <v>40.49</v>
      </c>
    </row>
    <row r="474" spans="1:5">
      <c r="A474" s="1003" t="s">
        <v>7282</v>
      </c>
      <c r="B474" s="1202" t="s">
        <v>7283</v>
      </c>
      <c r="C474" s="1199" t="s">
        <v>1615</v>
      </c>
      <c r="D474" s="1199">
        <v>26.86</v>
      </c>
      <c r="E474" s="1199">
        <f t="shared" si="7"/>
        <v>22.48</v>
      </c>
    </row>
    <row r="475" spans="1:5">
      <c r="A475" s="1003" t="s">
        <v>7284</v>
      </c>
      <c r="B475" s="1202" t="s">
        <v>2091</v>
      </c>
      <c r="C475" s="1199" t="s">
        <v>1615</v>
      </c>
      <c r="D475" s="1199">
        <v>37.770000000000003</v>
      </c>
      <c r="E475" s="1199">
        <f t="shared" si="7"/>
        <v>31.61</v>
      </c>
    </row>
    <row r="476" spans="1:5">
      <c r="A476" s="1003" t="s">
        <v>7285</v>
      </c>
      <c r="B476" s="1202" t="s">
        <v>2092</v>
      </c>
      <c r="C476" s="1199" t="s">
        <v>1615</v>
      </c>
      <c r="D476" s="1199">
        <v>420.25</v>
      </c>
      <c r="E476" s="1199">
        <f t="shared" si="7"/>
        <v>351.67</v>
      </c>
    </row>
    <row r="477" spans="1:5">
      <c r="A477" s="1003" t="s">
        <v>7286</v>
      </c>
      <c r="B477" s="1202" t="s">
        <v>7287</v>
      </c>
      <c r="C477" s="1199" t="s">
        <v>1615</v>
      </c>
      <c r="D477" s="1199">
        <v>83.78</v>
      </c>
      <c r="E477" s="1199">
        <f t="shared" si="7"/>
        <v>70.11</v>
      </c>
    </row>
    <row r="478" spans="1:5">
      <c r="A478" s="1003" t="s">
        <v>7288</v>
      </c>
      <c r="B478" s="1202" t="s">
        <v>7289</v>
      </c>
      <c r="C478" s="1199" t="s">
        <v>1652</v>
      </c>
      <c r="D478" s="1199">
        <v>637.01</v>
      </c>
      <c r="E478" s="1199">
        <f t="shared" si="7"/>
        <v>533.05999999999995</v>
      </c>
    </row>
    <row r="479" spans="1:5">
      <c r="A479" s="1003" t="s">
        <v>7290</v>
      </c>
      <c r="B479" s="1202" t="s">
        <v>7291</v>
      </c>
      <c r="C479" s="1199" t="s">
        <v>1615</v>
      </c>
      <c r="D479" s="1199">
        <v>352.53</v>
      </c>
      <c r="E479" s="1199">
        <f t="shared" si="7"/>
        <v>295</v>
      </c>
    </row>
    <row r="480" spans="1:5">
      <c r="A480" s="1003" t="s">
        <v>7292</v>
      </c>
      <c r="B480" s="1202" t="s">
        <v>7293</v>
      </c>
      <c r="C480" s="1199" t="s">
        <v>1615</v>
      </c>
      <c r="D480" s="1199">
        <v>357.71</v>
      </c>
      <c r="E480" s="1199">
        <f t="shared" si="7"/>
        <v>299.33999999999997</v>
      </c>
    </row>
    <row r="481" spans="1:5">
      <c r="A481" s="1003" t="s">
        <v>7294</v>
      </c>
      <c r="B481" s="1202" t="s">
        <v>7295</v>
      </c>
      <c r="C481" s="1199" t="s">
        <v>1615</v>
      </c>
      <c r="D481" s="1199">
        <v>381.74</v>
      </c>
      <c r="E481" s="1199">
        <f t="shared" si="7"/>
        <v>319.45</v>
      </c>
    </row>
    <row r="482" spans="1:5">
      <c r="A482" s="1003" t="s">
        <v>7296</v>
      </c>
      <c r="B482" s="1202" t="s">
        <v>7297</v>
      </c>
      <c r="C482" s="1199" t="s">
        <v>1615</v>
      </c>
      <c r="D482" s="1199">
        <v>319.73</v>
      </c>
      <c r="E482" s="1199">
        <f t="shared" si="7"/>
        <v>267.56</v>
      </c>
    </row>
    <row r="483" spans="1:5">
      <c r="A483" s="1003" t="s">
        <v>7298</v>
      </c>
      <c r="B483" s="1202" t="s">
        <v>7299</v>
      </c>
      <c r="C483" s="1199" t="s">
        <v>1615</v>
      </c>
      <c r="D483" s="1199">
        <v>325.95</v>
      </c>
      <c r="E483" s="1199">
        <f t="shared" si="7"/>
        <v>272.76</v>
      </c>
    </row>
    <row r="484" spans="1:5">
      <c r="A484" s="1003" t="s">
        <v>7300</v>
      </c>
      <c r="B484" s="1202" t="s">
        <v>7301</v>
      </c>
      <c r="C484" s="1199" t="s">
        <v>1615</v>
      </c>
      <c r="D484" s="1199">
        <v>399.12</v>
      </c>
      <c r="E484" s="1199">
        <f t="shared" si="7"/>
        <v>333.99</v>
      </c>
    </row>
    <row r="485" spans="1:5">
      <c r="A485" s="1003" t="s">
        <v>7302</v>
      </c>
      <c r="B485" s="1202" t="s">
        <v>7303</v>
      </c>
      <c r="C485" s="1199" t="s">
        <v>1615</v>
      </c>
      <c r="D485" s="1199">
        <v>1072.8399999999999</v>
      </c>
      <c r="E485" s="1199">
        <f t="shared" si="7"/>
        <v>897.77</v>
      </c>
    </row>
    <row r="486" spans="1:5">
      <c r="A486" s="1003" t="s">
        <v>7304</v>
      </c>
      <c r="B486" s="1202" t="s">
        <v>7305</v>
      </c>
      <c r="C486" s="1199" t="s">
        <v>1615</v>
      </c>
      <c r="D486" s="1199">
        <v>1113.58</v>
      </c>
      <c r="E486" s="1199">
        <f t="shared" si="7"/>
        <v>931.87</v>
      </c>
    </row>
    <row r="487" spans="1:5">
      <c r="A487" s="1003" t="s">
        <v>7306</v>
      </c>
      <c r="B487" s="1202" t="s">
        <v>7307</v>
      </c>
      <c r="C487" s="1199" t="s">
        <v>1615</v>
      </c>
      <c r="D487" s="1199">
        <v>1214.47</v>
      </c>
      <c r="E487" s="1199">
        <f t="shared" si="7"/>
        <v>1016.29</v>
      </c>
    </row>
    <row r="488" spans="1:5">
      <c r="A488" s="1003" t="s">
        <v>7308</v>
      </c>
      <c r="B488" s="1202" t="s">
        <v>2105</v>
      </c>
      <c r="C488" s="1199" t="s">
        <v>1240</v>
      </c>
      <c r="D488" s="1199">
        <v>966.54</v>
      </c>
      <c r="E488" s="1199">
        <f t="shared" si="7"/>
        <v>808.82</v>
      </c>
    </row>
    <row r="489" spans="1:5">
      <c r="A489" s="1003" t="s">
        <v>7309</v>
      </c>
      <c r="B489" s="1202" t="s">
        <v>2108</v>
      </c>
      <c r="C489" s="1199" t="s">
        <v>2050</v>
      </c>
      <c r="D489" s="1199">
        <v>129.26</v>
      </c>
      <c r="E489" s="1199">
        <f t="shared" si="7"/>
        <v>108.17</v>
      </c>
    </row>
    <row r="490" spans="1:5">
      <c r="A490" s="1003" t="s">
        <v>7310</v>
      </c>
      <c r="B490" s="1202" t="s">
        <v>2109</v>
      </c>
      <c r="C490" s="1199" t="s">
        <v>2087</v>
      </c>
      <c r="D490" s="1199">
        <v>232.53</v>
      </c>
      <c r="E490" s="1199">
        <f t="shared" si="7"/>
        <v>194.59</v>
      </c>
    </row>
    <row r="491" spans="1:5">
      <c r="A491" s="1003" t="s">
        <v>7311</v>
      </c>
      <c r="B491" s="1202" t="s">
        <v>2111</v>
      </c>
      <c r="C491" s="1199" t="s">
        <v>1240</v>
      </c>
      <c r="D491" s="1199">
        <v>121.53</v>
      </c>
      <c r="E491" s="1199">
        <f t="shared" si="7"/>
        <v>101.7</v>
      </c>
    </row>
    <row r="492" spans="1:5">
      <c r="A492" s="1003" t="s">
        <v>7312</v>
      </c>
      <c r="B492" s="1202" t="s">
        <v>7313</v>
      </c>
      <c r="C492" s="1199" t="s">
        <v>1615</v>
      </c>
      <c r="D492" s="1199">
        <v>161.31</v>
      </c>
      <c r="E492" s="1199">
        <f t="shared" si="7"/>
        <v>134.99</v>
      </c>
    </row>
    <row r="493" spans="1:5">
      <c r="A493" s="1003" t="s">
        <v>7314</v>
      </c>
      <c r="B493" s="1202" t="s">
        <v>2114</v>
      </c>
      <c r="C493" s="1199" t="s">
        <v>2050</v>
      </c>
      <c r="D493" s="1199">
        <v>106.15</v>
      </c>
      <c r="E493" s="1199">
        <f t="shared" si="7"/>
        <v>88.83</v>
      </c>
    </row>
    <row r="494" spans="1:5">
      <c r="A494" s="1003" t="s">
        <v>7315</v>
      </c>
      <c r="B494" s="1202" t="s">
        <v>2115</v>
      </c>
      <c r="C494" s="1199" t="s">
        <v>1615</v>
      </c>
      <c r="D494" s="1199">
        <v>25.98</v>
      </c>
      <c r="E494" s="1199">
        <f t="shared" si="7"/>
        <v>21.74</v>
      </c>
    </row>
    <row r="495" spans="1:5">
      <c r="A495" s="1003" t="s">
        <v>7316</v>
      </c>
      <c r="B495" s="1202" t="s">
        <v>2116</v>
      </c>
      <c r="C495" s="1199" t="s">
        <v>1615</v>
      </c>
      <c r="D495" s="1199">
        <v>36</v>
      </c>
      <c r="E495" s="1199">
        <f t="shared" si="7"/>
        <v>30.13</v>
      </c>
    </row>
    <row r="496" spans="1:5">
      <c r="A496" s="1003" t="s">
        <v>7317</v>
      </c>
      <c r="B496" s="1202" t="s">
        <v>2117</v>
      </c>
      <c r="C496" s="1199" t="s">
        <v>1615</v>
      </c>
      <c r="D496" s="1199">
        <v>54.85</v>
      </c>
      <c r="E496" s="1199">
        <f t="shared" si="7"/>
        <v>45.9</v>
      </c>
    </row>
    <row r="497" spans="1:5">
      <c r="A497" s="1003" t="s">
        <v>7318</v>
      </c>
      <c r="B497" s="1202" t="s">
        <v>2118</v>
      </c>
      <c r="C497" s="1199" t="s">
        <v>1615</v>
      </c>
      <c r="D497" s="1199">
        <v>64.14</v>
      </c>
      <c r="E497" s="1199">
        <f t="shared" si="7"/>
        <v>53.67</v>
      </c>
    </row>
    <row r="498" spans="1:5">
      <c r="A498" s="1003" t="s">
        <v>7319</v>
      </c>
      <c r="B498" s="1202" t="s">
        <v>2119</v>
      </c>
      <c r="C498" s="1199" t="s">
        <v>1615</v>
      </c>
      <c r="D498" s="1199">
        <v>30.18</v>
      </c>
      <c r="E498" s="1199">
        <f t="shared" si="7"/>
        <v>25.26</v>
      </c>
    </row>
    <row r="499" spans="1:5">
      <c r="A499" s="1003" t="s">
        <v>7320</v>
      </c>
      <c r="B499" s="1202" t="s">
        <v>2120</v>
      </c>
      <c r="C499" s="1199" t="s">
        <v>1615</v>
      </c>
      <c r="D499" s="1199">
        <v>10.95</v>
      </c>
      <c r="E499" s="1199">
        <f t="shared" si="7"/>
        <v>9.16</v>
      </c>
    </row>
    <row r="500" spans="1:5">
      <c r="A500" s="1003" t="s">
        <v>7321</v>
      </c>
      <c r="B500" s="1202" t="s">
        <v>2121</v>
      </c>
      <c r="C500" s="1199" t="s">
        <v>1615</v>
      </c>
      <c r="D500" s="1199">
        <v>16.22</v>
      </c>
      <c r="E500" s="1199">
        <f t="shared" si="7"/>
        <v>13.57</v>
      </c>
    </row>
    <row r="501" spans="1:5">
      <c r="A501" s="1003" t="s">
        <v>7322</v>
      </c>
      <c r="B501" s="1202" t="s">
        <v>2122</v>
      </c>
      <c r="C501" s="1199" t="s">
        <v>1615</v>
      </c>
      <c r="D501" s="1199">
        <v>16.149999999999999</v>
      </c>
      <c r="E501" s="1199">
        <f t="shared" si="7"/>
        <v>13.51</v>
      </c>
    </row>
    <row r="502" spans="1:5">
      <c r="A502" s="1003" t="s">
        <v>7323</v>
      </c>
      <c r="B502" s="1202" t="s">
        <v>2123</v>
      </c>
      <c r="C502" s="1199" t="s">
        <v>1652</v>
      </c>
      <c r="D502" s="1199">
        <v>637.01</v>
      </c>
      <c r="E502" s="1199">
        <f t="shared" si="7"/>
        <v>533.05999999999995</v>
      </c>
    </row>
    <row r="503" spans="1:5">
      <c r="A503" s="1003" t="s">
        <v>7324</v>
      </c>
      <c r="B503" s="1202" t="s">
        <v>2128</v>
      </c>
      <c r="C503" s="1199" t="s">
        <v>1214</v>
      </c>
      <c r="D503" s="1199">
        <v>400.57</v>
      </c>
      <c r="E503" s="1199">
        <f t="shared" si="7"/>
        <v>335.21</v>
      </c>
    </row>
    <row r="504" spans="1:5">
      <c r="A504" s="1003" t="s">
        <v>7325</v>
      </c>
      <c r="B504" s="1202" t="s">
        <v>2093</v>
      </c>
      <c r="C504" s="1199" t="s">
        <v>1652</v>
      </c>
      <c r="D504" s="1199">
        <v>637.01</v>
      </c>
      <c r="E504" s="1199">
        <f t="shared" si="7"/>
        <v>533.05999999999995</v>
      </c>
    </row>
    <row r="505" spans="1:5">
      <c r="A505" s="1003" t="s">
        <v>231</v>
      </c>
      <c r="B505" s="1202" t="s">
        <v>2130</v>
      </c>
      <c r="C505" s="1199" t="s">
        <v>1615</v>
      </c>
      <c r="D505" s="1199">
        <v>922.63</v>
      </c>
      <c r="E505" s="1199">
        <f t="shared" si="7"/>
        <v>772.08</v>
      </c>
    </row>
    <row r="506" spans="1:5">
      <c r="A506" s="1003" t="s">
        <v>233</v>
      </c>
      <c r="B506" s="1202" t="s">
        <v>2131</v>
      </c>
      <c r="C506" s="1199" t="s">
        <v>1615</v>
      </c>
      <c r="D506" s="1199">
        <v>1823.35</v>
      </c>
      <c r="E506" s="1199">
        <f t="shared" si="7"/>
        <v>1525.82</v>
      </c>
    </row>
    <row r="507" spans="1:5">
      <c r="A507" s="1003" t="s">
        <v>235</v>
      </c>
      <c r="B507" s="1202" t="s">
        <v>2132</v>
      </c>
      <c r="C507" s="1199" t="s">
        <v>1615</v>
      </c>
      <c r="D507" s="1199">
        <v>2285.59</v>
      </c>
      <c r="E507" s="1199">
        <f t="shared" si="7"/>
        <v>1912.63</v>
      </c>
    </row>
    <row r="508" spans="1:5">
      <c r="A508" s="1003" t="s">
        <v>237</v>
      </c>
      <c r="B508" s="1202" t="s">
        <v>2133</v>
      </c>
      <c r="C508" s="1199" t="s">
        <v>1615</v>
      </c>
      <c r="D508" s="1199">
        <v>1837.44</v>
      </c>
      <c r="E508" s="1199">
        <f t="shared" si="7"/>
        <v>1537.61</v>
      </c>
    </row>
    <row r="509" spans="1:5">
      <c r="A509" s="1003" t="s">
        <v>239</v>
      </c>
      <c r="B509" s="1202" t="s">
        <v>2134</v>
      </c>
      <c r="C509" s="1199" t="s">
        <v>1615</v>
      </c>
      <c r="D509" s="1199">
        <v>3676.3</v>
      </c>
      <c r="E509" s="1199">
        <f t="shared" si="7"/>
        <v>3076.4</v>
      </c>
    </row>
    <row r="510" spans="1:5">
      <c r="A510" s="1003" t="s">
        <v>241</v>
      </c>
      <c r="B510" s="1202" t="s">
        <v>2135</v>
      </c>
      <c r="C510" s="1199" t="s">
        <v>1615</v>
      </c>
      <c r="D510" s="1199">
        <v>4549.8500000000004</v>
      </c>
      <c r="E510" s="1199">
        <f t="shared" si="7"/>
        <v>3807.41</v>
      </c>
    </row>
    <row r="511" spans="1:5">
      <c r="A511" s="1003" t="s">
        <v>7326</v>
      </c>
      <c r="B511" s="1202" t="s">
        <v>2136</v>
      </c>
      <c r="C511" s="1199" t="s">
        <v>1615</v>
      </c>
      <c r="D511" s="1199">
        <v>1305.18</v>
      </c>
      <c r="E511" s="1199">
        <f t="shared" si="7"/>
        <v>1092.2</v>
      </c>
    </row>
    <row r="512" spans="1:5">
      <c r="A512" s="1003" t="s">
        <v>7327</v>
      </c>
      <c r="B512" s="1003" t="s">
        <v>2137</v>
      </c>
      <c r="C512" s="1199" t="s">
        <v>1615</v>
      </c>
      <c r="D512" s="1199">
        <v>2750.85</v>
      </c>
      <c r="E512" s="1199">
        <f t="shared" si="7"/>
        <v>2301.9699999999998</v>
      </c>
    </row>
    <row r="513" spans="1:5">
      <c r="A513" s="1003" t="s">
        <v>7328</v>
      </c>
      <c r="B513" s="1003" t="s">
        <v>2138</v>
      </c>
      <c r="C513" s="1199" t="s">
        <v>1240</v>
      </c>
      <c r="D513" s="1199">
        <v>1026.25</v>
      </c>
      <c r="E513" s="1199">
        <f t="shared" si="7"/>
        <v>858.79</v>
      </c>
    </row>
    <row r="514" spans="1:5">
      <c r="A514" s="1003" t="s">
        <v>7329</v>
      </c>
      <c r="B514" s="1003" t="s">
        <v>2139</v>
      </c>
      <c r="C514" s="1199" t="s">
        <v>1615</v>
      </c>
      <c r="D514" s="1199">
        <v>2829.96</v>
      </c>
      <c r="E514" s="1199">
        <f t="shared" si="7"/>
        <v>2368.17</v>
      </c>
    </row>
    <row r="515" spans="1:5">
      <c r="A515" s="1003" t="s">
        <v>243</v>
      </c>
      <c r="B515" s="1003" t="s">
        <v>2140</v>
      </c>
      <c r="C515" s="1199" t="s">
        <v>1615</v>
      </c>
      <c r="D515" s="1199">
        <v>5265.85</v>
      </c>
      <c r="E515" s="1199">
        <f t="shared" si="7"/>
        <v>4406.57</v>
      </c>
    </row>
    <row r="516" spans="1:5">
      <c r="A516" s="1003" t="s">
        <v>7330</v>
      </c>
      <c r="B516" s="1003" t="s">
        <v>2141</v>
      </c>
      <c r="C516" s="1199" t="s">
        <v>1615</v>
      </c>
      <c r="D516" s="1199">
        <v>1074.99</v>
      </c>
      <c r="E516" s="1199">
        <f t="shared" ref="E516:E579" si="8">ROUND(D516/1.195,2)</f>
        <v>899.57</v>
      </c>
    </row>
    <row r="517" spans="1:5">
      <c r="A517" s="1003" t="s">
        <v>7331</v>
      </c>
      <c r="B517" s="1003" t="s">
        <v>2142</v>
      </c>
      <c r="C517" s="1199" t="s">
        <v>1615</v>
      </c>
      <c r="D517" s="1199">
        <v>1296.53</v>
      </c>
      <c r="E517" s="1199">
        <f t="shared" si="8"/>
        <v>1084.96</v>
      </c>
    </row>
    <row r="518" spans="1:5">
      <c r="A518" s="1003" t="s">
        <v>245</v>
      </c>
      <c r="B518" s="1003" t="s">
        <v>2143</v>
      </c>
      <c r="C518" s="1199" t="s">
        <v>1615</v>
      </c>
      <c r="D518" s="1199">
        <v>4474.54</v>
      </c>
      <c r="E518" s="1199">
        <f t="shared" si="8"/>
        <v>3744.38</v>
      </c>
    </row>
    <row r="519" spans="1:5">
      <c r="A519" s="1003" t="s">
        <v>247</v>
      </c>
      <c r="B519" s="1003" t="s">
        <v>2144</v>
      </c>
      <c r="C519" s="1199" t="s">
        <v>1615</v>
      </c>
      <c r="D519" s="1199">
        <v>5193.75</v>
      </c>
      <c r="E519" s="1199">
        <f t="shared" si="8"/>
        <v>4346.2299999999996</v>
      </c>
    </row>
    <row r="520" spans="1:5">
      <c r="A520" s="1003" t="s">
        <v>7332</v>
      </c>
      <c r="B520" s="1003" t="s">
        <v>2145</v>
      </c>
      <c r="C520" s="1199" t="s">
        <v>1615</v>
      </c>
      <c r="D520" s="1199">
        <v>4168.24</v>
      </c>
      <c r="E520" s="1199">
        <f t="shared" si="8"/>
        <v>3488.07</v>
      </c>
    </row>
    <row r="521" spans="1:5">
      <c r="A521" s="1003" t="s">
        <v>249</v>
      </c>
      <c r="B521" s="1003" t="s">
        <v>2146</v>
      </c>
      <c r="C521" s="1199" t="s">
        <v>1240</v>
      </c>
      <c r="D521" s="1199">
        <v>1686.64</v>
      </c>
      <c r="E521" s="1199">
        <f t="shared" si="8"/>
        <v>1411.41</v>
      </c>
    </row>
    <row r="522" spans="1:5">
      <c r="A522" s="1003" t="s">
        <v>7333</v>
      </c>
      <c r="B522" s="1003" t="s">
        <v>2147</v>
      </c>
      <c r="C522" s="1199" t="s">
        <v>1240</v>
      </c>
      <c r="D522" s="1199">
        <v>1530.82</v>
      </c>
      <c r="E522" s="1199">
        <f t="shared" si="8"/>
        <v>1281.02</v>
      </c>
    </row>
    <row r="523" spans="1:5">
      <c r="A523" s="1003" t="s">
        <v>7334</v>
      </c>
      <c r="B523" s="1003" t="s">
        <v>2148</v>
      </c>
      <c r="C523" s="1199" t="s">
        <v>1240</v>
      </c>
      <c r="D523" s="1199">
        <v>1199.74</v>
      </c>
      <c r="E523" s="1199">
        <f t="shared" si="8"/>
        <v>1003.97</v>
      </c>
    </row>
    <row r="524" spans="1:5">
      <c r="A524" s="1003" t="s">
        <v>7335</v>
      </c>
      <c r="B524" s="1003" t="s">
        <v>2149</v>
      </c>
      <c r="C524" s="1199" t="s">
        <v>1615</v>
      </c>
      <c r="D524" s="1199">
        <v>8198.5</v>
      </c>
      <c r="E524" s="1199">
        <f t="shared" si="8"/>
        <v>6860.67</v>
      </c>
    </row>
    <row r="525" spans="1:5">
      <c r="A525" s="1003" t="s">
        <v>7336</v>
      </c>
      <c r="B525" s="1003" t="s">
        <v>7337</v>
      </c>
      <c r="C525" s="1199" t="s">
        <v>1240</v>
      </c>
      <c r="D525" s="1199">
        <v>373.58</v>
      </c>
      <c r="E525" s="1199">
        <f t="shared" si="8"/>
        <v>312.62</v>
      </c>
    </row>
    <row r="526" spans="1:5">
      <c r="A526" s="1003" t="s">
        <v>7338</v>
      </c>
      <c r="B526" s="1003" t="s">
        <v>7339</v>
      </c>
      <c r="C526" s="1199" t="s">
        <v>1240</v>
      </c>
      <c r="D526" s="1199">
        <v>3614.34</v>
      </c>
      <c r="E526" s="1199">
        <f t="shared" si="8"/>
        <v>3024.55</v>
      </c>
    </row>
    <row r="527" spans="1:5">
      <c r="A527" s="1003" t="s">
        <v>251</v>
      </c>
      <c r="B527" s="1003" t="s">
        <v>2150</v>
      </c>
      <c r="C527" s="1199" t="s">
        <v>1615</v>
      </c>
      <c r="D527" s="1199">
        <v>1163.92</v>
      </c>
      <c r="E527" s="1199">
        <f t="shared" si="8"/>
        <v>973.99</v>
      </c>
    </row>
    <row r="528" spans="1:5">
      <c r="A528" s="1003" t="s">
        <v>7340</v>
      </c>
      <c r="B528" s="1003" t="s">
        <v>2151</v>
      </c>
      <c r="C528" s="1199" t="s">
        <v>1240</v>
      </c>
      <c r="D528" s="1199">
        <v>1188.5899999999999</v>
      </c>
      <c r="E528" s="1199">
        <f t="shared" si="8"/>
        <v>994.64</v>
      </c>
    </row>
    <row r="529" spans="1:5">
      <c r="A529" s="1003" t="s">
        <v>7341</v>
      </c>
      <c r="B529" s="1003" t="s">
        <v>2152</v>
      </c>
      <c r="C529" s="1199" t="s">
        <v>1615</v>
      </c>
      <c r="D529" s="1199">
        <v>1318.52</v>
      </c>
      <c r="E529" s="1199">
        <f t="shared" si="8"/>
        <v>1103.3599999999999</v>
      </c>
    </row>
    <row r="530" spans="1:5">
      <c r="A530" s="1003" t="s">
        <v>7342</v>
      </c>
      <c r="B530" s="1003" t="s">
        <v>2153</v>
      </c>
      <c r="C530" s="1199" t="s">
        <v>1615</v>
      </c>
      <c r="D530" s="1199">
        <v>1508.68</v>
      </c>
      <c r="E530" s="1199">
        <f t="shared" si="8"/>
        <v>1262.49</v>
      </c>
    </row>
    <row r="531" spans="1:5">
      <c r="A531" s="1003" t="s">
        <v>7343</v>
      </c>
      <c r="B531" s="1003" t="s">
        <v>7344</v>
      </c>
      <c r="C531" s="1199" t="s">
        <v>1615</v>
      </c>
      <c r="D531" s="1199">
        <v>2425.06</v>
      </c>
      <c r="E531" s="1199">
        <f t="shared" si="8"/>
        <v>2029.34</v>
      </c>
    </row>
    <row r="532" spans="1:5">
      <c r="A532" s="1003" t="s">
        <v>7345</v>
      </c>
      <c r="B532" s="1003" t="s">
        <v>7346</v>
      </c>
      <c r="C532" s="1199" t="s">
        <v>1615</v>
      </c>
      <c r="D532" s="1199">
        <v>2829.64</v>
      </c>
      <c r="E532" s="1199">
        <f t="shared" si="8"/>
        <v>2367.9</v>
      </c>
    </row>
    <row r="533" spans="1:5">
      <c r="A533" s="1003" t="s">
        <v>7347</v>
      </c>
      <c r="B533" s="1003" t="s">
        <v>7348</v>
      </c>
      <c r="C533" s="1199" t="s">
        <v>1240</v>
      </c>
      <c r="D533" s="1199">
        <v>1428.57</v>
      </c>
      <c r="E533" s="1199">
        <f t="shared" si="8"/>
        <v>1195.46</v>
      </c>
    </row>
    <row r="534" spans="1:5">
      <c r="A534" s="1003" t="s">
        <v>7349</v>
      </c>
      <c r="B534" s="1003" t="s">
        <v>2154</v>
      </c>
      <c r="C534" s="1199" t="s">
        <v>1615</v>
      </c>
      <c r="D534" s="1199">
        <v>1660</v>
      </c>
      <c r="E534" s="1199">
        <f t="shared" si="8"/>
        <v>1389.12</v>
      </c>
    </row>
    <row r="535" spans="1:5">
      <c r="A535" s="1003" t="s">
        <v>7350</v>
      </c>
      <c r="B535" s="1003" t="s">
        <v>7351</v>
      </c>
      <c r="C535" s="1199" t="s">
        <v>1615</v>
      </c>
      <c r="D535" s="1199">
        <v>752.17</v>
      </c>
      <c r="E535" s="1199">
        <f t="shared" si="8"/>
        <v>629.42999999999995</v>
      </c>
    </row>
    <row r="536" spans="1:5">
      <c r="A536" s="1003" t="s">
        <v>7352</v>
      </c>
      <c r="B536" s="1003" t="s">
        <v>7353</v>
      </c>
      <c r="C536" s="1199" t="s">
        <v>1615</v>
      </c>
      <c r="D536" s="1199">
        <v>831.52</v>
      </c>
      <c r="E536" s="1199">
        <f t="shared" si="8"/>
        <v>695.83</v>
      </c>
    </row>
    <row r="537" spans="1:5">
      <c r="A537" s="1003" t="s">
        <v>7354</v>
      </c>
      <c r="B537" s="1003" t="s">
        <v>2155</v>
      </c>
      <c r="C537" s="1199" t="s">
        <v>1615</v>
      </c>
      <c r="D537" s="1199">
        <v>3846.11</v>
      </c>
      <c r="E537" s="1199">
        <f t="shared" si="8"/>
        <v>3218.5</v>
      </c>
    </row>
    <row r="538" spans="1:5">
      <c r="A538" s="1003" t="s">
        <v>7355</v>
      </c>
      <c r="B538" s="1003" t="s">
        <v>2156</v>
      </c>
      <c r="C538" s="1199" t="s">
        <v>1615</v>
      </c>
      <c r="D538" s="1199">
        <v>3234.91</v>
      </c>
      <c r="E538" s="1199">
        <f t="shared" si="8"/>
        <v>2707.04</v>
      </c>
    </row>
    <row r="539" spans="1:5">
      <c r="A539" s="1003" t="s">
        <v>7356</v>
      </c>
      <c r="B539" s="1003" t="s">
        <v>2157</v>
      </c>
      <c r="C539" s="1199" t="s">
        <v>1615</v>
      </c>
      <c r="D539" s="1199">
        <v>1752.08</v>
      </c>
      <c r="E539" s="1199">
        <f t="shared" si="8"/>
        <v>1466.18</v>
      </c>
    </row>
    <row r="540" spans="1:5">
      <c r="A540" s="1003" t="s">
        <v>7357</v>
      </c>
      <c r="B540" s="1003" t="s">
        <v>2158</v>
      </c>
      <c r="C540" s="1199" t="s">
        <v>1615</v>
      </c>
      <c r="D540" s="1199">
        <v>1333.51</v>
      </c>
      <c r="E540" s="1199">
        <f t="shared" si="8"/>
        <v>1115.9100000000001</v>
      </c>
    </row>
    <row r="541" spans="1:5">
      <c r="A541" s="1003" t="s">
        <v>7358</v>
      </c>
      <c r="B541" s="1003" t="s">
        <v>2159</v>
      </c>
      <c r="C541" s="1199" t="s">
        <v>1615</v>
      </c>
      <c r="D541" s="1199">
        <v>1967.53</v>
      </c>
      <c r="E541" s="1199">
        <f t="shared" si="8"/>
        <v>1646.47</v>
      </c>
    </row>
    <row r="542" spans="1:5">
      <c r="A542" s="1003" t="s">
        <v>7359</v>
      </c>
      <c r="B542" s="1003" t="s">
        <v>2160</v>
      </c>
      <c r="C542" s="1199" t="s">
        <v>1240</v>
      </c>
      <c r="D542" s="1199">
        <v>1487.56</v>
      </c>
      <c r="E542" s="1199">
        <f t="shared" si="8"/>
        <v>1244.82</v>
      </c>
    </row>
    <row r="543" spans="1:5">
      <c r="A543" s="1003" t="s">
        <v>7360</v>
      </c>
      <c r="B543" s="1003" t="s">
        <v>2161</v>
      </c>
      <c r="C543" s="1199" t="s">
        <v>1240</v>
      </c>
      <c r="D543" s="1199">
        <v>1646.32</v>
      </c>
      <c r="E543" s="1199">
        <f t="shared" si="8"/>
        <v>1377.67</v>
      </c>
    </row>
    <row r="544" spans="1:5">
      <c r="A544" s="1003" t="s">
        <v>7361</v>
      </c>
      <c r="B544" s="1003" t="s">
        <v>2162</v>
      </c>
      <c r="C544" s="1199" t="s">
        <v>1240</v>
      </c>
      <c r="D544" s="1199">
        <v>1171.99</v>
      </c>
      <c r="E544" s="1199">
        <f t="shared" si="8"/>
        <v>980.74</v>
      </c>
    </row>
    <row r="545" spans="1:5">
      <c r="A545" s="1003" t="s">
        <v>7362</v>
      </c>
      <c r="B545" s="1003" t="s">
        <v>2163</v>
      </c>
      <c r="C545" s="1199" t="s">
        <v>1240</v>
      </c>
      <c r="D545" s="1199">
        <v>287.83999999999997</v>
      </c>
      <c r="E545" s="1199">
        <f t="shared" si="8"/>
        <v>240.87</v>
      </c>
    </row>
    <row r="546" spans="1:5">
      <c r="A546" s="1003" t="s">
        <v>7363</v>
      </c>
      <c r="B546" s="1003" t="s">
        <v>2164</v>
      </c>
      <c r="C546" s="1199" t="s">
        <v>1240</v>
      </c>
      <c r="D546" s="1199">
        <v>585.15</v>
      </c>
      <c r="E546" s="1199">
        <f t="shared" si="8"/>
        <v>489.67</v>
      </c>
    </row>
    <row r="547" spans="1:5">
      <c r="A547" s="1003" t="s">
        <v>7364</v>
      </c>
      <c r="B547" s="1003" t="s">
        <v>2165</v>
      </c>
      <c r="C547" s="1199" t="s">
        <v>1240</v>
      </c>
      <c r="D547" s="1199">
        <v>412.4</v>
      </c>
      <c r="E547" s="1199">
        <f t="shared" si="8"/>
        <v>345.1</v>
      </c>
    </row>
    <row r="548" spans="1:5">
      <c r="A548" s="1003" t="s">
        <v>7365</v>
      </c>
      <c r="B548" s="1003" t="s">
        <v>2166</v>
      </c>
      <c r="C548" s="1199" t="s">
        <v>1240</v>
      </c>
      <c r="D548" s="1199">
        <v>585.15</v>
      </c>
      <c r="E548" s="1199">
        <f t="shared" si="8"/>
        <v>489.67</v>
      </c>
    </row>
    <row r="549" spans="1:5">
      <c r="A549" s="1003" t="s">
        <v>7366</v>
      </c>
      <c r="B549" s="1003" t="s">
        <v>2167</v>
      </c>
      <c r="C549" s="1199" t="s">
        <v>1240</v>
      </c>
      <c r="D549" s="1199">
        <v>795.54</v>
      </c>
      <c r="E549" s="1199">
        <f t="shared" si="8"/>
        <v>665.72</v>
      </c>
    </row>
    <row r="550" spans="1:5">
      <c r="A550" s="1003" t="s">
        <v>7367</v>
      </c>
      <c r="B550" s="1003" t="s">
        <v>2168</v>
      </c>
      <c r="C550" s="1199" t="s">
        <v>1240</v>
      </c>
      <c r="D550" s="1199">
        <v>585.15</v>
      </c>
      <c r="E550" s="1199">
        <f t="shared" si="8"/>
        <v>489.67</v>
      </c>
    </row>
    <row r="551" spans="1:5">
      <c r="A551" s="1003" t="s">
        <v>7368</v>
      </c>
      <c r="B551" s="1003" t="s">
        <v>2169</v>
      </c>
      <c r="C551" s="1199" t="s">
        <v>1240</v>
      </c>
      <c r="D551" s="1199">
        <v>320.36</v>
      </c>
      <c r="E551" s="1199">
        <f t="shared" si="8"/>
        <v>268.08</v>
      </c>
    </row>
    <row r="552" spans="1:5">
      <c r="A552" s="1003" t="s">
        <v>7369</v>
      </c>
      <c r="B552" s="1003" t="s">
        <v>2170</v>
      </c>
      <c r="C552" s="1199" t="s">
        <v>1240</v>
      </c>
      <c r="D552" s="1199">
        <v>795.54</v>
      </c>
      <c r="E552" s="1199">
        <f t="shared" si="8"/>
        <v>665.72</v>
      </c>
    </row>
    <row r="553" spans="1:5">
      <c r="A553" s="1003" t="s">
        <v>7370</v>
      </c>
      <c r="B553" s="1003" t="s">
        <v>2171</v>
      </c>
      <c r="C553" s="1199" t="s">
        <v>1652</v>
      </c>
      <c r="D553" s="1199">
        <v>637.01</v>
      </c>
      <c r="E553" s="1199">
        <f t="shared" si="8"/>
        <v>533.05999999999995</v>
      </c>
    </row>
    <row r="554" spans="1:5">
      <c r="A554" s="1003" t="s">
        <v>7371</v>
      </c>
      <c r="B554" s="1003" t="s">
        <v>7372</v>
      </c>
      <c r="C554" s="1199" t="s">
        <v>1615</v>
      </c>
      <c r="D554" s="1199">
        <v>2881.36</v>
      </c>
      <c r="E554" s="1199">
        <f t="shared" si="8"/>
        <v>2411.1799999999998</v>
      </c>
    </row>
    <row r="555" spans="1:5">
      <c r="A555" s="1003" t="s">
        <v>256</v>
      </c>
      <c r="B555" s="1003" t="s">
        <v>2172</v>
      </c>
      <c r="C555" s="1199" t="s">
        <v>1615</v>
      </c>
      <c r="D555" s="1199">
        <v>10796.16</v>
      </c>
      <c r="E555" s="1199">
        <f t="shared" si="8"/>
        <v>9034.44</v>
      </c>
    </row>
    <row r="556" spans="1:5">
      <c r="A556" s="1003" t="s">
        <v>258</v>
      </c>
      <c r="B556" s="1003" t="s">
        <v>2174</v>
      </c>
      <c r="C556" s="1199" t="s">
        <v>1615</v>
      </c>
      <c r="D556" s="1199">
        <v>5339.63</v>
      </c>
      <c r="E556" s="1199">
        <f t="shared" si="8"/>
        <v>4468.3100000000004</v>
      </c>
    </row>
    <row r="557" spans="1:5">
      <c r="A557" s="1003" t="s">
        <v>260</v>
      </c>
      <c r="B557" s="1003" t="s">
        <v>2175</v>
      </c>
      <c r="C557" s="1199" t="s">
        <v>1615</v>
      </c>
      <c r="D557" s="1199">
        <v>5781.9</v>
      </c>
      <c r="E557" s="1199">
        <f t="shared" si="8"/>
        <v>4838.41</v>
      </c>
    </row>
    <row r="558" spans="1:5">
      <c r="A558" s="1003" t="s">
        <v>7373</v>
      </c>
      <c r="B558" s="1003" t="s">
        <v>2176</v>
      </c>
      <c r="C558" s="1199" t="s">
        <v>1615</v>
      </c>
      <c r="D558" s="1199">
        <v>6239.29</v>
      </c>
      <c r="E558" s="1199">
        <f t="shared" si="8"/>
        <v>5221.16</v>
      </c>
    </row>
    <row r="559" spans="1:5">
      <c r="A559" s="1003" t="s">
        <v>262</v>
      </c>
      <c r="B559" s="1003" t="s">
        <v>7374</v>
      </c>
      <c r="C559" s="1199" t="s">
        <v>1615</v>
      </c>
      <c r="D559" s="1199">
        <v>4331.6899999999996</v>
      </c>
      <c r="E559" s="1199">
        <f t="shared" si="8"/>
        <v>3624.85</v>
      </c>
    </row>
    <row r="560" spans="1:5">
      <c r="A560" s="1003" t="s">
        <v>7375</v>
      </c>
      <c r="B560" s="1003" t="s">
        <v>7376</v>
      </c>
      <c r="C560" s="1199" t="s">
        <v>1240</v>
      </c>
      <c r="D560" s="1199">
        <v>2339.36</v>
      </c>
      <c r="E560" s="1199">
        <f t="shared" si="8"/>
        <v>1957.62</v>
      </c>
    </row>
    <row r="561" spans="1:5">
      <c r="A561" s="1003" t="s">
        <v>7377</v>
      </c>
      <c r="B561" s="1003" t="s">
        <v>2181</v>
      </c>
      <c r="C561" s="1199" t="s">
        <v>1615</v>
      </c>
      <c r="D561" s="1199">
        <v>6677.84</v>
      </c>
      <c r="E561" s="1199">
        <f t="shared" si="8"/>
        <v>5588.15</v>
      </c>
    </row>
    <row r="562" spans="1:5">
      <c r="A562" s="1003" t="s">
        <v>7378</v>
      </c>
      <c r="B562" s="1003" t="s">
        <v>2182</v>
      </c>
      <c r="C562" s="1199" t="s">
        <v>1615</v>
      </c>
      <c r="D562" s="1199">
        <v>5163.54</v>
      </c>
      <c r="E562" s="1199">
        <f t="shared" si="8"/>
        <v>4320.95</v>
      </c>
    </row>
    <row r="563" spans="1:5">
      <c r="A563" s="1003" t="s">
        <v>7379</v>
      </c>
      <c r="B563" s="1202" t="s">
        <v>2183</v>
      </c>
      <c r="C563" s="1199" t="s">
        <v>1615</v>
      </c>
      <c r="D563" s="1199">
        <v>4224.3100000000004</v>
      </c>
      <c r="E563" s="1199">
        <f t="shared" si="8"/>
        <v>3534.99</v>
      </c>
    </row>
    <row r="564" spans="1:5">
      <c r="A564" s="1003" t="s">
        <v>264</v>
      </c>
      <c r="B564" s="1202" t="s">
        <v>7380</v>
      </c>
      <c r="C564" s="1199" t="s">
        <v>1615</v>
      </c>
      <c r="D564" s="1199">
        <v>9503.16</v>
      </c>
      <c r="E564" s="1199">
        <f t="shared" si="8"/>
        <v>7952.44</v>
      </c>
    </row>
    <row r="565" spans="1:5">
      <c r="A565" s="1003" t="s">
        <v>7381</v>
      </c>
      <c r="B565" s="1202" t="s">
        <v>7382</v>
      </c>
      <c r="C565" s="1199" t="s">
        <v>1615</v>
      </c>
      <c r="D565" s="1199">
        <v>5256.79</v>
      </c>
      <c r="E565" s="1199">
        <f t="shared" si="8"/>
        <v>4398.99</v>
      </c>
    </row>
    <row r="566" spans="1:5">
      <c r="A566" s="1003" t="s">
        <v>266</v>
      </c>
      <c r="B566" s="1202" t="s">
        <v>2187</v>
      </c>
      <c r="C566" s="1199" t="s">
        <v>1615</v>
      </c>
      <c r="D566" s="1199">
        <v>3353.96</v>
      </c>
      <c r="E566" s="1199">
        <f t="shared" si="8"/>
        <v>2806.66</v>
      </c>
    </row>
    <row r="567" spans="1:5">
      <c r="A567" s="1003" t="s">
        <v>7383</v>
      </c>
      <c r="B567" s="1202" t="s">
        <v>2188</v>
      </c>
      <c r="C567" s="1199" t="s">
        <v>1615</v>
      </c>
      <c r="D567" s="1199">
        <v>3964.39</v>
      </c>
      <c r="E567" s="1199">
        <f t="shared" si="8"/>
        <v>3317.48</v>
      </c>
    </row>
    <row r="568" spans="1:5">
      <c r="A568" s="1003" t="s">
        <v>7384</v>
      </c>
      <c r="B568" s="1202" t="s">
        <v>2189</v>
      </c>
      <c r="C568" s="1199" t="s">
        <v>1615</v>
      </c>
      <c r="D568" s="1199">
        <v>4240.3</v>
      </c>
      <c r="E568" s="1199">
        <f t="shared" si="8"/>
        <v>3548.37</v>
      </c>
    </row>
    <row r="569" spans="1:5">
      <c r="A569" s="1003" t="s">
        <v>268</v>
      </c>
      <c r="B569" s="1202" t="s">
        <v>2190</v>
      </c>
      <c r="C569" s="1199" t="s">
        <v>1615</v>
      </c>
      <c r="D569" s="1199">
        <v>6617.8</v>
      </c>
      <c r="E569" s="1199">
        <f t="shared" si="8"/>
        <v>5537.91</v>
      </c>
    </row>
    <row r="570" spans="1:5">
      <c r="A570" s="1003" t="s">
        <v>270</v>
      </c>
      <c r="B570" s="1202" t="s">
        <v>7385</v>
      </c>
      <c r="C570" s="1199" t="s">
        <v>1615</v>
      </c>
      <c r="D570" s="1199">
        <v>3990.83</v>
      </c>
      <c r="E570" s="1199">
        <f t="shared" si="8"/>
        <v>3339.61</v>
      </c>
    </row>
    <row r="571" spans="1:5">
      <c r="A571" s="1003" t="s">
        <v>7386</v>
      </c>
      <c r="B571" s="1202" t="s">
        <v>7387</v>
      </c>
      <c r="C571" s="1199" t="s">
        <v>1615</v>
      </c>
      <c r="D571" s="1199">
        <v>8266.0499999999993</v>
      </c>
      <c r="E571" s="1199">
        <f t="shared" si="8"/>
        <v>6917.2</v>
      </c>
    </row>
    <row r="572" spans="1:5">
      <c r="A572" s="1003" t="s">
        <v>7388</v>
      </c>
      <c r="B572" s="1202" t="s">
        <v>7389</v>
      </c>
      <c r="C572" s="1199" t="s">
        <v>1240</v>
      </c>
      <c r="D572" s="1199">
        <v>3101.85</v>
      </c>
      <c r="E572" s="1199">
        <f t="shared" si="8"/>
        <v>2595.69</v>
      </c>
    </row>
    <row r="573" spans="1:5">
      <c r="A573" s="1003" t="s">
        <v>7390</v>
      </c>
      <c r="B573" s="1202" t="s">
        <v>2193</v>
      </c>
      <c r="C573" s="1199" t="s">
        <v>1615</v>
      </c>
      <c r="D573" s="1199">
        <v>7710.47</v>
      </c>
      <c r="E573" s="1199">
        <f t="shared" si="8"/>
        <v>6452.28</v>
      </c>
    </row>
    <row r="574" spans="1:5">
      <c r="A574" s="1003" t="s">
        <v>272</v>
      </c>
      <c r="B574" s="1202" t="s">
        <v>2194</v>
      </c>
      <c r="C574" s="1199" t="s">
        <v>1615</v>
      </c>
      <c r="D574" s="1199">
        <v>4500.12</v>
      </c>
      <c r="E574" s="1199">
        <f t="shared" si="8"/>
        <v>3765.79</v>
      </c>
    </row>
    <row r="575" spans="1:5">
      <c r="A575" s="1003" t="s">
        <v>7391</v>
      </c>
      <c r="B575" s="1202" t="s">
        <v>2195</v>
      </c>
      <c r="C575" s="1199" t="s">
        <v>1240</v>
      </c>
      <c r="D575" s="1199">
        <v>412</v>
      </c>
      <c r="E575" s="1199">
        <f t="shared" si="8"/>
        <v>344.77</v>
      </c>
    </row>
    <row r="576" spans="1:5">
      <c r="A576" s="1003" t="s">
        <v>7392</v>
      </c>
      <c r="B576" s="1202" t="s">
        <v>2196</v>
      </c>
      <c r="C576" s="1199" t="s">
        <v>1240</v>
      </c>
      <c r="D576" s="1199">
        <v>966.59</v>
      </c>
      <c r="E576" s="1199">
        <f t="shared" si="8"/>
        <v>808.86</v>
      </c>
    </row>
    <row r="577" spans="1:5">
      <c r="A577" s="1003" t="s">
        <v>7393</v>
      </c>
      <c r="B577" s="1202" t="s">
        <v>2197</v>
      </c>
      <c r="C577" s="1199" t="s">
        <v>1615</v>
      </c>
      <c r="D577" s="1199">
        <v>9922.4599999999991</v>
      </c>
      <c r="E577" s="1199">
        <f t="shared" si="8"/>
        <v>8303.31</v>
      </c>
    </row>
    <row r="578" spans="1:5">
      <c r="A578" s="1003" t="s">
        <v>7394</v>
      </c>
      <c r="B578" s="1202" t="s">
        <v>2198</v>
      </c>
      <c r="C578" s="1199" t="s">
        <v>1615</v>
      </c>
      <c r="D578" s="1199">
        <v>16653.14</v>
      </c>
      <c r="E578" s="1199">
        <f t="shared" si="8"/>
        <v>13935.68</v>
      </c>
    </row>
    <row r="579" spans="1:5">
      <c r="A579" s="1003" t="s">
        <v>7395</v>
      </c>
      <c r="B579" s="1202" t="s">
        <v>2199</v>
      </c>
      <c r="C579" s="1199" t="s">
        <v>1615</v>
      </c>
      <c r="D579" s="1199">
        <v>14083.24</v>
      </c>
      <c r="E579" s="1199">
        <f t="shared" si="8"/>
        <v>11785.14</v>
      </c>
    </row>
    <row r="580" spans="1:5">
      <c r="A580" s="1003" t="s">
        <v>7396</v>
      </c>
      <c r="B580" s="1202" t="s">
        <v>2200</v>
      </c>
      <c r="C580" s="1199" t="s">
        <v>1615</v>
      </c>
      <c r="D580" s="1199">
        <v>17775.580000000002</v>
      </c>
      <c r="E580" s="1199">
        <f t="shared" ref="E580:E643" si="9">ROUND(D580/1.195,2)</f>
        <v>14874.96</v>
      </c>
    </row>
    <row r="581" spans="1:5">
      <c r="A581" s="1003" t="s">
        <v>7397</v>
      </c>
      <c r="B581" s="1202" t="s">
        <v>2201</v>
      </c>
      <c r="C581" s="1199" t="s">
        <v>1615</v>
      </c>
      <c r="D581" s="1199">
        <v>55830.65</v>
      </c>
      <c r="E581" s="1199">
        <f t="shared" si="9"/>
        <v>46720.21</v>
      </c>
    </row>
    <row r="582" spans="1:5">
      <c r="A582" s="1003" t="s">
        <v>7398</v>
      </c>
      <c r="B582" s="1202" t="s">
        <v>2202</v>
      </c>
      <c r="C582" s="1199" t="s">
        <v>1615</v>
      </c>
      <c r="D582" s="1199">
        <v>37791.33</v>
      </c>
      <c r="E582" s="1199">
        <f t="shared" si="9"/>
        <v>31624.54</v>
      </c>
    </row>
    <row r="583" spans="1:5">
      <c r="A583" s="1003" t="s">
        <v>7399</v>
      </c>
      <c r="B583" s="1202" t="s">
        <v>2203</v>
      </c>
      <c r="C583" s="1199" t="s">
        <v>1615</v>
      </c>
      <c r="D583" s="1199">
        <v>19595.53</v>
      </c>
      <c r="E583" s="1199">
        <f t="shared" si="9"/>
        <v>16397.93</v>
      </c>
    </row>
    <row r="584" spans="1:5">
      <c r="A584" s="1003" t="s">
        <v>7400</v>
      </c>
      <c r="B584" s="1202" t="s">
        <v>2207</v>
      </c>
      <c r="C584" s="1199" t="s">
        <v>1240</v>
      </c>
      <c r="D584" s="1199">
        <v>1200.49</v>
      </c>
      <c r="E584" s="1199">
        <f t="shared" si="9"/>
        <v>1004.59</v>
      </c>
    </row>
    <row r="585" spans="1:5">
      <c r="A585" s="1003" t="s">
        <v>7401</v>
      </c>
      <c r="B585" s="1202" t="s">
        <v>2208</v>
      </c>
      <c r="C585" s="1199" t="s">
        <v>1240</v>
      </c>
      <c r="D585" s="1199">
        <v>3444.72</v>
      </c>
      <c r="E585" s="1199">
        <f t="shared" si="9"/>
        <v>2882.61</v>
      </c>
    </row>
    <row r="586" spans="1:5">
      <c r="A586" s="1003" t="s">
        <v>274</v>
      </c>
      <c r="B586" s="1202" t="s">
        <v>7402</v>
      </c>
      <c r="C586" s="1199" t="s">
        <v>1214</v>
      </c>
      <c r="D586" s="1199">
        <v>161.69999999999999</v>
      </c>
      <c r="E586" s="1199">
        <f t="shared" si="9"/>
        <v>135.31</v>
      </c>
    </row>
    <row r="587" spans="1:5">
      <c r="A587" s="1003" t="s">
        <v>7403</v>
      </c>
      <c r="B587" s="1202" t="s">
        <v>7404</v>
      </c>
      <c r="C587" s="1199" t="s">
        <v>1214</v>
      </c>
      <c r="D587" s="1199">
        <v>150.38999999999999</v>
      </c>
      <c r="E587" s="1199">
        <f t="shared" si="9"/>
        <v>125.85</v>
      </c>
    </row>
    <row r="588" spans="1:5" ht="27.6">
      <c r="A588" s="1003" t="s">
        <v>7405</v>
      </c>
      <c r="B588" s="1202" t="s">
        <v>7406</v>
      </c>
      <c r="C588" s="1199" t="s">
        <v>1214</v>
      </c>
      <c r="D588" s="1199">
        <v>212.64</v>
      </c>
      <c r="E588" s="1199">
        <f t="shared" si="9"/>
        <v>177.94</v>
      </c>
    </row>
    <row r="589" spans="1:5">
      <c r="A589" s="1003" t="s">
        <v>7407</v>
      </c>
      <c r="B589" s="1202" t="s">
        <v>2171</v>
      </c>
      <c r="C589" s="1199" t="s">
        <v>1652</v>
      </c>
      <c r="D589" s="1199">
        <v>637.01</v>
      </c>
      <c r="E589" s="1199">
        <f t="shared" si="9"/>
        <v>533.05999999999995</v>
      </c>
    </row>
    <row r="590" spans="1:5">
      <c r="A590" s="1003" t="s">
        <v>7408</v>
      </c>
      <c r="B590" s="1202" t="s">
        <v>7409</v>
      </c>
      <c r="C590" s="1199" t="s">
        <v>1615</v>
      </c>
      <c r="D590" s="1199">
        <v>7639.29</v>
      </c>
      <c r="E590" s="1199">
        <f t="shared" si="9"/>
        <v>6392.71</v>
      </c>
    </row>
    <row r="591" spans="1:5" ht="27.6">
      <c r="A591" s="1003" t="s">
        <v>7410</v>
      </c>
      <c r="B591" s="1202" t="s">
        <v>7411</v>
      </c>
      <c r="C591" s="1199" t="s">
        <v>1615</v>
      </c>
      <c r="D591" s="1199">
        <v>15132.01</v>
      </c>
      <c r="E591" s="1199">
        <f t="shared" si="9"/>
        <v>12662.77</v>
      </c>
    </row>
    <row r="592" spans="1:5">
      <c r="A592" s="1003" t="s">
        <v>7412</v>
      </c>
      <c r="B592" s="1202" t="s">
        <v>7413</v>
      </c>
      <c r="C592" s="1199" t="s">
        <v>1615</v>
      </c>
      <c r="D592" s="1199">
        <v>16083.87</v>
      </c>
      <c r="E592" s="1199">
        <f t="shared" si="9"/>
        <v>13459.31</v>
      </c>
    </row>
    <row r="593" spans="1:5">
      <c r="A593" s="1003" t="s">
        <v>7414</v>
      </c>
      <c r="B593" s="1003" t="s">
        <v>7415</v>
      </c>
      <c r="C593" s="1199" t="s">
        <v>1615</v>
      </c>
      <c r="D593" s="1199">
        <v>5305.64</v>
      </c>
      <c r="E593" s="1199">
        <f t="shared" si="9"/>
        <v>4439.87</v>
      </c>
    </row>
    <row r="594" spans="1:5">
      <c r="A594" s="1003" t="s">
        <v>279</v>
      </c>
      <c r="B594" s="1202" t="s">
        <v>2211</v>
      </c>
      <c r="C594" s="1199" t="s">
        <v>1615</v>
      </c>
      <c r="D594" s="1199">
        <v>1126.3499999999999</v>
      </c>
      <c r="E594" s="1199">
        <f t="shared" si="9"/>
        <v>942.55</v>
      </c>
    </row>
    <row r="595" spans="1:5">
      <c r="A595" s="1003" t="s">
        <v>7416</v>
      </c>
      <c r="B595" s="1003" t="s">
        <v>2212</v>
      </c>
      <c r="C595" s="1199" t="s">
        <v>1615</v>
      </c>
      <c r="D595" s="1199">
        <v>783.37</v>
      </c>
      <c r="E595" s="1199">
        <f t="shared" si="9"/>
        <v>655.54</v>
      </c>
    </row>
    <row r="596" spans="1:5">
      <c r="A596" s="1003" t="s">
        <v>7417</v>
      </c>
      <c r="B596" s="1003" t="s">
        <v>7418</v>
      </c>
      <c r="C596" s="1199" t="s">
        <v>1615</v>
      </c>
      <c r="D596" s="1199">
        <v>1065.79</v>
      </c>
      <c r="E596" s="1199">
        <f t="shared" si="9"/>
        <v>891.87</v>
      </c>
    </row>
    <row r="597" spans="1:5">
      <c r="A597" s="1003" t="s">
        <v>281</v>
      </c>
      <c r="B597" s="1003" t="s">
        <v>7419</v>
      </c>
      <c r="C597" s="1199" t="s">
        <v>1615</v>
      </c>
      <c r="D597" s="1199">
        <v>2173.5700000000002</v>
      </c>
      <c r="E597" s="1199">
        <f t="shared" si="9"/>
        <v>1818.89</v>
      </c>
    </row>
    <row r="598" spans="1:5">
      <c r="A598" s="1003" t="s">
        <v>283</v>
      </c>
      <c r="B598" s="1003" t="s">
        <v>7420</v>
      </c>
      <c r="C598" s="1199" t="s">
        <v>1240</v>
      </c>
      <c r="D598" s="1199">
        <v>553.16999999999996</v>
      </c>
      <c r="E598" s="1199">
        <f t="shared" si="9"/>
        <v>462.9</v>
      </c>
    </row>
    <row r="599" spans="1:5">
      <c r="A599" s="1003" t="s">
        <v>285</v>
      </c>
      <c r="B599" s="1003" t="s">
        <v>2215</v>
      </c>
      <c r="C599" s="1199" t="s">
        <v>1214</v>
      </c>
      <c r="D599" s="1199">
        <v>969.85</v>
      </c>
      <c r="E599" s="1199">
        <f t="shared" si="9"/>
        <v>811.59</v>
      </c>
    </row>
    <row r="600" spans="1:5">
      <c r="A600" s="1003" t="s">
        <v>287</v>
      </c>
      <c r="B600" s="1003" t="s">
        <v>2216</v>
      </c>
      <c r="C600" s="1199" t="s">
        <v>1214</v>
      </c>
      <c r="D600" s="1199">
        <v>1686.3</v>
      </c>
      <c r="E600" s="1199">
        <f t="shared" si="9"/>
        <v>1411.13</v>
      </c>
    </row>
    <row r="601" spans="1:5">
      <c r="A601" s="1003" t="s">
        <v>289</v>
      </c>
      <c r="B601" s="1003" t="s">
        <v>2220</v>
      </c>
      <c r="C601" s="1199" t="s">
        <v>1240</v>
      </c>
      <c r="D601" s="1199">
        <v>1284.74</v>
      </c>
      <c r="E601" s="1199">
        <f t="shared" si="9"/>
        <v>1075.0999999999999</v>
      </c>
    </row>
    <row r="602" spans="1:5">
      <c r="A602" s="1003" t="s">
        <v>7421</v>
      </c>
      <c r="B602" s="1003" t="s">
        <v>7422</v>
      </c>
      <c r="C602" s="1199" t="s">
        <v>1240</v>
      </c>
      <c r="D602" s="1199">
        <v>1023.88</v>
      </c>
      <c r="E602" s="1199">
        <f t="shared" si="9"/>
        <v>856.8</v>
      </c>
    </row>
    <row r="603" spans="1:5">
      <c r="A603" s="1003" t="s">
        <v>7423</v>
      </c>
      <c r="B603" s="1003" t="s">
        <v>7424</v>
      </c>
      <c r="C603" s="1199" t="s">
        <v>1615</v>
      </c>
      <c r="D603" s="1199">
        <v>937.48</v>
      </c>
      <c r="E603" s="1199">
        <f t="shared" si="9"/>
        <v>784.5</v>
      </c>
    </row>
    <row r="604" spans="1:5">
      <c r="A604" s="1003" t="s">
        <v>7425</v>
      </c>
      <c r="B604" s="1003" t="s">
        <v>2227</v>
      </c>
      <c r="C604" s="1199" t="s">
        <v>1240</v>
      </c>
      <c r="D604" s="1199">
        <v>616.51</v>
      </c>
      <c r="E604" s="1199">
        <f t="shared" si="9"/>
        <v>515.91</v>
      </c>
    </row>
    <row r="605" spans="1:5">
      <c r="A605" s="1003" t="s">
        <v>7426</v>
      </c>
      <c r="B605" s="1003" t="s">
        <v>2228</v>
      </c>
      <c r="C605" s="1199" t="s">
        <v>1214</v>
      </c>
      <c r="D605" s="1199">
        <v>204.74</v>
      </c>
      <c r="E605" s="1199">
        <f t="shared" si="9"/>
        <v>171.33</v>
      </c>
    </row>
    <row r="606" spans="1:5">
      <c r="A606" s="1003" t="s">
        <v>7427</v>
      </c>
      <c r="B606" s="1003" t="s">
        <v>7428</v>
      </c>
      <c r="C606" s="1199" t="s">
        <v>1240</v>
      </c>
      <c r="D606" s="1199">
        <v>59.31</v>
      </c>
      <c r="E606" s="1199">
        <f t="shared" si="9"/>
        <v>49.63</v>
      </c>
    </row>
    <row r="607" spans="1:5">
      <c r="A607" s="1003" t="s">
        <v>7429</v>
      </c>
      <c r="B607" s="1003" t="s">
        <v>7430</v>
      </c>
      <c r="C607" s="1199" t="s">
        <v>1240</v>
      </c>
      <c r="D607" s="1199">
        <v>458.67</v>
      </c>
      <c r="E607" s="1199">
        <f t="shared" si="9"/>
        <v>383.82</v>
      </c>
    </row>
    <row r="608" spans="1:5">
      <c r="A608" s="1003" t="s">
        <v>7431</v>
      </c>
      <c r="B608" s="1003" t="s">
        <v>7432</v>
      </c>
      <c r="C608" s="1199" t="s">
        <v>2050</v>
      </c>
      <c r="D608" s="1199">
        <v>783.19</v>
      </c>
      <c r="E608" s="1199">
        <f t="shared" si="9"/>
        <v>655.39</v>
      </c>
    </row>
    <row r="609" spans="1:5">
      <c r="A609" s="1003" t="s">
        <v>7433</v>
      </c>
      <c r="B609" s="1003" t="s">
        <v>7434</v>
      </c>
      <c r="C609" s="1199" t="s">
        <v>1214</v>
      </c>
      <c r="D609" s="1199">
        <v>754.7</v>
      </c>
      <c r="E609" s="1199">
        <f t="shared" si="9"/>
        <v>631.54999999999995</v>
      </c>
    </row>
    <row r="610" spans="1:5">
      <c r="A610" s="1003" t="s">
        <v>7435</v>
      </c>
      <c r="B610" s="1003" t="s">
        <v>7436</v>
      </c>
      <c r="C610" s="1199" t="s">
        <v>1214</v>
      </c>
      <c r="D610" s="1199">
        <v>1093.22</v>
      </c>
      <c r="E610" s="1199">
        <f t="shared" si="9"/>
        <v>914.83</v>
      </c>
    </row>
    <row r="611" spans="1:5">
      <c r="A611" s="1003" t="s">
        <v>7437</v>
      </c>
      <c r="B611" s="1003" t="s">
        <v>7438</v>
      </c>
      <c r="C611" s="1199" t="s">
        <v>1214</v>
      </c>
      <c r="D611" s="1199">
        <v>1316.59</v>
      </c>
      <c r="E611" s="1199">
        <f t="shared" si="9"/>
        <v>1101.75</v>
      </c>
    </row>
    <row r="612" spans="1:5">
      <c r="A612" s="1003" t="s">
        <v>7439</v>
      </c>
      <c r="B612" s="1003" t="s">
        <v>7440</v>
      </c>
      <c r="C612" s="1199" t="s">
        <v>1214</v>
      </c>
      <c r="D612" s="1199">
        <v>699.87</v>
      </c>
      <c r="E612" s="1199">
        <f t="shared" si="9"/>
        <v>585.66999999999996</v>
      </c>
    </row>
    <row r="613" spans="1:5" ht="27.6">
      <c r="A613" s="1003" t="s">
        <v>7441</v>
      </c>
      <c r="B613" s="1003" t="s">
        <v>7442</v>
      </c>
      <c r="C613" s="1199" t="s">
        <v>1214</v>
      </c>
      <c r="D613" s="1199">
        <v>291.05</v>
      </c>
      <c r="E613" s="1199">
        <f t="shared" si="9"/>
        <v>243.56</v>
      </c>
    </row>
    <row r="614" spans="1:5">
      <c r="A614" s="1003" t="s">
        <v>7443</v>
      </c>
      <c r="B614" s="1003" t="s">
        <v>7444</v>
      </c>
      <c r="C614" s="1199" t="s">
        <v>1214</v>
      </c>
      <c r="D614" s="1199">
        <v>1295.81</v>
      </c>
      <c r="E614" s="1199">
        <f t="shared" si="9"/>
        <v>1084.3599999999999</v>
      </c>
    </row>
    <row r="615" spans="1:5">
      <c r="A615" s="1003" t="s">
        <v>7445</v>
      </c>
      <c r="B615" s="1003" t="s">
        <v>7446</v>
      </c>
      <c r="C615" s="1199" t="s">
        <v>1214</v>
      </c>
      <c r="D615" s="1199">
        <v>1219.1600000000001</v>
      </c>
      <c r="E615" s="1199">
        <f t="shared" si="9"/>
        <v>1020.22</v>
      </c>
    </row>
    <row r="616" spans="1:5">
      <c r="A616" s="1003" t="s">
        <v>7447</v>
      </c>
      <c r="B616" s="1003" t="s">
        <v>2245</v>
      </c>
      <c r="C616" s="1199" t="s">
        <v>1240</v>
      </c>
      <c r="D616" s="1199">
        <v>43.18</v>
      </c>
      <c r="E616" s="1199">
        <f t="shared" si="9"/>
        <v>36.130000000000003</v>
      </c>
    </row>
    <row r="617" spans="1:5">
      <c r="A617" s="1003" t="s">
        <v>7448</v>
      </c>
      <c r="B617" s="1003" t="s">
        <v>2249</v>
      </c>
      <c r="C617" s="1199" t="s">
        <v>1615</v>
      </c>
      <c r="D617" s="1199">
        <v>3837.77</v>
      </c>
      <c r="E617" s="1199">
        <f t="shared" si="9"/>
        <v>3211.52</v>
      </c>
    </row>
    <row r="618" spans="1:5">
      <c r="A618" s="1003" t="s">
        <v>7449</v>
      </c>
      <c r="B618" s="1003" t="s">
        <v>2250</v>
      </c>
      <c r="C618" s="1199" t="s">
        <v>2087</v>
      </c>
      <c r="D618" s="1199">
        <v>2235.6799999999998</v>
      </c>
      <c r="E618" s="1199">
        <f t="shared" si="9"/>
        <v>1870.86</v>
      </c>
    </row>
    <row r="619" spans="1:5">
      <c r="A619" s="1003" t="s">
        <v>7450</v>
      </c>
      <c r="B619" s="1003" t="s">
        <v>2251</v>
      </c>
      <c r="C619" s="1199" t="s">
        <v>2087</v>
      </c>
      <c r="D619" s="1199">
        <v>2282.1</v>
      </c>
      <c r="E619" s="1199">
        <f t="shared" si="9"/>
        <v>1909.71</v>
      </c>
    </row>
    <row r="620" spans="1:5">
      <c r="A620" s="1003" t="s">
        <v>7451</v>
      </c>
      <c r="B620" s="1003" t="s">
        <v>2252</v>
      </c>
      <c r="C620" s="1199" t="s">
        <v>2087</v>
      </c>
      <c r="D620" s="1199">
        <v>2274.02</v>
      </c>
      <c r="E620" s="1199">
        <f t="shared" si="9"/>
        <v>1902.95</v>
      </c>
    </row>
    <row r="621" spans="1:5">
      <c r="A621" s="1003" t="s">
        <v>7452</v>
      </c>
      <c r="B621" s="1003" t="s">
        <v>2253</v>
      </c>
      <c r="C621" s="1199" t="s">
        <v>1615</v>
      </c>
      <c r="D621" s="1199">
        <v>2099</v>
      </c>
      <c r="E621" s="1199">
        <f t="shared" si="9"/>
        <v>1756.49</v>
      </c>
    </row>
    <row r="622" spans="1:5">
      <c r="A622" s="1003" t="s">
        <v>7453</v>
      </c>
      <c r="B622" s="1003" t="s">
        <v>2254</v>
      </c>
      <c r="C622" s="1199" t="s">
        <v>1615</v>
      </c>
      <c r="D622" s="1199">
        <v>2057.83</v>
      </c>
      <c r="E622" s="1199">
        <f t="shared" si="9"/>
        <v>1722.03</v>
      </c>
    </row>
    <row r="623" spans="1:5">
      <c r="A623" s="1003" t="s">
        <v>7454</v>
      </c>
      <c r="B623" s="1003" t="s">
        <v>2255</v>
      </c>
      <c r="C623" s="1199" t="s">
        <v>1615</v>
      </c>
      <c r="D623" s="1199">
        <v>2049.7399999999998</v>
      </c>
      <c r="E623" s="1199">
        <f t="shared" si="9"/>
        <v>1715.26</v>
      </c>
    </row>
    <row r="624" spans="1:5">
      <c r="A624" s="1003" t="s">
        <v>7455</v>
      </c>
      <c r="B624" s="1003" t="s">
        <v>2247</v>
      </c>
      <c r="C624" s="1199" t="s">
        <v>1615</v>
      </c>
      <c r="D624" s="1199">
        <v>5962.34</v>
      </c>
      <c r="E624" s="1199">
        <f t="shared" si="9"/>
        <v>4989.41</v>
      </c>
    </row>
    <row r="625" spans="1:5">
      <c r="A625" s="1003" t="s">
        <v>7456</v>
      </c>
      <c r="B625" s="1003" t="s">
        <v>7457</v>
      </c>
      <c r="C625" s="1199" t="s">
        <v>1615</v>
      </c>
      <c r="D625" s="1199">
        <v>6051.29</v>
      </c>
      <c r="E625" s="1199">
        <f t="shared" si="9"/>
        <v>5063.84</v>
      </c>
    </row>
    <row r="626" spans="1:5">
      <c r="A626" s="1003" t="s">
        <v>7458</v>
      </c>
      <c r="B626" s="1003" t="s">
        <v>7459</v>
      </c>
      <c r="C626" s="1199" t="s">
        <v>1214</v>
      </c>
      <c r="D626" s="1199">
        <v>382.08</v>
      </c>
      <c r="E626" s="1199">
        <f t="shared" si="9"/>
        <v>319.73</v>
      </c>
    </row>
    <row r="627" spans="1:5">
      <c r="A627" s="1003" t="s">
        <v>7460</v>
      </c>
      <c r="B627" s="1003" t="s">
        <v>7461</v>
      </c>
      <c r="C627" s="1199" t="s">
        <v>1214</v>
      </c>
      <c r="D627" s="1199">
        <v>844.32</v>
      </c>
      <c r="E627" s="1199">
        <f t="shared" si="9"/>
        <v>706.54</v>
      </c>
    </row>
    <row r="628" spans="1:5">
      <c r="A628" s="1003" t="s">
        <v>7462</v>
      </c>
      <c r="B628" s="1003" t="s">
        <v>7463</v>
      </c>
      <c r="C628" s="1199" t="s">
        <v>1214</v>
      </c>
      <c r="D628" s="1199">
        <v>1016.78</v>
      </c>
      <c r="E628" s="1199">
        <f t="shared" si="9"/>
        <v>850.86</v>
      </c>
    </row>
    <row r="629" spans="1:5">
      <c r="A629" s="1003" t="s">
        <v>7464</v>
      </c>
      <c r="B629" s="1003" t="s">
        <v>7465</v>
      </c>
      <c r="C629" s="1199" t="s">
        <v>1615</v>
      </c>
      <c r="D629" s="1199">
        <v>1310.6199999999999</v>
      </c>
      <c r="E629" s="1199">
        <f t="shared" si="9"/>
        <v>1096.75</v>
      </c>
    </row>
    <row r="630" spans="1:5">
      <c r="A630" s="1003" t="s">
        <v>7466</v>
      </c>
      <c r="B630" s="1003" t="s">
        <v>7467</v>
      </c>
      <c r="C630" s="1199" t="s">
        <v>1615</v>
      </c>
      <c r="D630" s="1199">
        <v>271.93</v>
      </c>
      <c r="E630" s="1199">
        <f t="shared" si="9"/>
        <v>227.56</v>
      </c>
    </row>
    <row r="631" spans="1:5">
      <c r="A631" s="1003" t="s">
        <v>7468</v>
      </c>
      <c r="B631" s="1003" t="s">
        <v>7469</v>
      </c>
      <c r="C631" s="1199" t="s">
        <v>1615</v>
      </c>
      <c r="D631" s="1199">
        <v>761.23</v>
      </c>
      <c r="E631" s="1199">
        <f t="shared" si="9"/>
        <v>637.01</v>
      </c>
    </row>
    <row r="632" spans="1:5">
      <c r="A632" s="1003" t="s">
        <v>7470</v>
      </c>
      <c r="B632" s="1003" t="s">
        <v>2256</v>
      </c>
      <c r="C632" s="1199" t="s">
        <v>1248</v>
      </c>
      <c r="D632" s="1199">
        <v>163.65</v>
      </c>
      <c r="E632" s="1199">
        <f t="shared" si="9"/>
        <v>136.94999999999999</v>
      </c>
    </row>
    <row r="633" spans="1:5">
      <c r="A633" s="1003" t="s">
        <v>7471</v>
      </c>
      <c r="B633" s="1003" t="s">
        <v>2257</v>
      </c>
      <c r="C633" s="1199" t="s">
        <v>1248</v>
      </c>
      <c r="D633" s="1199">
        <v>74.91</v>
      </c>
      <c r="E633" s="1199">
        <f t="shared" si="9"/>
        <v>62.69</v>
      </c>
    </row>
    <row r="634" spans="1:5">
      <c r="A634" s="1003" t="s">
        <v>7472</v>
      </c>
      <c r="B634" s="1003" t="s">
        <v>2171</v>
      </c>
      <c r="C634" s="1199" t="s">
        <v>1652</v>
      </c>
      <c r="D634" s="1199">
        <v>637.01</v>
      </c>
      <c r="E634" s="1199">
        <f t="shared" si="9"/>
        <v>533.05999999999995</v>
      </c>
    </row>
    <row r="635" spans="1:5">
      <c r="A635" s="1003" t="s">
        <v>291</v>
      </c>
      <c r="B635" s="1003" t="s">
        <v>7473</v>
      </c>
      <c r="C635" s="1199" t="s">
        <v>1214</v>
      </c>
      <c r="D635" s="1199">
        <v>679.93</v>
      </c>
      <c r="E635" s="1199">
        <f t="shared" si="9"/>
        <v>568.98</v>
      </c>
    </row>
    <row r="636" spans="1:5">
      <c r="A636" s="1003" t="s">
        <v>7474</v>
      </c>
      <c r="B636" s="1003" t="s">
        <v>7475</v>
      </c>
      <c r="C636" s="1199" t="s">
        <v>1214</v>
      </c>
      <c r="D636" s="1199">
        <v>816.39</v>
      </c>
      <c r="E636" s="1199">
        <f t="shared" si="9"/>
        <v>683.17</v>
      </c>
    </row>
    <row r="637" spans="1:5">
      <c r="A637" s="1003" t="s">
        <v>7476</v>
      </c>
      <c r="B637" s="1003" t="s">
        <v>7477</v>
      </c>
      <c r="C637" s="1199" t="s">
        <v>1214</v>
      </c>
      <c r="D637" s="1199">
        <v>895.94</v>
      </c>
      <c r="E637" s="1199">
        <f t="shared" si="9"/>
        <v>749.74</v>
      </c>
    </row>
    <row r="638" spans="1:5">
      <c r="A638" s="1003" t="s">
        <v>7478</v>
      </c>
      <c r="B638" s="1003" t="s">
        <v>7479</v>
      </c>
      <c r="C638" s="1199" t="s">
        <v>1214</v>
      </c>
      <c r="D638" s="1199">
        <v>435.61</v>
      </c>
      <c r="E638" s="1199">
        <f t="shared" si="9"/>
        <v>364.53</v>
      </c>
    </row>
    <row r="639" spans="1:5">
      <c r="A639" s="1003" t="s">
        <v>7480</v>
      </c>
      <c r="B639" s="1003" t="s">
        <v>7481</v>
      </c>
      <c r="C639" s="1199" t="s">
        <v>1214</v>
      </c>
      <c r="D639" s="1199">
        <v>616</v>
      </c>
      <c r="E639" s="1199">
        <f t="shared" si="9"/>
        <v>515.48</v>
      </c>
    </row>
    <row r="640" spans="1:5">
      <c r="A640" s="1003" t="s">
        <v>7482</v>
      </c>
      <c r="B640" s="1003" t="s">
        <v>7483</v>
      </c>
      <c r="C640" s="1199" t="s">
        <v>1214</v>
      </c>
      <c r="D640" s="1199">
        <v>1065.8</v>
      </c>
      <c r="E640" s="1199">
        <f t="shared" si="9"/>
        <v>891.88</v>
      </c>
    </row>
    <row r="641" spans="1:5">
      <c r="A641" s="1003" t="s">
        <v>293</v>
      </c>
      <c r="B641" s="1003" t="s">
        <v>7484</v>
      </c>
      <c r="C641" s="1199" t="s">
        <v>1214</v>
      </c>
      <c r="D641" s="1199">
        <v>581.96</v>
      </c>
      <c r="E641" s="1199">
        <f t="shared" si="9"/>
        <v>487</v>
      </c>
    </row>
    <row r="642" spans="1:5">
      <c r="A642" s="1003" t="s">
        <v>7485</v>
      </c>
      <c r="B642" s="1003" t="s">
        <v>7486</v>
      </c>
      <c r="C642" s="1199" t="s">
        <v>1214</v>
      </c>
      <c r="D642" s="1199">
        <v>1764.34</v>
      </c>
      <c r="E642" s="1199">
        <f t="shared" si="9"/>
        <v>1476.44</v>
      </c>
    </row>
    <row r="643" spans="1:5">
      <c r="A643" s="1003" t="s">
        <v>7487</v>
      </c>
      <c r="B643" s="1003" t="s">
        <v>7488</v>
      </c>
      <c r="C643" s="1199" t="s">
        <v>1214</v>
      </c>
      <c r="D643" s="1199">
        <v>1964.16</v>
      </c>
      <c r="E643" s="1199">
        <f t="shared" si="9"/>
        <v>1643.65</v>
      </c>
    </row>
    <row r="644" spans="1:5">
      <c r="A644" s="1003" t="s">
        <v>7489</v>
      </c>
      <c r="B644" s="1003" t="s">
        <v>7490</v>
      </c>
      <c r="C644" s="1199" t="s">
        <v>1214</v>
      </c>
      <c r="D644" s="1199">
        <v>1187.98</v>
      </c>
      <c r="E644" s="1199">
        <f t="shared" ref="E644:E707" si="10">ROUND(D644/1.195,2)</f>
        <v>994.13</v>
      </c>
    </row>
    <row r="645" spans="1:5">
      <c r="A645" s="1003" t="s">
        <v>7491</v>
      </c>
      <c r="B645" s="1003" t="s">
        <v>7492</v>
      </c>
      <c r="C645" s="1199" t="s">
        <v>1214</v>
      </c>
      <c r="D645" s="1199">
        <v>1241.98</v>
      </c>
      <c r="E645" s="1199">
        <f t="shared" si="10"/>
        <v>1039.31</v>
      </c>
    </row>
    <row r="646" spans="1:5" ht="27.6">
      <c r="A646" s="1003" t="s">
        <v>7493</v>
      </c>
      <c r="B646" s="1003" t="s">
        <v>7494</v>
      </c>
      <c r="C646" s="1199" t="s">
        <v>1214</v>
      </c>
      <c r="D646" s="1199">
        <v>1131.5</v>
      </c>
      <c r="E646" s="1199">
        <f t="shared" si="10"/>
        <v>946.86</v>
      </c>
    </row>
    <row r="647" spans="1:5" ht="27.6">
      <c r="A647" s="1003" t="s">
        <v>7495</v>
      </c>
      <c r="B647" s="1003" t="s">
        <v>7496</v>
      </c>
      <c r="C647" s="1199" t="s">
        <v>1214</v>
      </c>
      <c r="D647" s="1199">
        <v>1276.1199999999999</v>
      </c>
      <c r="E647" s="1199">
        <f t="shared" si="10"/>
        <v>1067.8800000000001</v>
      </c>
    </row>
    <row r="648" spans="1:5">
      <c r="A648" s="1003" t="s">
        <v>7497</v>
      </c>
      <c r="B648" s="1003" t="s">
        <v>7498</v>
      </c>
      <c r="C648" s="1199" t="s">
        <v>1214</v>
      </c>
      <c r="D648" s="1199">
        <v>657.48</v>
      </c>
      <c r="E648" s="1199">
        <f t="shared" si="10"/>
        <v>550.19000000000005</v>
      </c>
    </row>
    <row r="649" spans="1:5">
      <c r="A649" s="1003" t="s">
        <v>7499</v>
      </c>
      <c r="B649" s="1003" t="s">
        <v>7500</v>
      </c>
      <c r="C649" s="1199" t="s">
        <v>1615</v>
      </c>
      <c r="D649" s="1199">
        <v>7647.9</v>
      </c>
      <c r="E649" s="1199">
        <f t="shared" si="10"/>
        <v>6399.92</v>
      </c>
    </row>
    <row r="650" spans="1:5">
      <c r="A650" s="1003" t="s">
        <v>7501</v>
      </c>
      <c r="B650" s="1003" t="s">
        <v>7502</v>
      </c>
      <c r="C650" s="1199" t="s">
        <v>1615</v>
      </c>
      <c r="D650" s="1199">
        <v>3.67</v>
      </c>
      <c r="E650" s="1199">
        <f t="shared" si="10"/>
        <v>3.07</v>
      </c>
    </row>
    <row r="651" spans="1:5">
      <c r="A651" s="1003" t="s">
        <v>7503</v>
      </c>
      <c r="B651" s="1003" t="s">
        <v>1690</v>
      </c>
      <c r="C651" s="1199" t="s">
        <v>1652</v>
      </c>
      <c r="D651" s="1199">
        <v>637.01</v>
      </c>
      <c r="E651" s="1199">
        <f t="shared" si="10"/>
        <v>533.05999999999995</v>
      </c>
    </row>
    <row r="652" spans="1:5">
      <c r="A652" s="1003" t="s">
        <v>7504</v>
      </c>
      <c r="B652" s="1003" t="s">
        <v>7505</v>
      </c>
      <c r="C652" s="1199" t="s">
        <v>1240</v>
      </c>
      <c r="D652" s="1199">
        <v>28.53</v>
      </c>
      <c r="E652" s="1199">
        <f t="shared" si="10"/>
        <v>23.87</v>
      </c>
    </row>
    <row r="653" spans="1:5">
      <c r="A653" s="1003" t="s">
        <v>7506</v>
      </c>
      <c r="B653" s="1003" t="s">
        <v>2260</v>
      </c>
      <c r="C653" s="1199" t="s">
        <v>1240</v>
      </c>
      <c r="D653" s="1199">
        <v>8.39</v>
      </c>
      <c r="E653" s="1199">
        <f t="shared" si="10"/>
        <v>7.02</v>
      </c>
    </row>
    <row r="654" spans="1:5">
      <c r="A654" s="1003" t="s">
        <v>7507</v>
      </c>
      <c r="B654" s="1003" t="s">
        <v>7508</v>
      </c>
      <c r="C654" s="1199" t="s">
        <v>1615</v>
      </c>
      <c r="D654" s="1199">
        <v>48.92</v>
      </c>
      <c r="E654" s="1199">
        <f t="shared" si="10"/>
        <v>40.94</v>
      </c>
    </row>
    <row r="655" spans="1:5">
      <c r="A655" s="1003" t="s">
        <v>7509</v>
      </c>
      <c r="B655" s="1003" t="s">
        <v>7510</v>
      </c>
      <c r="C655" s="1199" t="s">
        <v>1615</v>
      </c>
      <c r="D655" s="1199">
        <v>14.78</v>
      </c>
      <c r="E655" s="1199">
        <f t="shared" si="10"/>
        <v>12.37</v>
      </c>
    </row>
    <row r="656" spans="1:5">
      <c r="A656" s="1003" t="s">
        <v>7511</v>
      </c>
      <c r="B656" s="1003" t="s">
        <v>7512</v>
      </c>
      <c r="C656" s="1199" t="s">
        <v>1615</v>
      </c>
      <c r="D656" s="1199">
        <v>11.82</v>
      </c>
      <c r="E656" s="1199">
        <f t="shared" si="10"/>
        <v>9.89</v>
      </c>
    </row>
    <row r="657" spans="1:5">
      <c r="A657" s="1003" t="s">
        <v>7513</v>
      </c>
      <c r="B657" s="1003" t="s">
        <v>7514</v>
      </c>
      <c r="C657" s="1199" t="s">
        <v>1615</v>
      </c>
      <c r="D657" s="1199">
        <v>4.1399999999999997</v>
      </c>
      <c r="E657" s="1199">
        <f t="shared" si="10"/>
        <v>3.46</v>
      </c>
    </row>
    <row r="658" spans="1:5">
      <c r="A658" s="1003" t="s">
        <v>7515</v>
      </c>
      <c r="B658" s="1003" t="s">
        <v>7516</v>
      </c>
      <c r="C658" s="1199" t="s">
        <v>1214</v>
      </c>
      <c r="D658" s="1199">
        <v>32.61</v>
      </c>
      <c r="E658" s="1199">
        <f t="shared" si="10"/>
        <v>27.29</v>
      </c>
    </row>
    <row r="659" spans="1:5">
      <c r="A659" s="1003" t="s">
        <v>7517</v>
      </c>
      <c r="B659" s="1003" t="s">
        <v>1691</v>
      </c>
      <c r="C659" s="1199" t="s">
        <v>1652</v>
      </c>
      <c r="D659" s="1199">
        <v>637.01</v>
      </c>
      <c r="E659" s="1199">
        <f t="shared" si="10"/>
        <v>533.05999999999995</v>
      </c>
    </row>
    <row r="660" spans="1:5">
      <c r="A660" s="1003" t="s">
        <v>7518</v>
      </c>
      <c r="B660" s="1003" t="s">
        <v>7519</v>
      </c>
      <c r="C660" s="1199" t="s">
        <v>1240</v>
      </c>
      <c r="D660" s="1199">
        <v>40.76</v>
      </c>
      <c r="E660" s="1199">
        <f t="shared" si="10"/>
        <v>34.11</v>
      </c>
    </row>
    <row r="661" spans="1:5">
      <c r="A661" s="1003" t="s">
        <v>7520</v>
      </c>
      <c r="B661" s="1003" t="s">
        <v>7521</v>
      </c>
      <c r="C661" s="1199" t="s">
        <v>1615</v>
      </c>
      <c r="D661" s="1199">
        <v>53</v>
      </c>
      <c r="E661" s="1199">
        <f t="shared" si="10"/>
        <v>44.35</v>
      </c>
    </row>
    <row r="662" spans="1:5">
      <c r="A662" s="1003" t="s">
        <v>7522</v>
      </c>
      <c r="B662" s="1003" t="s">
        <v>2266</v>
      </c>
      <c r="C662" s="1199" t="s">
        <v>1240</v>
      </c>
      <c r="D662" s="1199">
        <v>11.03</v>
      </c>
      <c r="E662" s="1199">
        <f t="shared" si="10"/>
        <v>9.23</v>
      </c>
    </row>
    <row r="663" spans="1:5">
      <c r="A663" s="1003" t="s">
        <v>7523</v>
      </c>
      <c r="B663" s="1003" t="s">
        <v>7524</v>
      </c>
      <c r="C663" s="1199" t="s">
        <v>1214</v>
      </c>
      <c r="D663" s="1199">
        <v>35.479999999999997</v>
      </c>
      <c r="E663" s="1199">
        <f t="shared" si="10"/>
        <v>29.69</v>
      </c>
    </row>
    <row r="664" spans="1:5">
      <c r="A664" s="1003" t="s">
        <v>7525</v>
      </c>
      <c r="B664" s="1003" t="s">
        <v>7526</v>
      </c>
      <c r="C664" s="1199" t="s">
        <v>1615</v>
      </c>
      <c r="D664" s="1199">
        <v>32.53</v>
      </c>
      <c r="E664" s="1199">
        <f t="shared" si="10"/>
        <v>27.22</v>
      </c>
    </row>
    <row r="665" spans="1:5">
      <c r="A665" s="1003" t="s">
        <v>7527</v>
      </c>
      <c r="B665" s="1003" t="s">
        <v>7528</v>
      </c>
      <c r="C665" s="1199" t="s">
        <v>1615</v>
      </c>
      <c r="D665" s="1199">
        <v>5.91</v>
      </c>
      <c r="E665" s="1199">
        <f t="shared" si="10"/>
        <v>4.95</v>
      </c>
    </row>
    <row r="666" spans="1:5">
      <c r="A666" s="1003" t="s">
        <v>7529</v>
      </c>
      <c r="B666" s="1003" t="s">
        <v>7530</v>
      </c>
      <c r="C666" s="1199" t="s">
        <v>1214</v>
      </c>
      <c r="D666" s="1199">
        <v>32.61</v>
      </c>
      <c r="E666" s="1199">
        <f t="shared" si="10"/>
        <v>27.29</v>
      </c>
    </row>
    <row r="667" spans="1:5">
      <c r="A667" s="1003" t="s">
        <v>7531</v>
      </c>
      <c r="B667" s="1003" t="s">
        <v>2268</v>
      </c>
      <c r="C667" s="1199" t="s">
        <v>1652</v>
      </c>
      <c r="D667" s="1199">
        <v>637.01</v>
      </c>
      <c r="E667" s="1199">
        <f t="shared" si="10"/>
        <v>533.05999999999995</v>
      </c>
    </row>
    <row r="668" spans="1:5">
      <c r="A668" s="1003" t="s">
        <v>7532</v>
      </c>
      <c r="B668" s="1003" t="s">
        <v>2270</v>
      </c>
      <c r="C668" s="1199" t="s">
        <v>1240</v>
      </c>
      <c r="D668" s="1199">
        <v>1686.64</v>
      </c>
      <c r="E668" s="1199">
        <f t="shared" si="10"/>
        <v>1411.41</v>
      </c>
    </row>
    <row r="669" spans="1:5">
      <c r="A669" s="1003" t="s">
        <v>7533</v>
      </c>
      <c r="B669" s="1003" t="s">
        <v>2271</v>
      </c>
      <c r="C669" s="1199" t="s">
        <v>1240</v>
      </c>
      <c r="D669" s="1199">
        <v>1530.82</v>
      </c>
      <c r="E669" s="1199">
        <f t="shared" si="10"/>
        <v>1281.02</v>
      </c>
    </row>
    <row r="670" spans="1:5">
      <c r="A670" s="1003" t="s">
        <v>7534</v>
      </c>
      <c r="B670" s="1003" t="s">
        <v>2272</v>
      </c>
      <c r="C670" s="1199" t="s">
        <v>1240</v>
      </c>
      <c r="D670" s="1199">
        <v>1209.43</v>
      </c>
      <c r="E670" s="1199">
        <f t="shared" si="10"/>
        <v>1012.08</v>
      </c>
    </row>
    <row r="671" spans="1:5">
      <c r="A671" s="1003" t="s">
        <v>7535</v>
      </c>
      <c r="B671" s="1003" t="s">
        <v>2273</v>
      </c>
      <c r="C671" s="1199" t="s">
        <v>1240</v>
      </c>
      <c r="D671" s="1199">
        <v>472.99</v>
      </c>
      <c r="E671" s="1199">
        <f t="shared" si="10"/>
        <v>395.81</v>
      </c>
    </row>
    <row r="672" spans="1:5">
      <c r="A672" s="1003" t="s">
        <v>7536</v>
      </c>
      <c r="B672" s="1003" t="s">
        <v>2274</v>
      </c>
      <c r="C672" s="1199" t="s">
        <v>1240</v>
      </c>
      <c r="D672" s="1199">
        <v>1276.8499999999999</v>
      </c>
      <c r="E672" s="1199">
        <f t="shared" si="10"/>
        <v>1068.49</v>
      </c>
    </row>
    <row r="673" spans="1:5">
      <c r="A673" s="1003" t="s">
        <v>7537</v>
      </c>
      <c r="B673" s="1003" t="s">
        <v>2277</v>
      </c>
      <c r="C673" s="1199" t="s">
        <v>1240</v>
      </c>
      <c r="D673" s="1199">
        <v>397.31</v>
      </c>
      <c r="E673" s="1199">
        <f t="shared" si="10"/>
        <v>332.48</v>
      </c>
    </row>
    <row r="674" spans="1:5">
      <c r="A674" s="1003" t="s">
        <v>7538</v>
      </c>
      <c r="B674" s="1003" t="s">
        <v>2278</v>
      </c>
      <c r="C674" s="1199" t="s">
        <v>1240</v>
      </c>
      <c r="D674" s="1199">
        <v>889.58</v>
      </c>
      <c r="E674" s="1199">
        <f t="shared" si="10"/>
        <v>744.42</v>
      </c>
    </row>
    <row r="675" spans="1:5">
      <c r="A675" s="1003" t="s">
        <v>7539</v>
      </c>
      <c r="B675" s="1003" t="s">
        <v>2279</v>
      </c>
      <c r="C675" s="1199" t="s">
        <v>1240</v>
      </c>
      <c r="D675" s="1199">
        <v>862.74</v>
      </c>
      <c r="E675" s="1199">
        <f t="shared" si="10"/>
        <v>721.96</v>
      </c>
    </row>
    <row r="676" spans="1:5">
      <c r="A676" s="1003" t="s">
        <v>7540</v>
      </c>
      <c r="B676" s="1003" t="s">
        <v>7541</v>
      </c>
      <c r="C676" s="1199" t="s">
        <v>1240</v>
      </c>
      <c r="D676" s="1199">
        <v>255.24</v>
      </c>
      <c r="E676" s="1199">
        <f t="shared" si="10"/>
        <v>213.59</v>
      </c>
    </row>
    <row r="677" spans="1:5">
      <c r="A677" s="1003" t="s">
        <v>7542</v>
      </c>
      <c r="B677" s="1003" t="s">
        <v>2282</v>
      </c>
      <c r="C677" s="1199" t="s">
        <v>1240</v>
      </c>
      <c r="D677" s="1199">
        <v>420.28</v>
      </c>
      <c r="E677" s="1199">
        <f t="shared" si="10"/>
        <v>351.7</v>
      </c>
    </row>
    <row r="678" spans="1:5">
      <c r="A678" s="1003" t="s">
        <v>7543</v>
      </c>
      <c r="B678" s="1003" t="s">
        <v>2285</v>
      </c>
      <c r="C678" s="1199" t="s">
        <v>1214</v>
      </c>
      <c r="D678" s="1199">
        <v>42.27</v>
      </c>
      <c r="E678" s="1199">
        <f t="shared" si="10"/>
        <v>35.369999999999997</v>
      </c>
    </row>
    <row r="679" spans="1:5">
      <c r="A679" s="1003" t="s">
        <v>7544</v>
      </c>
      <c r="B679" s="1003" t="s">
        <v>2286</v>
      </c>
      <c r="C679" s="1199" t="s">
        <v>1615</v>
      </c>
      <c r="D679" s="1199">
        <v>37.26</v>
      </c>
      <c r="E679" s="1199">
        <f t="shared" si="10"/>
        <v>31.18</v>
      </c>
    </row>
    <row r="680" spans="1:5">
      <c r="A680" s="1003" t="s">
        <v>7545</v>
      </c>
      <c r="B680" s="1003" t="s">
        <v>2287</v>
      </c>
      <c r="C680" s="1199" t="s">
        <v>1615</v>
      </c>
      <c r="D680" s="1199">
        <v>114.33</v>
      </c>
      <c r="E680" s="1199">
        <f t="shared" si="10"/>
        <v>95.67</v>
      </c>
    </row>
    <row r="681" spans="1:5">
      <c r="A681" s="1003" t="s">
        <v>7546</v>
      </c>
      <c r="B681" s="1003" t="s">
        <v>2288</v>
      </c>
      <c r="C681" s="1199" t="s">
        <v>1615</v>
      </c>
      <c r="D681" s="1199">
        <v>48.09</v>
      </c>
      <c r="E681" s="1199">
        <f t="shared" si="10"/>
        <v>40.24</v>
      </c>
    </row>
    <row r="682" spans="1:5">
      <c r="A682" s="1003" t="s">
        <v>7547</v>
      </c>
      <c r="B682" s="1003" t="s">
        <v>2289</v>
      </c>
      <c r="C682" s="1199" t="s">
        <v>1240</v>
      </c>
      <c r="D682" s="1199">
        <v>9.3000000000000007</v>
      </c>
      <c r="E682" s="1199">
        <f t="shared" si="10"/>
        <v>7.78</v>
      </c>
    </row>
    <row r="683" spans="1:5">
      <c r="A683" s="1003" t="s">
        <v>7548</v>
      </c>
      <c r="B683" s="1003" t="s">
        <v>2290</v>
      </c>
      <c r="C683" s="1199" t="s">
        <v>1248</v>
      </c>
      <c r="D683" s="1199">
        <v>74.91</v>
      </c>
      <c r="E683" s="1199">
        <f t="shared" si="10"/>
        <v>62.69</v>
      </c>
    </row>
    <row r="684" spans="1:5">
      <c r="A684" s="1003" t="s">
        <v>7549</v>
      </c>
      <c r="B684" s="1003" t="s">
        <v>2291</v>
      </c>
      <c r="C684" s="1199" t="s">
        <v>1240</v>
      </c>
      <c r="D684" s="1199">
        <v>1151.5999999999999</v>
      </c>
      <c r="E684" s="1199">
        <f t="shared" si="10"/>
        <v>963.68</v>
      </c>
    </row>
    <row r="685" spans="1:5">
      <c r="A685" s="1003" t="s">
        <v>7550</v>
      </c>
      <c r="B685" s="1003" t="s">
        <v>2292</v>
      </c>
      <c r="C685" s="1199" t="s">
        <v>1240</v>
      </c>
      <c r="D685" s="1199">
        <v>373.88</v>
      </c>
      <c r="E685" s="1199">
        <f t="shared" si="10"/>
        <v>312.87</v>
      </c>
    </row>
    <row r="686" spans="1:5">
      <c r="A686" s="1003" t="s">
        <v>7551</v>
      </c>
      <c r="B686" s="1003" t="s">
        <v>2293</v>
      </c>
      <c r="C686" s="1199" t="s">
        <v>1240</v>
      </c>
      <c r="D686" s="1199">
        <v>837.65</v>
      </c>
      <c r="E686" s="1199">
        <f t="shared" si="10"/>
        <v>700.96</v>
      </c>
    </row>
    <row r="687" spans="1:5">
      <c r="A687" s="1003" t="s">
        <v>7552</v>
      </c>
      <c r="B687" s="1003" t="s">
        <v>2294</v>
      </c>
      <c r="C687" s="1199" t="s">
        <v>1240</v>
      </c>
      <c r="D687" s="1199">
        <v>1765.56</v>
      </c>
      <c r="E687" s="1199">
        <f t="shared" si="10"/>
        <v>1477.46</v>
      </c>
    </row>
    <row r="688" spans="1:5">
      <c r="A688" s="1003" t="s">
        <v>7553</v>
      </c>
      <c r="B688" s="1003" t="s">
        <v>2295</v>
      </c>
      <c r="C688" s="1199" t="s">
        <v>1214</v>
      </c>
      <c r="D688" s="1199">
        <v>48.69</v>
      </c>
      <c r="E688" s="1199">
        <f t="shared" si="10"/>
        <v>40.74</v>
      </c>
    </row>
    <row r="689" spans="1:5">
      <c r="A689" s="1003" t="s">
        <v>7554</v>
      </c>
      <c r="B689" s="1003" t="s">
        <v>2296</v>
      </c>
      <c r="C689" s="1199" t="s">
        <v>1615</v>
      </c>
      <c r="D689" s="1199">
        <v>27.07</v>
      </c>
      <c r="E689" s="1199">
        <f t="shared" si="10"/>
        <v>22.65</v>
      </c>
    </row>
    <row r="690" spans="1:5">
      <c r="A690" s="1003" t="s">
        <v>7555</v>
      </c>
      <c r="B690" s="1003" t="s">
        <v>7556</v>
      </c>
      <c r="C690" s="1199" t="s">
        <v>1652</v>
      </c>
      <c r="D690" s="1199">
        <v>637.01</v>
      </c>
      <c r="E690" s="1199">
        <f t="shared" si="10"/>
        <v>533.05999999999995</v>
      </c>
    </row>
    <row r="691" spans="1:5">
      <c r="A691" s="1003" t="s">
        <v>7557</v>
      </c>
      <c r="B691" s="1003" t="s">
        <v>2298</v>
      </c>
      <c r="C691" s="1199" t="s">
        <v>1240</v>
      </c>
      <c r="D691" s="1199">
        <v>206.37</v>
      </c>
      <c r="E691" s="1199">
        <f t="shared" si="10"/>
        <v>172.69</v>
      </c>
    </row>
    <row r="692" spans="1:5">
      <c r="A692" s="1003" t="s">
        <v>7558</v>
      </c>
      <c r="B692" s="1003" t="s">
        <v>2299</v>
      </c>
      <c r="C692" s="1199" t="s">
        <v>1240</v>
      </c>
      <c r="D692" s="1199">
        <v>219.56</v>
      </c>
      <c r="E692" s="1199">
        <f t="shared" si="10"/>
        <v>183.73</v>
      </c>
    </row>
    <row r="693" spans="1:5">
      <c r="A693" s="1003" t="s">
        <v>7559</v>
      </c>
      <c r="B693" s="1003" t="s">
        <v>2300</v>
      </c>
      <c r="C693" s="1199" t="s">
        <v>1240</v>
      </c>
      <c r="D693" s="1199">
        <v>232.74</v>
      </c>
      <c r="E693" s="1199">
        <f t="shared" si="10"/>
        <v>194.76</v>
      </c>
    </row>
    <row r="694" spans="1:5">
      <c r="A694" s="1003" t="s">
        <v>7560</v>
      </c>
      <c r="B694" s="1003" t="s">
        <v>2301</v>
      </c>
      <c r="C694" s="1199" t="s">
        <v>1240</v>
      </c>
      <c r="D694" s="1199">
        <v>253.94</v>
      </c>
      <c r="E694" s="1199">
        <f t="shared" si="10"/>
        <v>212.5</v>
      </c>
    </row>
    <row r="695" spans="1:5">
      <c r="A695" s="1003" t="s">
        <v>7561</v>
      </c>
      <c r="B695" s="1003" t="s">
        <v>2302</v>
      </c>
      <c r="C695" s="1199" t="s">
        <v>1240</v>
      </c>
      <c r="D695" s="1199">
        <v>147.21</v>
      </c>
      <c r="E695" s="1199">
        <f t="shared" si="10"/>
        <v>123.19</v>
      </c>
    </row>
    <row r="696" spans="1:5">
      <c r="A696" s="1003" t="s">
        <v>7562</v>
      </c>
      <c r="B696" s="1003" t="s">
        <v>2303</v>
      </c>
      <c r="C696" s="1199" t="s">
        <v>1240</v>
      </c>
      <c r="D696" s="1199">
        <v>160.4</v>
      </c>
      <c r="E696" s="1199">
        <f t="shared" si="10"/>
        <v>134.22999999999999</v>
      </c>
    </row>
    <row r="697" spans="1:5">
      <c r="A697" s="1003" t="s">
        <v>7563</v>
      </c>
      <c r="B697" s="1003" t="s">
        <v>2304</v>
      </c>
      <c r="C697" s="1199" t="s">
        <v>1240</v>
      </c>
      <c r="D697" s="1199">
        <v>173.58</v>
      </c>
      <c r="E697" s="1199">
        <f t="shared" si="10"/>
        <v>145.26</v>
      </c>
    </row>
    <row r="698" spans="1:5">
      <c r="A698" s="1003" t="s">
        <v>7564</v>
      </c>
      <c r="B698" s="1003" t="s">
        <v>2305</v>
      </c>
      <c r="C698" s="1199" t="s">
        <v>1240</v>
      </c>
      <c r="D698" s="1199">
        <v>189.59</v>
      </c>
      <c r="E698" s="1199">
        <f t="shared" si="10"/>
        <v>158.65</v>
      </c>
    </row>
    <row r="699" spans="1:5">
      <c r="A699" s="1003" t="s">
        <v>7565</v>
      </c>
      <c r="B699" s="1003" t="s">
        <v>2306</v>
      </c>
      <c r="C699" s="1199" t="s">
        <v>1240</v>
      </c>
      <c r="D699" s="1199">
        <v>115.5</v>
      </c>
      <c r="E699" s="1199">
        <f t="shared" si="10"/>
        <v>96.65</v>
      </c>
    </row>
    <row r="700" spans="1:5">
      <c r="A700" s="1003" t="s">
        <v>7566</v>
      </c>
      <c r="B700" s="1003" t="s">
        <v>2307</v>
      </c>
      <c r="C700" s="1199" t="s">
        <v>1240</v>
      </c>
      <c r="D700" s="1199">
        <v>37.07</v>
      </c>
      <c r="E700" s="1199">
        <f t="shared" si="10"/>
        <v>31.02</v>
      </c>
    </row>
    <row r="701" spans="1:5">
      <c r="A701" s="1003" t="s">
        <v>7567</v>
      </c>
      <c r="B701" s="1003" t="s">
        <v>2308</v>
      </c>
      <c r="C701" s="1199" t="s">
        <v>1240</v>
      </c>
      <c r="D701" s="1199">
        <v>25.16</v>
      </c>
      <c r="E701" s="1199">
        <f t="shared" si="10"/>
        <v>21.05</v>
      </c>
    </row>
    <row r="702" spans="1:5" ht="27.6">
      <c r="A702" s="1003" t="s">
        <v>7568</v>
      </c>
      <c r="B702" s="1003" t="s">
        <v>7569</v>
      </c>
      <c r="C702" s="1199" t="s">
        <v>1240</v>
      </c>
      <c r="D702" s="1199">
        <v>61.74</v>
      </c>
      <c r="E702" s="1199">
        <f t="shared" si="10"/>
        <v>51.67</v>
      </c>
    </row>
    <row r="703" spans="1:5">
      <c r="A703" s="1003" t="s">
        <v>7570</v>
      </c>
      <c r="B703" s="1003" t="s">
        <v>2310</v>
      </c>
      <c r="C703" s="1199" t="s">
        <v>1650</v>
      </c>
      <c r="D703" s="1199">
        <v>7013.5</v>
      </c>
      <c r="E703" s="1199">
        <f t="shared" si="10"/>
        <v>5869.04</v>
      </c>
    </row>
    <row r="704" spans="1:5">
      <c r="A704" s="1003" t="s">
        <v>7571</v>
      </c>
      <c r="B704" s="1003" t="s">
        <v>2311</v>
      </c>
      <c r="C704" s="1199" t="s">
        <v>1652</v>
      </c>
      <c r="D704" s="1199">
        <v>637.01</v>
      </c>
      <c r="E704" s="1199">
        <f t="shared" si="10"/>
        <v>533.05999999999995</v>
      </c>
    </row>
    <row r="705" spans="1:5">
      <c r="A705" s="1003" t="s">
        <v>300</v>
      </c>
      <c r="B705" s="1003" t="s">
        <v>6984</v>
      </c>
      <c r="C705" s="1199" t="s">
        <v>1248</v>
      </c>
      <c r="D705" s="1199">
        <v>31.41</v>
      </c>
      <c r="E705" s="1199">
        <f t="shared" si="10"/>
        <v>26.28</v>
      </c>
    </row>
    <row r="706" spans="1:5">
      <c r="A706" s="1003" t="s">
        <v>7572</v>
      </c>
      <c r="B706" s="1003" t="s">
        <v>6986</v>
      </c>
      <c r="C706" s="1199" t="s">
        <v>1248</v>
      </c>
      <c r="D706" s="1199">
        <v>31.41</v>
      </c>
      <c r="E706" s="1199">
        <f t="shared" si="10"/>
        <v>26.28</v>
      </c>
    </row>
    <row r="707" spans="1:5">
      <c r="A707" s="1003" t="s">
        <v>7573</v>
      </c>
      <c r="B707" s="1003" t="s">
        <v>2311</v>
      </c>
      <c r="C707" s="1199" t="s">
        <v>1652</v>
      </c>
      <c r="D707" s="1199">
        <v>637.01</v>
      </c>
      <c r="E707" s="1199">
        <f t="shared" si="10"/>
        <v>533.05999999999995</v>
      </c>
    </row>
    <row r="708" spans="1:5">
      <c r="A708" s="1003" t="s">
        <v>7574</v>
      </c>
      <c r="B708" s="1003" t="s">
        <v>2359</v>
      </c>
      <c r="C708" s="1199" t="s">
        <v>1240</v>
      </c>
      <c r="D708" s="1199">
        <v>96.96</v>
      </c>
      <c r="E708" s="1199">
        <f t="shared" ref="E708:E771" si="11">ROUND(D708/1.195,2)</f>
        <v>81.14</v>
      </c>
    </row>
    <row r="709" spans="1:5">
      <c r="A709" s="1003" t="s">
        <v>304</v>
      </c>
      <c r="B709" s="1003" t="s">
        <v>2360</v>
      </c>
      <c r="C709" s="1199" t="s">
        <v>1240</v>
      </c>
      <c r="D709" s="1199">
        <v>89.54</v>
      </c>
      <c r="E709" s="1199">
        <f t="shared" si="11"/>
        <v>74.930000000000007</v>
      </c>
    </row>
    <row r="710" spans="1:5">
      <c r="A710" s="1003" t="s">
        <v>7575</v>
      </c>
      <c r="B710" s="1003" t="s">
        <v>2361</v>
      </c>
      <c r="C710" s="1199" t="s">
        <v>1240</v>
      </c>
      <c r="D710" s="1199">
        <v>130.9</v>
      </c>
      <c r="E710" s="1199">
        <f t="shared" si="11"/>
        <v>109.54</v>
      </c>
    </row>
    <row r="711" spans="1:5">
      <c r="A711" s="1003" t="s">
        <v>7576</v>
      </c>
      <c r="B711" s="1003" t="s">
        <v>2362</v>
      </c>
      <c r="C711" s="1199" t="s">
        <v>1240</v>
      </c>
      <c r="D711" s="1199">
        <v>106.43</v>
      </c>
      <c r="E711" s="1199">
        <f t="shared" si="11"/>
        <v>89.06</v>
      </c>
    </row>
    <row r="712" spans="1:5">
      <c r="A712" s="1003" t="s">
        <v>7577</v>
      </c>
      <c r="B712" s="1003" t="s">
        <v>2388</v>
      </c>
      <c r="C712" s="1199" t="s">
        <v>1652</v>
      </c>
      <c r="D712" s="1199">
        <v>637.01</v>
      </c>
      <c r="E712" s="1199">
        <f t="shared" si="11"/>
        <v>533.05999999999995</v>
      </c>
    </row>
    <row r="713" spans="1:5">
      <c r="A713" s="1003" t="s">
        <v>7578</v>
      </c>
      <c r="B713" s="1003" t="s">
        <v>7579</v>
      </c>
      <c r="C713" s="1199" t="s">
        <v>1240</v>
      </c>
      <c r="D713" s="1199">
        <v>92.65</v>
      </c>
      <c r="E713" s="1199">
        <f t="shared" si="11"/>
        <v>77.53</v>
      </c>
    </row>
    <row r="714" spans="1:5">
      <c r="A714" s="1003" t="s">
        <v>7580</v>
      </c>
      <c r="B714" s="1003" t="s">
        <v>7581</v>
      </c>
      <c r="C714" s="1199" t="s">
        <v>1240</v>
      </c>
      <c r="D714" s="1199">
        <v>156.91999999999999</v>
      </c>
      <c r="E714" s="1199">
        <f t="shared" si="11"/>
        <v>131.31</v>
      </c>
    </row>
    <row r="715" spans="1:5">
      <c r="A715" s="1003" t="s">
        <v>7582</v>
      </c>
      <c r="B715" s="1003" t="s">
        <v>7583</v>
      </c>
      <c r="C715" s="1199" t="s">
        <v>1240</v>
      </c>
      <c r="D715" s="1199">
        <v>144.49</v>
      </c>
      <c r="E715" s="1199">
        <f t="shared" si="11"/>
        <v>120.91</v>
      </c>
    </row>
    <row r="716" spans="1:5">
      <c r="A716" s="1003" t="s">
        <v>7584</v>
      </c>
      <c r="B716" s="1003" t="s">
        <v>7585</v>
      </c>
      <c r="C716" s="1199" t="s">
        <v>1240</v>
      </c>
      <c r="D716" s="1199">
        <v>64.739999999999995</v>
      </c>
      <c r="E716" s="1199">
        <f t="shared" si="11"/>
        <v>54.18</v>
      </c>
    </row>
    <row r="717" spans="1:5">
      <c r="A717" s="1003" t="s">
        <v>7586</v>
      </c>
      <c r="B717" s="1003" t="s">
        <v>7587</v>
      </c>
      <c r="C717" s="1199" t="s">
        <v>1240</v>
      </c>
      <c r="D717" s="1199">
        <v>111.8</v>
      </c>
      <c r="E717" s="1199">
        <f t="shared" si="11"/>
        <v>93.56</v>
      </c>
    </row>
    <row r="718" spans="1:5">
      <c r="A718" s="1003" t="s">
        <v>7588</v>
      </c>
      <c r="B718" s="1003" t="s">
        <v>7589</v>
      </c>
      <c r="C718" s="1199" t="s">
        <v>1240</v>
      </c>
      <c r="D718" s="1199">
        <v>49.61</v>
      </c>
      <c r="E718" s="1199">
        <f t="shared" si="11"/>
        <v>41.51</v>
      </c>
    </row>
    <row r="719" spans="1:5">
      <c r="A719" s="1003" t="s">
        <v>7590</v>
      </c>
      <c r="B719" s="1003" t="s">
        <v>2385</v>
      </c>
      <c r="C719" s="1199" t="s">
        <v>1240</v>
      </c>
      <c r="D719" s="1199">
        <v>83.32</v>
      </c>
      <c r="E719" s="1199">
        <f t="shared" si="11"/>
        <v>69.72</v>
      </c>
    </row>
    <row r="720" spans="1:5">
      <c r="A720" s="1003" t="s">
        <v>7591</v>
      </c>
      <c r="B720" s="1003" t="s">
        <v>7592</v>
      </c>
      <c r="C720" s="1199" t="s">
        <v>1240</v>
      </c>
      <c r="D720" s="1199">
        <v>99.98</v>
      </c>
      <c r="E720" s="1199">
        <f t="shared" si="11"/>
        <v>83.67</v>
      </c>
    </row>
    <row r="721" spans="1:5">
      <c r="A721" s="1003" t="s">
        <v>7593</v>
      </c>
      <c r="B721" s="1003" t="s">
        <v>7594</v>
      </c>
      <c r="C721" s="1199" t="s">
        <v>1240</v>
      </c>
      <c r="D721" s="1199">
        <v>133.88</v>
      </c>
      <c r="E721" s="1199">
        <f t="shared" si="11"/>
        <v>112.03</v>
      </c>
    </row>
    <row r="722" spans="1:5">
      <c r="A722" s="1003" t="s">
        <v>7595</v>
      </c>
      <c r="B722" s="1003" t="s">
        <v>7596</v>
      </c>
      <c r="C722" s="1199" t="s">
        <v>1240</v>
      </c>
      <c r="D722" s="1199">
        <v>144.5</v>
      </c>
      <c r="E722" s="1199">
        <f t="shared" si="11"/>
        <v>120.92</v>
      </c>
    </row>
    <row r="723" spans="1:5">
      <c r="A723" s="1003" t="s">
        <v>7597</v>
      </c>
      <c r="B723" s="1003" t="s">
        <v>7598</v>
      </c>
      <c r="C723" s="1199" t="s">
        <v>1240</v>
      </c>
      <c r="D723" s="1199">
        <v>161.66</v>
      </c>
      <c r="E723" s="1199">
        <f t="shared" si="11"/>
        <v>135.28</v>
      </c>
    </row>
    <row r="724" spans="1:5">
      <c r="A724" s="1003" t="s">
        <v>7599</v>
      </c>
      <c r="B724" s="1003" t="s">
        <v>7600</v>
      </c>
      <c r="C724" s="1199" t="s">
        <v>1240</v>
      </c>
      <c r="D724" s="1199">
        <v>163.43</v>
      </c>
      <c r="E724" s="1199">
        <f t="shared" si="11"/>
        <v>136.76</v>
      </c>
    </row>
    <row r="725" spans="1:5">
      <c r="A725" s="1003" t="s">
        <v>7601</v>
      </c>
      <c r="B725" s="1003" t="s">
        <v>7602</v>
      </c>
      <c r="C725" s="1199" t="s">
        <v>1240</v>
      </c>
      <c r="D725" s="1199">
        <v>127.28</v>
      </c>
      <c r="E725" s="1199">
        <f t="shared" si="11"/>
        <v>106.51</v>
      </c>
    </row>
    <row r="726" spans="1:5" ht="27.6">
      <c r="A726" s="1003" t="s">
        <v>306</v>
      </c>
      <c r="B726" s="1003" t="s">
        <v>7603</v>
      </c>
      <c r="C726" s="1199" t="s">
        <v>1240</v>
      </c>
      <c r="D726" s="1199">
        <v>119.61</v>
      </c>
      <c r="E726" s="1199">
        <f t="shared" si="11"/>
        <v>100.09</v>
      </c>
    </row>
    <row r="727" spans="1:5" ht="27.6">
      <c r="A727" s="1003" t="s">
        <v>7604</v>
      </c>
      <c r="B727" s="1003" t="s">
        <v>7605</v>
      </c>
      <c r="C727" s="1199" t="s">
        <v>1240</v>
      </c>
      <c r="D727" s="1199">
        <v>145.69999999999999</v>
      </c>
      <c r="E727" s="1199">
        <f t="shared" si="11"/>
        <v>121.92</v>
      </c>
    </row>
    <row r="728" spans="1:5" ht="27.6">
      <c r="A728" s="1003" t="s">
        <v>7606</v>
      </c>
      <c r="B728" s="1003" t="s">
        <v>7607</v>
      </c>
      <c r="C728" s="1199" t="s">
        <v>1240</v>
      </c>
      <c r="D728" s="1199">
        <v>255.27</v>
      </c>
      <c r="E728" s="1199">
        <f t="shared" si="11"/>
        <v>213.62</v>
      </c>
    </row>
    <row r="729" spans="1:5" ht="27.6">
      <c r="A729" s="1003" t="s">
        <v>7608</v>
      </c>
      <c r="B729" s="1003" t="s">
        <v>7609</v>
      </c>
      <c r="C729" s="1199" t="s">
        <v>1240</v>
      </c>
      <c r="D729" s="1199">
        <v>392.52</v>
      </c>
      <c r="E729" s="1199">
        <f t="shared" si="11"/>
        <v>328.47</v>
      </c>
    </row>
    <row r="730" spans="1:5" ht="27.6">
      <c r="A730" s="1003" t="s">
        <v>7610</v>
      </c>
      <c r="B730" s="1003" t="s">
        <v>7611</v>
      </c>
      <c r="C730" s="1199" t="s">
        <v>1240</v>
      </c>
      <c r="D730" s="1199">
        <v>227.23</v>
      </c>
      <c r="E730" s="1199">
        <f t="shared" si="11"/>
        <v>190.15</v>
      </c>
    </row>
    <row r="731" spans="1:5" ht="27.6">
      <c r="A731" s="1003" t="s">
        <v>308</v>
      </c>
      <c r="B731" s="1003" t="s">
        <v>7612</v>
      </c>
      <c r="C731" s="1199" t="s">
        <v>1240</v>
      </c>
      <c r="D731" s="1199">
        <v>245.17</v>
      </c>
      <c r="E731" s="1199">
        <f t="shared" si="11"/>
        <v>205.16</v>
      </c>
    </row>
    <row r="732" spans="1:5">
      <c r="A732" s="1003" t="s">
        <v>7613</v>
      </c>
      <c r="B732" s="1003" t="s">
        <v>7614</v>
      </c>
      <c r="C732" s="1199" t="s">
        <v>1240</v>
      </c>
      <c r="D732" s="1199">
        <v>182.55</v>
      </c>
      <c r="E732" s="1199">
        <f t="shared" si="11"/>
        <v>152.76</v>
      </c>
    </row>
    <row r="733" spans="1:5">
      <c r="A733" s="1003" t="s">
        <v>7615</v>
      </c>
      <c r="B733" s="1003" t="s">
        <v>7616</v>
      </c>
      <c r="C733" s="1199" t="s">
        <v>1214</v>
      </c>
      <c r="D733" s="1199">
        <v>36.69</v>
      </c>
      <c r="E733" s="1199">
        <f t="shared" si="11"/>
        <v>30.7</v>
      </c>
    </row>
    <row r="734" spans="1:5">
      <c r="A734" s="1003" t="s">
        <v>7617</v>
      </c>
      <c r="B734" s="1003" t="s">
        <v>2418</v>
      </c>
      <c r="C734" s="1199" t="s">
        <v>1214</v>
      </c>
      <c r="D734" s="1199">
        <v>144.30000000000001</v>
      </c>
      <c r="E734" s="1199">
        <f t="shared" si="11"/>
        <v>120.75</v>
      </c>
    </row>
    <row r="735" spans="1:5">
      <c r="A735" s="1003" t="s">
        <v>7618</v>
      </c>
      <c r="B735" s="1003" t="s">
        <v>7619</v>
      </c>
      <c r="C735" s="1199" t="s">
        <v>1240</v>
      </c>
      <c r="D735" s="1199">
        <v>96.35</v>
      </c>
      <c r="E735" s="1199">
        <f t="shared" si="11"/>
        <v>80.63</v>
      </c>
    </row>
    <row r="736" spans="1:5">
      <c r="A736" s="1003" t="s">
        <v>313</v>
      </c>
      <c r="B736" s="1003" t="s">
        <v>7620</v>
      </c>
      <c r="C736" s="1199" t="s">
        <v>1214</v>
      </c>
      <c r="D736" s="1199">
        <v>166.26</v>
      </c>
      <c r="E736" s="1199">
        <f t="shared" si="11"/>
        <v>139.13</v>
      </c>
    </row>
    <row r="737" spans="1:5">
      <c r="A737" s="1003" t="s">
        <v>7621</v>
      </c>
      <c r="B737" s="1003" t="s">
        <v>2424</v>
      </c>
      <c r="C737" s="1199" t="s">
        <v>1214</v>
      </c>
      <c r="D737" s="1199">
        <v>73.2</v>
      </c>
      <c r="E737" s="1199">
        <f t="shared" si="11"/>
        <v>61.26</v>
      </c>
    </row>
    <row r="738" spans="1:5">
      <c r="A738" s="1003" t="s">
        <v>7622</v>
      </c>
      <c r="B738" s="1003" t="s">
        <v>2425</v>
      </c>
      <c r="C738" s="1199" t="s">
        <v>1214</v>
      </c>
      <c r="D738" s="1199">
        <v>169.52</v>
      </c>
      <c r="E738" s="1199">
        <f t="shared" si="11"/>
        <v>141.86000000000001</v>
      </c>
    </row>
    <row r="739" spans="1:5">
      <c r="A739" s="1003" t="s">
        <v>315</v>
      </c>
      <c r="B739" s="1003" t="s">
        <v>2426</v>
      </c>
      <c r="C739" s="1199" t="s">
        <v>1214</v>
      </c>
      <c r="D739" s="1199">
        <v>173.79</v>
      </c>
      <c r="E739" s="1199">
        <f t="shared" si="11"/>
        <v>145.43</v>
      </c>
    </row>
    <row r="740" spans="1:5">
      <c r="A740" s="1003" t="s">
        <v>7623</v>
      </c>
      <c r="B740" s="1003" t="s">
        <v>2428</v>
      </c>
      <c r="C740" s="1199" t="s">
        <v>1214</v>
      </c>
      <c r="D740" s="1199">
        <v>36.54</v>
      </c>
      <c r="E740" s="1199">
        <f t="shared" si="11"/>
        <v>30.58</v>
      </c>
    </row>
    <row r="741" spans="1:5">
      <c r="A741" s="1003" t="s">
        <v>7624</v>
      </c>
      <c r="B741" s="1003" t="s">
        <v>2445</v>
      </c>
      <c r="C741" s="1199" t="s">
        <v>1240</v>
      </c>
      <c r="D741" s="1199">
        <v>781.38</v>
      </c>
      <c r="E741" s="1199">
        <f t="shared" si="11"/>
        <v>653.87</v>
      </c>
    </row>
    <row r="742" spans="1:5">
      <c r="A742" s="1003" t="s">
        <v>7625</v>
      </c>
      <c r="B742" s="1003" t="s">
        <v>311</v>
      </c>
      <c r="C742" s="1199" t="s">
        <v>1652</v>
      </c>
      <c r="D742" s="1199">
        <v>637.01</v>
      </c>
      <c r="E742" s="1199">
        <f t="shared" si="11"/>
        <v>533.05999999999995</v>
      </c>
    </row>
    <row r="743" spans="1:5">
      <c r="A743" s="1003" t="s">
        <v>7626</v>
      </c>
      <c r="B743" s="1003" t="s">
        <v>2429</v>
      </c>
      <c r="C743" s="1199" t="s">
        <v>1214</v>
      </c>
      <c r="D743" s="1199">
        <v>58.95</v>
      </c>
      <c r="E743" s="1199">
        <f t="shared" si="11"/>
        <v>49.33</v>
      </c>
    </row>
    <row r="744" spans="1:5">
      <c r="A744" s="1003" t="s">
        <v>7627</v>
      </c>
      <c r="B744" s="1003" t="s">
        <v>2431</v>
      </c>
      <c r="C744" s="1199" t="s">
        <v>1214</v>
      </c>
      <c r="D744" s="1199">
        <v>64.95</v>
      </c>
      <c r="E744" s="1199">
        <f t="shared" si="11"/>
        <v>54.35</v>
      </c>
    </row>
    <row r="745" spans="1:5">
      <c r="A745" s="1003" t="s">
        <v>7628</v>
      </c>
      <c r="B745" s="1003" t="s">
        <v>2432</v>
      </c>
      <c r="C745" s="1199" t="s">
        <v>1214</v>
      </c>
      <c r="D745" s="1199">
        <v>76.38</v>
      </c>
      <c r="E745" s="1199">
        <f t="shared" si="11"/>
        <v>63.92</v>
      </c>
    </row>
    <row r="746" spans="1:5">
      <c r="A746" s="1003" t="s">
        <v>7629</v>
      </c>
      <c r="B746" s="1003" t="s">
        <v>2441</v>
      </c>
      <c r="C746" s="1199" t="s">
        <v>1214</v>
      </c>
      <c r="D746" s="1199">
        <v>96.1</v>
      </c>
      <c r="E746" s="1199">
        <f t="shared" si="11"/>
        <v>80.42</v>
      </c>
    </row>
    <row r="747" spans="1:5">
      <c r="A747" s="1003" t="s">
        <v>7630</v>
      </c>
      <c r="B747" s="1003" t="s">
        <v>2442</v>
      </c>
      <c r="C747" s="1199" t="s">
        <v>1214</v>
      </c>
      <c r="D747" s="1199">
        <v>97.25</v>
      </c>
      <c r="E747" s="1199">
        <f t="shared" si="11"/>
        <v>81.38</v>
      </c>
    </row>
    <row r="748" spans="1:5">
      <c r="A748" s="1003" t="s">
        <v>7631</v>
      </c>
      <c r="B748" s="1003" t="s">
        <v>2443</v>
      </c>
      <c r="C748" s="1199" t="s">
        <v>1214</v>
      </c>
      <c r="D748" s="1199">
        <v>76.86</v>
      </c>
      <c r="E748" s="1199">
        <f t="shared" si="11"/>
        <v>64.319999999999993</v>
      </c>
    </row>
    <row r="749" spans="1:5">
      <c r="A749" s="1003" t="s">
        <v>7632</v>
      </c>
      <c r="B749" s="1003" t="s">
        <v>2459</v>
      </c>
      <c r="C749" s="1199" t="s">
        <v>1214</v>
      </c>
      <c r="D749" s="1199">
        <v>84.55</v>
      </c>
      <c r="E749" s="1199">
        <f t="shared" si="11"/>
        <v>70.75</v>
      </c>
    </row>
    <row r="750" spans="1:5">
      <c r="A750" s="1003" t="s">
        <v>7633</v>
      </c>
      <c r="B750" s="1003" t="s">
        <v>2460</v>
      </c>
      <c r="C750" s="1199" t="s">
        <v>1214</v>
      </c>
      <c r="D750" s="1199">
        <v>101.25</v>
      </c>
      <c r="E750" s="1199">
        <f t="shared" si="11"/>
        <v>84.73</v>
      </c>
    </row>
    <row r="751" spans="1:5">
      <c r="A751" s="1003" t="s">
        <v>7634</v>
      </c>
      <c r="B751" s="1003" t="s">
        <v>2461</v>
      </c>
      <c r="C751" s="1199" t="s">
        <v>1214</v>
      </c>
      <c r="D751" s="1199">
        <v>77.819999999999993</v>
      </c>
      <c r="E751" s="1199">
        <f t="shared" si="11"/>
        <v>65.12</v>
      </c>
    </row>
    <row r="752" spans="1:5">
      <c r="A752" s="1003" t="s">
        <v>7635</v>
      </c>
      <c r="B752" s="1003" t="s">
        <v>2462</v>
      </c>
      <c r="C752" s="1199" t="s">
        <v>1214</v>
      </c>
      <c r="D752" s="1199">
        <v>85.61</v>
      </c>
      <c r="E752" s="1199">
        <f t="shared" si="11"/>
        <v>71.64</v>
      </c>
    </row>
    <row r="753" spans="1:5">
      <c r="A753" s="1003" t="s">
        <v>7636</v>
      </c>
      <c r="B753" s="1003" t="s">
        <v>2463</v>
      </c>
      <c r="C753" s="1199" t="s">
        <v>1214</v>
      </c>
      <c r="D753" s="1199">
        <v>113.22</v>
      </c>
      <c r="E753" s="1199">
        <f t="shared" si="11"/>
        <v>94.74</v>
      </c>
    </row>
    <row r="754" spans="1:5">
      <c r="A754" s="1003" t="s">
        <v>7637</v>
      </c>
      <c r="B754" s="1003" t="s">
        <v>2465</v>
      </c>
      <c r="C754" s="1199" t="s">
        <v>1214</v>
      </c>
      <c r="D754" s="1199">
        <v>144.65</v>
      </c>
      <c r="E754" s="1199">
        <f t="shared" si="11"/>
        <v>121.05</v>
      </c>
    </row>
    <row r="755" spans="1:5">
      <c r="A755" s="1003" t="s">
        <v>7638</v>
      </c>
      <c r="B755" s="1003" t="s">
        <v>2467</v>
      </c>
      <c r="C755" s="1199" t="s">
        <v>1214</v>
      </c>
      <c r="D755" s="1199">
        <v>76.989999999999995</v>
      </c>
      <c r="E755" s="1199">
        <f t="shared" si="11"/>
        <v>64.430000000000007</v>
      </c>
    </row>
    <row r="756" spans="1:5">
      <c r="A756" s="1003" t="s">
        <v>7639</v>
      </c>
      <c r="B756" s="1003" t="s">
        <v>2395</v>
      </c>
      <c r="C756" s="1199" t="s">
        <v>1214</v>
      </c>
      <c r="D756" s="1199">
        <v>125.05</v>
      </c>
      <c r="E756" s="1199">
        <f t="shared" si="11"/>
        <v>104.64</v>
      </c>
    </row>
    <row r="757" spans="1:5">
      <c r="A757" s="1003" t="s">
        <v>7640</v>
      </c>
      <c r="B757" s="1003" t="s">
        <v>2396</v>
      </c>
      <c r="C757" s="1199" t="s">
        <v>1214</v>
      </c>
      <c r="D757" s="1199">
        <v>71.73</v>
      </c>
      <c r="E757" s="1199">
        <f t="shared" si="11"/>
        <v>60.03</v>
      </c>
    </row>
    <row r="758" spans="1:5">
      <c r="A758" s="1003" t="s">
        <v>7641</v>
      </c>
      <c r="B758" s="1003" t="s">
        <v>2423</v>
      </c>
      <c r="C758" s="1199" t="s">
        <v>1214</v>
      </c>
      <c r="D758" s="1199">
        <v>69.510000000000005</v>
      </c>
      <c r="E758" s="1199">
        <f t="shared" si="11"/>
        <v>58.17</v>
      </c>
    </row>
    <row r="759" spans="1:5">
      <c r="A759" s="1003" t="s">
        <v>7642</v>
      </c>
      <c r="B759" s="1003" t="s">
        <v>2406</v>
      </c>
      <c r="C759" s="1199" t="s">
        <v>1214</v>
      </c>
      <c r="D759" s="1199">
        <v>69.97</v>
      </c>
      <c r="E759" s="1199">
        <f t="shared" si="11"/>
        <v>58.55</v>
      </c>
    </row>
    <row r="760" spans="1:5">
      <c r="A760" s="1003" t="s">
        <v>7643</v>
      </c>
      <c r="B760" s="1003" t="s">
        <v>2468</v>
      </c>
      <c r="C760" s="1199" t="s">
        <v>1214</v>
      </c>
      <c r="D760" s="1199">
        <v>92.38</v>
      </c>
      <c r="E760" s="1199">
        <f t="shared" si="11"/>
        <v>77.31</v>
      </c>
    </row>
    <row r="761" spans="1:5">
      <c r="A761" s="1003" t="s">
        <v>7644</v>
      </c>
      <c r="B761" s="1003" t="s">
        <v>2469</v>
      </c>
      <c r="C761" s="1199" t="s">
        <v>1214</v>
      </c>
      <c r="D761" s="1199">
        <v>145.68</v>
      </c>
      <c r="E761" s="1199">
        <f t="shared" si="11"/>
        <v>121.91</v>
      </c>
    </row>
    <row r="762" spans="1:5" ht="27.6">
      <c r="A762" s="1003" t="s">
        <v>320</v>
      </c>
      <c r="B762" s="1003" t="s">
        <v>7645</v>
      </c>
      <c r="C762" s="1199" t="s">
        <v>1240</v>
      </c>
      <c r="D762" s="1199">
        <v>162.99</v>
      </c>
      <c r="E762" s="1199">
        <f t="shared" si="11"/>
        <v>136.38999999999999</v>
      </c>
    </row>
    <row r="763" spans="1:5" ht="27.6">
      <c r="A763" s="1003" t="s">
        <v>322</v>
      </c>
      <c r="B763" s="1003" t="s">
        <v>7646</v>
      </c>
      <c r="C763" s="1199" t="s">
        <v>1240</v>
      </c>
      <c r="D763" s="1199">
        <v>151.87</v>
      </c>
      <c r="E763" s="1199">
        <f t="shared" si="11"/>
        <v>127.09</v>
      </c>
    </row>
    <row r="764" spans="1:5">
      <c r="A764" s="1003" t="s">
        <v>7647</v>
      </c>
      <c r="B764" s="1003" t="s">
        <v>2485</v>
      </c>
      <c r="C764" s="1199" t="s">
        <v>1240</v>
      </c>
      <c r="D764" s="1199">
        <v>182.69</v>
      </c>
      <c r="E764" s="1199">
        <f t="shared" si="11"/>
        <v>152.88</v>
      </c>
    </row>
    <row r="765" spans="1:5" ht="27.6">
      <c r="A765" s="1003" t="s">
        <v>7648</v>
      </c>
      <c r="B765" s="1003" t="s">
        <v>7649</v>
      </c>
      <c r="C765" s="1199" t="s">
        <v>1240</v>
      </c>
      <c r="D765" s="1199">
        <v>135.54</v>
      </c>
      <c r="E765" s="1199">
        <f t="shared" si="11"/>
        <v>113.42</v>
      </c>
    </row>
    <row r="766" spans="1:5" ht="27.6">
      <c r="A766" s="1003" t="s">
        <v>7650</v>
      </c>
      <c r="B766" s="1003" t="s">
        <v>7651</v>
      </c>
      <c r="C766" s="1199" t="s">
        <v>1240</v>
      </c>
      <c r="D766" s="1199">
        <v>245.57</v>
      </c>
      <c r="E766" s="1199">
        <f t="shared" si="11"/>
        <v>205.5</v>
      </c>
    </row>
    <row r="767" spans="1:5">
      <c r="A767" s="1003" t="s">
        <v>7652</v>
      </c>
      <c r="B767" s="1003" t="s">
        <v>2495</v>
      </c>
      <c r="C767" s="1199" t="s">
        <v>1240</v>
      </c>
      <c r="D767" s="1199">
        <v>17.54</v>
      </c>
      <c r="E767" s="1199">
        <f t="shared" si="11"/>
        <v>14.68</v>
      </c>
    </row>
    <row r="768" spans="1:5">
      <c r="A768" s="1003" t="s">
        <v>7653</v>
      </c>
      <c r="B768" s="1003" t="s">
        <v>2496</v>
      </c>
      <c r="C768" s="1199" t="s">
        <v>1652</v>
      </c>
      <c r="D768" s="1199">
        <v>637.01</v>
      </c>
      <c r="E768" s="1199">
        <f t="shared" si="11"/>
        <v>533.05999999999995</v>
      </c>
    </row>
    <row r="769" spans="1:5">
      <c r="A769" s="1003" t="s">
        <v>7654</v>
      </c>
      <c r="B769" s="1003" t="s">
        <v>2498</v>
      </c>
      <c r="C769" s="1199" t="s">
        <v>1240</v>
      </c>
      <c r="D769" s="1199">
        <v>5.51</v>
      </c>
      <c r="E769" s="1199">
        <f t="shared" si="11"/>
        <v>4.6100000000000003</v>
      </c>
    </row>
    <row r="770" spans="1:5">
      <c r="A770" s="1003" t="s">
        <v>7655</v>
      </c>
      <c r="B770" s="1003" t="s">
        <v>7656</v>
      </c>
      <c r="C770" s="1199" t="s">
        <v>1240</v>
      </c>
      <c r="D770" s="1199">
        <v>24.46</v>
      </c>
      <c r="E770" s="1199">
        <f t="shared" si="11"/>
        <v>20.47</v>
      </c>
    </row>
    <row r="771" spans="1:5">
      <c r="A771" s="1003" t="s">
        <v>7657</v>
      </c>
      <c r="B771" s="1003" t="s">
        <v>7658</v>
      </c>
      <c r="C771" s="1199" t="s">
        <v>1240</v>
      </c>
      <c r="D771" s="1199">
        <v>34.65</v>
      </c>
      <c r="E771" s="1199">
        <f t="shared" si="11"/>
        <v>29</v>
      </c>
    </row>
    <row r="772" spans="1:5">
      <c r="A772" s="1003" t="s">
        <v>7659</v>
      </c>
      <c r="B772" s="1003" t="s">
        <v>7660</v>
      </c>
      <c r="C772" s="1199" t="s">
        <v>1240</v>
      </c>
      <c r="D772" s="1199">
        <v>16.3</v>
      </c>
      <c r="E772" s="1199">
        <f t="shared" ref="E772:E835" si="12">ROUND(D772/1.195,2)</f>
        <v>13.64</v>
      </c>
    </row>
    <row r="773" spans="1:5">
      <c r="A773" s="1003" t="s">
        <v>7661</v>
      </c>
      <c r="B773" s="1003" t="s">
        <v>7662</v>
      </c>
      <c r="C773" s="1199" t="s">
        <v>1240</v>
      </c>
      <c r="D773" s="1199">
        <v>26.5</v>
      </c>
      <c r="E773" s="1199">
        <f t="shared" si="12"/>
        <v>22.18</v>
      </c>
    </row>
    <row r="774" spans="1:5">
      <c r="A774" s="1003" t="s">
        <v>7663</v>
      </c>
      <c r="B774" s="1003" t="s">
        <v>7664</v>
      </c>
      <c r="C774" s="1199" t="s">
        <v>1214</v>
      </c>
      <c r="D774" s="1199">
        <v>4.07</v>
      </c>
      <c r="E774" s="1199">
        <f t="shared" si="12"/>
        <v>3.41</v>
      </c>
    </row>
    <row r="775" spans="1:5">
      <c r="A775" s="1003" t="s">
        <v>7665</v>
      </c>
      <c r="B775" s="1003" t="s">
        <v>7666</v>
      </c>
      <c r="C775" s="1199" t="s">
        <v>1214</v>
      </c>
      <c r="D775" s="1199">
        <v>2.44</v>
      </c>
      <c r="E775" s="1199">
        <f t="shared" si="12"/>
        <v>2.04</v>
      </c>
    </row>
    <row r="776" spans="1:5">
      <c r="A776" s="1003" t="s">
        <v>7667</v>
      </c>
      <c r="B776" s="1003" t="s">
        <v>7668</v>
      </c>
      <c r="C776" s="1199" t="s">
        <v>1214</v>
      </c>
      <c r="D776" s="1199">
        <v>0.4</v>
      </c>
      <c r="E776" s="1199">
        <f t="shared" si="12"/>
        <v>0.33</v>
      </c>
    </row>
    <row r="777" spans="1:5">
      <c r="A777" s="1003" t="s">
        <v>7669</v>
      </c>
      <c r="B777" s="1003" t="s">
        <v>7670</v>
      </c>
      <c r="C777" s="1199" t="s">
        <v>1615</v>
      </c>
      <c r="D777" s="1199">
        <v>6.11</v>
      </c>
      <c r="E777" s="1199">
        <f t="shared" si="12"/>
        <v>5.1100000000000003</v>
      </c>
    </row>
    <row r="778" spans="1:5">
      <c r="A778" s="1003" t="s">
        <v>7671</v>
      </c>
      <c r="B778" s="1003" t="s">
        <v>7672</v>
      </c>
      <c r="C778" s="1199" t="s">
        <v>1240</v>
      </c>
      <c r="D778" s="1199">
        <v>5.98</v>
      </c>
      <c r="E778" s="1199">
        <f t="shared" si="12"/>
        <v>5</v>
      </c>
    </row>
    <row r="779" spans="1:5">
      <c r="A779" s="1003" t="s">
        <v>7673</v>
      </c>
      <c r="B779" s="1003" t="s">
        <v>7674</v>
      </c>
      <c r="C779" s="1199" t="s">
        <v>1240</v>
      </c>
      <c r="D779" s="1199">
        <v>4.12</v>
      </c>
      <c r="E779" s="1199">
        <f t="shared" si="12"/>
        <v>3.45</v>
      </c>
    </row>
    <row r="780" spans="1:5">
      <c r="A780" s="1003" t="s">
        <v>7675</v>
      </c>
      <c r="B780" s="1003" t="s">
        <v>7676</v>
      </c>
      <c r="C780" s="1199" t="s">
        <v>1214</v>
      </c>
      <c r="D780" s="1199">
        <v>5.51</v>
      </c>
      <c r="E780" s="1199">
        <f t="shared" si="12"/>
        <v>4.6100000000000003</v>
      </c>
    </row>
    <row r="781" spans="1:5">
      <c r="A781" s="1003" t="s">
        <v>7677</v>
      </c>
      <c r="B781" s="1003" t="s">
        <v>7678</v>
      </c>
      <c r="C781" s="1199" t="s">
        <v>1214</v>
      </c>
      <c r="D781" s="1199">
        <v>1.37</v>
      </c>
      <c r="E781" s="1199">
        <f t="shared" si="12"/>
        <v>1.1499999999999999</v>
      </c>
    </row>
    <row r="782" spans="1:5">
      <c r="A782" s="1003" t="s">
        <v>7679</v>
      </c>
      <c r="B782" s="1003" t="s">
        <v>7680</v>
      </c>
      <c r="C782" s="1199" t="s">
        <v>1240</v>
      </c>
      <c r="D782" s="1199">
        <v>7.42</v>
      </c>
      <c r="E782" s="1199">
        <f t="shared" si="12"/>
        <v>6.21</v>
      </c>
    </row>
    <row r="783" spans="1:5">
      <c r="A783" s="1003" t="s">
        <v>7681</v>
      </c>
      <c r="B783" s="1003" t="s">
        <v>7682</v>
      </c>
      <c r="C783" s="1199" t="s">
        <v>1240</v>
      </c>
      <c r="D783" s="1199">
        <v>5.15</v>
      </c>
      <c r="E783" s="1199">
        <f t="shared" si="12"/>
        <v>4.3099999999999996</v>
      </c>
    </row>
    <row r="784" spans="1:5">
      <c r="A784" s="1003" t="s">
        <v>7683</v>
      </c>
      <c r="B784" s="1003" t="s">
        <v>7684</v>
      </c>
      <c r="C784" s="1199" t="s">
        <v>1214</v>
      </c>
      <c r="D784" s="1199">
        <v>9.19</v>
      </c>
      <c r="E784" s="1199">
        <f t="shared" si="12"/>
        <v>7.69</v>
      </c>
    </row>
    <row r="785" spans="1:5">
      <c r="A785" s="1003" t="s">
        <v>7685</v>
      </c>
      <c r="B785" s="1003" t="s">
        <v>7686</v>
      </c>
      <c r="C785" s="1199" t="s">
        <v>1214</v>
      </c>
      <c r="D785" s="1199">
        <v>2.29</v>
      </c>
      <c r="E785" s="1199">
        <f t="shared" si="12"/>
        <v>1.92</v>
      </c>
    </row>
    <row r="786" spans="1:5">
      <c r="A786" s="1003" t="s">
        <v>7687</v>
      </c>
      <c r="B786" s="1003" t="s">
        <v>1691</v>
      </c>
      <c r="C786" s="1199" t="s">
        <v>1652</v>
      </c>
      <c r="D786" s="1199">
        <v>637.01</v>
      </c>
      <c r="E786" s="1199">
        <f t="shared" si="12"/>
        <v>533.05999999999995</v>
      </c>
    </row>
    <row r="787" spans="1:5">
      <c r="A787" s="1003" t="s">
        <v>7688</v>
      </c>
      <c r="B787" s="1003" t="s">
        <v>7689</v>
      </c>
      <c r="C787" s="1199" t="s">
        <v>1214</v>
      </c>
      <c r="D787" s="1199">
        <v>0.83</v>
      </c>
      <c r="E787" s="1199">
        <f t="shared" si="12"/>
        <v>0.69</v>
      </c>
    </row>
    <row r="788" spans="1:5">
      <c r="A788" s="1003" t="s">
        <v>7690</v>
      </c>
      <c r="B788" s="1003" t="s">
        <v>7691</v>
      </c>
      <c r="C788" s="1199" t="s">
        <v>1214</v>
      </c>
      <c r="D788" s="1199">
        <v>5.86</v>
      </c>
      <c r="E788" s="1199">
        <f t="shared" si="12"/>
        <v>4.9000000000000004</v>
      </c>
    </row>
    <row r="789" spans="1:5">
      <c r="A789" s="1003" t="s">
        <v>7692</v>
      </c>
      <c r="B789" s="1003" t="s">
        <v>7693</v>
      </c>
      <c r="C789" s="1199" t="s">
        <v>1214</v>
      </c>
      <c r="D789" s="1199">
        <v>15.48</v>
      </c>
      <c r="E789" s="1199">
        <f t="shared" si="12"/>
        <v>12.95</v>
      </c>
    </row>
    <row r="790" spans="1:5">
      <c r="A790" s="1003" t="s">
        <v>7694</v>
      </c>
      <c r="B790" s="1003" t="s">
        <v>7695</v>
      </c>
      <c r="C790" s="1199" t="s">
        <v>1615</v>
      </c>
      <c r="D790" s="1199">
        <v>14.26</v>
      </c>
      <c r="E790" s="1199">
        <f t="shared" si="12"/>
        <v>11.93</v>
      </c>
    </row>
    <row r="791" spans="1:5">
      <c r="A791" s="1003" t="s">
        <v>7696</v>
      </c>
      <c r="B791" s="1003" t="s">
        <v>7697</v>
      </c>
      <c r="C791" s="1199" t="s">
        <v>1240</v>
      </c>
      <c r="D791" s="1199">
        <v>25.9</v>
      </c>
      <c r="E791" s="1199">
        <f t="shared" si="12"/>
        <v>21.67</v>
      </c>
    </row>
    <row r="792" spans="1:5">
      <c r="A792" s="1003" t="s">
        <v>7698</v>
      </c>
      <c r="B792" s="1003" t="s">
        <v>7699</v>
      </c>
      <c r="C792" s="1199" t="s">
        <v>1240</v>
      </c>
      <c r="D792" s="1199">
        <v>22.7</v>
      </c>
      <c r="E792" s="1199">
        <f t="shared" si="12"/>
        <v>19</v>
      </c>
    </row>
    <row r="793" spans="1:5">
      <c r="A793" s="1003" t="s">
        <v>7700</v>
      </c>
      <c r="B793" s="1003" t="s">
        <v>7701</v>
      </c>
      <c r="C793" s="1199" t="s">
        <v>1240</v>
      </c>
      <c r="D793" s="1199">
        <v>16.3</v>
      </c>
      <c r="E793" s="1199">
        <f t="shared" si="12"/>
        <v>13.64</v>
      </c>
    </row>
    <row r="794" spans="1:5">
      <c r="A794" s="1003" t="s">
        <v>7702</v>
      </c>
      <c r="B794" s="1003" t="s">
        <v>7703</v>
      </c>
      <c r="C794" s="1199" t="s">
        <v>1214</v>
      </c>
      <c r="D794" s="1199">
        <v>19.239999999999998</v>
      </c>
      <c r="E794" s="1199">
        <f t="shared" si="12"/>
        <v>16.100000000000001</v>
      </c>
    </row>
    <row r="795" spans="1:5">
      <c r="A795" s="1003" t="s">
        <v>7704</v>
      </c>
      <c r="B795" s="1003" t="s">
        <v>7705</v>
      </c>
      <c r="C795" s="1199" t="s">
        <v>1214</v>
      </c>
      <c r="D795" s="1199">
        <v>8.15</v>
      </c>
      <c r="E795" s="1199">
        <f t="shared" si="12"/>
        <v>6.82</v>
      </c>
    </row>
    <row r="796" spans="1:5">
      <c r="A796" s="1003" t="s">
        <v>7706</v>
      </c>
      <c r="B796" s="1003" t="s">
        <v>2523</v>
      </c>
      <c r="C796" s="1199" t="s">
        <v>1652</v>
      </c>
      <c r="D796" s="1199">
        <v>637.01</v>
      </c>
      <c r="E796" s="1199">
        <f t="shared" si="12"/>
        <v>533.05999999999995</v>
      </c>
    </row>
    <row r="797" spans="1:5">
      <c r="A797" s="1003" t="s">
        <v>7707</v>
      </c>
      <c r="B797" s="1003" t="s">
        <v>7708</v>
      </c>
      <c r="C797" s="1199" t="s">
        <v>1214</v>
      </c>
      <c r="D797" s="1199">
        <v>8.4700000000000006</v>
      </c>
      <c r="E797" s="1199">
        <f t="shared" si="12"/>
        <v>7.09</v>
      </c>
    </row>
    <row r="798" spans="1:5">
      <c r="A798" s="1003" t="s">
        <v>7709</v>
      </c>
      <c r="B798" s="1003" t="s">
        <v>7710</v>
      </c>
      <c r="C798" s="1199" t="s">
        <v>1214</v>
      </c>
      <c r="D798" s="1199">
        <v>17.190000000000001</v>
      </c>
      <c r="E798" s="1199">
        <f t="shared" si="12"/>
        <v>14.38</v>
      </c>
    </row>
    <row r="799" spans="1:5">
      <c r="A799" s="1003" t="s">
        <v>7711</v>
      </c>
      <c r="B799" s="1003" t="s">
        <v>7712</v>
      </c>
      <c r="C799" s="1199" t="s">
        <v>1214</v>
      </c>
      <c r="D799" s="1199">
        <v>26.83</v>
      </c>
      <c r="E799" s="1199">
        <f t="shared" si="12"/>
        <v>22.45</v>
      </c>
    </row>
    <row r="800" spans="1:5">
      <c r="A800" s="1003" t="s">
        <v>7713</v>
      </c>
      <c r="B800" s="1003" t="s">
        <v>7714</v>
      </c>
      <c r="C800" s="1199" t="s">
        <v>1214</v>
      </c>
      <c r="D800" s="1199">
        <v>49.8</v>
      </c>
      <c r="E800" s="1199">
        <f t="shared" si="12"/>
        <v>41.67</v>
      </c>
    </row>
    <row r="801" spans="1:5">
      <c r="A801" s="1003" t="s">
        <v>7715</v>
      </c>
      <c r="B801" s="1003" t="s">
        <v>7716</v>
      </c>
      <c r="C801" s="1199" t="s">
        <v>1214</v>
      </c>
      <c r="D801" s="1199">
        <v>67.760000000000005</v>
      </c>
      <c r="E801" s="1199">
        <f t="shared" si="12"/>
        <v>56.7</v>
      </c>
    </row>
    <row r="802" spans="1:5">
      <c r="A802" s="1003" t="s">
        <v>7717</v>
      </c>
      <c r="B802" s="1003" t="s">
        <v>7718</v>
      </c>
      <c r="C802" s="1199" t="s">
        <v>2532</v>
      </c>
      <c r="D802" s="1199">
        <v>10.19</v>
      </c>
      <c r="E802" s="1199">
        <f t="shared" si="12"/>
        <v>8.5299999999999994</v>
      </c>
    </row>
    <row r="803" spans="1:5">
      <c r="A803" s="1003" t="s">
        <v>7719</v>
      </c>
      <c r="B803" s="1003" t="s">
        <v>7720</v>
      </c>
      <c r="C803" s="1199" t="s">
        <v>1650</v>
      </c>
      <c r="D803" s="1199">
        <v>7013.5</v>
      </c>
      <c r="E803" s="1199">
        <f t="shared" si="12"/>
        <v>5869.04</v>
      </c>
    </row>
    <row r="804" spans="1:5">
      <c r="A804" s="1003" t="s">
        <v>7721</v>
      </c>
      <c r="B804" s="1003" t="s">
        <v>7722</v>
      </c>
      <c r="C804" s="1199" t="s">
        <v>1615</v>
      </c>
      <c r="D804" s="1199">
        <v>5.34</v>
      </c>
      <c r="E804" s="1199">
        <f t="shared" si="12"/>
        <v>4.47</v>
      </c>
    </row>
    <row r="805" spans="1:5">
      <c r="A805" s="1003" t="s">
        <v>7723</v>
      </c>
      <c r="B805" s="1003" t="s">
        <v>7724</v>
      </c>
      <c r="C805" s="1199" t="s">
        <v>1615</v>
      </c>
      <c r="D805" s="1199">
        <v>6.03</v>
      </c>
      <c r="E805" s="1199">
        <f t="shared" si="12"/>
        <v>5.05</v>
      </c>
    </row>
    <row r="806" spans="1:5">
      <c r="A806" s="1003" t="s">
        <v>7725</v>
      </c>
      <c r="B806" s="1003" t="s">
        <v>7726</v>
      </c>
      <c r="C806" s="1199" t="s">
        <v>1615</v>
      </c>
      <c r="D806" s="1199">
        <v>308.95</v>
      </c>
      <c r="E806" s="1199">
        <f t="shared" si="12"/>
        <v>258.54000000000002</v>
      </c>
    </row>
    <row r="807" spans="1:5">
      <c r="A807" s="1003" t="s">
        <v>7727</v>
      </c>
      <c r="B807" s="1003" t="s">
        <v>7728</v>
      </c>
      <c r="C807" s="1199" t="s">
        <v>1615</v>
      </c>
      <c r="D807" s="1199">
        <v>84.86</v>
      </c>
      <c r="E807" s="1199">
        <f t="shared" si="12"/>
        <v>71.010000000000005</v>
      </c>
    </row>
    <row r="808" spans="1:5">
      <c r="A808" s="1003" t="s">
        <v>7729</v>
      </c>
      <c r="B808" s="1003" t="s">
        <v>7730</v>
      </c>
      <c r="C808" s="1199" t="s">
        <v>1615</v>
      </c>
      <c r="D808" s="1199">
        <v>171.9</v>
      </c>
      <c r="E808" s="1199">
        <f t="shared" si="12"/>
        <v>143.85</v>
      </c>
    </row>
    <row r="809" spans="1:5">
      <c r="A809" s="1003" t="s">
        <v>7731</v>
      </c>
      <c r="B809" s="1003" t="s">
        <v>7732</v>
      </c>
      <c r="C809" s="1199" t="s">
        <v>1240</v>
      </c>
      <c r="D809" s="1199">
        <v>79.06</v>
      </c>
      <c r="E809" s="1199">
        <f t="shared" si="12"/>
        <v>66.16</v>
      </c>
    </row>
    <row r="810" spans="1:5">
      <c r="A810" s="1003" t="s">
        <v>7733</v>
      </c>
      <c r="B810" s="1003" t="s">
        <v>7734</v>
      </c>
      <c r="C810" s="1199" t="s">
        <v>1240</v>
      </c>
      <c r="D810" s="1199">
        <v>68.900000000000006</v>
      </c>
      <c r="E810" s="1199">
        <f t="shared" si="12"/>
        <v>57.66</v>
      </c>
    </row>
    <row r="811" spans="1:5" ht="27.6">
      <c r="A811" s="1003" t="s">
        <v>7735</v>
      </c>
      <c r="B811" s="1003" t="s">
        <v>7736</v>
      </c>
      <c r="C811" s="1199" t="s">
        <v>1240</v>
      </c>
      <c r="D811" s="1199">
        <v>146.13</v>
      </c>
      <c r="E811" s="1199">
        <f t="shared" si="12"/>
        <v>122.28</v>
      </c>
    </row>
    <row r="812" spans="1:5" ht="27.6">
      <c r="A812" s="1003" t="s">
        <v>7737</v>
      </c>
      <c r="B812" s="1003" t="s">
        <v>7738</v>
      </c>
      <c r="C812" s="1199" t="s">
        <v>1240</v>
      </c>
      <c r="D812" s="1199">
        <v>324.69</v>
      </c>
      <c r="E812" s="1199">
        <f t="shared" si="12"/>
        <v>271.70999999999998</v>
      </c>
    </row>
    <row r="813" spans="1:5" ht="27.6">
      <c r="A813" s="1003" t="s">
        <v>7739</v>
      </c>
      <c r="B813" s="1003" t="s">
        <v>7740</v>
      </c>
      <c r="C813" s="1199" t="s">
        <v>1240</v>
      </c>
      <c r="D813" s="1199">
        <v>343.18</v>
      </c>
      <c r="E813" s="1199">
        <f t="shared" si="12"/>
        <v>287.18</v>
      </c>
    </row>
    <row r="814" spans="1:5">
      <c r="A814" s="1003" t="s">
        <v>7741</v>
      </c>
      <c r="B814" s="1003" t="s">
        <v>7742</v>
      </c>
      <c r="C814" s="1199" t="s">
        <v>1240</v>
      </c>
      <c r="D814" s="1199">
        <v>92.65</v>
      </c>
      <c r="E814" s="1199">
        <f t="shared" si="12"/>
        <v>77.53</v>
      </c>
    </row>
    <row r="815" spans="1:5">
      <c r="A815" s="1003" t="s">
        <v>7743</v>
      </c>
      <c r="B815" s="1003" t="s">
        <v>7744</v>
      </c>
      <c r="C815" s="1199" t="s">
        <v>1214</v>
      </c>
      <c r="D815" s="1199">
        <v>36.69</v>
      </c>
      <c r="E815" s="1199">
        <f t="shared" si="12"/>
        <v>30.7</v>
      </c>
    </row>
    <row r="816" spans="1:5">
      <c r="A816" s="1003" t="s">
        <v>7745</v>
      </c>
      <c r="B816" s="1003" t="s">
        <v>7746</v>
      </c>
      <c r="C816" s="1199" t="s">
        <v>1240</v>
      </c>
      <c r="D816" s="1199">
        <v>129.41</v>
      </c>
      <c r="E816" s="1199">
        <f t="shared" si="12"/>
        <v>108.29</v>
      </c>
    </row>
    <row r="817" spans="1:5">
      <c r="A817" s="1003" t="s">
        <v>7747</v>
      </c>
      <c r="B817" s="1003" t="s">
        <v>7748</v>
      </c>
      <c r="C817" s="1199" t="s">
        <v>1240</v>
      </c>
      <c r="D817" s="1199">
        <v>7.35</v>
      </c>
      <c r="E817" s="1199">
        <f t="shared" si="12"/>
        <v>6.15</v>
      </c>
    </row>
    <row r="818" spans="1:5">
      <c r="A818" s="1003" t="s">
        <v>7749</v>
      </c>
      <c r="B818" s="1003" t="s">
        <v>7750</v>
      </c>
      <c r="C818" s="1199" t="s">
        <v>1240</v>
      </c>
      <c r="D818" s="1199">
        <v>209</v>
      </c>
      <c r="E818" s="1199">
        <f t="shared" si="12"/>
        <v>174.9</v>
      </c>
    </row>
    <row r="819" spans="1:5">
      <c r="A819" s="1003" t="s">
        <v>7751</v>
      </c>
      <c r="B819" s="1003" t="s">
        <v>2334</v>
      </c>
      <c r="C819" s="1199" t="s">
        <v>1240</v>
      </c>
      <c r="D819" s="1199">
        <v>185.51</v>
      </c>
      <c r="E819" s="1199">
        <f t="shared" si="12"/>
        <v>155.24</v>
      </c>
    </row>
    <row r="820" spans="1:5">
      <c r="A820" s="1003" t="s">
        <v>7752</v>
      </c>
      <c r="B820" s="1003" t="s">
        <v>7594</v>
      </c>
      <c r="C820" s="1199" t="s">
        <v>1240</v>
      </c>
      <c r="D820" s="1199">
        <v>133.88</v>
      </c>
      <c r="E820" s="1199">
        <f t="shared" si="12"/>
        <v>112.03</v>
      </c>
    </row>
    <row r="821" spans="1:5">
      <c r="A821" s="1003" t="s">
        <v>7753</v>
      </c>
      <c r="B821" s="1003" t="s">
        <v>2384</v>
      </c>
      <c r="C821" s="1199" t="s">
        <v>1240</v>
      </c>
      <c r="D821" s="1199">
        <v>49.61</v>
      </c>
      <c r="E821" s="1199">
        <f t="shared" si="12"/>
        <v>41.51</v>
      </c>
    </row>
    <row r="822" spans="1:5">
      <c r="A822" s="1003" t="s">
        <v>7754</v>
      </c>
      <c r="B822" s="1003" t="s">
        <v>2385</v>
      </c>
      <c r="C822" s="1199" t="s">
        <v>1240</v>
      </c>
      <c r="D822" s="1199">
        <v>83.32</v>
      </c>
      <c r="E822" s="1199">
        <f t="shared" si="12"/>
        <v>69.72</v>
      </c>
    </row>
    <row r="823" spans="1:5">
      <c r="A823" s="1003" t="s">
        <v>7755</v>
      </c>
      <c r="B823" s="1003" t="s">
        <v>2394</v>
      </c>
      <c r="C823" s="1199" t="s">
        <v>1214</v>
      </c>
      <c r="D823" s="1199">
        <v>79.290000000000006</v>
      </c>
      <c r="E823" s="1199">
        <f t="shared" si="12"/>
        <v>66.349999999999994</v>
      </c>
    </row>
    <row r="824" spans="1:5">
      <c r="A824" s="1003" t="s">
        <v>7756</v>
      </c>
      <c r="B824" s="1003" t="s">
        <v>2395</v>
      </c>
      <c r="C824" s="1199" t="s">
        <v>1214</v>
      </c>
      <c r="D824" s="1199">
        <v>125.05</v>
      </c>
      <c r="E824" s="1199">
        <f t="shared" si="12"/>
        <v>104.64</v>
      </c>
    </row>
    <row r="825" spans="1:5">
      <c r="A825" s="1003" t="s">
        <v>7757</v>
      </c>
      <c r="B825" s="1003" t="s">
        <v>2396</v>
      </c>
      <c r="C825" s="1199" t="s">
        <v>1214</v>
      </c>
      <c r="D825" s="1199">
        <v>71.73</v>
      </c>
      <c r="E825" s="1199">
        <f t="shared" si="12"/>
        <v>60.03</v>
      </c>
    </row>
    <row r="826" spans="1:5">
      <c r="A826" s="1003" t="s">
        <v>7758</v>
      </c>
      <c r="B826" s="1003" t="s">
        <v>2406</v>
      </c>
      <c r="C826" s="1199" t="s">
        <v>1214</v>
      </c>
      <c r="D826" s="1199">
        <v>69.97</v>
      </c>
      <c r="E826" s="1199">
        <f t="shared" si="12"/>
        <v>58.55</v>
      </c>
    </row>
    <row r="827" spans="1:5">
      <c r="A827" s="1003" t="s">
        <v>7759</v>
      </c>
      <c r="B827" s="1003" t="s">
        <v>2414</v>
      </c>
      <c r="C827" s="1199" t="s">
        <v>1214</v>
      </c>
      <c r="D827" s="1199">
        <v>75.59</v>
      </c>
      <c r="E827" s="1199">
        <f t="shared" si="12"/>
        <v>63.26</v>
      </c>
    </row>
    <row r="828" spans="1:5">
      <c r="A828" s="1003" t="s">
        <v>7760</v>
      </c>
      <c r="B828" s="1003" t="s">
        <v>2423</v>
      </c>
      <c r="C828" s="1199" t="s">
        <v>1214</v>
      </c>
      <c r="D828" s="1199">
        <v>69.510000000000005</v>
      </c>
      <c r="E828" s="1199">
        <f t="shared" si="12"/>
        <v>58.17</v>
      </c>
    </row>
    <row r="829" spans="1:5">
      <c r="A829" s="1003" t="s">
        <v>7761</v>
      </c>
      <c r="B829" s="1003" t="s">
        <v>2482</v>
      </c>
      <c r="C829" s="1199" t="s">
        <v>1240</v>
      </c>
      <c r="D829" s="1199">
        <v>81.849999999999994</v>
      </c>
      <c r="E829" s="1199">
        <f t="shared" si="12"/>
        <v>68.489999999999995</v>
      </c>
    </row>
    <row r="830" spans="1:5">
      <c r="A830" s="1003" t="s">
        <v>7762</v>
      </c>
      <c r="B830" s="1003" t="s">
        <v>7763</v>
      </c>
      <c r="C830" s="1199" t="s">
        <v>1214</v>
      </c>
      <c r="D830" s="1199">
        <v>174.76</v>
      </c>
      <c r="E830" s="1199">
        <f t="shared" si="12"/>
        <v>146.24</v>
      </c>
    </row>
    <row r="831" spans="1:5">
      <c r="A831" s="1003" t="s">
        <v>7764</v>
      </c>
      <c r="B831" s="1003" t="s">
        <v>7765</v>
      </c>
      <c r="C831" s="1199" t="s">
        <v>1214</v>
      </c>
      <c r="D831" s="1199">
        <v>158.91999999999999</v>
      </c>
      <c r="E831" s="1199">
        <f t="shared" si="12"/>
        <v>132.99</v>
      </c>
    </row>
    <row r="832" spans="1:5">
      <c r="A832" s="1003" t="s">
        <v>7766</v>
      </c>
      <c r="B832" s="1003" t="s">
        <v>7767</v>
      </c>
      <c r="C832" s="1199" t="s">
        <v>1214</v>
      </c>
      <c r="D832" s="1199">
        <v>124.09</v>
      </c>
      <c r="E832" s="1199">
        <f t="shared" si="12"/>
        <v>103.84</v>
      </c>
    </row>
    <row r="833" spans="1:5">
      <c r="A833" s="1003" t="s">
        <v>7768</v>
      </c>
      <c r="B833" s="1003" t="s">
        <v>2491</v>
      </c>
      <c r="C833" s="1199" t="s">
        <v>1214</v>
      </c>
      <c r="D833" s="1199">
        <v>133.13</v>
      </c>
      <c r="E833" s="1199">
        <f t="shared" si="12"/>
        <v>111.41</v>
      </c>
    </row>
    <row r="834" spans="1:5">
      <c r="A834" s="1003" t="s">
        <v>7769</v>
      </c>
      <c r="B834" s="1003" t="s">
        <v>7770</v>
      </c>
      <c r="C834" s="1199" t="s">
        <v>1214</v>
      </c>
      <c r="D834" s="1199">
        <v>292.39</v>
      </c>
      <c r="E834" s="1199">
        <f t="shared" si="12"/>
        <v>244.68</v>
      </c>
    </row>
    <row r="835" spans="1:5">
      <c r="A835" s="1003" t="s">
        <v>7771</v>
      </c>
      <c r="B835" s="1003" t="s">
        <v>2493</v>
      </c>
      <c r="C835" s="1199" t="s">
        <v>1214</v>
      </c>
      <c r="D835" s="1199">
        <v>321.94</v>
      </c>
      <c r="E835" s="1199">
        <f t="shared" si="12"/>
        <v>269.41000000000003</v>
      </c>
    </row>
    <row r="836" spans="1:5">
      <c r="A836" s="1003" t="s">
        <v>7772</v>
      </c>
      <c r="B836" s="1003" t="s">
        <v>2494</v>
      </c>
      <c r="C836" s="1199" t="s">
        <v>1214</v>
      </c>
      <c r="D836" s="1199">
        <v>58.55</v>
      </c>
      <c r="E836" s="1199">
        <f t="shared" ref="E836:E899" si="13">ROUND(D836/1.195,2)</f>
        <v>49</v>
      </c>
    </row>
    <row r="837" spans="1:5">
      <c r="A837" s="1003" t="s">
        <v>7773</v>
      </c>
      <c r="B837" s="1003" t="s">
        <v>7774</v>
      </c>
      <c r="C837" s="1199" t="s">
        <v>1240</v>
      </c>
      <c r="D837" s="1199">
        <v>1097.4100000000001</v>
      </c>
      <c r="E837" s="1199">
        <f t="shared" si="13"/>
        <v>918.33</v>
      </c>
    </row>
    <row r="838" spans="1:5">
      <c r="A838" s="1003" t="s">
        <v>7775</v>
      </c>
      <c r="B838" s="1003" t="s">
        <v>7776</v>
      </c>
      <c r="C838" s="1199" t="s">
        <v>1240</v>
      </c>
      <c r="D838" s="1199">
        <v>208.41</v>
      </c>
      <c r="E838" s="1199">
        <f t="shared" si="13"/>
        <v>174.4</v>
      </c>
    </row>
    <row r="839" spans="1:5">
      <c r="A839" s="1003" t="s">
        <v>7777</v>
      </c>
      <c r="B839" s="1003" t="s">
        <v>7778</v>
      </c>
      <c r="C839" s="1199" t="s">
        <v>1240</v>
      </c>
      <c r="D839" s="1199">
        <v>135.41</v>
      </c>
      <c r="E839" s="1199">
        <f t="shared" si="13"/>
        <v>113.31</v>
      </c>
    </row>
    <row r="840" spans="1:5">
      <c r="A840" s="1003" t="s">
        <v>7779</v>
      </c>
      <c r="B840" s="1003" t="s">
        <v>7780</v>
      </c>
      <c r="C840" s="1199" t="s">
        <v>1240</v>
      </c>
      <c r="D840" s="1199">
        <v>106.16</v>
      </c>
      <c r="E840" s="1199">
        <f t="shared" si="13"/>
        <v>88.84</v>
      </c>
    </row>
    <row r="841" spans="1:5">
      <c r="A841" s="1003" t="s">
        <v>7781</v>
      </c>
      <c r="B841" s="1003" t="s">
        <v>7782</v>
      </c>
      <c r="C841" s="1199" t="s">
        <v>1240</v>
      </c>
      <c r="D841" s="1199">
        <v>109.32</v>
      </c>
      <c r="E841" s="1199">
        <f t="shared" si="13"/>
        <v>91.48</v>
      </c>
    </row>
    <row r="842" spans="1:5">
      <c r="A842" s="1003" t="s">
        <v>7783</v>
      </c>
      <c r="B842" s="1003" t="s">
        <v>7784</v>
      </c>
      <c r="C842" s="1199" t="s">
        <v>1615</v>
      </c>
      <c r="D842" s="1199">
        <v>5.45</v>
      </c>
      <c r="E842" s="1199">
        <f t="shared" si="13"/>
        <v>4.5599999999999996</v>
      </c>
    </row>
    <row r="843" spans="1:5">
      <c r="A843" s="1003" t="s">
        <v>7785</v>
      </c>
      <c r="B843" s="1003" t="s">
        <v>7786</v>
      </c>
      <c r="C843" s="1199" t="s">
        <v>1615</v>
      </c>
      <c r="D843" s="1199">
        <v>5.34</v>
      </c>
      <c r="E843" s="1199">
        <f t="shared" si="13"/>
        <v>4.47</v>
      </c>
    </row>
    <row r="844" spans="1:5">
      <c r="A844" s="1003" t="s">
        <v>7787</v>
      </c>
      <c r="B844" s="1003" t="s">
        <v>7788</v>
      </c>
      <c r="C844" s="1199" t="s">
        <v>1615</v>
      </c>
      <c r="D844" s="1199">
        <v>5.45</v>
      </c>
      <c r="E844" s="1199">
        <f t="shared" si="13"/>
        <v>4.5599999999999996</v>
      </c>
    </row>
    <row r="845" spans="1:5">
      <c r="A845" s="1003" t="s">
        <v>7789</v>
      </c>
      <c r="B845" s="1003" t="s">
        <v>7790</v>
      </c>
      <c r="C845" s="1199" t="s">
        <v>1240</v>
      </c>
      <c r="D845" s="1199">
        <v>16.89</v>
      </c>
      <c r="E845" s="1199">
        <f t="shared" si="13"/>
        <v>14.13</v>
      </c>
    </row>
    <row r="846" spans="1:5">
      <c r="A846" s="1003" t="s">
        <v>7791</v>
      </c>
      <c r="B846" s="1003" t="s">
        <v>7792</v>
      </c>
      <c r="C846" s="1199" t="s">
        <v>1214</v>
      </c>
      <c r="D846" s="1199">
        <v>13.75</v>
      </c>
      <c r="E846" s="1199">
        <f t="shared" si="13"/>
        <v>11.51</v>
      </c>
    </row>
    <row r="847" spans="1:5">
      <c r="A847" s="1003" t="s">
        <v>7793</v>
      </c>
      <c r="B847" s="1003" t="s">
        <v>7794</v>
      </c>
      <c r="C847" s="1199" t="s">
        <v>1652</v>
      </c>
      <c r="D847" s="1199">
        <v>637.01</v>
      </c>
      <c r="E847" s="1199">
        <f t="shared" si="13"/>
        <v>533.05999999999995</v>
      </c>
    </row>
    <row r="848" spans="1:5">
      <c r="A848" s="1003" t="s">
        <v>7795</v>
      </c>
      <c r="B848" s="1003" t="s">
        <v>2552</v>
      </c>
      <c r="C848" s="1199" t="s">
        <v>1615</v>
      </c>
      <c r="D848" s="1199">
        <v>1918.68</v>
      </c>
      <c r="E848" s="1199">
        <f t="shared" si="13"/>
        <v>1605.59</v>
      </c>
    </row>
    <row r="849" spans="1:5">
      <c r="A849" s="1003" t="s">
        <v>329</v>
      </c>
      <c r="B849" s="1003" t="s">
        <v>2553</v>
      </c>
      <c r="C849" s="1199" t="s">
        <v>1615</v>
      </c>
      <c r="D849" s="1199">
        <v>1983.49</v>
      </c>
      <c r="E849" s="1199">
        <f t="shared" si="13"/>
        <v>1659.82</v>
      </c>
    </row>
    <row r="850" spans="1:5">
      <c r="A850" s="1003" t="s">
        <v>7796</v>
      </c>
      <c r="B850" s="1003" t="s">
        <v>2556</v>
      </c>
      <c r="C850" s="1199" t="s">
        <v>1615</v>
      </c>
      <c r="D850" s="1199">
        <v>11600.45</v>
      </c>
      <c r="E850" s="1199">
        <f t="shared" si="13"/>
        <v>9707.49</v>
      </c>
    </row>
    <row r="851" spans="1:5">
      <c r="A851" s="1003" t="s">
        <v>7797</v>
      </c>
      <c r="B851" s="1003" t="s">
        <v>2561</v>
      </c>
      <c r="C851" s="1199" t="s">
        <v>1652</v>
      </c>
      <c r="D851" s="1199">
        <v>637.01</v>
      </c>
      <c r="E851" s="1199">
        <f t="shared" si="13"/>
        <v>533.05999999999995</v>
      </c>
    </row>
    <row r="852" spans="1:5">
      <c r="A852" s="1003" t="s">
        <v>7798</v>
      </c>
      <c r="B852" s="1003" t="s">
        <v>2562</v>
      </c>
      <c r="C852" s="1199" t="s">
        <v>1615</v>
      </c>
      <c r="D852" s="1199">
        <v>10920.92</v>
      </c>
      <c r="E852" s="1199">
        <f t="shared" si="13"/>
        <v>9138.85</v>
      </c>
    </row>
    <row r="853" spans="1:5">
      <c r="A853" s="1003" t="s">
        <v>7799</v>
      </c>
      <c r="B853" s="1003" t="s">
        <v>2563</v>
      </c>
      <c r="C853" s="1199" t="s">
        <v>1615</v>
      </c>
      <c r="D853" s="1199">
        <v>19602.43</v>
      </c>
      <c r="E853" s="1199">
        <f t="shared" si="13"/>
        <v>16403.71</v>
      </c>
    </row>
    <row r="854" spans="1:5">
      <c r="A854" s="1003" t="s">
        <v>334</v>
      </c>
      <c r="B854" s="1003" t="s">
        <v>2564</v>
      </c>
      <c r="C854" s="1199" t="s">
        <v>1615</v>
      </c>
      <c r="D854" s="1199">
        <v>21310.42</v>
      </c>
      <c r="E854" s="1199">
        <f t="shared" si="13"/>
        <v>17832.990000000002</v>
      </c>
    </row>
    <row r="855" spans="1:5">
      <c r="A855" s="1003" t="s">
        <v>7800</v>
      </c>
      <c r="B855" s="1003" t="s">
        <v>2565</v>
      </c>
      <c r="C855" s="1199" t="s">
        <v>1615</v>
      </c>
      <c r="D855" s="1199">
        <v>2233.5500000000002</v>
      </c>
      <c r="E855" s="1199">
        <f t="shared" si="13"/>
        <v>1869.08</v>
      </c>
    </row>
    <row r="856" spans="1:5">
      <c r="A856" s="1003" t="s">
        <v>7801</v>
      </c>
      <c r="B856" s="1003" t="s">
        <v>2566</v>
      </c>
      <c r="C856" s="1199" t="s">
        <v>1615</v>
      </c>
      <c r="D856" s="1199">
        <v>3406.79</v>
      </c>
      <c r="E856" s="1199">
        <f t="shared" si="13"/>
        <v>2850.87</v>
      </c>
    </row>
    <row r="857" spans="1:5">
      <c r="A857" s="1003" t="s">
        <v>336</v>
      </c>
      <c r="B857" s="1003" t="s">
        <v>2567</v>
      </c>
      <c r="C857" s="1199" t="s">
        <v>1214</v>
      </c>
      <c r="D857" s="1199">
        <v>33</v>
      </c>
      <c r="E857" s="1199">
        <f t="shared" si="13"/>
        <v>27.62</v>
      </c>
    </row>
    <row r="858" spans="1:5">
      <c r="A858" s="1003" t="s">
        <v>7802</v>
      </c>
      <c r="B858" s="1003" t="s">
        <v>2568</v>
      </c>
      <c r="C858" s="1199" t="s">
        <v>1214</v>
      </c>
      <c r="D858" s="1199">
        <v>11.2</v>
      </c>
      <c r="E858" s="1199">
        <f t="shared" si="13"/>
        <v>9.3699999999999992</v>
      </c>
    </row>
    <row r="859" spans="1:5">
      <c r="A859" s="1003" t="s">
        <v>338</v>
      </c>
      <c r="B859" s="1003" t="s">
        <v>2570</v>
      </c>
      <c r="C859" s="1199" t="s">
        <v>1615</v>
      </c>
      <c r="D859" s="1199">
        <v>870.06</v>
      </c>
      <c r="E859" s="1199">
        <f t="shared" si="13"/>
        <v>728.08</v>
      </c>
    </row>
    <row r="860" spans="1:5">
      <c r="A860" s="1003" t="s">
        <v>7803</v>
      </c>
      <c r="B860" s="1003" t="s">
        <v>2571</v>
      </c>
      <c r="C860" s="1199" t="s">
        <v>1214</v>
      </c>
      <c r="D860" s="1199">
        <v>174.57</v>
      </c>
      <c r="E860" s="1199">
        <f t="shared" si="13"/>
        <v>146.08000000000001</v>
      </c>
    </row>
    <row r="861" spans="1:5">
      <c r="A861" s="1003" t="s">
        <v>340</v>
      </c>
      <c r="B861" s="1003" t="s">
        <v>2572</v>
      </c>
      <c r="C861" s="1199" t="s">
        <v>1214</v>
      </c>
      <c r="D861" s="1199">
        <v>211.29</v>
      </c>
      <c r="E861" s="1199">
        <f t="shared" si="13"/>
        <v>176.81</v>
      </c>
    </row>
    <row r="862" spans="1:5">
      <c r="A862" s="1003" t="s">
        <v>7804</v>
      </c>
      <c r="B862" s="1003" t="s">
        <v>2573</v>
      </c>
      <c r="C862" s="1199" t="s">
        <v>1214</v>
      </c>
      <c r="D862" s="1199">
        <v>268.07</v>
      </c>
      <c r="E862" s="1199">
        <f t="shared" si="13"/>
        <v>224.33</v>
      </c>
    </row>
    <row r="863" spans="1:5">
      <c r="A863" s="1003" t="s">
        <v>7805</v>
      </c>
      <c r="B863" s="1003" t="s">
        <v>2574</v>
      </c>
      <c r="C863" s="1199" t="s">
        <v>1214</v>
      </c>
      <c r="D863" s="1199">
        <v>299.12</v>
      </c>
      <c r="E863" s="1199">
        <f t="shared" si="13"/>
        <v>250.31</v>
      </c>
    </row>
    <row r="864" spans="1:5">
      <c r="A864" s="1003" t="s">
        <v>7806</v>
      </c>
      <c r="B864" s="1003" t="s">
        <v>2575</v>
      </c>
      <c r="C864" s="1199" t="s">
        <v>1214</v>
      </c>
      <c r="D864" s="1199">
        <v>51.38</v>
      </c>
      <c r="E864" s="1199">
        <f t="shared" si="13"/>
        <v>43</v>
      </c>
    </row>
    <row r="865" spans="1:5">
      <c r="A865" s="1003" t="s">
        <v>7807</v>
      </c>
      <c r="B865" s="1003" t="s">
        <v>2576</v>
      </c>
      <c r="C865" s="1199" t="s">
        <v>1214</v>
      </c>
      <c r="D865" s="1199">
        <v>129.38</v>
      </c>
      <c r="E865" s="1199">
        <f t="shared" si="13"/>
        <v>108.27</v>
      </c>
    </row>
    <row r="866" spans="1:5">
      <c r="A866" s="1003" t="s">
        <v>7808</v>
      </c>
      <c r="B866" s="1003" t="s">
        <v>2577</v>
      </c>
      <c r="C866" s="1199" t="s">
        <v>1214</v>
      </c>
      <c r="D866" s="1199">
        <v>179.53</v>
      </c>
      <c r="E866" s="1199">
        <f t="shared" si="13"/>
        <v>150.22999999999999</v>
      </c>
    </row>
    <row r="867" spans="1:5">
      <c r="A867" s="1003" t="s">
        <v>7809</v>
      </c>
      <c r="B867" s="1003" t="s">
        <v>2578</v>
      </c>
      <c r="C867" s="1199" t="s">
        <v>1214</v>
      </c>
      <c r="D867" s="1199">
        <v>216.25</v>
      </c>
      <c r="E867" s="1199">
        <f t="shared" si="13"/>
        <v>180.96</v>
      </c>
    </row>
    <row r="868" spans="1:5">
      <c r="A868" s="1003" t="s">
        <v>7810</v>
      </c>
      <c r="B868" s="1003" t="s">
        <v>2579</v>
      </c>
      <c r="C868" s="1199" t="s">
        <v>1214</v>
      </c>
      <c r="D868" s="1199">
        <v>320.87</v>
      </c>
      <c r="E868" s="1199">
        <f t="shared" si="13"/>
        <v>268.51</v>
      </c>
    </row>
    <row r="869" spans="1:5">
      <c r="A869" s="1003" t="s">
        <v>7811</v>
      </c>
      <c r="B869" s="1003" t="s">
        <v>2580</v>
      </c>
      <c r="C869" s="1199" t="s">
        <v>1214</v>
      </c>
      <c r="D869" s="1199">
        <v>383.61</v>
      </c>
      <c r="E869" s="1199">
        <f t="shared" si="13"/>
        <v>321.01</v>
      </c>
    </row>
    <row r="870" spans="1:5">
      <c r="A870" s="1003" t="s">
        <v>7812</v>
      </c>
      <c r="B870" s="1003" t="s">
        <v>2581</v>
      </c>
      <c r="C870" s="1199" t="s">
        <v>1652</v>
      </c>
      <c r="D870" s="1199">
        <v>637.01</v>
      </c>
      <c r="E870" s="1199">
        <f t="shared" si="13"/>
        <v>533.05999999999995</v>
      </c>
    </row>
    <row r="871" spans="1:5">
      <c r="A871" s="1003" t="s">
        <v>7813</v>
      </c>
      <c r="B871" s="1003" t="s">
        <v>2583</v>
      </c>
      <c r="C871" s="1199" t="s">
        <v>1214</v>
      </c>
      <c r="D871" s="1199">
        <v>81.99</v>
      </c>
      <c r="E871" s="1199">
        <f t="shared" si="13"/>
        <v>68.61</v>
      </c>
    </row>
    <row r="872" spans="1:5">
      <c r="A872" s="1003" t="s">
        <v>345</v>
      </c>
      <c r="B872" s="1003" t="s">
        <v>2584</v>
      </c>
      <c r="C872" s="1199" t="s">
        <v>1214</v>
      </c>
      <c r="D872" s="1199">
        <v>91.18</v>
      </c>
      <c r="E872" s="1199">
        <f t="shared" si="13"/>
        <v>76.3</v>
      </c>
    </row>
    <row r="873" spans="1:5">
      <c r="A873" s="1003" t="s">
        <v>347</v>
      </c>
      <c r="B873" s="1003" t="s">
        <v>2585</v>
      </c>
      <c r="C873" s="1199" t="s">
        <v>1214</v>
      </c>
      <c r="D873" s="1199">
        <v>128.97999999999999</v>
      </c>
      <c r="E873" s="1199">
        <f t="shared" si="13"/>
        <v>107.93</v>
      </c>
    </row>
    <row r="874" spans="1:5">
      <c r="A874" s="1003" t="s">
        <v>7814</v>
      </c>
      <c r="B874" s="1003" t="s">
        <v>2586</v>
      </c>
      <c r="C874" s="1199" t="s">
        <v>1214</v>
      </c>
      <c r="D874" s="1199">
        <v>154.41</v>
      </c>
      <c r="E874" s="1199">
        <f t="shared" si="13"/>
        <v>129.21</v>
      </c>
    </row>
    <row r="875" spans="1:5">
      <c r="A875" s="1003" t="s">
        <v>7815</v>
      </c>
      <c r="B875" s="1003" t="s">
        <v>2587</v>
      </c>
      <c r="C875" s="1199" t="s">
        <v>1214</v>
      </c>
      <c r="D875" s="1199">
        <v>175.48</v>
      </c>
      <c r="E875" s="1199">
        <f t="shared" si="13"/>
        <v>146.85</v>
      </c>
    </row>
    <row r="876" spans="1:5">
      <c r="A876" s="1003" t="s">
        <v>7816</v>
      </c>
      <c r="B876" s="1003" t="s">
        <v>2588</v>
      </c>
      <c r="C876" s="1199" t="s">
        <v>1214</v>
      </c>
      <c r="D876" s="1199">
        <v>220.26</v>
      </c>
      <c r="E876" s="1199">
        <f t="shared" si="13"/>
        <v>184.32</v>
      </c>
    </row>
    <row r="877" spans="1:5">
      <c r="A877" s="1003" t="s">
        <v>7817</v>
      </c>
      <c r="B877" s="1003" t="s">
        <v>2589</v>
      </c>
      <c r="C877" s="1199" t="s">
        <v>1214</v>
      </c>
      <c r="D877" s="1199">
        <v>284.22000000000003</v>
      </c>
      <c r="E877" s="1199">
        <f t="shared" si="13"/>
        <v>237.84</v>
      </c>
    </row>
    <row r="878" spans="1:5">
      <c r="A878" s="1003" t="s">
        <v>7818</v>
      </c>
      <c r="B878" s="1003" t="s">
        <v>2590</v>
      </c>
      <c r="C878" s="1199" t="s">
        <v>1214</v>
      </c>
      <c r="D878" s="1199">
        <v>310.94</v>
      </c>
      <c r="E878" s="1199">
        <f t="shared" si="13"/>
        <v>260.2</v>
      </c>
    </row>
    <row r="879" spans="1:5">
      <c r="A879" s="1003" t="s">
        <v>7819</v>
      </c>
      <c r="B879" s="1003" t="s">
        <v>2591</v>
      </c>
      <c r="C879" s="1199" t="s">
        <v>1214</v>
      </c>
      <c r="D879" s="1199">
        <v>423.46</v>
      </c>
      <c r="E879" s="1199">
        <f t="shared" si="13"/>
        <v>354.36</v>
      </c>
    </row>
    <row r="880" spans="1:5">
      <c r="A880" s="1003" t="s">
        <v>7820</v>
      </c>
      <c r="B880" s="1003" t="s">
        <v>2592</v>
      </c>
      <c r="C880" s="1199" t="s">
        <v>1214</v>
      </c>
      <c r="D880" s="1199">
        <v>768.17</v>
      </c>
      <c r="E880" s="1199">
        <f t="shared" si="13"/>
        <v>642.82000000000005</v>
      </c>
    </row>
    <row r="881" spans="1:5">
      <c r="A881" s="1003" t="s">
        <v>7821</v>
      </c>
      <c r="B881" s="1003" t="s">
        <v>2567</v>
      </c>
      <c r="C881" s="1199" t="s">
        <v>1214</v>
      </c>
      <c r="D881" s="1199">
        <v>33</v>
      </c>
      <c r="E881" s="1199">
        <f t="shared" si="13"/>
        <v>27.62</v>
      </c>
    </row>
    <row r="882" spans="1:5">
      <c r="A882" s="1003" t="s">
        <v>7822</v>
      </c>
      <c r="B882" s="1003" t="s">
        <v>7823</v>
      </c>
      <c r="C882" s="1199" t="s">
        <v>1214</v>
      </c>
      <c r="D882" s="1199">
        <v>21.2</v>
      </c>
      <c r="E882" s="1199">
        <f t="shared" si="13"/>
        <v>17.739999999999998</v>
      </c>
    </row>
    <row r="883" spans="1:5">
      <c r="A883" s="1003" t="s">
        <v>349</v>
      </c>
      <c r="B883" s="1003" t="s">
        <v>7824</v>
      </c>
      <c r="C883" s="1199" t="s">
        <v>1214</v>
      </c>
      <c r="D883" s="1199">
        <v>23.72</v>
      </c>
      <c r="E883" s="1199">
        <f t="shared" si="13"/>
        <v>19.850000000000001</v>
      </c>
    </row>
    <row r="884" spans="1:5">
      <c r="A884" s="1003" t="s">
        <v>351</v>
      </c>
      <c r="B884" s="1003" t="s">
        <v>7825</v>
      </c>
      <c r="C884" s="1199" t="s">
        <v>1214</v>
      </c>
      <c r="D884" s="1199">
        <v>34.69</v>
      </c>
      <c r="E884" s="1199">
        <f t="shared" si="13"/>
        <v>29.03</v>
      </c>
    </row>
    <row r="885" spans="1:5">
      <c r="A885" s="1003" t="s">
        <v>353</v>
      </c>
      <c r="B885" s="1003" t="s">
        <v>7826</v>
      </c>
      <c r="C885" s="1199" t="s">
        <v>1214</v>
      </c>
      <c r="D885" s="1199">
        <v>45.54</v>
      </c>
      <c r="E885" s="1199">
        <f t="shared" si="13"/>
        <v>38.11</v>
      </c>
    </row>
    <row r="886" spans="1:5">
      <c r="A886" s="1003" t="s">
        <v>355</v>
      </c>
      <c r="B886" s="1003" t="s">
        <v>7827</v>
      </c>
      <c r="C886" s="1199" t="s">
        <v>1214</v>
      </c>
      <c r="D886" s="1199">
        <v>49.57</v>
      </c>
      <c r="E886" s="1199">
        <f t="shared" si="13"/>
        <v>41.48</v>
      </c>
    </row>
    <row r="887" spans="1:5">
      <c r="A887" s="1003" t="s">
        <v>357</v>
      </c>
      <c r="B887" s="1003" t="s">
        <v>7828</v>
      </c>
      <c r="C887" s="1199" t="s">
        <v>1214</v>
      </c>
      <c r="D887" s="1199">
        <v>74.92</v>
      </c>
      <c r="E887" s="1199">
        <f t="shared" si="13"/>
        <v>62.69</v>
      </c>
    </row>
    <row r="888" spans="1:5">
      <c r="A888" s="1003" t="s">
        <v>359</v>
      </c>
      <c r="B888" s="1003" t="s">
        <v>7829</v>
      </c>
      <c r="C888" s="1199" t="s">
        <v>1214</v>
      </c>
      <c r="D888" s="1199">
        <v>107.59</v>
      </c>
      <c r="E888" s="1199">
        <f t="shared" si="13"/>
        <v>90.03</v>
      </c>
    </row>
    <row r="889" spans="1:5">
      <c r="A889" s="1003" t="s">
        <v>361</v>
      </c>
      <c r="B889" s="1003" t="s">
        <v>7830</v>
      </c>
      <c r="C889" s="1199" t="s">
        <v>1214</v>
      </c>
      <c r="D889" s="1199">
        <v>126.2</v>
      </c>
      <c r="E889" s="1199">
        <f t="shared" si="13"/>
        <v>105.61</v>
      </c>
    </row>
    <row r="890" spans="1:5">
      <c r="A890" s="1003" t="s">
        <v>7831</v>
      </c>
      <c r="B890" s="1003" t="s">
        <v>7832</v>
      </c>
      <c r="C890" s="1199" t="s">
        <v>1214</v>
      </c>
      <c r="D890" s="1199">
        <v>190.49</v>
      </c>
      <c r="E890" s="1199">
        <f t="shared" si="13"/>
        <v>159.41</v>
      </c>
    </row>
    <row r="891" spans="1:5">
      <c r="A891" s="1003" t="s">
        <v>363</v>
      </c>
      <c r="B891" s="1003" t="s">
        <v>2602</v>
      </c>
      <c r="C891" s="1199" t="s">
        <v>1652</v>
      </c>
      <c r="D891" s="1199">
        <v>637.01</v>
      </c>
      <c r="E891" s="1199">
        <f t="shared" si="13"/>
        <v>533.05999999999995</v>
      </c>
    </row>
    <row r="892" spans="1:5">
      <c r="A892" s="1003" t="s">
        <v>7833</v>
      </c>
      <c r="B892" s="1003" t="s">
        <v>2604</v>
      </c>
      <c r="C892" s="1199" t="s">
        <v>1615</v>
      </c>
      <c r="D892" s="1199">
        <v>68.430000000000007</v>
      </c>
      <c r="E892" s="1199">
        <f t="shared" si="13"/>
        <v>57.26</v>
      </c>
    </row>
    <row r="893" spans="1:5">
      <c r="A893" s="1003" t="s">
        <v>7834</v>
      </c>
      <c r="B893" s="1003" t="s">
        <v>2605</v>
      </c>
      <c r="C893" s="1199" t="s">
        <v>1615</v>
      </c>
      <c r="D893" s="1199">
        <v>85.44</v>
      </c>
      <c r="E893" s="1199">
        <f t="shared" si="13"/>
        <v>71.5</v>
      </c>
    </row>
    <row r="894" spans="1:5">
      <c r="A894" s="1003" t="s">
        <v>7835</v>
      </c>
      <c r="B894" s="1003" t="s">
        <v>2606</v>
      </c>
      <c r="C894" s="1199" t="s">
        <v>1615</v>
      </c>
      <c r="D894" s="1199">
        <v>106.13</v>
      </c>
      <c r="E894" s="1199">
        <f t="shared" si="13"/>
        <v>88.81</v>
      </c>
    </row>
    <row r="895" spans="1:5">
      <c r="A895" s="1003" t="s">
        <v>7836</v>
      </c>
      <c r="B895" s="1003" t="s">
        <v>2607</v>
      </c>
      <c r="C895" s="1199" t="s">
        <v>1615</v>
      </c>
      <c r="D895" s="1199">
        <v>131.47</v>
      </c>
      <c r="E895" s="1199">
        <f t="shared" si="13"/>
        <v>110.02</v>
      </c>
    </row>
    <row r="896" spans="1:5">
      <c r="A896" s="1003" t="s">
        <v>368</v>
      </c>
      <c r="B896" s="1003" t="s">
        <v>2608</v>
      </c>
      <c r="C896" s="1199" t="s">
        <v>1615</v>
      </c>
      <c r="D896" s="1199">
        <v>154</v>
      </c>
      <c r="E896" s="1199">
        <f t="shared" si="13"/>
        <v>128.87</v>
      </c>
    </row>
    <row r="897" spans="1:5">
      <c r="A897" s="1003" t="s">
        <v>370</v>
      </c>
      <c r="B897" s="1003" t="s">
        <v>2609</v>
      </c>
      <c r="C897" s="1199" t="s">
        <v>1615</v>
      </c>
      <c r="D897" s="1199">
        <v>200.39</v>
      </c>
      <c r="E897" s="1199">
        <f t="shared" si="13"/>
        <v>167.69</v>
      </c>
    </row>
    <row r="898" spans="1:5">
      <c r="A898" s="1003" t="s">
        <v>7837</v>
      </c>
      <c r="B898" s="1003" t="s">
        <v>2610</v>
      </c>
      <c r="C898" s="1199" t="s">
        <v>1615</v>
      </c>
      <c r="D898" s="1199">
        <v>471.29</v>
      </c>
      <c r="E898" s="1199">
        <f t="shared" si="13"/>
        <v>394.38</v>
      </c>
    </row>
    <row r="899" spans="1:5">
      <c r="A899" s="1003" t="s">
        <v>7838</v>
      </c>
      <c r="B899" s="1003" t="s">
        <v>2611</v>
      </c>
      <c r="C899" s="1199" t="s">
        <v>1615</v>
      </c>
      <c r="D899" s="1199">
        <v>713.45</v>
      </c>
      <c r="E899" s="1199">
        <f t="shared" si="13"/>
        <v>597.03</v>
      </c>
    </row>
    <row r="900" spans="1:5">
      <c r="A900" s="1003" t="s">
        <v>7839</v>
      </c>
      <c r="B900" s="1003" t="s">
        <v>2612</v>
      </c>
      <c r="C900" s="1199" t="s">
        <v>1615</v>
      </c>
      <c r="D900" s="1199">
        <v>1225.4100000000001</v>
      </c>
      <c r="E900" s="1199">
        <f t="shared" ref="E900:E963" si="14">ROUND(D900/1.195,2)</f>
        <v>1025.45</v>
      </c>
    </row>
    <row r="901" spans="1:5">
      <c r="A901" s="1003" t="s">
        <v>7840</v>
      </c>
      <c r="B901" s="1003" t="s">
        <v>2613</v>
      </c>
      <c r="C901" s="1199" t="s">
        <v>1615</v>
      </c>
      <c r="D901" s="1199">
        <v>108.29</v>
      </c>
      <c r="E901" s="1199">
        <f t="shared" si="14"/>
        <v>90.62</v>
      </c>
    </row>
    <row r="902" spans="1:5">
      <c r="A902" s="1003" t="s">
        <v>7841</v>
      </c>
      <c r="B902" s="1003" t="s">
        <v>2614</v>
      </c>
      <c r="C902" s="1199" t="s">
        <v>1615</v>
      </c>
      <c r="D902" s="1199">
        <v>121.15</v>
      </c>
      <c r="E902" s="1199">
        <f t="shared" si="14"/>
        <v>101.38</v>
      </c>
    </row>
    <row r="903" spans="1:5">
      <c r="A903" s="1003" t="s">
        <v>7842</v>
      </c>
      <c r="B903" s="1003" t="s">
        <v>2615</v>
      </c>
      <c r="C903" s="1199" t="s">
        <v>1615</v>
      </c>
      <c r="D903" s="1199">
        <v>142.19999999999999</v>
      </c>
      <c r="E903" s="1199">
        <f t="shared" si="14"/>
        <v>119</v>
      </c>
    </row>
    <row r="904" spans="1:5">
      <c r="A904" s="1003" t="s">
        <v>372</v>
      </c>
      <c r="B904" s="1003" t="s">
        <v>2616</v>
      </c>
      <c r="C904" s="1199" t="s">
        <v>1615</v>
      </c>
      <c r="D904" s="1199">
        <v>127.51</v>
      </c>
      <c r="E904" s="1199">
        <f t="shared" si="14"/>
        <v>106.7</v>
      </c>
    </row>
    <row r="905" spans="1:5">
      <c r="A905" s="1003" t="s">
        <v>374</v>
      </c>
      <c r="B905" s="1003" t="s">
        <v>2617</v>
      </c>
      <c r="C905" s="1199" t="s">
        <v>1615</v>
      </c>
      <c r="D905" s="1199">
        <v>172.55</v>
      </c>
      <c r="E905" s="1199">
        <f t="shared" si="14"/>
        <v>144.38999999999999</v>
      </c>
    </row>
    <row r="906" spans="1:5">
      <c r="A906" s="1003" t="s">
        <v>7843</v>
      </c>
      <c r="B906" s="1003" t="s">
        <v>2618</v>
      </c>
      <c r="C906" s="1199" t="s">
        <v>1615</v>
      </c>
      <c r="D906" s="1199">
        <v>249.41</v>
      </c>
      <c r="E906" s="1199">
        <f t="shared" si="14"/>
        <v>208.71</v>
      </c>
    </row>
    <row r="907" spans="1:5">
      <c r="A907" s="1003" t="s">
        <v>7844</v>
      </c>
      <c r="B907" s="1003" t="s">
        <v>2619</v>
      </c>
      <c r="C907" s="1199" t="s">
        <v>1615</v>
      </c>
      <c r="D907" s="1199">
        <v>236.94</v>
      </c>
      <c r="E907" s="1199">
        <f t="shared" si="14"/>
        <v>198.28</v>
      </c>
    </row>
    <row r="908" spans="1:5">
      <c r="A908" s="1003" t="s">
        <v>7845</v>
      </c>
      <c r="B908" s="1003" t="s">
        <v>2620</v>
      </c>
      <c r="C908" s="1199" t="s">
        <v>1615</v>
      </c>
      <c r="D908" s="1199">
        <v>130.76</v>
      </c>
      <c r="E908" s="1199">
        <f t="shared" si="14"/>
        <v>109.42</v>
      </c>
    </row>
    <row r="909" spans="1:5">
      <c r="A909" s="1003" t="s">
        <v>376</v>
      </c>
      <c r="B909" s="1003" t="s">
        <v>2621</v>
      </c>
      <c r="C909" s="1199" t="s">
        <v>1615</v>
      </c>
      <c r="D909" s="1199">
        <v>135.32</v>
      </c>
      <c r="E909" s="1199">
        <f t="shared" si="14"/>
        <v>113.24</v>
      </c>
    </row>
    <row r="910" spans="1:5">
      <c r="A910" s="1003" t="s">
        <v>7846</v>
      </c>
      <c r="B910" s="1003" t="s">
        <v>2624</v>
      </c>
      <c r="C910" s="1199" t="s">
        <v>1615</v>
      </c>
      <c r="D910" s="1199">
        <v>574.79</v>
      </c>
      <c r="E910" s="1199">
        <f t="shared" si="14"/>
        <v>481</v>
      </c>
    </row>
    <row r="911" spans="1:5">
      <c r="A911" s="1003" t="s">
        <v>378</v>
      </c>
      <c r="B911" s="1003" t="s">
        <v>2625</v>
      </c>
      <c r="C911" s="1199" t="s">
        <v>1615</v>
      </c>
      <c r="D911" s="1199">
        <v>543.16</v>
      </c>
      <c r="E911" s="1199">
        <f t="shared" si="14"/>
        <v>454.53</v>
      </c>
    </row>
    <row r="912" spans="1:5">
      <c r="A912" s="1003" t="s">
        <v>7847</v>
      </c>
      <c r="B912" s="1003" t="s">
        <v>2626</v>
      </c>
      <c r="C912" s="1199" t="s">
        <v>1615</v>
      </c>
      <c r="D912" s="1199">
        <v>562.84</v>
      </c>
      <c r="E912" s="1199">
        <f t="shared" si="14"/>
        <v>471</v>
      </c>
    </row>
    <row r="913" spans="1:5">
      <c r="A913" s="1003" t="s">
        <v>7848</v>
      </c>
      <c r="B913" s="1003" t="s">
        <v>2627</v>
      </c>
      <c r="C913" s="1199" t="s">
        <v>1615</v>
      </c>
      <c r="D913" s="1199">
        <v>385.26</v>
      </c>
      <c r="E913" s="1199">
        <f t="shared" si="14"/>
        <v>322.39</v>
      </c>
    </row>
    <row r="914" spans="1:5">
      <c r="A914" s="1003" t="s">
        <v>7849</v>
      </c>
      <c r="B914" s="1003" t="s">
        <v>2628</v>
      </c>
      <c r="C914" s="1199" t="s">
        <v>1615</v>
      </c>
      <c r="D914" s="1199">
        <v>413.39</v>
      </c>
      <c r="E914" s="1199">
        <f t="shared" si="14"/>
        <v>345.93</v>
      </c>
    </row>
    <row r="915" spans="1:5">
      <c r="A915" s="1003" t="s">
        <v>7850</v>
      </c>
      <c r="B915" s="1003" t="s">
        <v>7851</v>
      </c>
      <c r="C915" s="1199" t="s">
        <v>1615</v>
      </c>
      <c r="D915" s="1199">
        <v>507.5</v>
      </c>
      <c r="E915" s="1199">
        <f t="shared" si="14"/>
        <v>424.69</v>
      </c>
    </row>
    <row r="916" spans="1:5">
      <c r="A916" s="1003" t="s">
        <v>380</v>
      </c>
      <c r="B916" s="1003" t="s">
        <v>7852</v>
      </c>
      <c r="C916" s="1199" t="s">
        <v>1615</v>
      </c>
      <c r="D916" s="1199">
        <v>474.95</v>
      </c>
      <c r="E916" s="1199">
        <f t="shared" si="14"/>
        <v>397.45</v>
      </c>
    </row>
    <row r="917" spans="1:5">
      <c r="A917" s="1003" t="s">
        <v>7853</v>
      </c>
      <c r="B917" s="1003" t="s">
        <v>2629</v>
      </c>
      <c r="C917" s="1199" t="s">
        <v>1214</v>
      </c>
      <c r="D917" s="1199">
        <v>19.399999999999999</v>
      </c>
      <c r="E917" s="1199">
        <f t="shared" si="14"/>
        <v>16.23</v>
      </c>
    </row>
    <row r="918" spans="1:5">
      <c r="A918" s="1003" t="s">
        <v>382</v>
      </c>
      <c r="B918" s="1003" t="s">
        <v>2602</v>
      </c>
      <c r="C918" s="1199" t="s">
        <v>1652</v>
      </c>
      <c r="D918" s="1199">
        <v>637.01</v>
      </c>
      <c r="E918" s="1199">
        <f t="shared" si="14"/>
        <v>533.05999999999995</v>
      </c>
    </row>
    <row r="919" spans="1:5">
      <c r="A919" s="1003" t="s">
        <v>7854</v>
      </c>
      <c r="B919" s="1003" t="s">
        <v>7855</v>
      </c>
      <c r="C919" s="1199" t="s">
        <v>1214</v>
      </c>
      <c r="D919" s="1199">
        <v>51.29</v>
      </c>
      <c r="E919" s="1199">
        <f t="shared" si="14"/>
        <v>42.92</v>
      </c>
    </row>
    <row r="920" spans="1:5">
      <c r="A920" s="1003" t="s">
        <v>7856</v>
      </c>
      <c r="B920" s="1003" t="s">
        <v>7857</v>
      </c>
      <c r="C920" s="1199" t="s">
        <v>1214</v>
      </c>
      <c r="D920" s="1199">
        <v>73.400000000000006</v>
      </c>
      <c r="E920" s="1199">
        <f t="shared" si="14"/>
        <v>61.42</v>
      </c>
    </row>
    <row r="921" spans="1:5">
      <c r="A921" s="1003" t="s">
        <v>7858</v>
      </c>
      <c r="B921" s="1003" t="s">
        <v>7859</v>
      </c>
      <c r="C921" s="1199" t="s">
        <v>1214</v>
      </c>
      <c r="D921" s="1199">
        <v>90.22</v>
      </c>
      <c r="E921" s="1199">
        <f t="shared" si="14"/>
        <v>75.5</v>
      </c>
    </row>
    <row r="922" spans="1:5">
      <c r="A922" s="1003" t="s">
        <v>7860</v>
      </c>
      <c r="B922" s="1003" t="s">
        <v>7861</v>
      </c>
      <c r="C922" s="1199" t="s">
        <v>1214</v>
      </c>
      <c r="D922" s="1199">
        <v>151.19</v>
      </c>
      <c r="E922" s="1199">
        <f t="shared" si="14"/>
        <v>126.52</v>
      </c>
    </row>
    <row r="923" spans="1:5" ht="27.6">
      <c r="A923" s="1003" t="s">
        <v>7862</v>
      </c>
      <c r="B923" s="1003" t="s">
        <v>7863</v>
      </c>
      <c r="C923" s="1199" t="s">
        <v>1214</v>
      </c>
      <c r="D923" s="1199">
        <v>55.82</v>
      </c>
      <c r="E923" s="1199">
        <f t="shared" si="14"/>
        <v>46.71</v>
      </c>
    </row>
    <row r="924" spans="1:5" ht="27.6">
      <c r="A924" s="1003" t="s">
        <v>7864</v>
      </c>
      <c r="B924" s="1003" t="s">
        <v>7865</v>
      </c>
      <c r="C924" s="1199" t="s">
        <v>1214</v>
      </c>
      <c r="D924" s="1199">
        <v>78.14</v>
      </c>
      <c r="E924" s="1199">
        <f t="shared" si="14"/>
        <v>65.39</v>
      </c>
    </row>
    <row r="925" spans="1:5" ht="27.6">
      <c r="A925" s="1003" t="s">
        <v>7866</v>
      </c>
      <c r="B925" s="1003" t="s">
        <v>7867</v>
      </c>
      <c r="C925" s="1199" t="s">
        <v>1214</v>
      </c>
      <c r="D925" s="1199">
        <v>97.09</v>
      </c>
      <c r="E925" s="1199">
        <f t="shared" si="14"/>
        <v>81.25</v>
      </c>
    </row>
    <row r="926" spans="1:5" ht="27.6">
      <c r="A926" s="1003" t="s">
        <v>7868</v>
      </c>
      <c r="B926" s="1003" t="s">
        <v>7869</v>
      </c>
      <c r="C926" s="1199" t="s">
        <v>1214</v>
      </c>
      <c r="D926" s="1199">
        <v>158.41</v>
      </c>
      <c r="E926" s="1199">
        <f t="shared" si="14"/>
        <v>132.56</v>
      </c>
    </row>
    <row r="927" spans="1:5" ht="27.6">
      <c r="A927" s="1003" t="s">
        <v>7870</v>
      </c>
      <c r="B927" s="1003" t="s">
        <v>7871</v>
      </c>
      <c r="C927" s="1199" t="s">
        <v>1214</v>
      </c>
      <c r="D927" s="1199">
        <v>17.559999999999999</v>
      </c>
      <c r="E927" s="1199">
        <f t="shared" si="14"/>
        <v>14.69</v>
      </c>
    </row>
    <row r="928" spans="1:5" ht="27.6">
      <c r="A928" s="1003" t="s">
        <v>7872</v>
      </c>
      <c r="B928" s="1003" t="s">
        <v>7873</v>
      </c>
      <c r="C928" s="1199" t="s">
        <v>1214</v>
      </c>
      <c r="D928" s="1199">
        <v>19.39</v>
      </c>
      <c r="E928" s="1199">
        <f t="shared" si="14"/>
        <v>16.23</v>
      </c>
    </row>
    <row r="929" spans="1:5" ht="27.6">
      <c r="A929" s="1003" t="s">
        <v>7874</v>
      </c>
      <c r="B929" s="1003" t="s">
        <v>7875</v>
      </c>
      <c r="C929" s="1199" t="s">
        <v>1214</v>
      </c>
      <c r="D929" s="1199">
        <v>23.37</v>
      </c>
      <c r="E929" s="1199">
        <f t="shared" si="14"/>
        <v>19.559999999999999</v>
      </c>
    </row>
    <row r="930" spans="1:5" ht="27.6">
      <c r="A930" s="1003" t="s">
        <v>7876</v>
      </c>
      <c r="B930" s="1003" t="s">
        <v>7877</v>
      </c>
      <c r="C930" s="1199" t="s">
        <v>1214</v>
      </c>
      <c r="D930" s="1199">
        <v>26.42</v>
      </c>
      <c r="E930" s="1199">
        <f t="shared" si="14"/>
        <v>22.11</v>
      </c>
    </row>
    <row r="931" spans="1:5">
      <c r="A931" s="1003" t="s">
        <v>7878</v>
      </c>
      <c r="B931" s="1003" t="s">
        <v>7879</v>
      </c>
      <c r="C931" s="1199" t="s">
        <v>1652</v>
      </c>
      <c r="D931" s="1199">
        <v>637.01</v>
      </c>
      <c r="E931" s="1199">
        <f t="shared" si="14"/>
        <v>533.05999999999995</v>
      </c>
    </row>
    <row r="932" spans="1:5" ht="41.4">
      <c r="A932" s="1003" t="s">
        <v>7880</v>
      </c>
      <c r="B932" s="1003" t="s">
        <v>7881</v>
      </c>
      <c r="C932" s="1199" t="s">
        <v>1615</v>
      </c>
      <c r="D932" s="1199">
        <v>43699.58</v>
      </c>
      <c r="E932" s="1199">
        <f t="shared" si="14"/>
        <v>36568.69</v>
      </c>
    </row>
    <row r="933" spans="1:5" ht="27.6">
      <c r="A933" s="1003" t="s">
        <v>7882</v>
      </c>
      <c r="B933" s="1003" t="s">
        <v>7883</v>
      </c>
      <c r="C933" s="1199" t="s">
        <v>1615</v>
      </c>
      <c r="D933" s="1199">
        <v>108730.68</v>
      </c>
      <c r="E933" s="1199">
        <f t="shared" si="14"/>
        <v>90988.02</v>
      </c>
    </row>
    <row r="934" spans="1:5">
      <c r="A934" s="1003" t="s">
        <v>387</v>
      </c>
      <c r="B934" s="1003" t="s">
        <v>2633</v>
      </c>
      <c r="C934" s="1199" t="s">
        <v>1214</v>
      </c>
      <c r="D934" s="1199">
        <v>284.22000000000003</v>
      </c>
      <c r="E934" s="1199">
        <f t="shared" si="14"/>
        <v>237.84</v>
      </c>
    </row>
    <row r="935" spans="1:5">
      <c r="A935" s="1003" t="s">
        <v>389</v>
      </c>
      <c r="B935" s="1003" t="s">
        <v>2590</v>
      </c>
      <c r="C935" s="1199" t="s">
        <v>1214</v>
      </c>
      <c r="D935" s="1199">
        <v>310.94</v>
      </c>
      <c r="E935" s="1199">
        <f t="shared" si="14"/>
        <v>260.2</v>
      </c>
    </row>
    <row r="936" spans="1:5">
      <c r="A936" s="1003" t="s">
        <v>7884</v>
      </c>
      <c r="B936" s="1003" t="s">
        <v>2634</v>
      </c>
      <c r="C936" s="1199" t="s">
        <v>1214</v>
      </c>
      <c r="D936" s="1199">
        <v>423.46</v>
      </c>
      <c r="E936" s="1199">
        <f t="shared" si="14"/>
        <v>354.36</v>
      </c>
    </row>
    <row r="937" spans="1:5">
      <c r="A937" s="1003" t="s">
        <v>7885</v>
      </c>
      <c r="B937" s="1003" t="s">
        <v>2592</v>
      </c>
      <c r="C937" s="1199" t="s">
        <v>1214</v>
      </c>
      <c r="D937" s="1199">
        <v>768.17</v>
      </c>
      <c r="E937" s="1199">
        <f t="shared" si="14"/>
        <v>642.82000000000005</v>
      </c>
    </row>
    <row r="938" spans="1:5">
      <c r="A938" s="1003" t="s">
        <v>391</v>
      </c>
      <c r="B938" s="1003" t="s">
        <v>2635</v>
      </c>
      <c r="C938" s="1199" t="s">
        <v>1214</v>
      </c>
      <c r="D938" s="1199">
        <v>61.99</v>
      </c>
      <c r="E938" s="1199">
        <f t="shared" si="14"/>
        <v>51.87</v>
      </c>
    </row>
    <row r="939" spans="1:5">
      <c r="A939" s="1003" t="s">
        <v>7886</v>
      </c>
      <c r="B939" s="1003" t="s">
        <v>2636</v>
      </c>
      <c r="C939" s="1199" t="s">
        <v>1652</v>
      </c>
      <c r="D939" s="1199">
        <v>637.01</v>
      </c>
      <c r="E939" s="1199">
        <f t="shared" si="14"/>
        <v>533.05999999999995</v>
      </c>
    </row>
    <row r="940" spans="1:5">
      <c r="A940" s="1003" t="s">
        <v>396</v>
      </c>
      <c r="B940" s="1003" t="s">
        <v>2610</v>
      </c>
      <c r="C940" s="1199" t="s">
        <v>1615</v>
      </c>
      <c r="D940" s="1199">
        <v>471.29</v>
      </c>
      <c r="E940" s="1199">
        <f t="shared" si="14"/>
        <v>394.38</v>
      </c>
    </row>
    <row r="941" spans="1:5">
      <c r="A941" s="1003" t="s">
        <v>398</v>
      </c>
      <c r="B941" s="1003" t="s">
        <v>2611</v>
      </c>
      <c r="C941" s="1199" t="s">
        <v>1615</v>
      </c>
      <c r="D941" s="1199">
        <v>713.45</v>
      </c>
      <c r="E941" s="1199">
        <f t="shared" si="14"/>
        <v>597.03</v>
      </c>
    </row>
    <row r="942" spans="1:5">
      <c r="A942" s="1003" t="s">
        <v>7887</v>
      </c>
      <c r="B942" s="1003" t="s">
        <v>2612</v>
      </c>
      <c r="C942" s="1199" t="s">
        <v>1615</v>
      </c>
      <c r="D942" s="1199">
        <v>1225.4100000000001</v>
      </c>
      <c r="E942" s="1199">
        <f t="shared" si="14"/>
        <v>1025.45</v>
      </c>
    </row>
    <row r="943" spans="1:5">
      <c r="A943" s="1003" t="s">
        <v>7888</v>
      </c>
      <c r="B943" s="1003" t="s">
        <v>2638</v>
      </c>
      <c r="C943" s="1199" t="s">
        <v>1615</v>
      </c>
      <c r="D943" s="1199">
        <v>266.72000000000003</v>
      </c>
      <c r="E943" s="1199">
        <f t="shared" si="14"/>
        <v>223.2</v>
      </c>
    </row>
    <row r="944" spans="1:5">
      <c r="A944" s="1003" t="s">
        <v>400</v>
      </c>
      <c r="B944" s="1003" t="s">
        <v>2639</v>
      </c>
      <c r="C944" s="1199" t="s">
        <v>1615</v>
      </c>
      <c r="D944" s="1199">
        <v>949.69</v>
      </c>
      <c r="E944" s="1199">
        <f t="shared" si="14"/>
        <v>794.72</v>
      </c>
    </row>
    <row r="945" spans="1:5">
      <c r="A945" s="1003" t="s">
        <v>7889</v>
      </c>
      <c r="B945" s="1003" t="s">
        <v>2640</v>
      </c>
      <c r="C945" s="1199" t="s">
        <v>1615</v>
      </c>
      <c r="D945" s="1199">
        <v>512.92999999999995</v>
      </c>
      <c r="E945" s="1199">
        <f t="shared" si="14"/>
        <v>429.23</v>
      </c>
    </row>
    <row r="946" spans="1:5">
      <c r="A946" s="1003" t="s">
        <v>7890</v>
      </c>
      <c r="B946" s="1003" t="s">
        <v>2641</v>
      </c>
      <c r="C946" s="1199" t="s">
        <v>1615</v>
      </c>
      <c r="D946" s="1199">
        <v>721.24</v>
      </c>
      <c r="E946" s="1199">
        <f t="shared" si="14"/>
        <v>603.54999999999995</v>
      </c>
    </row>
    <row r="947" spans="1:5">
      <c r="A947" s="1003" t="s">
        <v>7891</v>
      </c>
      <c r="B947" s="1003" t="s">
        <v>2642</v>
      </c>
      <c r="C947" s="1199" t="s">
        <v>1615</v>
      </c>
      <c r="D947" s="1199">
        <v>1247.92</v>
      </c>
      <c r="E947" s="1199">
        <f t="shared" si="14"/>
        <v>1044.28</v>
      </c>
    </row>
    <row r="948" spans="1:5">
      <c r="A948" s="1003" t="s">
        <v>7892</v>
      </c>
      <c r="B948" s="1003" t="s">
        <v>2643</v>
      </c>
      <c r="C948" s="1199" t="s">
        <v>1615</v>
      </c>
      <c r="D948" s="1199">
        <v>145.84</v>
      </c>
      <c r="E948" s="1199">
        <f t="shared" si="14"/>
        <v>122.04</v>
      </c>
    </row>
    <row r="949" spans="1:5">
      <c r="A949" s="1003" t="s">
        <v>402</v>
      </c>
      <c r="B949" s="1003" t="s">
        <v>7893</v>
      </c>
      <c r="C949" s="1199" t="s">
        <v>1615</v>
      </c>
      <c r="D949" s="1199">
        <v>1923.01</v>
      </c>
      <c r="E949" s="1199">
        <f t="shared" si="14"/>
        <v>1609.21</v>
      </c>
    </row>
    <row r="950" spans="1:5">
      <c r="A950" s="1003" t="s">
        <v>7894</v>
      </c>
      <c r="B950" s="1003" t="s">
        <v>2647</v>
      </c>
      <c r="C950" s="1199" t="s">
        <v>1214</v>
      </c>
      <c r="D950" s="1199">
        <v>29.94</v>
      </c>
      <c r="E950" s="1199">
        <f t="shared" si="14"/>
        <v>25.05</v>
      </c>
    </row>
    <row r="951" spans="1:5">
      <c r="A951" s="1003" t="s">
        <v>7895</v>
      </c>
      <c r="B951" s="1003" t="s">
        <v>2648</v>
      </c>
      <c r="C951" s="1199" t="s">
        <v>1214</v>
      </c>
      <c r="D951" s="1199">
        <v>45</v>
      </c>
      <c r="E951" s="1199">
        <f t="shared" si="14"/>
        <v>37.659999999999997</v>
      </c>
    </row>
    <row r="952" spans="1:5">
      <c r="A952" s="1003" t="s">
        <v>7896</v>
      </c>
      <c r="B952" s="1003" t="s">
        <v>2649</v>
      </c>
      <c r="C952" s="1199" t="s">
        <v>1615</v>
      </c>
      <c r="D952" s="1199">
        <v>90</v>
      </c>
      <c r="E952" s="1199">
        <f t="shared" si="14"/>
        <v>75.31</v>
      </c>
    </row>
    <row r="953" spans="1:5">
      <c r="A953" s="1003" t="s">
        <v>7897</v>
      </c>
      <c r="B953" s="1003" t="s">
        <v>2650</v>
      </c>
      <c r="C953" s="1199" t="s">
        <v>1615</v>
      </c>
      <c r="D953" s="1199">
        <v>73.099999999999994</v>
      </c>
      <c r="E953" s="1199">
        <f t="shared" si="14"/>
        <v>61.17</v>
      </c>
    </row>
    <row r="954" spans="1:5">
      <c r="A954" s="1003" t="s">
        <v>7898</v>
      </c>
      <c r="B954" s="1003" t="s">
        <v>2651</v>
      </c>
      <c r="C954" s="1199" t="s">
        <v>1615</v>
      </c>
      <c r="D954" s="1199">
        <v>149.96</v>
      </c>
      <c r="E954" s="1199">
        <f t="shared" si="14"/>
        <v>125.49</v>
      </c>
    </row>
    <row r="955" spans="1:5">
      <c r="A955" s="1003" t="s">
        <v>404</v>
      </c>
      <c r="B955" s="1003" t="s">
        <v>2652</v>
      </c>
      <c r="C955" s="1199" t="s">
        <v>1615</v>
      </c>
      <c r="D955" s="1199">
        <v>685.42</v>
      </c>
      <c r="E955" s="1199">
        <f t="shared" si="14"/>
        <v>573.57000000000005</v>
      </c>
    </row>
    <row r="956" spans="1:5">
      <c r="A956" s="1003" t="s">
        <v>7899</v>
      </c>
      <c r="B956" s="1003" t="s">
        <v>2653</v>
      </c>
      <c r="C956" s="1199" t="s">
        <v>1615</v>
      </c>
      <c r="D956" s="1199">
        <v>818.68</v>
      </c>
      <c r="E956" s="1199">
        <f t="shared" si="14"/>
        <v>685.09</v>
      </c>
    </row>
    <row r="957" spans="1:5">
      <c r="A957" s="1003" t="s">
        <v>7900</v>
      </c>
      <c r="B957" s="1003" t="s">
        <v>2654</v>
      </c>
      <c r="C957" s="1199" t="s">
        <v>1615</v>
      </c>
      <c r="D957" s="1199">
        <v>1394.88</v>
      </c>
      <c r="E957" s="1199">
        <f t="shared" si="14"/>
        <v>1167.26</v>
      </c>
    </row>
    <row r="958" spans="1:5">
      <c r="A958" s="1003" t="s">
        <v>7901</v>
      </c>
      <c r="B958" s="1003" t="s">
        <v>2655</v>
      </c>
      <c r="C958" s="1199" t="s">
        <v>1615</v>
      </c>
      <c r="D958" s="1199">
        <v>691.81</v>
      </c>
      <c r="E958" s="1199">
        <f t="shared" si="14"/>
        <v>578.91999999999996</v>
      </c>
    </row>
    <row r="959" spans="1:5">
      <c r="A959" s="1003" t="s">
        <v>406</v>
      </c>
      <c r="B959" s="1003" t="s">
        <v>2656</v>
      </c>
      <c r="C959" s="1199" t="s">
        <v>1615</v>
      </c>
      <c r="D959" s="1199">
        <v>720.62</v>
      </c>
      <c r="E959" s="1199">
        <f t="shared" si="14"/>
        <v>603.03</v>
      </c>
    </row>
    <row r="960" spans="1:5">
      <c r="A960" s="1003" t="s">
        <v>408</v>
      </c>
      <c r="B960" s="1003" t="s">
        <v>2657</v>
      </c>
      <c r="C960" s="1199" t="s">
        <v>1615</v>
      </c>
      <c r="D960" s="1199">
        <v>238.5</v>
      </c>
      <c r="E960" s="1199">
        <f t="shared" si="14"/>
        <v>199.58</v>
      </c>
    </row>
    <row r="961" spans="1:5">
      <c r="A961" s="1003" t="s">
        <v>410</v>
      </c>
      <c r="B961" s="1003" t="s">
        <v>2658</v>
      </c>
      <c r="C961" s="1199" t="s">
        <v>1615</v>
      </c>
      <c r="D961" s="1199">
        <v>374.05</v>
      </c>
      <c r="E961" s="1199">
        <f t="shared" si="14"/>
        <v>313.01</v>
      </c>
    </row>
    <row r="962" spans="1:5">
      <c r="A962" s="1003" t="s">
        <v>7902</v>
      </c>
      <c r="B962" s="1003" t="s">
        <v>7903</v>
      </c>
      <c r="C962" s="1199" t="s">
        <v>1615</v>
      </c>
      <c r="D962" s="1199">
        <v>244.71</v>
      </c>
      <c r="E962" s="1199">
        <f t="shared" si="14"/>
        <v>204.78</v>
      </c>
    </row>
    <row r="963" spans="1:5">
      <c r="A963" s="1003" t="s">
        <v>412</v>
      </c>
      <c r="B963" s="1003" t="s">
        <v>2659</v>
      </c>
      <c r="C963" s="1199" t="s">
        <v>1615</v>
      </c>
      <c r="D963" s="1199">
        <v>258.67</v>
      </c>
      <c r="E963" s="1199">
        <f t="shared" si="14"/>
        <v>216.46</v>
      </c>
    </row>
    <row r="964" spans="1:5">
      <c r="A964" s="1003" t="s">
        <v>7904</v>
      </c>
      <c r="B964" s="1202" t="s">
        <v>7905</v>
      </c>
      <c r="C964" s="1199" t="s">
        <v>1615</v>
      </c>
      <c r="D964" s="1199">
        <v>322.45</v>
      </c>
      <c r="E964" s="1199">
        <f t="shared" ref="E964:E1027" si="15">ROUND(D964/1.195,2)</f>
        <v>269.83</v>
      </c>
    </row>
    <row r="965" spans="1:5">
      <c r="A965" s="1003" t="s">
        <v>7906</v>
      </c>
      <c r="B965" s="1202" t="s">
        <v>2660</v>
      </c>
      <c r="C965" s="1199" t="s">
        <v>1615</v>
      </c>
      <c r="D965" s="1199">
        <v>617.66999999999996</v>
      </c>
      <c r="E965" s="1199">
        <f t="shared" si="15"/>
        <v>516.88</v>
      </c>
    </row>
    <row r="966" spans="1:5">
      <c r="A966" s="1003" t="s">
        <v>414</v>
      </c>
      <c r="B966" s="1202" t="s">
        <v>2661</v>
      </c>
      <c r="C966" s="1199" t="s">
        <v>1615</v>
      </c>
      <c r="D966" s="1199">
        <v>3043.65</v>
      </c>
      <c r="E966" s="1199">
        <f t="shared" si="15"/>
        <v>2546.9899999999998</v>
      </c>
    </row>
    <row r="967" spans="1:5">
      <c r="A967" s="1003" t="s">
        <v>7907</v>
      </c>
      <c r="B967" s="1202" t="s">
        <v>2662</v>
      </c>
      <c r="C967" s="1199" t="s">
        <v>1615</v>
      </c>
      <c r="D967" s="1199">
        <v>3023.58</v>
      </c>
      <c r="E967" s="1199">
        <f t="shared" si="15"/>
        <v>2530.19</v>
      </c>
    </row>
    <row r="968" spans="1:5">
      <c r="A968" s="1003" t="s">
        <v>7908</v>
      </c>
      <c r="B968" s="1202" t="s">
        <v>2663</v>
      </c>
      <c r="C968" s="1199" t="s">
        <v>1615</v>
      </c>
      <c r="D968" s="1199">
        <v>1748.02</v>
      </c>
      <c r="E968" s="1199">
        <f t="shared" si="15"/>
        <v>1462.78</v>
      </c>
    </row>
    <row r="969" spans="1:5">
      <c r="A969" s="1003" t="s">
        <v>7909</v>
      </c>
      <c r="B969" s="1202" t="s">
        <v>2664</v>
      </c>
      <c r="C969" s="1199" t="s">
        <v>1615</v>
      </c>
      <c r="D969" s="1199">
        <v>2018.49</v>
      </c>
      <c r="E969" s="1199">
        <f t="shared" si="15"/>
        <v>1689.11</v>
      </c>
    </row>
    <row r="970" spans="1:5">
      <c r="A970" s="1003" t="s">
        <v>7910</v>
      </c>
      <c r="B970" s="1202" t="s">
        <v>2665</v>
      </c>
      <c r="C970" s="1199" t="s">
        <v>1615</v>
      </c>
      <c r="D970" s="1199">
        <v>2198.9899999999998</v>
      </c>
      <c r="E970" s="1199">
        <f t="shared" si="15"/>
        <v>1840.16</v>
      </c>
    </row>
    <row r="971" spans="1:5">
      <c r="A971" s="1003" t="s">
        <v>7911</v>
      </c>
      <c r="B971" s="1202" t="s">
        <v>2666</v>
      </c>
      <c r="C971" s="1199" t="s">
        <v>1615</v>
      </c>
      <c r="D971" s="1199">
        <v>2640.96</v>
      </c>
      <c r="E971" s="1199">
        <f t="shared" si="15"/>
        <v>2210.0100000000002</v>
      </c>
    </row>
    <row r="972" spans="1:5">
      <c r="A972" s="1003" t="s">
        <v>7912</v>
      </c>
      <c r="B972" s="1202" t="s">
        <v>2667</v>
      </c>
      <c r="C972" s="1199" t="s">
        <v>1615</v>
      </c>
      <c r="D972" s="1199">
        <v>2892.54</v>
      </c>
      <c r="E972" s="1199">
        <f t="shared" si="15"/>
        <v>2420.54</v>
      </c>
    </row>
    <row r="973" spans="1:5">
      <c r="A973" s="1003" t="s">
        <v>7913</v>
      </c>
      <c r="B973" s="1202" t="s">
        <v>2668</v>
      </c>
      <c r="C973" s="1199" t="s">
        <v>1615</v>
      </c>
      <c r="D973" s="1199">
        <v>3891.99</v>
      </c>
      <c r="E973" s="1199">
        <f t="shared" si="15"/>
        <v>3256.9</v>
      </c>
    </row>
    <row r="974" spans="1:5">
      <c r="A974" s="1003" t="s">
        <v>7914</v>
      </c>
      <c r="B974" s="1202" t="s">
        <v>2669</v>
      </c>
      <c r="C974" s="1199" t="s">
        <v>1615</v>
      </c>
      <c r="D974" s="1199">
        <v>5007.47</v>
      </c>
      <c r="E974" s="1199">
        <f t="shared" si="15"/>
        <v>4190.3500000000004</v>
      </c>
    </row>
    <row r="975" spans="1:5">
      <c r="A975" s="1003" t="s">
        <v>416</v>
      </c>
      <c r="B975" s="1202" t="s">
        <v>2670</v>
      </c>
      <c r="C975" s="1199" t="s">
        <v>1615</v>
      </c>
      <c r="D975" s="1199">
        <v>5885.86</v>
      </c>
      <c r="E975" s="1199">
        <f t="shared" si="15"/>
        <v>4925.41</v>
      </c>
    </row>
    <row r="976" spans="1:5">
      <c r="A976" s="1003" t="s">
        <v>7915</v>
      </c>
      <c r="B976" s="1202" t="s">
        <v>2671</v>
      </c>
      <c r="C976" s="1199" t="s">
        <v>1615</v>
      </c>
      <c r="D976" s="1199">
        <v>7450.17</v>
      </c>
      <c r="E976" s="1199">
        <f t="shared" si="15"/>
        <v>6234.45</v>
      </c>
    </row>
    <row r="977" spans="1:5">
      <c r="A977" s="1003" t="s">
        <v>7916</v>
      </c>
      <c r="B977" s="1202" t="s">
        <v>2672</v>
      </c>
      <c r="C977" s="1199" t="s">
        <v>1615</v>
      </c>
      <c r="D977" s="1199">
        <v>10340.370000000001</v>
      </c>
      <c r="E977" s="1199">
        <f t="shared" si="15"/>
        <v>8653.0300000000007</v>
      </c>
    </row>
    <row r="978" spans="1:5">
      <c r="A978" s="1003" t="s">
        <v>7917</v>
      </c>
      <c r="B978" s="1202" t="s">
        <v>7918</v>
      </c>
      <c r="C978" s="1199" t="s">
        <v>1615</v>
      </c>
      <c r="D978" s="1199">
        <v>234.02</v>
      </c>
      <c r="E978" s="1199">
        <f t="shared" si="15"/>
        <v>195.83</v>
      </c>
    </row>
    <row r="979" spans="1:5">
      <c r="A979" s="1003" t="s">
        <v>7919</v>
      </c>
      <c r="B979" s="1202" t="s">
        <v>2636</v>
      </c>
      <c r="C979" s="1199" t="s">
        <v>1652</v>
      </c>
      <c r="D979" s="1199">
        <v>637.01</v>
      </c>
      <c r="E979" s="1199">
        <f t="shared" si="15"/>
        <v>533.05999999999995</v>
      </c>
    </row>
    <row r="980" spans="1:5">
      <c r="A980" s="1003" t="s">
        <v>421</v>
      </c>
      <c r="B980" s="1202" t="s">
        <v>7920</v>
      </c>
      <c r="C980" s="1199" t="s">
        <v>1214</v>
      </c>
      <c r="D980" s="1199">
        <v>356.6</v>
      </c>
      <c r="E980" s="1199">
        <f t="shared" si="15"/>
        <v>298.41000000000003</v>
      </c>
    </row>
    <row r="981" spans="1:5">
      <c r="A981" s="1003" t="s">
        <v>423</v>
      </c>
      <c r="B981" s="1202" t="s">
        <v>7921</v>
      </c>
      <c r="C981" s="1199" t="s">
        <v>1214</v>
      </c>
      <c r="D981" s="1199">
        <v>476.98</v>
      </c>
      <c r="E981" s="1199">
        <f t="shared" si="15"/>
        <v>399.15</v>
      </c>
    </row>
    <row r="982" spans="1:5">
      <c r="A982" s="1003" t="s">
        <v>425</v>
      </c>
      <c r="B982" s="1202" t="s">
        <v>7922</v>
      </c>
      <c r="C982" s="1199" t="s">
        <v>1214</v>
      </c>
      <c r="D982" s="1199">
        <v>548.34</v>
      </c>
      <c r="E982" s="1199">
        <f t="shared" si="15"/>
        <v>458.86</v>
      </c>
    </row>
    <row r="983" spans="1:5">
      <c r="A983" s="1003" t="s">
        <v>427</v>
      </c>
      <c r="B983" s="1202" t="s">
        <v>7923</v>
      </c>
      <c r="C983" s="1199" t="s">
        <v>1214</v>
      </c>
      <c r="D983" s="1199">
        <v>44.91</v>
      </c>
      <c r="E983" s="1199">
        <f t="shared" si="15"/>
        <v>37.58</v>
      </c>
    </row>
    <row r="984" spans="1:5">
      <c r="A984" s="1003" t="s">
        <v>429</v>
      </c>
      <c r="B984" s="1202" t="s">
        <v>7924</v>
      </c>
      <c r="C984" s="1199" t="s">
        <v>1214</v>
      </c>
      <c r="D984" s="1199">
        <v>50.75</v>
      </c>
      <c r="E984" s="1199">
        <f t="shared" si="15"/>
        <v>42.47</v>
      </c>
    </row>
    <row r="985" spans="1:5">
      <c r="A985" s="1003" t="s">
        <v>431</v>
      </c>
      <c r="B985" s="1202" t="s">
        <v>7925</v>
      </c>
      <c r="C985" s="1199" t="s">
        <v>1214</v>
      </c>
      <c r="D985" s="1199">
        <v>64.14</v>
      </c>
      <c r="E985" s="1199">
        <f t="shared" si="15"/>
        <v>53.67</v>
      </c>
    </row>
    <row r="986" spans="1:5">
      <c r="A986" s="1003" t="s">
        <v>433</v>
      </c>
      <c r="B986" s="1202" t="s">
        <v>7926</v>
      </c>
      <c r="C986" s="1199" t="s">
        <v>1214</v>
      </c>
      <c r="D986" s="1199">
        <v>68.290000000000006</v>
      </c>
      <c r="E986" s="1199">
        <f t="shared" si="15"/>
        <v>57.15</v>
      </c>
    </row>
    <row r="987" spans="1:5">
      <c r="A987" s="1003" t="s">
        <v>435</v>
      </c>
      <c r="B987" s="1202" t="s">
        <v>7927</v>
      </c>
      <c r="C987" s="1199" t="s">
        <v>1214</v>
      </c>
      <c r="D987" s="1199">
        <v>138.59</v>
      </c>
      <c r="E987" s="1199">
        <f t="shared" si="15"/>
        <v>115.97</v>
      </c>
    </row>
    <row r="988" spans="1:5">
      <c r="A988" s="1003" t="s">
        <v>7928</v>
      </c>
      <c r="B988" s="1202" t="s">
        <v>2685</v>
      </c>
      <c r="C988" s="1199" t="s">
        <v>1214</v>
      </c>
      <c r="D988" s="1199">
        <v>183.78</v>
      </c>
      <c r="E988" s="1199">
        <f t="shared" si="15"/>
        <v>153.79</v>
      </c>
    </row>
    <row r="989" spans="1:5">
      <c r="A989" s="1003" t="s">
        <v>7929</v>
      </c>
      <c r="B989" s="1202" t="s">
        <v>7930</v>
      </c>
      <c r="C989" s="1199" t="s">
        <v>1214</v>
      </c>
      <c r="D989" s="1199">
        <v>46.2</v>
      </c>
      <c r="E989" s="1199">
        <f t="shared" si="15"/>
        <v>38.659999999999997</v>
      </c>
    </row>
    <row r="990" spans="1:5">
      <c r="A990" s="1003" t="s">
        <v>7931</v>
      </c>
      <c r="B990" s="1202" t="s">
        <v>7932</v>
      </c>
      <c r="C990" s="1199" t="s">
        <v>1214</v>
      </c>
      <c r="D990" s="1199">
        <v>49.89</v>
      </c>
      <c r="E990" s="1199">
        <f t="shared" si="15"/>
        <v>41.75</v>
      </c>
    </row>
    <row r="991" spans="1:5">
      <c r="A991" s="1003" t="s">
        <v>7933</v>
      </c>
      <c r="B991" s="1202" t="s">
        <v>7934</v>
      </c>
      <c r="C991" s="1199" t="s">
        <v>1214</v>
      </c>
      <c r="D991" s="1199">
        <v>66.180000000000007</v>
      </c>
      <c r="E991" s="1199">
        <f t="shared" si="15"/>
        <v>55.38</v>
      </c>
    </row>
    <row r="992" spans="1:5">
      <c r="A992" s="1003" t="s">
        <v>7935</v>
      </c>
      <c r="B992" s="1202" t="s">
        <v>7936</v>
      </c>
      <c r="C992" s="1199" t="s">
        <v>1214</v>
      </c>
      <c r="D992" s="1199">
        <v>87.38</v>
      </c>
      <c r="E992" s="1199">
        <f t="shared" si="15"/>
        <v>73.12</v>
      </c>
    </row>
    <row r="993" spans="1:5">
      <c r="A993" s="1003" t="s">
        <v>7937</v>
      </c>
      <c r="B993" s="1202" t="s">
        <v>7938</v>
      </c>
      <c r="C993" s="1199" t="s">
        <v>1214</v>
      </c>
      <c r="D993" s="1199">
        <v>143.29</v>
      </c>
      <c r="E993" s="1199">
        <f t="shared" si="15"/>
        <v>119.91</v>
      </c>
    </row>
    <row r="994" spans="1:5">
      <c r="A994" s="1003" t="s">
        <v>437</v>
      </c>
      <c r="B994" s="1202" t="s">
        <v>2691</v>
      </c>
      <c r="C994" s="1199" t="s">
        <v>1652</v>
      </c>
      <c r="D994" s="1199">
        <v>637.01</v>
      </c>
      <c r="E994" s="1199">
        <f t="shared" si="15"/>
        <v>533.05999999999995</v>
      </c>
    </row>
    <row r="995" spans="1:5">
      <c r="A995" s="1003" t="s">
        <v>7939</v>
      </c>
      <c r="B995" s="1202" t="s">
        <v>2693</v>
      </c>
      <c r="C995" s="1199" t="s">
        <v>1615</v>
      </c>
      <c r="D995" s="1199">
        <v>70.94</v>
      </c>
      <c r="E995" s="1199">
        <f t="shared" si="15"/>
        <v>59.36</v>
      </c>
    </row>
    <row r="996" spans="1:5">
      <c r="A996" s="1003" t="s">
        <v>7940</v>
      </c>
      <c r="B996" s="1202" t="s">
        <v>2694</v>
      </c>
      <c r="C996" s="1199" t="s">
        <v>1615</v>
      </c>
      <c r="D996" s="1199">
        <v>91.68</v>
      </c>
      <c r="E996" s="1199">
        <f t="shared" si="15"/>
        <v>76.72</v>
      </c>
    </row>
    <row r="997" spans="1:5">
      <c r="A997" s="1003" t="s">
        <v>7941</v>
      </c>
      <c r="B997" s="1202" t="s">
        <v>7942</v>
      </c>
      <c r="C997" s="1199" t="s">
        <v>1615</v>
      </c>
      <c r="D997" s="1199">
        <v>109.73</v>
      </c>
      <c r="E997" s="1199">
        <f t="shared" si="15"/>
        <v>91.82</v>
      </c>
    </row>
    <row r="998" spans="1:5">
      <c r="A998" s="1003" t="s">
        <v>7943</v>
      </c>
      <c r="B998" s="1202" t="s">
        <v>7944</v>
      </c>
      <c r="C998" s="1199" t="s">
        <v>1615</v>
      </c>
      <c r="D998" s="1199">
        <v>58.38</v>
      </c>
      <c r="E998" s="1199">
        <f t="shared" si="15"/>
        <v>48.85</v>
      </c>
    </row>
    <row r="999" spans="1:5">
      <c r="A999" s="1003" t="s">
        <v>7945</v>
      </c>
      <c r="B999" s="1202" t="s">
        <v>7946</v>
      </c>
      <c r="C999" s="1199" t="s">
        <v>1615</v>
      </c>
      <c r="D999" s="1199">
        <v>80.989999999999995</v>
      </c>
      <c r="E999" s="1199">
        <f t="shared" si="15"/>
        <v>67.77</v>
      </c>
    </row>
    <row r="1000" spans="1:5">
      <c r="A1000" s="1003" t="s">
        <v>7947</v>
      </c>
      <c r="B1000" s="1202" t="s">
        <v>2695</v>
      </c>
      <c r="C1000" s="1199" t="s">
        <v>1615</v>
      </c>
      <c r="D1000" s="1199">
        <v>57.63</v>
      </c>
      <c r="E1000" s="1199">
        <f t="shared" si="15"/>
        <v>48.23</v>
      </c>
    </row>
    <row r="1001" spans="1:5">
      <c r="A1001" s="1003" t="s">
        <v>7948</v>
      </c>
      <c r="B1001" s="1202" t="s">
        <v>7949</v>
      </c>
      <c r="C1001" s="1199" t="s">
        <v>1615</v>
      </c>
      <c r="D1001" s="1199">
        <v>119.6</v>
      </c>
      <c r="E1001" s="1199">
        <f t="shared" si="15"/>
        <v>100.08</v>
      </c>
    </row>
    <row r="1002" spans="1:5">
      <c r="A1002" s="1003" t="s">
        <v>7950</v>
      </c>
      <c r="B1002" s="1202" t="s">
        <v>2704</v>
      </c>
      <c r="C1002" s="1199" t="s">
        <v>1615</v>
      </c>
      <c r="D1002" s="1199">
        <v>84.08</v>
      </c>
      <c r="E1002" s="1199">
        <f t="shared" si="15"/>
        <v>70.36</v>
      </c>
    </row>
    <row r="1003" spans="1:5">
      <c r="A1003" s="1003" t="s">
        <v>442</v>
      </c>
      <c r="B1003" s="1202" t="s">
        <v>2705</v>
      </c>
      <c r="C1003" s="1199" t="s">
        <v>1615</v>
      </c>
      <c r="D1003" s="1199">
        <v>656.11</v>
      </c>
      <c r="E1003" s="1199">
        <f t="shared" si="15"/>
        <v>549.04999999999995</v>
      </c>
    </row>
    <row r="1004" spans="1:5">
      <c r="A1004" s="1003" t="s">
        <v>7951</v>
      </c>
      <c r="B1004" s="1202" t="s">
        <v>2706</v>
      </c>
      <c r="C1004" s="1199" t="s">
        <v>1615</v>
      </c>
      <c r="D1004" s="1199">
        <v>82.19</v>
      </c>
      <c r="E1004" s="1199">
        <f t="shared" si="15"/>
        <v>68.78</v>
      </c>
    </row>
    <row r="1005" spans="1:5">
      <c r="A1005" s="1003" t="s">
        <v>7952</v>
      </c>
      <c r="B1005" s="1202" t="s">
        <v>2707</v>
      </c>
      <c r="C1005" s="1199" t="s">
        <v>1615</v>
      </c>
      <c r="D1005" s="1199">
        <v>179.42</v>
      </c>
      <c r="E1005" s="1199">
        <f t="shared" si="15"/>
        <v>150.13999999999999</v>
      </c>
    </row>
    <row r="1006" spans="1:5">
      <c r="A1006" s="1003" t="s">
        <v>7953</v>
      </c>
      <c r="B1006" s="1202" t="s">
        <v>2708</v>
      </c>
      <c r="C1006" s="1199" t="s">
        <v>1615</v>
      </c>
      <c r="D1006" s="1199">
        <v>16.350000000000001</v>
      </c>
      <c r="E1006" s="1199">
        <f t="shared" si="15"/>
        <v>13.68</v>
      </c>
    </row>
    <row r="1007" spans="1:5">
      <c r="A1007" s="1003" t="s">
        <v>7954</v>
      </c>
      <c r="B1007" s="1202" t="s">
        <v>2709</v>
      </c>
      <c r="C1007" s="1199" t="s">
        <v>1615</v>
      </c>
      <c r="D1007" s="1199">
        <v>29.11</v>
      </c>
      <c r="E1007" s="1199">
        <f t="shared" si="15"/>
        <v>24.36</v>
      </c>
    </row>
    <row r="1008" spans="1:5">
      <c r="A1008" s="1003" t="s">
        <v>7955</v>
      </c>
      <c r="B1008" s="1202" t="s">
        <v>2710</v>
      </c>
      <c r="C1008" s="1199" t="s">
        <v>1615</v>
      </c>
      <c r="D1008" s="1199">
        <v>33.33</v>
      </c>
      <c r="E1008" s="1199">
        <f t="shared" si="15"/>
        <v>27.89</v>
      </c>
    </row>
    <row r="1009" spans="1:5">
      <c r="A1009" s="1003" t="s">
        <v>444</v>
      </c>
      <c r="B1009" s="1202" t="s">
        <v>2691</v>
      </c>
      <c r="C1009" s="1199" t="s">
        <v>1652</v>
      </c>
      <c r="D1009" s="1199">
        <v>637.01</v>
      </c>
      <c r="E1009" s="1199">
        <f t="shared" si="15"/>
        <v>533.05999999999995</v>
      </c>
    </row>
    <row r="1010" spans="1:5">
      <c r="A1010" s="1003" t="s">
        <v>7956</v>
      </c>
      <c r="B1010" s="1202" t="s">
        <v>2712</v>
      </c>
      <c r="C1010" s="1199" t="s">
        <v>1214</v>
      </c>
      <c r="D1010" s="1199">
        <v>246.38</v>
      </c>
      <c r="E1010" s="1199">
        <f t="shared" si="15"/>
        <v>206.18</v>
      </c>
    </row>
    <row r="1011" spans="1:5">
      <c r="A1011" s="1003" t="s">
        <v>7957</v>
      </c>
      <c r="B1011" s="1202" t="s">
        <v>2713</v>
      </c>
      <c r="C1011" s="1199" t="s">
        <v>1214</v>
      </c>
      <c r="D1011" s="1199">
        <v>335.19</v>
      </c>
      <c r="E1011" s="1199">
        <f t="shared" si="15"/>
        <v>280.49</v>
      </c>
    </row>
    <row r="1012" spans="1:5">
      <c r="A1012" s="1003" t="s">
        <v>449</v>
      </c>
      <c r="B1012" s="1202" t="s">
        <v>2714</v>
      </c>
      <c r="C1012" s="1199" t="s">
        <v>1214</v>
      </c>
      <c r="D1012" s="1199">
        <v>410.33</v>
      </c>
      <c r="E1012" s="1199">
        <f t="shared" si="15"/>
        <v>343.37</v>
      </c>
    </row>
    <row r="1013" spans="1:5">
      <c r="A1013" s="1003" t="s">
        <v>451</v>
      </c>
      <c r="B1013" s="1202" t="s">
        <v>2715</v>
      </c>
      <c r="C1013" s="1199" t="s">
        <v>1214</v>
      </c>
      <c r="D1013" s="1199">
        <v>508.29</v>
      </c>
      <c r="E1013" s="1199">
        <f t="shared" si="15"/>
        <v>425.35</v>
      </c>
    </row>
    <row r="1014" spans="1:5">
      <c r="A1014" s="1003" t="s">
        <v>7958</v>
      </c>
      <c r="B1014" s="1003" t="s">
        <v>7959</v>
      </c>
      <c r="C1014" s="1199" t="s">
        <v>1615</v>
      </c>
      <c r="D1014" s="1199">
        <v>1019.99</v>
      </c>
      <c r="E1014" s="1199">
        <f t="shared" si="15"/>
        <v>853.55</v>
      </c>
    </row>
    <row r="1015" spans="1:5">
      <c r="A1015" s="1003" t="s">
        <v>7960</v>
      </c>
      <c r="B1015" s="1003" t="s">
        <v>7961</v>
      </c>
      <c r="C1015" s="1199" t="s">
        <v>1615</v>
      </c>
      <c r="D1015" s="1199">
        <v>1534.07</v>
      </c>
      <c r="E1015" s="1199">
        <f t="shared" si="15"/>
        <v>1283.74</v>
      </c>
    </row>
    <row r="1016" spans="1:5">
      <c r="A1016" s="1003" t="s">
        <v>7962</v>
      </c>
      <c r="B1016" s="1003" t="s">
        <v>6746</v>
      </c>
      <c r="C1016" s="1199" t="s">
        <v>1214</v>
      </c>
      <c r="D1016" s="1199">
        <v>150.63</v>
      </c>
      <c r="E1016" s="1199">
        <f t="shared" si="15"/>
        <v>126.05</v>
      </c>
    </row>
    <row r="1017" spans="1:5">
      <c r="A1017" s="1003" t="s">
        <v>7963</v>
      </c>
      <c r="B1017" s="1003" t="s">
        <v>6748</v>
      </c>
      <c r="C1017" s="1199" t="s">
        <v>1214</v>
      </c>
      <c r="D1017" s="1199">
        <v>177.32</v>
      </c>
      <c r="E1017" s="1199">
        <f t="shared" si="15"/>
        <v>148.38</v>
      </c>
    </row>
    <row r="1018" spans="1:5">
      <c r="A1018" s="1003" t="s">
        <v>7964</v>
      </c>
      <c r="B1018" s="1003" t="s">
        <v>6750</v>
      </c>
      <c r="C1018" s="1199" t="s">
        <v>1214</v>
      </c>
      <c r="D1018" s="1199">
        <v>233.72</v>
      </c>
      <c r="E1018" s="1199">
        <f t="shared" si="15"/>
        <v>195.58</v>
      </c>
    </row>
    <row r="1019" spans="1:5">
      <c r="A1019" s="1003" t="s">
        <v>7965</v>
      </c>
      <c r="B1019" s="1003" t="s">
        <v>6752</v>
      </c>
      <c r="C1019" s="1199" t="s">
        <v>1214</v>
      </c>
      <c r="D1019" s="1199">
        <v>286.02999999999997</v>
      </c>
      <c r="E1019" s="1199">
        <f t="shared" si="15"/>
        <v>239.36</v>
      </c>
    </row>
    <row r="1020" spans="1:5">
      <c r="A1020" s="1003" t="s">
        <v>7966</v>
      </c>
      <c r="B1020" s="1003" t="s">
        <v>7967</v>
      </c>
      <c r="C1020" s="1199" t="s">
        <v>1214</v>
      </c>
      <c r="D1020" s="1199">
        <v>46.2</v>
      </c>
      <c r="E1020" s="1199">
        <f t="shared" si="15"/>
        <v>38.659999999999997</v>
      </c>
    </row>
    <row r="1021" spans="1:5">
      <c r="A1021" s="1003" t="s">
        <v>453</v>
      </c>
      <c r="B1021" s="1003" t="s">
        <v>7968</v>
      </c>
      <c r="C1021" s="1199" t="s">
        <v>1214</v>
      </c>
      <c r="D1021" s="1199">
        <v>49.89</v>
      </c>
      <c r="E1021" s="1199">
        <f t="shared" si="15"/>
        <v>41.75</v>
      </c>
    </row>
    <row r="1022" spans="1:5">
      <c r="A1022" s="1003" t="s">
        <v>7969</v>
      </c>
      <c r="B1022" s="1003" t="s">
        <v>7970</v>
      </c>
      <c r="C1022" s="1199" t="s">
        <v>1214</v>
      </c>
      <c r="D1022" s="1199">
        <v>66.180000000000007</v>
      </c>
      <c r="E1022" s="1199">
        <f t="shared" si="15"/>
        <v>55.38</v>
      </c>
    </row>
    <row r="1023" spans="1:5">
      <c r="A1023" s="1003" t="s">
        <v>455</v>
      </c>
      <c r="B1023" s="1003" t="s">
        <v>7971</v>
      </c>
      <c r="C1023" s="1199" t="s">
        <v>1214</v>
      </c>
      <c r="D1023" s="1199">
        <v>87.38</v>
      </c>
      <c r="E1023" s="1199">
        <f t="shared" si="15"/>
        <v>73.12</v>
      </c>
    </row>
    <row r="1024" spans="1:5">
      <c r="A1024" s="1003" t="s">
        <v>7972</v>
      </c>
      <c r="B1024" s="1003" t="s">
        <v>7973</v>
      </c>
      <c r="C1024" s="1199" t="s">
        <v>1214</v>
      </c>
      <c r="D1024" s="1199">
        <v>143.29</v>
      </c>
      <c r="E1024" s="1199">
        <f t="shared" si="15"/>
        <v>119.91</v>
      </c>
    </row>
    <row r="1025" spans="1:5">
      <c r="A1025" s="1003" t="s">
        <v>7974</v>
      </c>
      <c r="B1025" s="1003" t="s">
        <v>2726</v>
      </c>
      <c r="C1025" s="1199" t="s">
        <v>1652</v>
      </c>
      <c r="D1025" s="1199">
        <v>637.01</v>
      </c>
      <c r="E1025" s="1199">
        <f t="shared" si="15"/>
        <v>533.05999999999995</v>
      </c>
    </row>
    <row r="1026" spans="1:5">
      <c r="A1026" s="1003" t="s">
        <v>7975</v>
      </c>
      <c r="B1026" s="1003" t="s">
        <v>2728</v>
      </c>
      <c r="C1026" s="1199" t="s">
        <v>1214</v>
      </c>
      <c r="D1026" s="1199">
        <v>70.650000000000006</v>
      </c>
      <c r="E1026" s="1199">
        <f t="shared" si="15"/>
        <v>59.12</v>
      </c>
    </row>
    <row r="1027" spans="1:5">
      <c r="A1027" s="1003" t="s">
        <v>7976</v>
      </c>
      <c r="B1027" s="1003" t="s">
        <v>2729</v>
      </c>
      <c r="C1027" s="1199" t="s">
        <v>1214</v>
      </c>
      <c r="D1027" s="1199">
        <v>63.44</v>
      </c>
      <c r="E1027" s="1199">
        <f t="shared" si="15"/>
        <v>53.09</v>
      </c>
    </row>
    <row r="1028" spans="1:5">
      <c r="A1028" s="1003" t="s">
        <v>7977</v>
      </c>
      <c r="B1028" s="1003" t="s">
        <v>2730</v>
      </c>
      <c r="C1028" s="1199" t="s">
        <v>1214</v>
      </c>
      <c r="D1028" s="1199">
        <v>89.87</v>
      </c>
      <c r="E1028" s="1199">
        <f t="shared" ref="E1028:E1091" si="16">ROUND(D1028/1.195,2)</f>
        <v>75.209999999999994</v>
      </c>
    </row>
    <row r="1029" spans="1:5">
      <c r="A1029" s="1003" t="s">
        <v>7978</v>
      </c>
      <c r="B1029" s="1003" t="s">
        <v>2731</v>
      </c>
      <c r="C1029" s="1199" t="s">
        <v>1214</v>
      </c>
      <c r="D1029" s="1199">
        <v>70.3</v>
      </c>
      <c r="E1029" s="1199">
        <f t="shared" si="16"/>
        <v>58.83</v>
      </c>
    </row>
    <row r="1030" spans="1:5">
      <c r="A1030" s="1003" t="s">
        <v>7979</v>
      </c>
      <c r="B1030" s="1003" t="s">
        <v>2732</v>
      </c>
      <c r="C1030" s="1199" t="s">
        <v>1615</v>
      </c>
      <c r="D1030" s="1199">
        <v>72.48</v>
      </c>
      <c r="E1030" s="1199">
        <f t="shared" si="16"/>
        <v>60.65</v>
      </c>
    </row>
    <row r="1031" spans="1:5">
      <c r="A1031" s="1003" t="s">
        <v>7980</v>
      </c>
      <c r="B1031" s="1003" t="s">
        <v>2733</v>
      </c>
      <c r="C1031" s="1199" t="s">
        <v>1615</v>
      </c>
      <c r="D1031" s="1199">
        <v>77.92</v>
      </c>
      <c r="E1031" s="1199">
        <f t="shared" si="16"/>
        <v>65.209999999999994</v>
      </c>
    </row>
    <row r="1032" spans="1:5">
      <c r="A1032" s="1003" t="s">
        <v>7981</v>
      </c>
      <c r="B1032" s="1003" t="s">
        <v>2737</v>
      </c>
      <c r="C1032" s="1199" t="s">
        <v>1214</v>
      </c>
      <c r="D1032" s="1199">
        <v>109.48</v>
      </c>
      <c r="E1032" s="1199">
        <f t="shared" si="16"/>
        <v>91.62</v>
      </c>
    </row>
    <row r="1033" spans="1:5">
      <c r="A1033" s="1003" t="s">
        <v>7982</v>
      </c>
      <c r="B1033" s="1003" t="s">
        <v>2738</v>
      </c>
      <c r="C1033" s="1199" t="s">
        <v>1214</v>
      </c>
      <c r="D1033" s="1199">
        <v>156.26</v>
      </c>
      <c r="E1033" s="1199">
        <f t="shared" si="16"/>
        <v>130.76</v>
      </c>
    </row>
    <row r="1034" spans="1:5">
      <c r="A1034" s="1003" t="s">
        <v>7983</v>
      </c>
      <c r="B1034" s="1003" t="s">
        <v>2739</v>
      </c>
      <c r="C1034" s="1199" t="s">
        <v>1214</v>
      </c>
      <c r="D1034" s="1199">
        <v>242.51</v>
      </c>
      <c r="E1034" s="1199">
        <f t="shared" si="16"/>
        <v>202.94</v>
      </c>
    </row>
    <row r="1035" spans="1:5" ht="27.6">
      <c r="A1035" s="1003" t="s">
        <v>7984</v>
      </c>
      <c r="B1035" s="1003" t="s">
        <v>7985</v>
      </c>
      <c r="C1035" s="1199" t="s">
        <v>1240</v>
      </c>
      <c r="D1035" s="1199">
        <v>208.97</v>
      </c>
      <c r="E1035" s="1199">
        <f t="shared" si="16"/>
        <v>174.87</v>
      </c>
    </row>
    <row r="1036" spans="1:5">
      <c r="A1036" s="1003" t="s">
        <v>7986</v>
      </c>
      <c r="B1036" s="1003" t="s">
        <v>2740</v>
      </c>
      <c r="C1036" s="1199" t="s">
        <v>1214</v>
      </c>
      <c r="D1036" s="1199">
        <v>94.55</v>
      </c>
      <c r="E1036" s="1199">
        <f t="shared" si="16"/>
        <v>79.12</v>
      </c>
    </row>
    <row r="1037" spans="1:5">
      <c r="A1037" s="1003" t="s">
        <v>7987</v>
      </c>
      <c r="B1037" s="1003" t="s">
        <v>2741</v>
      </c>
      <c r="C1037" s="1199" t="s">
        <v>1214</v>
      </c>
      <c r="D1037" s="1199">
        <v>125.72</v>
      </c>
      <c r="E1037" s="1199">
        <f t="shared" si="16"/>
        <v>105.21</v>
      </c>
    </row>
    <row r="1038" spans="1:5">
      <c r="A1038" s="1003" t="s">
        <v>7988</v>
      </c>
      <c r="B1038" s="1003" t="s">
        <v>2742</v>
      </c>
      <c r="C1038" s="1199" t="s">
        <v>1214</v>
      </c>
      <c r="D1038" s="1199">
        <v>208.97</v>
      </c>
      <c r="E1038" s="1199">
        <f t="shared" si="16"/>
        <v>174.87</v>
      </c>
    </row>
    <row r="1039" spans="1:5" ht="27.6">
      <c r="A1039" s="1003" t="s">
        <v>7989</v>
      </c>
      <c r="B1039" s="1003" t="s">
        <v>7990</v>
      </c>
      <c r="C1039" s="1199" t="s">
        <v>1240</v>
      </c>
      <c r="D1039" s="1199">
        <v>242.51</v>
      </c>
      <c r="E1039" s="1199">
        <f t="shared" si="16"/>
        <v>202.94</v>
      </c>
    </row>
    <row r="1040" spans="1:5">
      <c r="A1040" s="1003" t="s">
        <v>7991</v>
      </c>
      <c r="B1040" s="1003" t="s">
        <v>2746</v>
      </c>
      <c r="C1040" s="1199" t="s">
        <v>1214</v>
      </c>
      <c r="D1040" s="1199">
        <v>44.61</v>
      </c>
      <c r="E1040" s="1199">
        <f t="shared" si="16"/>
        <v>37.33</v>
      </c>
    </row>
    <row r="1041" spans="1:5">
      <c r="A1041" s="1003" t="s">
        <v>460</v>
      </c>
      <c r="B1041" s="1003" t="s">
        <v>2747</v>
      </c>
      <c r="C1041" s="1199" t="s">
        <v>1214</v>
      </c>
      <c r="D1041" s="1199">
        <v>65.319999999999993</v>
      </c>
      <c r="E1041" s="1199">
        <f t="shared" si="16"/>
        <v>54.66</v>
      </c>
    </row>
    <row r="1042" spans="1:5">
      <c r="A1042" s="1003" t="s">
        <v>462</v>
      </c>
      <c r="B1042" s="1003" t="s">
        <v>2748</v>
      </c>
      <c r="C1042" s="1199" t="s">
        <v>1214</v>
      </c>
      <c r="D1042" s="1199">
        <v>73.39</v>
      </c>
      <c r="E1042" s="1199">
        <f t="shared" si="16"/>
        <v>61.41</v>
      </c>
    </row>
    <row r="1043" spans="1:5">
      <c r="A1043" s="1003" t="s">
        <v>464</v>
      </c>
      <c r="B1043" s="1003" t="s">
        <v>2749</v>
      </c>
      <c r="C1043" s="1199" t="s">
        <v>1214</v>
      </c>
      <c r="D1043" s="1199">
        <v>115.9</v>
      </c>
      <c r="E1043" s="1199">
        <f t="shared" si="16"/>
        <v>96.99</v>
      </c>
    </row>
    <row r="1044" spans="1:5">
      <c r="A1044" s="1003" t="s">
        <v>1162</v>
      </c>
      <c r="B1044" s="1003" t="s">
        <v>2750</v>
      </c>
      <c r="C1044" s="1199" t="s">
        <v>1214</v>
      </c>
      <c r="D1044" s="1199">
        <v>208.76</v>
      </c>
      <c r="E1044" s="1199">
        <f t="shared" si="16"/>
        <v>174.69</v>
      </c>
    </row>
    <row r="1045" spans="1:5">
      <c r="A1045" s="1003" t="s">
        <v>7992</v>
      </c>
      <c r="B1045" s="1003" t="s">
        <v>2751</v>
      </c>
      <c r="C1045" s="1199" t="s">
        <v>1214</v>
      </c>
      <c r="D1045" s="1199">
        <v>41.44</v>
      </c>
      <c r="E1045" s="1199">
        <f t="shared" si="16"/>
        <v>34.68</v>
      </c>
    </row>
    <row r="1046" spans="1:5">
      <c r="A1046" s="1003" t="s">
        <v>7993</v>
      </c>
      <c r="B1046" s="1003" t="s">
        <v>2752</v>
      </c>
      <c r="C1046" s="1199" t="s">
        <v>1214</v>
      </c>
      <c r="D1046" s="1199">
        <v>51.45</v>
      </c>
      <c r="E1046" s="1199">
        <f t="shared" si="16"/>
        <v>43.05</v>
      </c>
    </row>
    <row r="1047" spans="1:5">
      <c r="A1047" s="1003" t="s">
        <v>7994</v>
      </c>
      <c r="B1047" s="1003" t="s">
        <v>2753</v>
      </c>
      <c r="C1047" s="1199" t="s">
        <v>1214</v>
      </c>
      <c r="D1047" s="1199">
        <v>60.89</v>
      </c>
      <c r="E1047" s="1199">
        <f t="shared" si="16"/>
        <v>50.95</v>
      </c>
    </row>
    <row r="1048" spans="1:5">
      <c r="A1048" s="1003" t="s">
        <v>7995</v>
      </c>
      <c r="B1048" s="1003" t="s">
        <v>2754</v>
      </c>
      <c r="C1048" s="1199" t="s">
        <v>1214</v>
      </c>
      <c r="D1048" s="1199">
        <v>88.44</v>
      </c>
      <c r="E1048" s="1199">
        <f t="shared" si="16"/>
        <v>74.010000000000005</v>
      </c>
    </row>
    <row r="1049" spans="1:5">
      <c r="A1049" s="1003" t="s">
        <v>7996</v>
      </c>
      <c r="B1049" s="1003" t="s">
        <v>2755</v>
      </c>
      <c r="C1049" s="1199" t="s">
        <v>1214</v>
      </c>
      <c r="D1049" s="1199">
        <v>153.69999999999999</v>
      </c>
      <c r="E1049" s="1199">
        <f t="shared" si="16"/>
        <v>128.62</v>
      </c>
    </row>
    <row r="1050" spans="1:5">
      <c r="A1050" s="1003" t="s">
        <v>7997</v>
      </c>
      <c r="B1050" s="1003" t="s">
        <v>2766</v>
      </c>
      <c r="C1050" s="1199" t="s">
        <v>1615</v>
      </c>
      <c r="D1050" s="1199">
        <v>13.39</v>
      </c>
      <c r="E1050" s="1199">
        <f t="shared" si="16"/>
        <v>11.21</v>
      </c>
    </row>
    <row r="1051" spans="1:5">
      <c r="A1051" s="1003" t="s">
        <v>466</v>
      </c>
      <c r="B1051" s="1003" t="s">
        <v>2767</v>
      </c>
      <c r="C1051" s="1199" t="s">
        <v>1615</v>
      </c>
      <c r="D1051" s="1199">
        <v>18.899999999999999</v>
      </c>
      <c r="E1051" s="1199">
        <f t="shared" si="16"/>
        <v>15.82</v>
      </c>
    </row>
    <row r="1052" spans="1:5">
      <c r="A1052" s="1003" t="s">
        <v>7998</v>
      </c>
      <c r="B1052" s="1003" t="s">
        <v>7999</v>
      </c>
      <c r="C1052" s="1199" t="s">
        <v>1615</v>
      </c>
      <c r="D1052" s="1199">
        <v>42.38</v>
      </c>
      <c r="E1052" s="1199">
        <f t="shared" si="16"/>
        <v>35.46</v>
      </c>
    </row>
    <row r="1053" spans="1:5">
      <c r="A1053" s="1003" t="s">
        <v>8000</v>
      </c>
      <c r="B1053" s="1003" t="s">
        <v>8001</v>
      </c>
      <c r="C1053" s="1199" t="s">
        <v>1240</v>
      </c>
      <c r="D1053" s="1199">
        <v>153.69999999999999</v>
      </c>
      <c r="E1053" s="1199">
        <f t="shared" si="16"/>
        <v>128.62</v>
      </c>
    </row>
    <row r="1054" spans="1:5">
      <c r="A1054" s="1003" t="s">
        <v>8002</v>
      </c>
      <c r="B1054" s="1003" t="s">
        <v>8003</v>
      </c>
      <c r="C1054" s="1199" t="s">
        <v>1240</v>
      </c>
      <c r="D1054" s="1199">
        <v>208.76</v>
      </c>
      <c r="E1054" s="1199">
        <f t="shared" si="16"/>
        <v>174.69</v>
      </c>
    </row>
    <row r="1055" spans="1:5">
      <c r="A1055" s="1003" t="s">
        <v>8004</v>
      </c>
      <c r="B1055" s="1003" t="s">
        <v>2773</v>
      </c>
      <c r="C1055" s="1199" t="s">
        <v>1615</v>
      </c>
      <c r="D1055" s="1199">
        <v>179.42</v>
      </c>
      <c r="E1055" s="1199">
        <f t="shared" si="16"/>
        <v>150.13999999999999</v>
      </c>
    </row>
    <row r="1056" spans="1:5">
      <c r="A1056" s="1003" t="s">
        <v>468</v>
      </c>
      <c r="B1056" s="1003" t="s">
        <v>2726</v>
      </c>
      <c r="C1056" s="1199" t="s">
        <v>1652</v>
      </c>
      <c r="D1056" s="1199">
        <v>637.01</v>
      </c>
      <c r="E1056" s="1199">
        <f t="shared" si="16"/>
        <v>533.05999999999995</v>
      </c>
    </row>
    <row r="1057" spans="1:5">
      <c r="A1057" s="1003" t="s">
        <v>8005</v>
      </c>
      <c r="B1057" s="1003" t="s">
        <v>7824</v>
      </c>
      <c r="C1057" s="1199" t="s">
        <v>1214</v>
      </c>
      <c r="D1057" s="1199">
        <v>23.72</v>
      </c>
      <c r="E1057" s="1199">
        <f t="shared" si="16"/>
        <v>19.850000000000001</v>
      </c>
    </row>
    <row r="1058" spans="1:5">
      <c r="A1058" s="1003" t="s">
        <v>8006</v>
      </c>
      <c r="B1058" s="1003" t="s">
        <v>7825</v>
      </c>
      <c r="C1058" s="1199" t="s">
        <v>1214</v>
      </c>
      <c r="D1058" s="1199">
        <v>34.69</v>
      </c>
      <c r="E1058" s="1199">
        <f t="shared" si="16"/>
        <v>29.03</v>
      </c>
    </row>
    <row r="1059" spans="1:5">
      <c r="A1059" s="1003" t="s">
        <v>8007</v>
      </c>
      <c r="B1059" s="1003" t="s">
        <v>7826</v>
      </c>
      <c r="C1059" s="1199" t="s">
        <v>1214</v>
      </c>
      <c r="D1059" s="1199">
        <v>45.54</v>
      </c>
      <c r="E1059" s="1199">
        <f t="shared" si="16"/>
        <v>38.11</v>
      </c>
    </row>
    <row r="1060" spans="1:5">
      <c r="A1060" s="1003" t="s">
        <v>8008</v>
      </c>
      <c r="B1060" s="1003" t="s">
        <v>7827</v>
      </c>
      <c r="C1060" s="1199" t="s">
        <v>1214</v>
      </c>
      <c r="D1060" s="1199">
        <v>49.57</v>
      </c>
      <c r="E1060" s="1199">
        <f t="shared" si="16"/>
        <v>41.48</v>
      </c>
    </row>
    <row r="1061" spans="1:5">
      <c r="A1061" s="1003" t="s">
        <v>8009</v>
      </c>
      <c r="B1061" s="1003" t="s">
        <v>7828</v>
      </c>
      <c r="C1061" s="1199" t="s">
        <v>1214</v>
      </c>
      <c r="D1061" s="1199">
        <v>74.92</v>
      </c>
      <c r="E1061" s="1199">
        <f t="shared" si="16"/>
        <v>62.69</v>
      </c>
    </row>
    <row r="1062" spans="1:5">
      <c r="A1062" s="1003" t="s">
        <v>8010</v>
      </c>
      <c r="B1062" s="1003" t="s">
        <v>7829</v>
      </c>
      <c r="C1062" s="1199" t="s">
        <v>1214</v>
      </c>
      <c r="D1062" s="1199">
        <v>107.59</v>
      </c>
      <c r="E1062" s="1199">
        <f t="shared" si="16"/>
        <v>90.03</v>
      </c>
    </row>
    <row r="1063" spans="1:5">
      <c r="A1063" s="1003" t="s">
        <v>8011</v>
      </c>
      <c r="B1063" s="1003" t="s">
        <v>7830</v>
      </c>
      <c r="C1063" s="1199" t="s">
        <v>1214</v>
      </c>
      <c r="D1063" s="1199">
        <v>126.2</v>
      </c>
      <c r="E1063" s="1199">
        <f t="shared" si="16"/>
        <v>105.61</v>
      </c>
    </row>
    <row r="1064" spans="1:5">
      <c r="A1064" s="1003" t="s">
        <v>8012</v>
      </c>
      <c r="B1064" s="1003" t="s">
        <v>7832</v>
      </c>
      <c r="C1064" s="1199" t="s">
        <v>1214</v>
      </c>
      <c r="D1064" s="1199">
        <v>190.49</v>
      </c>
      <c r="E1064" s="1199">
        <f t="shared" si="16"/>
        <v>159.41</v>
      </c>
    </row>
    <row r="1065" spans="1:5">
      <c r="A1065" s="1003" t="s">
        <v>8013</v>
      </c>
      <c r="B1065" s="1003" t="s">
        <v>2584</v>
      </c>
      <c r="C1065" s="1199" t="s">
        <v>1214</v>
      </c>
      <c r="D1065" s="1199">
        <v>91.18</v>
      </c>
      <c r="E1065" s="1199">
        <f t="shared" si="16"/>
        <v>76.3</v>
      </c>
    </row>
    <row r="1066" spans="1:5">
      <c r="A1066" s="1003" t="s">
        <v>473</v>
      </c>
      <c r="B1066" s="1003" t="s">
        <v>2778</v>
      </c>
      <c r="C1066" s="1199" t="s">
        <v>1214</v>
      </c>
      <c r="D1066" s="1199">
        <v>128.97999999999999</v>
      </c>
      <c r="E1066" s="1199">
        <f t="shared" si="16"/>
        <v>107.93</v>
      </c>
    </row>
    <row r="1067" spans="1:5">
      <c r="A1067" s="1003" t="s">
        <v>475</v>
      </c>
      <c r="B1067" s="1003" t="s">
        <v>2779</v>
      </c>
      <c r="C1067" s="1199" t="s">
        <v>1214</v>
      </c>
      <c r="D1067" s="1199">
        <v>154.41</v>
      </c>
      <c r="E1067" s="1199">
        <f t="shared" si="16"/>
        <v>129.21</v>
      </c>
    </row>
    <row r="1068" spans="1:5">
      <c r="A1068" s="1003" t="s">
        <v>477</v>
      </c>
      <c r="B1068" s="1003" t="s">
        <v>2780</v>
      </c>
      <c r="C1068" s="1199" t="s">
        <v>1214</v>
      </c>
      <c r="D1068" s="1199">
        <v>175.48</v>
      </c>
      <c r="E1068" s="1199">
        <f t="shared" si="16"/>
        <v>146.85</v>
      </c>
    </row>
    <row r="1069" spans="1:5">
      <c r="A1069" s="1003" t="s">
        <v>479</v>
      </c>
      <c r="B1069" s="1003" t="s">
        <v>2588</v>
      </c>
      <c r="C1069" s="1199" t="s">
        <v>1214</v>
      </c>
      <c r="D1069" s="1199">
        <v>220.26</v>
      </c>
      <c r="E1069" s="1199">
        <f t="shared" si="16"/>
        <v>184.32</v>
      </c>
    </row>
    <row r="1070" spans="1:5">
      <c r="A1070" s="1003" t="s">
        <v>8014</v>
      </c>
      <c r="B1070" s="1003" t="s">
        <v>2781</v>
      </c>
      <c r="C1070" s="1199" t="s">
        <v>1214</v>
      </c>
      <c r="D1070" s="1199">
        <v>284.22000000000003</v>
      </c>
      <c r="E1070" s="1199">
        <f t="shared" si="16"/>
        <v>237.84</v>
      </c>
    </row>
    <row r="1071" spans="1:5">
      <c r="A1071" s="1003" t="s">
        <v>481</v>
      </c>
      <c r="B1071" s="1003" t="s">
        <v>2590</v>
      </c>
      <c r="C1071" s="1199" t="s">
        <v>1214</v>
      </c>
      <c r="D1071" s="1199">
        <v>310.94</v>
      </c>
      <c r="E1071" s="1199">
        <f t="shared" si="16"/>
        <v>260.2</v>
      </c>
    </row>
    <row r="1072" spans="1:5">
      <c r="A1072" s="1003" t="s">
        <v>483</v>
      </c>
      <c r="B1072" s="1003" t="s">
        <v>2591</v>
      </c>
      <c r="C1072" s="1199" t="s">
        <v>1214</v>
      </c>
      <c r="D1072" s="1199">
        <v>423.46</v>
      </c>
      <c r="E1072" s="1199">
        <f t="shared" si="16"/>
        <v>354.36</v>
      </c>
    </row>
    <row r="1073" spans="1:5">
      <c r="A1073" s="1003" t="s">
        <v>8015</v>
      </c>
      <c r="B1073" s="1003" t="s">
        <v>2782</v>
      </c>
      <c r="C1073" s="1199" t="s">
        <v>1652</v>
      </c>
      <c r="D1073" s="1199">
        <v>637.01</v>
      </c>
      <c r="E1073" s="1199">
        <f t="shared" si="16"/>
        <v>533.05999999999995</v>
      </c>
    </row>
    <row r="1074" spans="1:5">
      <c r="A1074" s="1003" t="s">
        <v>8016</v>
      </c>
      <c r="B1074" s="1003" t="s">
        <v>2605</v>
      </c>
      <c r="C1074" s="1199" t="s">
        <v>1615</v>
      </c>
      <c r="D1074" s="1199">
        <v>85.44</v>
      </c>
      <c r="E1074" s="1199">
        <f t="shared" si="16"/>
        <v>71.5</v>
      </c>
    </row>
    <row r="1075" spans="1:5">
      <c r="A1075" s="1003" t="s">
        <v>488</v>
      </c>
      <c r="B1075" s="1003" t="s">
        <v>2606</v>
      </c>
      <c r="C1075" s="1199" t="s">
        <v>1615</v>
      </c>
      <c r="D1075" s="1199">
        <v>106.13</v>
      </c>
      <c r="E1075" s="1199">
        <f t="shared" si="16"/>
        <v>88.81</v>
      </c>
    </row>
    <row r="1076" spans="1:5">
      <c r="A1076" s="1003" t="s">
        <v>490</v>
      </c>
      <c r="B1076" s="1003" t="s">
        <v>2607</v>
      </c>
      <c r="C1076" s="1199" t="s">
        <v>1615</v>
      </c>
      <c r="D1076" s="1199">
        <v>131.47</v>
      </c>
      <c r="E1076" s="1199">
        <f t="shared" si="16"/>
        <v>110.02</v>
      </c>
    </row>
    <row r="1077" spans="1:5">
      <c r="A1077" s="1003" t="s">
        <v>492</v>
      </c>
      <c r="B1077" s="1003" t="s">
        <v>2784</v>
      </c>
      <c r="C1077" s="1199" t="s">
        <v>1615</v>
      </c>
      <c r="D1077" s="1199">
        <v>154</v>
      </c>
      <c r="E1077" s="1199">
        <f t="shared" si="16"/>
        <v>128.87</v>
      </c>
    </row>
    <row r="1078" spans="1:5">
      <c r="A1078" s="1003" t="s">
        <v>494</v>
      </c>
      <c r="B1078" s="1003" t="s">
        <v>2609</v>
      </c>
      <c r="C1078" s="1199" t="s">
        <v>1615</v>
      </c>
      <c r="D1078" s="1199">
        <v>200.39</v>
      </c>
      <c r="E1078" s="1199">
        <f t="shared" si="16"/>
        <v>167.69</v>
      </c>
    </row>
    <row r="1079" spans="1:5">
      <c r="A1079" s="1003" t="s">
        <v>8017</v>
      </c>
      <c r="B1079" s="1003" t="s">
        <v>2785</v>
      </c>
      <c r="C1079" s="1199" t="s">
        <v>1615</v>
      </c>
      <c r="D1079" s="1199">
        <v>471.29</v>
      </c>
      <c r="E1079" s="1199">
        <f t="shared" si="16"/>
        <v>394.38</v>
      </c>
    </row>
    <row r="1080" spans="1:5">
      <c r="A1080" s="1003" t="s">
        <v>496</v>
      </c>
      <c r="B1080" s="1003" t="s">
        <v>2611</v>
      </c>
      <c r="C1080" s="1199" t="s">
        <v>1615</v>
      </c>
      <c r="D1080" s="1199">
        <v>713.45</v>
      </c>
      <c r="E1080" s="1199">
        <f t="shared" si="16"/>
        <v>597.03</v>
      </c>
    </row>
    <row r="1081" spans="1:5">
      <c r="A1081" s="1003" t="s">
        <v>8018</v>
      </c>
      <c r="B1081" s="1003" t="s">
        <v>2612</v>
      </c>
      <c r="C1081" s="1199" t="s">
        <v>1615</v>
      </c>
      <c r="D1081" s="1199">
        <v>1225.4100000000001</v>
      </c>
      <c r="E1081" s="1199">
        <f t="shared" si="16"/>
        <v>1025.45</v>
      </c>
    </row>
    <row r="1082" spans="1:5">
      <c r="A1082" s="1003" t="s">
        <v>498</v>
      </c>
      <c r="B1082" s="1003" t="s">
        <v>2786</v>
      </c>
      <c r="C1082" s="1199" t="s">
        <v>1615</v>
      </c>
      <c r="D1082" s="1199">
        <v>189.9</v>
      </c>
      <c r="E1082" s="1199">
        <f t="shared" si="16"/>
        <v>158.91</v>
      </c>
    </row>
    <row r="1083" spans="1:5">
      <c r="A1083" s="1003" t="s">
        <v>8019</v>
      </c>
      <c r="B1083" s="1003" t="s">
        <v>2787</v>
      </c>
      <c r="C1083" s="1199" t="s">
        <v>1615</v>
      </c>
      <c r="D1083" s="1199">
        <v>257.43</v>
      </c>
      <c r="E1083" s="1199">
        <f t="shared" si="16"/>
        <v>215.42</v>
      </c>
    </row>
    <row r="1084" spans="1:5">
      <c r="A1084" s="1003" t="s">
        <v>500</v>
      </c>
      <c r="B1084" s="1003" t="s">
        <v>2788</v>
      </c>
      <c r="C1084" s="1199" t="s">
        <v>1615</v>
      </c>
      <c r="D1084" s="1199">
        <v>304.97000000000003</v>
      </c>
      <c r="E1084" s="1199">
        <f t="shared" si="16"/>
        <v>255.21</v>
      </c>
    </row>
    <row r="1085" spans="1:5">
      <c r="A1085" s="1003" t="s">
        <v>8020</v>
      </c>
      <c r="B1085" s="1003" t="s">
        <v>2789</v>
      </c>
      <c r="C1085" s="1199" t="s">
        <v>1615</v>
      </c>
      <c r="D1085" s="1199">
        <v>418.81</v>
      </c>
      <c r="E1085" s="1199">
        <f t="shared" si="16"/>
        <v>350.47</v>
      </c>
    </row>
    <row r="1086" spans="1:5">
      <c r="A1086" s="1003" t="s">
        <v>8021</v>
      </c>
      <c r="B1086" s="1003" t="s">
        <v>2790</v>
      </c>
      <c r="C1086" s="1199" t="s">
        <v>1615</v>
      </c>
      <c r="D1086" s="1199">
        <v>685.42</v>
      </c>
      <c r="E1086" s="1199">
        <f t="shared" si="16"/>
        <v>573.57000000000005</v>
      </c>
    </row>
    <row r="1087" spans="1:5">
      <c r="A1087" s="1003" t="s">
        <v>8022</v>
      </c>
      <c r="B1087" s="1003" t="s">
        <v>2791</v>
      </c>
      <c r="C1087" s="1199" t="s">
        <v>1615</v>
      </c>
      <c r="D1087" s="1199">
        <v>818.68</v>
      </c>
      <c r="E1087" s="1199">
        <f t="shared" si="16"/>
        <v>685.09</v>
      </c>
    </row>
    <row r="1088" spans="1:5">
      <c r="A1088" s="1003" t="s">
        <v>8023</v>
      </c>
      <c r="B1088" s="1003" t="s">
        <v>2792</v>
      </c>
      <c r="C1088" s="1199" t="s">
        <v>1615</v>
      </c>
      <c r="D1088" s="1199">
        <v>1394.88</v>
      </c>
      <c r="E1088" s="1199">
        <f t="shared" si="16"/>
        <v>1167.26</v>
      </c>
    </row>
    <row r="1089" spans="1:5">
      <c r="A1089" s="1003" t="s">
        <v>8024</v>
      </c>
      <c r="B1089" s="1003" t="s">
        <v>2793</v>
      </c>
      <c r="C1089" s="1199" t="s">
        <v>1615</v>
      </c>
      <c r="D1089" s="1199">
        <v>138.22</v>
      </c>
      <c r="E1089" s="1199">
        <f t="shared" si="16"/>
        <v>115.67</v>
      </c>
    </row>
    <row r="1090" spans="1:5">
      <c r="A1090" s="1003" t="s">
        <v>8025</v>
      </c>
      <c r="B1090" s="1003" t="s">
        <v>2794</v>
      </c>
      <c r="C1090" s="1199" t="s">
        <v>1615</v>
      </c>
      <c r="D1090" s="1199">
        <v>193.76</v>
      </c>
      <c r="E1090" s="1199">
        <f t="shared" si="16"/>
        <v>162.13999999999999</v>
      </c>
    </row>
    <row r="1091" spans="1:5">
      <c r="A1091" s="1003" t="s">
        <v>502</v>
      </c>
      <c r="B1091" s="1003" t="s">
        <v>2795</v>
      </c>
      <c r="C1091" s="1199" t="s">
        <v>1615</v>
      </c>
      <c r="D1091" s="1199">
        <v>228.56</v>
      </c>
      <c r="E1091" s="1199">
        <f t="shared" si="16"/>
        <v>191.26</v>
      </c>
    </row>
    <row r="1092" spans="1:5">
      <c r="A1092" s="1003" t="s">
        <v>8026</v>
      </c>
      <c r="B1092" s="1003" t="s">
        <v>2796</v>
      </c>
      <c r="C1092" s="1199" t="s">
        <v>1615</v>
      </c>
      <c r="D1092" s="1199">
        <v>313.26</v>
      </c>
      <c r="E1092" s="1199">
        <f t="shared" ref="E1092:E1155" si="17">ROUND(D1092/1.195,2)</f>
        <v>262.14</v>
      </c>
    </row>
    <row r="1093" spans="1:5">
      <c r="A1093" s="1003" t="s">
        <v>8027</v>
      </c>
      <c r="B1093" s="1003" t="s">
        <v>2797</v>
      </c>
      <c r="C1093" s="1199" t="s">
        <v>1615</v>
      </c>
      <c r="D1093" s="1199">
        <v>512.92999999999995</v>
      </c>
      <c r="E1093" s="1199">
        <f t="shared" si="17"/>
        <v>429.23</v>
      </c>
    </row>
    <row r="1094" spans="1:5">
      <c r="A1094" s="1003" t="s">
        <v>504</v>
      </c>
      <c r="B1094" s="1003" t="s">
        <v>2798</v>
      </c>
      <c r="C1094" s="1199" t="s">
        <v>1615</v>
      </c>
      <c r="D1094" s="1199">
        <v>721.24</v>
      </c>
      <c r="E1094" s="1199">
        <f t="shared" si="17"/>
        <v>603.54999999999995</v>
      </c>
    </row>
    <row r="1095" spans="1:5">
      <c r="A1095" s="1003" t="s">
        <v>8028</v>
      </c>
      <c r="B1095" s="1003" t="s">
        <v>2799</v>
      </c>
      <c r="C1095" s="1199" t="s">
        <v>1615</v>
      </c>
      <c r="D1095" s="1199">
        <v>1247.92</v>
      </c>
      <c r="E1095" s="1199">
        <f t="shared" si="17"/>
        <v>1044.28</v>
      </c>
    </row>
    <row r="1096" spans="1:5">
      <c r="A1096" s="1003" t="s">
        <v>8029</v>
      </c>
      <c r="B1096" s="1003" t="s">
        <v>2800</v>
      </c>
      <c r="C1096" s="1199" t="s">
        <v>1615</v>
      </c>
      <c r="D1096" s="1199">
        <v>132.03</v>
      </c>
      <c r="E1096" s="1199">
        <f t="shared" si="17"/>
        <v>110.49</v>
      </c>
    </row>
    <row r="1097" spans="1:5">
      <c r="A1097" s="1003" t="s">
        <v>8030</v>
      </c>
      <c r="B1097" s="1003" t="s">
        <v>2801</v>
      </c>
      <c r="C1097" s="1199" t="s">
        <v>1615</v>
      </c>
      <c r="D1097" s="1199">
        <v>190.37</v>
      </c>
      <c r="E1097" s="1199">
        <f t="shared" si="17"/>
        <v>159.31</v>
      </c>
    </row>
    <row r="1098" spans="1:5">
      <c r="A1098" s="1003" t="s">
        <v>506</v>
      </c>
      <c r="B1098" s="1003" t="s">
        <v>2802</v>
      </c>
      <c r="C1098" s="1199" t="s">
        <v>1615</v>
      </c>
      <c r="D1098" s="1199">
        <v>215.3</v>
      </c>
      <c r="E1098" s="1199">
        <f t="shared" si="17"/>
        <v>180.17</v>
      </c>
    </row>
    <row r="1099" spans="1:5">
      <c r="A1099" s="1003" t="s">
        <v>8031</v>
      </c>
      <c r="B1099" s="1003" t="s">
        <v>2803</v>
      </c>
      <c r="C1099" s="1199" t="s">
        <v>1615</v>
      </c>
      <c r="D1099" s="1199">
        <v>291.14</v>
      </c>
      <c r="E1099" s="1199">
        <f t="shared" si="17"/>
        <v>243.63</v>
      </c>
    </row>
    <row r="1100" spans="1:5">
      <c r="A1100" s="1003" t="s">
        <v>8032</v>
      </c>
      <c r="B1100" s="1003" t="s">
        <v>2804</v>
      </c>
      <c r="C1100" s="1199" t="s">
        <v>1615</v>
      </c>
      <c r="D1100" s="1199">
        <v>461.42</v>
      </c>
      <c r="E1100" s="1199">
        <f t="shared" si="17"/>
        <v>386.13</v>
      </c>
    </row>
    <row r="1101" spans="1:5">
      <c r="A1101" s="1003" t="s">
        <v>8033</v>
      </c>
      <c r="B1101" s="1003" t="s">
        <v>2805</v>
      </c>
      <c r="C1101" s="1199" t="s">
        <v>1615</v>
      </c>
      <c r="D1101" s="1199">
        <v>646.63</v>
      </c>
      <c r="E1101" s="1199">
        <f t="shared" si="17"/>
        <v>541.11</v>
      </c>
    </row>
    <row r="1102" spans="1:5">
      <c r="A1102" s="1003" t="s">
        <v>8034</v>
      </c>
      <c r="B1102" s="1003" t="s">
        <v>2806</v>
      </c>
      <c r="C1102" s="1199" t="s">
        <v>1615</v>
      </c>
      <c r="D1102" s="1199">
        <v>118.04</v>
      </c>
      <c r="E1102" s="1199">
        <f t="shared" si="17"/>
        <v>98.78</v>
      </c>
    </row>
    <row r="1103" spans="1:5">
      <c r="A1103" s="1003" t="s">
        <v>508</v>
      </c>
      <c r="B1103" s="1003" t="s">
        <v>2807</v>
      </c>
      <c r="C1103" s="1199" t="s">
        <v>1615</v>
      </c>
      <c r="D1103" s="1199">
        <v>155.5</v>
      </c>
      <c r="E1103" s="1199">
        <f t="shared" si="17"/>
        <v>130.13</v>
      </c>
    </row>
    <row r="1104" spans="1:5">
      <c r="A1104" s="1003" t="s">
        <v>8035</v>
      </c>
      <c r="B1104" s="1003" t="s">
        <v>2810</v>
      </c>
      <c r="C1104" s="1199" t="s">
        <v>1615</v>
      </c>
      <c r="D1104" s="1199">
        <v>386.63</v>
      </c>
      <c r="E1104" s="1199">
        <f t="shared" si="17"/>
        <v>323.54000000000002</v>
      </c>
    </row>
    <row r="1105" spans="1:5">
      <c r="A1105" s="1003" t="s">
        <v>8036</v>
      </c>
      <c r="B1105" s="1003" t="s">
        <v>2820</v>
      </c>
      <c r="C1105" s="1199" t="s">
        <v>1214</v>
      </c>
      <c r="D1105" s="1199">
        <v>20992.92</v>
      </c>
      <c r="E1105" s="1199">
        <f t="shared" si="17"/>
        <v>17567.3</v>
      </c>
    </row>
    <row r="1106" spans="1:5">
      <c r="A1106" s="1003" t="s">
        <v>8037</v>
      </c>
      <c r="B1106" s="1003" t="s">
        <v>2821</v>
      </c>
      <c r="C1106" s="1199" t="s">
        <v>1615</v>
      </c>
      <c r="D1106" s="1199">
        <v>5099.93</v>
      </c>
      <c r="E1106" s="1199">
        <f t="shared" si="17"/>
        <v>4267.72</v>
      </c>
    </row>
    <row r="1107" spans="1:5">
      <c r="A1107" s="1003" t="s">
        <v>8038</v>
      </c>
      <c r="B1107" s="1003" t="s">
        <v>2822</v>
      </c>
      <c r="C1107" s="1199" t="s">
        <v>1615</v>
      </c>
      <c r="D1107" s="1199">
        <v>7136.15</v>
      </c>
      <c r="E1107" s="1199">
        <f t="shared" si="17"/>
        <v>5971.67</v>
      </c>
    </row>
    <row r="1108" spans="1:5">
      <c r="A1108" s="1003" t="s">
        <v>8039</v>
      </c>
      <c r="B1108" s="1003" t="s">
        <v>2829</v>
      </c>
      <c r="C1108" s="1199" t="s">
        <v>1615</v>
      </c>
      <c r="D1108" s="1199">
        <v>1748.02</v>
      </c>
      <c r="E1108" s="1199">
        <f t="shared" si="17"/>
        <v>1462.78</v>
      </c>
    </row>
    <row r="1109" spans="1:5">
      <c r="A1109" s="1003" t="s">
        <v>8040</v>
      </c>
      <c r="B1109" s="1003" t="s">
        <v>2830</v>
      </c>
      <c r="C1109" s="1199" t="s">
        <v>1615</v>
      </c>
      <c r="D1109" s="1199">
        <v>2018.49</v>
      </c>
      <c r="E1109" s="1199">
        <f t="shared" si="17"/>
        <v>1689.11</v>
      </c>
    </row>
    <row r="1110" spans="1:5">
      <c r="A1110" s="1003" t="s">
        <v>510</v>
      </c>
      <c r="B1110" s="1003" t="s">
        <v>2831</v>
      </c>
      <c r="C1110" s="1199" t="s">
        <v>1615</v>
      </c>
      <c r="D1110" s="1199">
        <v>2775.73</v>
      </c>
      <c r="E1110" s="1199">
        <f t="shared" si="17"/>
        <v>2322.79</v>
      </c>
    </row>
    <row r="1111" spans="1:5">
      <c r="A1111" s="1003" t="s">
        <v>512</v>
      </c>
      <c r="B1111" s="1003" t="s">
        <v>2832</v>
      </c>
      <c r="C1111" s="1199" t="s">
        <v>1615</v>
      </c>
      <c r="D1111" s="1199">
        <v>4431.6499999999996</v>
      </c>
      <c r="E1111" s="1199">
        <f t="shared" si="17"/>
        <v>3708.49</v>
      </c>
    </row>
    <row r="1112" spans="1:5">
      <c r="A1112" s="1003" t="s">
        <v>8041</v>
      </c>
      <c r="B1112" s="1003" t="s">
        <v>2833</v>
      </c>
      <c r="C1112" s="1199" t="s">
        <v>1615</v>
      </c>
      <c r="D1112" s="1199">
        <v>4518.16</v>
      </c>
      <c r="E1112" s="1199">
        <f t="shared" si="17"/>
        <v>3780.89</v>
      </c>
    </row>
    <row r="1113" spans="1:5">
      <c r="A1113" s="1003" t="s">
        <v>8042</v>
      </c>
      <c r="B1113" s="1003" t="s">
        <v>2834</v>
      </c>
      <c r="C1113" s="1199" t="s">
        <v>1615</v>
      </c>
      <c r="D1113" s="1199">
        <v>2198.9899999999998</v>
      </c>
      <c r="E1113" s="1199">
        <f t="shared" si="17"/>
        <v>1840.16</v>
      </c>
    </row>
    <row r="1114" spans="1:5">
      <c r="A1114" s="1003" t="s">
        <v>514</v>
      </c>
      <c r="B1114" s="1003" t="s">
        <v>2835</v>
      </c>
      <c r="C1114" s="1199" t="s">
        <v>1214</v>
      </c>
      <c r="D1114" s="1199">
        <v>16151.62</v>
      </c>
      <c r="E1114" s="1199">
        <f t="shared" si="17"/>
        <v>13516</v>
      </c>
    </row>
    <row r="1115" spans="1:5">
      <c r="A1115" s="1003" t="s">
        <v>516</v>
      </c>
      <c r="B1115" s="1003" t="s">
        <v>2836</v>
      </c>
      <c r="C1115" s="1199" t="s">
        <v>1615</v>
      </c>
      <c r="D1115" s="1199">
        <v>3980.54</v>
      </c>
      <c r="E1115" s="1199">
        <f t="shared" si="17"/>
        <v>3331</v>
      </c>
    </row>
    <row r="1116" spans="1:5">
      <c r="A1116" s="1003" t="s">
        <v>518</v>
      </c>
      <c r="B1116" s="1003" t="s">
        <v>2837</v>
      </c>
      <c r="C1116" s="1199" t="s">
        <v>1615</v>
      </c>
      <c r="D1116" s="1199">
        <v>5823.83</v>
      </c>
      <c r="E1116" s="1199">
        <f t="shared" si="17"/>
        <v>4873.5</v>
      </c>
    </row>
    <row r="1117" spans="1:5">
      <c r="A1117" s="1003" t="s">
        <v>520</v>
      </c>
      <c r="B1117" s="1003" t="s">
        <v>2846</v>
      </c>
      <c r="C1117" s="1199" t="s">
        <v>1652</v>
      </c>
      <c r="D1117" s="1199">
        <v>637.01</v>
      </c>
      <c r="E1117" s="1199">
        <f t="shared" si="17"/>
        <v>533.05999999999995</v>
      </c>
    </row>
    <row r="1118" spans="1:5">
      <c r="A1118" s="1003" t="s">
        <v>8043</v>
      </c>
      <c r="B1118" s="1003" t="s">
        <v>8044</v>
      </c>
      <c r="C1118" s="1199" t="s">
        <v>1615</v>
      </c>
      <c r="D1118" s="1199">
        <v>554.71</v>
      </c>
      <c r="E1118" s="1199">
        <f t="shared" si="17"/>
        <v>464.19</v>
      </c>
    </row>
    <row r="1119" spans="1:5">
      <c r="A1119" s="1003" t="s">
        <v>8045</v>
      </c>
      <c r="B1119" s="1003" t="s">
        <v>8046</v>
      </c>
      <c r="C1119" s="1199" t="s">
        <v>1615</v>
      </c>
      <c r="D1119" s="1199">
        <v>746.31</v>
      </c>
      <c r="E1119" s="1199">
        <f t="shared" si="17"/>
        <v>624.53</v>
      </c>
    </row>
    <row r="1120" spans="1:5">
      <c r="A1120" s="1003" t="s">
        <v>8047</v>
      </c>
      <c r="B1120" s="1003" t="s">
        <v>8048</v>
      </c>
      <c r="C1120" s="1199" t="s">
        <v>1615</v>
      </c>
      <c r="D1120" s="1199">
        <v>4615.38</v>
      </c>
      <c r="E1120" s="1199">
        <f t="shared" si="17"/>
        <v>3862.24</v>
      </c>
    </row>
    <row r="1121" spans="1:5">
      <c r="A1121" s="1003" t="s">
        <v>8049</v>
      </c>
      <c r="B1121" s="1003" t="s">
        <v>8050</v>
      </c>
      <c r="C1121" s="1199" t="s">
        <v>2050</v>
      </c>
      <c r="D1121" s="1199">
        <v>1385.88</v>
      </c>
      <c r="E1121" s="1199">
        <f t="shared" si="17"/>
        <v>1159.73</v>
      </c>
    </row>
    <row r="1122" spans="1:5">
      <c r="A1122" s="1003" t="s">
        <v>525</v>
      </c>
      <c r="B1122" s="1003" t="s">
        <v>8051</v>
      </c>
      <c r="C1122" s="1199" t="s">
        <v>1214</v>
      </c>
      <c r="D1122" s="1199">
        <v>1889.9</v>
      </c>
      <c r="E1122" s="1199">
        <f t="shared" si="17"/>
        <v>1581.51</v>
      </c>
    </row>
    <row r="1123" spans="1:5">
      <c r="A1123" s="1003" t="s">
        <v>527</v>
      </c>
      <c r="B1123" s="1003" t="s">
        <v>2852</v>
      </c>
      <c r="C1123" s="1199" t="s">
        <v>1214</v>
      </c>
      <c r="D1123" s="1199">
        <v>1012.23</v>
      </c>
      <c r="E1123" s="1199">
        <f t="shared" si="17"/>
        <v>847.05</v>
      </c>
    </row>
    <row r="1124" spans="1:5">
      <c r="A1124" s="1003" t="s">
        <v>8052</v>
      </c>
      <c r="B1124" s="1003" t="s">
        <v>8053</v>
      </c>
      <c r="C1124" s="1199" t="s">
        <v>1615</v>
      </c>
      <c r="D1124" s="1199">
        <v>3504.48</v>
      </c>
      <c r="E1124" s="1199">
        <f t="shared" si="17"/>
        <v>2932.62</v>
      </c>
    </row>
    <row r="1125" spans="1:5">
      <c r="A1125" s="1003" t="s">
        <v>529</v>
      </c>
      <c r="B1125" s="1003" t="s">
        <v>8054</v>
      </c>
      <c r="C1125" s="1199" t="s">
        <v>1214</v>
      </c>
      <c r="D1125" s="1199">
        <v>2401.96</v>
      </c>
      <c r="E1125" s="1199">
        <f t="shared" si="17"/>
        <v>2010.01</v>
      </c>
    </row>
    <row r="1126" spans="1:5">
      <c r="A1126" s="1003" t="s">
        <v>531</v>
      </c>
      <c r="B1126" s="1003" t="s">
        <v>8055</v>
      </c>
      <c r="C1126" s="1199" t="s">
        <v>1214</v>
      </c>
      <c r="D1126" s="1199">
        <v>2993.18</v>
      </c>
      <c r="E1126" s="1199">
        <f t="shared" si="17"/>
        <v>2504.75</v>
      </c>
    </row>
    <row r="1127" spans="1:5">
      <c r="A1127" s="1003" t="s">
        <v>533</v>
      </c>
      <c r="B1127" s="1003" t="s">
        <v>2853</v>
      </c>
      <c r="C1127" s="1199" t="s">
        <v>1214</v>
      </c>
      <c r="D1127" s="1199">
        <v>2311.83</v>
      </c>
      <c r="E1127" s="1199">
        <f t="shared" si="17"/>
        <v>1934.59</v>
      </c>
    </row>
    <row r="1128" spans="1:5">
      <c r="A1128" s="1003" t="s">
        <v>8056</v>
      </c>
      <c r="B1128" s="1003" t="s">
        <v>2854</v>
      </c>
      <c r="C1128" s="1199" t="s">
        <v>1652</v>
      </c>
      <c r="D1128" s="1199">
        <v>637.01</v>
      </c>
      <c r="E1128" s="1199">
        <f t="shared" si="17"/>
        <v>533.05999999999995</v>
      </c>
    </row>
    <row r="1129" spans="1:5">
      <c r="A1129" s="1003" t="s">
        <v>538</v>
      </c>
      <c r="B1129" s="1003" t="s">
        <v>2856</v>
      </c>
      <c r="C1129" s="1199" t="s">
        <v>1615</v>
      </c>
      <c r="D1129" s="1199">
        <v>363.42</v>
      </c>
      <c r="E1129" s="1199">
        <f t="shared" si="17"/>
        <v>304.12</v>
      </c>
    </row>
    <row r="1130" spans="1:5">
      <c r="A1130" s="1003" t="s">
        <v>8057</v>
      </c>
      <c r="B1130" s="1003" t="s">
        <v>8058</v>
      </c>
      <c r="C1130" s="1199" t="s">
        <v>1615</v>
      </c>
      <c r="D1130" s="1199">
        <v>795.1</v>
      </c>
      <c r="E1130" s="1199">
        <f t="shared" si="17"/>
        <v>665.36</v>
      </c>
    </row>
    <row r="1131" spans="1:5">
      <c r="A1131" s="1003" t="s">
        <v>8059</v>
      </c>
      <c r="B1131" s="1003" t="s">
        <v>2857</v>
      </c>
      <c r="C1131" s="1199" t="s">
        <v>1615</v>
      </c>
      <c r="D1131" s="1199">
        <v>742.36</v>
      </c>
      <c r="E1131" s="1199">
        <f t="shared" si="17"/>
        <v>621.22</v>
      </c>
    </row>
    <row r="1132" spans="1:5">
      <c r="A1132" s="1003" t="s">
        <v>540</v>
      </c>
      <c r="B1132" s="1003" t="s">
        <v>2858</v>
      </c>
      <c r="C1132" s="1199" t="s">
        <v>1615</v>
      </c>
      <c r="D1132" s="1199">
        <v>1206.28</v>
      </c>
      <c r="E1132" s="1199">
        <f t="shared" si="17"/>
        <v>1009.44</v>
      </c>
    </row>
    <row r="1133" spans="1:5">
      <c r="A1133" s="1003" t="s">
        <v>8060</v>
      </c>
      <c r="B1133" s="1003" t="s">
        <v>2859</v>
      </c>
      <c r="C1133" s="1199" t="s">
        <v>1615</v>
      </c>
      <c r="D1133" s="1199">
        <v>594.24</v>
      </c>
      <c r="E1133" s="1199">
        <f t="shared" si="17"/>
        <v>497.27</v>
      </c>
    </row>
    <row r="1134" spans="1:5">
      <c r="A1134" s="1003" t="s">
        <v>542</v>
      </c>
      <c r="B1134" s="1003" t="s">
        <v>2860</v>
      </c>
      <c r="C1134" s="1199" t="s">
        <v>1615</v>
      </c>
      <c r="D1134" s="1199">
        <v>1198.1199999999999</v>
      </c>
      <c r="E1134" s="1199">
        <f t="shared" si="17"/>
        <v>1002.61</v>
      </c>
    </row>
    <row r="1135" spans="1:5">
      <c r="A1135" s="1003" t="s">
        <v>8061</v>
      </c>
      <c r="B1135" s="1003" t="s">
        <v>2861</v>
      </c>
      <c r="C1135" s="1199" t="s">
        <v>1615</v>
      </c>
      <c r="D1135" s="1199">
        <v>1564.09</v>
      </c>
      <c r="E1135" s="1199">
        <f t="shared" si="17"/>
        <v>1308.8599999999999</v>
      </c>
    </row>
    <row r="1136" spans="1:5">
      <c r="A1136" s="1003" t="s">
        <v>8062</v>
      </c>
      <c r="B1136" s="1003" t="s">
        <v>2862</v>
      </c>
      <c r="C1136" s="1199" t="s">
        <v>1615</v>
      </c>
      <c r="D1136" s="1199">
        <v>101.52</v>
      </c>
      <c r="E1136" s="1199">
        <f t="shared" si="17"/>
        <v>84.95</v>
      </c>
    </row>
    <row r="1137" spans="1:5">
      <c r="A1137" s="1003" t="s">
        <v>544</v>
      </c>
      <c r="B1137" s="1003" t="s">
        <v>2863</v>
      </c>
      <c r="C1137" s="1199" t="s">
        <v>1615</v>
      </c>
      <c r="D1137" s="1199">
        <v>110.18</v>
      </c>
      <c r="E1137" s="1199">
        <f t="shared" si="17"/>
        <v>92.2</v>
      </c>
    </row>
    <row r="1138" spans="1:5">
      <c r="A1138" s="1003" t="s">
        <v>8063</v>
      </c>
      <c r="B1138" s="1003" t="s">
        <v>8064</v>
      </c>
      <c r="C1138" s="1199" t="s">
        <v>2050</v>
      </c>
      <c r="D1138" s="1199">
        <v>3034.86</v>
      </c>
      <c r="E1138" s="1199">
        <f t="shared" si="17"/>
        <v>2539.63</v>
      </c>
    </row>
    <row r="1139" spans="1:5">
      <c r="A1139" s="1003" t="s">
        <v>8065</v>
      </c>
      <c r="B1139" s="1003" t="s">
        <v>8066</v>
      </c>
      <c r="C1139" s="1199" t="s">
        <v>2050</v>
      </c>
      <c r="D1139" s="1199">
        <v>3652.27</v>
      </c>
      <c r="E1139" s="1199">
        <f t="shared" si="17"/>
        <v>3056.29</v>
      </c>
    </row>
    <row r="1140" spans="1:5">
      <c r="A1140" s="1003" t="s">
        <v>8067</v>
      </c>
      <c r="B1140" s="1003" t="s">
        <v>8068</v>
      </c>
      <c r="C1140" s="1199" t="s">
        <v>2050</v>
      </c>
      <c r="D1140" s="1199">
        <v>1948.31</v>
      </c>
      <c r="E1140" s="1199">
        <f t="shared" si="17"/>
        <v>1630.38</v>
      </c>
    </row>
    <row r="1141" spans="1:5">
      <c r="A1141" s="1003" t="s">
        <v>8069</v>
      </c>
      <c r="B1141" s="1003" t="s">
        <v>8070</v>
      </c>
      <c r="C1141" s="1199" t="s">
        <v>2050</v>
      </c>
      <c r="D1141" s="1199">
        <v>1422.32</v>
      </c>
      <c r="E1141" s="1199">
        <f t="shared" si="17"/>
        <v>1190.23</v>
      </c>
    </row>
    <row r="1142" spans="1:5">
      <c r="A1142" s="1003" t="s">
        <v>546</v>
      </c>
      <c r="B1142" s="1003" t="s">
        <v>2864</v>
      </c>
      <c r="C1142" s="1199" t="s">
        <v>1615</v>
      </c>
      <c r="D1142" s="1199">
        <v>116.25</v>
      </c>
      <c r="E1142" s="1199">
        <f t="shared" si="17"/>
        <v>97.28</v>
      </c>
    </row>
    <row r="1143" spans="1:5">
      <c r="A1143" s="1003" t="s">
        <v>548</v>
      </c>
      <c r="B1143" s="1003" t="s">
        <v>2865</v>
      </c>
      <c r="C1143" s="1199" t="s">
        <v>1615</v>
      </c>
      <c r="D1143" s="1199">
        <v>54.73</v>
      </c>
      <c r="E1143" s="1199">
        <f t="shared" si="17"/>
        <v>45.8</v>
      </c>
    </row>
    <row r="1144" spans="1:5">
      <c r="A1144" s="1003" t="s">
        <v>8071</v>
      </c>
      <c r="B1144" s="1003" t="s">
        <v>8072</v>
      </c>
      <c r="C1144" s="1199" t="s">
        <v>1214</v>
      </c>
      <c r="D1144" s="1199">
        <v>418.48</v>
      </c>
      <c r="E1144" s="1199">
        <f t="shared" si="17"/>
        <v>350.19</v>
      </c>
    </row>
    <row r="1145" spans="1:5">
      <c r="A1145" s="1003" t="s">
        <v>550</v>
      </c>
      <c r="B1145" s="1003" t="s">
        <v>2866</v>
      </c>
      <c r="C1145" s="1199" t="s">
        <v>1615</v>
      </c>
      <c r="D1145" s="1199">
        <v>545.86</v>
      </c>
      <c r="E1145" s="1199">
        <f t="shared" si="17"/>
        <v>456.79</v>
      </c>
    </row>
    <row r="1146" spans="1:5">
      <c r="A1146" s="1003" t="s">
        <v>552</v>
      </c>
      <c r="B1146" s="1003" t="s">
        <v>2867</v>
      </c>
      <c r="C1146" s="1199" t="s">
        <v>2050</v>
      </c>
      <c r="D1146" s="1199">
        <v>3616.08</v>
      </c>
      <c r="E1146" s="1199">
        <f t="shared" si="17"/>
        <v>3026.01</v>
      </c>
    </row>
    <row r="1147" spans="1:5">
      <c r="A1147" s="1003" t="s">
        <v>554</v>
      </c>
      <c r="B1147" s="1003" t="s">
        <v>8073</v>
      </c>
      <c r="C1147" s="1199" t="s">
        <v>2050</v>
      </c>
      <c r="D1147" s="1199">
        <v>1868.15</v>
      </c>
      <c r="E1147" s="1199">
        <f t="shared" si="17"/>
        <v>1563.31</v>
      </c>
    </row>
    <row r="1148" spans="1:5">
      <c r="A1148" s="1003" t="s">
        <v>556</v>
      </c>
      <c r="B1148" s="1003" t="s">
        <v>8074</v>
      </c>
      <c r="C1148" s="1199" t="s">
        <v>2050</v>
      </c>
      <c r="D1148" s="1199">
        <v>4072.15</v>
      </c>
      <c r="E1148" s="1199">
        <f t="shared" si="17"/>
        <v>3407.66</v>
      </c>
    </row>
    <row r="1149" spans="1:5">
      <c r="A1149" s="1003" t="s">
        <v>558</v>
      </c>
      <c r="B1149" s="1003" t="s">
        <v>2870</v>
      </c>
      <c r="C1149" s="1199" t="s">
        <v>1615</v>
      </c>
      <c r="D1149" s="1199">
        <v>429.63</v>
      </c>
      <c r="E1149" s="1199">
        <f t="shared" si="17"/>
        <v>359.52</v>
      </c>
    </row>
    <row r="1150" spans="1:5">
      <c r="A1150" s="1003" t="s">
        <v>560</v>
      </c>
      <c r="B1150" s="1003" t="s">
        <v>2871</v>
      </c>
      <c r="C1150" s="1199" t="s">
        <v>1615</v>
      </c>
      <c r="D1150" s="1199">
        <v>3984.04</v>
      </c>
      <c r="E1150" s="1199">
        <f t="shared" si="17"/>
        <v>3333.92</v>
      </c>
    </row>
    <row r="1151" spans="1:5">
      <c r="A1151" s="1003" t="s">
        <v>562</v>
      </c>
      <c r="B1151" s="1003" t="s">
        <v>8075</v>
      </c>
      <c r="C1151" s="1199" t="s">
        <v>2050</v>
      </c>
      <c r="D1151" s="1199">
        <v>3038.13</v>
      </c>
      <c r="E1151" s="1199">
        <f t="shared" si="17"/>
        <v>2542.37</v>
      </c>
    </row>
    <row r="1152" spans="1:5">
      <c r="A1152" s="1003" t="s">
        <v>8076</v>
      </c>
      <c r="B1152" s="1003" t="s">
        <v>2872</v>
      </c>
      <c r="C1152" s="1199" t="s">
        <v>1652</v>
      </c>
      <c r="D1152" s="1199">
        <v>637.01</v>
      </c>
      <c r="E1152" s="1199">
        <f t="shared" si="17"/>
        <v>533.05999999999995</v>
      </c>
    </row>
    <row r="1153" spans="1:5">
      <c r="A1153" s="1003" t="s">
        <v>8077</v>
      </c>
      <c r="B1153" s="1003" t="s">
        <v>2873</v>
      </c>
      <c r="C1153" s="1199" t="s">
        <v>1214</v>
      </c>
      <c r="D1153" s="1199">
        <v>1486.17</v>
      </c>
      <c r="E1153" s="1199">
        <f t="shared" si="17"/>
        <v>1243.6600000000001</v>
      </c>
    </row>
    <row r="1154" spans="1:5">
      <c r="A1154" s="1003" t="s">
        <v>8078</v>
      </c>
      <c r="B1154" s="1003" t="s">
        <v>2874</v>
      </c>
      <c r="C1154" s="1199" t="s">
        <v>1240</v>
      </c>
      <c r="D1154" s="1199">
        <v>1374.4</v>
      </c>
      <c r="E1154" s="1199">
        <f t="shared" si="17"/>
        <v>1150.1300000000001</v>
      </c>
    </row>
    <row r="1155" spans="1:5">
      <c r="A1155" s="1003" t="s">
        <v>567</v>
      </c>
      <c r="B1155" s="1003" t="s">
        <v>2875</v>
      </c>
      <c r="C1155" s="1199" t="s">
        <v>1615</v>
      </c>
      <c r="D1155" s="1199">
        <v>1299.49</v>
      </c>
      <c r="E1155" s="1199">
        <f t="shared" si="17"/>
        <v>1087.44</v>
      </c>
    </row>
    <row r="1156" spans="1:5">
      <c r="A1156" s="1003" t="s">
        <v>8079</v>
      </c>
      <c r="B1156" s="1003" t="s">
        <v>2876</v>
      </c>
      <c r="C1156" s="1199" t="s">
        <v>1615</v>
      </c>
      <c r="D1156" s="1199">
        <v>232.01</v>
      </c>
      <c r="E1156" s="1199">
        <f t="shared" ref="E1156:E1219" si="18">ROUND(D1156/1.195,2)</f>
        <v>194.15</v>
      </c>
    </row>
    <row r="1157" spans="1:5">
      <c r="A1157" s="1003" t="s">
        <v>8080</v>
      </c>
      <c r="B1157" s="1003" t="s">
        <v>2878</v>
      </c>
      <c r="C1157" s="1199" t="s">
        <v>1615</v>
      </c>
      <c r="D1157" s="1199">
        <v>557.27</v>
      </c>
      <c r="E1157" s="1199">
        <f t="shared" si="18"/>
        <v>466.33</v>
      </c>
    </row>
    <row r="1158" spans="1:5">
      <c r="A1158" s="1003" t="s">
        <v>8081</v>
      </c>
      <c r="B1158" s="1003" t="s">
        <v>2879</v>
      </c>
      <c r="C1158" s="1199" t="s">
        <v>1615</v>
      </c>
      <c r="D1158" s="1199">
        <v>958.57</v>
      </c>
      <c r="E1158" s="1199">
        <f t="shared" si="18"/>
        <v>802.15</v>
      </c>
    </row>
    <row r="1159" spans="1:5">
      <c r="A1159" s="1003" t="s">
        <v>8082</v>
      </c>
      <c r="B1159" s="1003" t="s">
        <v>8083</v>
      </c>
      <c r="C1159" s="1199" t="s">
        <v>1615</v>
      </c>
      <c r="D1159" s="1199">
        <v>3596.54</v>
      </c>
      <c r="E1159" s="1199">
        <f t="shared" si="18"/>
        <v>3009.66</v>
      </c>
    </row>
    <row r="1160" spans="1:5">
      <c r="A1160" s="1003" t="s">
        <v>8084</v>
      </c>
      <c r="B1160" s="1003" t="s">
        <v>2881</v>
      </c>
      <c r="C1160" s="1199" t="s">
        <v>1615</v>
      </c>
      <c r="D1160" s="1199">
        <v>1560.77</v>
      </c>
      <c r="E1160" s="1199">
        <f t="shared" si="18"/>
        <v>1306.08</v>
      </c>
    </row>
    <row r="1161" spans="1:5">
      <c r="A1161" s="1003" t="s">
        <v>8085</v>
      </c>
      <c r="B1161" s="1003" t="s">
        <v>2882</v>
      </c>
      <c r="C1161" s="1199" t="s">
        <v>1615</v>
      </c>
      <c r="D1161" s="1199">
        <v>1335.15</v>
      </c>
      <c r="E1161" s="1199">
        <f t="shared" si="18"/>
        <v>1117.28</v>
      </c>
    </row>
    <row r="1162" spans="1:5">
      <c r="A1162" s="1003" t="s">
        <v>8086</v>
      </c>
      <c r="B1162" s="1003" t="s">
        <v>2884</v>
      </c>
      <c r="C1162" s="1199" t="s">
        <v>1615</v>
      </c>
      <c r="D1162" s="1199">
        <v>452.41</v>
      </c>
      <c r="E1162" s="1199">
        <f t="shared" si="18"/>
        <v>378.59</v>
      </c>
    </row>
    <row r="1163" spans="1:5">
      <c r="A1163" s="1003" t="s">
        <v>8087</v>
      </c>
      <c r="B1163" s="1003" t="s">
        <v>2885</v>
      </c>
      <c r="C1163" s="1199" t="s">
        <v>1615</v>
      </c>
      <c r="D1163" s="1199">
        <v>628.01</v>
      </c>
      <c r="E1163" s="1199">
        <f t="shared" si="18"/>
        <v>525.53</v>
      </c>
    </row>
    <row r="1164" spans="1:5">
      <c r="A1164" s="1003" t="s">
        <v>569</v>
      </c>
      <c r="B1164" s="1003" t="s">
        <v>2886</v>
      </c>
      <c r="C1164" s="1199" t="s">
        <v>1615</v>
      </c>
      <c r="D1164" s="1199">
        <v>640.95000000000005</v>
      </c>
      <c r="E1164" s="1199">
        <f t="shared" si="18"/>
        <v>536.36</v>
      </c>
    </row>
    <row r="1165" spans="1:5">
      <c r="A1165" s="1003" t="s">
        <v>8088</v>
      </c>
      <c r="B1165" s="1003" t="s">
        <v>2891</v>
      </c>
      <c r="C1165" s="1199" t="s">
        <v>1615</v>
      </c>
      <c r="D1165" s="1199">
        <v>72.59</v>
      </c>
      <c r="E1165" s="1199">
        <f t="shared" si="18"/>
        <v>60.74</v>
      </c>
    </row>
    <row r="1166" spans="1:5">
      <c r="A1166" s="1003" t="s">
        <v>8089</v>
      </c>
      <c r="B1166" s="1003" t="s">
        <v>2892</v>
      </c>
      <c r="C1166" s="1199" t="s">
        <v>1615</v>
      </c>
      <c r="D1166" s="1199">
        <v>69.930000000000007</v>
      </c>
      <c r="E1166" s="1199">
        <f t="shared" si="18"/>
        <v>58.52</v>
      </c>
    </row>
    <row r="1167" spans="1:5">
      <c r="A1167" s="1003" t="s">
        <v>8090</v>
      </c>
      <c r="B1167" s="1003" t="s">
        <v>8091</v>
      </c>
      <c r="C1167" s="1199" t="s">
        <v>1615</v>
      </c>
      <c r="D1167" s="1199">
        <v>642.57000000000005</v>
      </c>
      <c r="E1167" s="1199">
        <f t="shared" si="18"/>
        <v>537.72</v>
      </c>
    </row>
    <row r="1168" spans="1:5">
      <c r="A1168" s="1003" t="s">
        <v>571</v>
      </c>
      <c r="B1168" s="1003" t="s">
        <v>2893</v>
      </c>
      <c r="C1168" s="1199" t="s">
        <v>1615</v>
      </c>
      <c r="D1168" s="1199">
        <v>78.61</v>
      </c>
      <c r="E1168" s="1199">
        <f t="shared" si="18"/>
        <v>65.78</v>
      </c>
    </row>
    <row r="1169" spans="1:5">
      <c r="A1169" s="1003" t="s">
        <v>573</v>
      </c>
      <c r="B1169" s="1003" t="s">
        <v>2894</v>
      </c>
      <c r="C1169" s="1199" t="s">
        <v>1615</v>
      </c>
      <c r="D1169" s="1199">
        <v>585.63</v>
      </c>
      <c r="E1169" s="1199">
        <f t="shared" si="18"/>
        <v>490.07</v>
      </c>
    </row>
    <row r="1170" spans="1:5">
      <c r="A1170" s="1003" t="s">
        <v>8092</v>
      </c>
      <c r="B1170" s="1003" t="s">
        <v>8093</v>
      </c>
      <c r="C1170" s="1199" t="s">
        <v>1615</v>
      </c>
      <c r="D1170" s="1199">
        <v>737.93</v>
      </c>
      <c r="E1170" s="1199">
        <f t="shared" si="18"/>
        <v>617.51</v>
      </c>
    </row>
    <row r="1171" spans="1:5">
      <c r="A1171" s="1003" t="s">
        <v>8094</v>
      </c>
      <c r="B1171" s="1003" t="s">
        <v>2896</v>
      </c>
      <c r="C1171" s="1199" t="s">
        <v>1615</v>
      </c>
      <c r="D1171" s="1199">
        <v>671.07</v>
      </c>
      <c r="E1171" s="1199">
        <f t="shared" si="18"/>
        <v>561.55999999999995</v>
      </c>
    </row>
    <row r="1172" spans="1:5">
      <c r="A1172" s="1003" t="s">
        <v>8095</v>
      </c>
      <c r="B1172" s="1003" t="s">
        <v>2897</v>
      </c>
      <c r="C1172" s="1199" t="s">
        <v>1615</v>
      </c>
      <c r="D1172" s="1199">
        <v>667.46</v>
      </c>
      <c r="E1172" s="1199">
        <f t="shared" si="18"/>
        <v>558.54</v>
      </c>
    </row>
    <row r="1173" spans="1:5">
      <c r="A1173" s="1003" t="s">
        <v>8096</v>
      </c>
      <c r="B1173" s="1003" t="s">
        <v>8097</v>
      </c>
      <c r="C1173" s="1199" t="s">
        <v>1615</v>
      </c>
      <c r="D1173" s="1199">
        <v>695.93</v>
      </c>
      <c r="E1173" s="1199">
        <f t="shared" si="18"/>
        <v>582.37</v>
      </c>
    </row>
    <row r="1174" spans="1:5">
      <c r="A1174" s="1003" t="s">
        <v>8098</v>
      </c>
      <c r="B1174" s="1003" t="s">
        <v>2899</v>
      </c>
      <c r="C1174" s="1199" t="s">
        <v>1615</v>
      </c>
      <c r="D1174" s="1199">
        <v>234.69</v>
      </c>
      <c r="E1174" s="1199">
        <f t="shared" si="18"/>
        <v>196.39</v>
      </c>
    </row>
    <row r="1175" spans="1:5">
      <c r="A1175" s="1003" t="s">
        <v>8099</v>
      </c>
      <c r="B1175" s="1003" t="s">
        <v>2900</v>
      </c>
      <c r="C1175" s="1199" t="s">
        <v>1615</v>
      </c>
      <c r="D1175" s="1199">
        <v>325.51</v>
      </c>
      <c r="E1175" s="1199">
        <f t="shared" si="18"/>
        <v>272.39</v>
      </c>
    </row>
    <row r="1176" spans="1:5">
      <c r="A1176" s="1003" t="s">
        <v>8100</v>
      </c>
      <c r="B1176" s="1003" t="s">
        <v>2901</v>
      </c>
      <c r="C1176" s="1199" t="s">
        <v>1652</v>
      </c>
      <c r="D1176" s="1199">
        <v>637.01</v>
      </c>
      <c r="E1176" s="1199">
        <f t="shared" si="18"/>
        <v>533.05999999999995</v>
      </c>
    </row>
    <row r="1177" spans="1:5">
      <c r="A1177" s="1003" t="s">
        <v>8101</v>
      </c>
      <c r="B1177" s="1003" t="s">
        <v>8102</v>
      </c>
      <c r="C1177" s="1199" t="s">
        <v>1214</v>
      </c>
      <c r="D1177" s="1199">
        <v>7.35</v>
      </c>
      <c r="E1177" s="1199">
        <f t="shared" si="18"/>
        <v>6.15</v>
      </c>
    </row>
    <row r="1178" spans="1:5">
      <c r="A1178" s="1003" t="s">
        <v>8103</v>
      </c>
      <c r="B1178" s="1003" t="s">
        <v>8104</v>
      </c>
      <c r="C1178" s="1199" t="s">
        <v>1214</v>
      </c>
      <c r="D1178" s="1199">
        <v>4.2300000000000004</v>
      </c>
      <c r="E1178" s="1199">
        <f t="shared" si="18"/>
        <v>3.54</v>
      </c>
    </row>
    <row r="1179" spans="1:5">
      <c r="A1179" s="1003" t="s">
        <v>8105</v>
      </c>
      <c r="B1179" s="1003" t="s">
        <v>8106</v>
      </c>
      <c r="C1179" s="1199" t="s">
        <v>1214</v>
      </c>
      <c r="D1179" s="1199">
        <v>2.75</v>
      </c>
      <c r="E1179" s="1199">
        <f t="shared" si="18"/>
        <v>2.2999999999999998</v>
      </c>
    </row>
    <row r="1180" spans="1:5">
      <c r="A1180" s="1003" t="s">
        <v>8107</v>
      </c>
      <c r="B1180" s="1003" t="s">
        <v>1690</v>
      </c>
      <c r="C1180" s="1199" t="s">
        <v>1652</v>
      </c>
      <c r="D1180" s="1199">
        <v>637.01</v>
      </c>
      <c r="E1180" s="1199">
        <f t="shared" si="18"/>
        <v>533.05999999999995</v>
      </c>
    </row>
    <row r="1181" spans="1:5">
      <c r="A1181" s="1003" t="s">
        <v>8108</v>
      </c>
      <c r="B1181" s="1003" t="s">
        <v>8109</v>
      </c>
      <c r="C1181" s="1199" t="s">
        <v>1615</v>
      </c>
      <c r="D1181" s="1199">
        <v>61.15</v>
      </c>
      <c r="E1181" s="1199">
        <f t="shared" si="18"/>
        <v>51.17</v>
      </c>
    </row>
    <row r="1182" spans="1:5">
      <c r="A1182" s="1003" t="s">
        <v>8110</v>
      </c>
      <c r="B1182" s="1003" t="s">
        <v>8111</v>
      </c>
      <c r="C1182" s="1199" t="s">
        <v>1615</v>
      </c>
      <c r="D1182" s="1199">
        <v>24.6</v>
      </c>
      <c r="E1182" s="1199">
        <f t="shared" si="18"/>
        <v>20.59</v>
      </c>
    </row>
    <row r="1183" spans="1:5">
      <c r="A1183" s="1003" t="s">
        <v>8112</v>
      </c>
      <c r="B1183" s="1003" t="s">
        <v>8113</v>
      </c>
      <c r="C1183" s="1199" t="s">
        <v>1615</v>
      </c>
      <c r="D1183" s="1199">
        <v>5.81</v>
      </c>
      <c r="E1183" s="1199">
        <f t="shared" si="18"/>
        <v>4.8600000000000003</v>
      </c>
    </row>
    <row r="1184" spans="1:5">
      <c r="A1184" s="1003" t="s">
        <v>8114</v>
      </c>
      <c r="B1184" s="1003" t="s">
        <v>8115</v>
      </c>
      <c r="C1184" s="1199" t="s">
        <v>1615</v>
      </c>
      <c r="D1184" s="1199">
        <v>8.94</v>
      </c>
      <c r="E1184" s="1199">
        <f t="shared" si="18"/>
        <v>7.48</v>
      </c>
    </row>
    <row r="1185" spans="1:5">
      <c r="A1185" s="1003" t="s">
        <v>8116</v>
      </c>
      <c r="B1185" s="1003" t="s">
        <v>8117</v>
      </c>
      <c r="C1185" s="1199" t="s">
        <v>1615</v>
      </c>
      <c r="D1185" s="1199">
        <v>44.74</v>
      </c>
      <c r="E1185" s="1199">
        <f t="shared" si="18"/>
        <v>37.44</v>
      </c>
    </row>
    <row r="1186" spans="1:5">
      <c r="A1186" s="1003" t="s">
        <v>8118</v>
      </c>
      <c r="B1186" s="1003" t="s">
        <v>8119</v>
      </c>
      <c r="C1186" s="1199" t="s">
        <v>1615</v>
      </c>
      <c r="D1186" s="1199">
        <v>122.3</v>
      </c>
      <c r="E1186" s="1199">
        <f t="shared" si="18"/>
        <v>102.34</v>
      </c>
    </row>
    <row r="1187" spans="1:5">
      <c r="A1187" s="1003" t="s">
        <v>8120</v>
      </c>
      <c r="B1187" s="1003" t="s">
        <v>8121</v>
      </c>
      <c r="C1187" s="1199" t="s">
        <v>1615</v>
      </c>
      <c r="D1187" s="1199">
        <v>178.96</v>
      </c>
      <c r="E1187" s="1199">
        <f t="shared" si="18"/>
        <v>149.76</v>
      </c>
    </row>
    <row r="1188" spans="1:5">
      <c r="A1188" s="1003" t="s">
        <v>8122</v>
      </c>
      <c r="B1188" s="1003" t="s">
        <v>8123</v>
      </c>
      <c r="C1188" s="1199" t="s">
        <v>1615</v>
      </c>
      <c r="D1188" s="1199">
        <v>67.11</v>
      </c>
      <c r="E1188" s="1199">
        <f t="shared" si="18"/>
        <v>56.16</v>
      </c>
    </row>
    <row r="1189" spans="1:5">
      <c r="A1189" s="1003" t="s">
        <v>8124</v>
      </c>
      <c r="B1189" s="1003" t="s">
        <v>1691</v>
      </c>
      <c r="C1189" s="1199" t="s">
        <v>1652</v>
      </c>
      <c r="D1189" s="1199">
        <v>637.01</v>
      </c>
      <c r="E1189" s="1199">
        <f t="shared" si="18"/>
        <v>533.05999999999995</v>
      </c>
    </row>
    <row r="1190" spans="1:5">
      <c r="A1190" s="1003" t="s">
        <v>8125</v>
      </c>
      <c r="B1190" s="1003" t="s">
        <v>8126</v>
      </c>
      <c r="C1190" s="1199" t="s">
        <v>1615</v>
      </c>
      <c r="D1190" s="1199">
        <v>124.21</v>
      </c>
      <c r="E1190" s="1199">
        <f t="shared" si="18"/>
        <v>103.94</v>
      </c>
    </row>
    <row r="1191" spans="1:5">
      <c r="A1191" s="1003" t="s">
        <v>8127</v>
      </c>
      <c r="B1191" s="1003" t="s">
        <v>8128</v>
      </c>
      <c r="C1191" s="1199" t="s">
        <v>1615</v>
      </c>
      <c r="D1191" s="1199">
        <v>43.23</v>
      </c>
      <c r="E1191" s="1199">
        <f t="shared" si="18"/>
        <v>36.18</v>
      </c>
    </row>
    <row r="1192" spans="1:5">
      <c r="A1192" s="1003" t="s">
        <v>8129</v>
      </c>
      <c r="B1192" s="1003" t="s">
        <v>8130</v>
      </c>
      <c r="C1192" s="1199" t="s">
        <v>1615</v>
      </c>
      <c r="D1192" s="1199">
        <v>20.38</v>
      </c>
      <c r="E1192" s="1199">
        <f t="shared" si="18"/>
        <v>17.05</v>
      </c>
    </row>
    <row r="1193" spans="1:5">
      <c r="A1193" s="1003" t="s">
        <v>8131</v>
      </c>
      <c r="B1193" s="1003" t="s">
        <v>8132</v>
      </c>
      <c r="C1193" s="1199" t="s">
        <v>1615</v>
      </c>
      <c r="D1193" s="1199">
        <v>20.38</v>
      </c>
      <c r="E1193" s="1199">
        <f t="shared" si="18"/>
        <v>17.05</v>
      </c>
    </row>
    <row r="1194" spans="1:5">
      <c r="A1194" s="1003" t="s">
        <v>8133</v>
      </c>
      <c r="B1194" s="1003" t="s">
        <v>8134</v>
      </c>
      <c r="C1194" s="1199" t="s">
        <v>1615</v>
      </c>
      <c r="D1194" s="1199">
        <v>163.07</v>
      </c>
      <c r="E1194" s="1199">
        <f t="shared" si="18"/>
        <v>136.46</v>
      </c>
    </row>
    <row r="1195" spans="1:5">
      <c r="A1195" s="1003" t="s">
        <v>8135</v>
      </c>
      <c r="B1195" s="1003" t="s">
        <v>8136</v>
      </c>
      <c r="C1195" s="1199" t="s">
        <v>1615</v>
      </c>
      <c r="D1195" s="1199">
        <v>163.07</v>
      </c>
      <c r="E1195" s="1199">
        <f t="shared" si="18"/>
        <v>136.46</v>
      </c>
    </row>
    <row r="1196" spans="1:5">
      <c r="A1196" s="1003" t="s">
        <v>8137</v>
      </c>
      <c r="B1196" s="1003" t="s">
        <v>8138</v>
      </c>
      <c r="C1196" s="1199" t="s">
        <v>1615</v>
      </c>
      <c r="D1196" s="1199">
        <v>212</v>
      </c>
      <c r="E1196" s="1199">
        <f t="shared" si="18"/>
        <v>177.41</v>
      </c>
    </row>
    <row r="1197" spans="1:5">
      <c r="A1197" s="1003" t="s">
        <v>8139</v>
      </c>
      <c r="B1197" s="1003" t="s">
        <v>8140</v>
      </c>
      <c r="C1197" s="1199" t="s">
        <v>1615</v>
      </c>
      <c r="D1197" s="1199">
        <v>101.92</v>
      </c>
      <c r="E1197" s="1199">
        <f t="shared" si="18"/>
        <v>85.29</v>
      </c>
    </row>
    <row r="1198" spans="1:5">
      <c r="A1198" s="1003" t="s">
        <v>8141</v>
      </c>
      <c r="B1198" s="1003" t="s">
        <v>2920</v>
      </c>
      <c r="C1198" s="1199" t="s">
        <v>1652</v>
      </c>
      <c r="D1198" s="1199">
        <v>637.01</v>
      </c>
      <c r="E1198" s="1199">
        <f t="shared" si="18"/>
        <v>533.05999999999995</v>
      </c>
    </row>
    <row r="1199" spans="1:5">
      <c r="A1199" s="1003" t="s">
        <v>8142</v>
      </c>
      <c r="B1199" s="1003" t="s">
        <v>8143</v>
      </c>
      <c r="C1199" s="1199" t="s">
        <v>1615</v>
      </c>
      <c r="D1199" s="1199">
        <v>310.27</v>
      </c>
      <c r="E1199" s="1199">
        <f t="shared" si="18"/>
        <v>259.64</v>
      </c>
    </row>
    <row r="1200" spans="1:5">
      <c r="A1200" s="1003" t="s">
        <v>8144</v>
      </c>
      <c r="B1200" s="1003" t="s">
        <v>8145</v>
      </c>
      <c r="C1200" s="1199" t="s">
        <v>1615</v>
      </c>
      <c r="D1200" s="1199">
        <v>375.64</v>
      </c>
      <c r="E1200" s="1199">
        <f t="shared" si="18"/>
        <v>314.33999999999997</v>
      </c>
    </row>
    <row r="1201" spans="1:5">
      <c r="A1201" s="1003" t="s">
        <v>8146</v>
      </c>
      <c r="B1201" s="1003" t="s">
        <v>8147</v>
      </c>
      <c r="C1201" s="1199" t="s">
        <v>1615</v>
      </c>
      <c r="D1201" s="1199">
        <v>496.42</v>
      </c>
      <c r="E1201" s="1199">
        <f t="shared" si="18"/>
        <v>415.41</v>
      </c>
    </row>
    <row r="1202" spans="1:5">
      <c r="A1202" s="1003" t="s">
        <v>8148</v>
      </c>
      <c r="B1202" s="1003" t="s">
        <v>2922</v>
      </c>
      <c r="C1202" s="1199" t="s">
        <v>1615</v>
      </c>
      <c r="D1202" s="1199">
        <v>97.91</v>
      </c>
      <c r="E1202" s="1199">
        <f t="shared" si="18"/>
        <v>81.93</v>
      </c>
    </row>
    <row r="1203" spans="1:5">
      <c r="A1203" s="1003" t="s">
        <v>8149</v>
      </c>
      <c r="B1203" s="1003" t="s">
        <v>2923</v>
      </c>
      <c r="C1203" s="1199" t="s">
        <v>1615</v>
      </c>
      <c r="D1203" s="1199">
        <v>151.96</v>
      </c>
      <c r="E1203" s="1199">
        <f t="shared" si="18"/>
        <v>127.16</v>
      </c>
    </row>
    <row r="1204" spans="1:5">
      <c r="A1204" s="1003" t="s">
        <v>8150</v>
      </c>
      <c r="B1204" s="1003" t="s">
        <v>2924</v>
      </c>
      <c r="C1204" s="1199" t="s">
        <v>1615</v>
      </c>
      <c r="D1204" s="1199">
        <v>28.76</v>
      </c>
      <c r="E1204" s="1199">
        <f t="shared" si="18"/>
        <v>24.07</v>
      </c>
    </row>
    <row r="1205" spans="1:5">
      <c r="A1205" s="1003" t="s">
        <v>8151</v>
      </c>
      <c r="B1205" s="1003" t="s">
        <v>2925</v>
      </c>
      <c r="C1205" s="1199" t="s">
        <v>1615</v>
      </c>
      <c r="D1205" s="1199">
        <v>68.900000000000006</v>
      </c>
      <c r="E1205" s="1199">
        <f t="shared" si="18"/>
        <v>57.66</v>
      </c>
    </row>
    <row r="1206" spans="1:5">
      <c r="A1206" s="1003" t="s">
        <v>8152</v>
      </c>
      <c r="B1206" s="1003" t="s">
        <v>2926</v>
      </c>
      <c r="C1206" s="1199" t="s">
        <v>1615</v>
      </c>
      <c r="D1206" s="1199">
        <v>342.64</v>
      </c>
      <c r="E1206" s="1199">
        <f t="shared" si="18"/>
        <v>286.73</v>
      </c>
    </row>
    <row r="1207" spans="1:5">
      <c r="A1207" s="1003" t="s">
        <v>8153</v>
      </c>
      <c r="B1207" s="1003" t="s">
        <v>2927</v>
      </c>
      <c r="C1207" s="1199" t="s">
        <v>2050</v>
      </c>
      <c r="D1207" s="1199">
        <v>196.94</v>
      </c>
      <c r="E1207" s="1199">
        <f t="shared" si="18"/>
        <v>164.8</v>
      </c>
    </row>
    <row r="1208" spans="1:5">
      <c r="A1208" s="1003" t="s">
        <v>8154</v>
      </c>
      <c r="B1208" s="1003" t="s">
        <v>2928</v>
      </c>
      <c r="C1208" s="1199" t="s">
        <v>1615</v>
      </c>
      <c r="D1208" s="1199">
        <v>139.53</v>
      </c>
      <c r="E1208" s="1199">
        <f t="shared" si="18"/>
        <v>116.76</v>
      </c>
    </row>
    <row r="1209" spans="1:5">
      <c r="A1209" s="1003" t="s">
        <v>8155</v>
      </c>
      <c r="B1209" s="1003" t="s">
        <v>2929</v>
      </c>
      <c r="C1209" s="1199" t="s">
        <v>1615</v>
      </c>
      <c r="D1209" s="1199">
        <v>31.95</v>
      </c>
      <c r="E1209" s="1199">
        <f t="shared" si="18"/>
        <v>26.74</v>
      </c>
    </row>
    <row r="1210" spans="1:5">
      <c r="A1210" s="1003" t="s">
        <v>8156</v>
      </c>
      <c r="B1210" s="1003" t="s">
        <v>8157</v>
      </c>
      <c r="C1210" s="1199" t="s">
        <v>1615</v>
      </c>
      <c r="D1210" s="1199">
        <v>57.2</v>
      </c>
      <c r="E1210" s="1199">
        <f t="shared" si="18"/>
        <v>47.87</v>
      </c>
    </row>
    <row r="1211" spans="1:5">
      <c r="A1211" s="1003" t="s">
        <v>8158</v>
      </c>
      <c r="B1211" s="1003" t="s">
        <v>2930</v>
      </c>
      <c r="C1211" s="1199" t="s">
        <v>1615</v>
      </c>
      <c r="D1211" s="1199">
        <v>164.79</v>
      </c>
      <c r="E1211" s="1199">
        <f t="shared" si="18"/>
        <v>137.9</v>
      </c>
    </row>
    <row r="1212" spans="1:5">
      <c r="A1212" s="1003" t="s">
        <v>8159</v>
      </c>
      <c r="B1212" s="1003" t="s">
        <v>2931</v>
      </c>
      <c r="C1212" s="1199" t="s">
        <v>1615</v>
      </c>
      <c r="D1212" s="1199">
        <v>148.66</v>
      </c>
      <c r="E1212" s="1199">
        <f t="shared" si="18"/>
        <v>124.4</v>
      </c>
    </row>
    <row r="1213" spans="1:5">
      <c r="A1213" s="1003" t="s">
        <v>8160</v>
      </c>
      <c r="B1213" s="1003" t="s">
        <v>8161</v>
      </c>
      <c r="C1213" s="1199" t="s">
        <v>1615</v>
      </c>
      <c r="D1213" s="1199">
        <v>2016.94</v>
      </c>
      <c r="E1213" s="1199">
        <f t="shared" si="18"/>
        <v>1687.82</v>
      </c>
    </row>
    <row r="1214" spans="1:5">
      <c r="A1214" s="1003" t="s">
        <v>8162</v>
      </c>
      <c r="B1214" s="1003" t="s">
        <v>8163</v>
      </c>
      <c r="C1214" s="1199" t="s">
        <v>1615</v>
      </c>
      <c r="D1214" s="1199">
        <v>496.69</v>
      </c>
      <c r="E1214" s="1199">
        <f t="shared" si="18"/>
        <v>415.64</v>
      </c>
    </row>
    <row r="1215" spans="1:5">
      <c r="A1215" s="1003" t="s">
        <v>8164</v>
      </c>
      <c r="B1215" s="1003" t="s">
        <v>2932</v>
      </c>
      <c r="C1215" s="1199" t="s">
        <v>1615</v>
      </c>
      <c r="D1215" s="1199">
        <v>75.09</v>
      </c>
      <c r="E1215" s="1199">
        <f t="shared" si="18"/>
        <v>62.84</v>
      </c>
    </row>
    <row r="1216" spans="1:5">
      <c r="A1216" s="1003" t="s">
        <v>8165</v>
      </c>
      <c r="B1216" s="1003" t="s">
        <v>2933</v>
      </c>
      <c r="C1216" s="1199" t="s">
        <v>1615</v>
      </c>
      <c r="D1216" s="1199">
        <v>116.11</v>
      </c>
      <c r="E1216" s="1199">
        <f t="shared" si="18"/>
        <v>97.16</v>
      </c>
    </row>
    <row r="1217" spans="1:5">
      <c r="A1217" s="1003" t="s">
        <v>8166</v>
      </c>
      <c r="B1217" s="1003" t="s">
        <v>2934</v>
      </c>
      <c r="C1217" s="1199" t="s">
        <v>1615</v>
      </c>
      <c r="D1217" s="1199">
        <v>43.08</v>
      </c>
      <c r="E1217" s="1199">
        <f t="shared" si="18"/>
        <v>36.049999999999997</v>
      </c>
    </row>
    <row r="1218" spans="1:5">
      <c r="A1218" s="1003" t="s">
        <v>8167</v>
      </c>
      <c r="B1218" s="1003" t="s">
        <v>2935</v>
      </c>
      <c r="C1218" s="1199" t="s">
        <v>1615</v>
      </c>
      <c r="D1218" s="1199">
        <v>32.5</v>
      </c>
      <c r="E1218" s="1199">
        <f t="shared" si="18"/>
        <v>27.2</v>
      </c>
    </row>
    <row r="1219" spans="1:5">
      <c r="A1219" s="1003" t="s">
        <v>8168</v>
      </c>
      <c r="B1219" s="1003" t="s">
        <v>8169</v>
      </c>
      <c r="C1219" s="1199" t="s">
        <v>1652</v>
      </c>
      <c r="D1219" s="1199">
        <v>637.01</v>
      </c>
      <c r="E1219" s="1199">
        <f t="shared" si="18"/>
        <v>533.05999999999995</v>
      </c>
    </row>
    <row r="1220" spans="1:5">
      <c r="A1220" s="1003" t="s">
        <v>8170</v>
      </c>
      <c r="B1220" s="1003" t="s">
        <v>2938</v>
      </c>
      <c r="C1220" s="1199" t="s">
        <v>1615</v>
      </c>
      <c r="D1220" s="1199">
        <v>695.43</v>
      </c>
      <c r="E1220" s="1199">
        <f t="shared" ref="E1220:E1283" si="19">ROUND(D1220/1.195,2)</f>
        <v>581.95000000000005</v>
      </c>
    </row>
    <row r="1221" spans="1:5">
      <c r="A1221" s="1003" t="s">
        <v>8171</v>
      </c>
      <c r="B1221" s="1003" t="s">
        <v>2939</v>
      </c>
      <c r="C1221" s="1199" t="s">
        <v>1615</v>
      </c>
      <c r="D1221" s="1199">
        <v>28.3</v>
      </c>
      <c r="E1221" s="1199">
        <f t="shared" si="19"/>
        <v>23.68</v>
      </c>
    </row>
    <row r="1222" spans="1:5">
      <c r="A1222" s="1003" t="s">
        <v>8172</v>
      </c>
      <c r="B1222" s="1003" t="s">
        <v>2940</v>
      </c>
      <c r="C1222" s="1199" t="s">
        <v>1615</v>
      </c>
      <c r="D1222" s="1199">
        <v>14.51</v>
      </c>
      <c r="E1222" s="1199">
        <f t="shared" si="19"/>
        <v>12.14</v>
      </c>
    </row>
    <row r="1223" spans="1:5">
      <c r="A1223" s="1003" t="s">
        <v>8173</v>
      </c>
      <c r="B1223" s="1003" t="s">
        <v>2941</v>
      </c>
      <c r="C1223" s="1199" t="s">
        <v>1615</v>
      </c>
      <c r="D1223" s="1199">
        <v>55.91</v>
      </c>
      <c r="E1223" s="1199">
        <f t="shared" si="19"/>
        <v>46.79</v>
      </c>
    </row>
    <row r="1224" spans="1:5">
      <c r="A1224" s="1003" t="s">
        <v>8174</v>
      </c>
      <c r="B1224" s="1003" t="s">
        <v>2942</v>
      </c>
      <c r="C1224" s="1199" t="s">
        <v>1615</v>
      </c>
      <c r="D1224" s="1199">
        <v>34.14</v>
      </c>
      <c r="E1224" s="1199">
        <f t="shared" si="19"/>
        <v>28.57</v>
      </c>
    </row>
    <row r="1225" spans="1:5">
      <c r="A1225" s="1003" t="s">
        <v>8175</v>
      </c>
      <c r="B1225" s="1003" t="s">
        <v>2943</v>
      </c>
      <c r="C1225" s="1199" t="s">
        <v>1615</v>
      </c>
      <c r="D1225" s="1199">
        <v>266.85000000000002</v>
      </c>
      <c r="E1225" s="1199">
        <f t="shared" si="19"/>
        <v>223.31</v>
      </c>
    </row>
    <row r="1226" spans="1:5">
      <c r="A1226" s="1003" t="s">
        <v>8176</v>
      </c>
      <c r="B1226" s="1003" t="s">
        <v>2944</v>
      </c>
      <c r="C1226" s="1199" t="s">
        <v>1615</v>
      </c>
      <c r="D1226" s="1199">
        <v>200.98</v>
      </c>
      <c r="E1226" s="1199">
        <f t="shared" si="19"/>
        <v>168.18</v>
      </c>
    </row>
    <row r="1227" spans="1:5">
      <c r="A1227" s="1003" t="s">
        <v>8177</v>
      </c>
      <c r="B1227" s="1003" t="s">
        <v>2946</v>
      </c>
      <c r="C1227" s="1199" t="s">
        <v>1615</v>
      </c>
      <c r="D1227" s="1199">
        <v>37.590000000000003</v>
      </c>
      <c r="E1227" s="1199">
        <f t="shared" si="19"/>
        <v>31.46</v>
      </c>
    </row>
    <row r="1228" spans="1:5">
      <c r="A1228" s="1003" t="s">
        <v>8178</v>
      </c>
      <c r="B1228" s="1003" t="s">
        <v>2947</v>
      </c>
      <c r="C1228" s="1199" t="s">
        <v>1214</v>
      </c>
      <c r="D1228" s="1199">
        <v>10.19</v>
      </c>
      <c r="E1228" s="1199">
        <f t="shared" si="19"/>
        <v>8.5299999999999994</v>
      </c>
    </row>
    <row r="1229" spans="1:5">
      <c r="A1229" s="1003" t="s">
        <v>8179</v>
      </c>
      <c r="B1229" s="1003" t="s">
        <v>2948</v>
      </c>
      <c r="C1229" s="1199" t="s">
        <v>1214</v>
      </c>
      <c r="D1229" s="1199">
        <v>3.31</v>
      </c>
      <c r="E1229" s="1199">
        <f t="shared" si="19"/>
        <v>2.77</v>
      </c>
    </row>
    <row r="1230" spans="1:5">
      <c r="A1230" s="1003" t="s">
        <v>8180</v>
      </c>
      <c r="B1230" s="1003" t="s">
        <v>2949</v>
      </c>
      <c r="C1230" s="1199" t="s">
        <v>1240</v>
      </c>
      <c r="D1230" s="1199">
        <v>8.27</v>
      </c>
      <c r="E1230" s="1199">
        <f t="shared" si="19"/>
        <v>6.92</v>
      </c>
    </row>
    <row r="1231" spans="1:5">
      <c r="A1231" s="1003" t="s">
        <v>8181</v>
      </c>
      <c r="B1231" s="1003" t="s">
        <v>8182</v>
      </c>
      <c r="C1231" s="1199" t="s">
        <v>1214</v>
      </c>
      <c r="D1231" s="1199">
        <v>4.59</v>
      </c>
      <c r="E1231" s="1199">
        <f t="shared" si="19"/>
        <v>3.84</v>
      </c>
    </row>
    <row r="1232" spans="1:5">
      <c r="A1232" s="1003" t="s">
        <v>8183</v>
      </c>
      <c r="B1232" s="1003" t="s">
        <v>2950</v>
      </c>
      <c r="C1232" s="1199" t="s">
        <v>1214</v>
      </c>
      <c r="D1232" s="1199">
        <v>80.959999999999994</v>
      </c>
      <c r="E1232" s="1199">
        <f t="shared" si="19"/>
        <v>67.75</v>
      </c>
    </row>
    <row r="1233" spans="1:5">
      <c r="A1233" s="1003" t="s">
        <v>8184</v>
      </c>
      <c r="B1233" s="1003" t="s">
        <v>2951</v>
      </c>
      <c r="C1233" s="1199" t="s">
        <v>1214</v>
      </c>
      <c r="D1233" s="1199">
        <v>74.319999999999993</v>
      </c>
      <c r="E1233" s="1199">
        <f t="shared" si="19"/>
        <v>62.19</v>
      </c>
    </row>
    <row r="1234" spans="1:5">
      <c r="A1234" s="1003" t="s">
        <v>8185</v>
      </c>
      <c r="B1234" s="1003" t="s">
        <v>2952</v>
      </c>
      <c r="C1234" s="1199" t="s">
        <v>1652</v>
      </c>
      <c r="D1234" s="1199">
        <v>637.01</v>
      </c>
      <c r="E1234" s="1199">
        <f t="shared" si="19"/>
        <v>533.05999999999995</v>
      </c>
    </row>
    <row r="1235" spans="1:5">
      <c r="A1235" s="1003" t="s">
        <v>8186</v>
      </c>
      <c r="B1235" s="1003" t="s">
        <v>8187</v>
      </c>
      <c r="C1235" s="1199" t="s">
        <v>1615</v>
      </c>
      <c r="D1235" s="1199">
        <v>56.86</v>
      </c>
      <c r="E1235" s="1199">
        <f t="shared" si="19"/>
        <v>47.58</v>
      </c>
    </row>
    <row r="1236" spans="1:5">
      <c r="A1236" s="1003" t="s">
        <v>8188</v>
      </c>
      <c r="B1236" s="1003" t="s">
        <v>2955</v>
      </c>
      <c r="C1236" s="1199" t="s">
        <v>1615</v>
      </c>
      <c r="D1236" s="1199">
        <v>17.21</v>
      </c>
      <c r="E1236" s="1199">
        <f t="shared" si="19"/>
        <v>14.4</v>
      </c>
    </row>
    <row r="1237" spans="1:5">
      <c r="A1237" s="1003" t="s">
        <v>8189</v>
      </c>
      <c r="B1237" s="1003" t="s">
        <v>2959</v>
      </c>
      <c r="C1237" s="1199" t="s">
        <v>1615</v>
      </c>
      <c r="D1237" s="1199">
        <v>44.22</v>
      </c>
      <c r="E1237" s="1199">
        <f t="shared" si="19"/>
        <v>37</v>
      </c>
    </row>
    <row r="1238" spans="1:5">
      <c r="A1238" s="1003" t="s">
        <v>8190</v>
      </c>
      <c r="B1238" s="1003" t="s">
        <v>8091</v>
      </c>
      <c r="C1238" s="1199" t="s">
        <v>1615</v>
      </c>
      <c r="D1238" s="1199">
        <v>629.12</v>
      </c>
      <c r="E1238" s="1199">
        <f t="shared" si="19"/>
        <v>526.46</v>
      </c>
    </row>
    <row r="1239" spans="1:5">
      <c r="A1239" s="1003" t="s">
        <v>8191</v>
      </c>
      <c r="B1239" s="1003" t="s">
        <v>2897</v>
      </c>
      <c r="C1239" s="1199" t="s">
        <v>1615</v>
      </c>
      <c r="D1239" s="1199">
        <v>664.92</v>
      </c>
      <c r="E1239" s="1199">
        <f t="shared" si="19"/>
        <v>556.41999999999996</v>
      </c>
    </row>
    <row r="1240" spans="1:5">
      <c r="A1240" s="1003" t="s">
        <v>8192</v>
      </c>
      <c r="B1240" s="1003" t="s">
        <v>8097</v>
      </c>
      <c r="C1240" s="1199" t="s">
        <v>1615</v>
      </c>
      <c r="D1240" s="1199">
        <v>682.26</v>
      </c>
      <c r="E1240" s="1199">
        <f t="shared" si="19"/>
        <v>570.92999999999995</v>
      </c>
    </row>
    <row r="1241" spans="1:5">
      <c r="A1241" s="1003" t="s">
        <v>8193</v>
      </c>
      <c r="B1241" s="1003" t="s">
        <v>8194</v>
      </c>
      <c r="C1241" s="1199" t="s">
        <v>1615</v>
      </c>
      <c r="D1241" s="1199">
        <v>242.81</v>
      </c>
      <c r="E1241" s="1199">
        <f t="shared" si="19"/>
        <v>203.19</v>
      </c>
    </row>
    <row r="1242" spans="1:5">
      <c r="A1242" s="1003" t="s">
        <v>8195</v>
      </c>
      <c r="B1242" s="1003" t="s">
        <v>8196</v>
      </c>
      <c r="C1242" s="1199" t="s">
        <v>1615</v>
      </c>
      <c r="D1242" s="1199">
        <v>449.15</v>
      </c>
      <c r="E1242" s="1199">
        <f t="shared" si="19"/>
        <v>375.86</v>
      </c>
    </row>
    <row r="1243" spans="1:5">
      <c r="A1243" s="1003" t="s">
        <v>8197</v>
      </c>
      <c r="B1243" s="1003" t="s">
        <v>8198</v>
      </c>
      <c r="C1243" s="1199" t="s">
        <v>1615</v>
      </c>
      <c r="D1243" s="1199">
        <v>452.18</v>
      </c>
      <c r="E1243" s="1199">
        <f t="shared" si="19"/>
        <v>378.39</v>
      </c>
    </row>
    <row r="1244" spans="1:5">
      <c r="A1244" s="1003" t="s">
        <v>8199</v>
      </c>
      <c r="B1244" s="1003" t="s">
        <v>8200</v>
      </c>
      <c r="C1244" s="1199" t="s">
        <v>1615</v>
      </c>
      <c r="D1244" s="1199">
        <v>1021.98</v>
      </c>
      <c r="E1244" s="1199">
        <f t="shared" si="19"/>
        <v>855.21</v>
      </c>
    </row>
    <row r="1245" spans="1:5">
      <c r="A1245" s="1003" t="s">
        <v>8201</v>
      </c>
      <c r="B1245" s="1003" t="s">
        <v>8202</v>
      </c>
      <c r="C1245" s="1199" t="s">
        <v>1615</v>
      </c>
      <c r="D1245" s="1199">
        <v>411.13</v>
      </c>
      <c r="E1245" s="1199">
        <f t="shared" si="19"/>
        <v>344.04</v>
      </c>
    </row>
    <row r="1246" spans="1:5">
      <c r="A1246" s="1003" t="s">
        <v>8203</v>
      </c>
      <c r="B1246" s="1003" t="s">
        <v>2964</v>
      </c>
      <c r="C1246" s="1199" t="s">
        <v>1615</v>
      </c>
      <c r="D1246" s="1199">
        <v>83.76</v>
      </c>
      <c r="E1246" s="1199">
        <f t="shared" si="19"/>
        <v>70.09</v>
      </c>
    </row>
    <row r="1247" spans="1:5">
      <c r="A1247" s="1003" t="s">
        <v>8204</v>
      </c>
      <c r="B1247" s="1003" t="s">
        <v>2965</v>
      </c>
      <c r="C1247" s="1199" t="s">
        <v>1615</v>
      </c>
      <c r="D1247" s="1199">
        <v>113.17</v>
      </c>
      <c r="E1247" s="1199">
        <f t="shared" si="19"/>
        <v>94.7</v>
      </c>
    </row>
    <row r="1248" spans="1:5">
      <c r="A1248" s="1003" t="s">
        <v>8205</v>
      </c>
      <c r="B1248" s="1003" t="s">
        <v>2966</v>
      </c>
      <c r="C1248" s="1199" t="s">
        <v>1240</v>
      </c>
      <c r="D1248" s="1199">
        <v>1374.4</v>
      </c>
      <c r="E1248" s="1199">
        <f t="shared" si="19"/>
        <v>1150.1300000000001</v>
      </c>
    </row>
    <row r="1249" spans="1:5">
      <c r="A1249" s="1003" t="s">
        <v>8206</v>
      </c>
      <c r="B1249" s="1003" t="s">
        <v>2967</v>
      </c>
      <c r="C1249" s="1199" t="s">
        <v>1240</v>
      </c>
      <c r="D1249" s="1199">
        <v>649.45000000000005</v>
      </c>
      <c r="E1249" s="1199">
        <f t="shared" si="19"/>
        <v>543.47</v>
      </c>
    </row>
    <row r="1250" spans="1:5">
      <c r="A1250" s="1003" t="s">
        <v>8207</v>
      </c>
      <c r="B1250" s="1003" t="s">
        <v>2968</v>
      </c>
      <c r="C1250" s="1199" t="s">
        <v>1240</v>
      </c>
      <c r="D1250" s="1199">
        <v>2906.06</v>
      </c>
      <c r="E1250" s="1199">
        <f t="shared" si="19"/>
        <v>2431.85</v>
      </c>
    </row>
    <row r="1251" spans="1:5">
      <c r="A1251" s="1003" t="s">
        <v>8208</v>
      </c>
      <c r="B1251" s="1003" t="s">
        <v>2969</v>
      </c>
      <c r="C1251" s="1199" t="s">
        <v>1240</v>
      </c>
      <c r="D1251" s="1199">
        <v>3068.55</v>
      </c>
      <c r="E1251" s="1199">
        <f t="shared" si="19"/>
        <v>2567.8200000000002</v>
      </c>
    </row>
    <row r="1252" spans="1:5">
      <c r="A1252" s="1003" t="s">
        <v>8209</v>
      </c>
      <c r="B1252" s="1003" t="s">
        <v>2970</v>
      </c>
      <c r="C1252" s="1199" t="s">
        <v>1615</v>
      </c>
      <c r="D1252" s="1199">
        <v>309.33</v>
      </c>
      <c r="E1252" s="1199">
        <f t="shared" si="19"/>
        <v>258.85000000000002</v>
      </c>
    </row>
    <row r="1253" spans="1:5">
      <c r="A1253" s="1003" t="s">
        <v>8210</v>
      </c>
      <c r="B1253" s="1003" t="s">
        <v>2971</v>
      </c>
      <c r="C1253" s="1199" t="s">
        <v>1615</v>
      </c>
      <c r="D1253" s="1199">
        <v>287.38</v>
      </c>
      <c r="E1253" s="1199">
        <f t="shared" si="19"/>
        <v>240.49</v>
      </c>
    </row>
    <row r="1254" spans="1:5">
      <c r="A1254" s="1003" t="s">
        <v>8211</v>
      </c>
      <c r="B1254" s="1003" t="s">
        <v>2972</v>
      </c>
      <c r="C1254" s="1199" t="s">
        <v>1615</v>
      </c>
      <c r="D1254" s="1199">
        <v>451.76</v>
      </c>
      <c r="E1254" s="1199">
        <f t="shared" si="19"/>
        <v>378.04</v>
      </c>
    </row>
    <row r="1255" spans="1:5">
      <c r="A1255" s="1003" t="s">
        <v>8212</v>
      </c>
      <c r="B1255" s="1003" t="s">
        <v>2973</v>
      </c>
      <c r="C1255" s="1199" t="s">
        <v>1240</v>
      </c>
      <c r="D1255" s="1199">
        <v>1664.62</v>
      </c>
      <c r="E1255" s="1199">
        <f t="shared" si="19"/>
        <v>1392.99</v>
      </c>
    </row>
    <row r="1256" spans="1:5">
      <c r="A1256" s="1003" t="s">
        <v>8213</v>
      </c>
      <c r="B1256" s="1003" t="s">
        <v>2974</v>
      </c>
      <c r="C1256" s="1199" t="s">
        <v>1615</v>
      </c>
      <c r="D1256" s="1199">
        <v>70.91</v>
      </c>
      <c r="E1256" s="1199">
        <f t="shared" si="19"/>
        <v>59.34</v>
      </c>
    </row>
    <row r="1257" spans="1:5">
      <c r="A1257" s="1003" t="s">
        <v>8214</v>
      </c>
      <c r="B1257" s="1003" t="s">
        <v>2976</v>
      </c>
      <c r="C1257" s="1199" t="s">
        <v>1615</v>
      </c>
      <c r="D1257" s="1199">
        <v>94.33</v>
      </c>
      <c r="E1257" s="1199">
        <f t="shared" si="19"/>
        <v>78.94</v>
      </c>
    </row>
    <row r="1258" spans="1:5">
      <c r="A1258" s="1003" t="s">
        <v>8215</v>
      </c>
      <c r="B1258" s="1003" t="s">
        <v>2978</v>
      </c>
      <c r="C1258" s="1199" t="s">
        <v>1615</v>
      </c>
      <c r="D1258" s="1199">
        <v>516.79999999999995</v>
      </c>
      <c r="E1258" s="1199">
        <f t="shared" si="19"/>
        <v>432.47</v>
      </c>
    </row>
    <row r="1259" spans="1:5">
      <c r="A1259" s="1003" t="s">
        <v>8216</v>
      </c>
      <c r="B1259" s="1003" t="s">
        <v>2979</v>
      </c>
      <c r="C1259" s="1199" t="s">
        <v>1615</v>
      </c>
      <c r="D1259" s="1199">
        <v>860.1</v>
      </c>
      <c r="E1259" s="1199">
        <f t="shared" si="19"/>
        <v>719.75</v>
      </c>
    </row>
    <row r="1260" spans="1:5">
      <c r="A1260" s="1003" t="s">
        <v>8217</v>
      </c>
      <c r="B1260" s="1003" t="s">
        <v>2982</v>
      </c>
      <c r="C1260" s="1199" t="s">
        <v>1652</v>
      </c>
      <c r="D1260" s="1199">
        <v>637.01</v>
      </c>
      <c r="E1260" s="1199">
        <f t="shared" si="19"/>
        <v>533.05999999999995</v>
      </c>
    </row>
    <row r="1261" spans="1:5">
      <c r="A1261" s="1003" t="s">
        <v>8218</v>
      </c>
      <c r="B1261" s="1003" t="s">
        <v>2986</v>
      </c>
      <c r="C1261" s="1199" t="s">
        <v>1652</v>
      </c>
      <c r="D1261" s="1199">
        <v>637.01</v>
      </c>
      <c r="E1261" s="1199">
        <f t="shared" si="19"/>
        <v>533.05999999999995</v>
      </c>
    </row>
    <row r="1262" spans="1:5">
      <c r="A1262" s="1003" t="s">
        <v>8219</v>
      </c>
      <c r="B1262" s="1003" t="s">
        <v>8220</v>
      </c>
      <c r="C1262" s="1199" t="s">
        <v>1615</v>
      </c>
      <c r="D1262" s="1199">
        <v>70784.06</v>
      </c>
      <c r="E1262" s="1199">
        <f t="shared" si="19"/>
        <v>59233.52</v>
      </c>
    </row>
    <row r="1263" spans="1:5">
      <c r="A1263" s="1003" t="s">
        <v>8221</v>
      </c>
      <c r="B1263" s="1003" t="s">
        <v>8222</v>
      </c>
      <c r="C1263" s="1199" t="s">
        <v>1615</v>
      </c>
      <c r="D1263" s="1199">
        <v>76438.880000000005</v>
      </c>
      <c r="E1263" s="1199">
        <f t="shared" si="19"/>
        <v>63965.59</v>
      </c>
    </row>
    <row r="1264" spans="1:5">
      <c r="A1264" s="1003" t="s">
        <v>8223</v>
      </c>
      <c r="B1264" s="1003" t="s">
        <v>8224</v>
      </c>
      <c r="C1264" s="1199" t="s">
        <v>1615</v>
      </c>
      <c r="D1264" s="1199">
        <v>96825.09</v>
      </c>
      <c r="E1264" s="1199">
        <f t="shared" si="19"/>
        <v>81025.179999999993</v>
      </c>
    </row>
    <row r="1265" spans="1:5">
      <c r="A1265" s="1003" t="s">
        <v>8225</v>
      </c>
      <c r="B1265" s="1003" t="s">
        <v>8226</v>
      </c>
      <c r="C1265" s="1199" t="s">
        <v>1615</v>
      </c>
      <c r="D1265" s="1199">
        <v>108571.47</v>
      </c>
      <c r="E1265" s="1199">
        <f t="shared" si="19"/>
        <v>90854.79</v>
      </c>
    </row>
    <row r="1266" spans="1:5">
      <c r="A1266" s="1003" t="s">
        <v>8227</v>
      </c>
      <c r="B1266" s="1003" t="s">
        <v>8228</v>
      </c>
      <c r="C1266" s="1199" t="s">
        <v>1615</v>
      </c>
      <c r="D1266" s="1199">
        <v>68057.31</v>
      </c>
      <c r="E1266" s="1199">
        <f t="shared" si="19"/>
        <v>56951.72</v>
      </c>
    </row>
    <row r="1267" spans="1:5">
      <c r="A1267" s="1003" t="s">
        <v>8229</v>
      </c>
      <c r="B1267" s="1003" t="s">
        <v>8230</v>
      </c>
      <c r="C1267" s="1199" t="s">
        <v>1615</v>
      </c>
      <c r="D1267" s="1199">
        <v>75096.53</v>
      </c>
      <c r="E1267" s="1199">
        <f t="shared" si="19"/>
        <v>62842.28</v>
      </c>
    </row>
    <row r="1268" spans="1:5">
      <c r="A1268" s="1003" t="s">
        <v>8231</v>
      </c>
      <c r="B1268" s="1003" t="s">
        <v>8232</v>
      </c>
      <c r="C1268" s="1199" t="s">
        <v>1615</v>
      </c>
      <c r="D1268" s="1199">
        <v>96254.24</v>
      </c>
      <c r="E1268" s="1199">
        <f t="shared" si="19"/>
        <v>80547.48</v>
      </c>
    </row>
    <row r="1269" spans="1:5">
      <c r="A1269" s="1003" t="s">
        <v>8233</v>
      </c>
      <c r="B1269" s="1003" t="s">
        <v>8234</v>
      </c>
      <c r="C1269" s="1199" t="s">
        <v>1615</v>
      </c>
      <c r="D1269" s="1199">
        <v>108000.63</v>
      </c>
      <c r="E1269" s="1199">
        <f t="shared" si="19"/>
        <v>90377.1</v>
      </c>
    </row>
    <row r="1270" spans="1:5">
      <c r="A1270" s="1003" t="s">
        <v>8235</v>
      </c>
      <c r="B1270" s="1003" t="s">
        <v>8236</v>
      </c>
      <c r="C1270" s="1199" t="s">
        <v>1615</v>
      </c>
      <c r="D1270" s="1199">
        <v>70970.83</v>
      </c>
      <c r="E1270" s="1199">
        <f t="shared" si="19"/>
        <v>59389.82</v>
      </c>
    </row>
    <row r="1271" spans="1:5">
      <c r="A1271" s="1203" t="s">
        <v>8237</v>
      </c>
      <c r="B1271" s="1003" t="s">
        <v>8238</v>
      </c>
      <c r="C1271" s="1199" t="s">
        <v>1615</v>
      </c>
      <c r="D1271" s="1199">
        <v>76744.429999999993</v>
      </c>
      <c r="E1271" s="1199">
        <f t="shared" si="19"/>
        <v>64221.279999999999</v>
      </c>
    </row>
    <row r="1272" spans="1:5">
      <c r="A1272" s="1003" t="s">
        <v>1151</v>
      </c>
      <c r="B1272" s="1003" t="s">
        <v>8239</v>
      </c>
      <c r="C1272" s="1199" t="s">
        <v>1615</v>
      </c>
      <c r="D1272" s="1199">
        <v>97168.45</v>
      </c>
      <c r="E1272" s="1199">
        <f t="shared" si="19"/>
        <v>81312.509999999995</v>
      </c>
    </row>
    <row r="1273" spans="1:5">
      <c r="A1273" s="1003" t="s">
        <v>8240</v>
      </c>
      <c r="B1273" s="1003" t="s">
        <v>8241</v>
      </c>
      <c r="C1273" s="1199" t="s">
        <v>1615</v>
      </c>
      <c r="D1273" s="1199">
        <v>108914.83</v>
      </c>
      <c r="E1273" s="1199">
        <f t="shared" si="19"/>
        <v>91142.12</v>
      </c>
    </row>
    <row r="1274" spans="1:5">
      <c r="A1274" s="1003" t="s">
        <v>8242</v>
      </c>
      <c r="B1274" s="1003" t="s">
        <v>8243</v>
      </c>
      <c r="C1274" s="1199" t="s">
        <v>1615</v>
      </c>
      <c r="D1274" s="1199">
        <v>49685.08</v>
      </c>
      <c r="E1274" s="1199">
        <f t="shared" si="19"/>
        <v>41577.47</v>
      </c>
    </row>
    <row r="1275" spans="1:5">
      <c r="A1275" s="1003" t="s">
        <v>8244</v>
      </c>
      <c r="B1275" s="1003" t="s">
        <v>8245</v>
      </c>
      <c r="C1275" s="1199" t="s">
        <v>1615</v>
      </c>
      <c r="D1275" s="1199">
        <v>53483.44</v>
      </c>
      <c r="E1275" s="1199">
        <f t="shared" si="19"/>
        <v>44756.02</v>
      </c>
    </row>
    <row r="1276" spans="1:5">
      <c r="A1276" s="1003" t="s">
        <v>8246</v>
      </c>
      <c r="B1276" s="1003" t="s">
        <v>8247</v>
      </c>
      <c r="C1276" s="1199" t="s">
        <v>1615</v>
      </c>
      <c r="D1276" s="1199">
        <v>65850.5</v>
      </c>
      <c r="E1276" s="1199">
        <f t="shared" si="19"/>
        <v>55105.02</v>
      </c>
    </row>
    <row r="1277" spans="1:5">
      <c r="A1277" s="1003" t="s">
        <v>8248</v>
      </c>
      <c r="B1277" s="1003" t="s">
        <v>8249</v>
      </c>
      <c r="C1277" s="1199" t="s">
        <v>1615</v>
      </c>
      <c r="D1277" s="1199">
        <v>72883.17</v>
      </c>
      <c r="E1277" s="1199">
        <f t="shared" si="19"/>
        <v>60990.1</v>
      </c>
    </row>
    <row r="1278" spans="1:5" ht="27.6">
      <c r="A1278" s="1003" t="s">
        <v>8250</v>
      </c>
      <c r="B1278" s="1003" t="s">
        <v>8251</v>
      </c>
      <c r="C1278" s="1199" t="s">
        <v>1615</v>
      </c>
      <c r="D1278" s="1199">
        <v>76802.42</v>
      </c>
      <c r="E1278" s="1199">
        <f t="shared" si="19"/>
        <v>64269.81</v>
      </c>
    </row>
    <row r="1279" spans="1:5" ht="27.6">
      <c r="A1279" s="1003" t="s">
        <v>8252</v>
      </c>
      <c r="B1279" s="1003" t="s">
        <v>8253</v>
      </c>
      <c r="C1279" s="1199" t="s">
        <v>1615</v>
      </c>
      <c r="D1279" s="1199">
        <v>174725.46</v>
      </c>
      <c r="E1279" s="1199">
        <f t="shared" si="19"/>
        <v>146213.76999999999</v>
      </c>
    </row>
    <row r="1280" spans="1:5" ht="27.6">
      <c r="A1280" s="1003" t="s">
        <v>8254</v>
      </c>
      <c r="B1280" s="1003" t="s">
        <v>8255</v>
      </c>
      <c r="C1280" s="1199" t="s">
        <v>1615</v>
      </c>
      <c r="D1280" s="1199">
        <v>178523.83</v>
      </c>
      <c r="E1280" s="1199">
        <f t="shared" si="19"/>
        <v>149392.32999999999</v>
      </c>
    </row>
    <row r="1281" spans="1:5" ht="27.6">
      <c r="A1281" s="1003" t="s">
        <v>8256</v>
      </c>
      <c r="B1281" s="1003" t="s">
        <v>8257</v>
      </c>
      <c r="C1281" s="1199" t="s">
        <v>1615</v>
      </c>
      <c r="D1281" s="1199">
        <v>190742.5</v>
      </c>
      <c r="E1281" s="1199">
        <f t="shared" si="19"/>
        <v>159617.15</v>
      </c>
    </row>
    <row r="1282" spans="1:5" ht="27.6">
      <c r="A1282" s="1003" t="s">
        <v>8258</v>
      </c>
      <c r="B1282" s="1003" t="s">
        <v>8259</v>
      </c>
      <c r="C1282" s="1199" t="s">
        <v>1615</v>
      </c>
      <c r="D1282" s="1199">
        <v>197775.17</v>
      </c>
      <c r="E1282" s="1199">
        <f t="shared" si="19"/>
        <v>165502.23000000001</v>
      </c>
    </row>
    <row r="1283" spans="1:5">
      <c r="A1283" s="1003" t="s">
        <v>8260</v>
      </c>
      <c r="B1283" s="1003" t="s">
        <v>3001</v>
      </c>
      <c r="C1283" s="1199" t="s">
        <v>1652</v>
      </c>
      <c r="D1283" s="1199">
        <v>637.01</v>
      </c>
      <c r="E1283" s="1199">
        <f t="shared" si="19"/>
        <v>533.05999999999995</v>
      </c>
    </row>
    <row r="1284" spans="1:5">
      <c r="A1284" s="1003" t="s">
        <v>580</v>
      </c>
      <c r="B1284" s="1003" t="s">
        <v>3003</v>
      </c>
      <c r="C1284" s="1199" t="s">
        <v>1615</v>
      </c>
      <c r="D1284" s="1199">
        <v>1991.05</v>
      </c>
      <c r="E1284" s="1199">
        <f t="shared" ref="E1284:E1347" si="20">ROUND(D1284/1.195,2)</f>
        <v>1666.15</v>
      </c>
    </row>
    <row r="1285" spans="1:5">
      <c r="A1285" s="1003" t="s">
        <v>8261</v>
      </c>
      <c r="B1285" s="1003" t="s">
        <v>8262</v>
      </c>
      <c r="C1285" s="1199" t="s">
        <v>1615</v>
      </c>
      <c r="D1285" s="1199">
        <v>7726.58</v>
      </c>
      <c r="E1285" s="1199">
        <f t="shared" si="20"/>
        <v>6465.76</v>
      </c>
    </row>
    <row r="1286" spans="1:5">
      <c r="A1286" s="1003" t="s">
        <v>8263</v>
      </c>
      <c r="B1286" s="1003" t="s">
        <v>8264</v>
      </c>
      <c r="C1286" s="1199" t="s">
        <v>1615</v>
      </c>
      <c r="D1286" s="1199">
        <v>8413.85</v>
      </c>
      <c r="E1286" s="1199">
        <f t="shared" si="20"/>
        <v>7040.88</v>
      </c>
    </row>
    <row r="1287" spans="1:5">
      <c r="A1287" s="1003" t="s">
        <v>8265</v>
      </c>
      <c r="B1287" s="1003" t="s">
        <v>8266</v>
      </c>
      <c r="C1287" s="1199" t="s">
        <v>1615</v>
      </c>
      <c r="D1287" s="1199">
        <v>9116.14</v>
      </c>
      <c r="E1287" s="1199">
        <f t="shared" si="20"/>
        <v>7628.57</v>
      </c>
    </row>
    <row r="1288" spans="1:5">
      <c r="A1288" s="1003" t="s">
        <v>8267</v>
      </c>
      <c r="B1288" s="1003" t="s">
        <v>3004</v>
      </c>
      <c r="C1288" s="1199" t="s">
        <v>1615</v>
      </c>
      <c r="D1288" s="1199">
        <v>151.29</v>
      </c>
      <c r="E1288" s="1199">
        <f t="shared" si="20"/>
        <v>126.6</v>
      </c>
    </row>
    <row r="1289" spans="1:5">
      <c r="A1289" s="1003" t="s">
        <v>582</v>
      </c>
      <c r="B1289" s="1003" t="s">
        <v>3005</v>
      </c>
      <c r="C1289" s="1199" t="s">
        <v>1615</v>
      </c>
      <c r="D1289" s="1199">
        <v>251.26</v>
      </c>
      <c r="E1289" s="1199">
        <f t="shared" si="20"/>
        <v>210.26</v>
      </c>
    </row>
    <row r="1290" spans="1:5">
      <c r="A1290" s="1003" t="s">
        <v>8268</v>
      </c>
      <c r="B1290" s="1003" t="s">
        <v>8269</v>
      </c>
      <c r="C1290" s="1199" t="s">
        <v>1615</v>
      </c>
      <c r="D1290" s="1199">
        <v>3404.46</v>
      </c>
      <c r="E1290" s="1199">
        <f t="shared" si="20"/>
        <v>2848.92</v>
      </c>
    </row>
    <row r="1291" spans="1:5">
      <c r="A1291" s="1003" t="s">
        <v>8270</v>
      </c>
      <c r="B1291" s="1003" t="s">
        <v>3006</v>
      </c>
      <c r="C1291" s="1199" t="s">
        <v>1615</v>
      </c>
      <c r="D1291" s="1199">
        <v>7752.37</v>
      </c>
      <c r="E1291" s="1199">
        <f t="shared" si="20"/>
        <v>6487.34</v>
      </c>
    </row>
    <row r="1292" spans="1:5">
      <c r="A1292" s="1003" t="s">
        <v>8271</v>
      </c>
      <c r="B1292" s="1003" t="s">
        <v>3007</v>
      </c>
      <c r="C1292" s="1199" t="s">
        <v>1615</v>
      </c>
      <c r="D1292" s="1199">
        <v>9615.35</v>
      </c>
      <c r="E1292" s="1199">
        <f t="shared" si="20"/>
        <v>8046.32</v>
      </c>
    </row>
    <row r="1293" spans="1:5">
      <c r="A1293" s="1003" t="s">
        <v>8272</v>
      </c>
      <c r="B1293" s="1003" t="s">
        <v>8273</v>
      </c>
      <c r="C1293" s="1199" t="s">
        <v>1615</v>
      </c>
      <c r="D1293" s="1199">
        <v>6240.72</v>
      </c>
      <c r="E1293" s="1199">
        <f t="shared" si="20"/>
        <v>5222.3599999999997</v>
      </c>
    </row>
    <row r="1294" spans="1:5" ht="27.6">
      <c r="A1294" s="1003" t="s">
        <v>8274</v>
      </c>
      <c r="B1294" s="1003" t="s">
        <v>8275</v>
      </c>
      <c r="C1294" s="1199" t="s">
        <v>1615</v>
      </c>
      <c r="D1294" s="1199">
        <v>5789.52</v>
      </c>
      <c r="E1294" s="1199">
        <f t="shared" si="20"/>
        <v>4844.79</v>
      </c>
    </row>
    <row r="1295" spans="1:5">
      <c r="A1295" s="1003" t="s">
        <v>8276</v>
      </c>
      <c r="B1295" s="1003" t="s">
        <v>8277</v>
      </c>
      <c r="C1295" s="1199" t="s">
        <v>1615</v>
      </c>
      <c r="D1295" s="1199">
        <v>2690.67</v>
      </c>
      <c r="E1295" s="1199">
        <f t="shared" si="20"/>
        <v>2251.61</v>
      </c>
    </row>
    <row r="1296" spans="1:5">
      <c r="A1296" s="1003" t="s">
        <v>8278</v>
      </c>
      <c r="B1296" s="1003" t="s">
        <v>8279</v>
      </c>
      <c r="C1296" s="1199" t="s">
        <v>1615</v>
      </c>
      <c r="D1296" s="1199">
        <v>3386.42</v>
      </c>
      <c r="E1296" s="1199">
        <f t="shared" si="20"/>
        <v>2833.82</v>
      </c>
    </row>
    <row r="1297" spans="1:5">
      <c r="A1297" s="1003" t="s">
        <v>584</v>
      </c>
      <c r="B1297" s="1003" t="s">
        <v>8280</v>
      </c>
      <c r="C1297" s="1199" t="s">
        <v>1615</v>
      </c>
      <c r="D1297" s="1199">
        <v>6888.36</v>
      </c>
      <c r="E1297" s="1199">
        <f t="shared" si="20"/>
        <v>5764.32</v>
      </c>
    </row>
    <row r="1298" spans="1:5">
      <c r="A1298" s="1003" t="s">
        <v>8281</v>
      </c>
      <c r="B1298" s="1003" t="s">
        <v>3012</v>
      </c>
      <c r="C1298" s="1199" t="s">
        <v>1615</v>
      </c>
      <c r="D1298" s="1199">
        <v>1000.75</v>
      </c>
      <c r="E1298" s="1199">
        <f t="shared" si="20"/>
        <v>837.45</v>
      </c>
    </row>
    <row r="1299" spans="1:5">
      <c r="A1299" s="1003" t="s">
        <v>8282</v>
      </c>
      <c r="B1299" s="1003" t="s">
        <v>3013</v>
      </c>
      <c r="C1299" s="1199" t="s">
        <v>1615</v>
      </c>
      <c r="D1299" s="1199">
        <v>1314.82</v>
      </c>
      <c r="E1299" s="1199">
        <f t="shared" si="20"/>
        <v>1100.27</v>
      </c>
    </row>
    <row r="1300" spans="1:5">
      <c r="A1300" s="1003" t="s">
        <v>8283</v>
      </c>
      <c r="B1300" s="1003" t="s">
        <v>3014</v>
      </c>
      <c r="C1300" s="1199" t="s">
        <v>1615</v>
      </c>
      <c r="D1300" s="1199">
        <v>1549.47</v>
      </c>
      <c r="E1300" s="1199">
        <f t="shared" si="20"/>
        <v>1296.6300000000001</v>
      </c>
    </row>
    <row r="1301" spans="1:5">
      <c r="A1301" s="1003" t="s">
        <v>8284</v>
      </c>
      <c r="B1301" s="1003" t="s">
        <v>3015</v>
      </c>
      <c r="C1301" s="1199" t="s">
        <v>1615</v>
      </c>
      <c r="D1301" s="1199">
        <v>1769.89</v>
      </c>
      <c r="E1301" s="1199">
        <f t="shared" si="20"/>
        <v>1481.08</v>
      </c>
    </row>
    <row r="1302" spans="1:5">
      <c r="A1302" s="1003" t="s">
        <v>8285</v>
      </c>
      <c r="B1302" s="1003" t="s">
        <v>3016</v>
      </c>
      <c r="C1302" s="1199" t="s">
        <v>1615</v>
      </c>
      <c r="D1302" s="1199">
        <v>2377.9299999999998</v>
      </c>
      <c r="E1302" s="1199">
        <f t="shared" si="20"/>
        <v>1989.9</v>
      </c>
    </row>
    <row r="1303" spans="1:5">
      <c r="A1303" s="1003" t="s">
        <v>8286</v>
      </c>
      <c r="B1303" s="1003" t="s">
        <v>3017</v>
      </c>
      <c r="C1303" s="1199" t="s">
        <v>1615</v>
      </c>
      <c r="D1303" s="1199">
        <v>3152.61</v>
      </c>
      <c r="E1303" s="1199">
        <f t="shared" si="20"/>
        <v>2638.17</v>
      </c>
    </row>
    <row r="1304" spans="1:5">
      <c r="A1304" s="1003" t="s">
        <v>8287</v>
      </c>
      <c r="B1304" s="1003" t="s">
        <v>3018</v>
      </c>
      <c r="C1304" s="1199" t="s">
        <v>1615</v>
      </c>
      <c r="D1304" s="1199">
        <v>3638.79</v>
      </c>
      <c r="E1304" s="1199">
        <f t="shared" si="20"/>
        <v>3045.01</v>
      </c>
    </row>
    <row r="1305" spans="1:5">
      <c r="A1305" s="1003" t="s">
        <v>8288</v>
      </c>
      <c r="B1305" s="1003" t="s">
        <v>3019</v>
      </c>
      <c r="C1305" s="1199" t="s">
        <v>1615</v>
      </c>
      <c r="D1305" s="1199">
        <v>4647.45</v>
      </c>
      <c r="E1305" s="1199">
        <f t="shared" si="20"/>
        <v>3889.08</v>
      </c>
    </row>
    <row r="1306" spans="1:5">
      <c r="A1306" s="1003" t="s">
        <v>8289</v>
      </c>
      <c r="B1306" s="1003" t="s">
        <v>3020</v>
      </c>
      <c r="C1306" s="1199" t="s">
        <v>1615</v>
      </c>
      <c r="D1306" s="1199">
        <v>5557.95</v>
      </c>
      <c r="E1306" s="1199">
        <f t="shared" si="20"/>
        <v>4651</v>
      </c>
    </row>
    <row r="1307" spans="1:5">
      <c r="A1307" s="1003" t="s">
        <v>8290</v>
      </c>
      <c r="B1307" s="1003" t="s">
        <v>3021</v>
      </c>
      <c r="C1307" s="1199" t="s">
        <v>1615</v>
      </c>
      <c r="D1307" s="1199">
        <v>6333.17</v>
      </c>
      <c r="E1307" s="1199">
        <f t="shared" si="20"/>
        <v>5299.72</v>
      </c>
    </row>
    <row r="1308" spans="1:5">
      <c r="A1308" s="1003" t="s">
        <v>8291</v>
      </c>
      <c r="B1308" s="1003" t="s">
        <v>3022</v>
      </c>
      <c r="C1308" s="1199" t="s">
        <v>1615</v>
      </c>
      <c r="D1308" s="1199">
        <v>1222.07</v>
      </c>
      <c r="E1308" s="1199">
        <f t="shared" si="20"/>
        <v>1022.65</v>
      </c>
    </row>
    <row r="1309" spans="1:5">
      <c r="A1309" s="1003" t="s">
        <v>8292</v>
      </c>
      <c r="B1309" s="1003" t="s">
        <v>3023</v>
      </c>
      <c r="C1309" s="1199" t="s">
        <v>1615</v>
      </c>
      <c r="D1309" s="1199">
        <v>1445.47</v>
      </c>
      <c r="E1309" s="1199">
        <f t="shared" si="20"/>
        <v>1209.5999999999999</v>
      </c>
    </row>
    <row r="1310" spans="1:5">
      <c r="A1310" s="1003" t="s">
        <v>8293</v>
      </c>
      <c r="B1310" s="1003" t="s">
        <v>3024</v>
      </c>
      <c r="C1310" s="1199" t="s">
        <v>1615</v>
      </c>
      <c r="D1310" s="1199">
        <v>1747.15</v>
      </c>
      <c r="E1310" s="1199">
        <f t="shared" si="20"/>
        <v>1462.05</v>
      </c>
    </row>
    <row r="1311" spans="1:5">
      <c r="A1311" s="1003" t="s">
        <v>8294</v>
      </c>
      <c r="B1311" s="1003" t="s">
        <v>3025</v>
      </c>
      <c r="C1311" s="1199" t="s">
        <v>1615</v>
      </c>
      <c r="D1311" s="1199">
        <v>2033.06</v>
      </c>
      <c r="E1311" s="1199">
        <f t="shared" si="20"/>
        <v>1701.31</v>
      </c>
    </row>
    <row r="1312" spans="1:5">
      <c r="A1312" s="1003" t="s">
        <v>8295</v>
      </c>
      <c r="B1312" s="1003" t="s">
        <v>3026</v>
      </c>
      <c r="C1312" s="1199" t="s">
        <v>1615</v>
      </c>
      <c r="D1312" s="1199">
        <v>2802.64</v>
      </c>
      <c r="E1312" s="1199">
        <f t="shared" si="20"/>
        <v>2345.31</v>
      </c>
    </row>
    <row r="1313" spans="1:5">
      <c r="A1313" s="1003" t="s">
        <v>8296</v>
      </c>
      <c r="B1313" s="1003" t="s">
        <v>3027</v>
      </c>
      <c r="C1313" s="1199" t="s">
        <v>1615</v>
      </c>
      <c r="D1313" s="1199">
        <v>3743.06</v>
      </c>
      <c r="E1313" s="1199">
        <f t="shared" si="20"/>
        <v>3132.27</v>
      </c>
    </row>
    <row r="1314" spans="1:5">
      <c r="A1314" s="1003" t="s">
        <v>586</v>
      </c>
      <c r="B1314" s="1003" t="s">
        <v>3028</v>
      </c>
      <c r="C1314" s="1199" t="s">
        <v>1615</v>
      </c>
      <c r="D1314" s="1199">
        <v>4374.54</v>
      </c>
      <c r="E1314" s="1199">
        <f t="shared" si="20"/>
        <v>3660.7</v>
      </c>
    </row>
    <row r="1315" spans="1:5">
      <c r="A1315" s="1003" t="s">
        <v>8297</v>
      </c>
      <c r="B1315" s="1003" t="s">
        <v>3029</v>
      </c>
      <c r="C1315" s="1199" t="s">
        <v>1615</v>
      </c>
      <c r="D1315" s="1199">
        <v>5562.59</v>
      </c>
      <c r="E1315" s="1199">
        <f t="shared" si="20"/>
        <v>4654.8900000000003</v>
      </c>
    </row>
    <row r="1316" spans="1:5">
      <c r="A1316" s="1003" t="s">
        <v>8298</v>
      </c>
      <c r="B1316" s="1003" t="s">
        <v>3030</v>
      </c>
      <c r="C1316" s="1199" t="s">
        <v>1615</v>
      </c>
      <c r="D1316" s="1199">
        <v>6732.39</v>
      </c>
      <c r="E1316" s="1199">
        <f t="shared" si="20"/>
        <v>5633.8</v>
      </c>
    </row>
    <row r="1317" spans="1:5">
      <c r="A1317" s="1003" t="s">
        <v>8299</v>
      </c>
      <c r="B1317" s="1003" t="s">
        <v>3031</v>
      </c>
      <c r="C1317" s="1199" t="s">
        <v>1615</v>
      </c>
      <c r="D1317" s="1199">
        <v>7737.23</v>
      </c>
      <c r="E1317" s="1199">
        <f t="shared" si="20"/>
        <v>6474.67</v>
      </c>
    </row>
    <row r="1318" spans="1:5">
      <c r="A1318" s="1003" t="s">
        <v>8300</v>
      </c>
      <c r="B1318" s="1003" t="s">
        <v>3036</v>
      </c>
      <c r="C1318" s="1199" t="s">
        <v>1615</v>
      </c>
      <c r="D1318" s="1199">
        <v>104.6</v>
      </c>
      <c r="E1318" s="1199">
        <f t="shared" si="20"/>
        <v>87.53</v>
      </c>
    </row>
    <row r="1319" spans="1:5">
      <c r="A1319" s="1003" t="s">
        <v>8301</v>
      </c>
      <c r="B1319" s="1003" t="s">
        <v>3037</v>
      </c>
      <c r="C1319" s="1199" t="s">
        <v>1615</v>
      </c>
      <c r="D1319" s="1199">
        <v>140.86000000000001</v>
      </c>
      <c r="E1319" s="1199">
        <f t="shared" si="20"/>
        <v>117.87</v>
      </c>
    </row>
    <row r="1320" spans="1:5">
      <c r="A1320" s="1003" t="s">
        <v>588</v>
      </c>
      <c r="B1320" s="1003" t="s">
        <v>3038</v>
      </c>
      <c r="C1320" s="1199" t="s">
        <v>1615</v>
      </c>
      <c r="D1320" s="1199">
        <v>121.39</v>
      </c>
      <c r="E1320" s="1199">
        <f t="shared" si="20"/>
        <v>101.58</v>
      </c>
    </row>
    <row r="1321" spans="1:5">
      <c r="A1321" s="1003" t="s">
        <v>8302</v>
      </c>
      <c r="B1321" s="1003" t="s">
        <v>3039</v>
      </c>
      <c r="C1321" s="1199" t="s">
        <v>1615</v>
      </c>
      <c r="D1321" s="1199">
        <v>156.03</v>
      </c>
      <c r="E1321" s="1199">
        <f t="shared" si="20"/>
        <v>130.57</v>
      </c>
    </row>
    <row r="1322" spans="1:5">
      <c r="A1322" s="1003" t="s">
        <v>590</v>
      </c>
      <c r="B1322" s="1003" t="s">
        <v>3041</v>
      </c>
      <c r="C1322" s="1199" t="s">
        <v>1615</v>
      </c>
      <c r="D1322" s="1199">
        <v>553.13</v>
      </c>
      <c r="E1322" s="1199">
        <f t="shared" si="20"/>
        <v>462.87</v>
      </c>
    </row>
    <row r="1323" spans="1:5">
      <c r="A1323" s="1003" t="s">
        <v>8303</v>
      </c>
      <c r="B1323" s="1003" t="s">
        <v>3049</v>
      </c>
      <c r="C1323" s="1199" t="s">
        <v>1652</v>
      </c>
      <c r="D1323" s="1199">
        <v>637.01</v>
      </c>
      <c r="E1323" s="1199">
        <f t="shared" si="20"/>
        <v>533.05999999999995</v>
      </c>
    </row>
    <row r="1324" spans="1:5">
      <c r="A1324" s="1003" t="s">
        <v>8304</v>
      </c>
      <c r="B1324" s="1003" t="s">
        <v>8305</v>
      </c>
      <c r="C1324" s="1199" t="s">
        <v>1615</v>
      </c>
      <c r="D1324" s="1199">
        <v>918.22</v>
      </c>
      <c r="E1324" s="1199">
        <f t="shared" si="20"/>
        <v>768.38</v>
      </c>
    </row>
    <row r="1325" spans="1:5">
      <c r="A1325" s="1003" t="s">
        <v>592</v>
      </c>
      <c r="B1325" s="1003" t="s">
        <v>8306</v>
      </c>
      <c r="C1325" s="1199" t="s">
        <v>1615</v>
      </c>
      <c r="D1325" s="1199">
        <v>741.48</v>
      </c>
      <c r="E1325" s="1199">
        <f t="shared" si="20"/>
        <v>620.49</v>
      </c>
    </row>
    <row r="1326" spans="1:5">
      <c r="A1326" s="1003" t="s">
        <v>8307</v>
      </c>
      <c r="B1326" s="1003" t="s">
        <v>8308</v>
      </c>
      <c r="C1326" s="1199" t="s">
        <v>1615</v>
      </c>
      <c r="D1326" s="1199">
        <v>739.06</v>
      </c>
      <c r="E1326" s="1199">
        <f t="shared" si="20"/>
        <v>618.46</v>
      </c>
    </row>
    <row r="1327" spans="1:5">
      <c r="A1327" s="1003" t="s">
        <v>8309</v>
      </c>
      <c r="B1327" s="1003" t="s">
        <v>8310</v>
      </c>
      <c r="C1327" s="1199" t="s">
        <v>1615</v>
      </c>
      <c r="D1327" s="1199">
        <v>375.34</v>
      </c>
      <c r="E1327" s="1199">
        <f t="shared" si="20"/>
        <v>314.08999999999997</v>
      </c>
    </row>
    <row r="1328" spans="1:5">
      <c r="A1328" s="1003" t="s">
        <v>8311</v>
      </c>
      <c r="B1328" s="1003" t="s">
        <v>8312</v>
      </c>
      <c r="C1328" s="1199" t="s">
        <v>1615</v>
      </c>
      <c r="D1328" s="1199">
        <v>397.72</v>
      </c>
      <c r="E1328" s="1199">
        <f t="shared" si="20"/>
        <v>332.82</v>
      </c>
    </row>
    <row r="1329" spans="1:5">
      <c r="A1329" s="1003" t="s">
        <v>8313</v>
      </c>
      <c r="B1329" s="1003" t="s">
        <v>8314</v>
      </c>
      <c r="C1329" s="1199" t="s">
        <v>1615</v>
      </c>
      <c r="D1329" s="1199">
        <v>1694.23</v>
      </c>
      <c r="E1329" s="1199">
        <f t="shared" si="20"/>
        <v>1417.77</v>
      </c>
    </row>
    <row r="1330" spans="1:5">
      <c r="A1330" s="1003" t="s">
        <v>8315</v>
      </c>
      <c r="B1330" s="1003" t="s">
        <v>3054</v>
      </c>
      <c r="C1330" s="1199" t="s">
        <v>1214</v>
      </c>
      <c r="D1330" s="1199">
        <v>19.420000000000002</v>
      </c>
      <c r="E1330" s="1199">
        <f t="shared" si="20"/>
        <v>16.25</v>
      </c>
    </row>
    <row r="1331" spans="1:5">
      <c r="A1331" s="1003" t="s">
        <v>8316</v>
      </c>
      <c r="B1331" s="1003" t="s">
        <v>3055</v>
      </c>
      <c r="C1331" s="1199" t="s">
        <v>1214</v>
      </c>
      <c r="D1331" s="1199">
        <v>32.15</v>
      </c>
      <c r="E1331" s="1199">
        <f t="shared" si="20"/>
        <v>26.9</v>
      </c>
    </row>
    <row r="1332" spans="1:5">
      <c r="A1332" s="1003" t="s">
        <v>8317</v>
      </c>
      <c r="B1332" s="1003" t="s">
        <v>3056</v>
      </c>
      <c r="C1332" s="1199" t="s">
        <v>1214</v>
      </c>
      <c r="D1332" s="1199">
        <v>45.54</v>
      </c>
      <c r="E1332" s="1199">
        <f t="shared" si="20"/>
        <v>38.11</v>
      </c>
    </row>
    <row r="1333" spans="1:5">
      <c r="A1333" s="1003" t="s">
        <v>597</v>
      </c>
      <c r="B1333" s="1003" t="s">
        <v>3057</v>
      </c>
      <c r="C1333" s="1199" t="s">
        <v>1214</v>
      </c>
      <c r="D1333" s="1199">
        <v>71.650000000000006</v>
      </c>
      <c r="E1333" s="1199">
        <f t="shared" si="20"/>
        <v>59.96</v>
      </c>
    </row>
    <row r="1334" spans="1:5">
      <c r="A1334" s="1003" t="s">
        <v>8318</v>
      </c>
      <c r="B1334" s="1003" t="s">
        <v>3058</v>
      </c>
      <c r="C1334" s="1199" t="s">
        <v>1214</v>
      </c>
      <c r="D1334" s="1199">
        <v>94.14</v>
      </c>
      <c r="E1334" s="1199">
        <f t="shared" si="20"/>
        <v>78.78</v>
      </c>
    </row>
    <row r="1335" spans="1:5">
      <c r="A1335" s="1003" t="s">
        <v>599</v>
      </c>
      <c r="B1335" s="1003" t="s">
        <v>3059</v>
      </c>
      <c r="C1335" s="1199" t="s">
        <v>1214</v>
      </c>
      <c r="D1335" s="1199">
        <v>126.59</v>
      </c>
      <c r="E1335" s="1199">
        <f t="shared" si="20"/>
        <v>105.93</v>
      </c>
    </row>
    <row r="1336" spans="1:5">
      <c r="A1336" s="1003" t="s">
        <v>8319</v>
      </c>
      <c r="B1336" s="1003" t="s">
        <v>3060</v>
      </c>
      <c r="C1336" s="1199" t="s">
        <v>1214</v>
      </c>
      <c r="D1336" s="1199">
        <v>154.68</v>
      </c>
      <c r="E1336" s="1199">
        <f t="shared" si="20"/>
        <v>129.44</v>
      </c>
    </row>
    <row r="1337" spans="1:5">
      <c r="A1337" s="1003" t="s">
        <v>8320</v>
      </c>
      <c r="B1337" s="1003" t="s">
        <v>3061</v>
      </c>
      <c r="C1337" s="1199" t="s">
        <v>1214</v>
      </c>
      <c r="D1337" s="1199">
        <v>191.64</v>
      </c>
      <c r="E1337" s="1199">
        <f t="shared" si="20"/>
        <v>160.37</v>
      </c>
    </row>
    <row r="1338" spans="1:5">
      <c r="A1338" s="1003" t="s">
        <v>8321</v>
      </c>
      <c r="B1338" s="1003" t="s">
        <v>3062</v>
      </c>
      <c r="C1338" s="1199" t="s">
        <v>1214</v>
      </c>
      <c r="D1338" s="1199">
        <v>233.46</v>
      </c>
      <c r="E1338" s="1199">
        <f t="shared" si="20"/>
        <v>195.36</v>
      </c>
    </row>
    <row r="1339" spans="1:5">
      <c r="A1339" s="1003" t="s">
        <v>8322</v>
      </c>
      <c r="B1339" s="1003" t="s">
        <v>3063</v>
      </c>
      <c r="C1339" s="1199" t="s">
        <v>1214</v>
      </c>
      <c r="D1339" s="1199">
        <v>292.61</v>
      </c>
      <c r="E1339" s="1199">
        <f t="shared" si="20"/>
        <v>244.86</v>
      </c>
    </row>
    <row r="1340" spans="1:5">
      <c r="A1340" s="1003" t="s">
        <v>8323</v>
      </c>
      <c r="B1340" s="1003" t="s">
        <v>3064</v>
      </c>
      <c r="C1340" s="1199" t="s">
        <v>1214</v>
      </c>
      <c r="D1340" s="1199">
        <v>401.13</v>
      </c>
      <c r="E1340" s="1199">
        <f t="shared" si="20"/>
        <v>335.67</v>
      </c>
    </row>
    <row r="1341" spans="1:5">
      <c r="A1341" s="1003" t="s">
        <v>601</v>
      </c>
      <c r="B1341" s="1003" t="s">
        <v>8324</v>
      </c>
      <c r="C1341" s="1199" t="s">
        <v>1214</v>
      </c>
      <c r="D1341" s="1199">
        <v>12.58</v>
      </c>
      <c r="E1341" s="1199">
        <f t="shared" si="20"/>
        <v>10.53</v>
      </c>
    </row>
    <row r="1342" spans="1:5">
      <c r="A1342" s="1003" t="s">
        <v>8325</v>
      </c>
      <c r="B1342" s="1003" t="s">
        <v>3065</v>
      </c>
      <c r="C1342" s="1199" t="s">
        <v>1214</v>
      </c>
      <c r="D1342" s="1199">
        <v>8.2799999999999994</v>
      </c>
      <c r="E1342" s="1199">
        <f t="shared" si="20"/>
        <v>6.93</v>
      </c>
    </row>
    <row r="1343" spans="1:5">
      <c r="A1343" s="1003" t="s">
        <v>8326</v>
      </c>
      <c r="B1343" s="1003" t="s">
        <v>3066</v>
      </c>
      <c r="C1343" s="1199" t="s">
        <v>1214</v>
      </c>
      <c r="D1343" s="1199">
        <v>11.63</v>
      </c>
      <c r="E1343" s="1199">
        <f t="shared" si="20"/>
        <v>9.73</v>
      </c>
    </row>
    <row r="1344" spans="1:5">
      <c r="A1344" s="1003" t="s">
        <v>8327</v>
      </c>
      <c r="B1344" s="1003" t="s">
        <v>3067</v>
      </c>
      <c r="C1344" s="1199" t="s">
        <v>1214</v>
      </c>
      <c r="D1344" s="1199">
        <v>17.52</v>
      </c>
      <c r="E1344" s="1199">
        <f t="shared" si="20"/>
        <v>14.66</v>
      </c>
    </row>
    <row r="1345" spans="1:5">
      <c r="A1345" s="1003" t="s">
        <v>8328</v>
      </c>
      <c r="B1345" s="1003" t="s">
        <v>3068</v>
      </c>
      <c r="C1345" s="1199" t="s">
        <v>1214</v>
      </c>
      <c r="D1345" s="1199">
        <v>29.74</v>
      </c>
      <c r="E1345" s="1199">
        <f t="shared" si="20"/>
        <v>24.89</v>
      </c>
    </row>
    <row r="1346" spans="1:5">
      <c r="A1346" s="1003" t="s">
        <v>8329</v>
      </c>
      <c r="B1346" s="1003" t="s">
        <v>3069</v>
      </c>
      <c r="C1346" s="1199" t="s">
        <v>1214</v>
      </c>
      <c r="D1346" s="1199">
        <v>47.87</v>
      </c>
      <c r="E1346" s="1199">
        <f t="shared" si="20"/>
        <v>40.06</v>
      </c>
    </row>
    <row r="1347" spans="1:5">
      <c r="A1347" s="1003" t="s">
        <v>8330</v>
      </c>
      <c r="B1347" s="1003" t="s">
        <v>3070</v>
      </c>
      <c r="C1347" s="1199" t="s">
        <v>1214</v>
      </c>
      <c r="D1347" s="1199">
        <v>67.540000000000006</v>
      </c>
      <c r="E1347" s="1199">
        <f t="shared" si="20"/>
        <v>56.52</v>
      </c>
    </row>
    <row r="1348" spans="1:5">
      <c r="A1348" s="1003" t="s">
        <v>8331</v>
      </c>
      <c r="B1348" s="1003" t="s">
        <v>3071</v>
      </c>
      <c r="C1348" s="1199" t="s">
        <v>1214</v>
      </c>
      <c r="D1348" s="1199">
        <v>87.69</v>
      </c>
      <c r="E1348" s="1199">
        <f t="shared" ref="E1348:E1411" si="21">ROUND(D1348/1.195,2)</f>
        <v>73.38</v>
      </c>
    </row>
    <row r="1349" spans="1:5">
      <c r="A1349" s="1003" t="s">
        <v>8332</v>
      </c>
      <c r="B1349" s="1003" t="s">
        <v>3072</v>
      </c>
      <c r="C1349" s="1199" t="s">
        <v>1214</v>
      </c>
      <c r="D1349" s="1199">
        <v>120.78</v>
      </c>
      <c r="E1349" s="1199">
        <f t="shared" si="21"/>
        <v>101.07</v>
      </c>
    </row>
    <row r="1350" spans="1:5">
      <c r="A1350" s="1003" t="s">
        <v>8333</v>
      </c>
      <c r="B1350" s="1003" t="s">
        <v>3073</v>
      </c>
      <c r="C1350" s="1199" t="s">
        <v>1214</v>
      </c>
      <c r="D1350" s="1199">
        <v>149.36000000000001</v>
      </c>
      <c r="E1350" s="1199">
        <f t="shared" si="21"/>
        <v>124.99</v>
      </c>
    </row>
    <row r="1351" spans="1:5">
      <c r="A1351" s="1003" t="s">
        <v>8334</v>
      </c>
      <c r="B1351" s="1003" t="s">
        <v>3074</v>
      </c>
      <c r="C1351" s="1199" t="s">
        <v>1214</v>
      </c>
      <c r="D1351" s="1199">
        <v>192.28</v>
      </c>
      <c r="E1351" s="1199">
        <f t="shared" si="21"/>
        <v>160.9</v>
      </c>
    </row>
    <row r="1352" spans="1:5">
      <c r="A1352" s="1003" t="s">
        <v>8335</v>
      </c>
      <c r="B1352" s="1003" t="s">
        <v>3075</v>
      </c>
      <c r="C1352" s="1199" t="s">
        <v>1214</v>
      </c>
      <c r="D1352" s="1199">
        <v>239.47</v>
      </c>
      <c r="E1352" s="1199">
        <f t="shared" si="21"/>
        <v>200.39</v>
      </c>
    </row>
    <row r="1353" spans="1:5">
      <c r="A1353" s="1003" t="s">
        <v>8336</v>
      </c>
      <c r="B1353" s="1003" t="s">
        <v>3076</v>
      </c>
      <c r="C1353" s="1199" t="s">
        <v>1214</v>
      </c>
      <c r="D1353" s="1199">
        <v>284.39</v>
      </c>
      <c r="E1353" s="1199">
        <f t="shared" si="21"/>
        <v>237.98</v>
      </c>
    </row>
    <row r="1354" spans="1:5">
      <c r="A1354" s="1003" t="s">
        <v>8337</v>
      </c>
      <c r="B1354" s="1003" t="s">
        <v>3077</v>
      </c>
      <c r="C1354" s="1199" t="s">
        <v>1214</v>
      </c>
      <c r="D1354" s="1199">
        <v>352.49</v>
      </c>
      <c r="E1354" s="1199">
        <f t="shared" si="21"/>
        <v>294.97000000000003</v>
      </c>
    </row>
    <row r="1355" spans="1:5">
      <c r="A1355" s="1003" t="s">
        <v>8338</v>
      </c>
      <c r="B1355" s="1003" t="s">
        <v>3078</v>
      </c>
      <c r="C1355" s="1199" t="s">
        <v>1214</v>
      </c>
      <c r="D1355" s="1199">
        <v>444.24</v>
      </c>
      <c r="E1355" s="1199">
        <f t="shared" si="21"/>
        <v>371.75</v>
      </c>
    </row>
    <row r="1356" spans="1:5">
      <c r="A1356" s="1003" t="s">
        <v>603</v>
      </c>
      <c r="B1356" s="1003" t="s">
        <v>3079</v>
      </c>
      <c r="C1356" s="1199" t="s">
        <v>1214</v>
      </c>
      <c r="D1356" s="1199">
        <v>28.37</v>
      </c>
      <c r="E1356" s="1199">
        <f t="shared" si="21"/>
        <v>23.74</v>
      </c>
    </row>
    <row r="1357" spans="1:5">
      <c r="A1357" s="1003" t="s">
        <v>605</v>
      </c>
      <c r="B1357" s="1003" t="s">
        <v>3080</v>
      </c>
      <c r="C1357" s="1199" t="s">
        <v>1214</v>
      </c>
      <c r="D1357" s="1199">
        <v>36.06</v>
      </c>
      <c r="E1357" s="1199">
        <f t="shared" si="21"/>
        <v>30.18</v>
      </c>
    </row>
    <row r="1358" spans="1:5">
      <c r="A1358" s="1003" t="s">
        <v>607</v>
      </c>
      <c r="B1358" s="1003" t="s">
        <v>3081</v>
      </c>
      <c r="C1358" s="1199" t="s">
        <v>1214</v>
      </c>
      <c r="D1358" s="1199">
        <v>45.66</v>
      </c>
      <c r="E1358" s="1199">
        <f t="shared" si="21"/>
        <v>38.21</v>
      </c>
    </row>
    <row r="1359" spans="1:5">
      <c r="A1359" s="1003" t="s">
        <v>609</v>
      </c>
      <c r="B1359" s="1003" t="s">
        <v>3082</v>
      </c>
      <c r="C1359" s="1199" t="s">
        <v>1214</v>
      </c>
      <c r="D1359" s="1199">
        <v>49.04</v>
      </c>
      <c r="E1359" s="1199">
        <f t="shared" si="21"/>
        <v>41.04</v>
      </c>
    </row>
    <row r="1360" spans="1:5">
      <c r="A1360" s="1003" t="s">
        <v>8339</v>
      </c>
      <c r="B1360" s="1003" t="s">
        <v>3083</v>
      </c>
      <c r="C1360" s="1199" t="s">
        <v>1214</v>
      </c>
      <c r="D1360" s="1199">
        <v>58.53</v>
      </c>
      <c r="E1360" s="1199">
        <f t="shared" si="21"/>
        <v>48.98</v>
      </c>
    </row>
    <row r="1361" spans="1:5">
      <c r="A1361" s="1003" t="s">
        <v>8340</v>
      </c>
      <c r="B1361" s="1003" t="s">
        <v>3084</v>
      </c>
      <c r="C1361" s="1199" t="s">
        <v>1214</v>
      </c>
      <c r="D1361" s="1199">
        <v>76.78</v>
      </c>
      <c r="E1361" s="1199">
        <f t="shared" si="21"/>
        <v>64.25</v>
      </c>
    </row>
    <row r="1362" spans="1:5">
      <c r="A1362" s="1003" t="s">
        <v>611</v>
      </c>
      <c r="B1362" s="1003" t="s">
        <v>3085</v>
      </c>
      <c r="C1362" s="1199" t="s">
        <v>1214</v>
      </c>
      <c r="D1362" s="1199">
        <v>95.21</v>
      </c>
      <c r="E1362" s="1199">
        <f t="shared" si="21"/>
        <v>79.67</v>
      </c>
    </row>
    <row r="1363" spans="1:5">
      <c r="A1363" s="1003" t="s">
        <v>8341</v>
      </c>
      <c r="B1363" s="1003" t="s">
        <v>3086</v>
      </c>
      <c r="C1363" s="1199" t="s">
        <v>1214</v>
      </c>
      <c r="D1363" s="1199">
        <v>126.63</v>
      </c>
      <c r="E1363" s="1199">
        <f t="shared" si="21"/>
        <v>105.97</v>
      </c>
    </row>
    <row r="1364" spans="1:5">
      <c r="A1364" s="1003" t="s">
        <v>8342</v>
      </c>
      <c r="B1364" s="1003" t="s">
        <v>3087</v>
      </c>
      <c r="C1364" s="1199" t="s">
        <v>1214</v>
      </c>
      <c r="D1364" s="1199">
        <v>23.64</v>
      </c>
      <c r="E1364" s="1199">
        <f t="shared" si="21"/>
        <v>19.78</v>
      </c>
    </row>
    <row r="1365" spans="1:5">
      <c r="A1365" s="1003" t="s">
        <v>8343</v>
      </c>
      <c r="B1365" s="1003" t="s">
        <v>3088</v>
      </c>
      <c r="C1365" s="1199" t="s">
        <v>1214</v>
      </c>
      <c r="D1365" s="1199">
        <v>29.06</v>
      </c>
      <c r="E1365" s="1199">
        <f t="shared" si="21"/>
        <v>24.32</v>
      </c>
    </row>
    <row r="1366" spans="1:5">
      <c r="A1366" s="1003" t="s">
        <v>8344</v>
      </c>
      <c r="B1366" s="1003" t="s">
        <v>2629</v>
      </c>
      <c r="C1366" s="1199" t="s">
        <v>1214</v>
      </c>
      <c r="D1366" s="1199">
        <v>19.399999999999999</v>
      </c>
      <c r="E1366" s="1199">
        <f t="shared" si="21"/>
        <v>16.23</v>
      </c>
    </row>
    <row r="1367" spans="1:5">
      <c r="A1367" s="1003" t="s">
        <v>6562</v>
      </c>
      <c r="B1367" s="1003" t="s">
        <v>3089</v>
      </c>
      <c r="C1367" s="1199" t="s">
        <v>1652</v>
      </c>
      <c r="D1367" s="1199">
        <v>637.01</v>
      </c>
      <c r="E1367" s="1199">
        <f t="shared" si="21"/>
        <v>533.05999999999995</v>
      </c>
    </row>
    <row r="1368" spans="1:5">
      <c r="A1368" s="1003" t="s">
        <v>616</v>
      </c>
      <c r="B1368" s="1003" t="s">
        <v>3090</v>
      </c>
      <c r="C1368" s="1199" t="s">
        <v>1240</v>
      </c>
      <c r="D1368" s="1199">
        <v>1612.11</v>
      </c>
      <c r="E1368" s="1199">
        <f t="shared" si="21"/>
        <v>1349.05</v>
      </c>
    </row>
    <row r="1369" spans="1:5">
      <c r="A1369" s="1003" t="s">
        <v>618</v>
      </c>
      <c r="B1369" s="1003" t="s">
        <v>3100</v>
      </c>
      <c r="C1369" s="1199" t="s">
        <v>1615</v>
      </c>
      <c r="D1369" s="1199">
        <v>121.39</v>
      </c>
      <c r="E1369" s="1199">
        <f t="shared" si="21"/>
        <v>101.58</v>
      </c>
    </row>
    <row r="1370" spans="1:5">
      <c r="A1370" s="1003" t="s">
        <v>620</v>
      </c>
      <c r="B1370" s="1003" t="s">
        <v>3101</v>
      </c>
      <c r="C1370" s="1199" t="s">
        <v>1615</v>
      </c>
      <c r="D1370" s="1199">
        <v>156.03</v>
      </c>
      <c r="E1370" s="1199">
        <f t="shared" si="21"/>
        <v>130.57</v>
      </c>
    </row>
    <row r="1371" spans="1:5">
      <c r="A1371" s="1003" t="s">
        <v>622</v>
      </c>
      <c r="B1371" s="1003" t="s">
        <v>3102</v>
      </c>
      <c r="C1371" s="1199" t="s">
        <v>1615</v>
      </c>
      <c r="D1371" s="1199">
        <v>630.94000000000005</v>
      </c>
      <c r="E1371" s="1199">
        <f t="shared" si="21"/>
        <v>527.98</v>
      </c>
    </row>
    <row r="1372" spans="1:5">
      <c r="A1372" s="1003" t="s">
        <v>8345</v>
      </c>
      <c r="B1372" s="1003" t="s">
        <v>3103</v>
      </c>
      <c r="C1372" s="1199" t="s">
        <v>1615</v>
      </c>
      <c r="D1372" s="1199">
        <v>1649.39</v>
      </c>
      <c r="E1372" s="1199">
        <f t="shared" si="21"/>
        <v>1380.24</v>
      </c>
    </row>
    <row r="1373" spans="1:5">
      <c r="A1373" s="1003" t="s">
        <v>8346</v>
      </c>
      <c r="B1373" s="1003" t="s">
        <v>3104</v>
      </c>
      <c r="C1373" s="1199" t="s">
        <v>1615</v>
      </c>
      <c r="D1373" s="1199">
        <v>2288.08</v>
      </c>
      <c r="E1373" s="1199">
        <f t="shared" si="21"/>
        <v>1914.71</v>
      </c>
    </row>
    <row r="1374" spans="1:5">
      <c r="A1374" s="1003" t="s">
        <v>8347</v>
      </c>
      <c r="B1374" s="1003" t="s">
        <v>3105</v>
      </c>
      <c r="C1374" s="1199" t="s">
        <v>1615</v>
      </c>
      <c r="D1374" s="1199">
        <v>4849.74</v>
      </c>
      <c r="E1374" s="1199">
        <f t="shared" si="21"/>
        <v>4058.36</v>
      </c>
    </row>
    <row r="1375" spans="1:5">
      <c r="A1375" s="1003" t="s">
        <v>8348</v>
      </c>
      <c r="B1375" s="1003" t="s">
        <v>8349</v>
      </c>
      <c r="C1375" s="1199" t="s">
        <v>1615</v>
      </c>
      <c r="D1375" s="1199">
        <v>553.13</v>
      </c>
      <c r="E1375" s="1199">
        <f t="shared" si="21"/>
        <v>462.87</v>
      </c>
    </row>
    <row r="1376" spans="1:5">
      <c r="A1376" s="1003" t="s">
        <v>8350</v>
      </c>
      <c r="B1376" s="1003" t="s">
        <v>8351</v>
      </c>
      <c r="C1376" s="1199" t="s">
        <v>1615</v>
      </c>
      <c r="D1376" s="1199">
        <v>3404.46</v>
      </c>
      <c r="E1376" s="1199">
        <f t="shared" si="21"/>
        <v>2848.92</v>
      </c>
    </row>
    <row r="1377" spans="1:5">
      <c r="A1377" s="1003" t="s">
        <v>8352</v>
      </c>
      <c r="B1377" s="1003" t="s">
        <v>3107</v>
      </c>
      <c r="C1377" s="1199" t="s">
        <v>1615</v>
      </c>
      <c r="D1377" s="1199">
        <v>571.44000000000005</v>
      </c>
      <c r="E1377" s="1199">
        <f t="shared" si="21"/>
        <v>478.19</v>
      </c>
    </row>
    <row r="1378" spans="1:5">
      <c r="A1378" s="1003" t="s">
        <v>6543</v>
      </c>
      <c r="B1378" s="1003" t="s">
        <v>3108</v>
      </c>
      <c r="C1378" s="1199" t="s">
        <v>1615</v>
      </c>
      <c r="D1378" s="1199">
        <v>638.05999999999995</v>
      </c>
      <c r="E1378" s="1199">
        <f t="shared" si="21"/>
        <v>533.94000000000005</v>
      </c>
    </row>
    <row r="1379" spans="1:5">
      <c r="A1379" s="1003" t="s">
        <v>8353</v>
      </c>
      <c r="B1379" s="1003" t="s">
        <v>3109</v>
      </c>
      <c r="C1379" s="1199" t="s">
        <v>1615</v>
      </c>
      <c r="D1379" s="1199">
        <v>616.04</v>
      </c>
      <c r="E1379" s="1199">
        <f t="shared" si="21"/>
        <v>515.51</v>
      </c>
    </row>
    <row r="1380" spans="1:5">
      <c r="A1380" s="1003" t="s">
        <v>8354</v>
      </c>
      <c r="B1380" s="1003" t="s">
        <v>3110</v>
      </c>
      <c r="C1380" s="1199" t="s">
        <v>1615</v>
      </c>
      <c r="D1380" s="1199">
        <v>630.49</v>
      </c>
      <c r="E1380" s="1199">
        <f t="shared" si="21"/>
        <v>527.61</v>
      </c>
    </row>
    <row r="1381" spans="1:5">
      <c r="A1381" s="1003" t="s">
        <v>8355</v>
      </c>
      <c r="B1381" s="1003" t="s">
        <v>3111</v>
      </c>
      <c r="C1381" s="1199" t="s">
        <v>1214</v>
      </c>
      <c r="D1381" s="1199">
        <v>16.5</v>
      </c>
      <c r="E1381" s="1199">
        <f t="shared" si="21"/>
        <v>13.81</v>
      </c>
    </row>
    <row r="1382" spans="1:5">
      <c r="A1382" s="1003" t="s">
        <v>624</v>
      </c>
      <c r="B1382" s="1003" t="s">
        <v>3112</v>
      </c>
      <c r="C1382" s="1199" t="s">
        <v>1214</v>
      </c>
      <c r="D1382" s="1199">
        <v>23.15</v>
      </c>
      <c r="E1382" s="1199">
        <f t="shared" si="21"/>
        <v>19.37</v>
      </c>
    </row>
    <row r="1383" spans="1:5">
      <c r="A1383" s="1003" t="s">
        <v>626</v>
      </c>
      <c r="B1383" s="1003" t="s">
        <v>3113</v>
      </c>
      <c r="C1383" s="1199" t="s">
        <v>1214</v>
      </c>
      <c r="D1383" s="1199">
        <v>40.799999999999997</v>
      </c>
      <c r="E1383" s="1199">
        <f t="shared" si="21"/>
        <v>34.14</v>
      </c>
    </row>
    <row r="1384" spans="1:5">
      <c r="A1384" s="1003" t="s">
        <v>8356</v>
      </c>
      <c r="B1384" s="1003" t="s">
        <v>3114</v>
      </c>
      <c r="C1384" s="1199" t="s">
        <v>1214</v>
      </c>
      <c r="D1384" s="1199">
        <v>53.41</v>
      </c>
      <c r="E1384" s="1199">
        <f t="shared" si="21"/>
        <v>44.69</v>
      </c>
    </row>
    <row r="1385" spans="1:5">
      <c r="A1385" s="1003" t="s">
        <v>628</v>
      </c>
      <c r="B1385" s="1003" t="s">
        <v>3115</v>
      </c>
      <c r="C1385" s="1199" t="s">
        <v>1214</v>
      </c>
      <c r="D1385" s="1199">
        <v>78.37</v>
      </c>
      <c r="E1385" s="1199">
        <f t="shared" si="21"/>
        <v>65.58</v>
      </c>
    </row>
    <row r="1386" spans="1:5">
      <c r="A1386" s="1003" t="s">
        <v>8357</v>
      </c>
      <c r="B1386" s="1003" t="s">
        <v>3116</v>
      </c>
      <c r="C1386" s="1199" t="s">
        <v>1214</v>
      </c>
      <c r="D1386" s="1199">
        <v>284.48</v>
      </c>
      <c r="E1386" s="1199">
        <f t="shared" si="21"/>
        <v>238.06</v>
      </c>
    </row>
    <row r="1387" spans="1:5">
      <c r="A1387" s="1003" t="s">
        <v>8358</v>
      </c>
      <c r="B1387" s="1003" t="s">
        <v>3117</v>
      </c>
      <c r="C1387" s="1199" t="s">
        <v>1214</v>
      </c>
      <c r="D1387" s="1199">
        <v>451.55</v>
      </c>
      <c r="E1387" s="1199">
        <f t="shared" si="21"/>
        <v>377.87</v>
      </c>
    </row>
    <row r="1388" spans="1:5">
      <c r="A1388" s="1003" t="s">
        <v>8359</v>
      </c>
      <c r="B1388" s="1003" t="s">
        <v>3118</v>
      </c>
      <c r="C1388" s="1199" t="s">
        <v>1214</v>
      </c>
      <c r="D1388" s="1199">
        <v>666.8</v>
      </c>
      <c r="E1388" s="1199">
        <f t="shared" si="21"/>
        <v>557.99</v>
      </c>
    </row>
    <row r="1389" spans="1:5">
      <c r="A1389" s="1003" t="s">
        <v>8360</v>
      </c>
      <c r="B1389" s="1003" t="s">
        <v>3119</v>
      </c>
      <c r="C1389" s="1199" t="s">
        <v>1214</v>
      </c>
      <c r="D1389" s="1199">
        <v>358.76</v>
      </c>
      <c r="E1389" s="1199">
        <f t="shared" si="21"/>
        <v>300.22000000000003</v>
      </c>
    </row>
    <row r="1390" spans="1:5">
      <c r="A1390" s="1003" t="s">
        <v>6550</v>
      </c>
      <c r="B1390" s="1003" t="s">
        <v>3120</v>
      </c>
      <c r="C1390" s="1199" t="s">
        <v>1240</v>
      </c>
      <c r="D1390" s="1199">
        <v>402.62</v>
      </c>
      <c r="E1390" s="1199">
        <f t="shared" si="21"/>
        <v>336.92</v>
      </c>
    </row>
    <row r="1391" spans="1:5">
      <c r="A1391" s="1003" t="s">
        <v>8361</v>
      </c>
      <c r="B1391" s="1003" t="s">
        <v>3121</v>
      </c>
      <c r="C1391" s="1199" t="s">
        <v>1214</v>
      </c>
      <c r="D1391" s="1199">
        <v>36.06</v>
      </c>
      <c r="E1391" s="1199">
        <f t="shared" si="21"/>
        <v>30.18</v>
      </c>
    </row>
    <row r="1392" spans="1:5">
      <c r="A1392" s="1003" t="s">
        <v>8362</v>
      </c>
      <c r="B1392" s="1003" t="s">
        <v>3122</v>
      </c>
      <c r="C1392" s="1199" t="s">
        <v>1214</v>
      </c>
      <c r="D1392" s="1199">
        <v>8.9499999999999993</v>
      </c>
      <c r="E1392" s="1199">
        <f t="shared" si="21"/>
        <v>7.49</v>
      </c>
    </row>
    <row r="1393" spans="1:5">
      <c r="A1393" s="1003" t="s">
        <v>8363</v>
      </c>
      <c r="B1393" s="1003" t="s">
        <v>3123</v>
      </c>
      <c r="C1393" s="1199" t="s">
        <v>1214</v>
      </c>
      <c r="D1393" s="1199">
        <v>11.62</v>
      </c>
      <c r="E1393" s="1199">
        <f t="shared" si="21"/>
        <v>9.7200000000000006</v>
      </c>
    </row>
    <row r="1394" spans="1:5">
      <c r="A1394" s="1003" t="s">
        <v>8364</v>
      </c>
      <c r="B1394" s="1003" t="s">
        <v>3124</v>
      </c>
      <c r="C1394" s="1199" t="s">
        <v>1214</v>
      </c>
      <c r="D1394" s="1199">
        <v>19.78</v>
      </c>
      <c r="E1394" s="1199">
        <f t="shared" si="21"/>
        <v>16.55</v>
      </c>
    </row>
    <row r="1395" spans="1:5">
      <c r="A1395" s="1003" t="s">
        <v>8365</v>
      </c>
      <c r="B1395" s="1003" t="s">
        <v>3125</v>
      </c>
      <c r="C1395" s="1199" t="s">
        <v>1214</v>
      </c>
      <c r="D1395" s="1199">
        <v>30.85</v>
      </c>
      <c r="E1395" s="1199">
        <f t="shared" si="21"/>
        <v>25.82</v>
      </c>
    </row>
    <row r="1396" spans="1:5">
      <c r="A1396" s="1003" t="s">
        <v>8366</v>
      </c>
      <c r="B1396" s="1003" t="s">
        <v>3126</v>
      </c>
      <c r="C1396" s="1199" t="s">
        <v>1214</v>
      </c>
      <c r="D1396" s="1199">
        <v>49.03</v>
      </c>
      <c r="E1396" s="1199">
        <f t="shared" si="21"/>
        <v>41.03</v>
      </c>
    </row>
    <row r="1397" spans="1:5">
      <c r="A1397" s="1003" t="s">
        <v>8367</v>
      </c>
      <c r="B1397" s="1003" t="s">
        <v>3127</v>
      </c>
      <c r="C1397" s="1199" t="s">
        <v>1214</v>
      </c>
      <c r="D1397" s="1199">
        <v>71.55</v>
      </c>
      <c r="E1397" s="1199">
        <f t="shared" si="21"/>
        <v>59.87</v>
      </c>
    </row>
    <row r="1398" spans="1:5">
      <c r="A1398" s="1003" t="s">
        <v>8368</v>
      </c>
      <c r="B1398" s="1003" t="s">
        <v>3128</v>
      </c>
      <c r="C1398" s="1199" t="s">
        <v>1214</v>
      </c>
      <c r="D1398" s="1199">
        <v>88.94</v>
      </c>
      <c r="E1398" s="1199">
        <f t="shared" si="21"/>
        <v>74.430000000000007</v>
      </c>
    </row>
    <row r="1399" spans="1:5">
      <c r="A1399" s="1003" t="s">
        <v>8369</v>
      </c>
      <c r="B1399" s="1003" t="s">
        <v>3129</v>
      </c>
      <c r="C1399" s="1199" t="s">
        <v>1214</v>
      </c>
      <c r="D1399" s="1199">
        <v>143.13</v>
      </c>
      <c r="E1399" s="1199">
        <f t="shared" si="21"/>
        <v>119.77</v>
      </c>
    </row>
    <row r="1400" spans="1:5">
      <c r="A1400" s="1003" t="s">
        <v>8370</v>
      </c>
      <c r="B1400" s="1003" t="s">
        <v>3130</v>
      </c>
      <c r="C1400" s="1199" t="s">
        <v>1214</v>
      </c>
      <c r="D1400" s="1199">
        <v>163.41</v>
      </c>
      <c r="E1400" s="1199">
        <f t="shared" si="21"/>
        <v>136.74</v>
      </c>
    </row>
    <row r="1401" spans="1:5">
      <c r="A1401" s="1003" t="s">
        <v>8371</v>
      </c>
      <c r="B1401" s="1003" t="s">
        <v>8372</v>
      </c>
      <c r="C1401" s="1199" t="s">
        <v>1615</v>
      </c>
      <c r="D1401" s="1199">
        <v>418.44</v>
      </c>
      <c r="E1401" s="1199">
        <f t="shared" si="21"/>
        <v>350.16</v>
      </c>
    </row>
    <row r="1402" spans="1:5">
      <c r="A1402" s="1003" t="s">
        <v>8373</v>
      </c>
      <c r="B1402" s="1003" t="s">
        <v>3132</v>
      </c>
      <c r="C1402" s="1199" t="s">
        <v>1615</v>
      </c>
      <c r="D1402" s="1199">
        <v>31.35</v>
      </c>
      <c r="E1402" s="1199">
        <f t="shared" si="21"/>
        <v>26.23</v>
      </c>
    </row>
    <row r="1403" spans="1:5">
      <c r="A1403" s="1003" t="s">
        <v>6552</v>
      </c>
      <c r="B1403" s="1003" t="s">
        <v>3133</v>
      </c>
      <c r="C1403" s="1199" t="s">
        <v>1615</v>
      </c>
      <c r="D1403" s="1199">
        <v>22.81</v>
      </c>
      <c r="E1403" s="1199">
        <f t="shared" si="21"/>
        <v>19.09</v>
      </c>
    </row>
    <row r="1404" spans="1:5">
      <c r="A1404" s="1003" t="s">
        <v>630</v>
      </c>
      <c r="B1404" s="1003" t="s">
        <v>3036</v>
      </c>
      <c r="C1404" s="1199" t="s">
        <v>1615</v>
      </c>
      <c r="D1404" s="1199">
        <v>78.099999999999994</v>
      </c>
      <c r="E1404" s="1199">
        <f t="shared" si="21"/>
        <v>65.36</v>
      </c>
    </row>
    <row r="1405" spans="1:5">
      <c r="A1405" s="1003" t="s">
        <v>8374</v>
      </c>
      <c r="B1405" s="1003" t="s">
        <v>3037</v>
      </c>
      <c r="C1405" s="1199" t="s">
        <v>1615</v>
      </c>
      <c r="D1405" s="1199">
        <v>114.36</v>
      </c>
      <c r="E1405" s="1199">
        <f t="shared" si="21"/>
        <v>95.7</v>
      </c>
    </row>
    <row r="1406" spans="1:5">
      <c r="A1406" s="1003" t="s">
        <v>8375</v>
      </c>
      <c r="B1406" s="1003" t="s">
        <v>3134</v>
      </c>
      <c r="C1406" s="1199" t="s">
        <v>1615</v>
      </c>
      <c r="D1406" s="1199">
        <v>344.76</v>
      </c>
      <c r="E1406" s="1199">
        <f t="shared" si="21"/>
        <v>288.5</v>
      </c>
    </row>
    <row r="1407" spans="1:5">
      <c r="A1407" s="1003" t="s">
        <v>8376</v>
      </c>
      <c r="B1407" s="1003" t="s">
        <v>3135</v>
      </c>
      <c r="C1407" s="1199" t="s">
        <v>1615</v>
      </c>
      <c r="D1407" s="1199">
        <v>33.229999999999997</v>
      </c>
      <c r="E1407" s="1199">
        <f t="shared" si="21"/>
        <v>27.81</v>
      </c>
    </row>
    <row r="1408" spans="1:5">
      <c r="A1408" s="1003" t="s">
        <v>8377</v>
      </c>
      <c r="B1408" s="1003" t="s">
        <v>3136</v>
      </c>
      <c r="C1408" s="1199" t="s">
        <v>1615</v>
      </c>
      <c r="D1408" s="1199">
        <v>79.16</v>
      </c>
      <c r="E1408" s="1199">
        <f t="shared" si="21"/>
        <v>66.239999999999995</v>
      </c>
    </row>
    <row r="1409" spans="1:5">
      <c r="A1409" s="1003" t="s">
        <v>8378</v>
      </c>
      <c r="B1409" s="1003" t="s">
        <v>3137</v>
      </c>
      <c r="C1409" s="1199" t="s">
        <v>1652</v>
      </c>
      <c r="D1409" s="1199">
        <v>637.01</v>
      </c>
      <c r="E1409" s="1199">
        <f t="shared" si="21"/>
        <v>533.05999999999995</v>
      </c>
    </row>
    <row r="1410" spans="1:5">
      <c r="A1410" s="1003" t="s">
        <v>635</v>
      </c>
      <c r="B1410" s="1003" t="s">
        <v>3139</v>
      </c>
      <c r="C1410" s="1199" t="s">
        <v>1214</v>
      </c>
      <c r="D1410" s="1199">
        <v>51.47</v>
      </c>
      <c r="E1410" s="1199">
        <f t="shared" si="21"/>
        <v>43.07</v>
      </c>
    </row>
    <row r="1411" spans="1:5">
      <c r="A1411" s="1003" t="s">
        <v>637</v>
      </c>
      <c r="B1411" s="1003" t="s">
        <v>3140</v>
      </c>
      <c r="C1411" s="1199" t="s">
        <v>1214</v>
      </c>
      <c r="D1411" s="1199">
        <v>63.2</v>
      </c>
      <c r="E1411" s="1199">
        <f t="shared" si="21"/>
        <v>52.89</v>
      </c>
    </row>
    <row r="1412" spans="1:5">
      <c r="A1412" s="1003" t="s">
        <v>639</v>
      </c>
      <c r="B1412" s="1003" t="s">
        <v>3141</v>
      </c>
      <c r="C1412" s="1199" t="s">
        <v>1214</v>
      </c>
      <c r="D1412" s="1199">
        <v>86.36</v>
      </c>
      <c r="E1412" s="1199">
        <f t="shared" ref="E1412:E1475" si="22">ROUND(D1412/1.195,2)</f>
        <v>72.27</v>
      </c>
    </row>
    <row r="1413" spans="1:5">
      <c r="A1413" s="1003" t="s">
        <v>641</v>
      </c>
      <c r="B1413" s="1003" t="s">
        <v>3142</v>
      </c>
      <c r="C1413" s="1199" t="s">
        <v>1214</v>
      </c>
      <c r="D1413" s="1199">
        <v>101.04</v>
      </c>
      <c r="E1413" s="1199">
        <f t="shared" si="22"/>
        <v>84.55</v>
      </c>
    </row>
    <row r="1414" spans="1:5">
      <c r="A1414" s="1003" t="s">
        <v>643</v>
      </c>
      <c r="B1414" s="1003" t="s">
        <v>3143</v>
      </c>
      <c r="C1414" s="1199" t="s">
        <v>1214</v>
      </c>
      <c r="D1414" s="1199">
        <v>121.96</v>
      </c>
      <c r="E1414" s="1199">
        <f t="shared" si="22"/>
        <v>102.06</v>
      </c>
    </row>
    <row r="1415" spans="1:5">
      <c r="A1415" s="1003" t="s">
        <v>8379</v>
      </c>
      <c r="B1415" s="1003" t="s">
        <v>3144</v>
      </c>
      <c r="C1415" s="1199" t="s">
        <v>1214</v>
      </c>
      <c r="D1415" s="1199">
        <v>157.88</v>
      </c>
      <c r="E1415" s="1199">
        <f t="shared" si="22"/>
        <v>132.12</v>
      </c>
    </row>
    <row r="1416" spans="1:5">
      <c r="A1416" s="1003" t="s">
        <v>8380</v>
      </c>
      <c r="B1416" s="1003" t="s">
        <v>3145</v>
      </c>
      <c r="C1416" s="1199" t="s">
        <v>1214</v>
      </c>
      <c r="D1416" s="1199">
        <v>164.96</v>
      </c>
      <c r="E1416" s="1199">
        <f t="shared" si="22"/>
        <v>138.04</v>
      </c>
    </row>
    <row r="1417" spans="1:5">
      <c r="A1417" s="1003" t="s">
        <v>8381</v>
      </c>
      <c r="B1417" s="1003" t="s">
        <v>8382</v>
      </c>
      <c r="C1417" s="1199" t="s">
        <v>1214</v>
      </c>
      <c r="D1417" s="1199">
        <v>28.13</v>
      </c>
      <c r="E1417" s="1199">
        <f t="shared" si="22"/>
        <v>23.54</v>
      </c>
    </row>
    <row r="1418" spans="1:5">
      <c r="A1418" s="1003" t="s">
        <v>645</v>
      </c>
      <c r="B1418" s="1003" t="s">
        <v>3079</v>
      </c>
      <c r="C1418" s="1199" t="s">
        <v>1214</v>
      </c>
      <c r="D1418" s="1199">
        <v>28.37</v>
      </c>
      <c r="E1418" s="1199">
        <f t="shared" si="22"/>
        <v>23.74</v>
      </c>
    </row>
    <row r="1419" spans="1:5">
      <c r="A1419" s="1003" t="s">
        <v>647</v>
      </c>
      <c r="B1419" s="1003" t="s">
        <v>3080</v>
      </c>
      <c r="C1419" s="1199" t="s">
        <v>1214</v>
      </c>
      <c r="D1419" s="1199">
        <v>36.06</v>
      </c>
      <c r="E1419" s="1199">
        <f t="shared" si="22"/>
        <v>30.18</v>
      </c>
    </row>
    <row r="1420" spans="1:5">
      <c r="A1420" s="1003" t="s">
        <v>649</v>
      </c>
      <c r="B1420" s="1003" t="s">
        <v>3081</v>
      </c>
      <c r="C1420" s="1199" t="s">
        <v>1214</v>
      </c>
      <c r="D1420" s="1199">
        <v>45.66</v>
      </c>
      <c r="E1420" s="1199">
        <f t="shared" si="22"/>
        <v>38.21</v>
      </c>
    </row>
    <row r="1421" spans="1:5">
      <c r="A1421" s="1003" t="s">
        <v>651</v>
      </c>
      <c r="B1421" s="1003" t="s">
        <v>3082</v>
      </c>
      <c r="C1421" s="1199" t="s">
        <v>1214</v>
      </c>
      <c r="D1421" s="1199">
        <v>49.04</v>
      </c>
      <c r="E1421" s="1199">
        <f t="shared" si="22"/>
        <v>41.04</v>
      </c>
    </row>
    <row r="1422" spans="1:5">
      <c r="A1422" s="1003" t="s">
        <v>8383</v>
      </c>
      <c r="B1422" s="1003" t="s">
        <v>3083</v>
      </c>
      <c r="C1422" s="1199" t="s">
        <v>1214</v>
      </c>
      <c r="D1422" s="1199">
        <v>58.53</v>
      </c>
      <c r="E1422" s="1199">
        <f t="shared" si="22"/>
        <v>48.98</v>
      </c>
    </row>
    <row r="1423" spans="1:5">
      <c r="A1423" s="1003" t="s">
        <v>8384</v>
      </c>
      <c r="B1423" s="1003" t="s">
        <v>3084</v>
      </c>
      <c r="C1423" s="1199" t="s">
        <v>1214</v>
      </c>
      <c r="D1423" s="1199">
        <v>76.78</v>
      </c>
      <c r="E1423" s="1199">
        <f t="shared" si="22"/>
        <v>64.25</v>
      </c>
    </row>
    <row r="1424" spans="1:5">
      <c r="A1424" s="1003" t="s">
        <v>8385</v>
      </c>
      <c r="B1424" s="1003" t="s">
        <v>3085</v>
      </c>
      <c r="C1424" s="1199" t="s">
        <v>1214</v>
      </c>
      <c r="D1424" s="1199">
        <v>95.21</v>
      </c>
      <c r="E1424" s="1199">
        <f t="shared" si="22"/>
        <v>79.67</v>
      </c>
    </row>
    <row r="1425" spans="1:5">
      <c r="A1425" s="1003" t="s">
        <v>8386</v>
      </c>
      <c r="B1425" s="1003" t="s">
        <v>3086</v>
      </c>
      <c r="C1425" s="1199" t="s">
        <v>1214</v>
      </c>
      <c r="D1425" s="1199">
        <v>126.63</v>
      </c>
      <c r="E1425" s="1199">
        <f t="shared" si="22"/>
        <v>105.97</v>
      </c>
    </row>
    <row r="1426" spans="1:5">
      <c r="A1426" s="1003" t="s">
        <v>8387</v>
      </c>
      <c r="B1426" s="1003" t="s">
        <v>8388</v>
      </c>
      <c r="C1426" s="1199" t="s">
        <v>1214</v>
      </c>
      <c r="D1426" s="1199">
        <v>55.17</v>
      </c>
      <c r="E1426" s="1199">
        <f t="shared" si="22"/>
        <v>46.17</v>
      </c>
    </row>
    <row r="1427" spans="1:5">
      <c r="A1427" s="1003" t="s">
        <v>8389</v>
      </c>
      <c r="B1427" s="1003" t="s">
        <v>8390</v>
      </c>
      <c r="C1427" s="1199" t="s">
        <v>1214</v>
      </c>
      <c r="D1427" s="1199">
        <v>73.959999999999994</v>
      </c>
      <c r="E1427" s="1199">
        <f t="shared" si="22"/>
        <v>61.89</v>
      </c>
    </row>
    <row r="1428" spans="1:5">
      <c r="A1428" s="1003" t="s">
        <v>8391</v>
      </c>
      <c r="B1428" s="1003" t="s">
        <v>8392</v>
      </c>
      <c r="C1428" s="1199" t="s">
        <v>1214</v>
      </c>
      <c r="D1428" s="1199">
        <v>96.09</v>
      </c>
      <c r="E1428" s="1199">
        <f t="shared" si="22"/>
        <v>80.41</v>
      </c>
    </row>
    <row r="1429" spans="1:5">
      <c r="A1429" s="1003" t="s">
        <v>8393</v>
      </c>
      <c r="B1429" s="1003" t="s">
        <v>8394</v>
      </c>
      <c r="C1429" s="1199" t="s">
        <v>1214</v>
      </c>
      <c r="D1429" s="1199">
        <v>107.86</v>
      </c>
      <c r="E1429" s="1199">
        <f t="shared" si="22"/>
        <v>90.26</v>
      </c>
    </row>
    <row r="1430" spans="1:5">
      <c r="A1430" s="1003" t="s">
        <v>8395</v>
      </c>
      <c r="B1430" s="1003" t="s">
        <v>3087</v>
      </c>
      <c r="C1430" s="1199" t="s">
        <v>1214</v>
      </c>
      <c r="D1430" s="1199">
        <v>23.64</v>
      </c>
      <c r="E1430" s="1199">
        <f t="shared" si="22"/>
        <v>19.78</v>
      </c>
    </row>
    <row r="1431" spans="1:5">
      <c r="A1431" s="1003" t="s">
        <v>8396</v>
      </c>
      <c r="B1431" s="1003" t="s">
        <v>3088</v>
      </c>
      <c r="C1431" s="1199" t="s">
        <v>1214</v>
      </c>
      <c r="D1431" s="1199">
        <v>29.06</v>
      </c>
      <c r="E1431" s="1199">
        <f t="shared" si="22"/>
        <v>24.32</v>
      </c>
    </row>
    <row r="1432" spans="1:5">
      <c r="A1432" s="1003" t="s">
        <v>653</v>
      </c>
      <c r="B1432" s="1003" t="s">
        <v>2629</v>
      </c>
      <c r="C1432" s="1199" t="s">
        <v>1214</v>
      </c>
      <c r="D1432" s="1199">
        <v>19.399999999999999</v>
      </c>
      <c r="E1432" s="1199">
        <f t="shared" si="22"/>
        <v>16.23</v>
      </c>
    </row>
    <row r="1433" spans="1:5">
      <c r="A1433" s="1003" t="s">
        <v>655</v>
      </c>
      <c r="B1433" s="1003" t="s">
        <v>3146</v>
      </c>
      <c r="C1433" s="1199" t="s">
        <v>1615</v>
      </c>
      <c r="D1433" s="1199">
        <v>407.04</v>
      </c>
      <c r="E1433" s="1199">
        <f t="shared" si="22"/>
        <v>340.62</v>
      </c>
    </row>
    <row r="1434" spans="1:5">
      <c r="A1434" s="1003" t="s">
        <v>657</v>
      </c>
      <c r="B1434" s="1003" t="s">
        <v>3147</v>
      </c>
      <c r="C1434" s="1199" t="s">
        <v>1615</v>
      </c>
      <c r="D1434" s="1199">
        <v>488.42</v>
      </c>
      <c r="E1434" s="1199">
        <f t="shared" si="22"/>
        <v>408.72</v>
      </c>
    </row>
    <row r="1435" spans="1:5">
      <c r="A1435" s="1003" t="s">
        <v>659</v>
      </c>
      <c r="B1435" s="1003" t="s">
        <v>3148</v>
      </c>
      <c r="C1435" s="1199" t="s">
        <v>1615</v>
      </c>
      <c r="D1435" s="1199">
        <v>692.52</v>
      </c>
      <c r="E1435" s="1199">
        <f t="shared" si="22"/>
        <v>579.51</v>
      </c>
    </row>
    <row r="1436" spans="1:5">
      <c r="A1436" s="1003" t="s">
        <v>8397</v>
      </c>
      <c r="B1436" s="1003" t="s">
        <v>3149</v>
      </c>
      <c r="C1436" s="1199" t="s">
        <v>1615</v>
      </c>
      <c r="D1436" s="1199">
        <v>762.31</v>
      </c>
      <c r="E1436" s="1199">
        <f t="shared" si="22"/>
        <v>637.91999999999996</v>
      </c>
    </row>
    <row r="1437" spans="1:5">
      <c r="A1437" s="1003" t="s">
        <v>8398</v>
      </c>
      <c r="B1437" s="1003" t="s">
        <v>3150</v>
      </c>
      <c r="C1437" s="1199" t="s">
        <v>1615</v>
      </c>
      <c r="D1437" s="1199">
        <v>1045.43</v>
      </c>
      <c r="E1437" s="1199">
        <f t="shared" si="22"/>
        <v>874.84</v>
      </c>
    </row>
    <row r="1438" spans="1:5">
      <c r="A1438" s="1003" t="s">
        <v>8399</v>
      </c>
      <c r="B1438" s="1003" t="s">
        <v>8400</v>
      </c>
      <c r="C1438" s="1199" t="s">
        <v>1214</v>
      </c>
      <c r="D1438" s="1199">
        <v>16.5</v>
      </c>
      <c r="E1438" s="1199">
        <f t="shared" si="22"/>
        <v>13.81</v>
      </c>
    </row>
    <row r="1439" spans="1:5">
      <c r="A1439" s="1003" t="s">
        <v>8401</v>
      </c>
      <c r="B1439" s="1003" t="s">
        <v>8402</v>
      </c>
      <c r="C1439" s="1199" t="s">
        <v>1214</v>
      </c>
      <c r="D1439" s="1199">
        <v>23.15</v>
      </c>
      <c r="E1439" s="1199">
        <f t="shared" si="22"/>
        <v>19.37</v>
      </c>
    </row>
    <row r="1440" spans="1:5">
      <c r="A1440" s="1003" t="s">
        <v>8403</v>
      </c>
      <c r="B1440" s="1003" t="s">
        <v>8404</v>
      </c>
      <c r="C1440" s="1199" t="s">
        <v>1214</v>
      </c>
      <c r="D1440" s="1199">
        <v>40.799999999999997</v>
      </c>
      <c r="E1440" s="1199">
        <f t="shared" si="22"/>
        <v>34.14</v>
      </c>
    </row>
    <row r="1441" spans="1:5">
      <c r="A1441" s="1003" t="s">
        <v>661</v>
      </c>
      <c r="B1441" s="1003" t="s">
        <v>3152</v>
      </c>
      <c r="C1441" s="1199" t="s">
        <v>1615</v>
      </c>
      <c r="D1441" s="1199">
        <v>93.54</v>
      </c>
      <c r="E1441" s="1199">
        <f t="shared" si="22"/>
        <v>78.28</v>
      </c>
    </row>
    <row r="1442" spans="1:5">
      <c r="A1442" s="1003" t="s">
        <v>663</v>
      </c>
      <c r="B1442" s="1003" t="s">
        <v>3036</v>
      </c>
      <c r="C1442" s="1199" t="s">
        <v>1615</v>
      </c>
      <c r="D1442" s="1199">
        <v>92.37</v>
      </c>
      <c r="E1442" s="1199">
        <f t="shared" si="22"/>
        <v>77.3</v>
      </c>
    </row>
    <row r="1443" spans="1:5">
      <c r="A1443" s="1003" t="s">
        <v>8405</v>
      </c>
      <c r="B1443" s="1003" t="s">
        <v>8406</v>
      </c>
      <c r="C1443" s="1199" t="s">
        <v>1615</v>
      </c>
      <c r="D1443" s="1199">
        <v>128.63</v>
      </c>
      <c r="E1443" s="1199">
        <f t="shared" si="22"/>
        <v>107.64</v>
      </c>
    </row>
    <row r="1444" spans="1:5">
      <c r="A1444" s="1003" t="s">
        <v>665</v>
      </c>
      <c r="B1444" s="1003" t="s">
        <v>3153</v>
      </c>
      <c r="C1444" s="1199" t="s">
        <v>1615</v>
      </c>
      <c r="D1444" s="1199">
        <v>24.85</v>
      </c>
      <c r="E1444" s="1199">
        <f t="shared" si="22"/>
        <v>20.79</v>
      </c>
    </row>
    <row r="1445" spans="1:5">
      <c r="A1445" s="1003" t="s">
        <v>667</v>
      </c>
      <c r="B1445" s="1003" t="s">
        <v>3038</v>
      </c>
      <c r="C1445" s="1199" t="s">
        <v>1615</v>
      </c>
      <c r="D1445" s="1199">
        <v>121.39</v>
      </c>
      <c r="E1445" s="1199">
        <f t="shared" si="22"/>
        <v>101.58</v>
      </c>
    </row>
    <row r="1446" spans="1:5">
      <c r="A1446" s="1003" t="s">
        <v>6556</v>
      </c>
      <c r="B1446" s="1003" t="s">
        <v>3039</v>
      </c>
      <c r="C1446" s="1199" t="s">
        <v>1615</v>
      </c>
      <c r="D1446" s="1199">
        <v>156.03</v>
      </c>
      <c r="E1446" s="1199">
        <f t="shared" si="22"/>
        <v>130.57</v>
      </c>
    </row>
    <row r="1447" spans="1:5">
      <c r="A1447" s="1003" t="s">
        <v>8407</v>
      </c>
      <c r="B1447" s="1003" t="s">
        <v>3154</v>
      </c>
      <c r="C1447" s="1199" t="s">
        <v>1615</v>
      </c>
      <c r="D1447" s="1199">
        <v>1914.52</v>
      </c>
      <c r="E1447" s="1199">
        <f t="shared" si="22"/>
        <v>1602.11</v>
      </c>
    </row>
    <row r="1448" spans="1:5">
      <c r="A1448" s="1003" t="s">
        <v>669</v>
      </c>
      <c r="B1448" s="1003" t="s">
        <v>3155</v>
      </c>
      <c r="C1448" s="1199" t="s">
        <v>1615</v>
      </c>
      <c r="D1448" s="1199">
        <v>1919.41</v>
      </c>
      <c r="E1448" s="1199">
        <f t="shared" si="22"/>
        <v>1606.2</v>
      </c>
    </row>
    <row r="1449" spans="1:5">
      <c r="A1449" s="1003" t="s">
        <v>8408</v>
      </c>
      <c r="B1449" s="1003" t="s">
        <v>3156</v>
      </c>
      <c r="C1449" s="1199" t="s">
        <v>1615</v>
      </c>
      <c r="D1449" s="1199">
        <v>1935.58</v>
      </c>
      <c r="E1449" s="1199">
        <f t="shared" si="22"/>
        <v>1619.73</v>
      </c>
    </row>
    <row r="1450" spans="1:5">
      <c r="A1450" s="1003" t="s">
        <v>8409</v>
      </c>
      <c r="B1450" s="1003" t="s">
        <v>3157</v>
      </c>
      <c r="C1450" s="1199" t="s">
        <v>1615</v>
      </c>
      <c r="D1450" s="1199">
        <v>1728.34</v>
      </c>
      <c r="E1450" s="1199">
        <f t="shared" si="22"/>
        <v>1446.31</v>
      </c>
    </row>
    <row r="1451" spans="1:5">
      <c r="A1451" s="1003" t="s">
        <v>8410</v>
      </c>
      <c r="B1451" s="1003" t="s">
        <v>3158</v>
      </c>
      <c r="C1451" s="1199" t="s">
        <v>1615</v>
      </c>
      <c r="D1451" s="1199">
        <v>1973.98</v>
      </c>
      <c r="E1451" s="1199">
        <f t="shared" si="22"/>
        <v>1651.87</v>
      </c>
    </row>
    <row r="1452" spans="1:5">
      <c r="A1452" s="1003" t="s">
        <v>8411</v>
      </c>
      <c r="B1452" s="1003" t="s">
        <v>3159</v>
      </c>
      <c r="C1452" s="1199" t="s">
        <v>1615</v>
      </c>
      <c r="D1452" s="1199">
        <v>2141.19</v>
      </c>
      <c r="E1452" s="1199">
        <f t="shared" si="22"/>
        <v>1791.79</v>
      </c>
    </row>
    <row r="1453" spans="1:5">
      <c r="A1453" s="1003" t="s">
        <v>8412</v>
      </c>
      <c r="B1453" s="1003" t="s">
        <v>3160</v>
      </c>
      <c r="C1453" s="1199" t="s">
        <v>1615</v>
      </c>
      <c r="D1453" s="1199">
        <v>1836.73</v>
      </c>
      <c r="E1453" s="1199">
        <f t="shared" si="22"/>
        <v>1537.01</v>
      </c>
    </row>
    <row r="1454" spans="1:5">
      <c r="A1454" s="1003" t="s">
        <v>8413</v>
      </c>
      <c r="B1454" s="1003" t="s">
        <v>3161</v>
      </c>
      <c r="C1454" s="1199" t="s">
        <v>1615</v>
      </c>
      <c r="D1454" s="1199">
        <v>1872.69</v>
      </c>
      <c r="E1454" s="1199">
        <f t="shared" si="22"/>
        <v>1567.1</v>
      </c>
    </row>
    <row r="1455" spans="1:5">
      <c r="A1455" s="1003" t="s">
        <v>8414</v>
      </c>
      <c r="B1455" s="1003" t="s">
        <v>3162</v>
      </c>
      <c r="C1455" s="1199" t="s">
        <v>1615</v>
      </c>
      <c r="D1455" s="1199">
        <v>1904.3</v>
      </c>
      <c r="E1455" s="1199">
        <f t="shared" si="22"/>
        <v>1593.56</v>
      </c>
    </row>
    <row r="1456" spans="1:5">
      <c r="A1456" s="1003" t="s">
        <v>8415</v>
      </c>
      <c r="B1456" s="1003" t="s">
        <v>3163</v>
      </c>
      <c r="C1456" s="1199" t="s">
        <v>1615</v>
      </c>
      <c r="D1456" s="1199">
        <v>931.9</v>
      </c>
      <c r="E1456" s="1199">
        <f t="shared" si="22"/>
        <v>779.83</v>
      </c>
    </row>
    <row r="1457" spans="1:5">
      <c r="A1457" s="1003" t="s">
        <v>8416</v>
      </c>
      <c r="B1457" s="1003" t="s">
        <v>3164</v>
      </c>
      <c r="C1457" s="1199" t="s">
        <v>1615</v>
      </c>
      <c r="D1457" s="1199">
        <v>960.32</v>
      </c>
      <c r="E1457" s="1199">
        <f t="shared" si="22"/>
        <v>803.62</v>
      </c>
    </row>
    <row r="1458" spans="1:5">
      <c r="A1458" s="1003" t="s">
        <v>671</v>
      </c>
      <c r="B1458" s="1003" t="s">
        <v>3165</v>
      </c>
      <c r="C1458" s="1199" t="s">
        <v>1615</v>
      </c>
      <c r="D1458" s="1199">
        <v>959.57</v>
      </c>
      <c r="E1458" s="1199">
        <f t="shared" si="22"/>
        <v>802.99</v>
      </c>
    </row>
    <row r="1459" spans="1:5">
      <c r="A1459" s="1003" t="s">
        <v>8417</v>
      </c>
      <c r="B1459" s="1003" t="s">
        <v>3166</v>
      </c>
      <c r="C1459" s="1199" t="s">
        <v>1615</v>
      </c>
      <c r="D1459" s="1199">
        <v>1069.8</v>
      </c>
      <c r="E1459" s="1199">
        <f t="shared" si="22"/>
        <v>895.23</v>
      </c>
    </row>
    <row r="1460" spans="1:5">
      <c r="A1460" s="1003" t="s">
        <v>8418</v>
      </c>
      <c r="B1460" s="1003" t="s">
        <v>3167</v>
      </c>
      <c r="C1460" s="1199" t="s">
        <v>1615</v>
      </c>
      <c r="D1460" s="1199">
        <v>1297.94</v>
      </c>
      <c r="E1460" s="1199">
        <f t="shared" si="22"/>
        <v>1086.1400000000001</v>
      </c>
    </row>
    <row r="1461" spans="1:5">
      <c r="A1461" s="1003" t="s">
        <v>8419</v>
      </c>
      <c r="B1461" s="1003" t="s">
        <v>3168</v>
      </c>
      <c r="C1461" s="1199" t="s">
        <v>1615</v>
      </c>
      <c r="D1461" s="1199">
        <v>924.91</v>
      </c>
      <c r="E1461" s="1199">
        <f t="shared" si="22"/>
        <v>773.98</v>
      </c>
    </row>
    <row r="1462" spans="1:5">
      <c r="A1462" s="1003" t="s">
        <v>8420</v>
      </c>
      <c r="B1462" s="1003" t="s">
        <v>3169</v>
      </c>
      <c r="C1462" s="1199" t="s">
        <v>1615</v>
      </c>
      <c r="D1462" s="1199">
        <v>953.33</v>
      </c>
      <c r="E1462" s="1199">
        <f t="shared" si="22"/>
        <v>797.77</v>
      </c>
    </row>
    <row r="1463" spans="1:5">
      <c r="A1463" s="1003" t="s">
        <v>673</v>
      </c>
      <c r="B1463" s="1003" t="s">
        <v>3170</v>
      </c>
      <c r="C1463" s="1199" t="s">
        <v>1615</v>
      </c>
      <c r="D1463" s="1199">
        <v>571.44000000000005</v>
      </c>
      <c r="E1463" s="1199">
        <f t="shared" si="22"/>
        <v>478.19</v>
      </c>
    </row>
    <row r="1464" spans="1:5">
      <c r="A1464" s="1003" t="s">
        <v>675</v>
      </c>
      <c r="B1464" s="1003" t="s">
        <v>3171</v>
      </c>
      <c r="C1464" s="1199" t="s">
        <v>1615</v>
      </c>
      <c r="D1464" s="1199">
        <v>638.05999999999995</v>
      </c>
      <c r="E1464" s="1199">
        <f t="shared" si="22"/>
        <v>533.94000000000005</v>
      </c>
    </row>
    <row r="1465" spans="1:5">
      <c r="A1465" s="1003" t="s">
        <v>8421</v>
      </c>
      <c r="B1465" s="1003" t="s">
        <v>3172</v>
      </c>
      <c r="C1465" s="1199" t="s">
        <v>1615</v>
      </c>
      <c r="D1465" s="1199">
        <v>616.04</v>
      </c>
      <c r="E1465" s="1199">
        <f t="shared" si="22"/>
        <v>515.51</v>
      </c>
    </row>
    <row r="1466" spans="1:5">
      <c r="A1466" s="1003" t="s">
        <v>8422</v>
      </c>
      <c r="B1466" s="1003" t="s">
        <v>3173</v>
      </c>
      <c r="C1466" s="1199" t="s">
        <v>1615</v>
      </c>
      <c r="D1466" s="1199">
        <v>630.49</v>
      </c>
      <c r="E1466" s="1199">
        <f t="shared" si="22"/>
        <v>527.61</v>
      </c>
    </row>
    <row r="1467" spans="1:5">
      <c r="A1467" s="1003" t="s">
        <v>677</v>
      </c>
      <c r="B1467" s="1003" t="s">
        <v>8423</v>
      </c>
      <c r="C1467" s="1199" t="s">
        <v>1615</v>
      </c>
      <c r="D1467" s="1199">
        <v>873.81</v>
      </c>
      <c r="E1467" s="1199">
        <f t="shared" si="22"/>
        <v>731.22</v>
      </c>
    </row>
    <row r="1468" spans="1:5">
      <c r="A1468" s="1003" t="s">
        <v>8424</v>
      </c>
      <c r="B1468" s="1003" t="s">
        <v>8425</v>
      </c>
      <c r="C1468" s="1199" t="s">
        <v>1615</v>
      </c>
      <c r="D1468" s="1199">
        <v>1255.83</v>
      </c>
      <c r="E1468" s="1199">
        <f t="shared" si="22"/>
        <v>1050.9000000000001</v>
      </c>
    </row>
    <row r="1469" spans="1:5">
      <c r="A1469" s="1003" t="s">
        <v>8426</v>
      </c>
      <c r="B1469" s="1003" t="s">
        <v>8427</v>
      </c>
      <c r="C1469" s="1199" t="s">
        <v>1652</v>
      </c>
      <c r="D1469" s="1199">
        <v>637.01</v>
      </c>
      <c r="E1469" s="1199">
        <f t="shared" si="22"/>
        <v>533.05999999999995</v>
      </c>
    </row>
    <row r="1470" spans="1:5">
      <c r="A1470" s="1003" t="s">
        <v>8428</v>
      </c>
      <c r="B1470" s="1003" t="s">
        <v>3176</v>
      </c>
      <c r="C1470" s="1199" t="s">
        <v>1615</v>
      </c>
      <c r="D1470" s="1199">
        <v>22.93</v>
      </c>
      <c r="E1470" s="1199">
        <f t="shared" si="22"/>
        <v>19.190000000000001</v>
      </c>
    </row>
    <row r="1471" spans="1:5">
      <c r="A1471" s="1003" t="s">
        <v>682</v>
      </c>
      <c r="B1471" s="1003" t="s">
        <v>3177</v>
      </c>
      <c r="C1471" s="1199" t="s">
        <v>1615</v>
      </c>
      <c r="D1471" s="1199">
        <v>36.700000000000003</v>
      </c>
      <c r="E1471" s="1199">
        <f t="shared" si="22"/>
        <v>30.71</v>
      </c>
    </row>
    <row r="1472" spans="1:5">
      <c r="A1472" s="1003" t="s">
        <v>8429</v>
      </c>
      <c r="B1472" s="1003" t="s">
        <v>3178</v>
      </c>
      <c r="C1472" s="1199" t="s">
        <v>1615</v>
      </c>
      <c r="D1472" s="1199">
        <v>24.43</v>
      </c>
      <c r="E1472" s="1199">
        <f t="shared" si="22"/>
        <v>20.440000000000001</v>
      </c>
    </row>
    <row r="1473" spans="1:5">
      <c r="A1473" s="1003" t="s">
        <v>8430</v>
      </c>
      <c r="B1473" s="1003" t="s">
        <v>3179</v>
      </c>
      <c r="C1473" s="1199" t="s">
        <v>1615</v>
      </c>
      <c r="D1473" s="1199">
        <v>38.32</v>
      </c>
      <c r="E1473" s="1199">
        <f t="shared" si="22"/>
        <v>32.07</v>
      </c>
    </row>
    <row r="1474" spans="1:5">
      <c r="A1474" s="1003" t="s">
        <v>684</v>
      </c>
      <c r="B1474" s="1003" t="s">
        <v>3180</v>
      </c>
      <c r="C1474" s="1199" t="s">
        <v>1615</v>
      </c>
      <c r="D1474" s="1199">
        <v>59.39</v>
      </c>
      <c r="E1474" s="1199">
        <f t="shared" si="22"/>
        <v>49.7</v>
      </c>
    </row>
    <row r="1475" spans="1:5">
      <c r="A1475" s="1003" t="s">
        <v>8431</v>
      </c>
      <c r="B1475" s="1003" t="s">
        <v>3181</v>
      </c>
      <c r="C1475" s="1199" t="s">
        <v>1615</v>
      </c>
      <c r="D1475" s="1199">
        <v>92.61</v>
      </c>
      <c r="E1475" s="1199">
        <f t="shared" si="22"/>
        <v>77.5</v>
      </c>
    </row>
    <row r="1476" spans="1:5">
      <c r="A1476" s="1003" t="s">
        <v>686</v>
      </c>
      <c r="B1476" s="1003" t="s">
        <v>3182</v>
      </c>
      <c r="C1476" s="1199" t="s">
        <v>1615</v>
      </c>
      <c r="D1476" s="1199">
        <v>133.16</v>
      </c>
      <c r="E1476" s="1199">
        <f t="shared" ref="E1476:E1539" si="23">ROUND(D1476/1.195,2)</f>
        <v>111.43</v>
      </c>
    </row>
    <row r="1477" spans="1:5">
      <c r="A1477" s="1003" t="s">
        <v>8432</v>
      </c>
      <c r="B1477" s="1003" t="s">
        <v>3183</v>
      </c>
      <c r="C1477" s="1199" t="s">
        <v>1615</v>
      </c>
      <c r="D1477" s="1199">
        <v>184.51</v>
      </c>
      <c r="E1477" s="1199">
        <f t="shared" si="23"/>
        <v>154.4</v>
      </c>
    </row>
    <row r="1478" spans="1:5">
      <c r="A1478" s="1003" t="s">
        <v>688</v>
      </c>
      <c r="B1478" s="1003" t="s">
        <v>3184</v>
      </c>
      <c r="C1478" s="1199" t="s">
        <v>1615</v>
      </c>
      <c r="D1478" s="1199">
        <v>225.92</v>
      </c>
      <c r="E1478" s="1199">
        <f t="shared" si="23"/>
        <v>189.05</v>
      </c>
    </row>
    <row r="1479" spans="1:5">
      <c r="A1479" s="1003" t="s">
        <v>8433</v>
      </c>
      <c r="B1479" s="1003" t="s">
        <v>3185</v>
      </c>
      <c r="C1479" s="1199" t="s">
        <v>1615</v>
      </c>
      <c r="D1479" s="1199">
        <v>466.83</v>
      </c>
      <c r="E1479" s="1199">
        <f t="shared" si="23"/>
        <v>390.65</v>
      </c>
    </row>
    <row r="1480" spans="1:5">
      <c r="A1480" s="1003" t="s">
        <v>6452</v>
      </c>
      <c r="B1480" s="1003" t="s">
        <v>3186</v>
      </c>
      <c r="C1480" s="1199" t="s">
        <v>1615</v>
      </c>
      <c r="D1480" s="1199">
        <v>761.62</v>
      </c>
      <c r="E1480" s="1199">
        <f t="shared" si="23"/>
        <v>637.34</v>
      </c>
    </row>
    <row r="1481" spans="1:5">
      <c r="A1481" s="1003" t="s">
        <v>8434</v>
      </c>
      <c r="B1481" s="1003" t="s">
        <v>3187</v>
      </c>
      <c r="C1481" s="1199" t="s">
        <v>1615</v>
      </c>
      <c r="D1481" s="1199">
        <v>753.25</v>
      </c>
      <c r="E1481" s="1199">
        <f t="shared" si="23"/>
        <v>630.33000000000004</v>
      </c>
    </row>
    <row r="1482" spans="1:5">
      <c r="A1482" s="1003" t="s">
        <v>8435</v>
      </c>
      <c r="B1482" s="1003" t="s">
        <v>8436</v>
      </c>
      <c r="C1482" s="1199" t="s">
        <v>1615</v>
      </c>
      <c r="D1482" s="1199">
        <v>437.21</v>
      </c>
      <c r="E1482" s="1199">
        <f t="shared" si="23"/>
        <v>365.87</v>
      </c>
    </row>
    <row r="1483" spans="1:5">
      <c r="A1483" s="1003" t="s">
        <v>8437</v>
      </c>
      <c r="B1483" s="1003" t="s">
        <v>3189</v>
      </c>
      <c r="C1483" s="1199" t="s">
        <v>1615</v>
      </c>
      <c r="D1483" s="1199">
        <v>81.459999999999994</v>
      </c>
      <c r="E1483" s="1199">
        <f t="shared" si="23"/>
        <v>68.17</v>
      </c>
    </row>
    <row r="1484" spans="1:5">
      <c r="A1484" s="1003" t="s">
        <v>690</v>
      </c>
      <c r="B1484" s="1003" t="s">
        <v>3190</v>
      </c>
      <c r="C1484" s="1199" t="s">
        <v>1615</v>
      </c>
      <c r="D1484" s="1199">
        <v>111.72</v>
      </c>
      <c r="E1484" s="1199">
        <f t="shared" si="23"/>
        <v>93.49</v>
      </c>
    </row>
    <row r="1485" spans="1:5">
      <c r="A1485" s="1003" t="s">
        <v>8438</v>
      </c>
      <c r="B1485" s="1003" t="s">
        <v>3191</v>
      </c>
      <c r="C1485" s="1199" t="s">
        <v>1615</v>
      </c>
      <c r="D1485" s="1199">
        <v>144.33000000000001</v>
      </c>
      <c r="E1485" s="1199">
        <f t="shared" si="23"/>
        <v>120.78</v>
      </c>
    </row>
    <row r="1486" spans="1:5">
      <c r="A1486" s="1003" t="s">
        <v>8439</v>
      </c>
      <c r="B1486" s="1003" t="s">
        <v>3192</v>
      </c>
      <c r="C1486" s="1199" t="s">
        <v>1615</v>
      </c>
      <c r="D1486" s="1199">
        <v>282.89999999999998</v>
      </c>
      <c r="E1486" s="1199">
        <f t="shared" si="23"/>
        <v>236.74</v>
      </c>
    </row>
    <row r="1487" spans="1:5">
      <c r="A1487" s="1003" t="s">
        <v>8440</v>
      </c>
      <c r="B1487" s="1003" t="s">
        <v>3193</v>
      </c>
      <c r="C1487" s="1199" t="s">
        <v>1615</v>
      </c>
      <c r="D1487" s="1199">
        <v>619.66</v>
      </c>
      <c r="E1487" s="1199">
        <f t="shared" si="23"/>
        <v>518.54</v>
      </c>
    </row>
    <row r="1488" spans="1:5">
      <c r="A1488" s="1003" t="s">
        <v>8441</v>
      </c>
      <c r="B1488" s="1003" t="s">
        <v>3194</v>
      </c>
      <c r="C1488" s="1199" t="s">
        <v>1615</v>
      </c>
      <c r="D1488" s="1199">
        <v>130.06</v>
      </c>
      <c r="E1488" s="1199">
        <f t="shared" si="23"/>
        <v>108.84</v>
      </c>
    </row>
    <row r="1489" spans="1:5">
      <c r="A1489" s="1003" t="s">
        <v>692</v>
      </c>
      <c r="B1489" s="1003" t="s">
        <v>3195</v>
      </c>
      <c r="C1489" s="1199" t="s">
        <v>1615</v>
      </c>
      <c r="D1489" s="1199">
        <v>223.72</v>
      </c>
      <c r="E1489" s="1199">
        <f t="shared" si="23"/>
        <v>187.21</v>
      </c>
    </row>
    <row r="1490" spans="1:5">
      <c r="A1490" s="1003" t="s">
        <v>8442</v>
      </c>
      <c r="B1490" s="1003" t="s">
        <v>3196</v>
      </c>
      <c r="C1490" s="1199" t="s">
        <v>1615</v>
      </c>
      <c r="D1490" s="1199">
        <v>390.96</v>
      </c>
      <c r="E1490" s="1199">
        <f t="shared" si="23"/>
        <v>327.16000000000003</v>
      </c>
    </row>
    <row r="1491" spans="1:5">
      <c r="A1491" s="1003" t="s">
        <v>8443</v>
      </c>
      <c r="B1491" s="1003" t="s">
        <v>3197</v>
      </c>
      <c r="C1491" s="1199" t="s">
        <v>1652</v>
      </c>
      <c r="D1491" s="1199">
        <v>637.01</v>
      </c>
      <c r="E1491" s="1199">
        <f t="shared" si="23"/>
        <v>533.05999999999995</v>
      </c>
    </row>
    <row r="1492" spans="1:5">
      <c r="A1492" s="1003" t="s">
        <v>697</v>
      </c>
      <c r="B1492" s="1003" t="s">
        <v>8444</v>
      </c>
      <c r="C1492" s="1199" t="s">
        <v>1214</v>
      </c>
      <c r="D1492" s="1199">
        <v>2.94</v>
      </c>
      <c r="E1492" s="1199">
        <f t="shared" si="23"/>
        <v>2.46</v>
      </c>
    </row>
    <row r="1493" spans="1:5">
      <c r="A1493" s="1003" t="s">
        <v>699</v>
      </c>
      <c r="B1493" s="1003" t="s">
        <v>3199</v>
      </c>
      <c r="C1493" s="1199" t="s">
        <v>1214</v>
      </c>
      <c r="D1493" s="1199">
        <v>3.95</v>
      </c>
      <c r="E1493" s="1199">
        <f t="shared" si="23"/>
        <v>3.31</v>
      </c>
    </row>
    <row r="1494" spans="1:5">
      <c r="A1494" s="1003" t="s">
        <v>8445</v>
      </c>
      <c r="B1494" s="1003" t="s">
        <v>3051</v>
      </c>
      <c r="C1494" s="1199" t="s">
        <v>1214</v>
      </c>
      <c r="D1494" s="1199">
        <v>5.61</v>
      </c>
      <c r="E1494" s="1199">
        <f t="shared" si="23"/>
        <v>4.6900000000000004</v>
      </c>
    </row>
    <row r="1495" spans="1:5">
      <c r="A1495" s="1003" t="s">
        <v>701</v>
      </c>
      <c r="B1495" s="1003" t="s">
        <v>3052</v>
      </c>
      <c r="C1495" s="1199" t="s">
        <v>1214</v>
      </c>
      <c r="D1495" s="1199">
        <v>7.5</v>
      </c>
      <c r="E1495" s="1199">
        <f t="shared" si="23"/>
        <v>6.28</v>
      </c>
    </row>
    <row r="1496" spans="1:5">
      <c r="A1496" s="1003" t="s">
        <v>8446</v>
      </c>
      <c r="B1496" s="1003" t="s">
        <v>3200</v>
      </c>
      <c r="C1496" s="1199" t="s">
        <v>1214</v>
      </c>
      <c r="D1496" s="1199">
        <v>1.32</v>
      </c>
      <c r="E1496" s="1199">
        <f t="shared" si="23"/>
        <v>1.1000000000000001</v>
      </c>
    </row>
    <row r="1497" spans="1:5">
      <c r="A1497" s="1003" t="s">
        <v>703</v>
      </c>
      <c r="B1497" s="1003" t="s">
        <v>3201</v>
      </c>
      <c r="C1497" s="1199" t="s">
        <v>1214</v>
      </c>
      <c r="D1497" s="1199">
        <v>12.58</v>
      </c>
      <c r="E1497" s="1199">
        <f t="shared" si="23"/>
        <v>10.53</v>
      </c>
    </row>
    <row r="1498" spans="1:5">
      <c r="A1498" s="1003" t="s">
        <v>705</v>
      </c>
      <c r="B1498" s="1003" t="s">
        <v>3054</v>
      </c>
      <c r="C1498" s="1199" t="s">
        <v>1214</v>
      </c>
      <c r="D1498" s="1199">
        <v>19.420000000000002</v>
      </c>
      <c r="E1498" s="1199">
        <f t="shared" si="23"/>
        <v>16.25</v>
      </c>
    </row>
    <row r="1499" spans="1:5">
      <c r="A1499" s="1003" t="s">
        <v>707</v>
      </c>
      <c r="B1499" s="1003" t="s">
        <v>3055</v>
      </c>
      <c r="C1499" s="1199" t="s">
        <v>1214</v>
      </c>
      <c r="D1499" s="1199">
        <v>32.15</v>
      </c>
      <c r="E1499" s="1199">
        <f t="shared" si="23"/>
        <v>26.9</v>
      </c>
    </row>
    <row r="1500" spans="1:5">
      <c r="A1500" s="1003" t="s">
        <v>8447</v>
      </c>
      <c r="B1500" s="1003" t="s">
        <v>3056</v>
      </c>
      <c r="C1500" s="1199" t="s">
        <v>1214</v>
      </c>
      <c r="D1500" s="1199">
        <v>45.54</v>
      </c>
      <c r="E1500" s="1199">
        <f t="shared" si="23"/>
        <v>38.11</v>
      </c>
    </row>
    <row r="1501" spans="1:5">
      <c r="A1501" s="1003" t="s">
        <v>8448</v>
      </c>
      <c r="B1501" s="1003" t="s">
        <v>3057</v>
      </c>
      <c r="C1501" s="1199" t="s">
        <v>1214</v>
      </c>
      <c r="D1501" s="1199">
        <v>71.650000000000006</v>
      </c>
      <c r="E1501" s="1199">
        <f t="shared" si="23"/>
        <v>59.96</v>
      </c>
    </row>
    <row r="1502" spans="1:5">
      <c r="A1502" s="1003" t="s">
        <v>8449</v>
      </c>
      <c r="B1502" s="1003" t="s">
        <v>3058</v>
      </c>
      <c r="C1502" s="1199" t="s">
        <v>1214</v>
      </c>
      <c r="D1502" s="1199">
        <v>94.14</v>
      </c>
      <c r="E1502" s="1199">
        <f t="shared" si="23"/>
        <v>78.78</v>
      </c>
    </row>
    <row r="1503" spans="1:5">
      <c r="A1503" s="1003" t="s">
        <v>8450</v>
      </c>
      <c r="B1503" s="1003" t="s">
        <v>3059</v>
      </c>
      <c r="C1503" s="1199" t="s">
        <v>1214</v>
      </c>
      <c r="D1503" s="1199">
        <v>126.59</v>
      </c>
      <c r="E1503" s="1199">
        <f t="shared" si="23"/>
        <v>105.93</v>
      </c>
    </row>
    <row r="1504" spans="1:5">
      <c r="A1504" s="1003" t="s">
        <v>8451</v>
      </c>
      <c r="B1504" s="1003" t="s">
        <v>3060</v>
      </c>
      <c r="C1504" s="1199" t="s">
        <v>1214</v>
      </c>
      <c r="D1504" s="1199">
        <v>154.68</v>
      </c>
      <c r="E1504" s="1199">
        <f t="shared" si="23"/>
        <v>129.44</v>
      </c>
    </row>
    <row r="1505" spans="1:5">
      <c r="A1505" s="1003" t="s">
        <v>8452</v>
      </c>
      <c r="B1505" s="1003" t="s">
        <v>3061</v>
      </c>
      <c r="C1505" s="1199" t="s">
        <v>1214</v>
      </c>
      <c r="D1505" s="1199">
        <v>191.64</v>
      </c>
      <c r="E1505" s="1199">
        <f t="shared" si="23"/>
        <v>160.37</v>
      </c>
    </row>
    <row r="1506" spans="1:5">
      <c r="A1506" s="1003" t="s">
        <v>8453</v>
      </c>
      <c r="B1506" s="1003" t="s">
        <v>3062</v>
      </c>
      <c r="C1506" s="1199" t="s">
        <v>1214</v>
      </c>
      <c r="D1506" s="1199">
        <v>233.46</v>
      </c>
      <c r="E1506" s="1199">
        <f t="shared" si="23"/>
        <v>195.36</v>
      </c>
    </row>
    <row r="1507" spans="1:5">
      <c r="A1507" s="1003" t="s">
        <v>8454</v>
      </c>
      <c r="B1507" s="1003" t="s">
        <v>3063</v>
      </c>
      <c r="C1507" s="1199" t="s">
        <v>1214</v>
      </c>
      <c r="D1507" s="1199">
        <v>292.61</v>
      </c>
      <c r="E1507" s="1199">
        <f t="shared" si="23"/>
        <v>244.86</v>
      </c>
    </row>
    <row r="1508" spans="1:5">
      <c r="A1508" s="1003" t="s">
        <v>8455</v>
      </c>
      <c r="B1508" s="1003" t="s">
        <v>3064</v>
      </c>
      <c r="C1508" s="1199" t="s">
        <v>1214</v>
      </c>
      <c r="D1508" s="1199">
        <v>401.13</v>
      </c>
      <c r="E1508" s="1199">
        <f t="shared" si="23"/>
        <v>335.67</v>
      </c>
    </row>
    <row r="1509" spans="1:5">
      <c r="A1509" s="1003" t="s">
        <v>8456</v>
      </c>
      <c r="B1509" s="1003" t="s">
        <v>8457</v>
      </c>
      <c r="C1509" s="1199" t="s">
        <v>1214</v>
      </c>
      <c r="D1509" s="1199">
        <v>3.31</v>
      </c>
      <c r="E1509" s="1199">
        <f t="shared" si="23"/>
        <v>2.77</v>
      </c>
    </row>
    <row r="1510" spans="1:5">
      <c r="A1510" s="1003" t="s">
        <v>8458</v>
      </c>
      <c r="B1510" s="1003" t="s">
        <v>8459</v>
      </c>
      <c r="C1510" s="1199" t="s">
        <v>1214</v>
      </c>
      <c r="D1510" s="1199">
        <v>4.68</v>
      </c>
      <c r="E1510" s="1199">
        <f t="shared" si="23"/>
        <v>3.92</v>
      </c>
    </row>
    <row r="1511" spans="1:5">
      <c r="A1511" s="1003" t="s">
        <v>8460</v>
      </c>
      <c r="B1511" s="1003" t="s">
        <v>8461</v>
      </c>
      <c r="C1511" s="1199" t="s">
        <v>1214</v>
      </c>
      <c r="D1511" s="1199">
        <v>6.41</v>
      </c>
      <c r="E1511" s="1199">
        <f t="shared" si="23"/>
        <v>5.36</v>
      </c>
    </row>
    <row r="1512" spans="1:5">
      <c r="A1512" s="1003" t="s">
        <v>8462</v>
      </c>
      <c r="B1512" s="1003" t="s">
        <v>8463</v>
      </c>
      <c r="C1512" s="1199" t="s">
        <v>1214</v>
      </c>
      <c r="D1512" s="1199">
        <v>8.5299999999999994</v>
      </c>
      <c r="E1512" s="1199">
        <f t="shared" si="23"/>
        <v>7.14</v>
      </c>
    </row>
    <row r="1513" spans="1:5">
      <c r="A1513" s="1003" t="s">
        <v>8464</v>
      </c>
      <c r="B1513" s="1003" t="s">
        <v>3211</v>
      </c>
      <c r="C1513" s="1199" t="s">
        <v>1652</v>
      </c>
      <c r="D1513" s="1199">
        <v>637.01</v>
      </c>
      <c r="E1513" s="1199">
        <f t="shared" si="23"/>
        <v>533.05999999999995</v>
      </c>
    </row>
    <row r="1514" spans="1:5">
      <c r="A1514" s="1003" t="s">
        <v>8465</v>
      </c>
      <c r="B1514" s="1003" t="s">
        <v>3212</v>
      </c>
      <c r="C1514" s="1199" t="s">
        <v>1615</v>
      </c>
      <c r="D1514" s="1199">
        <v>206.23</v>
      </c>
      <c r="E1514" s="1199">
        <f t="shared" si="23"/>
        <v>172.58</v>
      </c>
    </row>
    <row r="1515" spans="1:5">
      <c r="A1515" s="1003" t="s">
        <v>8466</v>
      </c>
      <c r="B1515" s="1003" t="s">
        <v>3213</v>
      </c>
      <c r="C1515" s="1199" t="s">
        <v>1615</v>
      </c>
      <c r="D1515" s="1199">
        <v>270.93</v>
      </c>
      <c r="E1515" s="1199">
        <f t="shared" si="23"/>
        <v>226.72</v>
      </c>
    </row>
    <row r="1516" spans="1:5">
      <c r="A1516" s="1003" t="s">
        <v>8467</v>
      </c>
      <c r="B1516" s="1003" t="s">
        <v>3214</v>
      </c>
      <c r="C1516" s="1199" t="s">
        <v>1615</v>
      </c>
      <c r="D1516" s="1199">
        <v>284.10000000000002</v>
      </c>
      <c r="E1516" s="1199">
        <f t="shared" si="23"/>
        <v>237.74</v>
      </c>
    </row>
    <row r="1517" spans="1:5">
      <c r="A1517" s="1003" t="s">
        <v>8468</v>
      </c>
      <c r="B1517" s="1003" t="s">
        <v>3215</v>
      </c>
      <c r="C1517" s="1199" t="s">
        <v>1615</v>
      </c>
      <c r="D1517" s="1199">
        <v>242.38</v>
      </c>
      <c r="E1517" s="1199">
        <f t="shared" si="23"/>
        <v>202.83</v>
      </c>
    </row>
    <row r="1518" spans="1:5">
      <c r="A1518" s="1003" t="s">
        <v>8469</v>
      </c>
      <c r="B1518" s="1003" t="s">
        <v>3216</v>
      </c>
      <c r="C1518" s="1199" t="s">
        <v>1615</v>
      </c>
      <c r="D1518" s="1199">
        <v>350.61</v>
      </c>
      <c r="E1518" s="1199">
        <f t="shared" si="23"/>
        <v>293.39999999999998</v>
      </c>
    </row>
    <row r="1519" spans="1:5">
      <c r="A1519" s="1003" t="s">
        <v>8470</v>
      </c>
      <c r="B1519" s="1003" t="s">
        <v>3217</v>
      </c>
      <c r="C1519" s="1199" t="s">
        <v>1615</v>
      </c>
      <c r="D1519" s="1199">
        <v>264.64</v>
      </c>
      <c r="E1519" s="1199">
        <f t="shared" si="23"/>
        <v>221.46</v>
      </c>
    </row>
    <row r="1520" spans="1:5">
      <c r="A1520" s="1003" t="s">
        <v>8471</v>
      </c>
      <c r="B1520" s="1003" t="s">
        <v>3218</v>
      </c>
      <c r="C1520" s="1199" t="s">
        <v>1615</v>
      </c>
      <c r="D1520" s="1199">
        <v>324.24</v>
      </c>
      <c r="E1520" s="1199">
        <f t="shared" si="23"/>
        <v>271.33</v>
      </c>
    </row>
    <row r="1521" spans="1:5">
      <c r="A1521" s="1003" t="s">
        <v>8472</v>
      </c>
      <c r="B1521" s="1003" t="s">
        <v>3219</v>
      </c>
      <c r="C1521" s="1199" t="s">
        <v>1615</v>
      </c>
      <c r="D1521" s="1199">
        <v>229.22</v>
      </c>
      <c r="E1521" s="1199">
        <f t="shared" si="23"/>
        <v>191.82</v>
      </c>
    </row>
    <row r="1522" spans="1:5">
      <c r="A1522" s="1003" t="s">
        <v>8473</v>
      </c>
      <c r="B1522" s="1003" t="s">
        <v>8474</v>
      </c>
      <c r="C1522" s="1199" t="s">
        <v>1615</v>
      </c>
      <c r="D1522" s="1199">
        <v>95.45</v>
      </c>
      <c r="E1522" s="1199">
        <f t="shared" si="23"/>
        <v>79.87</v>
      </c>
    </row>
    <row r="1523" spans="1:5">
      <c r="A1523" s="1003" t="s">
        <v>8475</v>
      </c>
      <c r="B1523" s="1003" t="s">
        <v>8476</v>
      </c>
      <c r="C1523" s="1199" t="s">
        <v>1615</v>
      </c>
      <c r="D1523" s="1199">
        <v>222.3</v>
      </c>
      <c r="E1523" s="1199">
        <f t="shared" si="23"/>
        <v>186.03</v>
      </c>
    </row>
    <row r="1524" spans="1:5">
      <c r="A1524" s="1003" t="s">
        <v>8477</v>
      </c>
      <c r="B1524" s="1003" t="s">
        <v>8478</v>
      </c>
      <c r="C1524" s="1199" t="s">
        <v>1615</v>
      </c>
      <c r="D1524" s="1199">
        <v>276.83</v>
      </c>
      <c r="E1524" s="1199">
        <f t="shared" si="23"/>
        <v>231.66</v>
      </c>
    </row>
    <row r="1525" spans="1:5">
      <c r="A1525" s="1003" t="s">
        <v>8479</v>
      </c>
      <c r="B1525" s="1003" t="s">
        <v>8480</v>
      </c>
      <c r="C1525" s="1199" t="s">
        <v>1615</v>
      </c>
      <c r="D1525" s="1199">
        <v>117.23</v>
      </c>
      <c r="E1525" s="1199">
        <f t="shared" si="23"/>
        <v>98.1</v>
      </c>
    </row>
    <row r="1526" spans="1:5">
      <c r="A1526" s="1003" t="s">
        <v>8481</v>
      </c>
      <c r="B1526" s="1003" t="s">
        <v>8482</v>
      </c>
      <c r="C1526" s="1199" t="s">
        <v>1615</v>
      </c>
      <c r="D1526" s="1199">
        <v>178.88</v>
      </c>
      <c r="E1526" s="1199">
        <f t="shared" si="23"/>
        <v>149.69</v>
      </c>
    </row>
    <row r="1527" spans="1:5">
      <c r="A1527" s="1003" t="s">
        <v>8483</v>
      </c>
      <c r="B1527" s="1003" t="s">
        <v>8484</v>
      </c>
      <c r="C1527" s="1199" t="s">
        <v>1615</v>
      </c>
      <c r="D1527" s="1199">
        <v>197.3</v>
      </c>
      <c r="E1527" s="1199">
        <f t="shared" si="23"/>
        <v>165.1</v>
      </c>
    </row>
    <row r="1528" spans="1:5" ht="27.6">
      <c r="A1528" s="1003" t="s">
        <v>8485</v>
      </c>
      <c r="B1528" s="1003" t="s">
        <v>8486</v>
      </c>
      <c r="C1528" s="1199" t="s">
        <v>1615</v>
      </c>
      <c r="D1528" s="1199">
        <v>190.9</v>
      </c>
      <c r="E1528" s="1199">
        <f t="shared" si="23"/>
        <v>159.75</v>
      </c>
    </row>
    <row r="1529" spans="1:5" ht="27.6">
      <c r="A1529" s="1003" t="s">
        <v>8487</v>
      </c>
      <c r="B1529" s="1003" t="s">
        <v>8488</v>
      </c>
      <c r="C1529" s="1199" t="s">
        <v>1615</v>
      </c>
      <c r="D1529" s="1199">
        <v>224.28</v>
      </c>
      <c r="E1529" s="1199">
        <f t="shared" si="23"/>
        <v>187.68</v>
      </c>
    </row>
    <row r="1530" spans="1:5">
      <c r="A1530" s="1003" t="s">
        <v>8489</v>
      </c>
      <c r="B1530" s="1003" t="s">
        <v>8490</v>
      </c>
      <c r="C1530" s="1199" t="s">
        <v>1615</v>
      </c>
      <c r="D1530" s="1199">
        <v>161.07</v>
      </c>
      <c r="E1530" s="1199">
        <f t="shared" si="23"/>
        <v>134.79</v>
      </c>
    </row>
    <row r="1531" spans="1:5">
      <c r="A1531" s="1003" t="s">
        <v>8491</v>
      </c>
      <c r="B1531" s="1003" t="s">
        <v>8492</v>
      </c>
      <c r="C1531" s="1199" t="s">
        <v>1615</v>
      </c>
      <c r="D1531" s="1199">
        <v>223.74</v>
      </c>
      <c r="E1531" s="1199">
        <f t="shared" si="23"/>
        <v>187.23</v>
      </c>
    </row>
    <row r="1532" spans="1:5">
      <c r="A1532" s="1003" t="s">
        <v>8493</v>
      </c>
      <c r="B1532" s="1003" t="s">
        <v>8494</v>
      </c>
      <c r="C1532" s="1199" t="s">
        <v>1615</v>
      </c>
      <c r="D1532" s="1199">
        <v>265.32</v>
      </c>
      <c r="E1532" s="1199">
        <f t="shared" si="23"/>
        <v>222.03</v>
      </c>
    </row>
    <row r="1533" spans="1:5">
      <c r="A1533" s="1003" t="s">
        <v>8495</v>
      </c>
      <c r="B1533" s="1003" t="s">
        <v>8496</v>
      </c>
      <c r="C1533" s="1199" t="s">
        <v>1615</v>
      </c>
      <c r="D1533" s="1199">
        <v>177.13</v>
      </c>
      <c r="E1533" s="1199">
        <f t="shared" si="23"/>
        <v>148.22999999999999</v>
      </c>
    </row>
    <row r="1534" spans="1:5">
      <c r="A1534" s="1003" t="s">
        <v>8497</v>
      </c>
      <c r="B1534" s="1003" t="s">
        <v>8498</v>
      </c>
      <c r="C1534" s="1199" t="s">
        <v>1615</v>
      </c>
      <c r="D1534" s="1199">
        <v>241.29</v>
      </c>
      <c r="E1534" s="1199">
        <f t="shared" si="23"/>
        <v>201.92</v>
      </c>
    </row>
    <row r="1535" spans="1:5">
      <c r="A1535" s="1003" t="s">
        <v>8499</v>
      </c>
      <c r="B1535" s="1003" t="s">
        <v>8500</v>
      </c>
      <c r="C1535" s="1199" t="s">
        <v>1615</v>
      </c>
      <c r="D1535" s="1199">
        <v>141.6</v>
      </c>
      <c r="E1535" s="1199">
        <f t="shared" si="23"/>
        <v>118.49</v>
      </c>
    </row>
    <row r="1536" spans="1:5">
      <c r="A1536" s="1003" t="s">
        <v>8501</v>
      </c>
      <c r="B1536" s="1003" t="s">
        <v>8502</v>
      </c>
      <c r="C1536" s="1199" t="s">
        <v>1615</v>
      </c>
      <c r="D1536" s="1199">
        <v>137.65</v>
      </c>
      <c r="E1536" s="1199">
        <f t="shared" si="23"/>
        <v>115.19</v>
      </c>
    </row>
    <row r="1537" spans="1:5">
      <c r="A1537" s="1003" t="s">
        <v>8503</v>
      </c>
      <c r="B1537" s="1003" t="s">
        <v>8504</v>
      </c>
      <c r="C1537" s="1199" t="s">
        <v>1615</v>
      </c>
      <c r="D1537" s="1199">
        <v>156.34</v>
      </c>
      <c r="E1537" s="1199">
        <f t="shared" si="23"/>
        <v>130.83000000000001</v>
      </c>
    </row>
    <row r="1538" spans="1:5">
      <c r="A1538" s="1003" t="s">
        <v>8505</v>
      </c>
      <c r="B1538" s="1003" t="s">
        <v>8506</v>
      </c>
      <c r="C1538" s="1199" t="s">
        <v>1615</v>
      </c>
      <c r="D1538" s="1199">
        <v>214.95</v>
      </c>
      <c r="E1538" s="1199">
        <f t="shared" si="23"/>
        <v>179.87</v>
      </c>
    </row>
    <row r="1539" spans="1:5">
      <c r="A1539" s="1003" t="s">
        <v>8507</v>
      </c>
      <c r="B1539" s="1003" t="s">
        <v>8508</v>
      </c>
      <c r="C1539" s="1199" t="s">
        <v>1615</v>
      </c>
      <c r="D1539" s="1199">
        <v>192.48</v>
      </c>
      <c r="E1539" s="1199">
        <f t="shared" si="23"/>
        <v>161.07</v>
      </c>
    </row>
    <row r="1540" spans="1:5">
      <c r="A1540" s="1003" t="s">
        <v>8509</v>
      </c>
      <c r="B1540" s="1003" t="s">
        <v>8510</v>
      </c>
      <c r="C1540" s="1199" t="s">
        <v>1615</v>
      </c>
      <c r="D1540" s="1199">
        <v>294.83</v>
      </c>
      <c r="E1540" s="1199">
        <f t="shared" ref="E1540:E1603" si="24">ROUND(D1540/1.195,2)</f>
        <v>246.72</v>
      </c>
    </row>
    <row r="1541" spans="1:5">
      <c r="A1541" s="1003" t="s">
        <v>712</v>
      </c>
      <c r="B1541" s="1003" t="s">
        <v>3239</v>
      </c>
      <c r="C1541" s="1199" t="s">
        <v>1615</v>
      </c>
      <c r="D1541" s="1199">
        <v>417.56</v>
      </c>
      <c r="E1541" s="1199">
        <f t="shared" si="24"/>
        <v>349.42</v>
      </c>
    </row>
    <row r="1542" spans="1:5">
      <c r="A1542" s="1003" t="s">
        <v>8511</v>
      </c>
      <c r="B1542" s="1003" t="s">
        <v>8512</v>
      </c>
      <c r="C1542" s="1199" t="s">
        <v>1615</v>
      </c>
      <c r="D1542" s="1199">
        <v>291.67</v>
      </c>
      <c r="E1542" s="1199">
        <f t="shared" si="24"/>
        <v>244.08</v>
      </c>
    </row>
    <row r="1543" spans="1:5">
      <c r="A1543" s="1003" t="s">
        <v>8513</v>
      </c>
      <c r="B1543" s="1003" t="s">
        <v>8514</v>
      </c>
      <c r="C1543" s="1199" t="s">
        <v>1615</v>
      </c>
      <c r="D1543" s="1199">
        <v>151.72</v>
      </c>
      <c r="E1543" s="1199">
        <f t="shared" si="24"/>
        <v>126.96</v>
      </c>
    </row>
    <row r="1544" spans="1:5">
      <c r="A1544" s="1003" t="s">
        <v>8515</v>
      </c>
      <c r="B1544" s="1003" t="s">
        <v>3242</v>
      </c>
      <c r="C1544" s="1199" t="s">
        <v>1615</v>
      </c>
      <c r="D1544" s="1199">
        <v>130.21</v>
      </c>
      <c r="E1544" s="1199">
        <f t="shared" si="24"/>
        <v>108.96</v>
      </c>
    </row>
    <row r="1545" spans="1:5">
      <c r="A1545" s="1003" t="s">
        <v>8516</v>
      </c>
      <c r="B1545" s="1003" t="s">
        <v>8517</v>
      </c>
      <c r="C1545" s="1199" t="s">
        <v>1615</v>
      </c>
      <c r="D1545" s="1199">
        <v>191.86</v>
      </c>
      <c r="E1545" s="1199">
        <f t="shared" si="24"/>
        <v>160.55000000000001</v>
      </c>
    </row>
    <row r="1546" spans="1:5">
      <c r="A1546" s="1003" t="s">
        <v>8518</v>
      </c>
      <c r="B1546" s="1003" t="s">
        <v>8519</v>
      </c>
      <c r="C1546" s="1199" t="s">
        <v>1615</v>
      </c>
      <c r="D1546" s="1199">
        <v>210.28</v>
      </c>
      <c r="E1546" s="1199">
        <f t="shared" si="24"/>
        <v>175.97</v>
      </c>
    </row>
    <row r="1547" spans="1:5">
      <c r="A1547" s="1003" t="s">
        <v>8520</v>
      </c>
      <c r="B1547" s="1003" t="s">
        <v>3245</v>
      </c>
      <c r="C1547" s="1199" t="s">
        <v>1615</v>
      </c>
      <c r="D1547" s="1199">
        <v>203.88</v>
      </c>
      <c r="E1547" s="1199">
        <f t="shared" si="24"/>
        <v>170.61</v>
      </c>
    </row>
    <row r="1548" spans="1:5">
      <c r="A1548" s="1003" t="s">
        <v>8521</v>
      </c>
      <c r="B1548" s="1003" t="s">
        <v>3246</v>
      </c>
      <c r="C1548" s="1199" t="s">
        <v>1615</v>
      </c>
      <c r="D1548" s="1199">
        <v>255.35</v>
      </c>
      <c r="E1548" s="1199">
        <f t="shared" si="24"/>
        <v>213.68</v>
      </c>
    </row>
    <row r="1549" spans="1:5">
      <c r="A1549" s="1003" t="s">
        <v>8522</v>
      </c>
      <c r="B1549" s="1003" t="s">
        <v>8523</v>
      </c>
      <c r="C1549" s="1199" t="s">
        <v>1615</v>
      </c>
      <c r="D1549" s="1199">
        <v>951.61</v>
      </c>
      <c r="E1549" s="1199">
        <f t="shared" si="24"/>
        <v>796.33</v>
      </c>
    </row>
    <row r="1550" spans="1:5">
      <c r="A1550" s="1003" t="s">
        <v>714</v>
      </c>
      <c r="B1550" s="1003" t="s">
        <v>8524</v>
      </c>
      <c r="C1550" s="1199" t="s">
        <v>1615</v>
      </c>
      <c r="D1550" s="1199">
        <v>174.05</v>
      </c>
      <c r="E1550" s="1199">
        <f t="shared" si="24"/>
        <v>145.65</v>
      </c>
    </row>
    <row r="1551" spans="1:5">
      <c r="A1551" s="1003" t="s">
        <v>716</v>
      </c>
      <c r="B1551" s="1003" t="s">
        <v>8525</v>
      </c>
      <c r="C1551" s="1199" t="s">
        <v>1615</v>
      </c>
      <c r="D1551" s="1199">
        <v>270.44</v>
      </c>
      <c r="E1551" s="1199">
        <f t="shared" si="24"/>
        <v>226.31</v>
      </c>
    </row>
    <row r="1552" spans="1:5">
      <c r="A1552" s="1003" t="s">
        <v>718</v>
      </c>
      <c r="B1552" s="1003" t="s">
        <v>3249</v>
      </c>
      <c r="C1552" s="1199" t="s">
        <v>1615</v>
      </c>
      <c r="D1552" s="1199">
        <v>278.3</v>
      </c>
      <c r="E1552" s="1199">
        <f t="shared" si="24"/>
        <v>232.89</v>
      </c>
    </row>
    <row r="1553" spans="1:5">
      <c r="A1553" s="1003" t="s">
        <v>8526</v>
      </c>
      <c r="B1553" s="1003" t="s">
        <v>8527</v>
      </c>
      <c r="C1553" s="1199" t="s">
        <v>1615</v>
      </c>
      <c r="D1553" s="1199">
        <v>190.11</v>
      </c>
      <c r="E1553" s="1199">
        <f t="shared" si="24"/>
        <v>159.09</v>
      </c>
    </row>
    <row r="1554" spans="1:5">
      <c r="A1554" s="1003" t="s">
        <v>8528</v>
      </c>
      <c r="B1554" s="1003" t="s">
        <v>8529</v>
      </c>
      <c r="C1554" s="1199" t="s">
        <v>1615</v>
      </c>
      <c r="D1554" s="1199">
        <v>254.27</v>
      </c>
      <c r="E1554" s="1199">
        <f t="shared" si="24"/>
        <v>212.78</v>
      </c>
    </row>
    <row r="1555" spans="1:5">
      <c r="A1555" s="1003" t="s">
        <v>720</v>
      </c>
      <c r="B1555" s="1003" t="s">
        <v>8530</v>
      </c>
      <c r="C1555" s="1199" t="s">
        <v>1615</v>
      </c>
      <c r="D1555" s="1199">
        <v>154.57</v>
      </c>
      <c r="E1555" s="1199">
        <f t="shared" si="24"/>
        <v>129.35</v>
      </c>
    </row>
    <row r="1556" spans="1:5">
      <c r="A1556" s="1003" t="s">
        <v>8531</v>
      </c>
      <c r="B1556" s="1003" t="s">
        <v>8532</v>
      </c>
      <c r="C1556" s="1199" t="s">
        <v>1615</v>
      </c>
      <c r="D1556" s="1199">
        <v>964.59</v>
      </c>
      <c r="E1556" s="1199">
        <f t="shared" si="24"/>
        <v>807.19</v>
      </c>
    </row>
    <row r="1557" spans="1:5">
      <c r="A1557" s="1003" t="s">
        <v>722</v>
      </c>
      <c r="B1557" s="1003" t="s">
        <v>8533</v>
      </c>
      <c r="C1557" s="1199" t="s">
        <v>1615</v>
      </c>
      <c r="D1557" s="1199">
        <v>150.63</v>
      </c>
      <c r="E1557" s="1199">
        <f t="shared" si="24"/>
        <v>126.05</v>
      </c>
    </row>
    <row r="1558" spans="1:5">
      <c r="A1558" s="1003" t="s">
        <v>8534</v>
      </c>
      <c r="B1558" s="1003" t="s">
        <v>8535</v>
      </c>
      <c r="C1558" s="1199" t="s">
        <v>1615</v>
      </c>
      <c r="D1558" s="1199">
        <v>216.75</v>
      </c>
      <c r="E1558" s="1199">
        <f t="shared" si="24"/>
        <v>181.38</v>
      </c>
    </row>
    <row r="1559" spans="1:5">
      <c r="A1559" s="1003" t="s">
        <v>724</v>
      </c>
      <c r="B1559" s="1003" t="s">
        <v>3257</v>
      </c>
      <c r="C1559" s="1199" t="s">
        <v>1615</v>
      </c>
      <c r="D1559" s="1199">
        <v>123.16</v>
      </c>
      <c r="E1559" s="1199">
        <f t="shared" si="24"/>
        <v>103.06</v>
      </c>
    </row>
    <row r="1560" spans="1:5">
      <c r="A1560" s="1003" t="s">
        <v>8536</v>
      </c>
      <c r="B1560" s="1003" t="s">
        <v>3258</v>
      </c>
      <c r="C1560" s="1199" t="s">
        <v>1615</v>
      </c>
      <c r="D1560" s="1199">
        <v>213.12</v>
      </c>
      <c r="E1560" s="1199">
        <f t="shared" si="24"/>
        <v>178.34</v>
      </c>
    </row>
    <row r="1561" spans="1:5">
      <c r="A1561" s="1003" t="s">
        <v>726</v>
      </c>
      <c r="B1561" s="1003" t="s">
        <v>3259</v>
      </c>
      <c r="C1561" s="1199" t="s">
        <v>1615</v>
      </c>
      <c r="D1561" s="1199">
        <v>150.83000000000001</v>
      </c>
      <c r="E1561" s="1199">
        <f t="shared" si="24"/>
        <v>126.22</v>
      </c>
    </row>
    <row r="1562" spans="1:5">
      <c r="A1562" s="1003" t="s">
        <v>728</v>
      </c>
      <c r="B1562" s="1003" t="s">
        <v>3260</v>
      </c>
      <c r="C1562" s="1199" t="s">
        <v>1615</v>
      </c>
      <c r="D1562" s="1199">
        <v>264.52999999999997</v>
      </c>
      <c r="E1562" s="1199">
        <f t="shared" si="24"/>
        <v>221.36</v>
      </c>
    </row>
    <row r="1563" spans="1:5">
      <c r="A1563" s="1003" t="s">
        <v>730</v>
      </c>
      <c r="B1563" s="1003" t="s">
        <v>3261</v>
      </c>
      <c r="C1563" s="1199" t="s">
        <v>1615</v>
      </c>
      <c r="D1563" s="1199">
        <v>123.16</v>
      </c>
      <c r="E1563" s="1199">
        <f t="shared" si="24"/>
        <v>103.06</v>
      </c>
    </row>
    <row r="1564" spans="1:5">
      <c r="A1564" s="1003" t="s">
        <v>732</v>
      </c>
      <c r="B1564" s="1003" t="s">
        <v>8537</v>
      </c>
      <c r="C1564" s="1199" t="s">
        <v>1615</v>
      </c>
      <c r="D1564" s="1199">
        <v>235.4</v>
      </c>
      <c r="E1564" s="1199">
        <f t="shared" si="24"/>
        <v>196.99</v>
      </c>
    </row>
    <row r="1565" spans="1:5">
      <c r="A1565" s="1003" t="s">
        <v>734</v>
      </c>
      <c r="B1565" s="1003" t="s">
        <v>3263</v>
      </c>
      <c r="C1565" s="1199" t="s">
        <v>1615</v>
      </c>
      <c r="D1565" s="1199">
        <v>123.94</v>
      </c>
      <c r="E1565" s="1199">
        <f t="shared" si="24"/>
        <v>103.72</v>
      </c>
    </row>
    <row r="1566" spans="1:5">
      <c r="A1566" s="1003" t="s">
        <v>8538</v>
      </c>
      <c r="B1566" s="1003" t="s">
        <v>8539</v>
      </c>
      <c r="C1566" s="1199" t="s">
        <v>1615</v>
      </c>
      <c r="D1566" s="1199">
        <v>169.32</v>
      </c>
      <c r="E1566" s="1199">
        <f t="shared" si="24"/>
        <v>141.69</v>
      </c>
    </row>
    <row r="1567" spans="1:5">
      <c r="A1567" s="1003" t="s">
        <v>8540</v>
      </c>
      <c r="B1567" s="1003" t="s">
        <v>8541</v>
      </c>
      <c r="C1567" s="1199" t="s">
        <v>1615</v>
      </c>
      <c r="D1567" s="1199">
        <v>463.61</v>
      </c>
      <c r="E1567" s="1199">
        <f t="shared" si="24"/>
        <v>387.96</v>
      </c>
    </row>
    <row r="1568" spans="1:5" ht="27.6">
      <c r="A1568" s="1003" t="s">
        <v>8542</v>
      </c>
      <c r="B1568" s="1003" t="s">
        <v>8543</v>
      </c>
      <c r="C1568" s="1199" t="s">
        <v>1615</v>
      </c>
      <c r="D1568" s="1199">
        <v>101.16</v>
      </c>
      <c r="E1568" s="1199">
        <f t="shared" si="24"/>
        <v>84.65</v>
      </c>
    </row>
    <row r="1569" spans="1:5">
      <c r="A1569" s="1003" t="s">
        <v>8544</v>
      </c>
      <c r="B1569" s="1003" t="s">
        <v>8545</v>
      </c>
      <c r="C1569" s="1199" t="s">
        <v>1615</v>
      </c>
      <c r="D1569" s="1199">
        <v>1023.66</v>
      </c>
      <c r="E1569" s="1199">
        <f t="shared" si="24"/>
        <v>856.62</v>
      </c>
    </row>
    <row r="1570" spans="1:5">
      <c r="A1570" s="1003" t="s">
        <v>8546</v>
      </c>
      <c r="B1570" s="1003" t="s">
        <v>3266</v>
      </c>
      <c r="C1570" s="1199" t="s">
        <v>1652</v>
      </c>
      <c r="D1570" s="1199">
        <v>637.01</v>
      </c>
      <c r="E1570" s="1199">
        <f t="shared" si="24"/>
        <v>533.05999999999995</v>
      </c>
    </row>
    <row r="1571" spans="1:5">
      <c r="A1571" s="1003" t="s">
        <v>1154</v>
      </c>
      <c r="B1571" s="1003" t="s">
        <v>8547</v>
      </c>
      <c r="C1571" s="1199" t="s">
        <v>1615</v>
      </c>
      <c r="D1571" s="1199">
        <v>1581.16</v>
      </c>
      <c r="E1571" s="1199">
        <f t="shared" si="24"/>
        <v>1323.15</v>
      </c>
    </row>
    <row r="1572" spans="1:5">
      <c r="A1572" s="1003" t="s">
        <v>1156</v>
      </c>
      <c r="B1572" s="1003" t="s">
        <v>8548</v>
      </c>
      <c r="C1572" s="1199" t="s">
        <v>1615</v>
      </c>
      <c r="D1572" s="1199">
        <v>219.71</v>
      </c>
      <c r="E1572" s="1199">
        <f t="shared" si="24"/>
        <v>183.86</v>
      </c>
    </row>
    <row r="1573" spans="1:5">
      <c r="A1573" s="1003" t="s">
        <v>1155</v>
      </c>
      <c r="B1573" s="1003" t="s">
        <v>8549</v>
      </c>
      <c r="C1573" s="1199" t="s">
        <v>1615</v>
      </c>
      <c r="D1573" s="1199">
        <v>368.26</v>
      </c>
      <c r="E1573" s="1199">
        <f t="shared" si="24"/>
        <v>308.17</v>
      </c>
    </row>
    <row r="1574" spans="1:5">
      <c r="A1574" s="1003" t="s">
        <v>8550</v>
      </c>
      <c r="B1574" s="1003" t="s">
        <v>8551</v>
      </c>
      <c r="C1574" s="1199" t="s">
        <v>1615</v>
      </c>
      <c r="D1574" s="1199">
        <v>638.22</v>
      </c>
      <c r="E1574" s="1199">
        <f t="shared" si="24"/>
        <v>534.08000000000004</v>
      </c>
    </row>
    <row r="1575" spans="1:5">
      <c r="A1575" s="1003" t="s">
        <v>8552</v>
      </c>
      <c r="B1575" s="1003" t="s">
        <v>8553</v>
      </c>
      <c r="C1575" s="1199" t="s">
        <v>1615</v>
      </c>
      <c r="D1575" s="1199">
        <v>645.53</v>
      </c>
      <c r="E1575" s="1199">
        <f t="shared" si="24"/>
        <v>540.19000000000005</v>
      </c>
    </row>
    <row r="1576" spans="1:5">
      <c r="A1576" s="1003" t="s">
        <v>8554</v>
      </c>
      <c r="B1576" s="1003" t="s">
        <v>8555</v>
      </c>
      <c r="C1576" s="1199" t="s">
        <v>1615</v>
      </c>
      <c r="D1576" s="1199">
        <v>690.58</v>
      </c>
      <c r="E1576" s="1199">
        <f t="shared" si="24"/>
        <v>577.89</v>
      </c>
    </row>
    <row r="1577" spans="1:5">
      <c r="A1577" s="1003" t="s">
        <v>8556</v>
      </c>
      <c r="B1577" s="1003" t="s">
        <v>8557</v>
      </c>
      <c r="C1577" s="1199" t="s">
        <v>1615</v>
      </c>
      <c r="D1577" s="1199">
        <v>153.66999999999999</v>
      </c>
      <c r="E1577" s="1199">
        <f t="shared" si="24"/>
        <v>128.59</v>
      </c>
    </row>
    <row r="1578" spans="1:5">
      <c r="A1578" s="1003" t="s">
        <v>739</v>
      </c>
      <c r="B1578" s="1003" t="s">
        <v>8558</v>
      </c>
      <c r="C1578" s="1199" t="s">
        <v>1615</v>
      </c>
      <c r="D1578" s="1199">
        <v>290.27999999999997</v>
      </c>
      <c r="E1578" s="1199">
        <f t="shared" si="24"/>
        <v>242.91</v>
      </c>
    </row>
    <row r="1579" spans="1:5">
      <c r="A1579" s="1003" t="s">
        <v>741</v>
      </c>
      <c r="B1579" s="1003" t="s">
        <v>8559</v>
      </c>
      <c r="C1579" s="1199" t="s">
        <v>1615</v>
      </c>
      <c r="D1579" s="1199">
        <v>950.49</v>
      </c>
      <c r="E1579" s="1199">
        <f t="shared" si="24"/>
        <v>795.39</v>
      </c>
    </row>
    <row r="1580" spans="1:5">
      <c r="A1580" s="1003" t="s">
        <v>743</v>
      </c>
      <c r="B1580" s="1003" t="s">
        <v>3289</v>
      </c>
      <c r="C1580" s="1199" t="s">
        <v>1615</v>
      </c>
      <c r="D1580" s="1199">
        <v>1022.62</v>
      </c>
      <c r="E1580" s="1199">
        <f t="shared" si="24"/>
        <v>855.75</v>
      </c>
    </row>
    <row r="1581" spans="1:5">
      <c r="A1581" s="1003" t="s">
        <v>1152</v>
      </c>
      <c r="B1581" s="1003" t="s">
        <v>8560</v>
      </c>
      <c r="C1581" s="1199" t="s">
        <v>1615</v>
      </c>
      <c r="D1581" s="1199">
        <v>335.39</v>
      </c>
      <c r="E1581" s="1199">
        <f t="shared" si="24"/>
        <v>280.66000000000003</v>
      </c>
    </row>
    <row r="1582" spans="1:5">
      <c r="A1582" s="1003" t="s">
        <v>1158</v>
      </c>
      <c r="B1582" s="1003" t="s">
        <v>8561</v>
      </c>
      <c r="C1582" s="1199" t="s">
        <v>1615</v>
      </c>
      <c r="D1582" s="1199">
        <v>544.21</v>
      </c>
      <c r="E1582" s="1199">
        <f t="shared" si="24"/>
        <v>455.41</v>
      </c>
    </row>
    <row r="1583" spans="1:5">
      <c r="A1583" s="1003" t="s">
        <v>8562</v>
      </c>
      <c r="B1583" s="1003" t="s">
        <v>8563</v>
      </c>
      <c r="C1583" s="1199" t="s">
        <v>1615</v>
      </c>
      <c r="D1583" s="1199">
        <v>205.71</v>
      </c>
      <c r="E1583" s="1199">
        <f t="shared" si="24"/>
        <v>172.14</v>
      </c>
    </row>
    <row r="1584" spans="1:5">
      <c r="A1584" s="1003" t="s">
        <v>1157</v>
      </c>
      <c r="B1584" s="1003" t="s">
        <v>8564</v>
      </c>
      <c r="C1584" s="1199" t="s">
        <v>1615</v>
      </c>
      <c r="D1584" s="1199">
        <v>346.28</v>
      </c>
      <c r="E1584" s="1199">
        <f t="shared" si="24"/>
        <v>289.77</v>
      </c>
    </row>
    <row r="1585" spans="1:5">
      <c r="A1585" s="1003" t="s">
        <v>8565</v>
      </c>
      <c r="B1585" s="1003" t="s">
        <v>8566</v>
      </c>
      <c r="C1585" s="1199" t="s">
        <v>1615</v>
      </c>
      <c r="D1585" s="1199">
        <v>185.24</v>
      </c>
      <c r="E1585" s="1199">
        <f t="shared" si="24"/>
        <v>155.01</v>
      </c>
    </row>
    <row r="1586" spans="1:5">
      <c r="A1586" s="1003" t="s">
        <v>745</v>
      </c>
      <c r="B1586" s="1003" t="s">
        <v>3290</v>
      </c>
      <c r="C1586" s="1199" t="s">
        <v>1615</v>
      </c>
      <c r="D1586" s="1199">
        <v>404.9</v>
      </c>
      <c r="E1586" s="1199">
        <f t="shared" si="24"/>
        <v>338.83</v>
      </c>
    </row>
    <row r="1587" spans="1:5" ht="27.6">
      <c r="A1587" s="1003" t="s">
        <v>8567</v>
      </c>
      <c r="B1587" s="1003" t="s">
        <v>8568</v>
      </c>
      <c r="C1587" s="1199" t="s">
        <v>1615</v>
      </c>
      <c r="D1587" s="1199">
        <v>332.5</v>
      </c>
      <c r="E1587" s="1199">
        <f t="shared" si="24"/>
        <v>278.24</v>
      </c>
    </row>
    <row r="1588" spans="1:5">
      <c r="A1588" s="1003" t="s">
        <v>747</v>
      </c>
      <c r="B1588" s="1003" t="s">
        <v>8569</v>
      </c>
      <c r="C1588" s="1199" t="s">
        <v>1615</v>
      </c>
      <c r="D1588" s="1199">
        <v>231.1</v>
      </c>
      <c r="E1588" s="1199">
        <f t="shared" si="24"/>
        <v>193.39</v>
      </c>
    </row>
    <row r="1589" spans="1:5">
      <c r="A1589" s="1003" t="s">
        <v>8570</v>
      </c>
      <c r="B1589" s="1003" t="s">
        <v>8571</v>
      </c>
      <c r="C1589" s="1199" t="s">
        <v>1615</v>
      </c>
      <c r="D1589" s="1199">
        <v>435.97</v>
      </c>
      <c r="E1589" s="1199">
        <f t="shared" si="24"/>
        <v>364.83</v>
      </c>
    </row>
    <row r="1590" spans="1:5">
      <c r="A1590" s="1003" t="s">
        <v>1159</v>
      </c>
      <c r="B1590" s="1003" t="s">
        <v>8572</v>
      </c>
      <c r="C1590" s="1199" t="s">
        <v>1615</v>
      </c>
      <c r="D1590" s="1199">
        <v>489.89</v>
      </c>
      <c r="E1590" s="1199">
        <f t="shared" si="24"/>
        <v>409.95</v>
      </c>
    </row>
    <row r="1591" spans="1:5">
      <c r="A1591" s="1003" t="s">
        <v>8573</v>
      </c>
      <c r="B1591" s="1003" t="s">
        <v>8574</v>
      </c>
      <c r="C1591" s="1199" t="s">
        <v>1615</v>
      </c>
      <c r="D1591" s="1199">
        <v>592.86</v>
      </c>
      <c r="E1591" s="1199">
        <f t="shared" si="24"/>
        <v>496.12</v>
      </c>
    </row>
    <row r="1592" spans="1:5">
      <c r="A1592" s="1003" t="s">
        <v>749</v>
      </c>
      <c r="B1592" s="1003" t="s">
        <v>3292</v>
      </c>
      <c r="C1592" s="1199" t="s">
        <v>1615</v>
      </c>
      <c r="D1592" s="1199">
        <v>195.5</v>
      </c>
      <c r="E1592" s="1199">
        <f t="shared" si="24"/>
        <v>163.6</v>
      </c>
    </row>
    <row r="1593" spans="1:5">
      <c r="A1593" s="1003" t="s">
        <v>751</v>
      </c>
      <c r="B1593" s="1003" t="s">
        <v>3293</v>
      </c>
      <c r="C1593" s="1199" t="s">
        <v>1615</v>
      </c>
      <c r="D1593" s="1199">
        <v>271.93</v>
      </c>
      <c r="E1593" s="1199">
        <f t="shared" si="24"/>
        <v>227.56</v>
      </c>
    </row>
    <row r="1594" spans="1:5">
      <c r="A1594" s="1003" t="s">
        <v>8575</v>
      </c>
      <c r="B1594" s="1003" t="s">
        <v>3295</v>
      </c>
      <c r="C1594" s="1199" t="s">
        <v>1615</v>
      </c>
      <c r="D1594" s="1199">
        <v>387.01</v>
      </c>
      <c r="E1594" s="1199">
        <f t="shared" si="24"/>
        <v>323.86</v>
      </c>
    </row>
    <row r="1595" spans="1:5">
      <c r="A1595" s="1003" t="s">
        <v>8576</v>
      </c>
      <c r="B1595" s="1003" t="s">
        <v>3296</v>
      </c>
      <c r="C1595" s="1199" t="s">
        <v>1615</v>
      </c>
      <c r="D1595" s="1199">
        <v>463.44</v>
      </c>
      <c r="E1595" s="1199">
        <f t="shared" si="24"/>
        <v>387.82</v>
      </c>
    </row>
    <row r="1596" spans="1:5">
      <c r="A1596" s="1003" t="s">
        <v>8577</v>
      </c>
      <c r="B1596" s="1003" t="s">
        <v>8578</v>
      </c>
      <c r="C1596" s="1199" t="s">
        <v>1615</v>
      </c>
      <c r="D1596" s="1199">
        <v>235.09</v>
      </c>
      <c r="E1596" s="1199">
        <f t="shared" si="24"/>
        <v>196.73</v>
      </c>
    </row>
    <row r="1597" spans="1:5">
      <c r="A1597" s="1003" t="s">
        <v>8579</v>
      </c>
      <c r="B1597" s="1003" t="s">
        <v>8580</v>
      </c>
      <c r="C1597" s="1199" t="s">
        <v>1615</v>
      </c>
      <c r="D1597" s="1199">
        <v>365.37</v>
      </c>
      <c r="E1597" s="1199">
        <f t="shared" si="24"/>
        <v>305.75</v>
      </c>
    </row>
    <row r="1598" spans="1:5">
      <c r="A1598" s="1003" t="s">
        <v>8581</v>
      </c>
      <c r="B1598" s="1003" t="s">
        <v>8582</v>
      </c>
      <c r="C1598" s="1199" t="s">
        <v>1615</v>
      </c>
      <c r="D1598" s="1199">
        <v>439.21</v>
      </c>
      <c r="E1598" s="1199">
        <f t="shared" si="24"/>
        <v>367.54</v>
      </c>
    </row>
    <row r="1599" spans="1:5">
      <c r="A1599" s="1003" t="s">
        <v>753</v>
      </c>
      <c r="B1599" s="1003" t="s">
        <v>8583</v>
      </c>
      <c r="C1599" s="1199" t="s">
        <v>1615</v>
      </c>
      <c r="D1599" s="1199">
        <v>386.31</v>
      </c>
      <c r="E1599" s="1199">
        <f t="shared" si="24"/>
        <v>323.27</v>
      </c>
    </row>
    <row r="1600" spans="1:5">
      <c r="A1600" s="1003" t="s">
        <v>755</v>
      </c>
      <c r="B1600" s="1003" t="s">
        <v>8584</v>
      </c>
      <c r="C1600" s="1199" t="s">
        <v>1615</v>
      </c>
      <c r="D1600" s="1199">
        <v>330.53</v>
      </c>
      <c r="E1600" s="1199">
        <f t="shared" si="24"/>
        <v>276.58999999999997</v>
      </c>
    </row>
    <row r="1601" spans="1:5">
      <c r="A1601" s="1003" t="s">
        <v>8585</v>
      </c>
      <c r="B1601" s="1003" t="s">
        <v>8586</v>
      </c>
      <c r="C1601" s="1199" t="s">
        <v>1615</v>
      </c>
      <c r="D1601" s="1199">
        <v>546.38</v>
      </c>
      <c r="E1601" s="1199">
        <f t="shared" si="24"/>
        <v>457.22</v>
      </c>
    </row>
    <row r="1602" spans="1:5">
      <c r="A1602" s="1003" t="s">
        <v>8587</v>
      </c>
      <c r="B1602" s="1003" t="s">
        <v>8588</v>
      </c>
      <c r="C1602" s="1199" t="s">
        <v>1615</v>
      </c>
      <c r="D1602" s="1199">
        <v>451.53</v>
      </c>
      <c r="E1602" s="1199">
        <f t="shared" si="24"/>
        <v>377.85</v>
      </c>
    </row>
    <row r="1603" spans="1:5">
      <c r="A1603" s="1003" t="s">
        <v>8589</v>
      </c>
      <c r="B1603" s="1003" t="s">
        <v>8590</v>
      </c>
      <c r="C1603" s="1199" t="s">
        <v>1615</v>
      </c>
      <c r="D1603" s="1199">
        <v>235.99</v>
      </c>
      <c r="E1603" s="1199">
        <f t="shared" si="24"/>
        <v>197.48</v>
      </c>
    </row>
    <row r="1604" spans="1:5">
      <c r="A1604" s="1003" t="s">
        <v>757</v>
      </c>
      <c r="B1604" s="1003" t="s">
        <v>8591</v>
      </c>
      <c r="C1604" s="1199" t="s">
        <v>1615</v>
      </c>
      <c r="D1604" s="1199">
        <v>325.17</v>
      </c>
      <c r="E1604" s="1199">
        <f t="shared" ref="E1604:E1667" si="25">ROUND(D1604/1.195,2)</f>
        <v>272.11</v>
      </c>
    </row>
    <row r="1605" spans="1:5">
      <c r="A1605" s="1003" t="s">
        <v>8592</v>
      </c>
      <c r="B1605" s="1204" t="s">
        <v>8593</v>
      </c>
      <c r="C1605" s="1199" t="s">
        <v>1615</v>
      </c>
      <c r="D1605" s="1199">
        <v>351.82</v>
      </c>
      <c r="E1605" s="1199">
        <f t="shared" si="25"/>
        <v>294.41000000000003</v>
      </c>
    </row>
    <row r="1606" spans="1:5">
      <c r="A1606" s="1003" t="s">
        <v>8594</v>
      </c>
      <c r="B1606" s="1003" t="s">
        <v>8595</v>
      </c>
      <c r="C1606" s="1199" t="s">
        <v>1615</v>
      </c>
      <c r="D1606" s="1199">
        <v>273.04000000000002</v>
      </c>
      <c r="E1606" s="1199">
        <f t="shared" si="25"/>
        <v>228.49</v>
      </c>
    </row>
    <row r="1607" spans="1:5">
      <c r="A1607" s="1003" t="s">
        <v>8596</v>
      </c>
      <c r="B1607" s="1003" t="s">
        <v>8597</v>
      </c>
      <c r="C1607" s="1199" t="s">
        <v>1615</v>
      </c>
      <c r="D1607" s="1199">
        <v>335.76</v>
      </c>
      <c r="E1607" s="1199">
        <f t="shared" si="25"/>
        <v>280.97000000000003</v>
      </c>
    </row>
    <row r="1608" spans="1:5">
      <c r="A1608" s="1003" t="s">
        <v>8598</v>
      </c>
      <c r="B1608" s="1003" t="s">
        <v>8599</v>
      </c>
      <c r="C1608" s="1199" t="s">
        <v>1615</v>
      </c>
      <c r="D1608" s="1199">
        <v>269.48</v>
      </c>
      <c r="E1608" s="1199">
        <f t="shared" si="25"/>
        <v>225.51</v>
      </c>
    </row>
    <row r="1609" spans="1:5">
      <c r="A1609" s="1003" t="s">
        <v>8600</v>
      </c>
      <c r="B1609" s="1003" t="s">
        <v>8601</v>
      </c>
      <c r="C1609" s="1199" t="s">
        <v>1615</v>
      </c>
      <c r="D1609" s="1199">
        <v>362.23</v>
      </c>
      <c r="E1609" s="1199">
        <f t="shared" si="25"/>
        <v>303.12</v>
      </c>
    </row>
    <row r="1610" spans="1:5">
      <c r="A1610" s="1003" t="s">
        <v>8602</v>
      </c>
      <c r="B1610" s="1003" t="s">
        <v>8603</v>
      </c>
      <c r="C1610" s="1199" t="s">
        <v>1615</v>
      </c>
      <c r="D1610" s="1199">
        <v>524.53</v>
      </c>
      <c r="E1610" s="1199">
        <f t="shared" si="25"/>
        <v>438.94</v>
      </c>
    </row>
    <row r="1611" spans="1:5">
      <c r="A1611" s="1003" t="s">
        <v>8604</v>
      </c>
      <c r="B1611" s="1003" t="s">
        <v>8605</v>
      </c>
      <c r="C1611" s="1199" t="s">
        <v>1615</v>
      </c>
      <c r="D1611" s="1199">
        <v>253.29</v>
      </c>
      <c r="E1611" s="1199">
        <f t="shared" si="25"/>
        <v>211.96</v>
      </c>
    </row>
    <row r="1612" spans="1:5">
      <c r="A1612" s="1003" t="s">
        <v>759</v>
      </c>
      <c r="B1612" s="1003" t="s">
        <v>8606</v>
      </c>
      <c r="C1612" s="1199" t="s">
        <v>1615</v>
      </c>
      <c r="D1612" s="1199">
        <v>322.82</v>
      </c>
      <c r="E1612" s="1199">
        <f t="shared" si="25"/>
        <v>270.14</v>
      </c>
    </row>
    <row r="1613" spans="1:5">
      <c r="A1613" s="1003" t="s">
        <v>8607</v>
      </c>
      <c r="B1613" s="1003" t="s">
        <v>8608</v>
      </c>
      <c r="C1613" s="1199" t="s">
        <v>1615</v>
      </c>
      <c r="D1613" s="1199">
        <v>430.41</v>
      </c>
      <c r="E1613" s="1199">
        <f t="shared" si="25"/>
        <v>360.18</v>
      </c>
    </row>
    <row r="1614" spans="1:5">
      <c r="A1614" s="1003" t="s">
        <v>8609</v>
      </c>
      <c r="B1614" s="1204" t="s">
        <v>8610</v>
      </c>
      <c r="C1614" s="1199" t="s">
        <v>1615</v>
      </c>
      <c r="D1614" s="1199">
        <v>1354.5</v>
      </c>
      <c r="E1614" s="1199">
        <f t="shared" si="25"/>
        <v>1133.47</v>
      </c>
    </row>
    <row r="1615" spans="1:5">
      <c r="A1615" s="1003" t="s">
        <v>8611</v>
      </c>
      <c r="B1615" s="1003" t="s">
        <v>8612</v>
      </c>
      <c r="C1615" s="1199" t="s">
        <v>1615</v>
      </c>
      <c r="D1615" s="1199">
        <v>360.39</v>
      </c>
      <c r="E1615" s="1199">
        <f t="shared" si="25"/>
        <v>301.58</v>
      </c>
    </row>
    <row r="1616" spans="1:5">
      <c r="A1616" s="1003" t="s">
        <v>8613</v>
      </c>
      <c r="B1616" s="1003" t="s">
        <v>8614</v>
      </c>
      <c r="C1616" s="1199" t="s">
        <v>1615</v>
      </c>
      <c r="D1616" s="1199">
        <v>421.94</v>
      </c>
      <c r="E1616" s="1199">
        <f t="shared" si="25"/>
        <v>353.09</v>
      </c>
    </row>
    <row r="1617" spans="1:5">
      <c r="A1617" s="1003" t="s">
        <v>8615</v>
      </c>
      <c r="B1617" s="1003" t="s">
        <v>8616</v>
      </c>
      <c r="C1617" s="1199" t="s">
        <v>1615</v>
      </c>
      <c r="D1617" s="1199">
        <v>317.06</v>
      </c>
      <c r="E1617" s="1199">
        <f t="shared" si="25"/>
        <v>265.32</v>
      </c>
    </row>
    <row r="1618" spans="1:5">
      <c r="A1618" s="1003" t="s">
        <v>8617</v>
      </c>
      <c r="B1618" s="1003" t="s">
        <v>8618</v>
      </c>
      <c r="C1618" s="1199" t="s">
        <v>1615</v>
      </c>
      <c r="D1618" s="1199">
        <v>365.58</v>
      </c>
      <c r="E1618" s="1199">
        <f t="shared" si="25"/>
        <v>305.92</v>
      </c>
    </row>
    <row r="1619" spans="1:5">
      <c r="A1619" s="1003" t="s">
        <v>8619</v>
      </c>
      <c r="B1619" s="1003" t="s">
        <v>8620</v>
      </c>
      <c r="C1619" s="1199" t="s">
        <v>1615</v>
      </c>
      <c r="D1619" s="1199">
        <v>413.39</v>
      </c>
      <c r="E1619" s="1199">
        <f t="shared" si="25"/>
        <v>345.93</v>
      </c>
    </row>
    <row r="1620" spans="1:5">
      <c r="A1620" s="1003" t="s">
        <v>8621</v>
      </c>
      <c r="B1620" s="1003" t="s">
        <v>8622</v>
      </c>
      <c r="C1620" s="1199" t="s">
        <v>1615</v>
      </c>
      <c r="D1620" s="1199">
        <v>482.92</v>
      </c>
      <c r="E1620" s="1199">
        <f t="shared" si="25"/>
        <v>404.12</v>
      </c>
    </row>
    <row r="1621" spans="1:5">
      <c r="A1621" s="1003" t="s">
        <v>761</v>
      </c>
      <c r="B1621" s="1204" t="s">
        <v>8623</v>
      </c>
      <c r="C1621" s="1199" t="s">
        <v>1615</v>
      </c>
      <c r="D1621" s="1199">
        <v>61.72</v>
      </c>
      <c r="E1621" s="1199">
        <f t="shared" si="25"/>
        <v>51.65</v>
      </c>
    </row>
    <row r="1622" spans="1:5">
      <c r="A1622" s="1003" t="s">
        <v>8624</v>
      </c>
      <c r="B1622" s="1204" t="s">
        <v>8625</v>
      </c>
      <c r="C1622" s="1199" t="s">
        <v>1615</v>
      </c>
      <c r="D1622" s="1199">
        <v>1907.46</v>
      </c>
      <c r="E1622" s="1199">
        <f t="shared" si="25"/>
        <v>1596.2</v>
      </c>
    </row>
    <row r="1623" spans="1:5">
      <c r="A1623" s="1003" t="s">
        <v>8626</v>
      </c>
      <c r="B1623" s="1204" t="s">
        <v>8627</v>
      </c>
      <c r="C1623" s="1199" t="s">
        <v>1615</v>
      </c>
      <c r="D1623" s="1199">
        <v>445.02</v>
      </c>
      <c r="E1623" s="1199">
        <f t="shared" si="25"/>
        <v>372.4</v>
      </c>
    </row>
    <row r="1624" spans="1:5" ht="27.6">
      <c r="A1624" s="1003" t="s">
        <v>1153</v>
      </c>
      <c r="B1624" s="1204" t="s">
        <v>8628</v>
      </c>
      <c r="C1624" s="1199" t="s">
        <v>1615</v>
      </c>
      <c r="D1624" s="1199">
        <v>1251.57</v>
      </c>
      <c r="E1624" s="1199">
        <f t="shared" si="25"/>
        <v>1047.3399999999999</v>
      </c>
    </row>
    <row r="1625" spans="1:5">
      <c r="A1625" s="1003" t="s">
        <v>8629</v>
      </c>
      <c r="B1625" s="1003" t="s">
        <v>3298</v>
      </c>
      <c r="C1625" s="1199" t="s">
        <v>1652</v>
      </c>
      <c r="D1625" s="1199">
        <v>637.01</v>
      </c>
      <c r="E1625" s="1199">
        <f t="shared" si="25"/>
        <v>533.05999999999995</v>
      </c>
    </row>
    <row r="1626" spans="1:5">
      <c r="A1626" s="1003" t="s">
        <v>8630</v>
      </c>
      <c r="B1626" s="1003" t="s">
        <v>8631</v>
      </c>
      <c r="C1626" s="1199" t="s">
        <v>1615</v>
      </c>
      <c r="D1626" s="1199">
        <v>194</v>
      </c>
      <c r="E1626" s="1199">
        <f t="shared" si="25"/>
        <v>162.34</v>
      </c>
    </row>
    <row r="1627" spans="1:5">
      <c r="A1627" s="1003" t="s">
        <v>766</v>
      </c>
      <c r="B1627" s="1003" t="s">
        <v>3300</v>
      </c>
      <c r="C1627" s="1199" t="s">
        <v>1615</v>
      </c>
      <c r="D1627" s="1199">
        <v>229.42</v>
      </c>
      <c r="E1627" s="1199">
        <f t="shared" si="25"/>
        <v>191.98</v>
      </c>
    </row>
    <row r="1628" spans="1:5">
      <c r="A1628" s="1003" t="s">
        <v>768</v>
      </c>
      <c r="B1628" s="1003" t="s">
        <v>3301</v>
      </c>
      <c r="C1628" s="1199" t="s">
        <v>1615</v>
      </c>
      <c r="D1628" s="1199">
        <v>228.25</v>
      </c>
      <c r="E1628" s="1199">
        <f t="shared" si="25"/>
        <v>191</v>
      </c>
    </row>
    <row r="1629" spans="1:5">
      <c r="A1629" s="1003" t="s">
        <v>8632</v>
      </c>
      <c r="B1629" s="1003" t="s">
        <v>8633</v>
      </c>
      <c r="C1629" s="1199" t="s">
        <v>1615</v>
      </c>
      <c r="D1629" s="1199">
        <v>202.29</v>
      </c>
      <c r="E1629" s="1199">
        <f t="shared" si="25"/>
        <v>169.28</v>
      </c>
    </row>
    <row r="1630" spans="1:5">
      <c r="A1630" s="1003" t="s">
        <v>8634</v>
      </c>
      <c r="B1630" s="1003" t="s">
        <v>3303</v>
      </c>
      <c r="C1630" s="1199" t="s">
        <v>1615</v>
      </c>
      <c r="D1630" s="1199">
        <v>249.04</v>
      </c>
      <c r="E1630" s="1199">
        <f t="shared" si="25"/>
        <v>208.4</v>
      </c>
    </row>
    <row r="1631" spans="1:5">
      <c r="A1631" s="1003" t="s">
        <v>8635</v>
      </c>
      <c r="B1631" s="1003" t="s">
        <v>8636</v>
      </c>
      <c r="C1631" s="1199" t="s">
        <v>1615</v>
      </c>
      <c r="D1631" s="1199">
        <v>367.5</v>
      </c>
      <c r="E1631" s="1199">
        <f t="shared" si="25"/>
        <v>307.52999999999997</v>
      </c>
    </row>
    <row r="1632" spans="1:5">
      <c r="A1632" s="1003" t="s">
        <v>8637</v>
      </c>
      <c r="B1632" s="1003" t="s">
        <v>3305</v>
      </c>
      <c r="C1632" s="1199" t="s">
        <v>1615</v>
      </c>
      <c r="D1632" s="1199">
        <v>369.66</v>
      </c>
      <c r="E1632" s="1199">
        <f t="shared" si="25"/>
        <v>309.33999999999997</v>
      </c>
    </row>
    <row r="1633" spans="1:5" ht="27.6">
      <c r="A1633" s="1003" t="s">
        <v>8638</v>
      </c>
      <c r="B1633" s="1003" t="s">
        <v>8639</v>
      </c>
      <c r="C1633" s="1199" t="s">
        <v>1615</v>
      </c>
      <c r="D1633" s="1199">
        <v>112.34</v>
      </c>
      <c r="E1633" s="1199">
        <f t="shared" si="25"/>
        <v>94.01</v>
      </c>
    </row>
    <row r="1634" spans="1:5">
      <c r="A1634" s="1003" t="s">
        <v>8640</v>
      </c>
      <c r="B1634" s="1003" t="s">
        <v>8641</v>
      </c>
      <c r="C1634" s="1205" t="s">
        <v>1615</v>
      </c>
      <c r="D1634" s="1199">
        <v>94.32</v>
      </c>
      <c r="E1634" s="1199">
        <f t="shared" si="25"/>
        <v>78.930000000000007</v>
      </c>
    </row>
    <row r="1635" spans="1:5">
      <c r="A1635" s="1003" t="s">
        <v>8642</v>
      </c>
      <c r="B1635" s="1003" t="s">
        <v>3306</v>
      </c>
      <c r="C1635" s="1199" t="s">
        <v>1652</v>
      </c>
      <c r="D1635" s="1199">
        <v>637.01</v>
      </c>
      <c r="E1635" s="1199">
        <f t="shared" si="25"/>
        <v>533.05999999999995</v>
      </c>
    </row>
    <row r="1636" spans="1:5">
      <c r="A1636" s="1206" t="s">
        <v>8643</v>
      </c>
      <c r="B1636" s="1204" t="s">
        <v>8644</v>
      </c>
      <c r="C1636" s="1207" t="s">
        <v>1615</v>
      </c>
      <c r="D1636" s="1199">
        <v>349.99</v>
      </c>
      <c r="E1636" s="1199">
        <f t="shared" si="25"/>
        <v>292.88</v>
      </c>
    </row>
    <row r="1637" spans="1:5">
      <c r="A1637" s="1206" t="s">
        <v>8645</v>
      </c>
      <c r="B1637" s="1204" t="s">
        <v>8646</v>
      </c>
      <c r="C1637" s="1208" t="s">
        <v>1615</v>
      </c>
      <c r="D1637" s="1209">
        <v>3284</v>
      </c>
      <c r="E1637" s="1209">
        <f t="shared" si="25"/>
        <v>2748.12</v>
      </c>
    </row>
    <row r="1638" spans="1:5">
      <c r="A1638" s="1003" t="s">
        <v>8647</v>
      </c>
      <c r="B1638" s="1204" t="s">
        <v>8648</v>
      </c>
      <c r="C1638" s="1209" t="s">
        <v>1615</v>
      </c>
      <c r="D1638" s="1209">
        <v>2681.59</v>
      </c>
      <c r="E1638" s="1209">
        <f t="shared" si="25"/>
        <v>2244.0100000000002</v>
      </c>
    </row>
    <row r="1639" spans="1:5">
      <c r="A1639" s="1003" t="s">
        <v>8649</v>
      </c>
      <c r="B1639" s="1003" t="s">
        <v>8650</v>
      </c>
      <c r="C1639" s="1199" t="s">
        <v>1615</v>
      </c>
      <c r="D1639" s="1199">
        <v>987.21</v>
      </c>
      <c r="E1639" s="1199">
        <f t="shared" si="25"/>
        <v>826.12</v>
      </c>
    </row>
    <row r="1640" spans="1:5">
      <c r="A1640" s="1003" t="s">
        <v>8651</v>
      </c>
      <c r="B1640" s="1204" t="s">
        <v>8652</v>
      </c>
      <c r="C1640" s="1209" t="s">
        <v>1615</v>
      </c>
      <c r="D1640" s="1209">
        <v>6555.38</v>
      </c>
      <c r="E1640" s="1209">
        <f t="shared" si="25"/>
        <v>5485.67</v>
      </c>
    </row>
    <row r="1641" spans="1:5">
      <c r="A1641" s="1003" t="s">
        <v>8653</v>
      </c>
      <c r="B1641" s="1204" t="s">
        <v>8654</v>
      </c>
      <c r="C1641" s="1209" t="s">
        <v>1615</v>
      </c>
      <c r="D1641" s="1209">
        <v>3535.47</v>
      </c>
      <c r="E1641" s="1209">
        <f t="shared" si="25"/>
        <v>2958.55</v>
      </c>
    </row>
    <row r="1642" spans="1:5">
      <c r="A1642" s="1003" t="s">
        <v>8655</v>
      </c>
      <c r="B1642" s="1204" t="s">
        <v>8656</v>
      </c>
      <c r="C1642" s="1209" t="s">
        <v>1615</v>
      </c>
      <c r="D1642" s="1209">
        <v>3303.86</v>
      </c>
      <c r="E1642" s="1209">
        <f t="shared" si="25"/>
        <v>2764.74</v>
      </c>
    </row>
    <row r="1643" spans="1:5">
      <c r="A1643" s="1003" t="s">
        <v>1160</v>
      </c>
      <c r="B1643" s="1204" t="s">
        <v>8657</v>
      </c>
      <c r="C1643" s="1209" t="s">
        <v>1615</v>
      </c>
      <c r="D1643" s="1209">
        <v>4028.69</v>
      </c>
      <c r="E1643" s="1209">
        <f t="shared" si="25"/>
        <v>3371.29</v>
      </c>
    </row>
    <row r="1644" spans="1:5">
      <c r="A1644" s="1003" t="s">
        <v>8658</v>
      </c>
      <c r="B1644" s="1003" t="s">
        <v>3316</v>
      </c>
      <c r="C1644" s="1199" t="s">
        <v>1615</v>
      </c>
      <c r="D1644" s="1199">
        <v>4312.21</v>
      </c>
      <c r="E1644" s="1199">
        <f t="shared" si="25"/>
        <v>3608.54</v>
      </c>
    </row>
    <row r="1645" spans="1:5">
      <c r="A1645" s="1003" t="s">
        <v>8659</v>
      </c>
      <c r="B1645" s="1003" t="s">
        <v>3317</v>
      </c>
      <c r="C1645" s="1199" t="s">
        <v>1615</v>
      </c>
      <c r="D1645" s="1199">
        <v>3019.15</v>
      </c>
      <c r="E1645" s="1199">
        <f t="shared" si="25"/>
        <v>2526.4899999999998</v>
      </c>
    </row>
    <row r="1646" spans="1:5">
      <c r="A1646" s="1003" t="s">
        <v>773</v>
      </c>
      <c r="B1646" s="1003" t="s">
        <v>8660</v>
      </c>
      <c r="C1646" s="1199" t="s">
        <v>1615</v>
      </c>
      <c r="D1646" s="1199">
        <v>398.36</v>
      </c>
      <c r="E1646" s="1199">
        <f t="shared" si="25"/>
        <v>333.36</v>
      </c>
    </row>
    <row r="1647" spans="1:5">
      <c r="A1647" s="1003" t="s">
        <v>8661</v>
      </c>
      <c r="B1647" s="1003" t="s">
        <v>8662</v>
      </c>
      <c r="C1647" s="1199" t="s">
        <v>1615</v>
      </c>
      <c r="D1647" s="1199">
        <v>238.69</v>
      </c>
      <c r="E1647" s="1199">
        <f t="shared" si="25"/>
        <v>199.74</v>
      </c>
    </row>
    <row r="1648" spans="1:5">
      <c r="A1648" s="1003" t="s">
        <v>8663</v>
      </c>
      <c r="B1648" s="1204" t="s">
        <v>8664</v>
      </c>
      <c r="C1648" s="1199" t="s">
        <v>1615</v>
      </c>
      <c r="D1648" s="1199">
        <v>264.25</v>
      </c>
      <c r="E1648" s="1199">
        <f t="shared" si="25"/>
        <v>221.13</v>
      </c>
    </row>
    <row r="1649" spans="1:5">
      <c r="A1649" s="1003" t="s">
        <v>1161</v>
      </c>
      <c r="B1649" s="1204" t="s">
        <v>8665</v>
      </c>
      <c r="C1649" s="1199" t="s">
        <v>1615</v>
      </c>
      <c r="D1649" s="1199">
        <v>809.05</v>
      </c>
      <c r="E1649" s="1199">
        <f t="shared" si="25"/>
        <v>677.03</v>
      </c>
    </row>
    <row r="1650" spans="1:5">
      <c r="A1650" s="1003" t="s">
        <v>8666</v>
      </c>
      <c r="B1650" s="1003" t="s">
        <v>8667</v>
      </c>
      <c r="C1650" s="1199" t="s">
        <v>1615</v>
      </c>
      <c r="D1650" s="1199">
        <v>2639.81</v>
      </c>
      <c r="E1650" s="1199">
        <f t="shared" si="25"/>
        <v>2209.0500000000002</v>
      </c>
    </row>
    <row r="1651" spans="1:5">
      <c r="A1651" s="1003" t="s">
        <v>775</v>
      </c>
      <c r="B1651" s="1003" t="s">
        <v>3321</v>
      </c>
      <c r="C1651" s="1199" t="s">
        <v>1615</v>
      </c>
      <c r="D1651" s="1199">
        <v>3507.23</v>
      </c>
      <c r="E1651" s="1199">
        <f t="shared" si="25"/>
        <v>2934.92</v>
      </c>
    </row>
    <row r="1652" spans="1:5">
      <c r="A1652" s="1003" t="s">
        <v>8668</v>
      </c>
      <c r="B1652" s="1003" t="s">
        <v>3322</v>
      </c>
      <c r="C1652" s="1199" t="s">
        <v>1615</v>
      </c>
      <c r="D1652" s="1199">
        <v>4358.8599999999997</v>
      </c>
      <c r="E1652" s="1199">
        <f t="shared" si="25"/>
        <v>3647.58</v>
      </c>
    </row>
    <row r="1653" spans="1:5">
      <c r="A1653" s="1003" t="s">
        <v>8669</v>
      </c>
      <c r="B1653" s="1003" t="s">
        <v>3298</v>
      </c>
      <c r="C1653" s="1199" t="s">
        <v>1652</v>
      </c>
      <c r="D1653" s="1199">
        <v>637.01</v>
      </c>
      <c r="E1653" s="1199">
        <f t="shared" si="25"/>
        <v>533.05999999999995</v>
      </c>
    </row>
    <row r="1654" spans="1:5">
      <c r="A1654" s="1003" t="s">
        <v>781</v>
      </c>
      <c r="B1654" s="1003" t="s">
        <v>2883</v>
      </c>
      <c r="C1654" s="1199" t="s">
        <v>1615</v>
      </c>
      <c r="D1654" s="1199">
        <v>1870.43</v>
      </c>
      <c r="E1654" s="1199">
        <f t="shared" si="25"/>
        <v>1565.21</v>
      </c>
    </row>
    <row r="1655" spans="1:5" ht="41.4">
      <c r="A1655" s="1003" t="s">
        <v>8670</v>
      </c>
      <c r="B1655" s="1003" t="s">
        <v>8671</v>
      </c>
      <c r="C1655" s="1199" t="s">
        <v>1615</v>
      </c>
      <c r="D1655" s="1199">
        <v>1024.3399999999999</v>
      </c>
      <c r="E1655" s="1199">
        <f t="shared" si="25"/>
        <v>857.19</v>
      </c>
    </row>
    <row r="1656" spans="1:5">
      <c r="A1656" s="1003" t="s">
        <v>8672</v>
      </c>
      <c r="B1656" s="1003" t="s">
        <v>3326</v>
      </c>
      <c r="C1656" s="1199" t="s">
        <v>1652</v>
      </c>
      <c r="D1656" s="1199">
        <v>637.01</v>
      </c>
      <c r="E1656" s="1199">
        <f t="shared" si="25"/>
        <v>533.05999999999995</v>
      </c>
    </row>
    <row r="1657" spans="1:5">
      <c r="A1657" s="1003" t="s">
        <v>786</v>
      </c>
      <c r="B1657" s="1003" t="s">
        <v>8673</v>
      </c>
      <c r="C1657" s="1199" t="s">
        <v>1615</v>
      </c>
      <c r="D1657" s="1199">
        <v>1152.06</v>
      </c>
      <c r="E1657" s="1199">
        <f t="shared" si="25"/>
        <v>964.07</v>
      </c>
    </row>
    <row r="1658" spans="1:5">
      <c r="A1658" s="1003" t="s">
        <v>8674</v>
      </c>
      <c r="B1658" s="1003" t="s">
        <v>8675</v>
      </c>
      <c r="C1658" s="1199" t="s">
        <v>1615</v>
      </c>
      <c r="D1658" s="1199">
        <v>1483.57</v>
      </c>
      <c r="E1658" s="1199">
        <f t="shared" si="25"/>
        <v>1241.48</v>
      </c>
    </row>
    <row r="1659" spans="1:5">
      <c r="A1659" s="1003" t="s">
        <v>8676</v>
      </c>
      <c r="B1659" s="1003" t="s">
        <v>3330</v>
      </c>
      <c r="C1659" s="1199" t="s">
        <v>1214</v>
      </c>
      <c r="D1659" s="1199">
        <v>40.25</v>
      </c>
      <c r="E1659" s="1199">
        <f t="shared" si="25"/>
        <v>33.68</v>
      </c>
    </row>
    <row r="1660" spans="1:5">
      <c r="A1660" s="1003" t="s">
        <v>8677</v>
      </c>
      <c r="B1660" s="1003" t="s">
        <v>3332</v>
      </c>
      <c r="C1660" s="1199" t="s">
        <v>1214</v>
      </c>
      <c r="D1660" s="1199">
        <v>30.06</v>
      </c>
      <c r="E1660" s="1199">
        <f t="shared" si="25"/>
        <v>25.15</v>
      </c>
    </row>
    <row r="1661" spans="1:5">
      <c r="A1661" s="1003" t="s">
        <v>788</v>
      </c>
      <c r="B1661" s="1003" t="s">
        <v>8678</v>
      </c>
      <c r="C1661" s="1199" t="s">
        <v>1214</v>
      </c>
      <c r="D1661" s="1199">
        <v>40.33</v>
      </c>
      <c r="E1661" s="1199">
        <f t="shared" si="25"/>
        <v>33.75</v>
      </c>
    </row>
    <row r="1662" spans="1:5">
      <c r="A1662" s="1003" t="s">
        <v>790</v>
      </c>
      <c r="B1662" s="1003" t="s">
        <v>8679</v>
      </c>
      <c r="C1662" s="1199" t="s">
        <v>1615</v>
      </c>
      <c r="D1662" s="1199">
        <v>421.22</v>
      </c>
      <c r="E1662" s="1199">
        <f t="shared" si="25"/>
        <v>352.49</v>
      </c>
    </row>
    <row r="1663" spans="1:5">
      <c r="A1663" s="1003" t="s">
        <v>8680</v>
      </c>
      <c r="B1663" s="1003" t="s">
        <v>8681</v>
      </c>
      <c r="C1663" s="1199" t="s">
        <v>1615</v>
      </c>
      <c r="D1663" s="1199">
        <v>339.73</v>
      </c>
      <c r="E1663" s="1199">
        <f t="shared" si="25"/>
        <v>284.29000000000002</v>
      </c>
    </row>
    <row r="1664" spans="1:5">
      <c r="A1664" s="1003" t="s">
        <v>8682</v>
      </c>
      <c r="B1664" s="1003" t="s">
        <v>8683</v>
      </c>
      <c r="C1664" s="1199" t="s">
        <v>1615</v>
      </c>
      <c r="D1664" s="1199">
        <v>84.71</v>
      </c>
      <c r="E1664" s="1199">
        <f t="shared" si="25"/>
        <v>70.89</v>
      </c>
    </row>
    <row r="1665" spans="1:5">
      <c r="A1665" s="1003" t="s">
        <v>792</v>
      </c>
      <c r="B1665" s="1003" t="s">
        <v>3341</v>
      </c>
      <c r="C1665" s="1199" t="s">
        <v>1615</v>
      </c>
      <c r="D1665" s="1199">
        <v>60.1</v>
      </c>
      <c r="E1665" s="1199">
        <f t="shared" si="25"/>
        <v>50.29</v>
      </c>
    </row>
    <row r="1666" spans="1:5">
      <c r="A1666" s="1003" t="s">
        <v>794</v>
      </c>
      <c r="B1666" s="1003" t="s">
        <v>3342</v>
      </c>
      <c r="C1666" s="1199" t="s">
        <v>1615</v>
      </c>
      <c r="D1666" s="1199">
        <v>60.33</v>
      </c>
      <c r="E1666" s="1199">
        <f t="shared" si="25"/>
        <v>50.49</v>
      </c>
    </row>
    <row r="1667" spans="1:5">
      <c r="A1667" s="1003" t="s">
        <v>796</v>
      </c>
      <c r="B1667" s="1003" t="s">
        <v>3343</v>
      </c>
      <c r="C1667" s="1199" t="s">
        <v>1615</v>
      </c>
      <c r="D1667" s="1199">
        <v>46.25</v>
      </c>
      <c r="E1667" s="1199">
        <f t="shared" si="25"/>
        <v>38.700000000000003</v>
      </c>
    </row>
    <row r="1668" spans="1:5" ht="27.6">
      <c r="A1668" s="1003" t="s">
        <v>8684</v>
      </c>
      <c r="B1668" s="1003" t="s">
        <v>8685</v>
      </c>
      <c r="C1668" s="1199" t="s">
        <v>1615</v>
      </c>
      <c r="D1668" s="1199">
        <v>3220.48</v>
      </c>
      <c r="E1668" s="1199">
        <f t="shared" ref="E1668:E1731" si="26">ROUND(D1668/1.195,2)</f>
        <v>2694.96</v>
      </c>
    </row>
    <row r="1669" spans="1:5">
      <c r="A1669" s="1003" t="s">
        <v>798</v>
      </c>
      <c r="B1669" s="1003" t="s">
        <v>8686</v>
      </c>
      <c r="C1669" s="1199" t="s">
        <v>1615</v>
      </c>
      <c r="D1669" s="1199">
        <v>111.46</v>
      </c>
      <c r="E1669" s="1199">
        <f t="shared" si="26"/>
        <v>93.27</v>
      </c>
    </row>
    <row r="1670" spans="1:5">
      <c r="A1670" s="1003" t="s">
        <v>800</v>
      </c>
      <c r="B1670" s="1003" t="s">
        <v>8687</v>
      </c>
      <c r="C1670" s="1199" t="s">
        <v>1214</v>
      </c>
      <c r="D1670" s="1199">
        <v>42.5</v>
      </c>
      <c r="E1670" s="1199">
        <f t="shared" si="26"/>
        <v>35.56</v>
      </c>
    </row>
    <row r="1671" spans="1:5">
      <c r="A1671" s="1003" t="s">
        <v>8688</v>
      </c>
      <c r="B1671" s="1003" t="s">
        <v>3344</v>
      </c>
      <c r="C1671" s="1199" t="s">
        <v>1652</v>
      </c>
      <c r="D1671" s="1199">
        <v>637.01</v>
      </c>
      <c r="E1671" s="1199">
        <f t="shared" si="26"/>
        <v>533.05999999999995</v>
      </c>
    </row>
    <row r="1672" spans="1:5">
      <c r="A1672" s="1003" t="s">
        <v>8689</v>
      </c>
      <c r="B1672" s="1003" t="s">
        <v>3346</v>
      </c>
      <c r="C1672" s="1199" t="s">
        <v>6639</v>
      </c>
      <c r="D1672" s="1199">
        <v>0.73</v>
      </c>
      <c r="E1672" s="1199">
        <f t="shared" si="26"/>
        <v>0.61</v>
      </c>
    </row>
    <row r="1673" spans="1:5">
      <c r="A1673" s="1003" t="s">
        <v>8690</v>
      </c>
      <c r="B1673" s="1003" t="s">
        <v>3348</v>
      </c>
      <c r="C1673" s="1199" t="s">
        <v>1615</v>
      </c>
      <c r="D1673" s="1199">
        <v>6.11</v>
      </c>
      <c r="E1673" s="1199">
        <f t="shared" si="26"/>
        <v>5.1100000000000003</v>
      </c>
    </row>
    <row r="1674" spans="1:5">
      <c r="A1674" s="1003" t="s">
        <v>8691</v>
      </c>
      <c r="B1674" s="1003" t="s">
        <v>3349</v>
      </c>
      <c r="C1674" s="1199" t="s">
        <v>1615</v>
      </c>
      <c r="D1674" s="1199">
        <v>16.3</v>
      </c>
      <c r="E1674" s="1199">
        <f t="shared" si="26"/>
        <v>13.64</v>
      </c>
    </row>
    <row r="1675" spans="1:5">
      <c r="A1675" s="1003" t="s">
        <v>8692</v>
      </c>
      <c r="B1675" s="1003" t="s">
        <v>3350</v>
      </c>
      <c r="C1675" s="1199" t="s">
        <v>1615</v>
      </c>
      <c r="D1675" s="1199">
        <v>12.23</v>
      </c>
      <c r="E1675" s="1199">
        <f t="shared" si="26"/>
        <v>10.23</v>
      </c>
    </row>
    <row r="1676" spans="1:5">
      <c r="A1676" s="1003" t="s">
        <v>8693</v>
      </c>
      <c r="B1676" s="1003" t="s">
        <v>3351</v>
      </c>
      <c r="C1676" s="1199" t="s">
        <v>1214</v>
      </c>
      <c r="D1676" s="1199">
        <v>10.19</v>
      </c>
      <c r="E1676" s="1199">
        <f t="shared" si="26"/>
        <v>8.5299999999999994</v>
      </c>
    </row>
    <row r="1677" spans="1:5">
      <c r="A1677" s="1003" t="s">
        <v>8694</v>
      </c>
      <c r="B1677" s="1003" t="s">
        <v>3352</v>
      </c>
      <c r="C1677" s="1199" t="s">
        <v>1615</v>
      </c>
      <c r="D1677" s="1199">
        <v>1.83</v>
      </c>
      <c r="E1677" s="1199">
        <f t="shared" si="26"/>
        <v>1.53</v>
      </c>
    </row>
    <row r="1678" spans="1:5">
      <c r="A1678" s="1003" t="s">
        <v>8695</v>
      </c>
      <c r="B1678" s="1003" t="s">
        <v>3353</v>
      </c>
      <c r="C1678" s="1199" t="s">
        <v>1615</v>
      </c>
      <c r="D1678" s="1199">
        <v>10.19</v>
      </c>
      <c r="E1678" s="1199">
        <f t="shared" si="26"/>
        <v>8.5299999999999994</v>
      </c>
    </row>
    <row r="1679" spans="1:5">
      <c r="A1679" s="1003" t="s">
        <v>8696</v>
      </c>
      <c r="B1679" s="1003" t="s">
        <v>3354</v>
      </c>
      <c r="C1679" s="1199" t="s">
        <v>1214</v>
      </c>
      <c r="D1679" s="1199">
        <v>8.15</v>
      </c>
      <c r="E1679" s="1199">
        <f t="shared" si="26"/>
        <v>6.82</v>
      </c>
    </row>
    <row r="1680" spans="1:5">
      <c r="A1680" s="1003" t="s">
        <v>8697</v>
      </c>
      <c r="B1680" s="1003" t="s">
        <v>3355</v>
      </c>
      <c r="C1680" s="1199" t="s">
        <v>1615</v>
      </c>
      <c r="D1680" s="1199">
        <v>88.75</v>
      </c>
      <c r="E1680" s="1199">
        <f t="shared" si="26"/>
        <v>74.27</v>
      </c>
    </row>
    <row r="1681" spans="1:5">
      <c r="A1681" s="1003" t="s">
        <v>8698</v>
      </c>
      <c r="B1681" s="1003" t="s">
        <v>3356</v>
      </c>
      <c r="C1681" s="1199" t="s">
        <v>1615</v>
      </c>
      <c r="D1681" s="1199">
        <v>59.16</v>
      </c>
      <c r="E1681" s="1199">
        <f t="shared" si="26"/>
        <v>49.51</v>
      </c>
    </row>
    <row r="1682" spans="1:5">
      <c r="A1682" s="1003" t="s">
        <v>8699</v>
      </c>
      <c r="B1682" s="1003" t="s">
        <v>3357</v>
      </c>
      <c r="C1682" s="1199" t="s">
        <v>1214</v>
      </c>
      <c r="D1682" s="1199">
        <v>29.58</v>
      </c>
      <c r="E1682" s="1199">
        <f t="shared" si="26"/>
        <v>24.75</v>
      </c>
    </row>
    <row r="1683" spans="1:5">
      <c r="A1683" s="1003" t="s">
        <v>8700</v>
      </c>
      <c r="B1683" s="1003" t="s">
        <v>3358</v>
      </c>
      <c r="C1683" s="1199" t="s">
        <v>1615</v>
      </c>
      <c r="D1683" s="1199">
        <v>118.33</v>
      </c>
      <c r="E1683" s="1199">
        <f t="shared" si="26"/>
        <v>99.02</v>
      </c>
    </row>
    <row r="1684" spans="1:5">
      <c r="A1684" s="1003" t="s">
        <v>8701</v>
      </c>
      <c r="B1684" s="1003" t="s">
        <v>3359</v>
      </c>
      <c r="C1684" s="1199" t="s">
        <v>1615</v>
      </c>
      <c r="D1684" s="1199">
        <v>26.5</v>
      </c>
      <c r="E1684" s="1199">
        <f t="shared" si="26"/>
        <v>22.18</v>
      </c>
    </row>
    <row r="1685" spans="1:5">
      <c r="A1685" s="1003" t="s">
        <v>8702</v>
      </c>
      <c r="B1685" s="1003" t="s">
        <v>3360</v>
      </c>
      <c r="C1685" s="1199" t="s">
        <v>1615</v>
      </c>
      <c r="D1685" s="1199">
        <v>148.38</v>
      </c>
      <c r="E1685" s="1199">
        <f t="shared" si="26"/>
        <v>124.17</v>
      </c>
    </row>
    <row r="1686" spans="1:5">
      <c r="A1686" s="1003" t="s">
        <v>8703</v>
      </c>
      <c r="B1686" s="1003" t="s">
        <v>3361</v>
      </c>
      <c r="C1686" s="1199" t="s">
        <v>1615</v>
      </c>
      <c r="D1686" s="1199">
        <v>20.38</v>
      </c>
      <c r="E1686" s="1199">
        <f t="shared" si="26"/>
        <v>17.05</v>
      </c>
    </row>
    <row r="1687" spans="1:5">
      <c r="A1687" s="1003" t="s">
        <v>8704</v>
      </c>
      <c r="B1687" s="1003" t="s">
        <v>8705</v>
      </c>
      <c r="C1687" s="1199" t="s">
        <v>1615</v>
      </c>
      <c r="D1687" s="1199">
        <v>29.58</v>
      </c>
      <c r="E1687" s="1199">
        <f t="shared" si="26"/>
        <v>24.75</v>
      </c>
    </row>
    <row r="1688" spans="1:5">
      <c r="A1688" s="1003" t="s">
        <v>8706</v>
      </c>
      <c r="B1688" s="1003" t="s">
        <v>3363</v>
      </c>
      <c r="C1688" s="1199" t="s">
        <v>1615</v>
      </c>
      <c r="D1688" s="1199">
        <v>17.89</v>
      </c>
      <c r="E1688" s="1199">
        <f t="shared" si="26"/>
        <v>14.97</v>
      </c>
    </row>
    <row r="1689" spans="1:5">
      <c r="A1689" s="1003" t="s">
        <v>8707</v>
      </c>
      <c r="B1689" s="1003" t="s">
        <v>3364</v>
      </c>
      <c r="C1689" s="1199" t="s">
        <v>1615</v>
      </c>
      <c r="D1689" s="1199">
        <v>266.72000000000003</v>
      </c>
      <c r="E1689" s="1199">
        <f t="shared" si="26"/>
        <v>223.2</v>
      </c>
    </row>
    <row r="1690" spans="1:5">
      <c r="A1690" s="1003" t="s">
        <v>8708</v>
      </c>
      <c r="B1690" s="1003" t="s">
        <v>3365</v>
      </c>
      <c r="C1690" s="1199" t="s">
        <v>1615</v>
      </c>
      <c r="D1690" s="1199">
        <v>296.3</v>
      </c>
      <c r="E1690" s="1199">
        <f t="shared" si="26"/>
        <v>247.95</v>
      </c>
    </row>
    <row r="1691" spans="1:5">
      <c r="A1691" s="1003" t="s">
        <v>8709</v>
      </c>
      <c r="B1691" s="1003" t="s">
        <v>8710</v>
      </c>
      <c r="C1691" s="1199" t="s">
        <v>1615</v>
      </c>
      <c r="D1691" s="1199">
        <v>203.84</v>
      </c>
      <c r="E1691" s="1199">
        <f t="shared" si="26"/>
        <v>170.58</v>
      </c>
    </row>
    <row r="1692" spans="1:5">
      <c r="A1692" s="1003" t="s">
        <v>8711</v>
      </c>
      <c r="B1692" s="1003" t="s">
        <v>3367</v>
      </c>
      <c r="C1692" s="1199" t="s">
        <v>1615</v>
      </c>
      <c r="D1692" s="1199">
        <v>81.53</v>
      </c>
      <c r="E1692" s="1199">
        <f t="shared" si="26"/>
        <v>68.23</v>
      </c>
    </row>
    <row r="1693" spans="1:5">
      <c r="A1693" s="1003" t="s">
        <v>8712</v>
      </c>
      <c r="B1693" s="1003" t="s">
        <v>3368</v>
      </c>
      <c r="C1693" s="1199" t="s">
        <v>1615</v>
      </c>
      <c r="D1693" s="1199">
        <v>61.15</v>
      </c>
      <c r="E1693" s="1199">
        <f t="shared" si="26"/>
        <v>51.17</v>
      </c>
    </row>
    <row r="1694" spans="1:5">
      <c r="A1694" s="1003" t="s">
        <v>8713</v>
      </c>
      <c r="B1694" s="1003" t="s">
        <v>3369</v>
      </c>
      <c r="C1694" s="1199" t="s">
        <v>1615</v>
      </c>
      <c r="D1694" s="1199">
        <v>88.75</v>
      </c>
      <c r="E1694" s="1199">
        <f t="shared" si="26"/>
        <v>74.27</v>
      </c>
    </row>
    <row r="1695" spans="1:5">
      <c r="A1695" s="1003" t="s">
        <v>8714</v>
      </c>
      <c r="B1695" s="1003" t="s">
        <v>3370</v>
      </c>
      <c r="C1695" s="1199" t="s">
        <v>1615</v>
      </c>
      <c r="D1695" s="1199">
        <v>18.39</v>
      </c>
      <c r="E1695" s="1199">
        <f t="shared" si="26"/>
        <v>15.39</v>
      </c>
    </row>
    <row r="1696" spans="1:5">
      <c r="A1696" s="1003" t="s">
        <v>8715</v>
      </c>
      <c r="B1696" s="1003" t="s">
        <v>3371</v>
      </c>
      <c r="C1696" s="1199" t="s">
        <v>1615</v>
      </c>
      <c r="D1696" s="1199">
        <v>61.15</v>
      </c>
      <c r="E1696" s="1199">
        <f t="shared" si="26"/>
        <v>51.17</v>
      </c>
    </row>
    <row r="1697" spans="1:5">
      <c r="A1697" s="1003" t="s">
        <v>8716</v>
      </c>
      <c r="B1697" s="1003" t="s">
        <v>3372</v>
      </c>
      <c r="C1697" s="1199" t="s">
        <v>1615</v>
      </c>
      <c r="D1697" s="1199">
        <v>29.43</v>
      </c>
      <c r="E1697" s="1199">
        <f t="shared" si="26"/>
        <v>24.63</v>
      </c>
    </row>
    <row r="1698" spans="1:5">
      <c r="A1698" s="1003" t="s">
        <v>8717</v>
      </c>
      <c r="B1698" s="1003" t="s">
        <v>3373</v>
      </c>
      <c r="C1698" s="1199" t="s">
        <v>1615</v>
      </c>
      <c r="D1698" s="1199">
        <v>9.19</v>
      </c>
      <c r="E1698" s="1199">
        <f t="shared" si="26"/>
        <v>7.69</v>
      </c>
    </row>
    <row r="1699" spans="1:5">
      <c r="A1699" s="1003" t="s">
        <v>8718</v>
      </c>
      <c r="B1699" s="1003" t="s">
        <v>3374</v>
      </c>
      <c r="C1699" s="1199" t="s">
        <v>1615</v>
      </c>
      <c r="D1699" s="1199">
        <v>47.98</v>
      </c>
      <c r="E1699" s="1199">
        <f t="shared" si="26"/>
        <v>40.15</v>
      </c>
    </row>
    <row r="1700" spans="1:5">
      <c r="A1700" s="1003" t="s">
        <v>8719</v>
      </c>
      <c r="B1700" s="1003" t="s">
        <v>3375</v>
      </c>
      <c r="C1700" s="1199" t="s">
        <v>1652</v>
      </c>
      <c r="D1700" s="1199">
        <v>637.01</v>
      </c>
      <c r="E1700" s="1199">
        <f t="shared" si="26"/>
        <v>533.05999999999995</v>
      </c>
    </row>
    <row r="1701" spans="1:5">
      <c r="A1701" s="1003" t="s">
        <v>8720</v>
      </c>
      <c r="B1701" s="1003" t="s">
        <v>3377</v>
      </c>
      <c r="C1701" s="1199" t="s">
        <v>1615</v>
      </c>
      <c r="D1701" s="1199">
        <v>163.07</v>
      </c>
      <c r="E1701" s="1199">
        <f t="shared" si="26"/>
        <v>136.46</v>
      </c>
    </row>
    <row r="1702" spans="1:5">
      <c r="A1702" s="1003" t="s">
        <v>8721</v>
      </c>
      <c r="B1702" s="1003" t="s">
        <v>3378</v>
      </c>
      <c r="C1702" s="1199" t="s">
        <v>1615</v>
      </c>
      <c r="D1702" s="1199">
        <v>203.84</v>
      </c>
      <c r="E1702" s="1199">
        <f t="shared" si="26"/>
        <v>170.58</v>
      </c>
    </row>
    <row r="1703" spans="1:5">
      <c r="A1703" s="1003" t="s">
        <v>8722</v>
      </c>
      <c r="B1703" s="1003" t="s">
        <v>3379</v>
      </c>
      <c r="C1703" s="1199" t="s">
        <v>1615</v>
      </c>
      <c r="D1703" s="1199">
        <v>20.38</v>
      </c>
      <c r="E1703" s="1199">
        <f t="shared" si="26"/>
        <v>17.05</v>
      </c>
    </row>
    <row r="1704" spans="1:5">
      <c r="A1704" s="1003" t="s">
        <v>8723</v>
      </c>
      <c r="B1704" s="1003" t="s">
        <v>8724</v>
      </c>
      <c r="C1704" s="1199" t="s">
        <v>1615</v>
      </c>
      <c r="D1704" s="1199">
        <v>10.19</v>
      </c>
      <c r="E1704" s="1199">
        <f t="shared" si="26"/>
        <v>8.5299999999999994</v>
      </c>
    </row>
    <row r="1705" spans="1:5">
      <c r="A1705" s="1003" t="s">
        <v>8725</v>
      </c>
      <c r="B1705" s="1003" t="s">
        <v>8726</v>
      </c>
      <c r="C1705" s="1199" t="s">
        <v>1615</v>
      </c>
      <c r="D1705" s="1199">
        <v>81.53</v>
      </c>
      <c r="E1705" s="1199">
        <f t="shared" si="26"/>
        <v>68.23</v>
      </c>
    </row>
    <row r="1706" spans="1:5">
      <c r="A1706" s="1003" t="s">
        <v>8727</v>
      </c>
      <c r="B1706" s="1003" t="s">
        <v>3382</v>
      </c>
      <c r="C1706" s="1199" t="s">
        <v>1214</v>
      </c>
      <c r="D1706" s="1199">
        <v>10.19</v>
      </c>
      <c r="E1706" s="1199">
        <f t="shared" si="26"/>
        <v>8.5299999999999994</v>
      </c>
    </row>
    <row r="1707" spans="1:5">
      <c r="A1707" s="1003" t="s">
        <v>8728</v>
      </c>
      <c r="B1707" s="1003" t="s">
        <v>3383</v>
      </c>
      <c r="C1707" s="1199" t="s">
        <v>1214</v>
      </c>
      <c r="D1707" s="1199">
        <v>20.38</v>
      </c>
      <c r="E1707" s="1199">
        <f t="shared" si="26"/>
        <v>17.05</v>
      </c>
    </row>
    <row r="1708" spans="1:5">
      <c r="A1708" s="1003" t="s">
        <v>8729</v>
      </c>
      <c r="B1708" s="1003" t="s">
        <v>3384</v>
      </c>
      <c r="C1708" s="1199" t="s">
        <v>1214</v>
      </c>
      <c r="D1708" s="1199">
        <v>5.09</v>
      </c>
      <c r="E1708" s="1199">
        <f t="shared" si="26"/>
        <v>4.26</v>
      </c>
    </row>
    <row r="1709" spans="1:5">
      <c r="A1709" s="1003" t="s">
        <v>8730</v>
      </c>
      <c r="B1709" s="1003" t="s">
        <v>3385</v>
      </c>
      <c r="C1709" s="1199" t="s">
        <v>1214</v>
      </c>
      <c r="D1709" s="1199">
        <v>10.19</v>
      </c>
      <c r="E1709" s="1199">
        <f t="shared" si="26"/>
        <v>8.5299999999999994</v>
      </c>
    </row>
    <row r="1710" spans="1:5">
      <c r="A1710" s="1003" t="s">
        <v>8731</v>
      </c>
      <c r="B1710" s="1003" t="s">
        <v>3386</v>
      </c>
      <c r="C1710" s="1199" t="s">
        <v>1615</v>
      </c>
      <c r="D1710" s="1199">
        <v>20.38</v>
      </c>
      <c r="E1710" s="1199">
        <f t="shared" si="26"/>
        <v>17.05</v>
      </c>
    </row>
    <row r="1711" spans="1:5">
      <c r="A1711" s="1003" t="s">
        <v>8732</v>
      </c>
      <c r="B1711" s="1003" t="s">
        <v>3387</v>
      </c>
      <c r="C1711" s="1199" t="s">
        <v>1615</v>
      </c>
      <c r="D1711" s="1199">
        <v>40.76</v>
      </c>
      <c r="E1711" s="1199">
        <f t="shared" si="26"/>
        <v>34.11</v>
      </c>
    </row>
    <row r="1712" spans="1:5">
      <c r="A1712" s="1003" t="s">
        <v>8733</v>
      </c>
      <c r="B1712" s="1003" t="s">
        <v>3388</v>
      </c>
      <c r="C1712" s="1199" t="s">
        <v>1214</v>
      </c>
      <c r="D1712" s="1199">
        <v>1.01</v>
      </c>
      <c r="E1712" s="1199">
        <f t="shared" si="26"/>
        <v>0.85</v>
      </c>
    </row>
    <row r="1713" spans="1:5">
      <c r="A1713" s="1003" t="s">
        <v>8734</v>
      </c>
      <c r="B1713" s="1003" t="s">
        <v>3389</v>
      </c>
      <c r="C1713" s="1199" t="s">
        <v>1214</v>
      </c>
      <c r="D1713" s="1199">
        <v>2.0299999999999998</v>
      </c>
      <c r="E1713" s="1199">
        <f t="shared" si="26"/>
        <v>1.7</v>
      </c>
    </row>
    <row r="1714" spans="1:5">
      <c r="A1714" s="1003" t="s">
        <v>8735</v>
      </c>
      <c r="B1714" s="1003" t="s">
        <v>3390</v>
      </c>
      <c r="C1714" s="1199" t="s">
        <v>1214</v>
      </c>
      <c r="D1714" s="1199">
        <v>1.22</v>
      </c>
      <c r="E1714" s="1199">
        <f t="shared" si="26"/>
        <v>1.02</v>
      </c>
    </row>
    <row r="1715" spans="1:5">
      <c r="A1715" s="1003" t="s">
        <v>8736</v>
      </c>
      <c r="B1715" s="1003" t="s">
        <v>3391</v>
      </c>
      <c r="C1715" s="1199" t="s">
        <v>1214</v>
      </c>
      <c r="D1715" s="1199">
        <v>2.44</v>
      </c>
      <c r="E1715" s="1199">
        <f t="shared" si="26"/>
        <v>2.04</v>
      </c>
    </row>
    <row r="1716" spans="1:5">
      <c r="A1716" s="1003" t="s">
        <v>8737</v>
      </c>
      <c r="B1716" s="1003" t="s">
        <v>3392</v>
      </c>
      <c r="C1716" s="1199" t="s">
        <v>1615</v>
      </c>
      <c r="D1716" s="1199">
        <v>8.15</v>
      </c>
      <c r="E1716" s="1199">
        <f t="shared" si="26"/>
        <v>6.82</v>
      </c>
    </row>
    <row r="1717" spans="1:5">
      <c r="A1717" s="1003" t="s">
        <v>8738</v>
      </c>
      <c r="B1717" s="1003" t="s">
        <v>3393</v>
      </c>
      <c r="C1717" s="1199" t="s">
        <v>1615</v>
      </c>
      <c r="D1717" s="1199">
        <v>20.38</v>
      </c>
      <c r="E1717" s="1199">
        <f t="shared" si="26"/>
        <v>17.05</v>
      </c>
    </row>
    <row r="1718" spans="1:5">
      <c r="A1718" s="1003" t="s">
        <v>8739</v>
      </c>
      <c r="B1718" s="1003" t="s">
        <v>3394</v>
      </c>
      <c r="C1718" s="1199" t="s">
        <v>1240</v>
      </c>
      <c r="D1718" s="1199">
        <v>40.76</v>
      </c>
      <c r="E1718" s="1199">
        <f t="shared" si="26"/>
        <v>34.11</v>
      </c>
    </row>
    <row r="1719" spans="1:5">
      <c r="A1719" s="1003" t="s">
        <v>8740</v>
      </c>
      <c r="B1719" s="1003" t="s">
        <v>3395</v>
      </c>
      <c r="C1719" s="1199" t="s">
        <v>1615</v>
      </c>
      <c r="D1719" s="1199">
        <v>8.15</v>
      </c>
      <c r="E1719" s="1199">
        <f t="shared" si="26"/>
        <v>6.82</v>
      </c>
    </row>
    <row r="1720" spans="1:5">
      <c r="A1720" s="1003" t="s">
        <v>8741</v>
      </c>
      <c r="B1720" s="1003" t="s">
        <v>3396</v>
      </c>
      <c r="C1720" s="1199" t="s">
        <v>1615</v>
      </c>
      <c r="D1720" s="1199">
        <v>20.38</v>
      </c>
      <c r="E1720" s="1199">
        <f t="shared" si="26"/>
        <v>17.05</v>
      </c>
    </row>
    <row r="1721" spans="1:5">
      <c r="A1721" s="1003" t="s">
        <v>8742</v>
      </c>
      <c r="B1721" s="1003" t="s">
        <v>8743</v>
      </c>
      <c r="C1721" s="1199" t="s">
        <v>1615</v>
      </c>
      <c r="D1721" s="1199">
        <v>5.09</v>
      </c>
      <c r="E1721" s="1199">
        <f t="shared" si="26"/>
        <v>4.26</v>
      </c>
    </row>
    <row r="1722" spans="1:5">
      <c r="A1722" s="1003" t="s">
        <v>8744</v>
      </c>
      <c r="B1722" s="1003" t="s">
        <v>3398</v>
      </c>
      <c r="C1722" s="1199" t="s">
        <v>1615</v>
      </c>
      <c r="D1722" s="1199">
        <v>20.38</v>
      </c>
      <c r="E1722" s="1199">
        <f t="shared" si="26"/>
        <v>17.05</v>
      </c>
    </row>
    <row r="1723" spans="1:5">
      <c r="A1723" s="1003" t="s">
        <v>8745</v>
      </c>
      <c r="B1723" s="1003" t="s">
        <v>3399</v>
      </c>
      <c r="C1723" s="1199" t="s">
        <v>1615</v>
      </c>
      <c r="D1723" s="1199">
        <v>30.57</v>
      </c>
      <c r="E1723" s="1199">
        <f t="shared" si="26"/>
        <v>25.58</v>
      </c>
    </row>
    <row r="1724" spans="1:5">
      <c r="A1724" s="1003" t="s">
        <v>8746</v>
      </c>
      <c r="B1724" s="1003" t="s">
        <v>3400</v>
      </c>
      <c r="C1724" s="1199" t="s">
        <v>1615</v>
      </c>
      <c r="D1724" s="1199">
        <v>40.76</v>
      </c>
      <c r="E1724" s="1199">
        <f t="shared" si="26"/>
        <v>34.11</v>
      </c>
    </row>
    <row r="1725" spans="1:5">
      <c r="A1725" s="1003" t="s">
        <v>8747</v>
      </c>
      <c r="B1725" s="1003" t="s">
        <v>3401</v>
      </c>
      <c r="C1725" s="1199" t="s">
        <v>1214</v>
      </c>
      <c r="D1725" s="1199">
        <v>20.38</v>
      </c>
      <c r="E1725" s="1199">
        <f t="shared" si="26"/>
        <v>17.05</v>
      </c>
    </row>
    <row r="1726" spans="1:5">
      <c r="A1726" s="1003" t="s">
        <v>8748</v>
      </c>
      <c r="B1726" s="1003" t="s">
        <v>3402</v>
      </c>
      <c r="C1726" s="1199" t="s">
        <v>1652</v>
      </c>
      <c r="D1726" s="1199">
        <v>637.01</v>
      </c>
      <c r="E1726" s="1199">
        <f t="shared" si="26"/>
        <v>533.05999999999995</v>
      </c>
    </row>
    <row r="1727" spans="1:5">
      <c r="A1727" s="1003" t="s">
        <v>8749</v>
      </c>
      <c r="B1727" s="1003" t="s">
        <v>3404</v>
      </c>
      <c r="C1727" s="1199" t="s">
        <v>1615</v>
      </c>
      <c r="D1727" s="1199">
        <v>16.3</v>
      </c>
      <c r="E1727" s="1199">
        <f t="shared" si="26"/>
        <v>13.64</v>
      </c>
    </row>
    <row r="1728" spans="1:5">
      <c r="A1728" s="1003" t="s">
        <v>8750</v>
      </c>
      <c r="B1728" s="1003" t="s">
        <v>3405</v>
      </c>
      <c r="C1728" s="1199" t="s">
        <v>1615</v>
      </c>
      <c r="D1728" s="1199">
        <v>24.46</v>
      </c>
      <c r="E1728" s="1199">
        <f t="shared" si="26"/>
        <v>20.47</v>
      </c>
    </row>
    <row r="1729" spans="1:5">
      <c r="A1729" s="1003" t="s">
        <v>8751</v>
      </c>
      <c r="B1729" s="1003" t="s">
        <v>3406</v>
      </c>
      <c r="C1729" s="1199" t="s">
        <v>1615</v>
      </c>
      <c r="D1729" s="1199">
        <v>40.76</v>
      </c>
      <c r="E1729" s="1199">
        <f t="shared" si="26"/>
        <v>34.11</v>
      </c>
    </row>
    <row r="1730" spans="1:5">
      <c r="A1730" s="1003" t="s">
        <v>8752</v>
      </c>
      <c r="B1730" s="1003" t="s">
        <v>3407</v>
      </c>
      <c r="C1730" s="1199" t="s">
        <v>1615</v>
      </c>
      <c r="D1730" s="1199">
        <v>61.15</v>
      </c>
      <c r="E1730" s="1199">
        <f t="shared" si="26"/>
        <v>51.17</v>
      </c>
    </row>
    <row r="1731" spans="1:5">
      <c r="A1731" s="1003" t="s">
        <v>8753</v>
      </c>
      <c r="B1731" s="1003" t="s">
        <v>3408</v>
      </c>
      <c r="C1731" s="1199" t="s">
        <v>1615</v>
      </c>
      <c r="D1731" s="1199">
        <v>6.11</v>
      </c>
      <c r="E1731" s="1199">
        <f t="shared" si="26"/>
        <v>5.1100000000000003</v>
      </c>
    </row>
    <row r="1732" spans="1:5">
      <c r="A1732" s="1003" t="s">
        <v>8754</v>
      </c>
      <c r="B1732" s="1003" t="s">
        <v>3409</v>
      </c>
      <c r="C1732" s="1199" t="s">
        <v>1615</v>
      </c>
      <c r="D1732" s="1199">
        <v>6.11</v>
      </c>
      <c r="E1732" s="1199">
        <f t="shared" ref="E1732:E1795" si="27">ROUND(D1732/1.195,2)</f>
        <v>5.1100000000000003</v>
      </c>
    </row>
    <row r="1733" spans="1:5">
      <c r="A1733" s="1003" t="s">
        <v>8755</v>
      </c>
      <c r="B1733" s="1003" t="s">
        <v>3410</v>
      </c>
      <c r="C1733" s="1199" t="s">
        <v>1615</v>
      </c>
      <c r="D1733" s="1199">
        <v>8.15</v>
      </c>
      <c r="E1733" s="1199">
        <f t="shared" si="27"/>
        <v>6.82</v>
      </c>
    </row>
    <row r="1734" spans="1:5">
      <c r="A1734" s="1003" t="s">
        <v>8756</v>
      </c>
      <c r="B1734" s="1003" t="s">
        <v>3412</v>
      </c>
      <c r="C1734" s="1199" t="s">
        <v>1615</v>
      </c>
      <c r="D1734" s="1199">
        <v>40.76</v>
      </c>
      <c r="E1734" s="1199">
        <f t="shared" si="27"/>
        <v>34.11</v>
      </c>
    </row>
    <row r="1735" spans="1:5">
      <c r="A1735" s="1003" t="s">
        <v>8757</v>
      </c>
      <c r="B1735" s="1003" t="s">
        <v>3413</v>
      </c>
      <c r="C1735" s="1199" t="s">
        <v>1615</v>
      </c>
      <c r="D1735" s="1199">
        <v>61.15</v>
      </c>
      <c r="E1735" s="1199">
        <f t="shared" si="27"/>
        <v>51.17</v>
      </c>
    </row>
    <row r="1736" spans="1:5">
      <c r="A1736" s="1003" t="s">
        <v>8758</v>
      </c>
      <c r="B1736" s="1003" t="s">
        <v>3414</v>
      </c>
      <c r="C1736" s="1199" t="s">
        <v>1615</v>
      </c>
      <c r="D1736" s="1199">
        <v>40.76</v>
      </c>
      <c r="E1736" s="1199">
        <f t="shared" si="27"/>
        <v>34.11</v>
      </c>
    </row>
    <row r="1737" spans="1:5">
      <c r="A1737" s="1003" t="s">
        <v>8759</v>
      </c>
      <c r="B1737" s="1003" t="s">
        <v>3415</v>
      </c>
      <c r="C1737" s="1199" t="s">
        <v>1615</v>
      </c>
      <c r="D1737" s="1199">
        <v>61.15</v>
      </c>
      <c r="E1737" s="1199">
        <f t="shared" si="27"/>
        <v>51.17</v>
      </c>
    </row>
    <row r="1738" spans="1:5">
      <c r="A1738" s="1003" t="s">
        <v>8760</v>
      </c>
      <c r="B1738" s="1003" t="s">
        <v>3416</v>
      </c>
      <c r="C1738" s="1199" t="s">
        <v>1615</v>
      </c>
      <c r="D1738" s="1199">
        <v>20.38</v>
      </c>
      <c r="E1738" s="1199">
        <f t="shared" si="27"/>
        <v>17.05</v>
      </c>
    </row>
    <row r="1739" spans="1:5">
      <c r="A1739" s="1003" t="s">
        <v>8761</v>
      </c>
      <c r="B1739" s="1003" t="s">
        <v>3417</v>
      </c>
      <c r="C1739" s="1199" t="s">
        <v>1615</v>
      </c>
      <c r="D1739" s="1199">
        <v>61.15</v>
      </c>
      <c r="E1739" s="1199">
        <f t="shared" si="27"/>
        <v>51.17</v>
      </c>
    </row>
    <row r="1740" spans="1:5">
      <c r="A1740" s="1003" t="s">
        <v>8762</v>
      </c>
      <c r="B1740" s="1003" t="s">
        <v>3418</v>
      </c>
      <c r="C1740" s="1199" t="s">
        <v>1615</v>
      </c>
      <c r="D1740" s="1199">
        <v>203.84</v>
      </c>
      <c r="E1740" s="1199">
        <f t="shared" si="27"/>
        <v>170.58</v>
      </c>
    </row>
    <row r="1741" spans="1:5">
      <c r="A1741" s="1003" t="s">
        <v>8763</v>
      </c>
      <c r="B1741" s="1003" t="s">
        <v>3419</v>
      </c>
      <c r="C1741" s="1199" t="s">
        <v>1615</v>
      </c>
      <c r="D1741" s="1199">
        <v>326.14999999999998</v>
      </c>
      <c r="E1741" s="1199">
        <f t="shared" si="27"/>
        <v>272.93</v>
      </c>
    </row>
    <row r="1742" spans="1:5">
      <c r="A1742" s="1003" t="s">
        <v>8764</v>
      </c>
      <c r="B1742" s="1003" t="s">
        <v>3420</v>
      </c>
      <c r="C1742" s="1199" t="s">
        <v>1652</v>
      </c>
      <c r="D1742" s="1199">
        <v>637.01</v>
      </c>
      <c r="E1742" s="1199">
        <f t="shared" si="27"/>
        <v>533.05999999999995</v>
      </c>
    </row>
    <row r="1743" spans="1:5">
      <c r="A1743" s="1003" t="s">
        <v>8765</v>
      </c>
      <c r="B1743" s="1003" t="s">
        <v>3422</v>
      </c>
      <c r="C1743" s="1199" t="s">
        <v>1615</v>
      </c>
      <c r="D1743" s="1199">
        <v>20.38</v>
      </c>
      <c r="E1743" s="1199">
        <f t="shared" si="27"/>
        <v>17.05</v>
      </c>
    </row>
    <row r="1744" spans="1:5">
      <c r="A1744" s="1003" t="s">
        <v>8766</v>
      </c>
      <c r="B1744" s="1003" t="s">
        <v>3423</v>
      </c>
      <c r="C1744" s="1199" t="s">
        <v>1615</v>
      </c>
      <c r="D1744" s="1199">
        <v>40.76</v>
      </c>
      <c r="E1744" s="1199">
        <f t="shared" si="27"/>
        <v>34.11</v>
      </c>
    </row>
    <row r="1745" spans="1:5">
      <c r="A1745" s="1003" t="s">
        <v>8767</v>
      </c>
      <c r="B1745" s="1003" t="s">
        <v>3424</v>
      </c>
      <c r="C1745" s="1199" t="s">
        <v>1214</v>
      </c>
      <c r="D1745" s="1199">
        <v>20.38</v>
      </c>
      <c r="E1745" s="1199">
        <f t="shared" si="27"/>
        <v>17.05</v>
      </c>
    </row>
    <row r="1746" spans="1:5">
      <c r="A1746" s="1003" t="s">
        <v>8768</v>
      </c>
      <c r="B1746" s="1003" t="s">
        <v>3425</v>
      </c>
      <c r="C1746" s="1199" t="s">
        <v>1214</v>
      </c>
      <c r="D1746" s="1199">
        <v>8.15</v>
      </c>
      <c r="E1746" s="1199">
        <f t="shared" si="27"/>
        <v>6.82</v>
      </c>
    </row>
    <row r="1747" spans="1:5">
      <c r="A1747" s="1003" t="s">
        <v>8769</v>
      </c>
      <c r="B1747" s="1003" t="s">
        <v>3426</v>
      </c>
      <c r="C1747" s="1199" t="s">
        <v>1214</v>
      </c>
      <c r="D1747" s="1199">
        <v>10.19</v>
      </c>
      <c r="E1747" s="1199">
        <f t="shared" si="27"/>
        <v>8.5299999999999994</v>
      </c>
    </row>
    <row r="1748" spans="1:5">
      <c r="A1748" s="1003" t="s">
        <v>8770</v>
      </c>
      <c r="B1748" s="1003" t="s">
        <v>3427</v>
      </c>
      <c r="C1748" s="1199" t="s">
        <v>1615</v>
      </c>
      <c r="D1748" s="1199">
        <v>8.15</v>
      </c>
      <c r="E1748" s="1199">
        <f t="shared" si="27"/>
        <v>6.82</v>
      </c>
    </row>
    <row r="1749" spans="1:5">
      <c r="A1749" s="1003" t="s">
        <v>8771</v>
      </c>
      <c r="B1749" s="1003" t="s">
        <v>3428</v>
      </c>
      <c r="C1749" s="1199" t="s">
        <v>1615</v>
      </c>
      <c r="D1749" s="1199">
        <v>16.3</v>
      </c>
      <c r="E1749" s="1199">
        <f t="shared" si="27"/>
        <v>13.64</v>
      </c>
    </row>
    <row r="1750" spans="1:5">
      <c r="A1750" s="1003" t="s">
        <v>8772</v>
      </c>
      <c r="B1750" s="1003" t="s">
        <v>3429</v>
      </c>
      <c r="C1750" s="1199" t="s">
        <v>1615</v>
      </c>
      <c r="D1750" s="1199">
        <v>40.76</v>
      </c>
      <c r="E1750" s="1199">
        <f t="shared" si="27"/>
        <v>34.11</v>
      </c>
    </row>
    <row r="1751" spans="1:5">
      <c r="A1751" s="1003" t="s">
        <v>8773</v>
      </c>
      <c r="B1751" s="1003" t="s">
        <v>3430</v>
      </c>
      <c r="C1751" s="1199" t="s">
        <v>1652</v>
      </c>
      <c r="D1751" s="1199">
        <v>637.01</v>
      </c>
      <c r="E1751" s="1199">
        <f t="shared" si="27"/>
        <v>533.05999999999995</v>
      </c>
    </row>
    <row r="1752" spans="1:5">
      <c r="A1752" s="1003" t="s">
        <v>8774</v>
      </c>
      <c r="B1752" s="1003" t="s">
        <v>8775</v>
      </c>
      <c r="C1752" s="1199" t="s">
        <v>1615</v>
      </c>
      <c r="D1752" s="1199">
        <v>6.11</v>
      </c>
      <c r="E1752" s="1199">
        <f t="shared" si="27"/>
        <v>5.1100000000000003</v>
      </c>
    </row>
    <row r="1753" spans="1:5">
      <c r="A1753" s="1003" t="s">
        <v>8776</v>
      </c>
      <c r="B1753" s="1003" t="s">
        <v>8777</v>
      </c>
      <c r="C1753" s="1199" t="s">
        <v>1615</v>
      </c>
      <c r="D1753" s="1199">
        <v>16.3</v>
      </c>
      <c r="E1753" s="1199">
        <f t="shared" si="27"/>
        <v>13.64</v>
      </c>
    </row>
    <row r="1754" spans="1:5">
      <c r="A1754" s="1003" t="s">
        <v>8778</v>
      </c>
      <c r="B1754" s="1003" t="s">
        <v>8779</v>
      </c>
      <c r="C1754" s="1199" t="s">
        <v>1214</v>
      </c>
      <c r="D1754" s="1199">
        <v>10.19</v>
      </c>
      <c r="E1754" s="1199">
        <f t="shared" si="27"/>
        <v>8.5299999999999994</v>
      </c>
    </row>
    <row r="1755" spans="1:5">
      <c r="A1755" s="1003" t="s">
        <v>8780</v>
      </c>
      <c r="B1755" s="1003" t="s">
        <v>8781</v>
      </c>
      <c r="C1755" s="1199" t="s">
        <v>1615</v>
      </c>
      <c r="D1755" s="1199">
        <v>1.83</v>
      </c>
      <c r="E1755" s="1199">
        <f t="shared" si="27"/>
        <v>1.53</v>
      </c>
    </row>
    <row r="1756" spans="1:5">
      <c r="A1756" s="1003" t="s">
        <v>8782</v>
      </c>
      <c r="B1756" s="1003" t="s">
        <v>8783</v>
      </c>
      <c r="C1756" s="1199" t="s">
        <v>1615</v>
      </c>
      <c r="D1756" s="1199">
        <v>10.19</v>
      </c>
      <c r="E1756" s="1199">
        <f t="shared" si="27"/>
        <v>8.5299999999999994</v>
      </c>
    </row>
    <row r="1757" spans="1:5">
      <c r="A1757" s="1003" t="s">
        <v>8784</v>
      </c>
      <c r="B1757" s="1003" t="s">
        <v>8785</v>
      </c>
      <c r="C1757" s="1199" t="s">
        <v>1214</v>
      </c>
      <c r="D1757" s="1199">
        <v>8.15</v>
      </c>
      <c r="E1757" s="1199">
        <f t="shared" si="27"/>
        <v>6.82</v>
      </c>
    </row>
    <row r="1758" spans="1:5">
      <c r="A1758" s="1003" t="s">
        <v>8786</v>
      </c>
      <c r="B1758" s="1003" t="s">
        <v>8787</v>
      </c>
      <c r="C1758" s="1199" t="s">
        <v>1615</v>
      </c>
      <c r="D1758" s="1199">
        <v>3.67</v>
      </c>
      <c r="E1758" s="1199">
        <f t="shared" si="27"/>
        <v>3.07</v>
      </c>
    </row>
    <row r="1759" spans="1:5">
      <c r="A1759" s="1003" t="s">
        <v>8788</v>
      </c>
      <c r="B1759" s="1003" t="s">
        <v>8789</v>
      </c>
      <c r="C1759" s="1199" t="s">
        <v>1615</v>
      </c>
      <c r="D1759" s="1199">
        <v>118.33</v>
      </c>
      <c r="E1759" s="1199">
        <f t="shared" si="27"/>
        <v>99.02</v>
      </c>
    </row>
    <row r="1760" spans="1:5">
      <c r="A1760" s="1003" t="s">
        <v>8790</v>
      </c>
      <c r="B1760" s="1003" t="s">
        <v>8791</v>
      </c>
      <c r="C1760" s="1199" t="s">
        <v>1615</v>
      </c>
      <c r="D1760" s="1199">
        <v>26.5</v>
      </c>
      <c r="E1760" s="1199">
        <f t="shared" si="27"/>
        <v>22.18</v>
      </c>
    </row>
    <row r="1761" spans="1:5">
      <c r="A1761" s="1003" t="s">
        <v>8792</v>
      </c>
      <c r="B1761" s="1003" t="s">
        <v>8793</v>
      </c>
      <c r="C1761" s="1199" t="s">
        <v>1615</v>
      </c>
      <c r="D1761" s="1199">
        <v>148.38</v>
      </c>
      <c r="E1761" s="1199">
        <f t="shared" si="27"/>
        <v>124.17</v>
      </c>
    </row>
    <row r="1762" spans="1:5">
      <c r="A1762" s="1003" t="s">
        <v>8794</v>
      </c>
      <c r="B1762" s="1003" t="s">
        <v>8795</v>
      </c>
      <c r="C1762" s="1199" t="s">
        <v>1615</v>
      </c>
      <c r="D1762" s="1199">
        <v>20.38</v>
      </c>
      <c r="E1762" s="1199">
        <f t="shared" si="27"/>
        <v>17.05</v>
      </c>
    </row>
    <row r="1763" spans="1:5">
      <c r="A1763" s="1003" t="s">
        <v>8796</v>
      </c>
      <c r="B1763" s="1003" t="s">
        <v>8797</v>
      </c>
      <c r="C1763" s="1199" t="s">
        <v>1615</v>
      </c>
      <c r="D1763" s="1199">
        <v>266.72000000000003</v>
      </c>
      <c r="E1763" s="1199">
        <f t="shared" si="27"/>
        <v>223.2</v>
      </c>
    </row>
    <row r="1764" spans="1:5">
      <c r="A1764" s="1003" t="s">
        <v>8798</v>
      </c>
      <c r="B1764" s="1003" t="s">
        <v>8799</v>
      </c>
      <c r="C1764" s="1199" t="s">
        <v>1615</v>
      </c>
      <c r="D1764" s="1199">
        <v>296.3</v>
      </c>
      <c r="E1764" s="1199">
        <f t="shared" si="27"/>
        <v>247.95</v>
      </c>
    </row>
    <row r="1765" spans="1:5">
      <c r="A1765" s="1003" t="s">
        <v>8800</v>
      </c>
      <c r="B1765" s="1003" t="s">
        <v>8801</v>
      </c>
      <c r="C1765" s="1199" t="s">
        <v>1615</v>
      </c>
      <c r="D1765" s="1199">
        <v>203.84</v>
      </c>
      <c r="E1765" s="1199">
        <f t="shared" si="27"/>
        <v>170.58</v>
      </c>
    </row>
    <row r="1766" spans="1:5">
      <c r="A1766" s="1003" t="s">
        <v>8802</v>
      </c>
      <c r="B1766" s="1003" t="s">
        <v>8803</v>
      </c>
      <c r="C1766" s="1199" t="s">
        <v>1615</v>
      </c>
      <c r="D1766" s="1199">
        <v>61.15</v>
      </c>
      <c r="E1766" s="1199">
        <f t="shared" si="27"/>
        <v>51.17</v>
      </c>
    </row>
    <row r="1767" spans="1:5">
      <c r="A1767" s="1003" t="s">
        <v>8804</v>
      </c>
      <c r="B1767" s="1003" t="s">
        <v>3447</v>
      </c>
      <c r="C1767" s="1199" t="s">
        <v>1652</v>
      </c>
      <c r="D1767" s="1199">
        <v>637.01</v>
      </c>
      <c r="E1767" s="1199">
        <f t="shared" si="27"/>
        <v>533.05999999999995</v>
      </c>
    </row>
    <row r="1768" spans="1:5">
      <c r="A1768" s="1003" t="s">
        <v>8805</v>
      </c>
      <c r="B1768" s="1003" t="s">
        <v>8806</v>
      </c>
      <c r="C1768" s="1199" t="s">
        <v>1615</v>
      </c>
      <c r="D1768" s="1199">
        <v>163.07</v>
      </c>
      <c r="E1768" s="1199">
        <f t="shared" si="27"/>
        <v>136.46</v>
      </c>
    </row>
    <row r="1769" spans="1:5">
      <c r="A1769" s="1003" t="s">
        <v>8807</v>
      </c>
      <c r="B1769" s="1003" t="s">
        <v>8808</v>
      </c>
      <c r="C1769" s="1199" t="s">
        <v>1615</v>
      </c>
      <c r="D1769" s="1199">
        <v>203.84</v>
      </c>
      <c r="E1769" s="1199">
        <f t="shared" si="27"/>
        <v>170.58</v>
      </c>
    </row>
    <row r="1770" spans="1:5">
      <c r="A1770" s="1003" t="s">
        <v>8809</v>
      </c>
      <c r="B1770" s="1003" t="s">
        <v>8810</v>
      </c>
      <c r="C1770" s="1199" t="s">
        <v>1615</v>
      </c>
      <c r="D1770" s="1199">
        <v>20.38</v>
      </c>
      <c r="E1770" s="1199">
        <f t="shared" si="27"/>
        <v>17.05</v>
      </c>
    </row>
    <row r="1771" spans="1:5">
      <c r="A1771" s="1003" t="s">
        <v>8811</v>
      </c>
      <c r="B1771" s="1003" t="s">
        <v>8812</v>
      </c>
      <c r="C1771" s="1199" t="s">
        <v>1615</v>
      </c>
      <c r="D1771" s="1199">
        <v>10.19</v>
      </c>
      <c r="E1771" s="1199">
        <f t="shared" si="27"/>
        <v>8.5299999999999994</v>
      </c>
    </row>
    <row r="1772" spans="1:5">
      <c r="A1772" s="1003" t="s">
        <v>8813</v>
      </c>
      <c r="B1772" s="1003" t="s">
        <v>8814</v>
      </c>
      <c r="C1772" s="1199" t="s">
        <v>1214</v>
      </c>
      <c r="D1772" s="1199">
        <v>10.19</v>
      </c>
      <c r="E1772" s="1199">
        <f t="shared" si="27"/>
        <v>8.5299999999999994</v>
      </c>
    </row>
    <row r="1773" spans="1:5">
      <c r="A1773" s="1003" t="s">
        <v>8815</v>
      </c>
      <c r="B1773" s="1003" t="s">
        <v>8816</v>
      </c>
      <c r="C1773" s="1199" t="s">
        <v>1214</v>
      </c>
      <c r="D1773" s="1199">
        <v>20.38</v>
      </c>
      <c r="E1773" s="1199">
        <f t="shared" si="27"/>
        <v>17.05</v>
      </c>
    </row>
    <row r="1774" spans="1:5">
      <c r="A1774" s="1003" t="s">
        <v>8817</v>
      </c>
      <c r="B1774" s="1003" t="s">
        <v>8818</v>
      </c>
      <c r="C1774" s="1199" t="s">
        <v>1214</v>
      </c>
      <c r="D1774" s="1199">
        <v>16.3</v>
      </c>
      <c r="E1774" s="1199">
        <f t="shared" si="27"/>
        <v>13.64</v>
      </c>
    </row>
    <row r="1775" spans="1:5">
      <c r="A1775" s="1003" t="s">
        <v>8819</v>
      </c>
      <c r="B1775" s="1003" t="s">
        <v>8820</v>
      </c>
      <c r="C1775" s="1199" t="s">
        <v>1615</v>
      </c>
      <c r="D1775" s="1199">
        <v>8.15</v>
      </c>
      <c r="E1775" s="1199">
        <f t="shared" si="27"/>
        <v>6.82</v>
      </c>
    </row>
    <row r="1776" spans="1:5">
      <c r="A1776" s="1003" t="s">
        <v>8821</v>
      </c>
      <c r="B1776" s="1003" t="s">
        <v>8822</v>
      </c>
      <c r="C1776" s="1199" t="s">
        <v>1214</v>
      </c>
      <c r="D1776" s="1199">
        <v>2.0299999999999998</v>
      </c>
      <c r="E1776" s="1199">
        <f t="shared" si="27"/>
        <v>1.7</v>
      </c>
    </row>
    <row r="1777" spans="1:5">
      <c r="A1777" s="1003" t="s">
        <v>8823</v>
      </c>
      <c r="B1777" s="1003" t="s">
        <v>8824</v>
      </c>
      <c r="C1777" s="1199" t="s">
        <v>1214</v>
      </c>
      <c r="D1777" s="1199">
        <v>4.07</v>
      </c>
      <c r="E1777" s="1199">
        <f t="shared" si="27"/>
        <v>3.41</v>
      </c>
    </row>
    <row r="1778" spans="1:5">
      <c r="A1778" s="1003" t="s">
        <v>8825</v>
      </c>
      <c r="B1778" s="1003" t="s">
        <v>8826</v>
      </c>
      <c r="C1778" s="1199" t="s">
        <v>1214</v>
      </c>
      <c r="D1778" s="1199">
        <v>2.44</v>
      </c>
      <c r="E1778" s="1199">
        <f t="shared" si="27"/>
        <v>2.04</v>
      </c>
    </row>
    <row r="1779" spans="1:5">
      <c r="A1779" s="1003" t="s">
        <v>8827</v>
      </c>
      <c r="B1779" s="1003" t="s">
        <v>8828</v>
      </c>
      <c r="C1779" s="1199" t="s">
        <v>1214</v>
      </c>
      <c r="D1779" s="1199">
        <v>4.8899999999999997</v>
      </c>
      <c r="E1779" s="1199">
        <f t="shared" si="27"/>
        <v>4.09</v>
      </c>
    </row>
    <row r="1780" spans="1:5">
      <c r="A1780" s="1003" t="s">
        <v>8829</v>
      </c>
      <c r="B1780" s="1003" t="s">
        <v>8830</v>
      </c>
      <c r="C1780" s="1199" t="s">
        <v>1615</v>
      </c>
      <c r="D1780" s="1199">
        <v>8.15</v>
      </c>
      <c r="E1780" s="1199">
        <f t="shared" si="27"/>
        <v>6.82</v>
      </c>
    </row>
    <row r="1781" spans="1:5">
      <c r="A1781" s="1003" t="s">
        <v>8831</v>
      </c>
      <c r="B1781" s="1003" t="s">
        <v>8832</v>
      </c>
      <c r="C1781" s="1199" t="s">
        <v>1240</v>
      </c>
      <c r="D1781" s="1199">
        <v>81.53</v>
      </c>
      <c r="E1781" s="1199">
        <f t="shared" si="27"/>
        <v>68.23</v>
      </c>
    </row>
    <row r="1782" spans="1:5">
      <c r="A1782" s="1003" t="s">
        <v>8833</v>
      </c>
      <c r="B1782" s="1003" t="s">
        <v>3463</v>
      </c>
      <c r="C1782" s="1199" t="s">
        <v>1652</v>
      </c>
      <c r="D1782" s="1199">
        <v>637.01</v>
      </c>
      <c r="E1782" s="1199">
        <f t="shared" si="27"/>
        <v>533.05999999999995</v>
      </c>
    </row>
    <row r="1783" spans="1:5">
      <c r="A1783" s="1003" t="s">
        <v>8834</v>
      </c>
      <c r="B1783" s="1003" t="s">
        <v>8835</v>
      </c>
      <c r="C1783" s="1199" t="s">
        <v>1615</v>
      </c>
      <c r="D1783" s="1199">
        <v>61.15</v>
      </c>
      <c r="E1783" s="1199">
        <f t="shared" si="27"/>
        <v>51.17</v>
      </c>
    </row>
    <row r="1784" spans="1:5">
      <c r="A1784" s="1003" t="s">
        <v>8836</v>
      </c>
      <c r="B1784" s="1003" t="s">
        <v>8837</v>
      </c>
      <c r="C1784" s="1199" t="s">
        <v>1615</v>
      </c>
      <c r="D1784" s="1199">
        <v>4.07</v>
      </c>
      <c r="E1784" s="1199">
        <f t="shared" si="27"/>
        <v>3.41</v>
      </c>
    </row>
    <row r="1785" spans="1:5">
      <c r="A1785" s="1003" t="s">
        <v>8838</v>
      </c>
      <c r="B1785" s="1003" t="s">
        <v>8839</v>
      </c>
      <c r="C1785" s="1199" t="s">
        <v>1615</v>
      </c>
      <c r="D1785" s="1199">
        <v>2.75</v>
      </c>
      <c r="E1785" s="1199">
        <f t="shared" si="27"/>
        <v>2.2999999999999998</v>
      </c>
    </row>
    <row r="1786" spans="1:5">
      <c r="A1786" s="1003" t="s">
        <v>8840</v>
      </c>
      <c r="B1786" s="1003" t="s">
        <v>8841</v>
      </c>
      <c r="C1786" s="1199" t="s">
        <v>1615</v>
      </c>
      <c r="D1786" s="1199">
        <v>61.15</v>
      </c>
      <c r="E1786" s="1199">
        <f t="shared" si="27"/>
        <v>51.17</v>
      </c>
    </row>
    <row r="1787" spans="1:5">
      <c r="A1787" s="1003" t="s">
        <v>8842</v>
      </c>
      <c r="B1787" s="1003" t="s">
        <v>8843</v>
      </c>
      <c r="C1787" s="1199" t="s">
        <v>1615</v>
      </c>
      <c r="D1787" s="1199">
        <v>40.76</v>
      </c>
      <c r="E1787" s="1199">
        <f t="shared" si="27"/>
        <v>34.11</v>
      </c>
    </row>
    <row r="1788" spans="1:5">
      <c r="A1788" s="1003" t="s">
        <v>8844</v>
      </c>
      <c r="B1788" s="1003" t="s">
        <v>8845</v>
      </c>
      <c r="C1788" s="1199" t="s">
        <v>1615</v>
      </c>
      <c r="D1788" s="1199">
        <v>20.38</v>
      </c>
      <c r="E1788" s="1199">
        <f t="shared" si="27"/>
        <v>17.05</v>
      </c>
    </row>
    <row r="1789" spans="1:5">
      <c r="A1789" s="1003" t="s">
        <v>8846</v>
      </c>
      <c r="B1789" s="1003" t="s">
        <v>8847</v>
      </c>
      <c r="C1789" s="1199" t="s">
        <v>1615</v>
      </c>
      <c r="D1789" s="1199">
        <v>203.84</v>
      </c>
      <c r="E1789" s="1199">
        <f t="shared" si="27"/>
        <v>170.58</v>
      </c>
    </row>
    <row r="1790" spans="1:5">
      <c r="A1790" s="1003" t="s">
        <v>8848</v>
      </c>
      <c r="B1790" s="1003" t="s">
        <v>8849</v>
      </c>
      <c r="C1790" s="1199" t="s">
        <v>1615</v>
      </c>
      <c r="D1790" s="1199">
        <v>203.84</v>
      </c>
      <c r="E1790" s="1199">
        <f t="shared" si="27"/>
        <v>170.58</v>
      </c>
    </row>
    <row r="1791" spans="1:5">
      <c r="A1791" s="1003" t="s">
        <v>8850</v>
      </c>
      <c r="B1791" s="1003" t="s">
        <v>8851</v>
      </c>
      <c r="C1791" s="1199" t="s">
        <v>1615</v>
      </c>
      <c r="D1791" s="1199">
        <v>203.84</v>
      </c>
      <c r="E1791" s="1199">
        <f t="shared" si="27"/>
        <v>170.58</v>
      </c>
    </row>
    <row r="1792" spans="1:5">
      <c r="A1792" s="1003" t="s">
        <v>5653</v>
      </c>
      <c r="B1792" s="1003" t="s">
        <v>3474</v>
      </c>
      <c r="C1792" s="1199" t="s">
        <v>1652</v>
      </c>
      <c r="D1792" s="1199">
        <v>637.01</v>
      </c>
      <c r="E1792" s="1199">
        <f t="shared" si="27"/>
        <v>533.05999999999995</v>
      </c>
    </row>
    <row r="1793" spans="1:5">
      <c r="A1793" s="1003" t="s">
        <v>8852</v>
      </c>
      <c r="B1793" s="1003" t="s">
        <v>8853</v>
      </c>
      <c r="C1793" s="1199" t="s">
        <v>1615</v>
      </c>
      <c r="D1793" s="1199">
        <v>20.38</v>
      </c>
      <c r="E1793" s="1199">
        <f t="shared" si="27"/>
        <v>17.05</v>
      </c>
    </row>
    <row r="1794" spans="1:5">
      <c r="A1794" s="1003" t="s">
        <v>8854</v>
      </c>
      <c r="B1794" s="1003" t="s">
        <v>8855</v>
      </c>
      <c r="C1794" s="1199" t="s">
        <v>1615</v>
      </c>
      <c r="D1794" s="1199">
        <v>40.76</v>
      </c>
      <c r="E1794" s="1199">
        <f t="shared" si="27"/>
        <v>34.11</v>
      </c>
    </row>
    <row r="1795" spans="1:5">
      <c r="A1795" s="1003" t="s">
        <v>8856</v>
      </c>
      <c r="B1795" s="1003" t="s">
        <v>8857</v>
      </c>
      <c r="C1795" s="1199" t="s">
        <v>1214</v>
      </c>
      <c r="D1795" s="1199">
        <v>20.38</v>
      </c>
      <c r="E1795" s="1199">
        <f t="shared" si="27"/>
        <v>17.05</v>
      </c>
    </row>
    <row r="1796" spans="1:5">
      <c r="A1796" s="1003" t="s">
        <v>8858</v>
      </c>
      <c r="B1796" s="1003" t="s">
        <v>8859</v>
      </c>
      <c r="C1796" s="1199" t="s">
        <v>1214</v>
      </c>
      <c r="D1796" s="1199">
        <v>8.15</v>
      </c>
      <c r="E1796" s="1199">
        <f t="shared" ref="E1796:E1859" si="28">ROUND(D1796/1.195,2)</f>
        <v>6.82</v>
      </c>
    </row>
    <row r="1797" spans="1:5">
      <c r="A1797" s="1003" t="s">
        <v>8860</v>
      </c>
      <c r="B1797" s="1003" t="s">
        <v>8861</v>
      </c>
      <c r="C1797" s="1199" t="s">
        <v>1214</v>
      </c>
      <c r="D1797" s="1199">
        <v>10.19</v>
      </c>
      <c r="E1797" s="1199">
        <f t="shared" si="28"/>
        <v>8.5299999999999994</v>
      </c>
    </row>
    <row r="1798" spans="1:5">
      <c r="A1798" s="1003" t="s">
        <v>8862</v>
      </c>
      <c r="B1798" s="1003" t="s">
        <v>8863</v>
      </c>
      <c r="C1798" s="1199" t="s">
        <v>1615</v>
      </c>
      <c r="D1798" s="1199">
        <v>8.15</v>
      </c>
      <c r="E1798" s="1199">
        <f t="shared" si="28"/>
        <v>6.82</v>
      </c>
    </row>
    <row r="1799" spans="1:5">
      <c r="A1799" s="1003" t="s">
        <v>8864</v>
      </c>
      <c r="B1799" s="1003" t="s">
        <v>8865</v>
      </c>
      <c r="C1799" s="1199" t="s">
        <v>1615</v>
      </c>
      <c r="D1799" s="1199">
        <v>16.3</v>
      </c>
      <c r="E1799" s="1199">
        <f t="shared" si="28"/>
        <v>13.64</v>
      </c>
    </row>
    <row r="1800" spans="1:5">
      <c r="A1800" s="1003" t="s">
        <v>8866</v>
      </c>
      <c r="B1800" s="1003" t="s">
        <v>3483</v>
      </c>
      <c r="C1800" s="1199" t="s">
        <v>1652</v>
      </c>
      <c r="D1800" s="1199">
        <v>637.01</v>
      </c>
      <c r="E1800" s="1199">
        <f t="shared" si="28"/>
        <v>533.05999999999995</v>
      </c>
    </row>
    <row r="1801" spans="1:5">
      <c r="A1801" s="1003" t="s">
        <v>8867</v>
      </c>
      <c r="B1801" s="1003" t="s">
        <v>8868</v>
      </c>
      <c r="C1801" s="1199" t="s">
        <v>1615</v>
      </c>
      <c r="D1801" s="1199">
        <v>8.15</v>
      </c>
      <c r="E1801" s="1199">
        <f t="shared" si="28"/>
        <v>6.82</v>
      </c>
    </row>
    <row r="1802" spans="1:5">
      <c r="A1802" s="1003" t="s">
        <v>8869</v>
      </c>
      <c r="B1802" s="1003" t="s">
        <v>8870</v>
      </c>
      <c r="C1802" s="1199" t="s">
        <v>1615</v>
      </c>
      <c r="D1802" s="1199">
        <v>20.38</v>
      </c>
      <c r="E1802" s="1199">
        <f t="shared" si="28"/>
        <v>17.05</v>
      </c>
    </row>
    <row r="1803" spans="1:5">
      <c r="A1803" s="1003" t="s">
        <v>8871</v>
      </c>
      <c r="B1803" s="1003" t="s">
        <v>8872</v>
      </c>
      <c r="C1803" s="1199" t="s">
        <v>1214</v>
      </c>
      <c r="D1803" s="1199">
        <v>20.38</v>
      </c>
      <c r="E1803" s="1199">
        <f t="shared" si="28"/>
        <v>17.05</v>
      </c>
    </row>
    <row r="1804" spans="1:5">
      <c r="A1804" s="1003" t="s">
        <v>8873</v>
      </c>
      <c r="B1804" s="1003" t="s">
        <v>8874</v>
      </c>
      <c r="C1804" s="1199" t="s">
        <v>1615</v>
      </c>
      <c r="D1804" s="1199">
        <v>3.67</v>
      </c>
      <c r="E1804" s="1199">
        <f t="shared" si="28"/>
        <v>3.07</v>
      </c>
    </row>
    <row r="1805" spans="1:5">
      <c r="A1805" s="1003" t="s">
        <v>8875</v>
      </c>
      <c r="B1805" s="1003" t="s">
        <v>8876</v>
      </c>
      <c r="C1805" s="1199" t="s">
        <v>1615</v>
      </c>
      <c r="D1805" s="1199">
        <v>24.46</v>
      </c>
      <c r="E1805" s="1199">
        <f t="shared" si="28"/>
        <v>20.47</v>
      </c>
    </row>
    <row r="1806" spans="1:5">
      <c r="A1806" s="1003" t="s">
        <v>8877</v>
      </c>
      <c r="B1806" s="1003" t="s">
        <v>8878</v>
      </c>
      <c r="C1806" s="1199" t="s">
        <v>1214</v>
      </c>
      <c r="D1806" s="1199">
        <v>16.3</v>
      </c>
      <c r="E1806" s="1199">
        <f t="shared" si="28"/>
        <v>13.64</v>
      </c>
    </row>
    <row r="1807" spans="1:5">
      <c r="A1807" s="1003" t="s">
        <v>8879</v>
      </c>
      <c r="B1807" s="1003" t="s">
        <v>8880</v>
      </c>
      <c r="C1807" s="1199" t="s">
        <v>1615</v>
      </c>
      <c r="D1807" s="1199">
        <v>192.53</v>
      </c>
      <c r="E1807" s="1199">
        <f t="shared" si="28"/>
        <v>161.11000000000001</v>
      </c>
    </row>
    <row r="1808" spans="1:5">
      <c r="A1808" s="1003" t="s">
        <v>8881</v>
      </c>
      <c r="B1808" s="1003" t="s">
        <v>8882</v>
      </c>
      <c r="C1808" s="1199" t="s">
        <v>1615</v>
      </c>
      <c r="D1808" s="1199">
        <v>68.180000000000007</v>
      </c>
      <c r="E1808" s="1199">
        <f t="shared" si="28"/>
        <v>57.05</v>
      </c>
    </row>
    <row r="1809" spans="1:5">
      <c r="A1809" s="1003" t="s">
        <v>8883</v>
      </c>
      <c r="B1809" s="1202" t="s">
        <v>8884</v>
      </c>
      <c r="C1809" s="1199" t="s">
        <v>1615</v>
      </c>
      <c r="D1809" s="1199">
        <v>356.2</v>
      </c>
      <c r="E1809" s="1199">
        <f t="shared" si="28"/>
        <v>298.08</v>
      </c>
    </row>
    <row r="1810" spans="1:5">
      <c r="A1810" s="1003" t="s">
        <v>8885</v>
      </c>
      <c r="B1810" s="1202" t="s">
        <v>8886</v>
      </c>
      <c r="C1810" s="1199" t="s">
        <v>1615</v>
      </c>
      <c r="D1810" s="1199">
        <v>55.79</v>
      </c>
      <c r="E1810" s="1199">
        <f t="shared" si="28"/>
        <v>46.69</v>
      </c>
    </row>
    <row r="1811" spans="1:5">
      <c r="A1811" s="1003" t="s">
        <v>8887</v>
      </c>
      <c r="B1811" s="1202" t="s">
        <v>8888</v>
      </c>
      <c r="C1811" s="1199" t="s">
        <v>1615</v>
      </c>
      <c r="D1811" s="1199">
        <v>593.53</v>
      </c>
      <c r="E1811" s="1199">
        <f t="shared" si="28"/>
        <v>496.68</v>
      </c>
    </row>
    <row r="1812" spans="1:5">
      <c r="A1812" s="1003" t="s">
        <v>8889</v>
      </c>
      <c r="B1812" s="1202" t="s">
        <v>8890</v>
      </c>
      <c r="C1812" s="1199" t="s">
        <v>1615</v>
      </c>
      <c r="D1812" s="1199">
        <v>282</v>
      </c>
      <c r="E1812" s="1199">
        <f t="shared" si="28"/>
        <v>235.98</v>
      </c>
    </row>
    <row r="1813" spans="1:5">
      <c r="A1813" s="1003" t="s">
        <v>8891</v>
      </c>
      <c r="B1813" s="1202" t="s">
        <v>3491</v>
      </c>
      <c r="C1813" s="1199" t="s">
        <v>1652</v>
      </c>
      <c r="D1813" s="1199">
        <v>637.01</v>
      </c>
      <c r="E1813" s="1199">
        <f t="shared" si="28"/>
        <v>533.05999999999995</v>
      </c>
    </row>
    <row r="1814" spans="1:5">
      <c r="A1814" s="1003" t="s">
        <v>8892</v>
      </c>
      <c r="B1814" s="1202" t="s">
        <v>8893</v>
      </c>
      <c r="C1814" s="1199" t="s">
        <v>1615</v>
      </c>
      <c r="D1814" s="1199">
        <v>16.3</v>
      </c>
      <c r="E1814" s="1199">
        <f t="shared" si="28"/>
        <v>13.64</v>
      </c>
    </row>
    <row r="1815" spans="1:5">
      <c r="A1815" s="1003" t="s">
        <v>8894</v>
      </c>
      <c r="B1815" s="1202" t="s">
        <v>8895</v>
      </c>
      <c r="C1815" s="1199" t="s">
        <v>1615</v>
      </c>
      <c r="D1815" s="1199">
        <v>282</v>
      </c>
      <c r="E1815" s="1199">
        <f t="shared" si="28"/>
        <v>235.98</v>
      </c>
    </row>
    <row r="1816" spans="1:5">
      <c r="A1816" s="1003" t="s">
        <v>8896</v>
      </c>
      <c r="B1816" s="1003" t="s">
        <v>8897</v>
      </c>
      <c r="C1816" s="1199" t="s">
        <v>1615</v>
      </c>
      <c r="D1816" s="1199">
        <v>282</v>
      </c>
      <c r="E1816" s="1199">
        <f t="shared" si="28"/>
        <v>235.98</v>
      </c>
    </row>
    <row r="1817" spans="1:5">
      <c r="A1817" s="1003" t="s">
        <v>8898</v>
      </c>
      <c r="B1817" s="1003" t="s">
        <v>8899</v>
      </c>
      <c r="C1817" s="1199" t="s">
        <v>1214</v>
      </c>
      <c r="D1817" s="1199">
        <v>12.23</v>
      </c>
      <c r="E1817" s="1199">
        <f t="shared" si="28"/>
        <v>10.23</v>
      </c>
    </row>
    <row r="1818" spans="1:5">
      <c r="A1818" s="1003" t="s">
        <v>8900</v>
      </c>
      <c r="B1818" s="1003" t="s">
        <v>8901</v>
      </c>
      <c r="C1818" s="1199" t="s">
        <v>1214</v>
      </c>
      <c r="D1818" s="1199">
        <v>24.46</v>
      </c>
      <c r="E1818" s="1199">
        <f t="shared" si="28"/>
        <v>20.47</v>
      </c>
    </row>
    <row r="1819" spans="1:5">
      <c r="A1819" s="1003" t="s">
        <v>8902</v>
      </c>
      <c r="B1819" s="1003" t="s">
        <v>8903</v>
      </c>
      <c r="C1819" s="1199" t="s">
        <v>1615</v>
      </c>
      <c r="D1819" s="1199">
        <v>20.38</v>
      </c>
      <c r="E1819" s="1199">
        <f t="shared" si="28"/>
        <v>17.05</v>
      </c>
    </row>
    <row r="1820" spans="1:5">
      <c r="A1820" s="1003" t="s">
        <v>8904</v>
      </c>
      <c r="B1820" s="1003" t="s">
        <v>8905</v>
      </c>
      <c r="C1820" s="1199" t="s">
        <v>1214</v>
      </c>
      <c r="D1820" s="1199">
        <v>20.38</v>
      </c>
      <c r="E1820" s="1199">
        <f t="shared" si="28"/>
        <v>17.05</v>
      </c>
    </row>
    <row r="1821" spans="1:5">
      <c r="A1821" s="1003" t="s">
        <v>8906</v>
      </c>
      <c r="B1821" s="1003" t="s">
        <v>8907</v>
      </c>
      <c r="C1821" s="1199" t="s">
        <v>1615</v>
      </c>
      <c r="D1821" s="1199">
        <v>10.19</v>
      </c>
      <c r="E1821" s="1199">
        <f t="shared" si="28"/>
        <v>8.5299999999999994</v>
      </c>
    </row>
    <row r="1822" spans="1:5">
      <c r="A1822" s="1003" t="s">
        <v>8908</v>
      </c>
      <c r="B1822" s="1003" t="s">
        <v>8909</v>
      </c>
      <c r="C1822" s="1199" t="s">
        <v>1214</v>
      </c>
      <c r="D1822" s="1199">
        <v>2.0299999999999998</v>
      </c>
      <c r="E1822" s="1199">
        <f t="shared" si="28"/>
        <v>1.7</v>
      </c>
    </row>
    <row r="1823" spans="1:5">
      <c r="A1823" s="1003" t="s">
        <v>8910</v>
      </c>
      <c r="B1823" s="1003" t="s">
        <v>8911</v>
      </c>
      <c r="C1823" s="1199" t="s">
        <v>1214</v>
      </c>
      <c r="D1823" s="1199">
        <v>4.07</v>
      </c>
      <c r="E1823" s="1199">
        <f t="shared" si="28"/>
        <v>3.41</v>
      </c>
    </row>
    <row r="1824" spans="1:5">
      <c r="A1824" s="1003" t="s">
        <v>8912</v>
      </c>
      <c r="B1824" s="1003" t="s">
        <v>8913</v>
      </c>
      <c r="C1824" s="1199" t="s">
        <v>1214</v>
      </c>
      <c r="D1824" s="1199">
        <v>1.22</v>
      </c>
      <c r="E1824" s="1199">
        <f t="shared" si="28"/>
        <v>1.02</v>
      </c>
    </row>
    <row r="1825" spans="1:5">
      <c r="A1825" s="1003" t="s">
        <v>8914</v>
      </c>
      <c r="B1825" s="1003" t="s">
        <v>8915</v>
      </c>
      <c r="C1825" s="1199" t="s">
        <v>1214</v>
      </c>
      <c r="D1825" s="1199">
        <v>12.23</v>
      </c>
      <c r="E1825" s="1199">
        <f t="shared" si="28"/>
        <v>10.23</v>
      </c>
    </row>
    <row r="1826" spans="1:5">
      <c r="A1826" s="1003" t="s">
        <v>8916</v>
      </c>
      <c r="B1826" s="1003" t="s">
        <v>8917</v>
      </c>
      <c r="C1826" s="1199" t="s">
        <v>1615</v>
      </c>
      <c r="D1826" s="1199">
        <v>12.23</v>
      </c>
      <c r="E1826" s="1199">
        <f t="shared" si="28"/>
        <v>10.23</v>
      </c>
    </row>
    <row r="1827" spans="1:5">
      <c r="A1827" s="1003" t="s">
        <v>8918</v>
      </c>
      <c r="B1827" s="1003" t="s">
        <v>8919</v>
      </c>
      <c r="C1827" s="1199" t="s">
        <v>1240</v>
      </c>
      <c r="D1827" s="1199">
        <v>252.55</v>
      </c>
      <c r="E1827" s="1199">
        <f t="shared" si="28"/>
        <v>211.34</v>
      </c>
    </row>
    <row r="1828" spans="1:5">
      <c r="A1828" s="1003" t="s">
        <v>8920</v>
      </c>
      <c r="B1828" s="1003" t="s">
        <v>8921</v>
      </c>
      <c r="C1828" s="1199" t="s">
        <v>1615</v>
      </c>
      <c r="D1828" s="1199">
        <v>10.19</v>
      </c>
      <c r="E1828" s="1199">
        <f t="shared" si="28"/>
        <v>8.5299999999999994</v>
      </c>
    </row>
    <row r="1829" spans="1:5">
      <c r="A1829" s="1003" t="s">
        <v>8922</v>
      </c>
      <c r="B1829" s="1003" t="s">
        <v>3501</v>
      </c>
      <c r="C1829" s="1199" t="s">
        <v>1652</v>
      </c>
      <c r="D1829" s="1199">
        <v>637.01</v>
      </c>
      <c r="E1829" s="1199">
        <f t="shared" si="28"/>
        <v>533.05999999999995</v>
      </c>
    </row>
    <row r="1830" spans="1:5">
      <c r="A1830" s="1003" t="s">
        <v>8923</v>
      </c>
      <c r="B1830" s="1003" t="s">
        <v>8924</v>
      </c>
      <c r="C1830" s="1199" t="s">
        <v>1615</v>
      </c>
      <c r="D1830" s="1199">
        <v>122.3</v>
      </c>
      <c r="E1830" s="1199">
        <f t="shared" si="28"/>
        <v>102.34</v>
      </c>
    </row>
    <row r="1831" spans="1:5">
      <c r="A1831" s="1003" t="s">
        <v>8925</v>
      </c>
      <c r="B1831" s="1003" t="s">
        <v>8926</v>
      </c>
      <c r="C1831" s="1199" t="s">
        <v>1615</v>
      </c>
      <c r="D1831" s="1199">
        <v>32.61</v>
      </c>
      <c r="E1831" s="1199">
        <f t="shared" si="28"/>
        <v>27.29</v>
      </c>
    </row>
    <row r="1832" spans="1:5">
      <c r="A1832" s="1003" t="s">
        <v>8927</v>
      </c>
      <c r="B1832" s="1003" t="s">
        <v>8928</v>
      </c>
      <c r="C1832" s="1199" t="s">
        <v>1615</v>
      </c>
      <c r="D1832" s="1199">
        <v>4.47</v>
      </c>
      <c r="E1832" s="1199">
        <f t="shared" si="28"/>
        <v>3.74</v>
      </c>
    </row>
    <row r="1833" spans="1:5">
      <c r="A1833" s="1003" t="s">
        <v>8929</v>
      </c>
      <c r="B1833" s="1003" t="s">
        <v>8930</v>
      </c>
      <c r="C1833" s="1199" t="s">
        <v>1615</v>
      </c>
      <c r="D1833" s="1199">
        <v>40.76</v>
      </c>
      <c r="E1833" s="1199">
        <f t="shared" si="28"/>
        <v>34.11</v>
      </c>
    </row>
    <row r="1834" spans="1:5">
      <c r="A1834" s="1003" t="s">
        <v>8931</v>
      </c>
      <c r="B1834" s="1003" t="s">
        <v>8932</v>
      </c>
      <c r="C1834" s="1199" t="s">
        <v>1615</v>
      </c>
      <c r="D1834" s="1199">
        <v>81.53</v>
      </c>
      <c r="E1834" s="1199">
        <f t="shared" si="28"/>
        <v>68.23</v>
      </c>
    </row>
    <row r="1835" spans="1:5">
      <c r="A1835" s="1003" t="s">
        <v>8933</v>
      </c>
      <c r="B1835" s="1003" t="s">
        <v>8934</v>
      </c>
      <c r="C1835" s="1199" t="s">
        <v>1615</v>
      </c>
      <c r="D1835" s="1199">
        <v>61.15</v>
      </c>
      <c r="E1835" s="1199">
        <f t="shared" si="28"/>
        <v>51.17</v>
      </c>
    </row>
    <row r="1836" spans="1:5">
      <c r="A1836" s="1003" t="s">
        <v>8935</v>
      </c>
      <c r="B1836" s="1003" t="s">
        <v>8936</v>
      </c>
      <c r="C1836" s="1199" t="s">
        <v>1615</v>
      </c>
      <c r="D1836" s="1199">
        <v>282</v>
      </c>
      <c r="E1836" s="1199">
        <f t="shared" si="28"/>
        <v>235.98</v>
      </c>
    </row>
    <row r="1837" spans="1:5">
      <c r="A1837" s="1003" t="s">
        <v>8937</v>
      </c>
      <c r="B1837" s="1003" t="s">
        <v>8938</v>
      </c>
      <c r="C1837" s="1199" t="s">
        <v>1615</v>
      </c>
      <c r="D1837" s="1199">
        <v>282</v>
      </c>
      <c r="E1837" s="1199">
        <f t="shared" si="28"/>
        <v>235.98</v>
      </c>
    </row>
    <row r="1838" spans="1:5">
      <c r="A1838" s="1003" t="s">
        <v>8939</v>
      </c>
      <c r="B1838" s="1003" t="s">
        <v>8940</v>
      </c>
      <c r="C1838" s="1199" t="s">
        <v>1615</v>
      </c>
      <c r="D1838" s="1199">
        <v>282</v>
      </c>
      <c r="E1838" s="1199">
        <f t="shared" si="28"/>
        <v>235.98</v>
      </c>
    </row>
    <row r="1839" spans="1:5">
      <c r="A1839" s="1003" t="s">
        <v>8941</v>
      </c>
      <c r="B1839" s="1003" t="s">
        <v>3509</v>
      </c>
      <c r="C1839" s="1199" t="s">
        <v>1652</v>
      </c>
      <c r="D1839" s="1199">
        <v>637.01</v>
      </c>
      <c r="E1839" s="1199">
        <f t="shared" si="28"/>
        <v>533.05999999999995</v>
      </c>
    </row>
    <row r="1840" spans="1:5">
      <c r="A1840" s="1003" t="s">
        <v>8942</v>
      </c>
      <c r="B1840" s="1003" t="s">
        <v>8943</v>
      </c>
      <c r="C1840" s="1199" t="s">
        <v>1615</v>
      </c>
      <c r="D1840" s="1199">
        <v>40.76</v>
      </c>
      <c r="E1840" s="1199">
        <f t="shared" si="28"/>
        <v>34.11</v>
      </c>
    </row>
    <row r="1841" spans="1:5">
      <c r="A1841" s="1003" t="s">
        <v>8944</v>
      </c>
      <c r="B1841" s="1003" t="s">
        <v>8945</v>
      </c>
      <c r="C1841" s="1199" t="s">
        <v>1615</v>
      </c>
      <c r="D1841" s="1199">
        <v>163.07</v>
      </c>
      <c r="E1841" s="1199">
        <f t="shared" si="28"/>
        <v>136.46</v>
      </c>
    </row>
    <row r="1842" spans="1:5">
      <c r="A1842" s="1003" t="s">
        <v>8946</v>
      </c>
      <c r="B1842" s="1003" t="s">
        <v>8947</v>
      </c>
      <c r="C1842" s="1199" t="s">
        <v>1214</v>
      </c>
      <c r="D1842" s="1199">
        <v>8.15</v>
      </c>
      <c r="E1842" s="1199">
        <f t="shared" si="28"/>
        <v>6.82</v>
      </c>
    </row>
    <row r="1843" spans="1:5">
      <c r="A1843" s="1003" t="s">
        <v>8948</v>
      </c>
      <c r="B1843" s="1003" t="s">
        <v>8949</v>
      </c>
      <c r="C1843" s="1199" t="s">
        <v>1214</v>
      </c>
      <c r="D1843" s="1199">
        <v>20.38</v>
      </c>
      <c r="E1843" s="1199">
        <f t="shared" si="28"/>
        <v>17.05</v>
      </c>
    </row>
    <row r="1844" spans="1:5">
      <c r="A1844" s="1003" t="s">
        <v>8950</v>
      </c>
      <c r="B1844" s="1003" t="s">
        <v>8951</v>
      </c>
      <c r="C1844" s="1199" t="s">
        <v>1615</v>
      </c>
      <c r="D1844" s="1199">
        <v>8.15</v>
      </c>
      <c r="E1844" s="1199">
        <f t="shared" si="28"/>
        <v>6.82</v>
      </c>
    </row>
    <row r="1845" spans="1:5">
      <c r="A1845" s="1003" t="s">
        <v>8952</v>
      </c>
      <c r="B1845" s="1003" t="s">
        <v>8953</v>
      </c>
      <c r="C1845" s="1199" t="s">
        <v>1615</v>
      </c>
      <c r="D1845" s="1199">
        <v>40.76</v>
      </c>
      <c r="E1845" s="1199">
        <f t="shared" si="28"/>
        <v>34.11</v>
      </c>
    </row>
    <row r="1846" spans="1:5">
      <c r="A1846" s="1003" t="s">
        <v>8954</v>
      </c>
      <c r="B1846" s="1003" t="s">
        <v>3516</v>
      </c>
      <c r="C1846" s="1199" t="s">
        <v>1652</v>
      </c>
      <c r="D1846" s="1199">
        <v>637.01</v>
      </c>
      <c r="E1846" s="1199">
        <f t="shared" si="28"/>
        <v>533.05999999999995</v>
      </c>
    </row>
    <row r="1847" spans="1:5">
      <c r="A1847" s="1003" t="s">
        <v>8955</v>
      </c>
      <c r="B1847" s="1003" t="s">
        <v>3518</v>
      </c>
      <c r="C1847" s="1199" t="s">
        <v>6639</v>
      </c>
      <c r="D1847" s="1199">
        <v>24.11</v>
      </c>
      <c r="E1847" s="1199">
        <f t="shared" si="28"/>
        <v>20.18</v>
      </c>
    </row>
    <row r="1848" spans="1:5">
      <c r="A1848" s="1003" t="s">
        <v>8956</v>
      </c>
      <c r="B1848" s="1003" t="s">
        <v>3519</v>
      </c>
      <c r="C1848" s="1199" t="s">
        <v>6639</v>
      </c>
      <c r="D1848" s="1199">
        <v>24.47</v>
      </c>
      <c r="E1848" s="1199">
        <f t="shared" si="28"/>
        <v>20.48</v>
      </c>
    </row>
    <row r="1849" spans="1:5">
      <c r="A1849" s="1003" t="s">
        <v>8957</v>
      </c>
      <c r="B1849" s="1003" t="s">
        <v>3520</v>
      </c>
      <c r="C1849" s="1199" t="s">
        <v>1615</v>
      </c>
      <c r="D1849" s="1199">
        <v>161.66999999999999</v>
      </c>
      <c r="E1849" s="1199">
        <f t="shared" si="28"/>
        <v>135.29</v>
      </c>
    </row>
    <row r="1850" spans="1:5">
      <c r="A1850" s="1003" t="s">
        <v>8958</v>
      </c>
      <c r="B1850" s="1003" t="s">
        <v>3521</v>
      </c>
      <c r="C1850" s="1199" t="s">
        <v>1615</v>
      </c>
      <c r="D1850" s="1199">
        <v>1238.2</v>
      </c>
      <c r="E1850" s="1199">
        <f t="shared" si="28"/>
        <v>1036.1500000000001</v>
      </c>
    </row>
    <row r="1851" spans="1:5">
      <c r="A1851" s="1003" t="s">
        <v>8959</v>
      </c>
      <c r="B1851" s="1003" t="s">
        <v>3522</v>
      </c>
      <c r="C1851" s="1199" t="s">
        <v>1615</v>
      </c>
      <c r="D1851" s="1199">
        <v>591.79</v>
      </c>
      <c r="E1851" s="1199">
        <f t="shared" si="28"/>
        <v>495.22</v>
      </c>
    </row>
    <row r="1852" spans="1:5">
      <c r="A1852" s="1003" t="s">
        <v>8960</v>
      </c>
      <c r="B1852" s="1003" t="s">
        <v>3523</v>
      </c>
      <c r="C1852" s="1199" t="s">
        <v>1615</v>
      </c>
      <c r="D1852" s="1199">
        <v>587.72</v>
      </c>
      <c r="E1852" s="1199">
        <f t="shared" si="28"/>
        <v>491.82</v>
      </c>
    </row>
    <row r="1853" spans="1:5">
      <c r="A1853" s="1003" t="s">
        <v>8961</v>
      </c>
      <c r="B1853" s="1003" t="s">
        <v>3524</v>
      </c>
      <c r="C1853" s="1199" t="s">
        <v>1214</v>
      </c>
      <c r="D1853" s="1199">
        <v>40.43</v>
      </c>
      <c r="E1853" s="1199">
        <f t="shared" si="28"/>
        <v>33.83</v>
      </c>
    </row>
    <row r="1854" spans="1:5">
      <c r="A1854" s="1003" t="s">
        <v>8962</v>
      </c>
      <c r="B1854" s="1003" t="s">
        <v>8963</v>
      </c>
      <c r="C1854" s="1199" t="s">
        <v>1615</v>
      </c>
      <c r="D1854" s="1199">
        <v>92.25</v>
      </c>
      <c r="E1854" s="1199">
        <f t="shared" si="28"/>
        <v>77.2</v>
      </c>
    </row>
    <row r="1855" spans="1:5">
      <c r="A1855" s="1003" t="s">
        <v>8964</v>
      </c>
      <c r="B1855" s="1003" t="s">
        <v>3527</v>
      </c>
      <c r="C1855" s="1199" t="s">
        <v>1615</v>
      </c>
      <c r="D1855" s="1199">
        <v>76.209999999999994</v>
      </c>
      <c r="E1855" s="1199">
        <f t="shared" si="28"/>
        <v>63.77</v>
      </c>
    </row>
    <row r="1856" spans="1:5">
      <c r="A1856" s="1003" t="s">
        <v>8965</v>
      </c>
      <c r="B1856" s="1003" t="s">
        <v>3528</v>
      </c>
      <c r="C1856" s="1199" t="s">
        <v>1615</v>
      </c>
      <c r="D1856" s="1199">
        <v>82.33</v>
      </c>
      <c r="E1856" s="1199">
        <f t="shared" si="28"/>
        <v>68.900000000000006</v>
      </c>
    </row>
    <row r="1857" spans="1:5">
      <c r="A1857" s="1003" t="s">
        <v>8966</v>
      </c>
      <c r="B1857" s="1003" t="s">
        <v>3529</v>
      </c>
      <c r="C1857" s="1199" t="s">
        <v>1214</v>
      </c>
      <c r="D1857" s="1199">
        <v>92.65</v>
      </c>
      <c r="E1857" s="1199">
        <f t="shared" si="28"/>
        <v>77.53</v>
      </c>
    </row>
    <row r="1858" spans="1:5">
      <c r="A1858" s="1003" t="s">
        <v>8967</v>
      </c>
      <c r="B1858" s="1003" t="s">
        <v>3530</v>
      </c>
      <c r="C1858" s="1199" t="s">
        <v>1214</v>
      </c>
      <c r="D1858" s="1199">
        <v>153.61000000000001</v>
      </c>
      <c r="E1858" s="1199">
        <f t="shared" si="28"/>
        <v>128.54</v>
      </c>
    </row>
    <row r="1859" spans="1:5">
      <c r="A1859" s="1003" t="s">
        <v>8968</v>
      </c>
      <c r="B1859" s="1003" t="s">
        <v>3531</v>
      </c>
      <c r="C1859" s="1199" t="s">
        <v>1615</v>
      </c>
      <c r="D1859" s="1199">
        <v>32.19</v>
      </c>
      <c r="E1859" s="1199">
        <f t="shared" si="28"/>
        <v>26.94</v>
      </c>
    </row>
    <row r="1860" spans="1:5">
      <c r="A1860" s="1003" t="s">
        <v>8969</v>
      </c>
      <c r="B1860" s="1003" t="s">
        <v>3532</v>
      </c>
      <c r="C1860" s="1199" t="s">
        <v>1615</v>
      </c>
      <c r="D1860" s="1199">
        <v>56.41</v>
      </c>
      <c r="E1860" s="1199">
        <f t="shared" ref="E1860:E1923" si="29">ROUND(D1860/1.195,2)</f>
        <v>47.21</v>
      </c>
    </row>
    <row r="1861" spans="1:5">
      <c r="A1861" s="1003" t="s">
        <v>8970</v>
      </c>
      <c r="B1861" s="1003" t="s">
        <v>3534</v>
      </c>
      <c r="C1861" s="1199" t="s">
        <v>1615</v>
      </c>
      <c r="D1861" s="1199">
        <v>520.71</v>
      </c>
      <c r="E1861" s="1199">
        <f t="shared" si="29"/>
        <v>435.74</v>
      </c>
    </row>
    <row r="1862" spans="1:5">
      <c r="A1862" s="1003" t="s">
        <v>8971</v>
      </c>
      <c r="B1862" s="1003" t="s">
        <v>3536</v>
      </c>
      <c r="C1862" s="1199" t="s">
        <v>1615</v>
      </c>
      <c r="D1862" s="1199">
        <v>404.79</v>
      </c>
      <c r="E1862" s="1199">
        <f t="shared" si="29"/>
        <v>338.74</v>
      </c>
    </row>
    <row r="1863" spans="1:5">
      <c r="A1863" s="1003" t="s">
        <v>8972</v>
      </c>
      <c r="B1863" s="1003" t="s">
        <v>3537</v>
      </c>
      <c r="C1863" s="1199" t="s">
        <v>1214</v>
      </c>
      <c r="D1863" s="1199">
        <v>201.61</v>
      </c>
      <c r="E1863" s="1199">
        <f t="shared" si="29"/>
        <v>168.71</v>
      </c>
    </row>
    <row r="1864" spans="1:5">
      <c r="A1864" s="1003" t="s">
        <v>8973</v>
      </c>
      <c r="B1864" s="1003" t="s">
        <v>3538</v>
      </c>
      <c r="C1864" s="1199" t="s">
        <v>1214</v>
      </c>
      <c r="D1864" s="1199">
        <v>250.65</v>
      </c>
      <c r="E1864" s="1199">
        <f t="shared" si="29"/>
        <v>209.75</v>
      </c>
    </row>
    <row r="1865" spans="1:5">
      <c r="A1865" s="1003" t="s">
        <v>8974</v>
      </c>
      <c r="B1865" s="1003" t="s">
        <v>3539</v>
      </c>
      <c r="C1865" s="1199" t="s">
        <v>1214</v>
      </c>
      <c r="D1865" s="1199">
        <v>68.84</v>
      </c>
      <c r="E1865" s="1199">
        <f t="shared" si="29"/>
        <v>57.61</v>
      </c>
    </row>
    <row r="1866" spans="1:5">
      <c r="A1866" s="1003" t="s">
        <v>8975</v>
      </c>
      <c r="B1866" s="1003" t="s">
        <v>3540</v>
      </c>
      <c r="C1866" s="1199" t="s">
        <v>1214</v>
      </c>
      <c r="D1866" s="1199">
        <v>81.62</v>
      </c>
      <c r="E1866" s="1199">
        <f t="shared" si="29"/>
        <v>68.3</v>
      </c>
    </row>
    <row r="1867" spans="1:5">
      <c r="A1867" s="1003" t="s">
        <v>8976</v>
      </c>
      <c r="B1867" s="1003" t="s">
        <v>3541</v>
      </c>
      <c r="C1867" s="1199" t="s">
        <v>1214</v>
      </c>
      <c r="D1867" s="1199">
        <v>87.52</v>
      </c>
      <c r="E1867" s="1199">
        <f t="shared" si="29"/>
        <v>73.239999999999995</v>
      </c>
    </row>
    <row r="1868" spans="1:5">
      <c r="A1868" s="1003" t="s">
        <v>8977</v>
      </c>
      <c r="B1868" s="1003" t="s">
        <v>3542</v>
      </c>
      <c r="C1868" s="1199" t="s">
        <v>1615</v>
      </c>
      <c r="D1868" s="1199">
        <v>2489.48</v>
      </c>
      <c r="E1868" s="1199">
        <f t="shared" si="29"/>
        <v>2083.25</v>
      </c>
    </row>
    <row r="1869" spans="1:5">
      <c r="A1869" s="1003" t="s">
        <v>8978</v>
      </c>
      <c r="B1869" s="1003" t="s">
        <v>3543</v>
      </c>
      <c r="C1869" s="1199" t="s">
        <v>1615</v>
      </c>
      <c r="D1869" s="1199">
        <v>472.92</v>
      </c>
      <c r="E1869" s="1199">
        <f t="shared" si="29"/>
        <v>395.75</v>
      </c>
    </row>
    <row r="1870" spans="1:5">
      <c r="A1870" s="1003" t="s">
        <v>8979</v>
      </c>
      <c r="B1870" s="1003" t="s">
        <v>3544</v>
      </c>
      <c r="C1870" s="1199" t="s">
        <v>1615</v>
      </c>
      <c r="D1870" s="1199">
        <v>461.09</v>
      </c>
      <c r="E1870" s="1199">
        <f t="shared" si="29"/>
        <v>385.85</v>
      </c>
    </row>
    <row r="1871" spans="1:5">
      <c r="A1871" s="1003" t="s">
        <v>8980</v>
      </c>
      <c r="B1871" s="1003" t="s">
        <v>8981</v>
      </c>
      <c r="C1871" s="1199" t="s">
        <v>1615</v>
      </c>
      <c r="D1871" s="1199">
        <v>1659.45</v>
      </c>
      <c r="E1871" s="1199">
        <f t="shared" si="29"/>
        <v>1388.66</v>
      </c>
    </row>
    <row r="1872" spans="1:5">
      <c r="A1872" s="1003" t="s">
        <v>8982</v>
      </c>
      <c r="B1872" s="1003" t="s">
        <v>8983</v>
      </c>
      <c r="C1872" s="1199" t="s">
        <v>1615</v>
      </c>
      <c r="D1872" s="1199">
        <v>3326.7</v>
      </c>
      <c r="E1872" s="1199">
        <f t="shared" si="29"/>
        <v>2783.85</v>
      </c>
    </row>
    <row r="1873" spans="1:5">
      <c r="A1873" s="1003" t="s">
        <v>8984</v>
      </c>
      <c r="B1873" s="1003" t="s">
        <v>8985</v>
      </c>
      <c r="C1873" s="1199" t="s">
        <v>1615</v>
      </c>
      <c r="D1873" s="1199">
        <v>22469.040000000001</v>
      </c>
      <c r="E1873" s="1199">
        <f t="shared" si="29"/>
        <v>18802.54</v>
      </c>
    </row>
    <row r="1874" spans="1:5">
      <c r="A1874" s="1003" t="s">
        <v>8986</v>
      </c>
      <c r="B1874" s="1003" t="s">
        <v>3550</v>
      </c>
      <c r="C1874" s="1199" t="s">
        <v>1615</v>
      </c>
      <c r="D1874" s="1199">
        <v>1797.89</v>
      </c>
      <c r="E1874" s="1199">
        <f t="shared" si="29"/>
        <v>1504.51</v>
      </c>
    </row>
    <row r="1875" spans="1:5">
      <c r="A1875" s="1003" t="s">
        <v>8987</v>
      </c>
      <c r="B1875" s="1003" t="s">
        <v>3551</v>
      </c>
      <c r="C1875" s="1199" t="s">
        <v>1615</v>
      </c>
      <c r="D1875" s="1199">
        <v>762.24</v>
      </c>
      <c r="E1875" s="1199">
        <f t="shared" si="29"/>
        <v>637.86</v>
      </c>
    </row>
    <row r="1876" spans="1:5">
      <c r="A1876" s="1003" t="s">
        <v>8988</v>
      </c>
      <c r="B1876" s="1003" t="s">
        <v>8989</v>
      </c>
      <c r="C1876" s="1199" t="s">
        <v>1615</v>
      </c>
      <c r="D1876" s="1199">
        <v>4161.3500000000004</v>
      </c>
      <c r="E1876" s="1199">
        <f t="shared" si="29"/>
        <v>3482.3</v>
      </c>
    </row>
    <row r="1877" spans="1:5">
      <c r="A1877" s="1003" t="s">
        <v>8990</v>
      </c>
      <c r="B1877" s="1003" t="s">
        <v>3553</v>
      </c>
      <c r="C1877" s="1199" t="s">
        <v>1615</v>
      </c>
      <c r="D1877" s="1199">
        <v>246.13</v>
      </c>
      <c r="E1877" s="1199">
        <f t="shared" si="29"/>
        <v>205.97</v>
      </c>
    </row>
    <row r="1878" spans="1:5">
      <c r="A1878" s="1003" t="s">
        <v>8991</v>
      </c>
      <c r="B1878" s="1003" t="s">
        <v>3554</v>
      </c>
      <c r="C1878" s="1199" t="s">
        <v>1615</v>
      </c>
      <c r="D1878" s="1199">
        <v>692.31</v>
      </c>
      <c r="E1878" s="1199">
        <f t="shared" si="29"/>
        <v>579.34</v>
      </c>
    </row>
    <row r="1879" spans="1:5">
      <c r="A1879" s="1003" t="s">
        <v>8992</v>
      </c>
      <c r="B1879" s="1003" t="s">
        <v>3555</v>
      </c>
      <c r="C1879" s="1199" t="s">
        <v>2087</v>
      </c>
      <c r="D1879" s="1199">
        <v>731.94</v>
      </c>
      <c r="E1879" s="1199">
        <f t="shared" si="29"/>
        <v>612.5</v>
      </c>
    </row>
    <row r="1880" spans="1:5">
      <c r="A1880" s="1003" t="s">
        <v>8993</v>
      </c>
      <c r="B1880" s="1003" t="s">
        <v>3556</v>
      </c>
      <c r="C1880" s="1199" t="s">
        <v>1615</v>
      </c>
      <c r="D1880" s="1199">
        <v>238.53</v>
      </c>
      <c r="E1880" s="1199">
        <f t="shared" si="29"/>
        <v>199.61</v>
      </c>
    </row>
    <row r="1881" spans="1:5">
      <c r="A1881" s="1003" t="s">
        <v>8994</v>
      </c>
      <c r="B1881" s="1003" t="s">
        <v>3559</v>
      </c>
      <c r="C1881" s="1199" t="s">
        <v>1615</v>
      </c>
      <c r="D1881" s="1199">
        <v>81.7</v>
      </c>
      <c r="E1881" s="1199">
        <f t="shared" si="29"/>
        <v>68.37</v>
      </c>
    </row>
    <row r="1882" spans="1:5">
      <c r="A1882" s="1003" t="s">
        <v>8995</v>
      </c>
      <c r="B1882" s="1003" t="s">
        <v>8996</v>
      </c>
      <c r="C1882" s="1199" t="s">
        <v>1615</v>
      </c>
      <c r="D1882" s="1199">
        <v>493.46</v>
      </c>
      <c r="E1882" s="1199">
        <f t="shared" si="29"/>
        <v>412.94</v>
      </c>
    </row>
    <row r="1883" spans="1:5">
      <c r="A1883" s="1003" t="s">
        <v>8997</v>
      </c>
      <c r="B1883" s="1003" t="s">
        <v>3561</v>
      </c>
      <c r="C1883" s="1199" t="s">
        <v>1615</v>
      </c>
      <c r="D1883" s="1199">
        <v>396.71</v>
      </c>
      <c r="E1883" s="1199">
        <f t="shared" si="29"/>
        <v>331.97</v>
      </c>
    </row>
    <row r="1884" spans="1:5">
      <c r="A1884" s="1003" t="s">
        <v>8998</v>
      </c>
      <c r="B1884" s="1003" t="s">
        <v>3562</v>
      </c>
      <c r="C1884" s="1199" t="s">
        <v>1615</v>
      </c>
      <c r="D1884" s="1199">
        <v>70.63</v>
      </c>
      <c r="E1884" s="1199">
        <f t="shared" si="29"/>
        <v>59.1</v>
      </c>
    </row>
    <row r="1885" spans="1:5">
      <c r="A1885" s="1003" t="s">
        <v>8999</v>
      </c>
      <c r="B1885" s="1003" t="s">
        <v>9000</v>
      </c>
      <c r="C1885" s="1199" t="s">
        <v>1615</v>
      </c>
      <c r="D1885" s="1199">
        <v>1035.8399999999999</v>
      </c>
      <c r="E1885" s="1199">
        <f t="shared" si="29"/>
        <v>866.81</v>
      </c>
    </row>
    <row r="1886" spans="1:5">
      <c r="A1886" s="1003" t="s">
        <v>9001</v>
      </c>
      <c r="B1886" s="1003" t="s">
        <v>9002</v>
      </c>
      <c r="C1886" s="1199" t="s">
        <v>1615</v>
      </c>
      <c r="D1886" s="1199">
        <v>1035.8399999999999</v>
      </c>
      <c r="E1886" s="1199">
        <f t="shared" si="29"/>
        <v>866.81</v>
      </c>
    </row>
    <row r="1887" spans="1:5">
      <c r="A1887" s="1003" t="s">
        <v>9003</v>
      </c>
      <c r="B1887" s="1003" t="s">
        <v>9004</v>
      </c>
      <c r="C1887" s="1199" t="s">
        <v>1615</v>
      </c>
      <c r="D1887" s="1199">
        <v>16601.48</v>
      </c>
      <c r="E1887" s="1199">
        <f t="shared" si="29"/>
        <v>13892.45</v>
      </c>
    </row>
    <row r="1888" spans="1:5">
      <c r="A1888" s="1003" t="s">
        <v>9005</v>
      </c>
      <c r="B1888" s="1003" t="s">
        <v>9006</v>
      </c>
      <c r="C1888" s="1199" t="s">
        <v>1615</v>
      </c>
      <c r="D1888" s="1199">
        <v>26503.09</v>
      </c>
      <c r="E1888" s="1199">
        <f t="shared" si="29"/>
        <v>22178.32</v>
      </c>
    </row>
    <row r="1889" spans="1:5">
      <c r="A1889" s="1003" t="s">
        <v>9007</v>
      </c>
      <c r="B1889" s="1003" t="s">
        <v>9008</v>
      </c>
      <c r="C1889" s="1199" t="s">
        <v>1615</v>
      </c>
      <c r="D1889" s="1199">
        <v>29487.41</v>
      </c>
      <c r="E1889" s="1199">
        <f t="shared" si="29"/>
        <v>24675.66</v>
      </c>
    </row>
    <row r="1890" spans="1:5">
      <c r="A1890" s="1003" t="s">
        <v>9009</v>
      </c>
      <c r="B1890" s="1003" t="s">
        <v>9010</v>
      </c>
      <c r="C1890" s="1199" t="s">
        <v>1615</v>
      </c>
      <c r="D1890" s="1199">
        <v>29339.03</v>
      </c>
      <c r="E1890" s="1199">
        <f t="shared" si="29"/>
        <v>24551.49</v>
      </c>
    </row>
    <row r="1891" spans="1:5">
      <c r="A1891" s="1003" t="s">
        <v>9011</v>
      </c>
      <c r="B1891" s="1003" t="s">
        <v>9012</v>
      </c>
      <c r="C1891" s="1199" t="s">
        <v>1615</v>
      </c>
      <c r="D1891" s="1199">
        <v>36220.769999999997</v>
      </c>
      <c r="E1891" s="1199">
        <f t="shared" si="29"/>
        <v>30310.27</v>
      </c>
    </row>
    <row r="1892" spans="1:5">
      <c r="A1892" s="1003" t="s">
        <v>9013</v>
      </c>
      <c r="B1892" s="1003" t="s">
        <v>9014</v>
      </c>
      <c r="C1892" s="1199" t="s">
        <v>1615</v>
      </c>
      <c r="D1892" s="1199">
        <v>49775.91</v>
      </c>
      <c r="E1892" s="1199">
        <f t="shared" si="29"/>
        <v>41653.480000000003</v>
      </c>
    </row>
    <row r="1893" spans="1:5">
      <c r="A1893" s="1003" t="s">
        <v>9015</v>
      </c>
      <c r="B1893" s="1003" t="s">
        <v>9016</v>
      </c>
      <c r="C1893" s="1199" t="s">
        <v>1615</v>
      </c>
      <c r="D1893" s="1199">
        <v>58848.18</v>
      </c>
      <c r="E1893" s="1199">
        <f t="shared" si="29"/>
        <v>49245.34</v>
      </c>
    </row>
    <row r="1894" spans="1:5">
      <c r="A1894" s="1003" t="s">
        <v>9017</v>
      </c>
      <c r="B1894" s="1003" t="s">
        <v>9018</v>
      </c>
      <c r="C1894" s="1199" t="s">
        <v>1615</v>
      </c>
      <c r="D1894" s="1199">
        <v>82587.31</v>
      </c>
      <c r="E1894" s="1199">
        <f t="shared" si="29"/>
        <v>69110.720000000001</v>
      </c>
    </row>
    <row r="1895" spans="1:5">
      <c r="A1895" s="1003" t="s">
        <v>9019</v>
      </c>
      <c r="B1895" s="1003" t="s">
        <v>3574</v>
      </c>
      <c r="C1895" s="1199" t="s">
        <v>1615</v>
      </c>
      <c r="D1895" s="1199">
        <v>236.67</v>
      </c>
      <c r="E1895" s="1199">
        <f t="shared" si="29"/>
        <v>198.05</v>
      </c>
    </row>
    <row r="1896" spans="1:5">
      <c r="A1896" s="1003" t="s">
        <v>9020</v>
      </c>
      <c r="B1896" s="1003" t="s">
        <v>3575</v>
      </c>
      <c r="C1896" s="1199" t="s">
        <v>1615</v>
      </c>
      <c r="D1896" s="1199">
        <v>943.53</v>
      </c>
      <c r="E1896" s="1199">
        <f t="shared" si="29"/>
        <v>789.56</v>
      </c>
    </row>
    <row r="1897" spans="1:5">
      <c r="A1897" s="1003" t="s">
        <v>9021</v>
      </c>
      <c r="B1897" s="1003" t="s">
        <v>3596</v>
      </c>
      <c r="C1897" s="1199" t="s">
        <v>1615</v>
      </c>
      <c r="D1897" s="1199">
        <v>83.57</v>
      </c>
      <c r="E1897" s="1199">
        <f t="shared" si="29"/>
        <v>69.930000000000007</v>
      </c>
    </row>
    <row r="1898" spans="1:5">
      <c r="A1898" s="1003" t="s">
        <v>9022</v>
      </c>
      <c r="B1898" s="1003" t="s">
        <v>9023</v>
      </c>
      <c r="C1898" s="1199" t="s">
        <v>1652</v>
      </c>
      <c r="D1898" s="1199">
        <v>637.01</v>
      </c>
      <c r="E1898" s="1199">
        <f t="shared" si="29"/>
        <v>533.05999999999995</v>
      </c>
    </row>
    <row r="1899" spans="1:5">
      <c r="A1899" s="1003" t="s">
        <v>9024</v>
      </c>
      <c r="B1899" s="1003" t="s">
        <v>3599</v>
      </c>
      <c r="C1899" s="1199" t="s">
        <v>1615</v>
      </c>
      <c r="D1899" s="1199">
        <v>1723.64</v>
      </c>
      <c r="E1899" s="1199">
        <f t="shared" si="29"/>
        <v>1442.38</v>
      </c>
    </row>
    <row r="1900" spans="1:5">
      <c r="A1900" s="1003" t="s">
        <v>9025</v>
      </c>
      <c r="B1900" s="1003" t="s">
        <v>9026</v>
      </c>
      <c r="C1900" s="1199" t="s">
        <v>1615</v>
      </c>
      <c r="D1900" s="1199">
        <v>23.56</v>
      </c>
      <c r="E1900" s="1199">
        <f t="shared" si="29"/>
        <v>19.72</v>
      </c>
    </row>
    <row r="1901" spans="1:5">
      <c r="A1901" s="1003" t="s">
        <v>9027</v>
      </c>
      <c r="B1901" s="1003" t="s">
        <v>3602</v>
      </c>
      <c r="C1901" s="1199" t="s">
        <v>1615</v>
      </c>
      <c r="D1901" s="1199">
        <v>24.75</v>
      </c>
      <c r="E1901" s="1199">
        <f t="shared" si="29"/>
        <v>20.71</v>
      </c>
    </row>
    <row r="1902" spans="1:5">
      <c r="A1902" s="1003" t="s">
        <v>9028</v>
      </c>
      <c r="B1902" s="1003" t="s">
        <v>3603</v>
      </c>
      <c r="C1902" s="1199" t="s">
        <v>1615</v>
      </c>
      <c r="D1902" s="1199">
        <v>38.65</v>
      </c>
      <c r="E1902" s="1199">
        <f t="shared" si="29"/>
        <v>32.340000000000003</v>
      </c>
    </row>
    <row r="1903" spans="1:5">
      <c r="A1903" s="1003" t="s">
        <v>9029</v>
      </c>
      <c r="B1903" s="1003" t="s">
        <v>3604</v>
      </c>
      <c r="C1903" s="1199" t="s">
        <v>1615</v>
      </c>
      <c r="D1903" s="1199">
        <v>50.04</v>
      </c>
      <c r="E1903" s="1199">
        <f t="shared" si="29"/>
        <v>41.87</v>
      </c>
    </row>
    <row r="1904" spans="1:5">
      <c r="A1904" s="1003" t="s">
        <v>9030</v>
      </c>
      <c r="B1904" s="1003" t="s">
        <v>3605</v>
      </c>
      <c r="C1904" s="1199" t="s">
        <v>1615</v>
      </c>
      <c r="D1904" s="1199">
        <v>14.19</v>
      </c>
      <c r="E1904" s="1199">
        <f t="shared" si="29"/>
        <v>11.87</v>
      </c>
    </row>
    <row r="1905" spans="1:5">
      <c r="A1905" s="1003" t="s">
        <v>9031</v>
      </c>
      <c r="B1905" s="1003" t="s">
        <v>3606</v>
      </c>
      <c r="C1905" s="1199" t="s">
        <v>1615</v>
      </c>
      <c r="D1905" s="1199">
        <v>17.18</v>
      </c>
      <c r="E1905" s="1199">
        <f t="shared" si="29"/>
        <v>14.38</v>
      </c>
    </row>
    <row r="1906" spans="1:5">
      <c r="A1906" s="1003" t="s">
        <v>9032</v>
      </c>
      <c r="B1906" s="1003" t="s">
        <v>3607</v>
      </c>
      <c r="C1906" s="1199" t="s">
        <v>1615</v>
      </c>
      <c r="D1906" s="1199">
        <v>7.93</v>
      </c>
      <c r="E1906" s="1199">
        <f t="shared" si="29"/>
        <v>6.64</v>
      </c>
    </row>
    <row r="1907" spans="1:5">
      <c r="A1907" s="1003" t="s">
        <v>9033</v>
      </c>
      <c r="B1907" s="1003" t="s">
        <v>3611</v>
      </c>
      <c r="C1907" s="1199" t="s">
        <v>1615</v>
      </c>
      <c r="D1907" s="1199">
        <v>19.98</v>
      </c>
      <c r="E1907" s="1199">
        <f t="shared" si="29"/>
        <v>16.72</v>
      </c>
    </row>
    <row r="1908" spans="1:5">
      <c r="A1908" s="1003" t="s">
        <v>9034</v>
      </c>
      <c r="B1908" s="1003" t="s">
        <v>3612</v>
      </c>
      <c r="C1908" s="1199" t="s">
        <v>1615</v>
      </c>
      <c r="D1908" s="1199">
        <v>24.12</v>
      </c>
      <c r="E1908" s="1199">
        <f t="shared" si="29"/>
        <v>20.18</v>
      </c>
    </row>
    <row r="1909" spans="1:5">
      <c r="A1909" s="1003" t="s">
        <v>9035</v>
      </c>
      <c r="B1909" s="1003" t="s">
        <v>3613</v>
      </c>
      <c r="C1909" s="1199" t="s">
        <v>1615</v>
      </c>
      <c r="D1909" s="1199">
        <v>22.85</v>
      </c>
      <c r="E1909" s="1199">
        <f t="shared" si="29"/>
        <v>19.12</v>
      </c>
    </row>
    <row r="1910" spans="1:5">
      <c r="A1910" s="1003" t="s">
        <v>9036</v>
      </c>
      <c r="B1910" s="1003" t="s">
        <v>3614</v>
      </c>
      <c r="C1910" s="1199" t="s">
        <v>1615</v>
      </c>
      <c r="D1910" s="1199">
        <v>28.22</v>
      </c>
      <c r="E1910" s="1199">
        <f t="shared" si="29"/>
        <v>23.62</v>
      </c>
    </row>
    <row r="1911" spans="1:5">
      <c r="A1911" s="1003" t="s">
        <v>9037</v>
      </c>
      <c r="B1911" s="1003" t="s">
        <v>3615</v>
      </c>
      <c r="C1911" s="1199" t="s">
        <v>1615</v>
      </c>
      <c r="D1911" s="1199">
        <v>33.61</v>
      </c>
      <c r="E1911" s="1199">
        <f t="shared" si="29"/>
        <v>28.13</v>
      </c>
    </row>
    <row r="1912" spans="1:5">
      <c r="A1912" s="1003" t="s">
        <v>9038</v>
      </c>
      <c r="B1912" s="1003" t="s">
        <v>3616</v>
      </c>
      <c r="C1912" s="1199" t="s">
        <v>1615</v>
      </c>
      <c r="D1912" s="1199">
        <v>33.42</v>
      </c>
      <c r="E1912" s="1199">
        <f t="shared" si="29"/>
        <v>27.97</v>
      </c>
    </row>
    <row r="1913" spans="1:5">
      <c r="A1913" s="1003" t="s">
        <v>9039</v>
      </c>
      <c r="B1913" s="1003" t="s">
        <v>3617</v>
      </c>
      <c r="C1913" s="1199" t="s">
        <v>1615</v>
      </c>
      <c r="D1913" s="1199">
        <v>41.27</v>
      </c>
      <c r="E1913" s="1199">
        <f t="shared" si="29"/>
        <v>34.54</v>
      </c>
    </row>
    <row r="1914" spans="1:5">
      <c r="A1914" s="1003" t="s">
        <v>9040</v>
      </c>
      <c r="B1914" s="1003" t="s">
        <v>3618</v>
      </c>
      <c r="C1914" s="1199" t="s">
        <v>1615</v>
      </c>
      <c r="D1914" s="1199">
        <v>55.79</v>
      </c>
      <c r="E1914" s="1199">
        <f t="shared" si="29"/>
        <v>46.69</v>
      </c>
    </row>
    <row r="1915" spans="1:5">
      <c r="A1915" s="1003" t="s">
        <v>9041</v>
      </c>
      <c r="B1915" s="1003" t="s">
        <v>3619</v>
      </c>
      <c r="C1915" s="1199" t="s">
        <v>1615</v>
      </c>
      <c r="D1915" s="1199">
        <v>57.39</v>
      </c>
      <c r="E1915" s="1199">
        <f t="shared" si="29"/>
        <v>48.03</v>
      </c>
    </row>
    <row r="1916" spans="1:5">
      <c r="A1916" s="1003" t="s">
        <v>9042</v>
      </c>
      <c r="B1916" s="1003" t="s">
        <v>3620</v>
      </c>
      <c r="C1916" s="1199" t="s">
        <v>1615</v>
      </c>
      <c r="D1916" s="1199">
        <v>71.05</v>
      </c>
      <c r="E1916" s="1199">
        <f t="shared" si="29"/>
        <v>59.46</v>
      </c>
    </row>
    <row r="1917" spans="1:5">
      <c r="A1917" s="1003" t="s">
        <v>9043</v>
      </c>
      <c r="B1917" s="1003" t="s">
        <v>3621</v>
      </c>
      <c r="C1917" s="1199" t="s">
        <v>1615</v>
      </c>
      <c r="D1917" s="1199">
        <v>73.8</v>
      </c>
      <c r="E1917" s="1199">
        <f t="shared" si="29"/>
        <v>61.76</v>
      </c>
    </row>
    <row r="1918" spans="1:5">
      <c r="A1918" s="1003" t="s">
        <v>9044</v>
      </c>
      <c r="B1918" s="1003" t="s">
        <v>3624</v>
      </c>
      <c r="C1918" s="1199" t="s">
        <v>1240</v>
      </c>
      <c r="D1918" s="1199">
        <v>319.44</v>
      </c>
      <c r="E1918" s="1199">
        <f t="shared" si="29"/>
        <v>267.31</v>
      </c>
    </row>
    <row r="1919" spans="1:5">
      <c r="A1919" s="1003" t="s">
        <v>9045</v>
      </c>
      <c r="B1919" s="1003" t="s">
        <v>3625</v>
      </c>
      <c r="C1919" s="1199" t="s">
        <v>1615</v>
      </c>
      <c r="D1919" s="1199">
        <v>59.18</v>
      </c>
      <c r="E1919" s="1199">
        <f t="shared" si="29"/>
        <v>49.52</v>
      </c>
    </row>
    <row r="1920" spans="1:5">
      <c r="A1920" s="1003" t="s">
        <v>9046</v>
      </c>
      <c r="B1920" s="1003" t="s">
        <v>3642</v>
      </c>
      <c r="C1920" s="1199" t="s">
        <v>1615</v>
      </c>
      <c r="D1920" s="1199">
        <v>355.58</v>
      </c>
      <c r="E1920" s="1199">
        <f t="shared" si="29"/>
        <v>297.56</v>
      </c>
    </row>
    <row r="1921" spans="1:5">
      <c r="A1921" s="1003" t="s">
        <v>9047</v>
      </c>
      <c r="B1921" s="1003" t="s">
        <v>3643</v>
      </c>
      <c r="C1921" s="1199" t="s">
        <v>1615</v>
      </c>
      <c r="D1921" s="1199">
        <v>552.67999999999995</v>
      </c>
      <c r="E1921" s="1199">
        <f t="shared" si="29"/>
        <v>462.49</v>
      </c>
    </row>
    <row r="1922" spans="1:5">
      <c r="A1922" s="1003" t="s">
        <v>9048</v>
      </c>
      <c r="B1922" s="1003" t="s">
        <v>3644</v>
      </c>
      <c r="C1922" s="1199" t="s">
        <v>1615</v>
      </c>
      <c r="D1922" s="1199">
        <v>1326.78</v>
      </c>
      <c r="E1922" s="1199">
        <f t="shared" si="29"/>
        <v>1110.28</v>
      </c>
    </row>
    <row r="1923" spans="1:5">
      <c r="A1923" s="1003" t="s">
        <v>9049</v>
      </c>
      <c r="B1923" s="1003" t="s">
        <v>3645</v>
      </c>
      <c r="C1923" s="1199" t="s">
        <v>1615</v>
      </c>
      <c r="D1923" s="1199">
        <v>2444.7800000000002</v>
      </c>
      <c r="E1923" s="1199">
        <f t="shared" si="29"/>
        <v>2045.84</v>
      </c>
    </row>
    <row r="1924" spans="1:5">
      <c r="A1924" s="1003" t="s">
        <v>9050</v>
      </c>
      <c r="B1924" s="1003" t="s">
        <v>9051</v>
      </c>
      <c r="C1924" s="1199" t="s">
        <v>1214</v>
      </c>
      <c r="D1924" s="1199">
        <v>50.84</v>
      </c>
      <c r="E1924" s="1199">
        <f t="shared" ref="E1924:E1987" si="30">ROUND(D1924/1.195,2)</f>
        <v>42.54</v>
      </c>
    </row>
    <row r="1925" spans="1:5">
      <c r="A1925" s="1003" t="s">
        <v>9052</v>
      </c>
      <c r="B1925" s="1003" t="s">
        <v>3653</v>
      </c>
      <c r="C1925" s="1199" t="s">
        <v>1652</v>
      </c>
      <c r="D1925" s="1199">
        <v>637.01</v>
      </c>
      <c r="E1925" s="1199">
        <f t="shared" si="30"/>
        <v>533.05999999999995</v>
      </c>
    </row>
    <row r="1926" spans="1:5">
      <c r="A1926" s="1003" t="s">
        <v>9053</v>
      </c>
      <c r="B1926" s="1003" t="s">
        <v>3655</v>
      </c>
      <c r="C1926" s="1199" t="s">
        <v>1615</v>
      </c>
      <c r="D1926" s="1199">
        <v>502.24</v>
      </c>
      <c r="E1926" s="1199">
        <f t="shared" si="30"/>
        <v>420.28</v>
      </c>
    </row>
    <row r="1927" spans="1:5">
      <c r="A1927" s="1003" t="s">
        <v>9054</v>
      </c>
      <c r="B1927" s="1003" t="s">
        <v>9055</v>
      </c>
      <c r="C1927" s="1199" t="s">
        <v>1615</v>
      </c>
      <c r="D1927" s="1199">
        <v>1904.07</v>
      </c>
      <c r="E1927" s="1199">
        <f t="shared" si="30"/>
        <v>1593.36</v>
      </c>
    </row>
    <row r="1928" spans="1:5">
      <c r="A1928" s="1003" t="s">
        <v>9056</v>
      </c>
      <c r="B1928" s="1003" t="s">
        <v>3658</v>
      </c>
      <c r="C1928" s="1199" t="s">
        <v>1615</v>
      </c>
      <c r="D1928" s="1199">
        <v>2324.52</v>
      </c>
      <c r="E1928" s="1199">
        <f t="shared" si="30"/>
        <v>1945.21</v>
      </c>
    </row>
    <row r="1929" spans="1:5">
      <c r="A1929" s="1003" t="s">
        <v>9057</v>
      </c>
      <c r="B1929" s="1003" t="s">
        <v>3673</v>
      </c>
      <c r="C1929" s="1199" t="s">
        <v>1615</v>
      </c>
      <c r="D1929" s="1199">
        <v>79.81</v>
      </c>
      <c r="E1929" s="1199">
        <f t="shared" si="30"/>
        <v>66.790000000000006</v>
      </c>
    </row>
    <row r="1930" spans="1:5">
      <c r="A1930" s="1003" t="s">
        <v>9058</v>
      </c>
      <c r="B1930" s="1003" t="s">
        <v>3674</v>
      </c>
      <c r="C1930" s="1199" t="s">
        <v>1615</v>
      </c>
      <c r="D1930" s="1199">
        <v>285.93</v>
      </c>
      <c r="E1930" s="1199">
        <f t="shared" si="30"/>
        <v>239.27</v>
      </c>
    </row>
    <row r="1931" spans="1:5">
      <c r="A1931" s="1003" t="s">
        <v>9059</v>
      </c>
      <c r="B1931" s="1003" t="s">
        <v>3675</v>
      </c>
      <c r="C1931" s="1199" t="s">
        <v>1615</v>
      </c>
      <c r="D1931" s="1199">
        <v>49.79</v>
      </c>
      <c r="E1931" s="1199">
        <f t="shared" si="30"/>
        <v>41.67</v>
      </c>
    </row>
    <row r="1932" spans="1:5">
      <c r="A1932" s="1003" t="s">
        <v>9060</v>
      </c>
      <c r="B1932" s="1003" t="s">
        <v>3670</v>
      </c>
      <c r="C1932" s="1199" t="s">
        <v>1615</v>
      </c>
      <c r="D1932" s="1199">
        <v>19.059999999999999</v>
      </c>
      <c r="E1932" s="1199">
        <f t="shared" si="30"/>
        <v>15.95</v>
      </c>
    </row>
    <row r="1933" spans="1:5">
      <c r="A1933" s="1003" t="s">
        <v>9061</v>
      </c>
      <c r="B1933" s="1003" t="s">
        <v>3671</v>
      </c>
      <c r="C1933" s="1199" t="s">
        <v>1615</v>
      </c>
      <c r="D1933" s="1199">
        <v>25.72</v>
      </c>
      <c r="E1933" s="1199">
        <f t="shared" si="30"/>
        <v>21.52</v>
      </c>
    </row>
    <row r="1934" spans="1:5">
      <c r="A1934" s="1003" t="s">
        <v>9062</v>
      </c>
      <c r="B1934" s="1003" t="s">
        <v>3672</v>
      </c>
      <c r="C1934" s="1199" t="s">
        <v>1615</v>
      </c>
      <c r="D1934" s="1199">
        <v>43.37</v>
      </c>
      <c r="E1934" s="1199">
        <f t="shared" si="30"/>
        <v>36.29</v>
      </c>
    </row>
    <row r="1935" spans="1:5">
      <c r="A1935" s="1003" t="s">
        <v>9063</v>
      </c>
      <c r="B1935" s="1003" t="s">
        <v>9064</v>
      </c>
      <c r="C1935" s="1199" t="s">
        <v>1615</v>
      </c>
      <c r="D1935" s="1199">
        <v>111.31</v>
      </c>
      <c r="E1935" s="1199">
        <f t="shared" si="30"/>
        <v>93.15</v>
      </c>
    </row>
    <row r="1936" spans="1:5">
      <c r="A1936" s="1003" t="s">
        <v>9065</v>
      </c>
      <c r="B1936" s="1003" t="s">
        <v>9066</v>
      </c>
      <c r="C1936" s="1199" t="s">
        <v>1615</v>
      </c>
      <c r="D1936" s="1199">
        <v>134.74</v>
      </c>
      <c r="E1936" s="1199">
        <f t="shared" si="30"/>
        <v>112.75</v>
      </c>
    </row>
    <row r="1937" spans="1:5">
      <c r="A1937" s="1003" t="s">
        <v>9067</v>
      </c>
      <c r="B1937" s="1003" t="s">
        <v>9068</v>
      </c>
      <c r="C1937" s="1199" t="s">
        <v>1615</v>
      </c>
      <c r="D1937" s="1199">
        <v>635.01</v>
      </c>
      <c r="E1937" s="1199">
        <f t="shared" si="30"/>
        <v>531.39</v>
      </c>
    </row>
    <row r="1938" spans="1:5">
      <c r="A1938" s="1003" t="s">
        <v>9069</v>
      </c>
      <c r="B1938" s="1003" t="s">
        <v>9070</v>
      </c>
      <c r="C1938" s="1199" t="s">
        <v>1615</v>
      </c>
      <c r="D1938" s="1199">
        <v>115.27</v>
      </c>
      <c r="E1938" s="1199">
        <f t="shared" si="30"/>
        <v>96.46</v>
      </c>
    </row>
    <row r="1939" spans="1:5">
      <c r="A1939" s="1003" t="s">
        <v>9071</v>
      </c>
      <c r="B1939" s="1003" t="s">
        <v>9072</v>
      </c>
      <c r="C1939" s="1199" t="s">
        <v>1615</v>
      </c>
      <c r="D1939" s="1199">
        <v>149.91999999999999</v>
      </c>
      <c r="E1939" s="1199">
        <f t="shared" si="30"/>
        <v>125.46</v>
      </c>
    </row>
    <row r="1940" spans="1:5">
      <c r="A1940" s="1003" t="s">
        <v>9073</v>
      </c>
      <c r="B1940" s="1003" t="s">
        <v>8314</v>
      </c>
      <c r="C1940" s="1199" t="s">
        <v>1615</v>
      </c>
      <c r="D1940" s="1199">
        <v>1694.23</v>
      </c>
      <c r="E1940" s="1199">
        <f t="shared" si="30"/>
        <v>1417.77</v>
      </c>
    </row>
    <row r="1941" spans="1:5">
      <c r="A1941" s="1003" t="s">
        <v>9074</v>
      </c>
      <c r="B1941" s="1003" t="s">
        <v>9075</v>
      </c>
      <c r="C1941" s="1199" t="s">
        <v>1615</v>
      </c>
      <c r="D1941" s="1199">
        <v>2332.9299999999998</v>
      </c>
      <c r="E1941" s="1199">
        <f t="shared" si="30"/>
        <v>1952.24</v>
      </c>
    </row>
    <row r="1942" spans="1:5">
      <c r="A1942" s="1003" t="s">
        <v>9076</v>
      </c>
      <c r="B1942" s="1003" t="s">
        <v>9077</v>
      </c>
      <c r="C1942" s="1199" t="s">
        <v>1615</v>
      </c>
      <c r="D1942" s="1199">
        <v>326.89</v>
      </c>
      <c r="E1942" s="1199">
        <f t="shared" si="30"/>
        <v>273.55</v>
      </c>
    </row>
    <row r="1943" spans="1:5">
      <c r="A1943" s="1003" t="s">
        <v>9078</v>
      </c>
      <c r="B1943" s="1003" t="s">
        <v>9079</v>
      </c>
      <c r="C1943" s="1199" t="s">
        <v>1615</v>
      </c>
      <c r="D1943" s="1199">
        <v>334.43</v>
      </c>
      <c r="E1943" s="1199">
        <f t="shared" si="30"/>
        <v>279.86</v>
      </c>
    </row>
    <row r="1944" spans="1:5">
      <c r="A1944" s="1003" t="s">
        <v>9080</v>
      </c>
      <c r="B1944" s="1003" t="s">
        <v>9081</v>
      </c>
      <c r="C1944" s="1199" t="s">
        <v>1615</v>
      </c>
      <c r="D1944" s="1199">
        <v>366.04</v>
      </c>
      <c r="E1944" s="1199">
        <f t="shared" si="30"/>
        <v>306.31</v>
      </c>
    </row>
    <row r="1945" spans="1:5">
      <c r="A1945" s="1003" t="s">
        <v>9082</v>
      </c>
      <c r="B1945" s="1003" t="s">
        <v>9083</v>
      </c>
      <c r="C1945" s="1199" t="s">
        <v>1615</v>
      </c>
      <c r="D1945" s="1199">
        <v>423.02</v>
      </c>
      <c r="E1945" s="1199">
        <f t="shared" si="30"/>
        <v>353.99</v>
      </c>
    </row>
    <row r="1946" spans="1:5">
      <c r="A1946" s="1003" t="s">
        <v>9084</v>
      </c>
      <c r="B1946" s="1003" t="s">
        <v>9085</v>
      </c>
      <c r="C1946" s="1199" t="s">
        <v>1615</v>
      </c>
      <c r="D1946" s="1199">
        <v>376.88</v>
      </c>
      <c r="E1946" s="1199">
        <f t="shared" si="30"/>
        <v>315.38</v>
      </c>
    </row>
    <row r="1947" spans="1:5">
      <c r="A1947" s="1003" t="s">
        <v>9086</v>
      </c>
      <c r="B1947" s="1003" t="s">
        <v>9087</v>
      </c>
      <c r="C1947" s="1199" t="s">
        <v>1615</v>
      </c>
      <c r="D1947" s="1199">
        <v>405.3</v>
      </c>
      <c r="E1947" s="1199">
        <f t="shared" si="30"/>
        <v>339.16</v>
      </c>
    </row>
    <row r="1948" spans="1:5">
      <c r="A1948" s="1003" t="s">
        <v>9088</v>
      </c>
      <c r="B1948" s="1003" t="s">
        <v>9089</v>
      </c>
      <c r="C1948" s="1199" t="s">
        <v>1615</v>
      </c>
      <c r="D1948" s="1199">
        <v>404.54</v>
      </c>
      <c r="E1948" s="1199">
        <f t="shared" si="30"/>
        <v>338.53</v>
      </c>
    </row>
    <row r="1949" spans="1:5">
      <c r="A1949" s="1003" t="s">
        <v>9090</v>
      </c>
      <c r="B1949" s="1003" t="s">
        <v>9091</v>
      </c>
      <c r="C1949" s="1199" t="s">
        <v>1615</v>
      </c>
      <c r="D1949" s="1199">
        <v>514.78</v>
      </c>
      <c r="E1949" s="1199">
        <f t="shared" si="30"/>
        <v>430.78</v>
      </c>
    </row>
    <row r="1950" spans="1:5">
      <c r="A1950" s="1003" t="s">
        <v>9092</v>
      </c>
      <c r="B1950" s="1003" t="s">
        <v>3653</v>
      </c>
      <c r="C1950" s="1199" t="s">
        <v>1652</v>
      </c>
      <c r="D1950" s="1199">
        <v>637.01</v>
      </c>
      <c r="E1950" s="1199">
        <f t="shared" si="30"/>
        <v>533.05999999999995</v>
      </c>
    </row>
    <row r="1951" spans="1:5">
      <c r="A1951" s="1003" t="s">
        <v>9093</v>
      </c>
      <c r="B1951" s="1003" t="s">
        <v>3681</v>
      </c>
      <c r="C1951" s="1199" t="s">
        <v>1615</v>
      </c>
      <c r="D1951" s="1199">
        <v>17.39</v>
      </c>
      <c r="E1951" s="1199">
        <f t="shared" si="30"/>
        <v>14.55</v>
      </c>
    </row>
    <row r="1952" spans="1:5">
      <c r="A1952" s="1003" t="s">
        <v>9094</v>
      </c>
      <c r="B1952" s="1003" t="s">
        <v>3682</v>
      </c>
      <c r="C1952" s="1199" t="s">
        <v>1615</v>
      </c>
      <c r="D1952" s="1199">
        <v>44.11</v>
      </c>
      <c r="E1952" s="1199">
        <f t="shared" si="30"/>
        <v>36.909999999999997</v>
      </c>
    </row>
    <row r="1953" spans="1:5">
      <c r="A1953" s="1003" t="s">
        <v>9095</v>
      </c>
      <c r="B1953" s="1003" t="s">
        <v>3683</v>
      </c>
      <c r="C1953" s="1199" t="s">
        <v>1615</v>
      </c>
      <c r="D1953" s="1199">
        <v>43.03</v>
      </c>
      <c r="E1953" s="1199">
        <f t="shared" si="30"/>
        <v>36.01</v>
      </c>
    </row>
    <row r="1954" spans="1:5">
      <c r="A1954" s="1003" t="s">
        <v>9096</v>
      </c>
      <c r="B1954" s="1003" t="s">
        <v>3684</v>
      </c>
      <c r="C1954" s="1199" t="s">
        <v>1615</v>
      </c>
      <c r="D1954" s="1199">
        <v>19.48</v>
      </c>
      <c r="E1954" s="1199">
        <f t="shared" si="30"/>
        <v>16.3</v>
      </c>
    </row>
    <row r="1955" spans="1:5">
      <c r="A1955" s="1003" t="s">
        <v>9097</v>
      </c>
      <c r="B1955" s="1003" t="s">
        <v>9098</v>
      </c>
      <c r="C1955" s="1199" t="s">
        <v>1615</v>
      </c>
      <c r="D1955" s="1199">
        <v>20.57</v>
      </c>
      <c r="E1955" s="1199">
        <f t="shared" si="30"/>
        <v>17.21</v>
      </c>
    </row>
    <row r="1956" spans="1:5">
      <c r="A1956" s="1003" t="s">
        <v>9099</v>
      </c>
      <c r="B1956" s="1003" t="s">
        <v>9100</v>
      </c>
      <c r="C1956" s="1199" t="s">
        <v>1615</v>
      </c>
      <c r="D1956" s="1199">
        <v>26.14</v>
      </c>
      <c r="E1956" s="1199">
        <f t="shared" si="30"/>
        <v>21.87</v>
      </c>
    </row>
    <row r="1957" spans="1:5">
      <c r="A1957" s="1003" t="s">
        <v>9101</v>
      </c>
      <c r="B1957" s="1003" t="s">
        <v>3689</v>
      </c>
      <c r="C1957" s="1199" t="s">
        <v>1615</v>
      </c>
      <c r="D1957" s="1199">
        <v>18.27</v>
      </c>
      <c r="E1957" s="1199">
        <f t="shared" si="30"/>
        <v>15.29</v>
      </c>
    </row>
    <row r="1958" spans="1:5">
      <c r="A1958" s="1003" t="s">
        <v>9102</v>
      </c>
      <c r="B1958" s="1003" t="s">
        <v>3690</v>
      </c>
      <c r="C1958" s="1199" t="s">
        <v>1615</v>
      </c>
      <c r="D1958" s="1199">
        <v>7.55</v>
      </c>
      <c r="E1958" s="1199">
        <f t="shared" si="30"/>
        <v>6.32</v>
      </c>
    </row>
    <row r="1959" spans="1:5">
      <c r="A1959" s="1003" t="s">
        <v>9103</v>
      </c>
      <c r="B1959" s="1003" t="s">
        <v>3691</v>
      </c>
      <c r="C1959" s="1199" t="s">
        <v>1615</v>
      </c>
      <c r="D1959" s="1199">
        <v>14.25</v>
      </c>
      <c r="E1959" s="1199">
        <f t="shared" si="30"/>
        <v>11.92</v>
      </c>
    </row>
    <row r="1960" spans="1:5">
      <c r="A1960" s="1003" t="s">
        <v>9104</v>
      </c>
      <c r="B1960" s="1003" t="s">
        <v>3694</v>
      </c>
      <c r="C1960" s="1199" t="s">
        <v>1615</v>
      </c>
      <c r="D1960" s="1199">
        <v>185.15</v>
      </c>
      <c r="E1960" s="1199">
        <f t="shared" si="30"/>
        <v>154.94</v>
      </c>
    </row>
    <row r="1961" spans="1:5">
      <c r="A1961" s="1003" t="s">
        <v>9105</v>
      </c>
      <c r="B1961" s="1003" t="s">
        <v>3696</v>
      </c>
      <c r="C1961" s="1199" t="s">
        <v>1615</v>
      </c>
      <c r="D1961" s="1199">
        <v>20.87</v>
      </c>
      <c r="E1961" s="1199">
        <f t="shared" si="30"/>
        <v>17.46</v>
      </c>
    </row>
    <row r="1962" spans="1:5">
      <c r="A1962" s="1003" t="s">
        <v>9106</v>
      </c>
      <c r="B1962" s="1003" t="s">
        <v>9107</v>
      </c>
      <c r="C1962" s="1199" t="s">
        <v>1615</v>
      </c>
      <c r="D1962" s="1199">
        <v>174.68</v>
      </c>
      <c r="E1962" s="1199">
        <f t="shared" si="30"/>
        <v>146.18</v>
      </c>
    </row>
    <row r="1963" spans="1:5">
      <c r="A1963" s="1003" t="s">
        <v>9108</v>
      </c>
      <c r="B1963" s="1003" t="s">
        <v>9109</v>
      </c>
      <c r="C1963" s="1199" t="s">
        <v>1615</v>
      </c>
      <c r="D1963" s="1199">
        <v>152.68</v>
      </c>
      <c r="E1963" s="1199">
        <f t="shared" si="30"/>
        <v>127.77</v>
      </c>
    </row>
    <row r="1964" spans="1:5">
      <c r="A1964" s="1003" t="s">
        <v>9110</v>
      </c>
      <c r="B1964" s="1003" t="s">
        <v>9111</v>
      </c>
      <c r="C1964" s="1199" t="s">
        <v>1615</v>
      </c>
      <c r="D1964" s="1199">
        <v>156.32</v>
      </c>
      <c r="E1964" s="1199">
        <f t="shared" si="30"/>
        <v>130.81</v>
      </c>
    </row>
    <row r="1965" spans="1:5">
      <c r="A1965" s="1003" t="s">
        <v>9112</v>
      </c>
      <c r="B1965" s="1003" t="s">
        <v>9113</v>
      </c>
      <c r="C1965" s="1199" t="s">
        <v>1615</v>
      </c>
      <c r="D1965" s="1199">
        <v>195.34</v>
      </c>
      <c r="E1965" s="1199">
        <f t="shared" si="30"/>
        <v>163.46</v>
      </c>
    </row>
    <row r="1966" spans="1:5">
      <c r="A1966" s="1003" t="s">
        <v>9114</v>
      </c>
      <c r="B1966" s="1003" t="s">
        <v>9115</v>
      </c>
      <c r="C1966" s="1199" t="s">
        <v>1615</v>
      </c>
      <c r="D1966" s="1199">
        <v>390.98</v>
      </c>
      <c r="E1966" s="1199">
        <f t="shared" si="30"/>
        <v>327.18</v>
      </c>
    </row>
    <row r="1967" spans="1:5" ht="27.6">
      <c r="A1967" s="1003" t="s">
        <v>9116</v>
      </c>
      <c r="B1967" s="1003" t="s">
        <v>9117</v>
      </c>
      <c r="C1967" s="1199" t="s">
        <v>1615</v>
      </c>
      <c r="D1967" s="1199">
        <v>54.23</v>
      </c>
      <c r="E1967" s="1199">
        <f t="shared" si="30"/>
        <v>45.38</v>
      </c>
    </row>
    <row r="1968" spans="1:5">
      <c r="A1968" s="1003" t="s">
        <v>9118</v>
      </c>
      <c r="B1968" s="1003" t="s">
        <v>9119</v>
      </c>
      <c r="C1968" s="1199" t="s">
        <v>1615</v>
      </c>
      <c r="D1968" s="1199">
        <v>51.96</v>
      </c>
      <c r="E1968" s="1199">
        <f t="shared" si="30"/>
        <v>43.48</v>
      </c>
    </row>
    <row r="1969" spans="1:5">
      <c r="A1969" s="1003" t="s">
        <v>9120</v>
      </c>
      <c r="B1969" s="1003" t="s">
        <v>9121</v>
      </c>
      <c r="C1969" s="1199" t="s">
        <v>1615</v>
      </c>
      <c r="D1969" s="1199">
        <v>80.89</v>
      </c>
      <c r="E1969" s="1199">
        <f t="shared" si="30"/>
        <v>67.69</v>
      </c>
    </row>
    <row r="1970" spans="1:5" ht="27.6">
      <c r="A1970" s="1003" t="s">
        <v>9122</v>
      </c>
      <c r="B1970" s="1003" t="s">
        <v>9123</v>
      </c>
      <c r="C1970" s="1199" t="s">
        <v>1615</v>
      </c>
      <c r="D1970" s="1199">
        <v>98.16</v>
      </c>
      <c r="E1970" s="1199">
        <f t="shared" si="30"/>
        <v>82.14</v>
      </c>
    </row>
    <row r="1971" spans="1:5">
      <c r="A1971" s="1003" t="s">
        <v>9124</v>
      </c>
      <c r="B1971" s="1003" t="s">
        <v>9125</v>
      </c>
      <c r="C1971" s="1199" t="s">
        <v>1615</v>
      </c>
      <c r="D1971" s="1199">
        <v>20.38</v>
      </c>
      <c r="E1971" s="1199">
        <f t="shared" si="30"/>
        <v>17.05</v>
      </c>
    </row>
    <row r="1972" spans="1:5">
      <c r="A1972" s="1003" t="s">
        <v>9126</v>
      </c>
      <c r="B1972" s="1003" t="s">
        <v>3703</v>
      </c>
      <c r="C1972" s="1199" t="s">
        <v>1615</v>
      </c>
      <c r="D1972" s="1199">
        <v>66.33</v>
      </c>
      <c r="E1972" s="1199">
        <f t="shared" si="30"/>
        <v>55.51</v>
      </c>
    </row>
    <row r="1973" spans="1:5">
      <c r="A1973" s="1003" t="s">
        <v>9127</v>
      </c>
      <c r="B1973" s="1003" t="s">
        <v>3704</v>
      </c>
      <c r="C1973" s="1199" t="s">
        <v>1615</v>
      </c>
      <c r="D1973" s="1199">
        <v>6.56</v>
      </c>
      <c r="E1973" s="1199">
        <f t="shared" si="30"/>
        <v>5.49</v>
      </c>
    </row>
    <row r="1974" spans="1:5">
      <c r="A1974" s="1003" t="s">
        <v>9128</v>
      </c>
      <c r="B1974" s="1003" t="s">
        <v>3707</v>
      </c>
      <c r="C1974" s="1199" t="s">
        <v>1615</v>
      </c>
      <c r="D1974" s="1199">
        <v>45.44</v>
      </c>
      <c r="E1974" s="1199">
        <f t="shared" si="30"/>
        <v>38.03</v>
      </c>
    </row>
    <row r="1975" spans="1:5">
      <c r="A1975" s="1003" t="s">
        <v>9129</v>
      </c>
      <c r="B1975" s="1003" t="s">
        <v>3708</v>
      </c>
      <c r="C1975" s="1199" t="s">
        <v>1214</v>
      </c>
      <c r="D1975" s="1199">
        <v>22.64</v>
      </c>
      <c r="E1975" s="1199">
        <f t="shared" si="30"/>
        <v>18.95</v>
      </c>
    </row>
    <row r="1976" spans="1:5">
      <c r="A1976" s="1003" t="s">
        <v>9130</v>
      </c>
      <c r="B1976" s="1003" t="s">
        <v>9131</v>
      </c>
      <c r="C1976" s="1199" t="s">
        <v>1615</v>
      </c>
      <c r="D1976" s="1199">
        <v>39.24</v>
      </c>
      <c r="E1976" s="1199">
        <f t="shared" si="30"/>
        <v>32.840000000000003</v>
      </c>
    </row>
    <row r="1977" spans="1:5">
      <c r="A1977" s="1003" t="s">
        <v>9132</v>
      </c>
      <c r="B1977" s="1003" t="s">
        <v>9133</v>
      </c>
      <c r="C1977" s="1199" t="s">
        <v>1615</v>
      </c>
      <c r="D1977" s="1199">
        <v>68.17</v>
      </c>
      <c r="E1977" s="1199">
        <f t="shared" si="30"/>
        <v>57.05</v>
      </c>
    </row>
    <row r="1978" spans="1:5">
      <c r="A1978" s="1003" t="s">
        <v>9134</v>
      </c>
      <c r="B1978" s="1003" t="s">
        <v>3715</v>
      </c>
      <c r="C1978" s="1199" t="s">
        <v>1615</v>
      </c>
      <c r="D1978" s="1199">
        <v>28.4</v>
      </c>
      <c r="E1978" s="1199">
        <f t="shared" si="30"/>
        <v>23.77</v>
      </c>
    </row>
    <row r="1979" spans="1:5">
      <c r="A1979" s="1003" t="s">
        <v>9135</v>
      </c>
      <c r="B1979" s="1003" t="s">
        <v>9136</v>
      </c>
      <c r="C1979" s="1199" t="s">
        <v>1615</v>
      </c>
      <c r="D1979" s="1199">
        <v>122.47</v>
      </c>
      <c r="E1979" s="1199">
        <f t="shared" si="30"/>
        <v>102.49</v>
      </c>
    </row>
    <row r="1980" spans="1:5">
      <c r="A1980" s="1003" t="s">
        <v>9137</v>
      </c>
      <c r="B1980" s="1003" t="s">
        <v>9138</v>
      </c>
      <c r="C1980" s="1199" t="s">
        <v>1615</v>
      </c>
      <c r="D1980" s="1199">
        <v>122.47</v>
      </c>
      <c r="E1980" s="1199">
        <f t="shared" si="30"/>
        <v>102.49</v>
      </c>
    </row>
    <row r="1981" spans="1:5">
      <c r="A1981" s="1003" t="s">
        <v>9139</v>
      </c>
      <c r="B1981" s="1003" t="s">
        <v>9140</v>
      </c>
      <c r="C1981" s="1199" t="s">
        <v>1615</v>
      </c>
      <c r="D1981" s="1199">
        <v>100.37</v>
      </c>
      <c r="E1981" s="1199">
        <f t="shared" si="30"/>
        <v>83.99</v>
      </c>
    </row>
    <row r="1982" spans="1:5">
      <c r="A1982" s="1003" t="s">
        <v>9141</v>
      </c>
      <c r="B1982" s="1003" t="s">
        <v>9142</v>
      </c>
      <c r="C1982" s="1199" t="s">
        <v>1615</v>
      </c>
      <c r="D1982" s="1199">
        <v>196.03</v>
      </c>
      <c r="E1982" s="1199">
        <f t="shared" si="30"/>
        <v>164.04</v>
      </c>
    </row>
    <row r="1983" spans="1:5">
      <c r="A1983" s="1003" t="s">
        <v>9143</v>
      </c>
      <c r="B1983" s="1003" t="s">
        <v>9144</v>
      </c>
      <c r="C1983" s="1199" t="s">
        <v>1615</v>
      </c>
      <c r="D1983" s="1199">
        <v>213.38</v>
      </c>
      <c r="E1983" s="1199">
        <f t="shared" si="30"/>
        <v>178.56</v>
      </c>
    </row>
    <row r="1984" spans="1:5">
      <c r="A1984" s="1003" t="s">
        <v>9145</v>
      </c>
      <c r="B1984" s="1003" t="s">
        <v>9146</v>
      </c>
      <c r="C1984" s="1199" t="s">
        <v>1615</v>
      </c>
      <c r="D1984" s="1199">
        <v>121.53</v>
      </c>
      <c r="E1984" s="1199">
        <f t="shared" si="30"/>
        <v>101.7</v>
      </c>
    </row>
    <row r="1985" spans="1:5">
      <c r="A1985" s="1003" t="s">
        <v>9147</v>
      </c>
      <c r="B1985" s="1003" t="s">
        <v>9148</v>
      </c>
      <c r="C1985" s="1199" t="s">
        <v>1615</v>
      </c>
      <c r="D1985" s="1199">
        <v>143.96</v>
      </c>
      <c r="E1985" s="1199">
        <f t="shared" si="30"/>
        <v>120.47</v>
      </c>
    </row>
    <row r="1986" spans="1:5">
      <c r="A1986" s="1003" t="s">
        <v>9149</v>
      </c>
      <c r="B1986" s="1003" t="s">
        <v>9150</v>
      </c>
      <c r="C1986" s="1199" t="s">
        <v>1615</v>
      </c>
      <c r="D1986" s="1199">
        <v>189.65</v>
      </c>
      <c r="E1986" s="1199">
        <f t="shared" si="30"/>
        <v>158.69999999999999</v>
      </c>
    </row>
    <row r="1987" spans="1:5">
      <c r="A1987" s="1003" t="s">
        <v>9151</v>
      </c>
      <c r="B1987" s="1003" t="s">
        <v>9152</v>
      </c>
      <c r="C1987" s="1199" t="s">
        <v>1615</v>
      </c>
      <c r="D1987" s="1199">
        <v>71.53</v>
      </c>
      <c r="E1987" s="1199">
        <f t="shared" si="30"/>
        <v>59.86</v>
      </c>
    </row>
    <row r="1988" spans="1:5">
      <c r="A1988" s="1003" t="s">
        <v>9153</v>
      </c>
      <c r="B1988" s="1003" t="s">
        <v>3725</v>
      </c>
      <c r="C1988" s="1199" t="s">
        <v>1615</v>
      </c>
      <c r="D1988" s="1199">
        <v>122.75</v>
      </c>
      <c r="E1988" s="1199">
        <f t="shared" ref="E1988:E2051" si="31">ROUND(D1988/1.195,2)</f>
        <v>102.72</v>
      </c>
    </row>
    <row r="1989" spans="1:5">
      <c r="A1989" s="1003" t="s">
        <v>9154</v>
      </c>
      <c r="B1989" s="1003" t="s">
        <v>3731</v>
      </c>
      <c r="C1989" s="1199" t="s">
        <v>1652</v>
      </c>
      <c r="D1989" s="1199">
        <v>637.01</v>
      </c>
      <c r="E1989" s="1199">
        <f t="shared" si="31"/>
        <v>533.05999999999995</v>
      </c>
    </row>
    <row r="1990" spans="1:5">
      <c r="A1990" s="1003" t="s">
        <v>9155</v>
      </c>
      <c r="B1990" s="1003" t="s">
        <v>9156</v>
      </c>
      <c r="C1990" s="1199" t="s">
        <v>1615</v>
      </c>
      <c r="D1990" s="1199">
        <v>130.82</v>
      </c>
      <c r="E1990" s="1199">
        <f t="shared" si="31"/>
        <v>109.47</v>
      </c>
    </row>
    <row r="1991" spans="1:5">
      <c r="A1991" s="1003" t="s">
        <v>9157</v>
      </c>
      <c r="B1991" s="1003" t="s">
        <v>9158</v>
      </c>
      <c r="C1991" s="1199" t="s">
        <v>1615</v>
      </c>
      <c r="D1991" s="1199">
        <v>179.98</v>
      </c>
      <c r="E1991" s="1199">
        <f t="shared" si="31"/>
        <v>150.61000000000001</v>
      </c>
    </row>
    <row r="1992" spans="1:5">
      <c r="A1992" s="1003" t="s">
        <v>9159</v>
      </c>
      <c r="B1992" s="1003" t="s">
        <v>9160</v>
      </c>
      <c r="C1992" s="1199" t="s">
        <v>1615</v>
      </c>
      <c r="D1992" s="1199">
        <v>287.57</v>
      </c>
      <c r="E1992" s="1199">
        <f t="shared" si="31"/>
        <v>240.64</v>
      </c>
    </row>
    <row r="1993" spans="1:5">
      <c r="A1993" s="1003" t="s">
        <v>9161</v>
      </c>
      <c r="B1993" s="1003" t="s">
        <v>9162</v>
      </c>
      <c r="C1993" s="1199" t="s">
        <v>1615</v>
      </c>
      <c r="D1993" s="1199">
        <v>217.56</v>
      </c>
      <c r="E1993" s="1199">
        <f t="shared" si="31"/>
        <v>182.06</v>
      </c>
    </row>
    <row r="1994" spans="1:5">
      <c r="A1994" s="1003" t="s">
        <v>9163</v>
      </c>
      <c r="B1994" s="1003" t="s">
        <v>9164</v>
      </c>
      <c r="C1994" s="1199" t="s">
        <v>1615</v>
      </c>
      <c r="D1994" s="1199">
        <v>279.10000000000002</v>
      </c>
      <c r="E1994" s="1199">
        <f t="shared" si="31"/>
        <v>233.56</v>
      </c>
    </row>
    <row r="1995" spans="1:5">
      <c r="A1995" s="1003" t="s">
        <v>9165</v>
      </c>
      <c r="B1995" s="1003" t="s">
        <v>9166</v>
      </c>
      <c r="C1995" s="1199" t="s">
        <v>1615</v>
      </c>
      <c r="D1995" s="1199">
        <v>194.6</v>
      </c>
      <c r="E1995" s="1199">
        <f t="shared" si="31"/>
        <v>162.85</v>
      </c>
    </row>
    <row r="1996" spans="1:5">
      <c r="A1996" s="1003" t="s">
        <v>9167</v>
      </c>
      <c r="B1996" s="1003" t="s">
        <v>9168</v>
      </c>
      <c r="C1996" s="1199" t="s">
        <v>1615</v>
      </c>
      <c r="D1996" s="1199">
        <v>222.74</v>
      </c>
      <c r="E1996" s="1199">
        <f t="shared" si="31"/>
        <v>186.39</v>
      </c>
    </row>
    <row r="1997" spans="1:5">
      <c r="A1997" s="1003" t="s">
        <v>9169</v>
      </c>
      <c r="B1997" s="1003" t="s">
        <v>9170</v>
      </c>
      <c r="C1997" s="1199" t="s">
        <v>1615</v>
      </c>
      <c r="D1997" s="1199">
        <v>85.81</v>
      </c>
      <c r="E1997" s="1199">
        <f t="shared" si="31"/>
        <v>71.81</v>
      </c>
    </row>
    <row r="1998" spans="1:5">
      <c r="A1998" s="1003" t="s">
        <v>9171</v>
      </c>
      <c r="B1998" s="1003" t="s">
        <v>9172</v>
      </c>
      <c r="C1998" s="1199" t="s">
        <v>1615</v>
      </c>
      <c r="D1998" s="1199">
        <v>47.69</v>
      </c>
      <c r="E1998" s="1199">
        <f t="shared" si="31"/>
        <v>39.909999999999997</v>
      </c>
    </row>
    <row r="1999" spans="1:5" ht="27.6">
      <c r="A1999" s="1003" t="s">
        <v>9173</v>
      </c>
      <c r="B1999" s="1003" t="s">
        <v>9174</v>
      </c>
      <c r="C1999" s="1199" t="s">
        <v>1615</v>
      </c>
      <c r="D1999" s="1199">
        <v>166.45</v>
      </c>
      <c r="E1999" s="1199">
        <f t="shared" si="31"/>
        <v>139.29</v>
      </c>
    </row>
    <row r="2000" spans="1:5" ht="27.6">
      <c r="A2000" s="1003" t="s">
        <v>9175</v>
      </c>
      <c r="B2000" s="1003" t="s">
        <v>9176</v>
      </c>
      <c r="C2000" s="1199" t="s">
        <v>1615</v>
      </c>
      <c r="D2000" s="1199">
        <v>88.01</v>
      </c>
      <c r="E2000" s="1199">
        <f t="shared" si="31"/>
        <v>73.650000000000006</v>
      </c>
    </row>
    <row r="2001" spans="1:5">
      <c r="A2001" s="1003" t="s">
        <v>9177</v>
      </c>
      <c r="B2001" s="1003" t="s">
        <v>9178</v>
      </c>
      <c r="C2001" s="1199" t="s">
        <v>1615</v>
      </c>
      <c r="D2001" s="1199">
        <v>29.38</v>
      </c>
      <c r="E2001" s="1199">
        <f t="shared" si="31"/>
        <v>24.59</v>
      </c>
    </row>
    <row r="2002" spans="1:5">
      <c r="A2002" s="1003" t="s">
        <v>9179</v>
      </c>
      <c r="B2002" s="1003" t="s">
        <v>9180</v>
      </c>
      <c r="C2002" s="1199" t="s">
        <v>1615</v>
      </c>
      <c r="D2002" s="1199">
        <v>28.23</v>
      </c>
      <c r="E2002" s="1199">
        <f t="shared" si="31"/>
        <v>23.62</v>
      </c>
    </row>
    <row r="2003" spans="1:5">
      <c r="A2003" s="1003" t="s">
        <v>9181</v>
      </c>
      <c r="B2003" s="1003" t="s">
        <v>9182</v>
      </c>
      <c r="C2003" s="1199" t="s">
        <v>1615</v>
      </c>
      <c r="D2003" s="1199">
        <v>65.680000000000007</v>
      </c>
      <c r="E2003" s="1199">
        <f t="shared" si="31"/>
        <v>54.96</v>
      </c>
    </row>
    <row r="2004" spans="1:5">
      <c r="A2004" s="1003" t="s">
        <v>9183</v>
      </c>
      <c r="B2004" s="1003" t="s">
        <v>9184</v>
      </c>
      <c r="C2004" s="1199" t="s">
        <v>1615</v>
      </c>
      <c r="D2004" s="1199">
        <v>89.36</v>
      </c>
      <c r="E2004" s="1199">
        <f t="shared" si="31"/>
        <v>74.78</v>
      </c>
    </row>
    <row r="2005" spans="1:5">
      <c r="A2005" s="1003" t="s">
        <v>9185</v>
      </c>
      <c r="B2005" s="1003" t="s">
        <v>9186</v>
      </c>
      <c r="C2005" s="1199" t="s">
        <v>1615</v>
      </c>
      <c r="D2005" s="1199">
        <v>87.27</v>
      </c>
      <c r="E2005" s="1199">
        <f t="shared" si="31"/>
        <v>73.03</v>
      </c>
    </row>
    <row r="2006" spans="1:5">
      <c r="A2006" s="1003" t="s">
        <v>9187</v>
      </c>
      <c r="B2006" s="1003" t="s">
        <v>9188</v>
      </c>
      <c r="C2006" s="1199" t="s">
        <v>1615</v>
      </c>
      <c r="D2006" s="1199">
        <v>15.11</v>
      </c>
      <c r="E2006" s="1199">
        <f t="shared" si="31"/>
        <v>12.64</v>
      </c>
    </row>
    <row r="2007" spans="1:5">
      <c r="A2007" s="1003" t="s">
        <v>9189</v>
      </c>
      <c r="B2007" s="1003" t="s">
        <v>9190</v>
      </c>
      <c r="C2007" s="1199" t="s">
        <v>1615</v>
      </c>
      <c r="D2007" s="1199">
        <v>409.49</v>
      </c>
      <c r="E2007" s="1199">
        <f t="shared" si="31"/>
        <v>342.67</v>
      </c>
    </row>
    <row r="2008" spans="1:5">
      <c r="A2008" s="1003" t="s">
        <v>9191</v>
      </c>
      <c r="B2008" s="1003" t="s">
        <v>9192</v>
      </c>
      <c r="C2008" s="1199" t="s">
        <v>1615</v>
      </c>
      <c r="D2008" s="1199">
        <v>520.04999999999995</v>
      </c>
      <c r="E2008" s="1199">
        <f t="shared" si="31"/>
        <v>435.19</v>
      </c>
    </row>
    <row r="2009" spans="1:5">
      <c r="A2009" s="1003" t="s">
        <v>9193</v>
      </c>
      <c r="B2009" s="1003" t="s">
        <v>9194</v>
      </c>
      <c r="C2009" s="1199" t="s">
        <v>1615</v>
      </c>
      <c r="D2009" s="1199">
        <v>133.76</v>
      </c>
      <c r="E2009" s="1199">
        <f t="shared" si="31"/>
        <v>111.93</v>
      </c>
    </row>
    <row r="2010" spans="1:5">
      <c r="A2010" s="1003" t="s">
        <v>9195</v>
      </c>
      <c r="B2010" s="1003" t="s">
        <v>3745</v>
      </c>
      <c r="C2010" s="1199" t="s">
        <v>1615</v>
      </c>
      <c r="D2010" s="1199">
        <v>339.49</v>
      </c>
      <c r="E2010" s="1199">
        <f t="shared" si="31"/>
        <v>284.08999999999997</v>
      </c>
    </row>
    <row r="2011" spans="1:5">
      <c r="A2011" s="1003" t="s">
        <v>9196</v>
      </c>
      <c r="B2011" s="1003" t="s">
        <v>3746</v>
      </c>
      <c r="C2011" s="1199" t="s">
        <v>1615</v>
      </c>
      <c r="D2011" s="1199">
        <v>305.67</v>
      </c>
      <c r="E2011" s="1199">
        <f t="shared" si="31"/>
        <v>255.79</v>
      </c>
    </row>
    <row r="2012" spans="1:5">
      <c r="A2012" s="1003" t="s">
        <v>9197</v>
      </c>
      <c r="B2012" s="1003" t="s">
        <v>9198</v>
      </c>
      <c r="C2012" s="1199" t="s">
        <v>1615</v>
      </c>
      <c r="D2012" s="1199">
        <v>385.77</v>
      </c>
      <c r="E2012" s="1199">
        <f t="shared" si="31"/>
        <v>322.82</v>
      </c>
    </row>
    <row r="2013" spans="1:5">
      <c r="A2013" s="1003" t="s">
        <v>9199</v>
      </c>
      <c r="B2013" s="1003" t="s">
        <v>3759</v>
      </c>
      <c r="C2013" s="1199" t="s">
        <v>1615</v>
      </c>
      <c r="D2013" s="1199">
        <v>397.64</v>
      </c>
      <c r="E2013" s="1199">
        <f t="shared" si="31"/>
        <v>332.75</v>
      </c>
    </row>
    <row r="2014" spans="1:5">
      <c r="A2014" s="1003" t="s">
        <v>9200</v>
      </c>
      <c r="B2014" s="1003" t="s">
        <v>3760</v>
      </c>
      <c r="C2014" s="1199" t="s">
        <v>1615</v>
      </c>
      <c r="D2014" s="1199">
        <v>232.53</v>
      </c>
      <c r="E2014" s="1199">
        <f t="shared" si="31"/>
        <v>194.59</v>
      </c>
    </row>
    <row r="2015" spans="1:5">
      <c r="A2015" s="1003" t="s">
        <v>9201</v>
      </c>
      <c r="B2015" s="1003" t="s">
        <v>3764</v>
      </c>
      <c r="C2015" s="1199" t="s">
        <v>1615</v>
      </c>
      <c r="D2015" s="1199">
        <v>215.04</v>
      </c>
      <c r="E2015" s="1199">
        <f t="shared" si="31"/>
        <v>179.95</v>
      </c>
    </row>
    <row r="2016" spans="1:5">
      <c r="A2016" s="1003" t="s">
        <v>9202</v>
      </c>
      <c r="B2016" s="1003" t="s">
        <v>3766</v>
      </c>
      <c r="C2016" s="1199" t="s">
        <v>1615</v>
      </c>
      <c r="D2016" s="1199">
        <v>464</v>
      </c>
      <c r="E2016" s="1199">
        <f t="shared" si="31"/>
        <v>388.28</v>
      </c>
    </row>
    <row r="2017" spans="1:5">
      <c r="A2017" s="1003" t="s">
        <v>9203</v>
      </c>
      <c r="B2017" s="1003" t="s">
        <v>3767</v>
      </c>
      <c r="C2017" s="1199" t="s">
        <v>1615</v>
      </c>
      <c r="D2017" s="1199">
        <v>1806.29</v>
      </c>
      <c r="E2017" s="1199">
        <f t="shared" si="31"/>
        <v>1511.54</v>
      </c>
    </row>
    <row r="2018" spans="1:5">
      <c r="A2018" s="1003" t="s">
        <v>9204</v>
      </c>
      <c r="B2018" s="1003" t="s">
        <v>9205</v>
      </c>
      <c r="C2018" s="1199" t="s">
        <v>1615</v>
      </c>
      <c r="D2018" s="1199">
        <v>2470.41</v>
      </c>
      <c r="E2018" s="1199">
        <f t="shared" si="31"/>
        <v>2067.29</v>
      </c>
    </row>
    <row r="2019" spans="1:5">
      <c r="A2019" s="1003" t="s">
        <v>9206</v>
      </c>
      <c r="B2019" s="1003" t="s">
        <v>9207</v>
      </c>
      <c r="C2019" s="1199" t="s">
        <v>1615</v>
      </c>
      <c r="D2019" s="1199">
        <v>4953.08</v>
      </c>
      <c r="E2019" s="1199">
        <f t="shared" si="31"/>
        <v>4144.84</v>
      </c>
    </row>
    <row r="2020" spans="1:5">
      <c r="A2020" s="1003" t="s">
        <v>9208</v>
      </c>
      <c r="B2020" s="1003" t="s">
        <v>3770</v>
      </c>
      <c r="C2020" s="1199" t="s">
        <v>1615</v>
      </c>
      <c r="D2020" s="1199">
        <v>1994.87</v>
      </c>
      <c r="E2020" s="1199">
        <f t="shared" si="31"/>
        <v>1669.35</v>
      </c>
    </row>
    <row r="2021" spans="1:5">
      <c r="A2021" s="1003" t="s">
        <v>9209</v>
      </c>
      <c r="B2021" s="1003" t="s">
        <v>3771</v>
      </c>
      <c r="C2021" s="1199" t="s">
        <v>1615</v>
      </c>
      <c r="D2021" s="1199">
        <v>44.6</v>
      </c>
      <c r="E2021" s="1199">
        <f t="shared" si="31"/>
        <v>37.32</v>
      </c>
    </row>
    <row r="2022" spans="1:5">
      <c r="A2022" s="1003" t="s">
        <v>9210</v>
      </c>
      <c r="B2022" s="1003" t="s">
        <v>3772</v>
      </c>
      <c r="C2022" s="1199" t="s">
        <v>1615</v>
      </c>
      <c r="D2022" s="1199">
        <v>69.41</v>
      </c>
      <c r="E2022" s="1199">
        <f t="shared" si="31"/>
        <v>58.08</v>
      </c>
    </row>
    <row r="2023" spans="1:5">
      <c r="A2023" s="1003" t="s">
        <v>9211</v>
      </c>
      <c r="B2023" s="1003" t="s">
        <v>3773</v>
      </c>
      <c r="C2023" s="1199" t="s">
        <v>1615</v>
      </c>
      <c r="D2023" s="1199">
        <v>81.239999999999995</v>
      </c>
      <c r="E2023" s="1199">
        <f t="shared" si="31"/>
        <v>67.98</v>
      </c>
    </row>
    <row r="2024" spans="1:5">
      <c r="A2024" s="1003" t="s">
        <v>9212</v>
      </c>
      <c r="B2024" s="1003" t="s">
        <v>3774</v>
      </c>
      <c r="C2024" s="1199" t="s">
        <v>1615</v>
      </c>
      <c r="D2024" s="1199">
        <v>113.73</v>
      </c>
      <c r="E2024" s="1199">
        <f t="shared" si="31"/>
        <v>95.17</v>
      </c>
    </row>
    <row r="2025" spans="1:5">
      <c r="A2025" s="1003" t="s">
        <v>9213</v>
      </c>
      <c r="B2025" s="1003" t="s">
        <v>3775</v>
      </c>
      <c r="C2025" s="1199" t="s">
        <v>1615</v>
      </c>
      <c r="D2025" s="1199">
        <v>35.14</v>
      </c>
      <c r="E2025" s="1199">
        <f t="shared" si="31"/>
        <v>29.41</v>
      </c>
    </row>
    <row r="2026" spans="1:5">
      <c r="A2026" s="1003" t="s">
        <v>9214</v>
      </c>
      <c r="B2026" s="1003" t="s">
        <v>3776</v>
      </c>
      <c r="C2026" s="1199" t="s">
        <v>1615</v>
      </c>
      <c r="D2026" s="1199">
        <v>40.9</v>
      </c>
      <c r="E2026" s="1199">
        <f t="shared" si="31"/>
        <v>34.229999999999997</v>
      </c>
    </row>
    <row r="2027" spans="1:5">
      <c r="A2027" s="1003" t="s">
        <v>9215</v>
      </c>
      <c r="B2027" s="1204" t="s">
        <v>9216</v>
      </c>
      <c r="C2027" s="1199" t="s">
        <v>1615</v>
      </c>
      <c r="D2027" s="1199">
        <v>22.81</v>
      </c>
      <c r="E2027" s="1199">
        <f t="shared" si="31"/>
        <v>19.09</v>
      </c>
    </row>
    <row r="2028" spans="1:5">
      <c r="A2028" s="1003" t="s">
        <v>9217</v>
      </c>
      <c r="B2028" s="1003" t="s">
        <v>3777</v>
      </c>
      <c r="C2028" s="1199" t="s">
        <v>1615</v>
      </c>
      <c r="D2028" s="1199">
        <v>1242.81</v>
      </c>
      <c r="E2028" s="1199">
        <f t="shared" si="31"/>
        <v>1040.01</v>
      </c>
    </row>
    <row r="2029" spans="1:5">
      <c r="A2029" s="1003" t="s">
        <v>9218</v>
      </c>
      <c r="B2029" s="1003" t="s">
        <v>3778</v>
      </c>
      <c r="C2029" s="1199" t="s">
        <v>1615</v>
      </c>
      <c r="D2029" s="1199">
        <v>1393.07</v>
      </c>
      <c r="E2029" s="1199">
        <f t="shared" si="31"/>
        <v>1165.75</v>
      </c>
    </row>
    <row r="2030" spans="1:5">
      <c r="A2030" s="1003" t="s">
        <v>9219</v>
      </c>
      <c r="B2030" s="1003" t="s">
        <v>3779</v>
      </c>
      <c r="C2030" s="1199" t="s">
        <v>1615</v>
      </c>
      <c r="D2030" s="1199">
        <v>1521.7</v>
      </c>
      <c r="E2030" s="1199">
        <f t="shared" si="31"/>
        <v>1273.3900000000001</v>
      </c>
    </row>
    <row r="2031" spans="1:5">
      <c r="A2031" s="1003" t="s">
        <v>9220</v>
      </c>
      <c r="B2031" s="1003" t="s">
        <v>3780</v>
      </c>
      <c r="C2031" s="1199" t="s">
        <v>1615</v>
      </c>
      <c r="D2031" s="1199">
        <v>1531.43</v>
      </c>
      <c r="E2031" s="1199">
        <f t="shared" si="31"/>
        <v>1281.53</v>
      </c>
    </row>
    <row r="2032" spans="1:5">
      <c r="A2032" s="1003" t="s">
        <v>9221</v>
      </c>
      <c r="B2032" s="1003" t="s">
        <v>3781</v>
      </c>
      <c r="C2032" s="1199" t="s">
        <v>1615</v>
      </c>
      <c r="D2032" s="1199">
        <v>1797.28</v>
      </c>
      <c r="E2032" s="1199">
        <f t="shared" si="31"/>
        <v>1504</v>
      </c>
    </row>
    <row r="2033" spans="1:5">
      <c r="A2033" s="1003" t="s">
        <v>9222</v>
      </c>
      <c r="B2033" s="1003" t="s">
        <v>3782</v>
      </c>
      <c r="C2033" s="1199" t="s">
        <v>1615</v>
      </c>
      <c r="D2033" s="1199">
        <v>4335.55</v>
      </c>
      <c r="E2033" s="1199">
        <f t="shared" si="31"/>
        <v>3628.08</v>
      </c>
    </row>
    <row r="2034" spans="1:5">
      <c r="A2034" s="1003" t="s">
        <v>9223</v>
      </c>
      <c r="B2034" s="1003" t="s">
        <v>9224</v>
      </c>
      <c r="C2034" s="1199" t="s">
        <v>1615</v>
      </c>
      <c r="D2034" s="1199">
        <v>19.98</v>
      </c>
      <c r="E2034" s="1199">
        <f t="shared" si="31"/>
        <v>16.72</v>
      </c>
    </row>
    <row r="2035" spans="1:5">
      <c r="A2035" s="1003" t="s">
        <v>9225</v>
      </c>
      <c r="B2035" s="1003" t="s">
        <v>9226</v>
      </c>
      <c r="C2035" s="1199" t="s">
        <v>1615</v>
      </c>
      <c r="D2035" s="1199">
        <v>40.130000000000003</v>
      </c>
      <c r="E2035" s="1199">
        <f t="shared" si="31"/>
        <v>33.58</v>
      </c>
    </row>
    <row r="2036" spans="1:5">
      <c r="A2036" s="1003" t="s">
        <v>9227</v>
      </c>
      <c r="B2036" s="1003" t="s">
        <v>9228</v>
      </c>
      <c r="C2036" s="1199" t="s">
        <v>1615</v>
      </c>
      <c r="D2036" s="1199">
        <v>30.22</v>
      </c>
      <c r="E2036" s="1199">
        <f t="shared" si="31"/>
        <v>25.29</v>
      </c>
    </row>
    <row r="2037" spans="1:5">
      <c r="A2037" s="1003" t="s">
        <v>9229</v>
      </c>
      <c r="B2037" s="1003" t="s">
        <v>9230</v>
      </c>
      <c r="C2037" s="1199" t="s">
        <v>1615</v>
      </c>
      <c r="D2037" s="1199">
        <v>45.21</v>
      </c>
      <c r="E2037" s="1199">
        <f t="shared" si="31"/>
        <v>37.83</v>
      </c>
    </row>
    <row r="2038" spans="1:5">
      <c r="A2038" s="1003" t="s">
        <v>9231</v>
      </c>
      <c r="B2038" s="1003" t="s">
        <v>3731</v>
      </c>
      <c r="C2038" s="1199" t="s">
        <v>1652</v>
      </c>
      <c r="D2038" s="1199">
        <v>637.01</v>
      </c>
      <c r="E2038" s="1199">
        <f t="shared" si="31"/>
        <v>533.05999999999995</v>
      </c>
    </row>
    <row r="2039" spans="1:5">
      <c r="A2039" s="1003" t="s">
        <v>9232</v>
      </c>
      <c r="B2039" s="1003" t="s">
        <v>9233</v>
      </c>
      <c r="C2039" s="1199" t="s">
        <v>1615</v>
      </c>
      <c r="D2039" s="1199">
        <v>22.21</v>
      </c>
      <c r="E2039" s="1199">
        <f t="shared" si="31"/>
        <v>18.59</v>
      </c>
    </row>
    <row r="2040" spans="1:5">
      <c r="A2040" s="1003" t="s">
        <v>9234</v>
      </c>
      <c r="B2040" s="1003" t="s">
        <v>3784</v>
      </c>
      <c r="C2040" s="1199" t="s">
        <v>1615</v>
      </c>
      <c r="D2040" s="1199">
        <v>319.5</v>
      </c>
      <c r="E2040" s="1199">
        <f t="shared" si="31"/>
        <v>267.36</v>
      </c>
    </row>
    <row r="2041" spans="1:5">
      <c r="A2041" s="1003" t="s">
        <v>9235</v>
      </c>
      <c r="B2041" s="1003" t="s">
        <v>3790</v>
      </c>
      <c r="C2041" s="1199" t="s">
        <v>1615</v>
      </c>
      <c r="D2041" s="1199">
        <v>54.05</v>
      </c>
      <c r="E2041" s="1199">
        <f t="shared" si="31"/>
        <v>45.23</v>
      </c>
    </row>
    <row r="2042" spans="1:5">
      <c r="A2042" s="1003" t="s">
        <v>9236</v>
      </c>
      <c r="B2042" s="1003" t="s">
        <v>9237</v>
      </c>
      <c r="C2042" s="1199" t="s">
        <v>1615</v>
      </c>
      <c r="D2042" s="1199">
        <v>54.05</v>
      </c>
      <c r="E2042" s="1199">
        <f t="shared" si="31"/>
        <v>45.23</v>
      </c>
    </row>
    <row r="2043" spans="1:5">
      <c r="A2043" s="1003" t="s">
        <v>9238</v>
      </c>
      <c r="B2043" s="1003" t="s">
        <v>3792</v>
      </c>
      <c r="C2043" s="1199" t="s">
        <v>1615</v>
      </c>
      <c r="D2043" s="1199">
        <v>19.47</v>
      </c>
      <c r="E2043" s="1199">
        <f t="shared" si="31"/>
        <v>16.29</v>
      </c>
    </row>
    <row r="2044" spans="1:5">
      <c r="A2044" s="1003" t="s">
        <v>9239</v>
      </c>
      <c r="B2044" s="1003" t="s">
        <v>3793</v>
      </c>
      <c r="C2044" s="1199" t="s">
        <v>1615</v>
      </c>
      <c r="D2044" s="1199">
        <v>20.98</v>
      </c>
      <c r="E2044" s="1199">
        <f t="shared" si="31"/>
        <v>17.559999999999999</v>
      </c>
    </row>
    <row r="2045" spans="1:5">
      <c r="A2045" s="1003" t="s">
        <v>9240</v>
      </c>
      <c r="B2045" s="1003" t="s">
        <v>3794</v>
      </c>
      <c r="C2045" s="1199" t="s">
        <v>1615</v>
      </c>
      <c r="D2045" s="1199">
        <v>47.17</v>
      </c>
      <c r="E2045" s="1199">
        <f t="shared" si="31"/>
        <v>39.47</v>
      </c>
    </row>
    <row r="2046" spans="1:5">
      <c r="A2046" s="1003" t="s">
        <v>9241</v>
      </c>
      <c r="B2046" s="1003" t="s">
        <v>3795</v>
      </c>
      <c r="C2046" s="1199" t="s">
        <v>1615</v>
      </c>
      <c r="D2046" s="1199">
        <v>100.35</v>
      </c>
      <c r="E2046" s="1199">
        <f t="shared" si="31"/>
        <v>83.97</v>
      </c>
    </row>
    <row r="2047" spans="1:5">
      <c r="A2047" s="1003" t="s">
        <v>9242</v>
      </c>
      <c r="B2047" s="1003" t="s">
        <v>3796</v>
      </c>
      <c r="C2047" s="1199" t="s">
        <v>1652</v>
      </c>
      <c r="D2047" s="1199">
        <v>637.01</v>
      </c>
      <c r="E2047" s="1199">
        <f t="shared" si="31"/>
        <v>533.05999999999995</v>
      </c>
    </row>
    <row r="2048" spans="1:5">
      <c r="A2048" s="1003" t="s">
        <v>9243</v>
      </c>
      <c r="B2048" s="1003" t="s">
        <v>9244</v>
      </c>
      <c r="C2048" s="1199" t="s">
        <v>1240</v>
      </c>
      <c r="D2048" s="1199">
        <v>148.71</v>
      </c>
      <c r="E2048" s="1199">
        <f t="shared" si="31"/>
        <v>124.44</v>
      </c>
    </row>
    <row r="2049" spans="1:5">
      <c r="A2049" s="1003" t="s">
        <v>9245</v>
      </c>
      <c r="B2049" s="1003" t="s">
        <v>9246</v>
      </c>
      <c r="C2049" s="1199" t="s">
        <v>1240</v>
      </c>
      <c r="D2049" s="1199">
        <v>183.57</v>
      </c>
      <c r="E2049" s="1199">
        <f t="shared" si="31"/>
        <v>153.62</v>
      </c>
    </row>
    <row r="2050" spans="1:5" ht="27.6">
      <c r="A2050" s="1003" t="s">
        <v>9247</v>
      </c>
      <c r="B2050" s="1003" t="s">
        <v>9248</v>
      </c>
      <c r="C2050" s="1199" t="s">
        <v>1240</v>
      </c>
      <c r="D2050" s="1199">
        <v>940.15</v>
      </c>
      <c r="E2050" s="1199">
        <f t="shared" si="31"/>
        <v>786.74</v>
      </c>
    </row>
    <row r="2051" spans="1:5" ht="27.6">
      <c r="A2051" s="1003" t="s">
        <v>9249</v>
      </c>
      <c r="B2051" s="1003" t="s">
        <v>9250</v>
      </c>
      <c r="C2051" s="1199" t="s">
        <v>1240</v>
      </c>
      <c r="D2051" s="1199">
        <v>757.79</v>
      </c>
      <c r="E2051" s="1199">
        <f t="shared" si="31"/>
        <v>634.13</v>
      </c>
    </row>
    <row r="2052" spans="1:5">
      <c r="A2052" s="1003" t="s">
        <v>9251</v>
      </c>
      <c r="B2052" s="1003" t="s">
        <v>3813</v>
      </c>
      <c r="C2052" s="1199" t="s">
        <v>1240</v>
      </c>
      <c r="D2052" s="1199">
        <v>118.43</v>
      </c>
      <c r="E2052" s="1199">
        <f t="shared" ref="E2052:E2115" si="32">ROUND(D2052/1.195,2)</f>
        <v>99.1</v>
      </c>
    </row>
    <row r="2053" spans="1:5">
      <c r="A2053" s="1003" t="s">
        <v>9252</v>
      </c>
      <c r="B2053" s="1003" t="s">
        <v>3822</v>
      </c>
      <c r="C2053" s="1199" t="s">
        <v>1240</v>
      </c>
      <c r="D2053" s="1199">
        <v>32.19</v>
      </c>
      <c r="E2053" s="1199">
        <f t="shared" si="32"/>
        <v>26.94</v>
      </c>
    </row>
    <row r="2054" spans="1:5">
      <c r="A2054" s="1003" t="s">
        <v>9253</v>
      </c>
      <c r="B2054" s="1003" t="s">
        <v>3823</v>
      </c>
      <c r="C2054" s="1199" t="s">
        <v>1240</v>
      </c>
      <c r="D2054" s="1199">
        <v>39.549999999999997</v>
      </c>
      <c r="E2054" s="1199">
        <f t="shared" si="32"/>
        <v>33.1</v>
      </c>
    </row>
    <row r="2055" spans="1:5">
      <c r="A2055" s="1003" t="s">
        <v>9254</v>
      </c>
      <c r="B2055" s="1003" t="s">
        <v>3824</v>
      </c>
      <c r="C2055" s="1199" t="s">
        <v>1240</v>
      </c>
      <c r="D2055" s="1199">
        <v>31.67</v>
      </c>
      <c r="E2055" s="1199">
        <f t="shared" si="32"/>
        <v>26.5</v>
      </c>
    </row>
    <row r="2056" spans="1:5">
      <c r="A2056" s="1003" t="s">
        <v>9255</v>
      </c>
      <c r="B2056" s="1003" t="s">
        <v>3825</v>
      </c>
      <c r="C2056" s="1199" t="s">
        <v>1240</v>
      </c>
      <c r="D2056" s="1199">
        <v>33.81</v>
      </c>
      <c r="E2056" s="1199">
        <f t="shared" si="32"/>
        <v>28.29</v>
      </c>
    </row>
    <row r="2057" spans="1:5">
      <c r="A2057" s="1003" t="s">
        <v>9256</v>
      </c>
      <c r="B2057" s="1003" t="s">
        <v>9257</v>
      </c>
      <c r="C2057" s="1199" t="s">
        <v>1240</v>
      </c>
      <c r="D2057" s="1199">
        <v>199.3</v>
      </c>
      <c r="E2057" s="1199">
        <f t="shared" si="32"/>
        <v>166.78</v>
      </c>
    </row>
    <row r="2058" spans="1:5">
      <c r="A2058" s="1003" t="s">
        <v>9258</v>
      </c>
      <c r="B2058" s="1003" t="s">
        <v>9259</v>
      </c>
      <c r="C2058" s="1199" t="s">
        <v>1240</v>
      </c>
      <c r="D2058" s="1199">
        <v>230.7</v>
      </c>
      <c r="E2058" s="1199">
        <f t="shared" si="32"/>
        <v>193.05</v>
      </c>
    </row>
    <row r="2059" spans="1:5">
      <c r="A2059" s="1003" t="s">
        <v>9260</v>
      </c>
      <c r="B2059" s="1003" t="s">
        <v>9261</v>
      </c>
      <c r="C2059" s="1199" t="s">
        <v>1240</v>
      </c>
      <c r="D2059" s="1199">
        <v>144.82</v>
      </c>
      <c r="E2059" s="1199">
        <f t="shared" si="32"/>
        <v>121.19</v>
      </c>
    </row>
    <row r="2060" spans="1:5">
      <c r="A2060" s="1003" t="s">
        <v>806</v>
      </c>
      <c r="B2060" s="1003" t="s">
        <v>9262</v>
      </c>
      <c r="C2060" s="1199" t="s">
        <v>1240</v>
      </c>
      <c r="D2060" s="1199">
        <v>193.87</v>
      </c>
      <c r="E2060" s="1199">
        <f t="shared" si="32"/>
        <v>162.22999999999999</v>
      </c>
    </row>
    <row r="2061" spans="1:5">
      <c r="A2061" s="1003" t="s">
        <v>9263</v>
      </c>
      <c r="B2061" s="1003" t="s">
        <v>9264</v>
      </c>
      <c r="C2061" s="1199" t="s">
        <v>1240</v>
      </c>
      <c r="D2061" s="1199">
        <v>244.61</v>
      </c>
      <c r="E2061" s="1199">
        <f t="shared" si="32"/>
        <v>204.69</v>
      </c>
    </row>
    <row r="2062" spans="1:5">
      <c r="A2062" s="1003" t="s">
        <v>9265</v>
      </c>
      <c r="B2062" s="1003" t="s">
        <v>9266</v>
      </c>
      <c r="C2062" s="1199" t="s">
        <v>1240</v>
      </c>
      <c r="D2062" s="1199">
        <v>360.07</v>
      </c>
      <c r="E2062" s="1199">
        <f t="shared" si="32"/>
        <v>301.31</v>
      </c>
    </row>
    <row r="2063" spans="1:5">
      <c r="A2063" s="1003" t="s">
        <v>9267</v>
      </c>
      <c r="B2063" s="1003" t="s">
        <v>9268</v>
      </c>
      <c r="C2063" s="1199" t="s">
        <v>1240</v>
      </c>
      <c r="D2063" s="1199">
        <v>43.07</v>
      </c>
      <c r="E2063" s="1199">
        <f t="shared" si="32"/>
        <v>36.04</v>
      </c>
    </row>
    <row r="2064" spans="1:5">
      <c r="A2064" s="1003" t="s">
        <v>9269</v>
      </c>
      <c r="B2064" s="1003" t="s">
        <v>9270</v>
      </c>
      <c r="C2064" s="1199" t="s">
        <v>1240</v>
      </c>
      <c r="D2064" s="1199">
        <v>65.989999999999995</v>
      </c>
      <c r="E2064" s="1199">
        <f t="shared" si="32"/>
        <v>55.22</v>
      </c>
    </row>
    <row r="2065" spans="1:5">
      <c r="A2065" s="1003" t="s">
        <v>9271</v>
      </c>
      <c r="B2065" s="1003" t="s">
        <v>3826</v>
      </c>
      <c r="C2065" s="1199" t="s">
        <v>1652</v>
      </c>
      <c r="D2065" s="1199">
        <v>637.01</v>
      </c>
      <c r="E2065" s="1199">
        <f t="shared" si="32"/>
        <v>533.05999999999995</v>
      </c>
    </row>
    <row r="2066" spans="1:5">
      <c r="A2066" s="1003" t="s">
        <v>9272</v>
      </c>
      <c r="B2066" s="1003" t="s">
        <v>9273</v>
      </c>
      <c r="C2066" s="1199" t="s">
        <v>1240</v>
      </c>
      <c r="D2066" s="1199">
        <v>2.94</v>
      </c>
      <c r="E2066" s="1199">
        <f t="shared" si="32"/>
        <v>2.46</v>
      </c>
    </row>
    <row r="2067" spans="1:5">
      <c r="A2067" s="1003" t="s">
        <v>9274</v>
      </c>
      <c r="B2067" s="1003" t="s">
        <v>9275</v>
      </c>
      <c r="C2067" s="1199" t="s">
        <v>1240</v>
      </c>
      <c r="D2067" s="1199">
        <v>4.04</v>
      </c>
      <c r="E2067" s="1199">
        <f t="shared" si="32"/>
        <v>3.38</v>
      </c>
    </row>
    <row r="2068" spans="1:5">
      <c r="A2068" s="1003" t="s">
        <v>9276</v>
      </c>
      <c r="B2068" s="1003" t="s">
        <v>9277</v>
      </c>
      <c r="C2068" s="1199" t="s">
        <v>1240</v>
      </c>
      <c r="D2068" s="1199">
        <v>1.47</v>
      </c>
      <c r="E2068" s="1199">
        <f t="shared" si="32"/>
        <v>1.23</v>
      </c>
    </row>
    <row r="2069" spans="1:5">
      <c r="A2069" s="1003" t="s">
        <v>9278</v>
      </c>
      <c r="B2069" s="1003" t="s">
        <v>9279</v>
      </c>
      <c r="C2069" s="1199" t="s">
        <v>1240</v>
      </c>
      <c r="D2069" s="1199">
        <v>1.47</v>
      </c>
      <c r="E2069" s="1199">
        <f t="shared" si="32"/>
        <v>1.23</v>
      </c>
    </row>
    <row r="2070" spans="1:5">
      <c r="A2070" s="1003" t="s">
        <v>9280</v>
      </c>
      <c r="B2070" s="1003" t="s">
        <v>1690</v>
      </c>
      <c r="C2070" s="1199" t="s">
        <v>1652</v>
      </c>
      <c r="D2070" s="1199">
        <v>637.01</v>
      </c>
      <c r="E2070" s="1199">
        <f t="shared" si="32"/>
        <v>533.05999999999995</v>
      </c>
    </row>
    <row r="2071" spans="1:5">
      <c r="A2071" s="1003" t="s">
        <v>9281</v>
      </c>
      <c r="B2071" s="1003" t="s">
        <v>9282</v>
      </c>
      <c r="C2071" s="1199" t="s">
        <v>1240</v>
      </c>
      <c r="D2071" s="1199">
        <v>11.41</v>
      </c>
      <c r="E2071" s="1199">
        <f t="shared" si="32"/>
        <v>9.5500000000000007</v>
      </c>
    </row>
    <row r="2072" spans="1:5">
      <c r="A2072" s="1003" t="s">
        <v>9283</v>
      </c>
      <c r="B2072" s="1003" t="s">
        <v>9284</v>
      </c>
      <c r="C2072" s="1199" t="s">
        <v>1240</v>
      </c>
      <c r="D2072" s="1199">
        <v>6.11</v>
      </c>
      <c r="E2072" s="1199">
        <f t="shared" si="32"/>
        <v>5.1100000000000003</v>
      </c>
    </row>
    <row r="2073" spans="1:5">
      <c r="A2073" s="1003" t="s">
        <v>9285</v>
      </c>
      <c r="B2073" s="1003" t="s">
        <v>3833</v>
      </c>
      <c r="C2073" s="1199" t="s">
        <v>1240</v>
      </c>
      <c r="D2073" s="1199">
        <v>11.41</v>
      </c>
      <c r="E2073" s="1199">
        <f t="shared" si="32"/>
        <v>9.5500000000000007</v>
      </c>
    </row>
    <row r="2074" spans="1:5">
      <c r="A2074" s="1003" t="s">
        <v>9286</v>
      </c>
      <c r="B2074" s="1003" t="s">
        <v>1691</v>
      </c>
      <c r="C2074" s="1199" t="s">
        <v>1652</v>
      </c>
      <c r="D2074" s="1199">
        <v>637.01</v>
      </c>
      <c r="E2074" s="1199">
        <f t="shared" si="32"/>
        <v>533.05999999999995</v>
      </c>
    </row>
    <row r="2075" spans="1:5">
      <c r="A2075" s="1003" t="s">
        <v>9287</v>
      </c>
      <c r="B2075" s="1003" t="s">
        <v>9288</v>
      </c>
      <c r="C2075" s="1199" t="s">
        <v>1240</v>
      </c>
      <c r="D2075" s="1199">
        <v>13.51</v>
      </c>
      <c r="E2075" s="1199">
        <f t="shared" si="32"/>
        <v>11.31</v>
      </c>
    </row>
    <row r="2076" spans="1:5">
      <c r="A2076" s="1003" t="s">
        <v>9289</v>
      </c>
      <c r="B2076" s="1003" t="s">
        <v>9290</v>
      </c>
      <c r="C2076" s="1199" t="s">
        <v>1240</v>
      </c>
      <c r="D2076" s="1199">
        <v>6.11</v>
      </c>
      <c r="E2076" s="1199">
        <f t="shared" si="32"/>
        <v>5.1100000000000003</v>
      </c>
    </row>
    <row r="2077" spans="1:5">
      <c r="A2077" s="1003" t="s">
        <v>9291</v>
      </c>
      <c r="B2077" s="1003" t="s">
        <v>3837</v>
      </c>
      <c r="C2077" s="1199" t="s">
        <v>1240</v>
      </c>
      <c r="D2077" s="1199">
        <v>11.41</v>
      </c>
      <c r="E2077" s="1199">
        <f t="shared" si="32"/>
        <v>9.5500000000000007</v>
      </c>
    </row>
    <row r="2078" spans="1:5">
      <c r="A2078" s="1003" t="s">
        <v>9292</v>
      </c>
      <c r="B2078" s="1003" t="s">
        <v>3838</v>
      </c>
      <c r="C2078" s="1199" t="s">
        <v>1652</v>
      </c>
      <c r="D2078" s="1199">
        <v>637.01</v>
      </c>
      <c r="E2078" s="1199">
        <f t="shared" si="32"/>
        <v>533.05999999999995</v>
      </c>
    </row>
    <row r="2079" spans="1:5">
      <c r="A2079" s="1003" t="s">
        <v>9293</v>
      </c>
      <c r="B2079" s="1003" t="s">
        <v>3843</v>
      </c>
      <c r="C2079" s="1199" t="s">
        <v>1240</v>
      </c>
      <c r="D2079" s="1199">
        <v>173.26</v>
      </c>
      <c r="E2079" s="1199">
        <f t="shared" si="32"/>
        <v>144.99</v>
      </c>
    </row>
    <row r="2080" spans="1:5">
      <c r="A2080" s="1003" t="s">
        <v>9294</v>
      </c>
      <c r="B2080" s="1003" t="s">
        <v>3846</v>
      </c>
      <c r="C2080" s="1199" t="s">
        <v>1214</v>
      </c>
      <c r="D2080" s="1199">
        <v>37.380000000000003</v>
      </c>
      <c r="E2080" s="1199">
        <f t="shared" si="32"/>
        <v>31.28</v>
      </c>
    </row>
    <row r="2081" spans="1:5">
      <c r="A2081" s="1003" t="s">
        <v>9295</v>
      </c>
      <c r="B2081" s="1003" t="s">
        <v>9296</v>
      </c>
      <c r="C2081" s="1199" t="s">
        <v>1240</v>
      </c>
      <c r="D2081" s="1199">
        <v>117.18</v>
      </c>
      <c r="E2081" s="1199">
        <f t="shared" si="32"/>
        <v>98.06</v>
      </c>
    </row>
    <row r="2082" spans="1:5">
      <c r="A2082" s="1003" t="s">
        <v>9297</v>
      </c>
      <c r="B2082" s="1003" t="s">
        <v>3850</v>
      </c>
      <c r="C2082" s="1199" t="s">
        <v>1240</v>
      </c>
      <c r="D2082" s="1199">
        <v>5.1100000000000003</v>
      </c>
      <c r="E2082" s="1199">
        <f t="shared" si="32"/>
        <v>4.28</v>
      </c>
    </row>
    <row r="2083" spans="1:5">
      <c r="A2083" s="1003" t="s">
        <v>9298</v>
      </c>
      <c r="B2083" s="1003" t="s">
        <v>9299</v>
      </c>
      <c r="C2083" s="1199" t="s">
        <v>1240</v>
      </c>
      <c r="D2083" s="1199">
        <v>64.67</v>
      </c>
      <c r="E2083" s="1199">
        <f t="shared" si="32"/>
        <v>54.12</v>
      </c>
    </row>
    <row r="2084" spans="1:5">
      <c r="A2084" s="1003" t="s">
        <v>9300</v>
      </c>
      <c r="B2084" s="1003" t="s">
        <v>9301</v>
      </c>
      <c r="C2084" s="1199" t="s">
        <v>1652</v>
      </c>
      <c r="D2084" s="1199">
        <v>637.01</v>
      </c>
      <c r="E2084" s="1199">
        <f t="shared" si="32"/>
        <v>533.05999999999995</v>
      </c>
    </row>
    <row r="2085" spans="1:5">
      <c r="A2085" s="1003" t="s">
        <v>9302</v>
      </c>
      <c r="B2085" s="1202" t="s">
        <v>3856</v>
      </c>
      <c r="C2085" s="1199" t="s">
        <v>1240</v>
      </c>
      <c r="D2085" s="1199">
        <v>62.21</v>
      </c>
      <c r="E2085" s="1199">
        <f t="shared" si="32"/>
        <v>52.06</v>
      </c>
    </row>
    <row r="2086" spans="1:5">
      <c r="A2086" s="1003" t="s">
        <v>9303</v>
      </c>
      <c r="B2086" s="1202" t="s">
        <v>9304</v>
      </c>
      <c r="C2086" s="1199" t="s">
        <v>1240</v>
      </c>
      <c r="D2086" s="1199">
        <v>96.61</v>
      </c>
      <c r="E2086" s="1199">
        <f t="shared" si="32"/>
        <v>80.849999999999994</v>
      </c>
    </row>
    <row r="2087" spans="1:5">
      <c r="A2087" s="1003" t="s">
        <v>9305</v>
      </c>
      <c r="B2087" s="1202" t="s">
        <v>1774</v>
      </c>
      <c r="C2087" s="1199" t="s">
        <v>1240</v>
      </c>
      <c r="D2087" s="1199">
        <v>13.15</v>
      </c>
      <c r="E2087" s="1199">
        <f t="shared" si="32"/>
        <v>11</v>
      </c>
    </row>
    <row r="2088" spans="1:5">
      <c r="A2088" s="1003" t="s">
        <v>9306</v>
      </c>
      <c r="B2088" s="1202" t="s">
        <v>9307</v>
      </c>
      <c r="C2088" s="1199" t="s">
        <v>1240</v>
      </c>
      <c r="D2088" s="1199">
        <v>22.76</v>
      </c>
      <c r="E2088" s="1199">
        <f t="shared" si="32"/>
        <v>19.05</v>
      </c>
    </row>
    <row r="2089" spans="1:5">
      <c r="A2089" s="1003" t="s">
        <v>9308</v>
      </c>
      <c r="B2089" s="1202" t="s">
        <v>93</v>
      </c>
      <c r="C2089" s="1199" t="s">
        <v>1652</v>
      </c>
      <c r="D2089" s="1199">
        <v>637.01</v>
      </c>
      <c r="E2089" s="1199">
        <f t="shared" si="32"/>
        <v>533.05999999999995</v>
      </c>
    </row>
    <row r="2090" spans="1:5">
      <c r="A2090" s="1003" t="s">
        <v>9309</v>
      </c>
      <c r="B2090" s="1202" t="s">
        <v>3860</v>
      </c>
      <c r="C2090" s="1199" t="s">
        <v>1240</v>
      </c>
      <c r="D2090" s="1199">
        <v>372.36</v>
      </c>
      <c r="E2090" s="1199">
        <f t="shared" si="32"/>
        <v>311.60000000000002</v>
      </c>
    </row>
    <row r="2091" spans="1:5">
      <c r="A2091" s="1003" t="s">
        <v>9310</v>
      </c>
      <c r="B2091" s="1202" t="s">
        <v>3861</v>
      </c>
      <c r="C2091" s="1199" t="s">
        <v>1240</v>
      </c>
      <c r="D2091" s="1199">
        <v>527.59</v>
      </c>
      <c r="E2091" s="1199">
        <f t="shared" si="32"/>
        <v>441.5</v>
      </c>
    </row>
    <row r="2092" spans="1:5">
      <c r="A2092" s="1003" t="s">
        <v>9311</v>
      </c>
      <c r="B2092" s="1202" t="s">
        <v>3862</v>
      </c>
      <c r="C2092" s="1199" t="s">
        <v>1240</v>
      </c>
      <c r="D2092" s="1199">
        <v>143.22</v>
      </c>
      <c r="E2092" s="1199">
        <f t="shared" si="32"/>
        <v>119.85</v>
      </c>
    </row>
    <row r="2093" spans="1:5">
      <c r="A2093" s="1003" t="s">
        <v>9312</v>
      </c>
      <c r="B2093" s="1202" t="s">
        <v>3863</v>
      </c>
      <c r="C2093" s="1199" t="s">
        <v>1240</v>
      </c>
      <c r="D2093" s="1199">
        <v>164.32</v>
      </c>
      <c r="E2093" s="1199">
        <f t="shared" si="32"/>
        <v>137.51</v>
      </c>
    </row>
    <row r="2094" spans="1:5">
      <c r="A2094" s="1003" t="s">
        <v>813</v>
      </c>
      <c r="B2094" s="1202" t="s">
        <v>3864</v>
      </c>
      <c r="C2094" s="1199" t="s">
        <v>1240</v>
      </c>
      <c r="D2094" s="1199">
        <v>71.27</v>
      </c>
      <c r="E2094" s="1199">
        <f t="shared" si="32"/>
        <v>59.64</v>
      </c>
    </row>
    <row r="2095" spans="1:5">
      <c r="A2095" s="1003" t="s">
        <v>9313</v>
      </c>
      <c r="B2095" s="1202" t="s">
        <v>3865</v>
      </c>
      <c r="C2095" s="1199" t="s">
        <v>1240</v>
      </c>
      <c r="D2095" s="1199">
        <v>57.05</v>
      </c>
      <c r="E2095" s="1199">
        <f t="shared" si="32"/>
        <v>47.74</v>
      </c>
    </row>
    <row r="2096" spans="1:5">
      <c r="A2096" s="1003" t="s">
        <v>9314</v>
      </c>
      <c r="B2096" s="1202" t="s">
        <v>3870</v>
      </c>
      <c r="C2096" s="1199" t="s">
        <v>1240</v>
      </c>
      <c r="D2096" s="1199">
        <v>156.16</v>
      </c>
      <c r="E2096" s="1199">
        <f t="shared" si="32"/>
        <v>130.68</v>
      </c>
    </row>
    <row r="2097" spans="1:5" ht="27.6">
      <c r="A2097" s="1003" t="s">
        <v>9315</v>
      </c>
      <c r="B2097" s="1202" t="s">
        <v>9316</v>
      </c>
      <c r="C2097" s="1199" t="s">
        <v>1240</v>
      </c>
      <c r="D2097" s="1199">
        <v>106.99</v>
      </c>
      <c r="E2097" s="1199">
        <f t="shared" si="32"/>
        <v>89.53</v>
      </c>
    </row>
    <row r="2098" spans="1:5">
      <c r="A2098" s="1003" t="s">
        <v>9317</v>
      </c>
      <c r="B2098" s="1202" t="s">
        <v>3822</v>
      </c>
      <c r="C2098" s="1199" t="s">
        <v>1240</v>
      </c>
      <c r="D2098" s="1199">
        <v>32.19</v>
      </c>
      <c r="E2098" s="1199">
        <f t="shared" si="32"/>
        <v>26.94</v>
      </c>
    </row>
    <row r="2099" spans="1:5">
      <c r="A2099" s="1003" t="s">
        <v>9318</v>
      </c>
      <c r="B2099" s="1202" t="s">
        <v>3873</v>
      </c>
      <c r="C2099" s="1199" t="s">
        <v>1650</v>
      </c>
      <c r="D2099" s="1199">
        <v>686.07</v>
      </c>
      <c r="E2099" s="1199">
        <f t="shared" si="32"/>
        <v>574.12</v>
      </c>
    </row>
    <row r="2100" spans="1:5">
      <c r="A2100" s="1003" t="s">
        <v>9319</v>
      </c>
      <c r="B2100" s="1202" t="s">
        <v>3874</v>
      </c>
      <c r="C2100" s="1199" t="s">
        <v>1650</v>
      </c>
      <c r="D2100" s="1199">
        <v>979.81</v>
      </c>
      <c r="E2100" s="1199">
        <f t="shared" si="32"/>
        <v>819.92</v>
      </c>
    </row>
    <row r="2101" spans="1:5">
      <c r="A2101" s="1003" t="s">
        <v>9320</v>
      </c>
      <c r="B2101" s="1202" t="s">
        <v>3876</v>
      </c>
      <c r="C2101" s="1199" t="s">
        <v>1240</v>
      </c>
      <c r="D2101" s="1199">
        <v>159.5</v>
      </c>
      <c r="E2101" s="1199">
        <f t="shared" si="32"/>
        <v>133.47</v>
      </c>
    </row>
    <row r="2102" spans="1:5">
      <c r="A2102" s="1003" t="s">
        <v>815</v>
      </c>
      <c r="B2102" s="1202" t="s">
        <v>3877</v>
      </c>
      <c r="C2102" s="1199" t="s">
        <v>1240</v>
      </c>
      <c r="D2102" s="1199">
        <v>30.96</v>
      </c>
      <c r="E2102" s="1199">
        <f t="shared" si="32"/>
        <v>25.91</v>
      </c>
    </row>
    <row r="2103" spans="1:5">
      <c r="A2103" s="1003" t="s">
        <v>817</v>
      </c>
      <c r="B2103" s="1202" t="s">
        <v>9321</v>
      </c>
      <c r="C2103" s="1199" t="s">
        <v>1240</v>
      </c>
      <c r="D2103" s="1199">
        <v>34.06</v>
      </c>
      <c r="E2103" s="1199">
        <f t="shared" si="32"/>
        <v>28.5</v>
      </c>
    </row>
    <row r="2104" spans="1:5">
      <c r="A2104" s="1003" t="s">
        <v>9322</v>
      </c>
      <c r="B2104" s="1202" t="s">
        <v>93</v>
      </c>
      <c r="C2104" s="1199" t="s">
        <v>1652</v>
      </c>
      <c r="D2104" s="1199">
        <v>637.01</v>
      </c>
      <c r="E2104" s="1199">
        <f t="shared" si="32"/>
        <v>533.05999999999995</v>
      </c>
    </row>
    <row r="2105" spans="1:5">
      <c r="A2105" s="1003" t="s">
        <v>9323</v>
      </c>
      <c r="B2105" s="1003" t="s">
        <v>3880</v>
      </c>
      <c r="C2105" s="1199" t="s">
        <v>1240</v>
      </c>
      <c r="D2105" s="1199">
        <v>62.21</v>
      </c>
      <c r="E2105" s="1199">
        <f t="shared" si="32"/>
        <v>52.06</v>
      </c>
    </row>
    <row r="2106" spans="1:5">
      <c r="A2106" s="1003" t="s">
        <v>9324</v>
      </c>
      <c r="B2106" s="1003" t="s">
        <v>3881</v>
      </c>
      <c r="C2106" s="1199" t="s">
        <v>1240</v>
      </c>
      <c r="D2106" s="1199">
        <v>96.61</v>
      </c>
      <c r="E2106" s="1199">
        <f t="shared" si="32"/>
        <v>80.849999999999994</v>
      </c>
    </row>
    <row r="2107" spans="1:5">
      <c r="A2107" s="1003" t="s">
        <v>9325</v>
      </c>
      <c r="B2107" s="1003" t="s">
        <v>3883</v>
      </c>
      <c r="C2107" s="1199" t="s">
        <v>1240</v>
      </c>
      <c r="D2107" s="1199">
        <v>13.15</v>
      </c>
      <c r="E2107" s="1199">
        <f t="shared" si="32"/>
        <v>11</v>
      </c>
    </row>
    <row r="2108" spans="1:5" ht="27.6">
      <c r="A2108" s="1003" t="s">
        <v>9326</v>
      </c>
      <c r="B2108" s="1003" t="s">
        <v>9327</v>
      </c>
      <c r="C2108" s="1199" t="s">
        <v>1240</v>
      </c>
      <c r="D2108" s="1199">
        <v>68.95</v>
      </c>
      <c r="E2108" s="1199">
        <f t="shared" si="32"/>
        <v>57.7</v>
      </c>
    </row>
    <row r="2109" spans="1:5">
      <c r="A2109" s="1003" t="s">
        <v>822</v>
      </c>
      <c r="B2109" s="1003" t="s">
        <v>9328</v>
      </c>
      <c r="C2109" s="1199" t="s">
        <v>1240</v>
      </c>
      <c r="D2109" s="1199">
        <v>26.86</v>
      </c>
      <c r="E2109" s="1199">
        <f t="shared" si="32"/>
        <v>22.48</v>
      </c>
    </row>
    <row r="2110" spans="1:5">
      <c r="A2110" s="1003" t="s">
        <v>824</v>
      </c>
      <c r="B2110" s="1003" t="s">
        <v>3884</v>
      </c>
      <c r="C2110" s="1199" t="s">
        <v>1240</v>
      </c>
      <c r="D2110" s="1199">
        <v>19.96</v>
      </c>
      <c r="E2110" s="1199">
        <f t="shared" si="32"/>
        <v>16.7</v>
      </c>
    </row>
    <row r="2111" spans="1:5">
      <c r="A2111" s="1003" t="s">
        <v>9329</v>
      </c>
      <c r="B2111" s="1003" t="s">
        <v>93</v>
      </c>
      <c r="C2111" s="1199" t="s">
        <v>1652</v>
      </c>
      <c r="D2111" s="1199">
        <v>637.01</v>
      </c>
      <c r="E2111" s="1199">
        <f t="shared" si="32"/>
        <v>533.05999999999995</v>
      </c>
    </row>
    <row r="2112" spans="1:5">
      <c r="A2112" s="1003" t="s">
        <v>9330</v>
      </c>
      <c r="B2112" s="1003" t="s">
        <v>3887</v>
      </c>
      <c r="C2112" s="1199" t="s">
        <v>1214</v>
      </c>
      <c r="D2112" s="1199">
        <v>80.91</v>
      </c>
      <c r="E2112" s="1199">
        <f t="shared" si="32"/>
        <v>67.709999999999994</v>
      </c>
    </row>
    <row r="2113" spans="1:5">
      <c r="A2113" s="1003" t="s">
        <v>9331</v>
      </c>
      <c r="B2113" s="1003" t="s">
        <v>3888</v>
      </c>
      <c r="C2113" s="1199" t="s">
        <v>1214</v>
      </c>
      <c r="D2113" s="1199">
        <v>147.91</v>
      </c>
      <c r="E2113" s="1199">
        <f t="shared" si="32"/>
        <v>123.77</v>
      </c>
    </row>
    <row r="2114" spans="1:5">
      <c r="A2114" s="1003" t="s">
        <v>829</v>
      </c>
      <c r="B2114" s="1003" t="s">
        <v>3889</v>
      </c>
      <c r="C2114" s="1199" t="s">
        <v>3890</v>
      </c>
      <c r="D2114" s="1199">
        <v>0.27</v>
      </c>
      <c r="E2114" s="1199">
        <f t="shared" si="32"/>
        <v>0.23</v>
      </c>
    </row>
    <row r="2115" spans="1:5">
      <c r="A2115" s="1003" t="s">
        <v>9332</v>
      </c>
      <c r="B2115" s="1003" t="s">
        <v>3891</v>
      </c>
      <c r="C2115" s="1199" t="s">
        <v>1214</v>
      </c>
      <c r="D2115" s="1199">
        <v>14.82</v>
      </c>
      <c r="E2115" s="1199">
        <f t="shared" si="32"/>
        <v>12.4</v>
      </c>
    </row>
    <row r="2116" spans="1:5">
      <c r="A2116" s="1003" t="s">
        <v>9333</v>
      </c>
      <c r="B2116" s="1003" t="s">
        <v>3892</v>
      </c>
      <c r="C2116" s="1199" t="s">
        <v>1214</v>
      </c>
      <c r="D2116" s="1199">
        <v>7.24</v>
      </c>
      <c r="E2116" s="1199">
        <f t="shared" ref="E2116:E2179" si="33">ROUND(D2116/1.195,2)</f>
        <v>6.06</v>
      </c>
    </row>
    <row r="2117" spans="1:5">
      <c r="A2117" s="1003" t="s">
        <v>9334</v>
      </c>
      <c r="B2117" s="1003" t="s">
        <v>3893</v>
      </c>
      <c r="C2117" s="1199" t="s">
        <v>1214</v>
      </c>
      <c r="D2117" s="1199">
        <v>248.64</v>
      </c>
      <c r="E2117" s="1199">
        <f t="shared" si="33"/>
        <v>208.07</v>
      </c>
    </row>
    <row r="2118" spans="1:5">
      <c r="A2118" s="1003" t="s">
        <v>9335</v>
      </c>
      <c r="B2118" s="1003" t="s">
        <v>3894</v>
      </c>
      <c r="C2118" s="1199" t="s">
        <v>1214</v>
      </c>
      <c r="D2118" s="1199">
        <v>195.98</v>
      </c>
      <c r="E2118" s="1199">
        <f t="shared" si="33"/>
        <v>164</v>
      </c>
    </row>
    <row r="2119" spans="1:5">
      <c r="A2119" s="1003" t="s">
        <v>9336</v>
      </c>
      <c r="B2119" s="1003" t="s">
        <v>9337</v>
      </c>
      <c r="C2119" s="1199" t="s">
        <v>1214</v>
      </c>
      <c r="D2119" s="1199">
        <v>51.19</v>
      </c>
      <c r="E2119" s="1199">
        <f t="shared" si="33"/>
        <v>42.84</v>
      </c>
    </row>
    <row r="2120" spans="1:5">
      <c r="A2120" s="1003" t="s">
        <v>9338</v>
      </c>
      <c r="B2120" s="1003" t="s">
        <v>3896</v>
      </c>
      <c r="C2120" s="1199" t="s">
        <v>1214</v>
      </c>
      <c r="D2120" s="1199">
        <v>35.54</v>
      </c>
      <c r="E2120" s="1199">
        <f t="shared" si="33"/>
        <v>29.74</v>
      </c>
    </row>
    <row r="2121" spans="1:5">
      <c r="A2121" s="1003" t="s">
        <v>9339</v>
      </c>
      <c r="B2121" s="1003" t="s">
        <v>3897</v>
      </c>
      <c r="C2121" s="1199" t="s">
        <v>1652</v>
      </c>
      <c r="D2121" s="1199">
        <v>637.01</v>
      </c>
      <c r="E2121" s="1199">
        <f t="shared" si="33"/>
        <v>533.05999999999995</v>
      </c>
    </row>
    <row r="2122" spans="1:5">
      <c r="A2122" s="1003" t="s">
        <v>9340</v>
      </c>
      <c r="B2122" s="1003" t="s">
        <v>9341</v>
      </c>
      <c r="C2122" s="1199" t="s">
        <v>1240</v>
      </c>
      <c r="D2122" s="1199">
        <v>9.19</v>
      </c>
      <c r="E2122" s="1199">
        <f t="shared" si="33"/>
        <v>7.69</v>
      </c>
    </row>
    <row r="2123" spans="1:5">
      <c r="A2123" s="1003" t="s">
        <v>9342</v>
      </c>
      <c r="B2123" s="1003" t="s">
        <v>9343</v>
      </c>
      <c r="C2123" s="1199" t="s">
        <v>1240</v>
      </c>
      <c r="D2123" s="1199">
        <v>11.03</v>
      </c>
      <c r="E2123" s="1199">
        <f t="shared" si="33"/>
        <v>9.23</v>
      </c>
    </row>
    <row r="2124" spans="1:5">
      <c r="A2124" s="1003" t="s">
        <v>9344</v>
      </c>
      <c r="B2124" s="1003" t="s">
        <v>9345</v>
      </c>
      <c r="C2124" s="1199" t="s">
        <v>1240</v>
      </c>
      <c r="D2124" s="1199">
        <v>1.83</v>
      </c>
      <c r="E2124" s="1199">
        <f t="shared" si="33"/>
        <v>1.53</v>
      </c>
    </row>
    <row r="2125" spans="1:5">
      <c r="A2125" s="1003" t="s">
        <v>9346</v>
      </c>
      <c r="B2125" s="1003" t="s">
        <v>9347</v>
      </c>
      <c r="C2125" s="1199" t="s">
        <v>1240</v>
      </c>
      <c r="D2125" s="1199">
        <v>0.91</v>
      </c>
      <c r="E2125" s="1199">
        <f t="shared" si="33"/>
        <v>0.76</v>
      </c>
    </row>
    <row r="2126" spans="1:5">
      <c r="A2126" s="1003" t="s">
        <v>9348</v>
      </c>
      <c r="B2126" s="1003" t="s">
        <v>9349</v>
      </c>
      <c r="C2126" s="1199" t="s">
        <v>1240</v>
      </c>
      <c r="D2126" s="1199">
        <v>9.19</v>
      </c>
      <c r="E2126" s="1199">
        <f t="shared" si="33"/>
        <v>7.69</v>
      </c>
    </row>
    <row r="2127" spans="1:5">
      <c r="A2127" s="1003" t="s">
        <v>9350</v>
      </c>
      <c r="B2127" s="1003" t="s">
        <v>9351</v>
      </c>
      <c r="C2127" s="1199" t="s">
        <v>1214</v>
      </c>
      <c r="D2127" s="1199">
        <v>3.67</v>
      </c>
      <c r="E2127" s="1199">
        <f t="shared" si="33"/>
        <v>3.07</v>
      </c>
    </row>
    <row r="2128" spans="1:5">
      <c r="A2128" s="1003" t="s">
        <v>9352</v>
      </c>
      <c r="B2128" s="1003" t="s">
        <v>1690</v>
      </c>
      <c r="C2128" s="1199" t="s">
        <v>1652</v>
      </c>
      <c r="D2128" s="1199">
        <v>637.01</v>
      </c>
      <c r="E2128" s="1199">
        <f t="shared" si="33"/>
        <v>533.05999999999995</v>
      </c>
    </row>
    <row r="2129" spans="1:5">
      <c r="A2129" s="1003" t="s">
        <v>9353</v>
      </c>
      <c r="B2129" s="1003" t="s">
        <v>9354</v>
      </c>
      <c r="C2129" s="1199" t="s">
        <v>1240</v>
      </c>
      <c r="D2129" s="1199">
        <v>5.51</v>
      </c>
      <c r="E2129" s="1199">
        <f t="shared" si="33"/>
        <v>4.6100000000000003</v>
      </c>
    </row>
    <row r="2130" spans="1:5">
      <c r="A2130" s="1003" t="s">
        <v>9355</v>
      </c>
      <c r="B2130" s="1003" t="s">
        <v>9356</v>
      </c>
      <c r="C2130" s="1199" t="s">
        <v>1240</v>
      </c>
      <c r="D2130" s="1199">
        <v>1.83</v>
      </c>
      <c r="E2130" s="1199">
        <f t="shared" si="33"/>
        <v>1.53</v>
      </c>
    </row>
    <row r="2131" spans="1:5">
      <c r="A2131" s="1003" t="s">
        <v>9357</v>
      </c>
      <c r="B2131" s="1003" t="s">
        <v>1691</v>
      </c>
      <c r="C2131" s="1199" t="s">
        <v>1652</v>
      </c>
      <c r="D2131" s="1199">
        <v>637.01</v>
      </c>
      <c r="E2131" s="1199">
        <f t="shared" si="33"/>
        <v>533.05999999999995</v>
      </c>
    </row>
    <row r="2132" spans="1:5">
      <c r="A2132" s="1003" t="s">
        <v>9358</v>
      </c>
      <c r="B2132" s="1003" t="s">
        <v>9359</v>
      </c>
      <c r="C2132" s="1199" t="s">
        <v>1650</v>
      </c>
      <c r="D2132" s="1199">
        <v>79.11</v>
      </c>
      <c r="E2132" s="1199">
        <f t="shared" si="33"/>
        <v>66.2</v>
      </c>
    </row>
    <row r="2133" spans="1:5">
      <c r="A2133" s="1003" t="s">
        <v>9360</v>
      </c>
      <c r="B2133" s="1003" t="s">
        <v>3908</v>
      </c>
      <c r="C2133" s="1199" t="s">
        <v>1652</v>
      </c>
      <c r="D2133" s="1199">
        <v>637.01</v>
      </c>
      <c r="E2133" s="1199">
        <f t="shared" si="33"/>
        <v>533.05999999999995</v>
      </c>
    </row>
    <row r="2134" spans="1:5">
      <c r="A2134" s="1003" t="s">
        <v>9361</v>
      </c>
      <c r="B2134" s="1003" t="s">
        <v>9362</v>
      </c>
      <c r="C2134" s="1199" t="s">
        <v>1652</v>
      </c>
      <c r="D2134" s="1199">
        <v>637.01</v>
      </c>
      <c r="E2134" s="1199">
        <f t="shared" si="33"/>
        <v>533.05999999999995</v>
      </c>
    </row>
    <row r="2135" spans="1:5">
      <c r="A2135" s="1003" t="s">
        <v>836</v>
      </c>
      <c r="B2135" s="1003" t="s">
        <v>3911</v>
      </c>
      <c r="C2135" s="1199" t="s">
        <v>1240</v>
      </c>
      <c r="D2135" s="1199">
        <v>12.02</v>
      </c>
      <c r="E2135" s="1199">
        <f t="shared" si="33"/>
        <v>10.06</v>
      </c>
    </row>
    <row r="2136" spans="1:5">
      <c r="A2136" s="1003" t="s">
        <v>838</v>
      </c>
      <c r="B2136" s="1003" t="s">
        <v>3912</v>
      </c>
      <c r="C2136" s="1199" t="s">
        <v>1240</v>
      </c>
      <c r="D2136" s="1199">
        <v>42.57</v>
      </c>
      <c r="E2136" s="1199">
        <f t="shared" si="33"/>
        <v>35.619999999999997</v>
      </c>
    </row>
    <row r="2137" spans="1:5">
      <c r="A2137" s="1003" t="s">
        <v>9363</v>
      </c>
      <c r="B2137" s="1003" t="s">
        <v>3913</v>
      </c>
      <c r="C2137" s="1199" t="s">
        <v>1652</v>
      </c>
      <c r="D2137" s="1199">
        <v>637.01</v>
      </c>
      <c r="E2137" s="1199">
        <f t="shared" si="33"/>
        <v>533.05999999999995</v>
      </c>
    </row>
    <row r="2138" spans="1:5">
      <c r="A2138" s="1003" t="s">
        <v>843</v>
      </c>
      <c r="B2138" s="1003" t="s">
        <v>3911</v>
      </c>
      <c r="C2138" s="1199" t="s">
        <v>1240</v>
      </c>
      <c r="D2138" s="1199">
        <v>6.82</v>
      </c>
      <c r="E2138" s="1199">
        <f t="shared" si="33"/>
        <v>5.71</v>
      </c>
    </row>
    <row r="2139" spans="1:5">
      <c r="A2139" s="1003" t="s">
        <v>9364</v>
      </c>
      <c r="B2139" s="1003" t="s">
        <v>3914</v>
      </c>
      <c r="C2139" s="1199" t="s">
        <v>1240</v>
      </c>
      <c r="D2139" s="1199">
        <v>10.08</v>
      </c>
      <c r="E2139" s="1199">
        <f t="shared" si="33"/>
        <v>8.44</v>
      </c>
    </row>
    <row r="2140" spans="1:5">
      <c r="A2140" s="1003" t="s">
        <v>845</v>
      </c>
      <c r="B2140" s="1003" t="s">
        <v>3915</v>
      </c>
      <c r="C2140" s="1199" t="s">
        <v>1240</v>
      </c>
      <c r="D2140" s="1199">
        <v>35.39</v>
      </c>
      <c r="E2140" s="1199">
        <f t="shared" si="33"/>
        <v>29.62</v>
      </c>
    </row>
    <row r="2141" spans="1:5">
      <c r="A2141" s="1003" t="s">
        <v>847</v>
      </c>
      <c r="B2141" s="1003" t="s">
        <v>3912</v>
      </c>
      <c r="C2141" s="1199" t="s">
        <v>1240</v>
      </c>
      <c r="D2141" s="1199">
        <v>42.88</v>
      </c>
      <c r="E2141" s="1199">
        <f t="shared" si="33"/>
        <v>35.880000000000003</v>
      </c>
    </row>
    <row r="2142" spans="1:5">
      <c r="A2142" s="1003" t="s">
        <v>9365</v>
      </c>
      <c r="B2142" s="1003" t="s">
        <v>3916</v>
      </c>
      <c r="C2142" s="1199" t="s">
        <v>1240</v>
      </c>
      <c r="D2142" s="1199">
        <v>25.12</v>
      </c>
      <c r="E2142" s="1199">
        <f t="shared" si="33"/>
        <v>21.02</v>
      </c>
    </row>
    <row r="2143" spans="1:5">
      <c r="A2143" s="1003" t="s">
        <v>849</v>
      </c>
      <c r="B2143" s="1003" t="s">
        <v>3917</v>
      </c>
      <c r="C2143" s="1199" t="s">
        <v>1240</v>
      </c>
      <c r="D2143" s="1199">
        <v>21.52</v>
      </c>
      <c r="E2143" s="1199">
        <f t="shared" si="33"/>
        <v>18.010000000000002</v>
      </c>
    </row>
    <row r="2144" spans="1:5">
      <c r="A2144" s="1003" t="s">
        <v>9366</v>
      </c>
      <c r="B2144" s="1003" t="s">
        <v>3918</v>
      </c>
      <c r="C2144" s="1199" t="s">
        <v>1240</v>
      </c>
      <c r="D2144" s="1199">
        <v>41.44</v>
      </c>
      <c r="E2144" s="1199">
        <f t="shared" si="33"/>
        <v>34.68</v>
      </c>
    </row>
    <row r="2145" spans="1:5">
      <c r="A2145" s="1003" t="s">
        <v>9367</v>
      </c>
      <c r="B2145" s="1003" t="s">
        <v>3919</v>
      </c>
      <c r="C2145" s="1199" t="s">
        <v>1240</v>
      </c>
      <c r="D2145" s="1199">
        <v>47.34</v>
      </c>
      <c r="E2145" s="1199">
        <f t="shared" si="33"/>
        <v>39.619999999999997</v>
      </c>
    </row>
    <row r="2146" spans="1:5">
      <c r="A2146" s="1003" t="s">
        <v>9368</v>
      </c>
      <c r="B2146" s="1003" t="s">
        <v>3920</v>
      </c>
      <c r="C2146" s="1199" t="s">
        <v>1240</v>
      </c>
      <c r="D2146" s="1199">
        <v>214.97</v>
      </c>
      <c r="E2146" s="1199">
        <f t="shared" si="33"/>
        <v>179.89</v>
      </c>
    </row>
    <row r="2147" spans="1:5">
      <c r="A2147" s="1003" t="s">
        <v>9369</v>
      </c>
      <c r="B2147" s="1003" t="s">
        <v>3921</v>
      </c>
      <c r="C2147" s="1199" t="s">
        <v>1240</v>
      </c>
      <c r="D2147" s="1199">
        <v>165.61</v>
      </c>
      <c r="E2147" s="1199">
        <f t="shared" si="33"/>
        <v>138.59</v>
      </c>
    </row>
    <row r="2148" spans="1:5">
      <c r="A2148" s="1003" t="s">
        <v>9370</v>
      </c>
      <c r="B2148" s="1003" t="s">
        <v>3922</v>
      </c>
      <c r="C2148" s="1199" t="s">
        <v>1240</v>
      </c>
      <c r="D2148" s="1199">
        <v>157.78</v>
      </c>
      <c r="E2148" s="1199">
        <f t="shared" si="33"/>
        <v>132.03</v>
      </c>
    </row>
    <row r="2149" spans="1:5">
      <c r="A2149" s="1003" t="s">
        <v>9371</v>
      </c>
      <c r="B2149" s="1003" t="s">
        <v>3923</v>
      </c>
      <c r="C2149" s="1199" t="s">
        <v>1240</v>
      </c>
      <c r="D2149" s="1199">
        <v>110.55</v>
      </c>
      <c r="E2149" s="1199">
        <f t="shared" si="33"/>
        <v>92.51</v>
      </c>
    </row>
    <row r="2150" spans="1:5">
      <c r="A2150" s="1003" t="s">
        <v>851</v>
      </c>
      <c r="B2150" s="1003" t="s">
        <v>9372</v>
      </c>
      <c r="C2150" s="1199" t="s">
        <v>1240</v>
      </c>
      <c r="D2150" s="1199">
        <v>119.27</v>
      </c>
      <c r="E2150" s="1199">
        <f t="shared" si="33"/>
        <v>99.81</v>
      </c>
    </row>
    <row r="2151" spans="1:5">
      <c r="A2151" s="1003" t="s">
        <v>853</v>
      </c>
      <c r="B2151" s="1003" t="s">
        <v>3925</v>
      </c>
      <c r="C2151" s="1199" t="s">
        <v>1214</v>
      </c>
      <c r="D2151" s="1199">
        <v>10.02</v>
      </c>
      <c r="E2151" s="1199">
        <f t="shared" si="33"/>
        <v>8.3800000000000008</v>
      </c>
    </row>
    <row r="2152" spans="1:5">
      <c r="A2152" s="1003" t="s">
        <v>9373</v>
      </c>
      <c r="B2152" s="1003" t="s">
        <v>9374</v>
      </c>
      <c r="C2152" s="1199" t="s">
        <v>1214</v>
      </c>
      <c r="D2152" s="1199">
        <v>26.87</v>
      </c>
      <c r="E2152" s="1199">
        <f t="shared" si="33"/>
        <v>22.49</v>
      </c>
    </row>
    <row r="2153" spans="1:5">
      <c r="A2153" s="1003" t="s">
        <v>9375</v>
      </c>
      <c r="B2153" s="1003" t="s">
        <v>3927</v>
      </c>
      <c r="C2153" s="1199" t="s">
        <v>1240</v>
      </c>
      <c r="D2153" s="1199">
        <v>40.299999999999997</v>
      </c>
      <c r="E2153" s="1199">
        <f t="shared" si="33"/>
        <v>33.72</v>
      </c>
    </row>
    <row r="2154" spans="1:5">
      <c r="A2154" s="1003" t="s">
        <v>9376</v>
      </c>
      <c r="B2154" s="1003" t="s">
        <v>3928</v>
      </c>
      <c r="C2154" s="1199" t="s">
        <v>1240</v>
      </c>
      <c r="D2154" s="1199">
        <v>32.33</v>
      </c>
      <c r="E2154" s="1199">
        <f t="shared" si="33"/>
        <v>27.05</v>
      </c>
    </row>
    <row r="2155" spans="1:5">
      <c r="A2155" s="1003" t="s">
        <v>9377</v>
      </c>
      <c r="B2155" s="1003" t="s">
        <v>9378</v>
      </c>
      <c r="C2155" s="1199" t="s">
        <v>1214</v>
      </c>
      <c r="D2155" s="1199">
        <v>17.100000000000001</v>
      </c>
      <c r="E2155" s="1199">
        <f t="shared" si="33"/>
        <v>14.31</v>
      </c>
    </row>
    <row r="2156" spans="1:5">
      <c r="A2156" s="1003" t="s">
        <v>9379</v>
      </c>
      <c r="B2156" s="1003" t="s">
        <v>3930</v>
      </c>
      <c r="C2156" s="1199" t="s">
        <v>1652</v>
      </c>
      <c r="D2156" s="1199">
        <v>637.01</v>
      </c>
      <c r="E2156" s="1199">
        <f t="shared" si="33"/>
        <v>533.05999999999995</v>
      </c>
    </row>
    <row r="2157" spans="1:5">
      <c r="A2157" s="1003" t="s">
        <v>858</v>
      </c>
      <c r="B2157" s="1003" t="s">
        <v>3911</v>
      </c>
      <c r="C2157" s="1199" t="s">
        <v>1240</v>
      </c>
      <c r="D2157" s="1199">
        <v>6.82</v>
      </c>
      <c r="E2157" s="1199">
        <f t="shared" si="33"/>
        <v>5.71</v>
      </c>
    </row>
    <row r="2158" spans="1:5">
      <c r="A2158" s="1003" t="s">
        <v>9380</v>
      </c>
      <c r="B2158" s="1003" t="s">
        <v>3915</v>
      </c>
      <c r="C2158" s="1199" t="s">
        <v>1240</v>
      </c>
      <c r="D2158" s="1199">
        <v>35.39</v>
      </c>
      <c r="E2158" s="1199">
        <f t="shared" si="33"/>
        <v>29.62</v>
      </c>
    </row>
    <row r="2159" spans="1:5">
      <c r="A2159" s="1003" t="s">
        <v>860</v>
      </c>
      <c r="B2159" s="1003" t="s">
        <v>3912</v>
      </c>
      <c r="C2159" s="1199" t="s">
        <v>1240</v>
      </c>
      <c r="D2159" s="1199">
        <v>42.57</v>
      </c>
      <c r="E2159" s="1199">
        <f t="shared" si="33"/>
        <v>35.619999999999997</v>
      </c>
    </row>
    <row r="2160" spans="1:5">
      <c r="A2160" s="1003" t="s">
        <v>9381</v>
      </c>
      <c r="B2160" s="1003" t="s">
        <v>3916</v>
      </c>
      <c r="C2160" s="1199" t="s">
        <v>1240</v>
      </c>
      <c r="D2160" s="1199">
        <v>25.12</v>
      </c>
      <c r="E2160" s="1199">
        <f t="shared" si="33"/>
        <v>21.02</v>
      </c>
    </row>
    <row r="2161" spans="1:5">
      <c r="A2161" s="1003" t="s">
        <v>9382</v>
      </c>
      <c r="B2161" s="1003" t="s">
        <v>3932</v>
      </c>
      <c r="C2161" s="1199" t="s">
        <v>1240</v>
      </c>
      <c r="D2161" s="1199">
        <v>8.11</v>
      </c>
      <c r="E2161" s="1199">
        <f t="shared" si="33"/>
        <v>6.79</v>
      </c>
    </row>
    <row r="2162" spans="1:5">
      <c r="A2162" s="1003" t="s">
        <v>9383</v>
      </c>
      <c r="B2162" s="1003" t="s">
        <v>3933</v>
      </c>
      <c r="C2162" s="1199" t="s">
        <v>1240</v>
      </c>
      <c r="D2162" s="1199">
        <v>40.299999999999997</v>
      </c>
      <c r="E2162" s="1199">
        <f t="shared" si="33"/>
        <v>33.72</v>
      </c>
    </row>
    <row r="2163" spans="1:5">
      <c r="A2163" s="1003" t="s">
        <v>9384</v>
      </c>
      <c r="B2163" s="1003" t="s">
        <v>3934</v>
      </c>
      <c r="C2163" s="1199" t="s">
        <v>1240</v>
      </c>
      <c r="D2163" s="1199">
        <v>32.33</v>
      </c>
      <c r="E2163" s="1199">
        <f t="shared" si="33"/>
        <v>27.05</v>
      </c>
    </row>
    <row r="2164" spans="1:5">
      <c r="A2164" s="1003" t="s">
        <v>9385</v>
      </c>
      <c r="B2164" s="1003" t="s">
        <v>3918</v>
      </c>
      <c r="C2164" s="1199" t="s">
        <v>1240</v>
      </c>
      <c r="D2164" s="1199">
        <v>41.44</v>
      </c>
      <c r="E2164" s="1199">
        <f t="shared" si="33"/>
        <v>34.68</v>
      </c>
    </row>
    <row r="2165" spans="1:5">
      <c r="A2165" s="1003" t="s">
        <v>9386</v>
      </c>
      <c r="B2165" s="1003" t="s">
        <v>3919</v>
      </c>
      <c r="C2165" s="1199" t="s">
        <v>1240</v>
      </c>
      <c r="D2165" s="1199">
        <v>47.34</v>
      </c>
      <c r="E2165" s="1199">
        <f t="shared" si="33"/>
        <v>39.619999999999997</v>
      </c>
    </row>
    <row r="2166" spans="1:5">
      <c r="A2166" s="1003" t="s">
        <v>9387</v>
      </c>
      <c r="B2166" s="1003" t="s">
        <v>3935</v>
      </c>
      <c r="C2166" s="1199" t="s">
        <v>1240</v>
      </c>
      <c r="D2166" s="1199">
        <v>484.82</v>
      </c>
      <c r="E2166" s="1199">
        <f t="shared" si="33"/>
        <v>405.71</v>
      </c>
    </row>
    <row r="2167" spans="1:5">
      <c r="A2167" s="1003" t="s">
        <v>9388</v>
      </c>
      <c r="B2167" s="1003" t="s">
        <v>3936</v>
      </c>
      <c r="C2167" s="1199" t="s">
        <v>1240</v>
      </c>
      <c r="D2167" s="1199">
        <v>347.68</v>
      </c>
      <c r="E2167" s="1199">
        <f t="shared" si="33"/>
        <v>290.95</v>
      </c>
    </row>
    <row r="2168" spans="1:5">
      <c r="A2168" s="1003" t="s">
        <v>9389</v>
      </c>
      <c r="B2168" s="1003" t="s">
        <v>3937</v>
      </c>
      <c r="C2168" s="1199" t="s">
        <v>1240</v>
      </c>
      <c r="D2168" s="1199">
        <v>346.59</v>
      </c>
      <c r="E2168" s="1199">
        <f t="shared" si="33"/>
        <v>290.02999999999997</v>
      </c>
    </row>
    <row r="2169" spans="1:5">
      <c r="A2169" s="1003" t="s">
        <v>9390</v>
      </c>
      <c r="B2169" s="1003" t="s">
        <v>3938</v>
      </c>
      <c r="C2169" s="1199" t="s">
        <v>1240</v>
      </c>
      <c r="D2169" s="1199">
        <v>176.71</v>
      </c>
      <c r="E2169" s="1199">
        <f t="shared" si="33"/>
        <v>147.87</v>
      </c>
    </row>
    <row r="2170" spans="1:5">
      <c r="A2170" s="1003" t="s">
        <v>9391</v>
      </c>
      <c r="B2170" s="1003" t="s">
        <v>3939</v>
      </c>
      <c r="C2170" s="1199" t="s">
        <v>1240</v>
      </c>
      <c r="D2170" s="1199">
        <v>256.95</v>
      </c>
      <c r="E2170" s="1199">
        <f t="shared" si="33"/>
        <v>215.02</v>
      </c>
    </row>
    <row r="2171" spans="1:5">
      <c r="A2171" s="1003" t="s">
        <v>9392</v>
      </c>
      <c r="B2171" s="1003" t="s">
        <v>3940</v>
      </c>
      <c r="C2171" s="1199" t="s">
        <v>1240</v>
      </c>
      <c r="D2171" s="1199">
        <v>171.93</v>
      </c>
      <c r="E2171" s="1199">
        <f t="shared" si="33"/>
        <v>143.87</v>
      </c>
    </row>
    <row r="2172" spans="1:5">
      <c r="A2172" s="1003" t="s">
        <v>9393</v>
      </c>
      <c r="B2172" s="1003" t="s">
        <v>3920</v>
      </c>
      <c r="C2172" s="1199" t="s">
        <v>1240</v>
      </c>
      <c r="D2172" s="1199">
        <v>226.56</v>
      </c>
      <c r="E2172" s="1199">
        <f t="shared" si="33"/>
        <v>189.59</v>
      </c>
    </row>
    <row r="2173" spans="1:5">
      <c r="A2173" s="1003" t="s">
        <v>9394</v>
      </c>
      <c r="B2173" s="1003" t="s">
        <v>3921</v>
      </c>
      <c r="C2173" s="1199" t="s">
        <v>1240</v>
      </c>
      <c r="D2173" s="1199">
        <v>177.2</v>
      </c>
      <c r="E2173" s="1199">
        <f t="shared" si="33"/>
        <v>148.28</v>
      </c>
    </row>
    <row r="2174" spans="1:5">
      <c r="A2174" s="1003" t="s">
        <v>9395</v>
      </c>
      <c r="B2174" s="1003" t="s">
        <v>3922</v>
      </c>
      <c r="C2174" s="1199" t="s">
        <v>1240</v>
      </c>
      <c r="D2174" s="1199">
        <v>169.37</v>
      </c>
      <c r="E2174" s="1199">
        <f t="shared" si="33"/>
        <v>141.72999999999999</v>
      </c>
    </row>
    <row r="2175" spans="1:5">
      <c r="A2175" s="1003" t="s">
        <v>9396</v>
      </c>
      <c r="B2175" s="1003" t="s">
        <v>3946</v>
      </c>
      <c r="C2175" s="1199" t="s">
        <v>1652</v>
      </c>
      <c r="D2175" s="1199">
        <v>637.01</v>
      </c>
      <c r="E2175" s="1199">
        <f t="shared" si="33"/>
        <v>533.05999999999995</v>
      </c>
    </row>
    <row r="2176" spans="1:5">
      <c r="A2176" s="1003" t="s">
        <v>9397</v>
      </c>
      <c r="B2176" s="1003" t="s">
        <v>9398</v>
      </c>
      <c r="C2176" s="1199" t="s">
        <v>1240</v>
      </c>
      <c r="D2176" s="1199">
        <v>10.31</v>
      </c>
      <c r="E2176" s="1199">
        <f t="shared" si="33"/>
        <v>8.6300000000000008</v>
      </c>
    </row>
    <row r="2177" spans="1:5">
      <c r="A2177" s="1003" t="s">
        <v>9399</v>
      </c>
      <c r="B2177" s="1003" t="s">
        <v>9400</v>
      </c>
      <c r="C2177" s="1199" t="s">
        <v>1240</v>
      </c>
      <c r="D2177" s="1199">
        <v>15.47</v>
      </c>
      <c r="E2177" s="1199">
        <f t="shared" si="33"/>
        <v>12.95</v>
      </c>
    </row>
    <row r="2178" spans="1:5">
      <c r="A2178" s="1003" t="s">
        <v>9401</v>
      </c>
      <c r="B2178" s="1003" t="s">
        <v>9402</v>
      </c>
      <c r="C2178" s="1199" t="s">
        <v>1240</v>
      </c>
      <c r="D2178" s="1199">
        <v>5.15</v>
      </c>
      <c r="E2178" s="1199">
        <f t="shared" si="33"/>
        <v>4.3099999999999996</v>
      </c>
    </row>
    <row r="2179" spans="1:5">
      <c r="A2179" s="1003" t="s">
        <v>9403</v>
      </c>
      <c r="B2179" s="1003" t="s">
        <v>1690</v>
      </c>
      <c r="C2179" s="1199" t="s">
        <v>1652</v>
      </c>
      <c r="D2179" s="1199">
        <v>637.01</v>
      </c>
      <c r="E2179" s="1199">
        <f t="shared" si="33"/>
        <v>533.05999999999995</v>
      </c>
    </row>
    <row r="2180" spans="1:5">
      <c r="A2180" s="1003" t="s">
        <v>9404</v>
      </c>
      <c r="B2180" s="1003" t="s">
        <v>9405</v>
      </c>
      <c r="C2180" s="1199" t="s">
        <v>1240</v>
      </c>
      <c r="D2180" s="1199">
        <v>33.11</v>
      </c>
      <c r="E2180" s="1199">
        <f t="shared" ref="E2180:E2243" si="34">ROUND(D2180/1.195,2)</f>
        <v>27.71</v>
      </c>
    </row>
    <row r="2181" spans="1:5">
      <c r="A2181" s="1003" t="s">
        <v>9406</v>
      </c>
      <c r="B2181" s="1003" t="s">
        <v>1691</v>
      </c>
      <c r="C2181" s="1199" t="s">
        <v>1652</v>
      </c>
      <c r="D2181" s="1199">
        <v>637.01</v>
      </c>
      <c r="E2181" s="1199">
        <f t="shared" si="34"/>
        <v>533.05999999999995</v>
      </c>
    </row>
    <row r="2182" spans="1:5">
      <c r="A2182" s="1003" t="s">
        <v>9407</v>
      </c>
      <c r="B2182" s="1003" t="s">
        <v>9408</v>
      </c>
      <c r="C2182" s="1199" t="s">
        <v>1240</v>
      </c>
      <c r="D2182" s="1199">
        <v>109.86</v>
      </c>
      <c r="E2182" s="1199">
        <f t="shared" si="34"/>
        <v>91.93</v>
      </c>
    </row>
    <row r="2183" spans="1:5">
      <c r="A2183" s="1003" t="s">
        <v>9409</v>
      </c>
      <c r="B2183" s="1003" t="s">
        <v>3953</v>
      </c>
      <c r="C2183" s="1199" t="s">
        <v>1652</v>
      </c>
      <c r="D2183" s="1199">
        <v>637.01</v>
      </c>
      <c r="E2183" s="1199">
        <f t="shared" si="34"/>
        <v>533.05999999999995</v>
      </c>
    </row>
    <row r="2184" spans="1:5">
      <c r="A2184" s="1003" t="s">
        <v>9410</v>
      </c>
      <c r="B2184" s="1003" t="s">
        <v>9411</v>
      </c>
      <c r="C2184" s="1199" t="s">
        <v>1240</v>
      </c>
      <c r="D2184" s="1199">
        <v>12.34</v>
      </c>
      <c r="E2184" s="1199">
        <f t="shared" si="34"/>
        <v>10.33</v>
      </c>
    </row>
    <row r="2185" spans="1:5">
      <c r="A2185" s="1003" t="s">
        <v>9412</v>
      </c>
      <c r="B2185" s="1003" t="s">
        <v>3956</v>
      </c>
      <c r="C2185" s="1199" t="s">
        <v>1214</v>
      </c>
      <c r="D2185" s="1199">
        <v>14.6</v>
      </c>
      <c r="E2185" s="1199">
        <f t="shared" si="34"/>
        <v>12.22</v>
      </c>
    </row>
    <row r="2186" spans="1:5">
      <c r="A2186" s="1003" t="s">
        <v>9413</v>
      </c>
      <c r="B2186" s="1003" t="s">
        <v>3957</v>
      </c>
      <c r="C2186" s="1199" t="s">
        <v>1214</v>
      </c>
      <c r="D2186" s="1199">
        <v>45.99</v>
      </c>
      <c r="E2186" s="1199">
        <f t="shared" si="34"/>
        <v>38.49</v>
      </c>
    </row>
    <row r="2187" spans="1:5">
      <c r="A2187" s="1003" t="s">
        <v>9414</v>
      </c>
      <c r="B2187" s="1003" t="s">
        <v>9337</v>
      </c>
      <c r="C2187" s="1199" t="s">
        <v>1214</v>
      </c>
      <c r="D2187" s="1199">
        <v>47.51</v>
      </c>
      <c r="E2187" s="1199">
        <f t="shared" si="34"/>
        <v>39.76</v>
      </c>
    </row>
    <row r="2188" spans="1:5">
      <c r="A2188" s="1003" t="s">
        <v>9415</v>
      </c>
      <c r="B2188" s="1003" t="s">
        <v>9416</v>
      </c>
      <c r="C2188" s="1199" t="s">
        <v>1652</v>
      </c>
      <c r="D2188" s="1199">
        <v>637.01</v>
      </c>
      <c r="E2188" s="1199">
        <f t="shared" si="34"/>
        <v>533.05999999999995</v>
      </c>
    </row>
    <row r="2189" spans="1:5">
      <c r="A2189" s="1003" t="s">
        <v>867</v>
      </c>
      <c r="B2189" s="1003" t="s">
        <v>3961</v>
      </c>
      <c r="C2189" s="1199" t="s">
        <v>1240</v>
      </c>
      <c r="D2189" s="1199">
        <v>42.75</v>
      </c>
      <c r="E2189" s="1199">
        <f t="shared" si="34"/>
        <v>35.770000000000003</v>
      </c>
    </row>
    <row r="2190" spans="1:5">
      <c r="A2190" s="1003" t="s">
        <v>869</v>
      </c>
      <c r="B2190" s="1003" t="s">
        <v>1654</v>
      </c>
      <c r="C2190" s="1199" t="s">
        <v>1240</v>
      </c>
      <c r="D2190" s="1199">
        <v>11.6</v>
      </c>
      <c r="E2190" s="1199">
        <f t="shared" si="34"/>
        <v>9.7100000000000009</v>
      </c>
    </row>
    <row r="2191" spans="1:5">
      <c r="A2191" s="1003" t="s">
        <v>9417</v>
      </c>
      <c r="B2191" s="1003" t="s">
        <v>9418</v>
      </c>
      <c r="C2191" s="1199" t="s">
        <v>1650</v>
      </c>
      <c r="D2191" s="1199">
        <v>490.38</v>
      </c>
      <c r="E2191" s="1199">
        <f t="shared" si="34"/>
        <v>410.36</v>
      </c>
    </row>
    <row r="2192" spans="1:5">
      <c r="A2192" s="1003" t="s">
        <v>9419</v>
      </c>
      <c r="B2192" s="1003" t="s">
        <v>9420</v>
      </c>
      <c r="C2192" s="1199" t="s">
        <v>1650</v>
      </c>
      <c r="D2192" s="1199">
        <v>650.74</v>
      </c>
      <c r="E2192" s="1199">
        <f t="shared" si="34"/>
        <v>544.54999999999995</v>
      </c>
    </row>
    <row r="2193" spans="1:5">
      <c r="A2193" s="1003" t="s">
        <v>871</v>
      </c>
      <c r="B2193" s="1003" t="s">
        <v>3965</v>
      </c>
      <c r="C2193" s="1199" t="s">
        <v>1240</v>
      </c>
      <c r="D2193" s="1199">
        <v>30.96</v>
      </c>
      <c r="E2193" s="1199">
        <f t="shared" si="34"/>
        <v>25.91</v>
      </c>
    </row>
    <row r="2194" spans="1:5">
      <c r="A2194" s="1003" t="s">
        <v>9421</v>
      </c>
      <c r="B2194" s="1003" t="s">
        <v>3966</v>
      </c>
      <c r="C2194" s="1199" t="s">
        <v>1240</v>
      </c>
      <c r="D2194" s="1199">
        <v>32.78</v>
      </c>
      <c r="E2194" s="1199">
        <f t="shared" si="34"/>
        <v>27.43</v>
      </c>
    </row>
    <row r="2195" spans="1:5">
      <c r="A2195" s="1003" t="s">
        <v>9422</v>
      </c>
      <c r="B2195" s="1003" t="s">
        <v>3967</v>
      </c>
      <c r="C2195" s="1199" t="s">
        <v>1652</v>
      </c>
      <c r="D2195" s="1199">
        <v>637.01</v>
      </c>
      <c r="E2195" s="1199">
        <f t="shared" si="34"/>
        <v>533.05999999999995</v>
      </c>
    </row>
    <row r="2196" spans="1:5">
      <c r="A2196" s="1003" t="s">
        <v>9423</v>
      </c>
      <c r="B2196" s="1003" t="s">
        <v>3969</v>
      </c>
      <c r="C2196" s="1199" t="s">
        <v>1240</v>
      </c>
      <c r="D2196" s="1199">
        <v>68.260000000000005</v>
      </c>
      <c r="E2196" s="1199">
        <f t="shared" si="34"/>
        <v>57.12</v>
      </c>
    </row>
    <row r="2197" spans="1:5">
      <c r="A2197" s="1003" t="s">
        <v>876</v>
      </c>
      <c r="B2197" s="1003" t="s">
        <v>3970</v>
      </c>
      <c r="C2197" s="1199" t="s">
        <v>1240</v>
      </c>
      <c r="D2197" s="1199">
        <v>62.48</v>
      </c>
      <c r="E2197" s="1199">
        <f t="shared" si="34"/>
        <v>52.28</v>
      </c>
    </row>
    <row r="2198" spans="1:5">
      <c r="A2198" s="1003" t="s">
        <v>9424</v>
      </c>
      <c r="B2198" s="1003" t="s">
        <v>9425</v>
      </c>
      <c r="C2198" s="1199" t="s">
        <v>1240</v>
      </c>
      <c r="D2198" s="1199">
        <v>78.73</v>
      </c>
      <c r="E2198" s="1199">
        <f t="shared" si="34"/>
        <v>65.88</v>
      </c>
    </row>
    <row r="2199" spans="1:5">
      <c r="A2199" s="1003" t="s">
        <v>9426</v>
      </c>
      <c r="B2199" s="1003" t="s">
        <v>3971</v>
      </c>
      <c r="C2199" s="1199" t="s">
        <v>1240</v>
      </c>
      <c r="D2199" s="1199">
        <v>197.99</v>
      </c>
      <c r="E2199" s="1199">
        <f t="shared" si="34"/>
        <v>165.68</v>
      </c>
    </row>
    <row r="2200" spans="1:5">
      <c r="A2200" s="1003" t="s">
        <v>9427</v>
      </c>
      <c r="B2200" s="1003" t="s">
        <v>3972</v>
      </c>
      <c r="C2200" s="1199" t="s">
        <v>1240</v>
      </c>
      <c r="D2200" s="1199">
        <v>189.12</v>
      </c>
      <c r="E2200" s="1199">
        <f t="shared" si="34"/>
        <v>158.26</v>
      </c>
    </row>
    <row r="2201" spans="1:5">
      <c r="A2201" s="1003" t="s">
        <v>9428</v>
      </c>
      <c r="B2201" s="1003" t="s">
        <v>3973</v>
      </c>
      <c r="C2201" s="1199" t="s">
        <v>1240</v>
      </c>
      <c r="D2201" s="1199">
        <v>28.61</v>
      </c>
      <c r="E2201" s="1199">
        <f t="shared" si="34"/>
        <v>23.94</v>
      </c>
    </row>
    <row r="2202" spans="1:5">
      <c r="A2202" s="1003" t="s">
        <v>9429</v>
      </c>
      <c r="B2202" s="1003" t="s">
        <v>3974</v>
      </c>
      <c r="C2202" s="1199" t="s">
        <v>1240</v>
      </c>
      <c r="D2202" s="1199">
        <v>28.61</v>
      </c>
      <c r="E2202" s="1199">
        <f t="shared" si="34"/>
        <v>23.94</v>
      </c>
    </row>
    <row r="2203" spans="1:5">
      <c r="A2203" s="1003" t="s">
        <v>9430</v>
      </c>
      <c r="B2203" s="1003" t="s">
        <v>3975</v>
      </c>
      <c r="C2203" s="1199" t="s">
        <v>1240</v>
      </c>
      <c r="D2203" s="1199">
        <v>303.14</v>
      </c>
      <c r="E2203" s="1199">
        <f t="shared" si="34"/>
        <v>253.67</v>
      </c>
    </row>
    <row r="2204" spans="1:5">
      <c r="A2204" s="1003" t="s">
        <v>9431</v>
      </c>
      <c r="B2204" s="1003" t="s">
        <v>3976</v>
      </c>
      <c r="C2204" s="1199" t="s">
        <v>1240</v>
      </c>
      <c r="D2204" s="1199">
        <v>46.03</v>
      </c>
      <c r="E2204" s="1199">
        <f t="shared" si="34"/>
        <v>38.520000000000003</v>
      </c>
    </row>
    <row r="2205" spans="1:5">
      <c r="A2205" s="1003" t="s">
        <v>9432</v>
      </c>
      <c r="B2205" s="1003" t="s">
        <v>3977</v>
      </c>
      <c r="C2205" s="1199" t="s">
        <v>1240</v>
      </c>
      <c r="D2205" s="1199">
        <v>46.13</v>
      </c>
      <c r="E2205" s="1199">
        <f t="shared" si="34"/>
        <v>38.6</v>
      </c>
    </row>
    <row r="2206" spans="1:5">
      <c r="A2206" s="1003" t="s">
        <v>9433</v>
      </c>
      <c r="B2206" s="1003" t="s">
        <v>3978</v>
      </c>
      <c r="C2206" s="1199" t="s">
        <v>1240</v>
      </c>
      <c r="D2206" s="1199">
        <v>308.33999999999997</v>
      </c>
      <c r="E2206" s="1199">
        <f t="shared" si="34"/>
        <v>258.02999999999997</v>
      </c>
    </row>
    <row r="2207" spans="1:5">
      <c r="A2207" s="1003" t="s">
        <v>9434</v>
      </c>
      <c r="B2207" s="1003" t="s">
        <v>3979</v>
      </c>
      <c r="C2207" s="1199" t="s">
        <v>1240</v>
      </c>
      <c r="D2207" s="1199">
        <v>124.53</v>
      </c>
      <c r="E2207" s="1199">
        <f t="shared" si="34"/>
        <v>104.21</v>
      </c>
    </row>
    <row r="2208" spans="1:5">
      <c r="A2208" s="1003" t="s">
        <v>9435</v>
      </c>
      <c r="B2208" s="1003" t="s">
        <v>3980</v>
      </c>
      <c r="C2208" s="1199" t="s">
        <v>1240</v>
      </c>
      <c r="D2208" s="1199">
        <v>163.08000000000001</v>
      </c>
      <c r="E2208" s="1199">
        <f t="shared" si="34"/>
        <v>136.47</v>
      </c>
    </row>
    <row r="2209" spans="1:5">
      <c r="A2209" s="1003" t="s">
        <v>9436</v>
      </c>
      <c r="B2209" s="1003" t="s">
        <v>3981</v>
      </c>
      <c r="C2209" s="1199" t="s">
        <v>1240</v>
      </c>
      <c r="D2209" s="1199">
        <v>163.08000000000001</v>
      </c>
      <c r="E2209" s="1199">
        <f t="shared" si="34"/>
        <v>136.47</v>
      </c>
    </row>
    <row r="2210" spans="1:5">
      <c r="A2210" s="1003" t="s">
        <v>878</v>
      </c>
      <c r="B2210" s="1003" t="s">
        <v>3982</v>
      </c>
      <c r="C2210" s="1199" t="s">
        <v>1240</v>
      </c>
      <c r="D2210" s="1199">
        <v>240.64</v>
      </c>
      <c r="E2210" s="1199">
        <f t="shared" si="34"/>
        <v>201.37</v>
      </c>
    </row>
    <row r="2211" spans="1:5">
      <c r="A2211" s="1003" t="s">
        <v>9437</v>
      </c>
      <c r="B2211" s="1003" t="s">
        <v>3983</v>
      </c>
      <c r="C2211" s="1199" t="s">
        <v>1240</v>
      </c>
      <c r="D2211" s="1199">
        <v>513.79</v>
      </c>
      <c r="E2211" s="1199">
        <f t="shared" si="34"/>
        <v>429.95</v>
      </c>
    </row>
    <row r="2212" spans="1:5">
      <c r="A2212" s="1003" t="s">
        <v>9438</v>
      </c>
      <c r="B2212" s="1003" t="s">
        <v>3985</v>
      </c>
      <c r="C2212" s="1199" t="s">
        <v>1240</v>
      </c>
      <c r="D2212" s="1199">
        <v>161.87</v>
      </c>
      <c r="E2212" s="1199">
        <f t="shared" si="34"/>
        <v>135.46</v>
      </c>
    </row>
    <row r="2213" spans="1:5">
      <c r="A2213" s="1003" t="s">
        <v>9439</v>
      </c>
      <c r="B2213" s="1003" t="s">
        <v>9440</v>
      </c>
      <c r="C2213" s="1199" t="s">
        <v>1214</v>
      </c>
      <c r="D2213" s="1199">
        <v>15.31</v>
      </c>
      <c r="E2213" s="1199">
        <f t="shared" si="34"/>
        <v>12.81</v>
      </c>
    </row>
    <row r="2214" spans="1:5">
      <c r="A2214" s="1003" t="s">
        <v>9441</v>
      </c>
      <c r="B2214" s="1003" t="s">
        <v>3987</v>
      </c>
      <c r="C2214" s="1199" t="s">
        <v>1240</v>
      </c>
      <c r="D2214" s="1199">
        <v>164.81</v>
      </c>
      <c r="E2214" s="1199">
        <f t="shared" si="34"/>
        <v>137.91999999999999</v>
      </c>
    </row>
    <row r="2215" spans="1:5">
      <c r="A2215" s="1003" t="s">
        <v>9442</v>
      </c>
      <c r="B2215" s="1003" t="s">
        <v>9443</v>
      </c>
      <c r="C2215" s="1199" t="s">
        <v>1240</v>
      </c>
      <c r="D2215" s="1199">
        <v>195.62</v>
      </c>
      <c r="E2215" s="1199">
        <f t="shared" si="34"/>
        <v>163.69999999999999</v>
      </c>
    </row>
    <row r="2216" spans="1:5">
      <c r="A2216" s="1003" t="s">
        <v>9444</v>
      </c>
      <c r="B2216" s="1003" t="s">
        <v>3989</v>
      </c>
      <c r="C2216" s="1199" t="s">
        <v>1240</v>
      </c>
      <c r="D2216" s="1199">
        <v>199.7</v>
      </c>
      <c r="E2216" s="1199">
        <f t="shared" si="34"/>
        <v>167.11</v>
      </c>
    </row>
    <row r="2217" spans="1:5">
      <c r="A2217" s="1003" t="s">
        <v>9445</v>
      </c>
      <c r="B2217" s="1003" t="s">
        <v>3990</v>
      </c>
      <c r="C2217" s="1199" t="s">
        <v>1240</v>
      </c>
      <c r="D2217" s="1199">
        <v>117.7</v>
      </c>
      <c r="E2217" s="1199">
        <f t="shared" si="34"/>
        <v>98.49</v>
      </c>
    </row>
    <row r="2218" spans="1:5">
      <c r="A2218" s="1003" t="s">
        <v>9446</v>
      </c>
      <c r="B2218" s="1003" t="s">
        <v>3991</v>
      </c>
      <c r="C2218" s="1199" t="s">
        <v>1240</v>
      </c>
      <c r="D2218" s="1199">
        <v>108.1</v>
      </c>
      <c r="E2218" s="1199">
        <f t="shared" si="34"/>
        <v>90.46</v>
      </c>
    </row>
    <row r="2219" spans="1:5">
      <c r="A2219" s="1003" t="s">
        <v>9447</v>
      </c>
      <c r="B2219" s="1003" t="s">
        <v>1752</v>
      </c>
      <c r="C2219" s="1199" t="s">
        <v>1248</v>
      </c>
      <c r="D2219" s="1199">
        <v>13.67</v>
      </c>
      <c r="E2219" s="1199">
        <f t="shared" si="34"/>
        <v>11.44</v>
      </c>
    </row>
    <row r="2220" spans="1:5">
      <c r="A2220" s="1003" t="s">
        <v>9448</v>
      </c>
      <c r="B2220" s="1003" t="s">
        <v>9449</v>
      </c>
      <c r="C2220" s="1199" t="s">
        <v>1240</v>
      </c>
      <c r="D2220" s="1199">
        <v>759.68</v>
      </c>
      <c r="E2220" s="1199">
        <f t="shared" si="34"/>
        <v>635.72</v>
      </c>
    </row>
    <row r="2221" spans="1:5">
      <c r="A2221" s="1003" t="s">
        <v>9450</v>
      </c>
      <c r="B2221" s="1003" t="s">
        <v>9451</v>
      </c>
      <c r="C2221" s="1199" t="s">
        <v>1240</v>
      </c>
      <c r="D2221" s="1199">
        <v>581.29</v>
      </c>
      <c r="E2221" s="1199">
        <f t="shared" si="34"/>
        <v>486.44</v>
      </c>
    </row>
    <row r="2222" spans="1:5">
      <c r="A2222" s="1003" t="s">
        <v>9452</v>
      </c>
      <c r="B2222" s="1003" t="s">
        <v>3994</v>
      </c>
      <c r="C2222" s="1199" t="s">
        <v>1240</v>
      </c>
      <c r="D2222" s="1199">
        <v>139.13999999999999</v>
      </c>
      <c r="E2222" s="1199">
        <f t="shared" si="34"/>
        <v>116.44</v>
      </c>
    </row>
    <row r="2223" spans="1:5">
      <c r="A2223" s="1003" t="s">
        <v>9453</v>
      </c>
      <c r="B2223" s="1003" t="s">
        <v>3995</v>
      </c>
      <c r="C2223" s="1199" t="s">
        <v>1240</v>
      </c>
      <c r="D2223" s="1199">
        <v>143.91999999999999</v>
      </c>
      <c r="E2223" s="1199">
        <f t="shared" si="34"/>
        <v>120.44</v>
      </c>
    </row>
    <row r="2224" spans="1:5">
      <c r="A2224" s="1003" t="s">
        <v>9454</v>
      </c>
      <c r="B2224" s="1003" t="s">
        <v>3996</v>
      </c>
      <c r="C2224" s="1199" t="s">
        <v>1240</v>
      </c>
      <c r="D2224" s="1199">
        <v>11.04</v>
      </c>
      <c r="E2224" s="1199">
        <f t="shared" si="34"/>
        <v>9.24</v>
      </c>
    </row>
    <row r="2225" spans="1:5">
      <c r="A2225" s="1003" t="s">
        <v>9455</v>
      </c>
      <c r="B2225" s="1003" t="s">
        <v>3997</v>
      </c>
      <c r="C2225" s="1199" t="s">
        <v>1240</v>
      </c>
      <c r="D2225" s="1199">
        <v>240.64</v>
      </c>
      <c r="E2225" s="1199">
        <f t="shared" si="34"/>
        <v>201.37</v>
      </c>
    </row>
    <row r="2226" spans="1:5">
      <c r="A2226" s="1003" t="s">
        <v>9456</v>
      </c>
      <c r="B2226" s="1003" t="s">
        <v>9457</v>
      </c>
      <c r="C2226" s="1199" t="s">
        <v>1240</v>
      </c>
      <c r="D2226" s="1199">
        <v>513.79</v>
      </c>
      <c r="E2226" s="1199">
        <f t="shared" si="34"/>
        <v>429.95</v>
      </c>
    </row>
    <row r="2227" spans="1:5">
      <c r="A2227" s="1003" t="s">
        <v>9458</v>
      </c>
      <c r="B2227" s="1003" t="s">
        <v>9459</v>
      </c>
      <c r="C2227" s="1199" t="s">
        <v>2050</v>
      </c>
      <c r="D2227" s="1199">
        <v>14.07</v>
      </c>
      <c r="E2227" s="1199">
        <f t="shared" si="34"/>
        <v>11.77</v>
      </c>
    </row>
    <row r="2228" spans="1:5">
      <c r="A2228" s="1003" t="s">
        <v>880</v>
      </c>
      <c r="B2228" s="1003" t="s">
        <v>9460</v>
      </c>
      <c r="C2228" s="1199" t="s">
        <v>2050</v>
      </c>
      <c r="D2228" s="1199">
        <v>14.14</v>
      </c>
      <c r="E2228" s="1199">
        <f t="shared" si="34"/>
        <v>11.83</v>
      </c>
    </row>
    <row r="2229" spans="1:5">
      <c r="A2229" s="1003" t="s">
        <v>9461</v>
      </c>
      <c r="B2229" s="1003" t="s">
        <v>9462</v>
      </c>
      <c r="C2229" s="1199" t="s">
        <v>1240</v>
      </c>
      <c r="D2229" s="1199">
        <v>312.02</v>
      </c>
      <c r="E2229" s="1199">
        <f t="shared" si="34"/>
        <v>261.10000000000002</v>
      </c>
    </row>
    <row r="2230" spans="1:5">
      <c r="A2230" s="1003" t="s">
        <v>9463</v>
      </c>
      <c r="B2230" s="1003" t="s">
        <v>9464</v>
      </c>
      <c r="C2230" s="1199" t="s">
        <v>1240</v>
      </c>
      <c r="D2230" s="1199">
        <v>254.22</v>
      </c>
      <c r="E2230" s="1199">
        <f t="shared" si="34"/>
        <v>212.74</v>
      </c>
    </row>
    <row r="2231" spans="1:5">
      <c r="A2231" s="1003" t="s">
        <v>9465</v>
      </c>
      <c r="B2231" s="1003" t="s">
        <v>9466</v>
      </c>
      <c r="C2231" s="1199" t="s">
        <v>1240</v>
      </c>
      <c r="D2231" s="1199">
        <v>27.3</v>
      </c>
      <c r="E2231" s="1199">
        <f t="shared" si="34"/>
        <v>22.85</v>
      </c>
    </row>
    <row r="2232" spans="1:5">
      <c r="A2232" s="1003" t="s">
        <v>9467</v>
      </c>
      <c r="B2232" s="1003" t="s">
        <v>4002</v>
      </c>
      <c r="C2232" s="1199" t="s">
        <v>1240</v>
      </c>
      <c r="D2232" s="1199">
        <v>27.3</v>
      </c>
      <c r="E2232" s="1199">
        <f t="shared" si="34"/>
        <v>22.85</v>
      </c>
    </row>
    <row r="2233" spans="1:5">
      <c r="A2233" s="1003" t="s">
        <v>9468</v>
      </c>
      <c r="B2233" s="1003" t="s">
        <v>9469</v>
      </c>
      <c r="C2233" s="1199" t="s">
        <v>1240</v>
      </c>
      <c r="D2233" s="1199">
        <v>170.16</v>
      </c>
      <c r="E2233" s="1199">
        <f t="shared" si="34"/>
        <v>142.38999999999999</v>
      </c>
    </row>
    <row r="2234" spans="1:5">
      <c r="A2234" s="1003" t="s">
        <v>882</v>
      </c>
      <c r="B2234" s="1003" t="s">
        <v>9470</v>
      </c>
      <c r="C2234" s="1199" t="s">
        <v>1240</v>
      </c>
      <c r="D2234" s="1199">
        <v>228.73</v>
      </c>
      <c r="E2234" s="1199">
        <f t="shared" si="34"/>
        <v>191.41</v>
      </c>
    </row>
    <row r="2235" spans="1:5">
      <c r="A2235" s="1003" t="s">
        <v>9471</v>
      </c>
      <c r="B2235" s="1003" t="s">
        <v>4004</v>
      </c>
      <c r="C2235" s="1199" t="s">
        <v>1240</v>
      </c>
      <c r="D2235" s="1199">
        <v>180.15</v>
      </c>
      <c r="E2235" s="1199">
        <f t="shared" si="34"/>
        <v>150.75</v>
      </c>
    </row>
    <row r="2236" spans="1:5">
      <c r="A2236" s="1003" t="s">
        <v>9472</v>
      </c>
      <c r="B2236" s="1003" t="s">
        <v>9473</v>
      </c>
      <c r="C2236" s="1199" t="s">
        <v>1240</v>
      </c>
      <c r="D2236" s="1199">
        <v>1013.69</v>
      </c>
      <c r="E2236" s="1199">
        <f t="shared" si="34"/>
        <v>848.28</v>
      </c>
    </row>
    <row r="2237" spans="1:5">
      <c r="A2237" s="1003" t="s">
        <v>9474</v>
      </c>
      <c r="B2237" s="1003" t="s">
        <v>4005</v>
      </c>
      <c r="C2237" s="1199" t="s">
        <v>1240</v>
      </c>
      <c r="D2237" s="1199">
        <v>288.31</v>
      </c>
      <c r="E2237" s="1199">
        <f t="shared" si="34"/>
        <v>241.26</v>
      </c>
    </row>
    <row r="2238" spans="1:5" ht="27.6">
      <c r="A2238" s="1003" t="s">
        <v>9475</v>
      </c>
      <c r="B2238" s="1003" t="s">
        <v>9476</v>
      </c>
      <c r="C2238" s="1199" t="s">
        <v>1240</v>
      </c>
      <c r="D2238" s="1199">
        <v>317.76</v>
      </c>
      <c r="E2238" s="1199">
        <f t="shared" si="34"/>
        <v>265.91000000000003</v>
      </c>
    </row>
    <row r="2239" spans="1:5" ht="27.6">
      <c r="A2239" s="1003" t="s">
        <v>9477</v>
      </c>
      <c r="B2239" s="1003" t="s">
        <v>9478</v>
      </c>
      <c r="C2239" s="1199" t="s">
        <v>1240</v>
      </c>
      <c r="D2239" s="1199">
        <v>319.11</v>
      </c>
      <c r="E2239" s="1199">
        <f t="shared" si="34"/>
        <v>267.04000000000002</v>
      </c>
    </row>
    <row r="2240" spans="1:5">
      <c r="A2240" s="1003" t="s">
        <v>9479</v>
      </c>
      <c r="B2240" s="1003" t="s">
        <v>9480</v>
      </c>
      <c r="C2240" s="1199" t="s">
        <v>1240</v>
      </c>
      <c r="D2240" s="1199">
        <v>1040.54</v>
      </c>
      <c r="E2240" s="1199">
        <f t="shared" si="34"/>
        <v>870.74</v>
      </c>
    </row>
    <row r="2241" spans="1:5">
      <c r="A2241" s="1003" t="s">
        <v>9481</v>
      </c>
      <c r="B2241" s="1003" t="s">
        <v>9482</v>
      </c>
      <c r="C2241" s="1199" t="s">
        <v>1240</v>
      </c>
      <c r="D2241" s="1199">
        <v>354.3</v>
      </c>
      <c r="E2241" s="1199">
        <f t="shared" si="34"/>
        <v>296.49</v>
      </c>
    </row>
    <row r="2242" spans="1:5">
      <c r="A2242" s="1003" t="s">
        <v>9483</v>
      </c>
      <c r="B2242" s="1003" t="s">
        <v>4011</v>
      </c>
      <c r="C2242" s="1199" t="s">
        <v>1240</v>
      </c>
      <c r="D2242" s="1199">
        <v>161.65</v>
      </c>
      <c r="E2242" s="1199">
        <f t="shared" si="34"/>
        <v>135.27000000000001</v>
      </c>
    </row>
    <row r="2243" spans="1:5">
      <c r="A2243" s="1003" t="s">
        <v>9484</v>
      </c>
      <c r="B2243" s="1003" t="s">
        <v>4012</v>
      </c>
      <c r="C2243" s="1199" t="s">
        <v>1240</v>
      </c>
      <c r="D2243" s="1199">
        <v>62.54</v>
      </c>
      <c r="E2243" s="1199">
        <f t="shared" si="34"/>
        <v>52.33</v>
      </c>
    </row>
    <row r="2244" spans="1:5">
      <c r="A2244" s="1003" t="s">
        <v>9485</v>
      </c>
      <c r="B2244" s="1003" t="s">
        <v>4013</v>
      </c>
      <c r="C2244" s="1199" t="s">
        <v>1652</v>
      </c>
      <c r="D2244" s="1199">
        <v>637.01</v>
      </c>
      <c r="E2244" s="1199">
        <f t="shared" ref="E2244:E2307" si="35">ROUND(D2244/1.195,2)</f>
        <v>533.05999999999995</v>
      </c>
    </row>
    <row r="2245" spans="1:5" ht="27.6">
      <c r="A2245" s="1003" t="s">
        <v>9486</v>
      </c>
      <c r="B2245" s="1003" t="s">
        <v>9487</v>
      </c>
      <c r="C2245" s="1199" t="s">
        <v>1240</v>
      </c>
      <c r="D2245" s="1199">
        <v>93.74</v>
      </c>
      <c r="E2245" s="1199">
        <f t="shared" si="35"/>
        <v>78.44</v>
      </c>
    </row>
    <row r="2246" spans="1:5">
      <c r="A2246" s="1003" t="s">
        <v>9488</v>
      </c>
      <c r="B2246" s="1003" t="s">
        <v>9489</v>
      </c>
      <c r="C2246" s="1199" t="s">
        <v>1214</v>
      </c>
      <c r="D2246" s="1199">
        <v>27.66</v>
      </c>
      <c r="E2246" s="1199">
        <f t="shared" si="35"/>
        <v>23.15</v>
      </c>
    </row>
    <row r="2247" spans="1:5">
      <c r="A2247" s="1003" t="s">
        <v>9490</v>
      </c>
      <c r="B2247" s="1003" t="s">
        <v>4015</v>
      </c>
      <c r="C2247" s="1199" t="s">
        <v>1240</v>
      </c>
      <c r="D2247" s="1199">
        <v>120.64</v>
      </c>
      <c r="E2247" s="1199">
        <f t="shared" si="35"/>
        <v>100.95</v>
      </c>
    </row>
    <row r="2248" spans="1:5">
      <c r="A2248" s="1003" t="s">
        <v>9491</v>
      </c>
      <c r="B2248" s="1003" t="s">
        <v>4013</v>
      </c>
      <c r="C2248" s="1199" t="s">
        <v>1652</v>
      </c>
      <c r="D2248" s="1199">
        <v>637.01</v>
      </c>
      <c r="E2248" s="1199">
        <f t="shared" si="35"/>
        <v>533.05999999999995</v>
      </c>
    </row>
    <row r="2249" spans="1:5">
      <c r="A2249" s="1003" t="s">
        <v>887</v>
      </c>
      <c r="B2249" s="1003" t="s">
        <v>4017</v>
      </c>
      <c r="C2249" s="1199" t="s">
        <v>1214</v>
      </c>
      <c r="D2249" s="1199">
        <v>49.37</v>
      </c>
      <c r="E2249" s="1199">
        <f t="shared" si="35"/>
        <v>41.31</v>
      </c>
    </row>
    <row r="2250" spans="1:5">
      <c r="A2250" s="1003" t="s">
        <v>9492</v>
      </c>
      <c r="B2250" s="1003" t="s">
        <v>4018</v>
      </c>
      <c r="C2250" s="1199" t="s">
        <v>1214</v>
      </c>
      <c r="D2250" s="1199">
        <v>119.1</v>
      </c>
      <c r="E2250" s="1199">
        <f t="shared" si="35"/>
        <v>99.67</v>
      </c>
    </row>
    <row r="2251" spans="1:5">
      <c r="A2251" s="1003" t="s">
        <v>9493</v>
      </c>
      <c r="B2251" s="1003" t="s">
        <v>4019</v>
      </c>
      <c r="C2251" s="1199" t="s">
        <v>1214</v>
      </c>
      <c r="D2251" s="1199">
        <v>240.42</v>
      </c>
      <c r="E2251" s="1199">
        <f t="shared" si="35"/>
        <v>201.19</v>
      </c>
    </row>
    <row r="2252" spans="1:5">
      <c r="A2252" s="1003" t="s">
        <v>9494</v>
      </c>
      <c r="B2252" s="1003" t="s">
        <v>4020</v>
      </c>
      <c r="C2252" s="1199" t="s">
        <v>1214</v>
      </c>
      <c r="D2252" s="1199">
        <v>75.349999999999994</v>
      </c>
      <c r="E2252" s="1199">
        <f t="shared" si="35"/>
        <v>63.05</v>
      </c>
    </row>
    <row r="2253" spans="1:5">
      <c r="A2253" s="1003" t="s">
        <v>9495</v>
      </c>
      <c r="B2253" s="1003" t="s">
        <v>4022</v>
      </c>
      <c r="C2253" s="1199" t="s">
        <v>1214</v>
      </c>
      <c r="D2253" s="1199">
        <v>206.79</v>
      </c>
      <c r="E2253" s="1199">
        <f t="shared" si="35"/>
        <v>173.05</v>
      </c>
    </row>
    <row r="2254" spans="1:5">
      <c r="A2254" s="1003" t="s">
        <v>9496</v>
      </c>
      <c r="B2254" s="1003" t="s">
        <v>4023</v>
      </c>
      <c r="C2254" s="1199" t="s">
        <v>1214</v>
      </c>
      <c r="D2254" s="1199">
        <v>273.95</v>
      </c>
      <c r="E2254" s="1199">
        <f t="shared" si="35"/>
        <v>229.25</v>
      </c>
    </row>
    <row r="2255" spans="1:5">
      <c r="A2255" s="1003" t="s">
        <v>9497</v>
      </c>
      <c r="B2255" s="1003" t="s">
        <v>4024</v>
      </c>
      <c r="C2255" s="1199" t="s">
        <v>1652</v>
      </c>
      <c r="D2255" s="1199">
        <v>637.01</v>
      </c>
      <c r="E2255" s="1199">
        <f t="shared" si="35"/>
        <v>533.05999999999995</v>
      </c>
    </row>
    <row r="2256" spans="1:5">
      <c r="A2256" s="1003" t="s">
        <v>9498</v>
      </c>
      <c r="B2256" s="1003" t="s">
        <v>4026</v>
      </c>
      <c r="C2256" s="1199" t="s">
        <v>1214</v>
      </c>
      <c r="D2256" s="1199">
        <v>22.15</v>
      </c>
      <c r="E2256" s="1199">
        <f t="shared" si="35"/>
        <v>18.54</v>
      </c>
    </row>
    <row r="2257" spans="1:5">
      <c r="A2257" s="1003" t="s">
        <v>9499</v>
      </c>
      <c r="B2257" s="1003" t="s">
        <v>4028</v>
      </c>
      <c r="C2257" s="1199" t="s">
        <v>1214</v>
      </c>
      <c r="D2257" s="1199">
        <v>22.97</v>
      </c>
      <c r="E2257" s="1199">
        <f t="shared" si="35"/>
        <v>19.22</v>
      </c>
    </row>
    <row r="2258" spans="1:5">
      <c r="A2258" s="1003" t="s">
        <v>9500</v>
      </c>
      <c r="B2258" s="1003" t="s">
        <v>4029</v>
      </c>
      <c r="C2258" s="1199" t="s">
        <v>1214</v>
      </c>
      <c r="D2258" s="1199">
        <v>22.81</v>
      </c>
      <c r="E2258" s="1199">
        <f t="shared" si="35"/>
        <v>19.09</v>
      </c>
    </row>
    <row r="2259" spans="1:5">
      <c r="A2259" s="1003" t="s">
        <v>892</v>
      </c>
      <c r="B2259" s="1003" t="s">
        <v>4030</v>
      </c>
      <c r="C2259" s="1199" t="s">
        <v>1214</v>
      </c>
      <c r="D2259" s="1199">
        <v>37.4</v>
      </c>
      <c r="E2259" s="1199">
        <f t="shared" si="35"/>
        <v>31.3</v>
      </c>
    </row>
    <row r="2260" spans="1:5">
      <c r="A2260" s="1003" t="s">
        <v>894</v>
      </c>
      <c r="B2260" s="1003" t="s">
        <v>9501</v>
      </c>
      <c r="C2260" s="1199" t="s">
        <v>1214</v>
      </c>
      <c r="D2260" s="1199">
        <v>22.77</v>
      </c>
      <c r="E2260" s="1199">
        <f t="shared" si="35"/>
        <v>19.05</v>
      </c>
    </row>
    <row r="2261" spans="1:5">
      <c r="A2261" s="1003" t="s">
        <v>9502</v>
      </c>
      <c r="B2261" s="1003" t="s">
        <v>9503</v>
      </c>
      <c r="C2261" s="1199" t="s">
        <v>1214</v>
      </c>
      <c r="D2261" s="1199">
        <v>31.79</v>
      </c>
      <c r="E2261" s="1199">
        <f t="shared" si="35"/>
        <v>26.6</v>
      </c>
    </row>
    <row r="2262" spans="1:5">
      <c r="A2262" s="1003" t="s">
        <v>9504</v>
      </c>
      <c r="B2262" s="1003" t="s">
        <v>4035</v>
      </c>
      <c r="C2262" s="1199" t="s">
        <v>1214</v>
      </c>
      <c r="D2262" s="1199">
        <v>50.2</v>
      </c>
      <c r="E2262" s="1199">
        <f t="shared" si="35"/>
        <v>42.01</v>
      </c>
    </row>
    <row r="2263" spans="1:5">
      <c r="A2263" s="1003" t="s">
        <v>9505</v>
      </c>
      <c r="B2263" s="1003" t="s">
        <v>4036</v>
      </c>
      <c r="C2263" s="1199" t="s">
        <v>1214</v>
      </c>
      <c r="D2263" s="1199">
        <v>63.2</v>
      </c>
      <c r="E2263" s="1199">
        <f t="shared" si="35"/>
        <v>52.89</v>
      </c>
    </row>
    <row r="2264" spans="1:5">
      <c r="A2264" s="1003" t="s">
        <v>896</v>
      </c>
      <c r="B2264" s="1003" t="s">
        <v>9506</v>
      </c>
      <c r="C2264" s="1199" t="s">
        <v>1214</v>
      </c>
      <c r="D2264" s="1199">
        <v>24.1</v>
      </c>
      <c r="E2264" s="1199">
        <f t="shared" si="35"/>
        <v>20.170000000000002</v>
      </c>
    </row>
    <row r="2265" spans="1:5">
      <c r="A2265" s="1003" t="s">
        <v>9507</v>
      </c>
      <c r="B2265" s="1003" t="s">
        <v>9508</v>
      </c>
      <c r="C2265" s="1199" t="s">
        <v>1214</v>
      </c>
      <c r="D2265" s="1199">
        <v>26.01</v>
      </c>
      <c r="E2265" s="1199">
        <f t="shared" si="35"/>
        <v>21.77</v>
      </c>
    </row>
    <row r="2266" spans="1:5">
      <c r="A2266" s="1003" t="s">
        <v>9509</v>
      </c>
      <c r="B2266" s="1003" t="s">
        <v>4038</v>
      </c>
      <c r="C2266" s="1199" t="s">
        <v>1214</v>
      </c>
      <c r="D2266" s="1199">
        <v>63.83</v>
      </c>
      <c r="E2266" s="1199">
        <f t="shared" si="35"/>
        <v>53.41</v>
      </c>
    </row>
    <row r="2267" spans="1:5">
      <c r="A2267" s="1003" t="s">
        <v>9510</v>
      </c>
      <c r="B2267" s="1003" t="s">
        <v>4039</v>
      </c>
      <c r="C2267" s="1199" t="s">
        <v>1214</v>
      </c>
      <c r="D2267" s="1199">
        <v>63.35</v>
      </c>
      <c r="E2267" s="1199">
        <f t="shared" si="35"/>
        <v>53.01</v>
      </c>
    </row>
    <row r="2268" spans="1:5">
      <c r="A2268" s="1003" t="s">
        <v>9511</v>
      </c>
      <c r="B2268" s="1003" t="s">
        <v>9512</v>
      </c>
      <c r="C2268" s="1199" t="s">
        <v>1214</v>
      </c>
      <c r="D2268" s="1199">
        <v>63.01</v>
      </c>
      <c r="E2268" s="1199">
        <f t="shared" si="35"/>
        <v>52.73</v>
      </c>
    </row>
    <row r="2269" spans="1:5">
      <c r="A2269" s="1003" t="s">
        <v>9513</v>
      </c>
      <c r="B2269" s="1003" t="s">
        <v>4040</v>
      </c>
      <c r="C2269" s="1199" t="s">
        <v>1214</v>
      </c>
      <c r="D2269" s="1199">
        <v>65.010000000000005</v>
      </c>
      <c r="E2269" s="1199">
        <f t="shared" si="35"/>
        <v>54.4</v>
      </c>
    </row>
    <row r="2270" spans="1:5">
      <c r="A2270" s="1003" t="s">
        <v>9514</v>
      </c>
      <c r="B2270" s="1003" t="s">
        <v>4042</v>
      </c>
      <c r="C2270" s="1199" t="s">
        <v>1214</v>
      </c>
      <c r="D2270" s="1199">
        <v>70.33</v>
      </c>
      <c r="E2270" s="1199">
        <f t="shared" si="35"/>
        <v>58.85</v>
      </c>
    </row>
    <row r="2271" spans="1:5">
      <c r="A2271" s="1003" t="s">
        <v>9515</v>
      </c>
      <c r="B2271" s="1003" t="s">
        <v>4043</v>
      </c>
      <c r="C2271" s="1199" t="s">
        <v>1214</v>
      </c>
      <c r="D2271" s="1199">
        <v>61.77</v>
      </c>
      <c r="E2271" s="1199">
        <f t="shared" si="35"/>
        <v>51.69</v>
      </c>
    </row>
    <row r="2272" spans="1:5">
      <c r="A2272" s="1003" t="s">
        <v>9516</v>
      </c>
      <c r="B2272" s="1003" t="s">
        <v>4044</v>
      </c>
      <c r="C2272" s="1199" t="s">
        <v>1214</v>
      </c>
      <c r="D2272" s="1199">
        <v>32</v>
      </c>
      <c r="E2272" s="1199">
        <f t="shared" si="35"/>
        <v>26.78</v>
      </c>
    </row>
    <row r="2273" spans="1:5">
      <c r="A2273" s="1003" t="s">
        <v>9517</v>
      </c>
      <c r="B2273" s="1003" t="s">
        <v>4045</v>
      </c>
      <c r="C2273" s="1199" t="s">
        <v>1214</v>
      </c>
      <c r="D2273" s="1199">
        <v>40.32</v>
      </c>
      <c r="E2273" s="1199">
        <f t="shared" si="35"/>
        <v>33.74</v>
      </c>
    </row>
    <row r="2274" spans="1:5">
      <c r="A2274" s="1003" t="s">
        <v>9518</v>
      </c>
      <c r="B2274" s="1003" t="s">
        <v>4047</v>
      </c>
      <c r="C2274" s="1199" t="s">
        <v>1214</v>
      </c>
      <c r="D2274" s="1199">
        <v>35.01</v>
      </c>
      <c r="E2274" s="1199">
        <f t="shared" si="35"/>
        <v>29.3</v>
      </c>
    </row>
    <row r="2275" spans="1:5">
      <c r="A2275" s="1003" t="s">
        <v>9519</v>
      </c>
      <c r="B2275" s="1003" t="s">
        <v>4048</v>
      </c>
      <c r="C2275" s="1199" t="s">
        <v>1214</v>
      </c>
      <c r="D2275" s="1199">
        <v>43.71</v>
      </c>
      <c r="E2275" s="1199">
        <f t="shared" si="35"/>
        <v>36.58</v>
      </c>
    </row>
    <row r="2276" spans="1:5">
      <c r="A2276" s="1003" t="s">
        <v>9520</v>
      </c>
      <c r="B2276" s="1003" t="s">
        <v>4052</v>
      </c>
      <c r="C2276" s="1199" t="s">
        <v>1652</v>
      </c>
      <c r="D2276" s="1199">
        <v>637.01</v>
      </c>
      <c r="E2276" s="1199">
        <f t="shared" si="35"/>
        <v>533.05999999999995</v>
      </c>
    </row>
    <row r="2277" spans="1:5">
      <c r="A2277" s="1003" t="s">
        <v>9521</v>
      </c>
      <c r="B2277" s="1003" t="s">
        <v>9522</v>
      </c>
      <c r="C2277" s="1199" t="s">
        <v>1214</v>
      </c>
      <c r="D2277" s="1199">
        <v>12.68</v>
      </c>
      <c r="E2277" s="1199">
        <f t="shared" si="35"/>
        <v>10.61</v>
      </c>
    </row>
    <row r="2278" spans="1:5">
      <c r="A2278" s="1003" t="s">
        <v>9523</v>
      </c>
      <c r="B2278" s="1003" t="s">
        <v>4054</v>
      </c>
      <c r="C2278" s="1199" t="s">
        <v>1214</v>
      </c>
      <c r="D2278" s="1199">
        <v>23.44</v>
      </c>
      <c r="E2278" s="1199">
        <f t="shared" si="35"/>
        <v>19.62</v>
      </c>
    </row>
    <row r="2279" spans="1:5">
      <c r="A2279" s="1003" t="s">
        <v>9524</v>
      </c>
      <c r="B2279" s="1003" t="s">
        <v>9525</v>
      </c>
      <c r="C2279" s="1199" t="s">
        <v>1214</v>
      </c>
      <c r="D2279" s="1199">
        <v>129.33000000000001</v>
      </c>
      <c r="E2279" s="1199">
        <f t="shared" si="35"/>
        <v>108.23</v>
      </c>
    </row>
    <row r="2280" spans="1:5">
      <c r="A2280" s="1003" t="s">
        <v>901</v>
      </c>
      <c r="B2280" s="1003" t="s">
        <v>9526</v>
      </c>
      <c r="C2280" s="1199" t="s">
        <v>1214</v>
      </c>
      <c r="D2280" s="1199">
        <v>141.19999999999999</v>
      </c>
      <c r="E2280" s="1199">
        <f t="shared" si="35"/>
        <v>118.16</v>
      </c>
    </row>
    <row r="2281" spans="1:5">
      <c r="A2281" s="1003" t="s">
        <v>9527</v>
      </c>
      <c r="B2281" s="1003" t="s">
        <v>9528</v>
      </c>
      <c r="C2281" s="1199" t="s">
        <v>1214</v>
      </c>
      <c r="D2281" s="1199">
        <v>151.44999999999999</v>
      </c>
      <c r="E2281" s="1199">
        <f t="shared" si="35"/>
        <v>126.74</v>
      </c>
    </row>
    <row r="2282" spans="1:5">
      <c r="A2282" s="1003" t="s">
        <v>9529</v>
      </c>
      <c r="B2282" s="1003" t="s">
        <v>9530</v>
      </c>
      <c r="C2282" s="1199" t="s">
        <v>1214</v>
      </c>
      <c r="D2282" s="1199">
        <v>172.66</v>
      </c>
      <c r="E2282" s="1199">
        <f t="shared" si="35"/>
        <v>144.49</v>
      </c>
    </row>
    <row r="2283" spans="1:5">
      <c r="A2283" s="1003" t="s">
        <v>9531</v>
      </c>
      <c r="B2283" s="1003" t="s">
        <v>9532</v>
      </c>
      <c r="C2283" s="1199" t="s">
        <v>1214</v>
      </c>
      <c r="D2283" s="1199">
        <v>169.47</v>
      </c>
      <c r="E2283" s="1199">
        <f t="shared" si="35"/>
        <v>141.82</v>
      </c>
    </row>
    <row r="2284" spans="1:5">
      <c r="A2284" s="1003" t="s">
        <v>903</v>
      </c>
      <c r="B2284" s="1003" t="s">
        <v>9533</v>
      </c>
      <c r="C2284" s="1199" t="s">
        <v>1214</v>
      </c>
      <c r="D2284" s="1199">
        <v>219.46</v>
      </c>
      <c r="E2284" s="1199">
        <f t="shared" si="35"/>
        <v>183.65</v>
      </c>
    </row>
    <row r="2285" spans="1:5">
      <c r="A2285" s="1003" t="s">
        <v>9534</v>
      </c>
      <c r="B2285" s="1003" t="s">
        <v>9535</v>
      </c>
      <c r="C2285" s="1199" t="s">
        <v>1214</v>
      </c>
      <c r="D2285" s="1199">
        <v>232.01</v>
      </c>
      <c r="E2285" s="1199">
        <f t="shared" si="35"/>
        <v>194.15</v>
      </c>
    </row>
    <row r="2286" spans="1:5">
      <c r="A2286" s="1003" t="s">
        <v>9536</v>
      </c>
      <c r="B2286" s="1003" t="s">
        <v>9537</v>
      </c>
      <c r="C2286" s="1199" t="s">
        <v>1214</v>
      </c>
      <c r="D2286" s="1199">
        <v>282.02</v>
      </c>
      <c r="E2286" s="1199">
        <f t="shared" si="35"/>
        <v>236</v>
      </c>
    </row>
    <row r="2287" spans="1:5">
      <c r="A2287" s="1003" t="s">
        <v>9538</v>
      </c>
      <c r="B2287" s="1003" t="s">
        <v>9539</v>
      </c>
      <c r="C2287" s="1199" t="s">
        <v>1214</v>
      </c>
      <c r="D2287" s="1199">
        <v>294.37</v>
      </c>
      <c r="E2287" s="1199">
        <f t="shared" si="35"/>
        <v>246.33</v>
      </c>
    </row>
    <row r="2288" spans="1:5">
      <c r="A2288" s="1003" t="s">
        <v>9540</v>
      </c>
      <c r="B2288" s="1003" t="s">
        <v>9541</v>
      </c>
      <c r="C2288" s="1199" t="s">
        <v>1214</v>
      </c>
      <c r="D2288" s="1199">
        <v>344.39</v>
      </c>
      <c r="E2288" s="1199">
        <f t="shared" si="35"/>
        <v>288.19</v>
      </c>
    </row>
    <row r="2289" spans="1:5">
      <c r="A2289" s="1003" t="s">
        <v>9542</v>
      </c>
      <c r="B2289" s="1003" t="s">
        <v>4063</v>
      </c>
      <c r="C2289" s="1199" t="s">
        <v>1652</v>
      </c>
      <c r="D2289" s="1199">
        <v>637.01</v>
      </c>
      <c r="E2289" s="1199">
        <f t="shared" si="35"/>
        <v>533.05999999999995</v>
      </c>
    </row>
    <row r="2290" spans="1:5">
      <c r="A2290" s="1003" t="s">
        <v>908</v>
      </c>
      <c r="B2290" s="1003" t="s">
        <v>4065</v>
      </c>
      <c r="C2290" s="1199" t="s">
        <v>1214</v>
      </c>
      <c r="D2290" s="1199">
        <v>85.73</v>
      </c>
      <c r="E2290" s="1199">
        <f t="shared" si="35"/>
        <v>71.739999999999995</v>
      </c>
    </row>
    <row r="2291" spans="1:5">
      <c r="A2291" s="1003" t="s">
        <v>9543</v>
      </c>
      <c r="B2291" s="1003" t="s">
        <v>4066</v>
      </c>
      <c r="C2291" s="1199" t="s">
        <v>1652</v>
      </c>
      <c r="D2291" s="1199">
        <v>637.01</v>
      </c>
      <c r="E2291" s="1199">
        <f t="shared" si="35"/>
        <v>533.05999999999995</v>
      </c>
    </row>
    <row r="2292" spans="1:5">
      <c r="A2292" s="1003" t="s">
        <v>9544</v>
      </c>
      <c r="B2292" s="1003" t="s">
        <v>4067</v>
      </c>
      <c r="C2292" s="1199" t="s">
        <v>1650</v>
      </c>
      <c r="D2292" s="1199">
        <v>239.19</v>
      </c>
      <c r="E2292" s="1199">
        <f t="shared" si="35"/>
        <v>200.16</v>
      </c>
    </row>
    <row r="2293" spans="1:5">
      <c r="A2293" s="1003" t="s">
        <v>9545</v>
      </c>
      <c r="B2293" s="1003" t="s">
        <v>9546</v>
      </c>
      <c r="C2293" s="1199" t="s">
        <v>1240</v>
      </c>
      <c r="D2293" s="1199">
        <v>28.89</v>
      </c>
      <c r="E2293" s="1199">
        <f t="shared" si="35"/>
        <v>24.18</v>
      </c>
    </row>
    <row r="2294" spans="1:5">
      <c r="A2294" s="1003" t="s">
        <v>9547</v>
      </c>
      <c r="B2294" s="1003" t="s">
        <v>4069</v>
      </c>
      <c r="C2294" s="1199" t="s">
        <v>1240</v>
      </c>
      <c r="D2294" s="1199">
        <v>20.63</v>
      </c>
      <c r="E2294" s="1199">
        <f t="shared" si="35"/>
        <v>17.260000000000002</v>
      </c>
    </row>
    <row r="2295" spans="1:5">
      <c r="A2295" s="1003" t="s">
        <v>9548</v>
      </c>
      <c r="B2295" s="1003" t="s">
        <v>4070</v>
      </c>
      <c r="C2295" s="1199" t="s">
        <v>1240</v>
      </c>
      <c r="D2295" s="1199">
        <v>18.57</v>
      </c>
      <c r="E2295" s="1199">
        <f t="shared" si="35"/>
        <v>15.54</v>
      </c>
    </row>
    <row r="2296" spans="1:5">
      <c r="A2296" s="1003" t="s">
        <v>9549</v>
      </c>
      <c r="B2296" s="1003" t="s">
        <v>9550</v>
      </c>
      <c r="C2296" s="1199" t="s">
        <v>1240</v>
      </c>
      <c r="D2296" s="1199">
        <v>9.2799999999999994</v>
      </c>
      <c r="E2296" s="1199">
        <f t="shared" si="35"/>
        <v>7.77</v>
      </c>
    </row>
    <row r="2297" spans="1:5">
      <c r="A2297" s="1003" t="s">
        <v>9551</v>
      </c>
      <c r="B2297" s="1003" t="s">
        <v>9552</v>
      </c>
      <c r="C2297" s="1199" t="s">
        <v>1240</v>
      </c>
      <c r="D2297" s="1199">
        <v>7.35</v>
      </c>
      <c r="E2297" s="1199">
        <f t="shared" si="35"/>
        <v>6.15</v>
      </c>
    </row>
    <row r="2298" spans="1:5">
      <c r="A2298" s="1003" t="s">
        <v>9553</v>
      </c>
      <c r="B2298" s="1003" t="s">
        <v>9554</v>
      </c>
      <c r="C2298" s="1199" t="s">
        <v>1240</v>
      </c>
      <c r="D2298" s="1199">
        <v>9.19</v>
      </c>
      <c r="E2298" s="1199">
        <f t="shared" si="35"/>
        <v>7.69</v>
      </c>
    </row>
    <row r="2299" spans="1:5">
      <c r="A2299" s="1003" t="s">
        <v>9555</v>
      </c>
      <c r="B2299" s="1003" t="s">
        <v>4074</v>
      </c>
      <c r="C2299" s="1199" t="s">
        <v>1214</v>
      </c>
      <c r="D2299" s="1199">
        <v>2.2000000000000002</v>
      </c>
      <c r="E2299" s="1199">
        <f t="shared" si="35"/>
        <v>1.84</v>
      </c>
    </row>
    <row r="2300" spans="1:5">
      <c r="A2300" s="1003" t="s">
        <v>9556</v>
      </c>
      <c r="B2300" s="1003" t="s">
        <v>4075</v>
      </c>
      <c r="C2300" s="1199" t="s">
        <v>1214</v>
      </c>
      <c r="D2300" s="1199">
        <v>2.75</v>
      </c>
      <c r="E2300" s="1199">
        <f t="shared" si="35"/>
        <v>2.2999999999999998</v>
      </c>
    </row>
    <row r="2301" spans="1:5">
      <c r="A2301" s="1003" t="s">
        <v>9557</v>
      </c>
      <c r="B2301" s="1003" t="s">
        <v>4076</v>
      </c>
      <c r="C2301" s="1199" t="s">
        <v>1214</v>
      </c>
      <c r="D2301" s="1199">
        <v>2.2000000000000002</v>
      </c>
      <c r="E2301" s="1199">
        <f t="shared" si="35"/>
        <v>1.84</v>
      </c>
    </row>
    <row r="2302" spans="1:5">
      <c r="A2302" s="1003" t="s">
        <v>9558</v>
      </c>
      <c r="B2302" s="1003" t="s">
        <v>4077</v>
      </c>
      <c r="C2302" s="1199" t="s">
        <v>1214</v>
      </c>
      <c r="D2302" s="1199">
        <v>2.2000000000000002</v>
      </c>
      <c r="E2302" s="1199">
        <f t="shared" si="35"/>
        <v>1.84</v>
      </c>
    </row>
    <row r="2303" spans="1:5">
      <c r="A2303" s="1003" t="s">
        <v>9559</v>
      </c>
      <c r="B2303" s="1003" t="s">
        <v>1690</v>
      </c>
      <c r="C2303" s="1199" t="s">
        <v>1652</v>
      </c>
      <c r="D2303" s="1199">
        <v>637.01</v>
      </c>
      <c r="E2303" s="1199">
        <f t="shared" si="35"/>
        <v>533.05999999999995</v>
      </c>
    </row>
    <row r="2304" spans="1:5">
      <c r="A2304" s="1003" t="s">
        <v>9560</v>
      </c>
      <c r="B2304" s="1003" t="s">
        <v>9561</v>
      </c>
      <c r="C2304" s="1199" t="s">
        <v>1240</v>
      </c>
      <c r="D2304" s="1199">
        <v>4.07</v>
      </c>
      <c r="E2304" s="1199">
        <f t="shared" si="35"/>
        <v>3.41</v>
      </c>
    </row>
    <row r="2305" spans="1:5">
      <c r="A2305" s="1003" t="s">
        <v>9562</v>
      </c>
      <c r="B2305" s="1003" t="s">
        <v>9563</v>
      </c>
      <c r="C2305" s="1199" t="s">
        <v>1240</v>
      </c>
      <c r="D2305" s="1199">
        <v>8.9600000000000009</v>
      </c>
      <c r="E2305" s="1199">
        <f t="shared" si="35"/>
        <v>7.5</v>
      </c>
    </row>
    <row r="2306" spans="1:5">
      <c r="A2306" s="1003" t="s">
        <v>9564</v>
      </c>
      <c r="B2306" s="1003" t="s">
        <v>9565</v>
      </c>
      <c r="C2306" s="1199" t="s">
        <v>1240</v>
      </c>
      <c r="D2306" s="1199">
        <v>27.59</v>
      </c>
      <c r="E2306" s="1199">
        <f t="shared" si="35"/>
        <v>23.09</v>
      </c>
    </row>
    <row r="2307" spans="1:5">
      <c r="A2307" s="1003" t="s">
        <v>9566</v>
      </c>
      <c r="B2307" s="1003" t="s">
        <v>9567</v>
      </c>
      <c r="C2307" s="1199" t="s">
        <v>1240</v>
      </c>
      <c r="D2307" s="1199">
        <v>11.03</v>
      </c>
      <c r="E2307" s="1199">
        <f t="shared" si="35"/>
        <v>9.23</v>
      </c>
    </row>
    <row r="2308" spans="1:5">
      <c r="A2308" s="1003" t="s">
        <v>9568</v>
      </c>
      <c r="B2308" s="1003" t="s">
        <v>9569</v>
      </c>
      <c r="C2308" s="1199" t="s">
        <v>1240</v>
      </c>
      <c r="D2308" s="1199">
        <v>24.46</v>
      </c>
      <c r="E2308" s="1199">
        <f t="shared" ref="E2308:E2371" si="36">ROUND(D2308/1.195,2)</f>
        <v>20.47</v>
      </c>
    </row>
    <row r="2309" spans="1:5">
      <c r="A2309" s="1003" t="s">
        <v>9570</v>
      </c>
      <c r="B2309" s="1003" t="s">
        <v>9571</v>
      </c>
      <c r="C2309" s="1199" t="s">
        <v>1240</v>
      </c>
      <c r="D2309" s="1199">
        <v>14.26</v>
      </c>
      <c r="E2309" s="1199">
        <f t="shared" si="36"/>
        <v>11.93</v>
      </c>
    </row>
    <row r="2310" spans="1:5">
      <c r="A2310" s="1003" t="s">
        <v>9572</v>
      </c>
      <c r="B2310" s="1003" t="s">
        <v>9573</v>
      </c>
      <c r="C2310" s="1199" t="s">
        <v>1240</v>
      </c>
      <c r="D2310" s="1199">
        <v>23.91</v>
      </c>
      <c r="E2310" s="1199">
        <f t="shared" si="36"/>
        <v>20.010000000000002</v>
      </c>
    </row>
    <row r="2311" spans="1:5">
      <c r="A2311" s="1003" t="s">
        <v>9574</v>
      </c>
      <c r="B2311" s="1003" t="s">
        <v>9575</v>
      </c>
      <c r="C2311" s="1199" t="s">
        <v>1240</v>
      </c>
      <c r="D2311" s="1199">
        <v>29.43</v>
      </c>
      <c r="E2311" s="1199">
        <f t="shared" si="36"/>
        <v>24.63</v>
      </c>
    </row>
    <row r="2312" spans="1:5">
      <c r="A2312" s="1003" t="s">
        <v>9576</v>
      </c>
      <c r="B2312" s="1003" t="s">
        <v>9577</v>
      </c>
      <c r="C2312" s="1199" t="s">
        <v>1214</v>
      </c>
      <c r="D2312" s="1199">
        <v>18.39</v>
      </c>
      <c r="E2312" s="1199">
        <f t="shared" si="36"/>
        <v>15.39</v>
      </c>
    </row>
    <row r="2313" spans="1:5">
      <c r="A2313" s="1003" t="s">
        <v>9578</v>
      </c>
      <c r="B2313" s="1003" t="s">
        <v>9579</v>
      </c>
      <c r="C2313" s="1199" t="s">
        <v>1214</v>
      </c>
      <c r="D2313" s="1199">
        <v>22.07</v>
      </c>
      <c r="E2313" s="1199">
        <f t="shared" si="36"/>
        <v>18.47</v>
      </c>
    </row>
    <row r="2314" spans="1:5">
      <c r="A2314" s="1003" t="s">
        <v>9580</v>
      </c>
      <c r="B2314" s="1003" t="s">
        <v>9581</v>
      </c>
      <c r="C2314" s="1199" t="s">
        <v>1214</v>
      </c>
      <c r="D2314" s="1199">
        <v>3.67</v>
      </c>
      <c r="E2314" s="1199">
        <f t="shared" si="36"/>
        <v>3.07</v>
      </c>
    </row>
    <row r="2315" spans="1:5">
      <c r="A2315" s="1003" t="s">
        <v>9582</v>
      </c>
      <c r="B2315" s="1003" t="s">
        <v>9583</v>
      </c>
      <c r="C2315" s="1199" t="s">
        <v>1214</v>
      </c>
      <c r="D2315" s="1199">
        <v>2.75</v>
      </c>
      <c r="E2315" s="1199">
        <f t="shared" si="36"/>
        <v>2.2999999999999998</v>
      </c>
    </row>
    <row r="2316" spans="1:5">
      <c r="A2316" s="1003" t="s">
        <v>9584</v>
      </c>
      <c r="B2316" s="1003" t="s">
        <v>9585</v>
      </c>
      <c r="C2316" s="1199" t="s">
        <v>1214</v>
      </c>
      <c r="D2316" s="1199">
        <v>3.67</v>
      </c>
      <c r="E2316" s="1199">
        <f t="shared" si="36"/>
        <v>3.07</v>
      </c>
    </row>
    <row r="2317" spans="1:5">
      <c r="A2317" s="1003" t="s">
        <v>9586</v>
      </c>
      <c r="B2317" s="1003" t="s">
        <v>9587</v>
      </c>
      <c r="C2317" s="1199" t="s">
        <v>1214</v>
      </c>
      <c r="D2317" s="1199">
        <v>3.67</v>
      </c>
      <c r="E2317" s="1199">
        <f t="shared" si="36"/>
        <v>3.07</v>
      </c>
    </row>
    <row r="2318" spans="1:5">
      <c r="A2318" s="1003" t="s">
        <v>9588</v>
      </c>
      <c r="B2318" s="1003" t="s">
        <v>9589</v>
      </c>
      <c r="C2318" s="1199" t="s">
        <v>1214</v>
      </c>
      <c r="D2318" s="1199">
        <v>3.67</v>
      </c>
      <c r="E2318" s="1199">
        <f t="shared" si="36"/>
        <v>3.07</v>
      </c>
    </row>
    <row r="2319" spans="1:5">
      <c r="A2319" s="1003" t="s">
        <v>9590</v>
      </c>
      <c r="B2319" s="1003" t="s">
        <v>1691</v>
      </c>
      <c r="C2319" s="1199" t="s">
        <v>1652</v>
      </c>
      <c r="D2319" s="1199">
        <v>637.01</v>
      </c>
      <c r="E2319" s="1199">
        <f t="shared" si="36"/>
        <v>533.05999999999995</v>
      </c>
    </row>
    <row r="2320" spans="1:5">
      <c r="A2320" s="1003" t="s">
        <v>9591</v>
      </c>
      <c r="B2320" s="1003" t="s">
        <v>9592</v>
      </c>
      <c r="C2320" s="1199" t="s">
        <v>1240</v>
      </c>
      <c r="D2320" s="1199">
        <v>21.49</v>
      </c>
      <c r="E2320" s="1199">
        <f t="shared" si="36"/>
        <v>17.98</v>
      </c>
    </row>
    <row r="2321" spans="1:5">
      <c r="A2321" s="1003" t="s">
        <v>9593</v>
      </c>
      <c r="B2321" s="1003" t="s">
        <v>9594</v>
      </c>
      <c r="C2321" s="1199" t="s">
        <v>1240</v>
      </c>
      <c r="D2321" s="1199">
        <v>69.19</v>
      </c>
      <c r="E2321" s="1199">
        <f t="shared" si="36"/>
        <v>57.9</v>
      </c>
    </row>
    <row r="2322" spans="1:5">
      <c r="A2322" s="1003" t="s">
        <v>9595</v>
      </c>
      <c r="B2322" s="1003" t="s">
        <v>9596</v>
      </c>
      <c r="C2322" s="1199" t="s">
        <v>1240</v>
      </c>
      <c r="D2322" s="1199">
        <v>5.1100000000000003</v>
      </c>
      <c r="E2322" s="1199">
        <f t="shared" si="36"/>
        <v>4.28</v>
      </c>
    </row>
    <row r="2323" spans="1:5">
      <c r="A2323" s="1003" t="s">
        <v>9597</v>
      </c>
      <c r="B2323" s="1003" t="s">
        <v>9598</v>
      </c>
      <c r="C2323" s="1199" t="s">
        <v>1214</v>
      </c>
      <c r="D2323" s="1199">
        <v>10.39</v>
      </c>
      <c r="E2323" s="1199">
        <f t="shared" si="36"/>
        <v>8.69</v>
      </c>
    </row>
    <row r="2324" spans="1:5">
      <c r="A2324" s="1003" t="s">
        <v>9599</v>
      </c>
      <c r="B2324" s="1003" t="s">
        <v>4096</v>
      </c>
      <c r="C2324" s="1199" t="s">
        <v>1652</v>
      </c>
      <c r="D2324" s="1199">
        <v>637.01</v>
      </c>
      <c r="E2324" s="1199">
        <f t="shared" si="36"/>
        <v>533.05999999999995</v>
      </c>
    </row>
    <row r="2325" spans="1:5">
      <c r="A2325" s="1003" t="s">
        <v>9600</v>
      </c>
      <c r="B2325" s="1003" t="s">
        <v>4098</v>
      </c>
      <c r="C2325" s="1199" t="s">
        <v>1650</v>
      </c>
      <c r="D2325" s="1199">
        <v>808.02</v>
      </c>
      <c r="E2325" s="1199">
        <f t="shared" si="36"/>
        <v>676.17</v>
      </c>
    </row>
    <row r="2326" spans="1:5">
      <c r="A2326" s="1003" t="s">
        <v>9601</v>
      </c>
      <c r="B2326" s="1003" t="s">
        <v>9602</v>
      </c>
      <c r="C2326" s="1199" t="s">
        <v>1240</v>
      </c>
      <c r="D2326" s="1199">
        <v>19.97</v>
      </c>
      <c r="E2326" s="1199">
        <f t="shared" si="36"/>
        <v>16.71</v>
      </c>
    </row>
    <row r="2327" spans="1:5">
      <c r="A2327" s="1003" t="s">
        <v>9603</v>
      </c>
      <c r="B2327" s="1003" t="s">
        <v>4018</v>
      </c>
      <c r="C2327" s="1199" t="s">
        <v>1214</v>
      </c>
      <c r="D2327" s="1199">
        <v>119.1</v>
      </c>
      <c r="E2327" s="1199">
        <f t="shared" si="36"/>
        <v>99.67</v>
      </c>
    </row>
    <row r="2328" spans="1:5">
      <c r="A2328" s="1003" t="s">
        <v>9604</v>
      </c>
      <c r="B2328" s="1003" t="s">
        <v>4099</v>
      </c>
      <c r="C2328" s="1199" t="s">
        <v>1240</v>
      </c>
      <c r="D2328" s="1199">
        <v>11.46</v>
      </c>
      <c r="E2328" s="1199">
        <f t="shared" si="36"/>
        <v>9.59</v>
      </c>
    </row>
    <row r="2329" spans="1:5">
      <c r="A2329" s="1003" t="s">
        <v>9605</v>
      </c>
      <c r="B2329" s="1003" t="s">
        <v>9606</v>
      </c>
      <c r="C2329" s="1199" t="s">
        <v>1240</v>
      </c>
      <c r="D2329" s="1199">
        <v>33.54</v>
      </c>
      <c r="E2329" s="1199">
        <f t="shared" si="36"/>
        <v>28.07</v>
      </c>
    </row>
    <row r="2330" spans="1:5">
      <c r="A2330" s="1003" t="s">
        <v>9607</v>
      </c>
      <c r="B2330" s="1003" t="s">
        <v>9608</v>
      </c>
      <c r="C2330" s="1199" t="s">
        <v>1240</v>
      </c>
      <c r="D2330" s="1199">
        <v>487.81</v>
      </c>
      <c r="E2330" s="1199">
        <f t="shared" si="36"/>
        <v>408.21</v>
      </c>
    </row>
    <row r="2331" spans="1:5">
      <c r="A2331" s="1003" t="s">
        <v>9609</v>
      </c>
      <c r="B2331" s="1003" t="s">
        <v>9610</v>
      </c>
      <c r="C2331" s="1199" t="s">
        <v>1240</v>
      </c>
      <c r="D2331" s="1199">
        <v>5.57</v>
      </c>
      <c r="E2331" s="1199">
        <f t="shared" si="36"/>
        <v>4.66</v>
      </c>
    </row>
    <row r="2332" spans="1:5">
      <c r="A2332" s="1003" t="s">
        <v>9611</v>
      </c>
      <c r="B2332" s="1003" t="s">
        <v>4103</v>
      </c>
      <c r="C2332" s="1199" t="s">
        <v>1240</v>
      </c>
      <c r="D2332" s="1199">
        <v>48.32</v>
      </c>
      <c r="E2332" s="1199">
        <f t="shared" si="36"/>
        <v>40.44</v>
      </c>
    </row>
    <row r="2333" spans="1:5">
      <c r="A2333" s="1003" t="s">
        <v>9612</v>
      </c>
      <c r="B2333" s="1003" t="s">
        <v>4104</v>
      </c>
      <c r="C2333" s="1199" t="s">
        <v>1240</v>
      </c>
      <c r="D2333" s="1199">
        <v>170.84</v>
      </c>
      <c r="E2333" s="1199">
        <f t="shared" si="36"/>
        <v>142.96</v>
      </c>
    </row>
    <row r="2334" spans="1:5">
      <c r="A2334" s="1003" t="s">
        <v>9613</v>
      </c>
      <c r="B2334" s="1003" t="s">
        <v>4105</v>
      </c>
      <c r="C2334" s="1199" t="s">
        <v>1240</v>
      </c>
      <c r="D2334" s="1199">
        <v>313.48</v>
      </c>
      <c r="E2334" s="1199">
        <f t="shared" si="36"/>
        <v>262.33</v>
      </c>
    </row>
    <row r="2335" spans="1:5">
      <c r="A2335" s="1003" t="s">
        <v>9614</v>
      </c>
      <c r="B2335" s="1003" t="s">
        <v>9615</v>
      </c>
      <c r="C2335" s="1199" t="s">
        <v>1240</v>
      </c>
      <c r="D2335" s="1199">
        <v>55.01</v>
      </c>
      <c r="E2335" s="1199">
        <f t="shared" si="36"/>
        <v>46.03</v>
      </c>
    </row>
    <row r="2336" spans="1:5">
      <c r="A2336" s="1003" t="s">
        <v>9616</v>
      </c>
      <c r="B2336" s="1003" t="s">
        <v>4107</v>
      </c>
      <c r="C2336" s="1199" t="s">
        <v>1240</v>
      </c>
      <c r="D2336" s="1199">
        <v>34.22</v>
      </c>
      <c r="E2336" s="1199">
        <f t="shared" si="36"/>
        <v>28.64</v>
      </c>
    </row>
    <row r="2337" spans="1:5">
      <c r="A2337" s="1003" t="s">
        <v>9617</v>
      </c>
      <c r="B2337" s="1003" t="s">
        <v>4108</v>
      </c>
      <c r="C2337" s="1199" t="s">
        <v>1240</v>
      </c>
      <c r="D2337" s="1199">
        <v>20.53</v>
      </c>
      <c r="E2337" s="1199">
        <f t="shared" si="36"/>
        <v>17.18</v>
      </c>
    </row>
    <row r="2338" spans="1:5">
      <c r="A2338" s="1003" t="s">
        <v>9618</v>
      </c>
      <c r="B2338" s="1003" t="s">
        <v>9619</v>
      </c>
      <c r="C2338" s="1199" t="s">
        <v>1240</v>
      </c>
      <c r="D2338" s="1199">
        <v>795.79</v>
      </c>
      <c r="E2338" s="1199">
        <f t="shared" si="36"/>
        <v>665.93</v>
      </c>
    </row>
    <row r="2339" spans="1:5">
      <c r="A2339" s="1003" t="s">
        <v>9620</v>
      </c>
      <c r="B2339" s="1003" t="s">
        <v>9621</v>
      </c>
      <c r="C2339" s="1199" t="s">
        <v>1240</v>
      </c>
      <c r="D2339" s="1199">
        <v>615.79</v>
      </c>
      <c r="E2339" s="1199">
        <f t="shared" si="36"/>
        <v>515.30999999999995</v>
      </c>
    </row>
    <row r="2340" spans="1:5">
      <c r="A2340" s="1003" t="s">
        <v>9622</v>
      </c>
      <c r="B2340" s="1003" t="s">
        <v>4111</v>
      </c>
      <c r="C2340" s="1199" t="s">
        <v>1240</v>
      </c>
      <c r="D2340" s="1199">
        <v>5.1100000000000003</v>
      </c>
      <c r="E2340" s="1199">
        <f t="shared" si="36"/>
        <v>4.28</v>
      </c>
    </row>
    <row r="2341" spans="1:5">
      <c r="A2341" s="1003" t="s">
        <v>9623</v>
      </c>
      <c r="B2341" s="1003" t="s">
        <v>9624</v>
      </c>
      <c r="C2341" s="1199" t="s">
        <v>1240</v>
      </c>
      <c r="D2341" s="1199">
        <v>587.24</v>
      </c>
      <c r="E2341" s="1199">
        <f t="shared" si="36"/>
        <v>491.41</v>
      </c>
    </row>
    <row r="2342" spans="1:5">
      <c r="A2342" s="1003" t="s">
        <v>9625</v>
      </c>
      <c r="B2342" s="1003" t="s">
        <v>9626</v>
      </c>
      <c r="C2342" s="1199" t="s">
        <v>1240</v>
      </c>
      <c r="D2342" s="1199">
        <v>767.24</v>
      </c>
      <c r="E2342" s="1199">
        <f t="shared" si="36"/>
        <v>642.04</v>
      </c>
    </row>
    <row r="2343" spans="1:5">
      <c r="A2343" s="1003" t="s">
        <v>9627</v>
      </c>
      <c r="B2343" s="1003" t="s">
        <v>9628</v>
      </c>
      <c r="C2343" s="1199" t="s">
        <v>1240</v>
      </c>
      <c r="D2343" s="1199">
        <v>666.84</v>
      </c>
      <c r="E2343" s="1199">
        <f t="shared" si="36"/>
        <v>558.03</v>
      </c>
    </row>
    <row r="2344" spans="1:5">
      <c r="A2344" s="1003" t="s">
        <v>9629</v>
      </c>
      <c r="B2344" s="1003" t="s">
        <v>9630</v>
      </c>
      <c r="C2344" s="1199" t="s">
        <v>1240</v>
      </c>
      <c r="D2344" s="1199">
        <v>18.8</v>
      </c>
      <c r="E2344" s="1199">
        <f t="shared" si="36"/>
        <v>15.73</v>
      </c>
    </row>
    <row r="2345" spans="1:5">
      <c r="A2345" s="1003" t="s">
        <v>9631</v>
      </c>
      <c r="B2345" s="1003" t="s">
        <v>9632</v>
      </c>
      <c r="C2345" s="1199" t="s">
        <v>1240</v>
      </c>
      <c r="D2345" s="1199">
        <v>44.04</v>
      </c>
      <c r="E2345" s="1199">
        <f t="shared" si="36"/>
        <v>36.85</v>
      </c>
    </row>
    <row r="2346" spans="1:5">
      <c r="A2346" s="1003" t="s">
        <v>9633</v>
      </c>
      <c r="B2346" s="1003" t="s">
        <v>9634</v>
      </c>
      <c r="C2346" s="1199" t="s">
        <v>1240</v>
      </c>
      <c r="D2346" s="1199">
        <v>78.73</v>
      </c>
      <c r="E2346" s="1199">
        <f t="shared" si="36"/>
        <v>65.88</v>
      </c>
    </row>
    <row r="2347" spans="1:5">
      <c r="A2347" s="1003" t="s">
        <v>9635</v>
      </c>
      <c r="B2347" s="1003" t="s">
        <v>9636</v>
      </c>
      <c r="C2347" s="1199" t="s">
        <v>1240</v>
      </c>
      <c r="D2347" s="1199">
        <v>81.13</v>
      </c>
      <c r="E2347" s="1199">
        <f t="shared" si="36"/>
        <v>67.89</v>
      </c>
    </row>
    <row r="2348" spans="1:5">
      <c r="A2348" s="1003" t="s">
        <v>9637</v>
      </c>
      <c r="B2348" s="1003" t="s">
        <v>4115</v>
      </c>
      <c r="C2348" s="1199" t="s">
        <v>1214</v>
      </c>
      <c r="D2348" s="1199">
        <v>73.06</v>
      </c>
      <c r="E2348" s="1199">
        <f t="shared" si="36"/>
        <v>61.14</v>
      </c>
    </row>
    <row r="2349" spans="1:5">
      <c r="A2349" s="1003" t="s">
        <v>9638</v>
      </c>
      <c r="B2349" s="1003" t="s">
        <v>4116</v>
      </c>
      <c r="C2349" s="1199" t="s">
        <v>1214</v>
      </c>
      <c r="D2349" s="1199">
        <v>146.55000000000001</v>
      </c>
      <c r="E2349" s="1199">
        <f t="shared" si="36"/>
        <v>122.64</v>
      </c>
    </row>
    <row r="2350" spans="1:5">
      <c r="A2350" s="1003" t="s">
        <v>9639</v>
      </c>
      <c r="B2350" s="1003" t="s">
        <v>9640</v>
      </c>
      <c r="C2350" s="1199" t="s">
        <v>1214</v>
      </c>
      <c r="D2350" s="1199">
        <v>7.61</v>
      </c>
      <c r="E2350" s="1199">
        <f t="shared" si="36"/>
        <v>6.37</v>
      </c>
    </row>
    <row r="2351" spans="1:5">
      <c r="A2351" s="1003" t="s">
        <v>9641</v>
      </c>
      <c r="B2351" s="1003" t="s">
        <v>9642</v>
      </c>
      <c r="C2351" s="1199" t="s">
        <v>1214</v>
      </c>
      <c r="D2351" s="1199">
        <v>33.53</v>
      </c>
      <c r="E2351" s="1199">
        <f t="shared" si="36"/>
        <v>28.06</v>
      </c>
    </row>
    <row r="2352" spans="1:5">
      <c r="A2352" s="1003" t="s">
        <v>9643</v>
      </c>
      <c r="B2352" s="1003" t="s">
        <v>9644</v>
      </c>
      <c r="C2352" s="1199" t="s">
        <v>1214</v>
      </c>
      <c r="D2352" s="1199">
        <v>51.75</v>
      </c>
      <c r="E2352" s="1199">
        <f t="shared" si="36"/>
        <v>43.31</v>
      </c>
    </row>
    <row r="2353" spans="1:5">
      <c r="A2353" s="1003" t="s">
        <v>9645</v>
      </c>
      <c r="B2353" s="1003" t="s">
        <v>4119</v>
      </c>
      <c r="C2353" s="1199" t="s">
        <v>1214</v>
      </c>
      <c r="D2353" s="1199">
        <v>108.62</v>
      </c>
      <c r="E2353" s="1199">
        <f t="shared" si="36"/>
        <v>90.9</v>
      </c>
    </row>
    <row r="2354" spans="1:5">
      <c r="A2354" s="1003" t="s">
        <v>9646</v>
      </c>
      <c r="B2354" s="1003" t="s">
        <v>4120</v>
      </c>
      <c r="C2354" s="1199" t="s">
        <v>1214</v>
      </c>
      <c r="D2354" s="1199">
        <v>366.72</v>
      </c>
      <c r="E2354" s="1199">
        <f t="shared" si="36"/>
        <v>306.88</v>
      </c>
    </row>
    <row r="2355" spans="1:5">
      <c r="A2355" s="1003" t="s">
        <v>9647</v>
      </c>
      <c r="B2355" s="1003" t="s">
        <v>4121</v>
      </c>
      <c r="C2355" s="1199" t="s">
        <v>1214</v>
      </c>
      <c r="D2355" s="1199">
        <v>157.41</v>
      </c>
      <c r="E2355" s="1199">
        <f t="shared" si="36"/>
        <v>131.72</v>
      </c>
    </row>
    <row r="2356" spans="1:5">
      <c r="A2356" s="1003" t="s">
        <v>9648</v>
      </c>
      <c r="B2356" s="1003" t="s">
        <v>4122</v>
      </c>
      <c r="C2356" s="1199" t="s">
        <v>1214</v>
      </c>
      <c r="D2356" s="1199">
        <v>31.91</v>
      </c>
      <c r="E2356" s="1199">
        <f t="shared" si="36"/>
        <v>26.7</v>
      </c>
    </row>
    <row r="2357" spans="1:5">
      <c r="A2357" s="1003" t="s">
        <v>9649</v>
      </c>
      <c r="B2357" s="1003" t="s">
        <v>4123</v>
      </c>
      <c r="C2357" s="1199" t="s">
        <v>1240</v>
      </c>
      <c r="D2357" s="1199">
        <v>137.44999999999999</v>
      </c>
      <c r="E2357" s="1199">
        <f t="shared" si="36"/>
        <v>115.02</v>
      </c>
    </row>
    <row r="2358" spans="1:5">
      <c r="A2358" s="1003" t="s">
        <v>9650</v>
      </c>
      <c r="B2358" s="1003" t="s">
        <v>9651</v>
      </c>
      <c r="C2358" s="1199" t="s">
        <v>1650</v>
      </c>
      <c r="D2358" s="1199">
        <v>672.17</v>
      </c>
      <c r="E2358" s="1199">
        <f t="shared" si="36"/>
        <v>562.49</v>
      </c>
    </row>
    <row r="2359" spans="1:5">
      <c r="A2359" s="1003" t="s">
        <v>9652</v>
      </c>
      <c r="B2359" s="1003" t="s">
        <v>9653</v>
      </c>
      <c r="C2359" s="1199" t="s">
        <v>1652</v>
      </c>
      <c r="D2359" s="1199">
        <v>637.01</v>
      </c>
      <c r="E2359" s="1199">
        <f t="shared" si="36"/>
        <v>533.05999999999995</v>
      </c>
    </row>
    <row r="2360" spans="1:5">
      <c r="A2360" s="1003" t="s">
        <v>914</v>
      </c>
      <c r="B2360" s="1003" t="s">
        <v>4125</v>
      </c>
      <c r="C2360" s="1199" t="s">
        <v>1240</v>
      </c>
      <c r="D2360" s="1199">
        <v>99.1</v>
      </c>
      <c r="E2360" s="1199">
        <f t="shared" si="36"/>
        <v>82.93</v>
      </c>
    </row>
    <row r="2361" spans="1:5">
      <c r="A2361" s="1003" t="s">
        <v>9654</v>
      </c>
      <c r="B2361" s="1003" t="s">
        <v>4126</v>
      </c>
      <c r="C2361" s="1199" t="s">
        <v>1240</v>
      </c>
      <c r="D2361" s="1199">
        <v>147.06</v>
      </c>
      <c r="E2361" s="1199">
        <f t="shared" si="36"/>
        <v>123.06</v>
      </c>
    </row>
    <row r="2362" spans="1:5">
      <c r="A2362" s="1003" t="s">
        <v>9655</v>
      </c>
      <c r="B2362" s="1003" t="s">
        <v>4127</v>
      </c>
      <c r="C2362" s="1199" t="s">
        <v>1240</v>
      </c>
      <c r="D2362" s="1199">
        <v>162.33000000000001</v>
      </c>
      <c r="E2362" s="1199">
        <f t="shared" si="36"/>
        <v>135.84</v>
      </c>
    </row>
    <row r="2363" spans="1:5">
      <c r="A2363" s="1003" t="s">
        <v>9656</v>
      </c>
      <c r="B2363" s="1003" t="s">
        <v>4128</v>
      </c>
      <c r="C2363" s="1199" t="s">
        <v>1240</v>
      </c>
      <c r="D2363" s="1199">
        <v>161.35</v>
      </c>
      <c r="E2363" s="1199">
        <f t="shared" si="36"/>
        <v>135.02000000000001</v>
      </c>
    </row>
    <row r="2364" spans="1:5">
      <c r="A2364" s="1003" t="s">
        <v>9657</v>
      </c>
      <c r="B2364" s="1003" t="s">
        <v>4129</v>
      </c>
      <c r="C2364" s="1199" t="s">
        <v>1240</v>
      </c>
      <c r="D2364" s="1199">
        <v>262.95</v>
      </c>
      <c r="E2364" s="1199">
        <f t="shared" si="36"/>
        <v>220.04</v>
      </c>
    </row>
    <row r="2365" spans="1:5">
      <c r="A2365" s="1003" t="s">
        <v>916</v>
      </c>
      <c r="B2365" s="1003" t="s">
        <v>4130</v>
      </c>
      <c r="C2365" s="1199" t="s">
        <v>1240</v>
      </c>
      <c r="D2365" s="1199">
        <v>158.28</v>
      </c>
      <c r="E2365" s="1199">
        <f t="shared" si="36"/>
        <v>132.44999999999999</v>
      </c>
    </row>
    <row r="2366" spans="1:5">
      <c r="A2366" s="1003" t="s">
        <v>9658</v>
      </c>
      <c r="B2366" s="1003" t="s">
        <v>4131</v>
      </c>
      <c r="C2366" s="1199" t="s">
        <v>1240</v>
      </c>
      <c r="D2366" s="1199">
        <v>460.93</v>
      </c>
      <c r="E2366" s="1199">
        <f t="shared" si="36"/>
        <v>385.72</v>
      </c>
    </row>
    <row r="2367" spans="1:5">
      <c r="A2367" s="1003" t="s">
        <v>9659</v>
      </c>
      <c r="B2367" s="1003" t="s">
        <v>4132</v>
      </c>
      <c r="C2367" s="1199" t="s">
        <v>1240</v>
      </c>
      <c r="D2367" s="1199">
        <v>1570.86</v>
      </c>
      <c r="E2367" s="1199">
        <f t="shared" si="36"/>
        <v>1314.53</v>
      </c>
    </row>
    <row r="2368" spans="1:5" ht="27.6">
      <c r="A2368" s="1003" t="s">
        <v>9660</v>
      </c>
      <c r="B2368" s="1003" t="s">
        <v>9661</v>
      </c>
      <c r="C2368" s="1199" t="s">
        <v>1240</v>
      </c>
      <c r="D2368" s="1199">
        <v>256.83999999999997</v>
      </c>
      <c r="E2368" s="1199">
        <f t="shared" si="36"/>
        <v>214.93</v>
      </c>
    </row>
    <row r="2369" spans="1:6">
      <c r="A2369" s="1003" t="s">
        <v>9662</v>
      </c>
      <c r="B2369" s="1003" t="s">
        <v>9663</v>
      </c>
      <c r="C2369" s="1199" t="s">
        <v>1240</v>
      </c>
      <c r="D2369" s="1199">
        <v>143.59</v>
      </c>
      <c r="E2369" s="1199">
        <f t="shared" si="36"/>
        <v>120.16</v>
      </c>
    </row>
    <row r="2370" spans="1:6">
      <c r="A2370" s="1003" t="s">
        <v>9664</v>
      </c>
      <c r="B2370" s="1003" t="s">
        <v>4135</v>
      </c>
      <c r="C2370" s="1199" t="s">
        <v>1652</v>
      </c>
      <c r="D2370" s="1199">
        <v>637.01</v>
      </c>
      <c r="E2370" s="1199">
        <f t="shared" si="36"/>
        <v>533.05999999999995</v>
      </c>
      <c r="F2370" s="1200"/>
    </row>
    <row r="2371" spans="1:6">
      <c r="A2371" s="1003" t="s">
        <v>921</v>
      </c>
      <c r="B2371" s="1003" t="s">
        <v>4136</v>
      </c>
      <c r="C2371" s="1199" t="s">
        <v>1615</v>
      </c>
      <c r="D2371" s="1199">
        <v>547.41</v>
      </c>
      <c r="E2371" s="1199">
        <f t="shared" si="36"/>
        <v>458.08</v>
      </c>
    </row>
    <row r="2372" spans="1:6">
      <c r="A2372" s="1003" t="s">
        <v>9665</v>
      </c>
      <c r="B2372" s="1003" t="s">
        <v>4139</v>
      </c>
      <c r="C2372" s="1199" t="s">
        <v>1652</v>
      </c>
      <c r="D2372" s="1199">
        <v>637.01</v>
      </c>
      <c r="E2372" s="1199">
        <f t="shared" ref="E2372:E2435" si="37">ROUND(D2372/1.195,2)</f>
        <v>533.05999999999995</v>
      </c>
    </row>
    <row r="2373" spans="1:6">
      <c r="A2373" s="1003" t="s">
        <v>9666</v>
      </c>
      <c r="B2373" s="1003" t="s">
        <v>9667</v>
      </c>
      <c r="C2373" s="1199" t="s">
        <v>1240</v>
      </c>
      <c r="D2373" s="1199">
        <v>11.18</v>
      </c>
      <c r="E2373" s="1199">
        <f t="shared" si="37"/>
        <v>9.36</v>
      </c>
    </row>
    <row r="2374" spans="1:6">
      <c r="A2374" s="1003" t="s">
        <v>9668</v>
      </c>
      <c r="B2374" s="1003" t="s">
        <v>1691</v>
      </c>
      <c r="C2374" s="1199" t="s">
        <v>1652</v>
      </c>
      <c r="D2374" s="1199">
        <v>637.01</v>
      </c>
      <c r="E2374" s="1199">
        <f t="shared" si="37"/>
        <v>533.05999999999995</v>
      </c>
    </row>
    <row r="2375" spans="1:6">
      <c r="A2375" s="1003" t="s">
        <v>9669</v>
      </c>
      <c r="B2375" s="1003" t="s">
        <v>9670</v>
      </c>
      <c r="C2375" s="1199" t="s">
        <v>1240</v>
      </c>
      <c r="D2375" s="1199">
        <v>54.96</v>
      </c>
      <c r="E2375" s="1199">
        <f t="shared" si="37"/>
        <v>45.99</v>
      </c>
    </row>
    <row r="2376" spans="1:6">
      <c r="A2376" s="1003" t="s">
        <v>9671</v>
      </c>
      <c r="B2376" s="1003" t="s">
        <v>4143</v>
      </c>
      <c r="C2376" s="1199" t="s">
        <v>1652</v>
      </c>
      <c r="D2376" s="1199">
        <v>637.01</v>
      </c>
      <c r="E2376" s="1199">
        <f t="shared" si="37"/>
        <v>533.05999999999995</v>
      </c>
    </row>
    <row r="2377" spans="1:6">
      <c r="A2377" s="1003" t="s">
        <v>9672</v>
      </c>
      <c r="B2377" s="1003" t="s">
        <v>9673</v>
      </c>
      <c r="C2377" s="1199" t="s">
        <v>1240</v>
      </c>
      <c r="D2377" s="1199">
        <v>361.8</v>
      </c>
      <c r="E2377" s="1199">
        <f t="shared" si="37"/>
        <v>302.76</v>
      </c>
    </row>
    <row r="2378" spans="1:6">
      <c r="A2378" s="1003" t="s">
        <v>9674</v>
      </c>
      <c r="B2378" s="1003" t="s">
        <v>9675</v>
      </c>
      <c r="C2378" s="1199" t="s">
        <v>1652</v>
      </c>
      <c r="D2378" s="1199">
        <v>637.01</v>
      </c>
      <c r="E2378" s="1199">
        <f t="shared" si="37"/>
        <v>533.05999999999995</v>
      </c>
    </row>
    <row r="2379" spans="1:6">
      <c r="A2379" s="1003" t="s">
        <v>9676</v>
      </c>
      <c r="B2379" s="1003" t="s">
        <v>4145</v>
      </c>
      <c r="C2379" s="1199" t="s">
        <v>1240</v>
      </c>
      <c r="D2379" s="1199">
        <v>17.239999999999998</v>
      </c>
      <c r="E2379" s="1199">
        <f t="shared" si="37"/>
        <v>14.43</v>
      </c>
    </row>
    <row r="2380" spans="1:6">
      <c r="A2380" s="1003" t="s">
        <v>9677</v>
      </c>
      <c r="B2380" s="1003" t="s">
        <v>4146</v>
      </c>
      <c r="C2380" s="1199" t="s">
        <v>1240</v>
      </c>
      <c r="D2380" s="1199">
        <v>19.97</v>
      </c>
      <c r="E2380" s="1199">
        <f t="shared" si="37"/>
        <v>16.71</v>
      </c>
    </row>
    <row r="2381" spans="1:6">
      <c r="A2381" s="1003" t="s">
        <v>9678</v>
      </c>
      <c r="B2381" s="1003" t="s">
        <v>4147</v>
      </c>
      <c r="C2381" s="1199" t="s">
        <v>1240</v>
      </c>
      <c r="D2381" s="1199">
        <v>22.55</v>
      </c>
      <c r="E2381" s="1199">
        <f t="shared" si="37"/>
        <v>18.87</v>
      </c>
    </row>
    <row r="2382" spans="1:6">
      <c r="A2382" s="1003" t="s">
        <v>928</v>
      </c>
      <c r="B2382" s="1003" t="s">
        <v>4148</v>
      </c>
      <c r="C2382" s="1199" t="s">
        <v>1240</v>
      </c>
      <c r="D2382" s="1199">
        <v>17.93</v>
      </c>
      <c r="E2382" s="1199">
        <f t="shared" si="37"/>
        <v>15</v>
      </c>
    </row>
    <row r="2383" spans="1:6">
      <c r="A2383" s="1003" t="s">
        <v>9679</v>
      </c>
      <c r="B2383" s="1003" t="s">
        <v>4149</v>
      </c>
      <c r="C2383" s="1199" t="s">
        <v>1240</v>
      </c>
      <c r="D2383" s="1199">
        <v>27.55</v>
      </c>
      <c r="E2383" s="1199">
        <f t="shared" si="37"/>
        <v>23.05</v>
      </c>
    </row>
    <row r="2384" spans="1:6">
      <c r="A2384" s="1003" t="s">
        <v>9680</v>
      </c>
      <c r="B2384" s="1003" t="s">
        <v>9681</v>
      </c>
      <c r="C2384" s="1199" t="s">
        <v>1240</v>
      </c>
      <c r="D2384" s="1199">
        <v>24.77</v>
      </c>
      <c r="E2384" s="1199">
        <f t="shared" si="37"/>
        <v>20.73</v>
      </c>
    </row>
    <row r="2385" spans="1:5">
      <c r="A2385" s="1003" t="s">
        <v>9682</v>
      </c>
      <c r="B2385" s="1003" t="s">
        <v>4150</v>
      </c>
      <c r="C2385" s="1199" t="s">
        <v>1240</v>
      </c>
      <c r="D2385" s="1199">
        <v>18.88</v>
      </c>
      <c r="E2385" s="1199">
        <f t="shared" si="37"/>
        <v>15.8</v>
      </c>
    </row>
    <row r="2386" spans="1:5">
      <c r="A2386" s="1003" t="s">
        <v>9683</v>
      </c>
      <c r="B2386" s="1003" t="s">
        <v>4151</v>
      </c>
      <c r="C2386" s="1199" t="s">
        <v>1240</v>
      </c>
      <c r="D2386" s="1199">
        <v>26.3</v>
      </c>
      <c r="E2386" s="1199">
        <f t="shared" si="37"/>
        <v>22.01</v>
      </c>
    </row>
    <row r="2387" spans="1:5">
      <c r="A2387" s="1003" t="s">
        <v>9684</v>
      </c>
      <c r="B2387" s="1003" t="s">
        <v>9685</v>
      </c>
      <c r="C2387" s="1199" t="s">
        <v>1240</v>
      </c>
      <c r="D2387" s="1199">
        <v>26.41</v>
      </c>
      <c r="E2387" s="1199">
        <f t="shared" si="37"/>
        <v>22.1</v>
      </c>
    </row>
    <row r="2388" spans="1:5">
      <c r="A2388" s="1003" t="s">
        <v>9686</v>
      </c>
      <c r="B2388" s="1003" t="s">
        <v>9687</v>
      </c>
      <c r="C2388" s="1199" t="s">
        <v>1240</v>
      </c>
      <c r="D2388" s="1199">
        <v>13.96</v>
      </c>
      <c r="E2388" s="1199">
        <f t="shared" si="37"/>
        <v>11.68</v>
      </c>
    </row>
    <row r="2389" spans="1:5">
      <c r="A2389" s="1003" t="s">
        <v>9688</v>
      </c>
      <c r="B2389" s="1003" t="s">
        <v>4152</v>
      </c>
      <c r="C2389" s="1199" t="s">
        <v>1240</v>
      </c>
      <c r="D2389" s="1199">
        <v>20.43</v>
      </c>
      <c r="E2389" s="1199">
        <f t="shared" si="37"/>
        <v>17.100000000000001</v>
      </c>
    </row>
    <row r="2390" spans="1:5">
      <c r="A2390" s="1003" t="s">
        <v>9689</v>
      </c>
      <c r="B2390" s="1003" t="s">
        <v>9690</v>
      </c>
      <c r="C2390" s="1199" t="s">
        <v>1248</v>
      </c>
      <c r="D2390" s="1199">
        <v>5.54</v>
      </c>
      <c r="E2390" s="1199">
        <f t="shared" si="37"/>
        <v>4.6399999999999997</v>
      </c>
    </row>
    <row r="2391" spans="1:5">
      <c r="A2391" s="1003" t="s">
        <v>9691</v>
      </c>
      <c r="B2391" s="1003" t="s">
        <v>4154</v>
      </c>
      <c r="C2391" s="1199" t="s">
        <v>1240</v>
      </c>
      <c r="D2391" s="1199">
        <v>14.95</v>
      </c>
      <c r="E2391" s="1199">
        <f t="shared" si="37"/>
        <v>12.51</v>
      </c>
    </row>
    <row r="2392" spans="1:5">
      <c r="A2392" s="1003" t="s">
        <v>9692</v>
      </c>
      <c r="B2392" s="1003" t="s">
        <v>4155</v>
      </c>
      <c r="C2392" s="1199" t="s">
        <v>1240</v>
      </c>
      <c r="D2392" s="1199">
        <v>17.8</v>
      </c>
      <c r="E2392" s="1199">
        <f t="shared" si="37"/>
        <v>14.9</v>
      </c>
    </row>
    <row r="2393" spans="1:5">
      <c r="A2393" s="1003" t="s">
        <v>9693</v>
      </c>
      <c r="B2393" s="1003" t="s">
        <v>4156</v>
      </c>
      <c r="C2393" s="1199" t="s">
        <v>1652</v>
      </c>
      <c r="D2393" s="1199">
        <v>637.01</v>
      </c>
      <c r="E2393" s="1199">
        <f t="shared" si="37"/>
        <v>533.05999999999995</v>
      </c>
    </row>
    <row r="2394" spans="1:5">
      <c r="A2394" s="1003" t="s">
        <v>9694</v>
      </c>
      <c r="B2394" s="1003" t="s">
        <v>9695</v>
      </c>
      <c r="C2394" s="1199" t="s">
        <v>1240</v>
      </c>
      <c r="D2394" s="1199">
        <v>26.54</v>
      </c>
      <c r="E2394" s="1199">
        <f t="shared" si="37"/>
        <v>22.21</v>
      </c>
    </row>
    <row r="2395" spans="1:5">
      <c r="A2395" s="1003" t="s">
        <v>933</v>
      </c>
      <c r="B2395" s="1003" t="s">
        <v>9696</v>
      </c>
      <c r="C2395" s="1199" t="s">
        <v>1240</v>
      </c>
      <c r="D2395" s="1199">
        <v>32.979999999999997</v>
      </c>
      <c r="E2395" s="1199">
        <f t="shared" si="37"/>
        <v>27.6</v>
      </c>
    </row>
    <row r="2396" spans="1:5">
      <c r="A2396" s="1003" t="s">
        <v>9697</v>
      </c>
      <c r="B2396" s="1003" t="s">
        <v>9698</v>
      </c>
      <c r="C2396" s="1199" t="s">
        <v>1240</v>
      </c>
      <c r="D2396" s="1199">
        <v>47.52</v>
      </c>
      <c r="E2396" s="1199">
        <f t="shared" si="37"/>
        <v>39.770000000000003</v>
      </c>
    </row>
    <row r="2397" spans="1:5">
      <c r="A2397" s="1003" t="s">
        <v>9699</v>
      </c>
      <c r="B2397" s="1003" t="s">
        <v>9700</v>
      </c>
      <c r="C2397" s="1199" t="s">
        <v>1240</v>
      </c>
      <c r="D2397" s="1199">
        <v>32.979999999999997</v>
      </c>
      <c r="E2397" s="1199">
        <f t="shared" si="37"/>
        <v>27.6</v>
      </c>
    </row>
    <row r="2398" spans="1:5">
      <c r="A2398" s="1003" t="s">
        <v>9701</v>
      </c>
      <c r="B2398" s="1003" t="s">
        <v>9702</v>
      </c>
      <c r="C2398" s="1199" t="s">
        <v>1240</v>
      </c>
      <c r="D2398" s="1199">
        <v>46.59</v>
      </c>
      <c r="E2398" s="1199">
        <f t="shared" si="37"/>
        <v>38.99</v>
      </c>
    </row>
    <row r="2399" spans="1:5">
      <c r="A2399" s="1003" t="s">
        <v>9703</v>
      </c>
      <c r="B2399" s="1003" t="s">
        <v>4162</v>
      </c>
      <c r="C2399" s="1199" t="s">
        <v>1240</v>
      </c>
      <c r="D2399" s="1199">
        <v>30.23</v>
      </c>
      <c r="E2399" s="1199">
        <f t="shared" si="37"/>
        <v>25.3</v>
      </c>
    </row>
    <row r="2400" spans="1:5">
      <c r="A2400" s="1003" t="s">
        <v>9704</v>
      </c>
      <c r="B2400" s="1003" t="s">
        <v>9705</v>
      </c>
      <c r="C2400" s="1199" t="s">
        <v>1240</v>
      </c>
      <c r="D2400" s="1199">
        <v>38.25</v>
      </c>
      <c r="E2400" s="1199">
        <f t="shared" si="37"/>
        <v>32.01</v>
      </c>
    </row>
    <row r="2401" spans="1:5">
      <c r="A2401" s="1003" t="s">
        <v>935</v>
      </c>
      <c r="B2401" s="1003" t="s">
        <v>4164</v>
      </c>
      <c r="C2401" s="1199" t="s">
        <v>1240</v>
      </c>
      <c r="D2401" s="1199">
        <v>31.39</v>
      </c>
      <c r="E2401" s="1199">
        <f t="shared" si="37"/>
        <v>26.27</v>
      </c>
    </row>
    <row r="2402" spans="1:5">
      <c r="A2402" s="1003" t="s">
        <v>9706</v>
      </c>
      <c r="B2402" s="1003" t="s">
        <v>9707</v>
      </c>
      <c r="C2402" s="1199" t="s">
        <v>1240</v>
      </c>
      <c r="D2402" s="1199">
        <v>25.65</v>
      </c>
      <c r="E2402" s="1199">
        <f t="shared" si="37"/>
        <v>21.46</v>
      </c>
    </row>
    <row r="2403" spans="1:5">
      <c r="A2403" s="1003" t="s">
        <v>9708</v>
      </c>
      <c r="B2403" s="1003" t="s">
        <v>9709</v>
      </c>
      <c r="C2403" s="1199" t="s">
        <v>1240</v>
      </c>
      <c r="D2403" s="1199">
        <v>35.130000000000003</v>
      </c>
      <c r="E2403" s="1199">
        <f t="shared" si="37"/>
        <v>29.4</v>
      </c>
    </row>
    <row r="2404" spans="1:5">
      <c r="A2404" s="1003" t="s">
        <v>9710</v>
      </c>
      <c r="B2404" s="1003" t="s">
        <v>9711</v>
      </c>
      <c r="C2404" s="1199" t="s">
        <v>1240</v>
      </c>
      <c r="D2404" s="1199">
        <v>43.81</v>
      </c>
      <c r="E2404" s="1199">
        <f t="shared" si="37"/>
        <v>36.659999999999997</v>
      </c>
    </row>
    <row r="2405" spans="1:5" ht="27.6">
      <c r="A2405" s="1003" t="s">
        <v>9712</v>
      </c>
      <c r="B2405" s="1003" t="s">
        <v>9713</v>
      </c>
      <c r="C2405" s="1199" t="s">
        <v>1240</v>
      </c>
      <c r="D2405" s="1199">
        <v>88.07</v>
      </c>
      <c r="E2405" s="1199">
        <f t="shared" si="37"/>
        <v>73.7</v>
      </c>
    </row>
    <row r="2406" spans="1:5" ht="27.6">
      <c r="A2406" s="1003" t="s">
        <v>9714</v>
      </c>
      <c r="B2406" s="1003" t="s">
        <v>9715</v>
      </c>
      <c r="C2406" s="1199" t="s">
        <v>1240</v>
      </c>
      <c r="D2406" s="1199">
        <v>20.73</v>
      </c>
      <c r="E2406" s="1199">
        <f t="shared" si="37"/>
        <v>17.350000000000001</v>
      </c>
    </row>
    <row r="2407" spans="1:5">
      <c r="A2407" s="1003" t="s">
        <v>9716</v>
      </c>
      <c r="B2407" s="1003" t="s">
        <v>4172</v>
      </c>
      <c r="C2407" s="1199" t="s">
        <v>1240</v>
      </c>
      <c r="D2407" s="1199">
        <v>43.07</v>
      </c>
      <c r="E2407" s="1199">
        <f t="shared" si="37"/>
        <v>36.04</v>
      </c>
    </row>
    <row r="2408" spans="1:5">
      <c r="A2408" s="1003" t="s">
        <v>9717</v>
      </c>
      <c r="B2408" s="1003" t="s">
        <v>4173</v>
      </c>
      <c r="C2408" s="1199" t="s">
        <v>1240</v>
      </c>
      <c r="D2408" s="1199">
        <v>43.99</v>
      </c>
      <c r="E2408" s="1199">
        <f t="shared" si="37"/>
        <v>36.81</v>
      </c>
    </row>
    <row r="2409" spans="1:5">
      <c r="A2409" s="1003" t="s">
        <v>9718</v>
      </c>
      <c r="B2409" s="1003" t="s">
        <v>9719</v>
      </c>
      <c r="C2409" s="1199" t="s">
        <v>1240</v>
      </c>
      <c r="D2409" s="1199">
        <v>43.72</v>
      </c>
      <c r="E2409" s="1199">
        <f t="shared" si="37"/>
        <v>36.590000000000003</v>
      </c>
    </row>
    <row r="2410" spans="1:5">
      <c r="A2410" s="1003" t="s">
        <v>9720</v>
      </c>
      <c r="B2410" s="1003" t="s">
        <v>4174</v>
      </c>
      <c r="C2410" s="1199" t="s">
        <v>1240</v>
      </c>
      <c r="D2410" s="1199">
        <v>27.21</v>
      </c>
      <c r="E2410" s="1199">
        <f t="shared" si="37"/>
        <v>22.77</v>
      </c>
    </row>
    <row r="2411" spans="1:5">
      <c r="A2411" s="1003" t="s">
        <v>9721</v>
      </c>
      <c r="B2411" s="1003" t="s">
        <v>9722</v>
      </c>
      <c r="C2411" s="1199" t="s">
        <v>1240</v>
      </c>
      <c r="D2411" s="1199">
        <v>25.85</v>
      </c>
      <c r="E2411" s="1199">
        <f t="shared" si="37"/>
        <v>21.63</v>
      </c>
    </row>
    <row r="2412" spans="1:5">
      <c r="A2412" s="1003" t="s">
        <v>9723</v>
      </c>
      <c r="B2412" s="1003" t="s">
        <v>9724</v>
      </c>
      <c r="C2412" s="1199" t="s">
        <v>1240</v>
      </c>
      <c r="D2412" s="1199">
        <v>23.7</v>
      </c>
      <c r="E2412" s="1199">
        <f t="shared" si="37"/>
        <v>19.829999999999998</v>
      </c>
    </row>
    <row r="2413" spans="1:5">
      <c r="A2413" s="1003" t="s">
        <v>9725</v>
      </c>
      <c r="B2413" s="1003" t="s">
        <v>9726</v>
      </c>
      <c r="C2413" s="1199" t="s">
        <v>1240</v>
      </c>
      <c r="D2413" s="1199">
        <v>26.41</v>
      </c>
      <c r="E2413" s="1199">
        <f t="shared" si="37"/>
        <v>22.1</v>
      </c>
    </row>
    <row r="2414" spans="1:5">
      <c r="A2414" s="1003" t="s">
        <v>9727</v>
      </c>
      <c r="B2414" s="1202" t="s">
        <v>4177</v>
      </c>
      <c r="C2414" s="1199" t="s">
        <v>1652</v>
      </c>
      <c r="D2414" s="1199">
        <v>637.01</v>
      </c>
      <c r="E2414" s="1199">
        <f t="shared" si="37"/>
        <v>533.05999999999995</v>
      </c>
    </row>
    <row r="2415" spans="1:5">
      <c r="A2415" s="1003" t="s">
        <v>9728</v>
      </c>
      <c r="B2415" s="1202" t="s">
        <v>9729</v>
      </c>
      <c r="C2415" s="1199" t="s">
        <v>1240</v>
      </c>
      <c r="D2415" s="1199">
        <v>27.73</v>
      </c>
      <c r="E2415" s="1199">
        <f t="shared" si="37"/>
        <v>23.21</v>
      </c>
    </row>
    <row r="2416" spans="1:5">
      <c r="A2416" s="1003" t="s">
        <v>9730</v>
      </c>
      <c r="B2416" s="1202" t="s">
        <v>9731</v>
      </c>
      <c r="C2416" s="1199" t="s">
        <v>1240</v>
      </c>
      <c r="D2416" s="1199">
        <v>29.98</v>
      </c>
      <c r="E2416" s="1199">
        <f t="shared" si="37"/>
        <v>25.09</v>
      </c>
    </row>
    <row r="2417" spans="1:5">
      <c r="A2417" s="1003" t="s">
        <v>9732</v>
      </c>
      <c r="B2417" s="1202" t="s">
        <v>4181</v>
      </c>
      <c r="C2417" s="1199" t="s">
        <v>1240</v>
      </c>
      <c r="D2417" s="1199">
        <v>26.53</v>
      </c>
      <c r="E2417" s="1199">
        <f t="shared" si="37"/>
        <v>22.2</v>
      </c>
    </row>
    <row r="2418" spans="1:5">
      <c r="A2418" s="1003" t="s">
        <v>9733</v>
      </c>
      <c r="B2418" s="1202" t="s">
        <v>9734</v>
      </c>
      <c r="C2418" s="1199" t="s">
        <v>1240</v>
      </c>
      <c r="D2418" s="1199">
        <v>35.97</v>
      </c>
      <c r="E2418" s="1199">
        <f t="shared" si="37"/>
        <v>30.1</v>
      </c>
    </row>
    <row r="2419" spans="1:5">
      <c r="A2419" s="1003" t="s">
        <v>9735</v>
      </c>
      <c r="B2419" s="1003" t="s">
        <v>9736</v>
      </c>
      <c r="C2419" s="1199" t="s">
        <v>1240</v>
      </c>
      <c r="D2419" s="1199">
        <v>62.78</v>
      </c>
      <c r="E2419" s="1199">
        <f t="shared" si="37"/>
        <v>52.54</v>
      </c>
    </row>
    <row r="2420" spans="1:5">
      <c r="A2420" s="1003" t="s">
        <v>9737</v>
      </c>
      <c r="B2420" s="1003" t="s">
        <v>4184</v>
      </c>
      <c r="C2420" s="1199" t="s">
        <v>1240</v>
      </c>
      <c r="D2420" s="1199">
        <v>12.88</v>
      </c>
      <c r="E2420" s="1199">
        <f t="shared" si="37"/>
        <v>10.78</v>
      </c>
    </row>
    <row r="2421" spans="1:5">
      <c r="A2421" s="1003" t="s">
        <v>9738</v>
      </c>
      <c r="B2421" s="1003" t="s">
        <v>4185</v>
      </c>
      <c r="C2421" s="1199" t="s">
        <v>1240</v>
      </c>
      <c r="D2421" s="1199">
        <v>29.72</v>
      </c>
      <c r="E2421" s="1199">
        <f t="shared" si="37"/>
        <v>24.87</v>
      </c>
    </row>
    <row r="2422" spans="1:5">
      <c r="A2422" s="1003" t="s">
        <v>940</v>
      </c>
      <c r="B2422" s="1003" t="s">
        <v>9739</v>
      </c>
      <c r="C2422" s="1199" t="s">
        <v>1240</v>
      </c>
      <c r="D2422" s="1199">
        <v>63.7</v>
      </c>
      <c r="E2422" s="1199">
        <f t="shared" si="37"/>
        <v>53.31</v>
      </c>
    </row>
    <row r="2423" spans="1:5">
      <c r="A2423" s="1003" t="s">
        <v>9740</v>
      </c>
      <c r="B2423" s="1003" t="s">
        <v>4186</v>
      </c>
      <c r="C2423" s="1199" t="s">
        <v>1240</v>
      </c>
      <c r="D2423" s="1199">
        <v>27.21</v>
      </c>
      <c r="E2423" s="1199">
        <f t="shared" si="37"/>
        <v>22.77</v>
      </c>
    </row>
    <row r="2424" spans="1:5">
      <c r="A2424" s="1003" t="s">
        <v>9741</v>
      </c>
      <c r="B2424" s="1003" t="s">
        <v>4188</v>
      </c>
      <c r="C2424" s="1199" t="s">
        <v>1240</v>
      </c>
      <c r="D2424" s="1199">
        <v>30.52</v>
      </c>
      <c r="E2424" s="1199">
        <f t="shared" si="37"/>
        <v>25.54</v>
      </c>
    </row>
    <row r="2425" spans="1:5">
      <c r="A2425" s="1003" t="s">
        <v>942</v>
      </c>
      <c r="B2425" s="1003" t="s">
        <v>4189</v>
      </c>
      <c r="C2425" s="1199" t="s">
        <v>1240</v>
      </c>
      <c r="D2425" s="1199">
        <v>31.68</v>
      </c>
      <c r="E2425" s="1199">
        <f t="shared" si="37"/>
        <v>26.51</v>
      </c>
    </row>
    <row r="2426" spans="1:5">
      <c r="A2426" s="1003" t="s">
        <v>9742</v>
      </c>
      <c r="B2426" s="1003" t="s">
        <v>4190</v>
      </c>
      <c r="C2426" s="1199" t="s">
        <v>1240</v>
      </c>
      <c r="D2426" s="1199">
        <v>35.07</v>
      </c>
      <c r="E2426" s="1199">
        <f t="shared" si="37"/>
        <v>29.35</v>
      </c>
    </row>
    <row r="2427" spans="1:5">
      <c r="A2427" s="1003" t="s">
        <v>9743</v>
      </c>
      <c r="B2427" s="1003" t="s">
        <v>4191</v>
      </c>
      <c r="C2427" s="1199" t="s">
        <v>1240</v>
      </c>
      <c r="D2427" s="1199">
        <v>39.369999999999997</v>
      </c>
      <c r="E2427" s="1199">
        <f t="shared" si="37"/>
        <v>32.950000000000003</v>
      </c>
    </row>
    <row r="2428" spans="1:5">
      <c r="A2428" s="1003" t="s">
        <v>9744</v>
      </c>
      <c r="B2428" s="1003" t="s">
        <v>9745</v>
      </c>
      <c r="C2428" s="1199" t="s">
        <v>1240</v>
      </c>
      <c r="D2428" s="1199">
        <v>37.92</v>
      </c>
      <c r="E2428" s="1199">
        <f t="shared" si="37"/>
        <v>31.73</v>
      </c>
    </row>
    <row r="2429" spans="1:5">
      <c r="A2429" s="1003" t="s">
        <v>9746</v>
      </c>
      <c r="B2429" s="1003" t="s">
        <v>9747</v>
      </c>
      <c r="C2429" s="1199" t="s">
        <v>1240</v>
      </c>
      <c r="D2429" s="1199">
        <v>65.650000000000006</v>
      </c>
      <c r="E2429" s="1199">
        <f t="shared" si="37"/>
        <v>54.94</v>
      </c>
    </row>
    <row r="2430" spans="1:5">
      <c r="A2430" s="1003" t="s">
        <v>9748</v>
      </c>
      <c r="B2430" s="1003" t="s">
        <v>9749</v>
      </c>
      <c r="C2430" s="1199" t="s">
        <v>1240</v>
      </c>
      <c r="D2430" s="1199">
        <v>19.72</v>
      </c>
      <c r="E2430" s="1199">
        <f t="shared" si="37"/>
        <v>16.5</v>
      </c>
    </row>
    <row r="2431" spans="1:5">
      <c r="A2431" s="1003" t="s">
        <v>9750</v>
      </c>
      <c r="B2431" s="1003" t="s">
        <v>9751</v>
      </c>
      <c r="C2431" s="1199" t="s">
        <v>1240</v>
      </c>
      <c r="D2431" s="1199">
        <v>43.07</v>
      </c>
      <c r="E2431" s="1199">
        <f t="shared" si="37"/>
        <v>36.04</v>
      </c>
    </row>
    <row r="2432" spans="1:5">
      <c r="A2432" s="1003" t="s">
        <v>9752</v>
      </c>
      <c r="B2432" s="1003" t="s">
        <v>9753</v>
      </c>
      <c r="C2432" s="1199" t="s">
        <v>1248</v>
      </c>
      <c r="D2432" s="1199">
        <v>5.54</v>
      </c>
      <c r="E2432" s="1199">
        <f t="shared" si="37"/>
        <v>4.6399999999999997</v>
      </c>
    </row>
    <row r="2433" spans="1:5">
      <c r="A2433" s="1003" t="s">
        <v>9754</v>
      </c>
      <c r="B2433" s="1003" t="s">
        <v>4193</v>
      </c>
      <c r="C2433" s="1199" t="s">
        <v>1240</v>
      </c>
      <c r="D2433" s="1199">
        <v>34.78</v>
      </c>
      <c r="E2433" s="1199">
        <f t="shared" si="37"/>
        <v>29.1</v>
      </c>
    </row>
    <row r="2434" spans="1:5">
      <c r="A2434" s="1003" t="s">
        <v>9755</v>
      </c>
      <c r="B2434" s="1003" t="s">
        <v>4194</v>
      </c>
      <c r="C2434" s="1199" t="s">
        <v>1240</v>
      </c>
      <c r="D2434" s="1199">
        <v>38.6</v>
      </c>
      <c r="E2434" s="1199">
        <f t="shared" si="37"/>
        <v>32.299999999999997</v>
      </c>
    </row>
    <row r="2435" spans="1:5">
      <c r="A2435" s="1003" t="s">
        <v>9756</v>
      </c>
      <c r="B2435" s="1003" t="s">
        <v>4195</v>
      </c>
      <c r="C2435" s="1199" t="s">
        <v>1214</v>
      </c>
      <c r="D2435" s="1199">
        <v>4.6900000000000004</v>
      </c>
      <c r="E2435" s="1199">
        <f t="shared" si="37"/>
        <v>3.92</v>
      </c>
    </row>
    <row r="2436" spans="1:5">
      <c r="A2436" s="1003" t="s">
        <v>9757</v>
      </c>
      <c r="B2436" s="1003" t="s">
        <v>4196</v>
      </c>
      <c r="C2436" s="1199" t="s">
        <v>1214</v>
      </c>
      <c r="D2436" s="1199">
        <v>8.65</v>
      </c>
      <c r="E2436" s="1199">
        <f t="shared" ref="E2436:E2499" si="38">ROUND(D2436/1.195,2)</f>
        <v>7.24</v>
      </c>
    </row>
    <row r="2437" spans="1:5">
      <c r="A2437" s="1003" t="s">
        <v>9758</v>
      </c>
      <c r="B2437" s="1003" t="s">
        <v>9759</v>
      </c>
      <c r="C2437" s="1199" t="s">
        <v>1214</v>
      </c>
      <c r="D2437" s="1199">
        <v>8.7100000000000009</v>
      </c>
      <c r="E2437" s="1199">
        <f t="shared" si="38"/>
        <v>7.29</v>
      </c>
    </row>
    <row r="2438" spans="1:5">
      <c r="A2438" s="1003" t="s">
        <v>9760</v>
      </c>
      <c r="B2438" s="1003" t="s">
        <v>4197</v>
      </c>
      <c r="C2438" s="1199" t="s">
        <v>1214</v>
      </c>
      <c r="D2438" s="1199">
        <v>5.07</v>
      </c>
      <c r="E2438" s="1199">
        <f t="shared" si="38"/>
        <v>4.24</v>
      </c>
    </row>
    <row r="2439" spans="1:5">
      <c r="A2439" s="1003" t="s">
        <v>944</v>
      </c>
      <c r="B2439" s="1003" t="s">
        <v>4198</v>
      </c>
      <c r="C2439" s="1199" t="s">
        <v>1214</v>
      </c>
      <c r="D2439" s="1199">
        <v>15.78</v>
      </c>
      <c r="E2439" s="1199">
        <f t="shared" si="38"/>
        <v>13.21</v>
      </c>
    </row>
    <row r="2440" spans="1:5">
      <c r="A2440" s="1003" t="s">
        <v>9761</v>
      </c>
      <c r="B2440" s="1003" t="s">
        <v>4199</v>
      </c>
      <c r="C2440" s="1199" t="s">
        <v>1214</v>
      </c>
      <c r="D2440" s="1199">
        <v>11.75</v>
      </c>
      <c r="E2440" s="1199">
        <f t="shared" si="38"/>
        <v>9.83</v>
      </c>
    </row>
    <row r="2441" spans="1:5">
      <c r="A2441" s="1003" t="s">
        <v>9762</v>
      </c>
      <c r="B2441" s="1003" t="s">
        <v>4200</v>
      </c>
      <c r="C2441" s="1199" t="s">
        <v>1214</v>
      </c>
      <c r="D2441" s="1199">
        <v>11.75</v>
      </c>
      <c r="E2441" s="1199">
        <f t="shared" si="38"/>
        <v>9.83</v>
      </c>
    </row>
    <row r="2442" spans="1:5">
      <c r="A2442" s="1003" t="s">
        <v>9763</v>
      </c>
      <c r="B2442" s="1003" t="s">
        <v>4201</v>
      </c>
      <c r="C2442" s="1199" t="s">
        <v>1214</v>
      </c>
      <c r="D2442" s="1199">
        <v>15.32</v>
      </c>
      <c r="E2442" s="1199">
        <f t="shared" si="38"/>
        <v>12.82</v>
      </c>
    </row>
    <row r="2443" spans="1:5">
      <c r="A2443" s="1003" t="s">
        <v>9764</v>
      </c>
      <c r="B2443" s="1003" t="s">
        <v>9765</v>
      </c>
      <c r="C2443" s="1199" t="s">
        <v>1214</v>
      </c>
      <c r="D2443" s="1199">
        <v>16.149999999999999</v>
      </c>
      <c r="E2443" s="1199">
        <f t="shared" si="38"/>
        <v>13.51</v>
      </c>
    </row>
    <row r="2444" spans="1:5">
      <c r="A2444" s="1003" t="s">
        <v>9766</v>
      </c>
      <c r="B2444" s="1003" t="s">
        <v>9767</v>
      </c>
      <c r="C2444" s="1199" t="s">
        <v>1214</v>
      </c>
      <c r="D2444" s="1199">
        <v>7.26</v>
      </c>
      <c r="E2444" s="1199">
        <f t="shared" si="38"/>
        <v>6.08</v>
      </c>
    </row>
    <row r="2445" spans="1:5">
      <c r="A2445" s="1003" t="s">
        <v>9768</v>
      </c>
      <c r="B2445" s="1003" t="s">
        <v>9769</v>
      </c>
      <c r="C2445" s="1199" t="s">
        <v>1214</v>
      </c>
      <c r="D2445" s="1199">
        <v>7.65</v>
      </c>
      <c r="E2445" s="1199">
        <f t="shared" si="38"/>
        <v>6.4</v>
      </c>
    </row>
    <row r="2446" spans="1:5">
      <c r="A2446" s="1003" t="s">
        <v>9770</v>
      </c>
      <c r="B2446" s="1003" t="s">
        <v>9771</v>
      </c>
      <c r="C2446" s="1199" t="s">
        <v>1214</v>
      </c>
      <c r="D2446" s="1199">
        <v>10.07</v>
      </c>
      <c r="E2446" s="1199">
        <f t="shared" si="38"/>
        <v>8.43</v>
      </c>
    </row>
    <row r="2447" spans="1:5">
      <c r="A2447" s="1003" t="s">
        <v>9772</v>
      </c>
      <c r="B2447" s="1003" t="s">
        <v>9773</v>
      </c>
      <c r="C2447" s="1199" t="s">
        <v>1214</v>
      </c>
      <c r="D2447" s="1199">
        <v>10.46</v>
      </c>
      <c r="E2447" s="1199">
        <f t="shared" si="38"/>
        <v>8.75</v>
      </c>
    </row>
    <row r="2448" spans="1:5">
      <c r="A2448" s="1003" t="s">
        <v>9774</v>
      </c>
      <c r="B2448" s="1003" t="s">
        <v>9775</v>
      </c>
      <c r="C2448" s="1199" t="s">
        <v>1214</v>
      </c>
      <c r="D2448" s="1199">
        <v>13.27</v>
      </c>
      <c r="E2448" s="1199">
        <f t="shared" si="38"/>
        <v>11.1</v>
      </c>
    </row>
    <row r="2449" spans="1:5">
      <c r="A2449" s="1003" t="s">
        <v>9776</v>
      </c>
      <c r="B2449" s="1003" t="s">
        <v>9777</v>
      </c>
      <c r="C2449" s="1199" t="s">
        <v>1214</v>
      </c>
      <c r="D2449" s="1199">
        <v>13.27</v>
      </c>
      <c r="E2449" s="1199">
        <f t="shared" si="38"/>
        <v>11.1</v>
      </c>
    </row>
    <row r="2450" spans="1:5">
      <c r="A2450" s="1003" t="s">
        <v>9778</v>
      </c>
      <c r="B2450" s="1003" t="s">
        <v>9779</v>
      </c>
      <c r="C2450" s="1199" t="s">
        <v>1214</v>
      </c>
      <c r="D2450" s="1199">
        <v>14.8</v>
      </c>
      <c r="E2450" s="1199">
        <f t="shared" si="38"/>
        <v>12.38</v>
      </c>
    </row>
    <row r="2451" spans="1:5">
      <c r="A2451" s="1003" t="s">
        <v>9780</v>
      </c>
      <c r="B2451" s="1003" t="s">
        <v>9781</v>
      </c>
      <c r="C2451" s="1199" t="s">
        <v>1214</v>
      </c>
      <c r="D2451" s="1199">
        <v>18.38</v>
      </c>
      <c r="E2451" s="1199">
        <f t="shared" si="38"/>
        <v>15.38</v>
      </c>
    </row>
    <row r="2452" spans="1:5">
      <c r="A2452" s="1003" t="s">
        <v>9782</v>
      </c>
      <c r="B2452" s="1003" t="s">
        <v>9783</v>
      </c>
      <c r="C2452" s="1199" t="s">
        <v>1214</v>
      </c>
      <c r="D2452" s="1199">
        <v>16.32</v>
      </c>
      <c r="E2452" s="1199">
        <f t="shared" si="38"/>
        <v>13.66</v>
      </c>
    </row>
    <row r="2453" spans="1:5">
      <c r="A2453" s="1003" t="s">
        <v>9784</v>
      </c>
      <c r="B2453" s="1003" t="s">
        <v>9785</v>
      </c>
      <c r="C2453" s="1199" t="s">
        <v>1214</v>
      </c>
      <c r="D2453" s="1199">
        <v>11.81</v>
      </c>
      <c r="E2453" s="1199">
        <f t="shared" si="38"/>
        <v>9.8800000000000008</v>
      </c>
    </row>
    <row r="2454" spans="1:5">
      <c r="A2454" s="1003" t="s">
        <v>9786</v>
      </c>
      <c r="B2454" s="1003" t="s">
        <v>9787</v>
      </c>
      <c r="C2454" s="1199" t="s">
        <v>1214</v>
      </c>
      <c r="D2454" s="1199">
        <v>12.43</v>
      </c>
      <c r="E2454" s="1199">
        <f t="shared" si="38"/>
        <v>10.4</v>
      </c>
    </row>
    <row r="2455" spans="1:5">
      <c r="A2455" s="1003" t="s">
        <v>9788</v>
      </c>
      <c r="B2455" s="1003" t="s">
        <v>9789</v>
      </c>
      <c r="C2455" s="1199" t="s">
        <v>1214</v>
      </c>
      <c r="D2455" s="1199">
        <v>15.09</v>
      </c>
      <c r="E2455" s="1199">
        <f t="shared" si="38"/>
        <v>12.63</v>
      </c>
    </row>
    <row r="2456" spans="1:5">
      <c r="A2456" s="1003" t="s">
        <v>9790</v>
      </c>
      <c r="B2456" s="1003" t="s">
        <v>9791</v>
      </c>
      <c r="C2456" s="1199" t="s">
        <v>1214</v>
      </c>
      <c r="D2456" s="1199">
        <v>16.32</v>
      </c>
      <c r="E2456" s="1199">
        <f t="shared" si="38"/>
        <v>13.66</v>
      </c>
    </row>
    <row r="2457" spans="1:5">
      <c r="A2457" s="1003" t="s">
        <v>9792</v>
      </c>
      <c r="B2457" s="1003" t="s">
        <v>4204</v>
      </c>
      <c r="C2457" s="1199" t="s">
        <v>1652</v>
      </c>
      <c r="D2457" s="1199">
        <v>637.01</v>
      </c>
      <c r="E2457" s="1199">
        <f t="shared" si="38"/>
        <v>533.05999999999995</v>
      </c>
    </row>
    <row r="2458" spans="1:5">
      <c r="A2458" s="1003" t="s">
        <v>9793</v>
      </c>
      <c r="B2458" s="1003" t="s">
        <v>4205</v>
      </c>
      <c r="C2458" s="1199" t="s">
        <v>1240</v>
      </c>
      <c r="D2458" s="1199">
        <v>8.91</v>
      </c>
      <c r="E2458" s="1199">
        <f t="shared" si="38"/>
        <v>7.46</v>
      </c>
    </row>
    <row r="2459" spans="1:5">
      <c r="A2459" s="1003" t="s">
        <v>9794</v>
      </c>
      <c r="B2459" s="1003" t="s">
        <v>9795</v>
      </c>
      <c r="C2459" s="1199" t="s">
        <v>1240</v>
      </c>
      <c r="D2459" s="1199">
        <v>24.08</v>
      </c>
      <c r="E2459" s="1199">
        <f t="shared" si="38"/>
        <v>20.149999999999999</v>
      </c>
    </row>
    <row r="2460" spans="1:5">
      <c r="A2460" s="1003" t="s">
        <v>949</v>
      </c>
      <c r="B2460" s="1003" t="s">
        <v>9709</v>
      </c>
      <c r="C2460" s="1199" t="s">
        <v>1240</v>
      </c>
      <c r="D2460" s="1199">
        <v>26.23</v>
      </c>
      <c r="E2460" s="1199">
        <f t="shared" si="38"/>
        <v>21.95</v>
      </c>
    </row>
    <row r="2461" spans="1:5">
      <c r="A2461" s="1003" t="s">
        <v>9796</v>
      </c>
      <c r="B2461" s="1003" t="s">
        <v>9797</v>
      </c>
      <c r="C2461" s="1199" t="s">
        <v>1240</v>
      </c>
      <c r="D2461" s="1199">
        <v>25.65</v>
      </c>
      <c r="E2461" s="1199">
        <f t="shared" si="38"/>
        <v>21.46</v>
      </c>
    </row>
    <row r="2462" spans="1:5">
      <c r="A2462" s="1003" t="s">
        <v>9798</v>
      </c>
      <c r="B2462" s="1003" t="s">
        <v>4160</v>
      </c>
      <c r="C2462" s="1199" t="s">
        <v>1240</v>
      </c>
      <c r="D2462" s="1199">
        <v>24.08</v>
      </c>
      <c r="E2462" s="1199">
        <f t="shared" si="38"/>
        <v>20.149999999999999</v>
      </c>
    </row>
    <row r="2463" spans="1:5">
      <c r="A2463" s="1003" t="s">
        <v>9799</v>
      </c>
      <c r="B2463" s="1003" t="s">
        <v>4207</v>
      </c>
      <c r="C2463" s="1199" t="s">
        <v>1240</v>
      </c>
      <c r="D2463" s="1199">
        <v>36.31</v>
      </c>
      <c r="E2463" s="1199">
        <f t="shared" si="38"/>
        <v>30.38</v>
      </c>
    </row>
    <row r="2464" spans="1:5">
      <c r="A2464" s="1003" t="s">
        <v>9800</v>
      </c>
      <c r="B2464" s="1003" t="s">
        <v>4209</v>
      </c>
      <c r="C2464" s="1199" t="s">
        <v>1240</v>
      </c>
      <c r="D2464" s="1199">
        <v>14.4</v>
      </c>
      <c r="E2464" s="1199">
        <f t="shared" si="38"/>
        <v>12.05</v>
      </c>
    </row>
    <row r="2465" spans="1:5">
      <c r="A2465" s="1003" t="s">
        <v>9801</v>
      </c>
      <c r="B2465" s="1003" t="s">
        <v>4210</v>
      </c>
      <c r="C2465" s="1199" t="s">
        <v>1240</v>
      </c>
      <c r="D2465" s="1199">
        <v>27.32</v>
      </c>
      <c r="E2465" s="1199">
        <f t="shared" si="38"/>
        <v>22.86</v>
      </c>
    </row>
    <row r="2466" spans="1:5">
      <c r="A2466" s="1003" t="s">
        <v>9802</v>
      </c>
      <c r="B2466" s="1003" t="s">
        <v>4211</v>
      </c>
      <c r="C2466" s="1199" t="s">
        <v>1240</v>
      </c>
      <c r="D2466" s="1199">
        <v>50.98</v>
      </c>
      <c r="E2466" s="1199">
        <f t="shared" si="38"/>
        <v>42.66</v>
      </c>
    </row>
    <row r="2467" spans="1:5">
      <c r="A2467" s="1003" t="s">
        <v>9803</v>
      </c>
      <c r="B2467" s="1003" t="s">
        <v>9804</v>
      </c>
      <c r="C2467" s="1199" t="s">
        <v>1240</v>
      </c>
      <c r="D2467" s="1199">
        <v>25.87</v>
      </c>
      <c r="E2467" s="1199">
        <f t="shared" si="38"/>
        <v>21.65</v>
      </c>
    </row>
    <row r="2468" spans="1:5">
      <c r="A2468" s="1003" t="s">
        <v>9805</v>
      </c>
      <c r="B2468" s="1003" t="s">
        <v>4213</v>
      </c>
      <c r="C2468" s="1199" t="s">
        <v>1240</v>
      </c>
      <c r="D2468" s="1199">
        <v>13.96</v>
      </c>
      <c r="E2468" s="1199">
        <f t="shared" si="38"/>
        <v>11.68</v>
      </c>
    </row>
    <row r="2469" spans="1:5">
      <c r="A2469" s="1003" t="s">
        <v>9806</v>
      </c>
      <c r="B2469" s="1003" t="s">
        <v>9807</v>
      </c>
      <c r="C2469" s="1199" t="s">
        <v>1240</v>
      </c>
      <c r="D2469" s="1199">
        <v>29.8</v>
      </c>
      <c r="E2469" s="1199">
        <f t="shared" si="38"/>
        <v>24.94</v>
      </c>
    </row>
    <row r="2470" spans="1:5">
      <c r="A2470" s="1003" t="s">
        <v>9808</v>
      </c>
      <c r="B2470" s="1003" t="s">
        <v>9809</v>
      </c>
      <c r="C2470" s="1199" t="s">
        <v>1240</v>
      </c>
      <c r="D2470" s="1199">
        <v>12.21</v>
      </c>
      <c r="E2470" s="1199">
        <f t="shared" si="38"/>
        <v>10.220000000000001</v>
      </c>
    </row>
    <row r="2471" spans="1:5" ht="27.6">
      <c r="A2471" s="1003" t="s">
        <v>9810</v>
      </c>
      <c r="B2471" s="1003" t="s">
        <v>9713</v>
      </c>
      <c r="C2471" s="1199" t="s">
        <v>1240</v>
      </c>
      <c r="D2471" s="1199">
        <v>88.07</v>
      </c>
      <c r="E2471" s="1199">
        <f t="shared" si="38"/>
        <v>73.7</v>
      </c>
    </row>
    <row r="2472" spans="1:5" ht="27.6">
      <c r="A2472" s="1003" t="s">
        <v>9811</v>
      </c>
      <c r="B2472" s="1003" t="s">
        <v>9715</v>
      </c>
      <c r="C2472" s="1199" t="s">
        <v>1240</v>
      </c>
      <c r="D2472" s="1199">
        <v>20.73</v>
      </c>
      <c r="E2472" s="1199">
        <f t="shared" si="38"/>
        <v>17.350000000000001</v>
      </c>
    </row>
    <row r="2473" spans="1:5">
      <c r="A2473" s="1003" t="s">
        <v>9812</v>
      </c>
      <c r="B2473" s="1003" t="s">
        <v>4216</v>
      </c>
      <c r="C2473" s="1199" t="s">
        <v>1240</v>
      </c>
      <c r="D2473" s="1199">
        <v>27.55</v>
      </c>
      <c r="E2473" s="1199">
        <f t="shared" si="38"/>
        <v>23.05</v>
      </c>
    </row>
    <row r="2474" spans="1:5">
      <c r="A2474" s="1003" t="s">
        <v>9813</v>
      </c>
      <c r="B2474" s="1003" t="s">
        <v>9814</v>
      </c>
      <c r="C2474" s="1199" t="s">
        <v>2050</v>
      </c>
      <c r="D2474" s="1199">
        <v>13.78</v>
      </c>
      <c r="E2474" s="1199">
        <f t="shared" si="38"/>
        <v>11.53</v>
      </c>
    </row>
    <row r="2475" spans="1:5">
      <c r="A2475" s="1003" t="s">
        <v>9815</v>
      </c>
      <c r="B2475" s="1003" t="s">
        <v>9816</v>
      </c>
      <c r="C2475" s="1199" t="s">
        <v>1615</v>
      </c>
      <c r="D2475" s="1199">
        <v>1317.76</v>
      </c>
      <c r="E2475" s="1199">
        <f t="shared" si="38"/>
        <v>1102.73</v>
      </c>
    </row>
    <row r="2476" spans="1:5">
      <c r="A2476" s="1003" t="s">
        <v>9817</v>
      </c>
      <c r="B2476" s="1003" t="s">
        <v>4218</v>
      </c>
      <c r="C2476" s="1199" t="s">
        <v>1214</v>
      </c>
      <c r="D2476" s="1199">
        <v>2.23</v>
      </c>
      <c r="E2476" s="1199">
        <f t="shared" si="38"/>
        <v>1.87</v>
      </c>
    </row>
    <row r="2477" spans="1:5">
      <c r="A2477" s="1003" t="s">
        <v>9818</v>
      </c>
      <c r="B2477" s="1003" t="s">
        <v>9726</v>
      </c>
      <c r="C2477" s="1199" t="s">
        <v>1240</v>
      </c>
      <c r="D2477" s="1199">
        <v>26.41</v>
      </c>
      <c r="E2477" s="1199">
        <f t="shared" si="38"/>
        <v>22.1</v>
      </c>
    </row>
    <row r="2478" spans="1:5">
      <c r="A2478" s="1003" t="s">
        <v>9819</v>
      </c>
      <c r="B2478" s="1003" t="s">
        <v>4219</v>
      </c>
      <c r="C2478" s="1199" t="s">
        <v>1652</v>
      </c>
      <c r="D2478" s="1199">
        <v>637.01</v>
      </c>
      <c r="E2478" s="1199">
        <f t="shared" si="38"/>
        <v>533.05999999999995</v>
      </c>
    </row>
    <row r="2479" spans="1:5">
      <c r="A2479" s="1003" t="s">
        <v>9820</v>
      </c>
      <c r="B2479" s="1003" t="s">
        <v>4221</v>
      </c>
      <c r="C2479" s="1199" t="s">
        <v>1240</v>
      </c>
      <c r="D2479" s="1199">
        <v>1.83</v>
      </c>
      <c r="E2479" s="1199">
        <f t="shared" si="38"/>
        <v>1.53</v>
      </c>
    </row>
    <row r="2480" spans="1:5">
      <c r="A2480" s="1003" t="s">
        <v>9821</v>
      </c>
      <c r="B2480" s="1003" t="s">
        <v>4222</v>
      </c>
      <c r="C2480" s="1199" t="s">
        <v>1240</v>
      </c>
      <c r="D2480" s="1199">
        <v>3.73</v>
      </c>
      <c r="E2480" s="1199">
        <f t="shared" si="38"/>
        <v>3.12</v>
      </c>
    </row>
    <row r="2481" spans="1:5">
      <c r="A2481" s="1003" t="s">
        <v>9822</v>
      </c>
      <c r="B2481" s="1003" t="s">
        <v>4223</v>
      </c>
      <c r="C2481" s="1199" t="s">
        <v>1240</v>
      </c>
      <c r="D2481" s="1199">
        <v>5.0199999999999996</v>
      </c>
      <c r="E2481" s="1199">
        <f t="shared" si="38"/>
        <v>4.2</v>
      </c>
    </row>
    <row r="2482" spans="1:5">
      <c r="A2482" s="1003" t="s">
        <v>9823</v>
      </c>
      <c r="B2482" s="1003" t="s">
        <v>9824</v>
      </c>
      <c r="C2482" s="1199" t="s">
        <v>1240</v>
      </c>
      <c r="D2482" s="1199">
        <v>6.5</v>
      </c>
      <c r="E2482" s="1199">
        <f t="shared" si="38"/>
        <v>5.44</v>
      </c>
    </row>
    <row r="2483" spans="1:5">
      <c r="A2483" s="1003" t="s">
        <v>9825</v>
      </c>
      <c r="B2483" s="1003" t="s">
        <v>9826</v>
      </c>
      <c r="C2483" s="1199" t="s">
        <v>1214</v>
      </c>
      <c r="D2483" s="1199">
        <v>1</v>
      </c>
      <c r="E2483" s="1199">
        <f t="shared" si="38"/>
        <v>0.84</v>
      </c>
    </row>
    <row r="2484" spans="1:5">
      <c r="A2484" s="1003" t="s">
        <v>9827</v>
      </c>
      <c r="B2484" s="1003" t="s">
        <v>4226</v>
      </c>
      <c r="C2484" s="1199" t="s">
        <v>1240</v>
      </c>
      <c r="D2484" s="1199">
        <v>8.51</v>
      </c>
      <c r="E2484" s="1199">
        <f t="shared" si="38"/>
        <v>7.12</v>
      </c>
    </row>
    <row r="2485" spans="1:5">
      <c r="A2485" s="1003" t="s">
        <v>9828</v>
      </c>
      <c r="B2485" s="1003" t="s">
        <v>4227</v>
      </c>
      <c r="C2485" s="1199" t="s">
        <v>1240</v>
      </c>
      <c r="D2485" s="1199">
        <v>8.51</v>
      </c>
      <c r="E2485" s="1199">
        <f t="shared" si="38"/>
        <v>7.12</v>
      </c>
    </row>
    <row r="2486" spans="1:5">
      <c r="A2486" s="1003" t="s">
        <v>9829</v>
      </c>
      <c r="B2486" s="1003" t="s">
        <v>9830</v>
      </c>
      <c r="C2486" s="1199" t="s">
        <v>1240</v>
      </c>
      <c r="D2486" s="1199">
        <v>8.51</v>
      </c>
      <c r="E2486" s="1199">
        <f t="shared" si="38"/>
        <v>7.12</v>
      </c>
    </row>
    <row r="2487" spans="1:5">
      <c r="A2487" s="1003" t="s">
        <v>9831</v>
      </c>
      <c r="B2487" s="1003" t="s">
        <v>9832</v>
      </c>
      <c r="C2487" s="1199" t="s">
        <v>1214</v>
      </c>
      <c r="D2487" s="1199">
        <v>1.7</v>
      </c>
      <c r="E2487" s="1199">
        <f t="shared" si="38"/>
        <v>1.42</v>
      </c>
    </row>
    <row r="2488" spans="1:5">
      <c r="A2488" s="1003" t="s">
        <v>9833</v>
      </c>
      <c r="B2488" s="1003" t="s">
        <v>9834</v>
      </c>
      <c r="C2488" s="1199" t="s">
        <v>1240</v>
      </c>
      <c r="D2488" s="1199">
        <v>24.11</v>
      </c>
      <c r="E2488" s="1199">
        <f t="shared" si="38"/>
        <v>20.18</v>
      </c>
    </row>
    <row r="2489" spans="1:5">
      <c r="A2489" s="1003" t="s">
        <v>9835</v>
      </c>
      <c r="B2489" s="1003" t="s">
        <v>4231</v>
      </c>
      <c r="C2489" s="1199" t="s">
        <v>1652</v>
      </c>
      <c r="D2489" s="1199">
        <v>637.01</v>
      </c>
      <c r="E2489" s="1199">
        <f t="shared" si="38"/>
        <v>533.05999999999995</v>
      </c>
    </row>
    <row r="2490" spans="1:5">
      <c r="A2490" s="1003" t="s">
        <v>9836</v>
      </c>
      <c r="B2490" s="1003" t="s">
        <v>4234</v>
      </c>
      <c r="C2490" s="1199" t="s">
        <v>1240</v>
      </c>
      <c r="D2490" s="1199">
        <v>27.27</v>
      </c>
      <c r="E2490" s="1199">
        <f t="shared" si="38"/>
        <v>22.82</v>
      </c>
    </row>
    <row r="2491" spans="1:5">
      <c r="A2491" s="1003" t="s">
        <v>9837</v>
      </c>
      <c r="B2491" s="1003" t="s">
        <v>4238</v>
      </c>
      <c r="C2491" s="1199" t="s">
        <v>1240</v>
      </c>
      <c r="D2491" s="1199">
        <v>19</v>
      </c>
      <c r="E2491" s="1199">
        <f t="shared" si="38"/>
        <v>15.9</v>
      </c>
    </row>
    <row r="2492" spans="1:5">
      <c r="A2492" s="1003" t="s">
        <v>9838</v>
      </c>
      <c r="B2492" s="1003" t="s">
        <v>4240</v>
      </c>
      <c r="C2492" s="1199" t="s">
        <v>1240</v>
      </c>
      <c r="D2492" s="1199">
        <v>22.31</v>
      </c>
      <c r="E2492" s="1199">
        <f t="shared" si="38"/>
        <v>18.670000000000002</v>
      </c>
    </row>
    <row r="2493" spans="1:5">
      <c r="A2493" s="1003" t="s">
        <v>9839</v>
      </c>
      <c r="B2493" s="1003" t="s">
        <v>9840</v>
      </c>
      <c r="C2493" s="1199" t="s">
        <v>1240</v>
      </c>
      <c r="D2493" s="1199">
        <v>16.46</v>
      </c>
      <c r="E2493" s="1199">
        <f t="shared" si="38"/>
        <v>13.77</v>
      </c>
    </row>
    <row r="2494" spans="1:5">
      <c r="A2494" s="1003" t="s">
        <v>9841</v>
      </c>
      <c r="B2494" s="1003" t="s">
        <v>4242</v>
      </c>
      <c r="C2494" s="1199" t="s">
        <v>1240</v>
      </c>
      <c r="D2494" s="1199">
        <v>28.91</v>
      </c>
      <c r="E2494" s="1199">
        <f t="shared" si="38"/>
        <v>24.19</v>
      </c>
    </row>
    <row r="2495" spans="1:5">
      <c r="A2495" s="1003" t="s">
        <v>9842</v>
      </c>
      <c r="B2495" s="1003" t="s">
        <v>4244</v>
      </c>
      <c r="C2495" s="1199" t="s">
        <v>1214</v>
      </c>
      <c r="D2495" s="1199">
        <v>4.8499999999999996</v>
      </c>
      <c r="E2495" s="1199">
        <f t="shared" si="38"/>
        <v>4.0599999999999996</v>
      </c>
    </row>
    <row r="2496" spans="1:5">
      <c r="A2496" s="1003" t="s">
        <v>9843</v>
      </c>
      <c r="B2496" s="1003" t="s">
        <v>9844</v>
      </c>
      <c r="C2496" s="1199" t="s">
        <v>1240</v>
      </c>
      <c r="D2496" s="1199">
        <v>34.22</v>
      </c>
      <c r="E2496" s="1199">
        <f t="shared" si="38"/>
        <v>28.64</v>
      </c>
    </row>
    <row r="2497" spans="1:5">
      <c r="A2497" s="1003" t="s">
        <v>9845</v>
      </c>
      <c r="B2497" s="1003" t="s">
        <v>9846</v>
      </c>
      <c r="C2497" s="1199" t="s">
        <v>1240</v>
      </c>
      <c r="D2497" s="1199">
        <v>8.34</v>
      </c>
      <c r="E2497" s="1199">
        <f t="shared" si="38"/>
        <v>6.98</v>
      </c>
    </row>
    <row r="2498" spans="1:5">
      <c r="A2498" s="1003" t="s">
        <v>9847</v>
      </c>
      <c r="B2498" s="1003" t="s">
        <v>4241</v>
      </c>
      <c r="C2498" s="1199" t="s">
        <v>1240</v>
      </c>
      <c r="D2498" s="1199">
        <v>23.34</v>
      </c>
      <c r="E2498" s="1199">
        <f t="shared" si="38"/>
        <v>19.53</v>
      </c>
    </row>
    <row r="2499" spans="1:5">
      <c r="A2499" s="1003" t="s">
        <v>9848</v>
      </c>
      <c r="B2499" s="1003" t="s">
        <v>9849</v>
      </c>
      <c r="C2499" s="1199" t="s">
        <v>1240</v>
      </c>
      <c r="D2499" s="1199">
        <v>42.49</v>
      </c>
      <c r="E2499" s="1199">
        <f t="shared" si="38"/>
        <v>35.56</v>
      </c>
    </row>
    <row r="2500" spans="1:5">
      <c r="A2500" s="1003" t="s">
        <v>9850</v>
      </c>
      <c r="B2500" s="1003" t="s">
        <v>9851</v>
      </c>
      <c r="C2500" s="1199" t="s">
        <v>1240</v>
      </c>
      <c r="D2500" s="1199">
        <v>30.4</v>
      </c>
      <c r="E2500" s="1199">
        <f t="shared" ref="E2500:E2563" si="39">ROUND(D2500/1.195,2)</f>
        <v>25.44</v>
      </c>
    </row>
    <row r="2501" spans="1:5">
      <c r="A2501" s="1003" t="s">
        <v>9852</v>
      </c>
      <c r="B2501" s="1003" t="s">
        <v>4250</v>
      </c>
      <c r="C2501" s="1199" t="s">
        <v>1214</v>
      </c>
      <c r="D2501" s="1199">
        <v>3.58</v>
      </c>
      <c r="E2501" s="1199">
        <f t="shared" si="39"/>
        <v>3</v>
      </c>
    </row>
    <row r="2502" spans="1:5">
      <c r="A2502" s="1003" t="s">
        <v>9853</v>
      </c>
      <c r="B2502" s="1003" t="s">
        <v>9854</v>
      </c>
      <c r="C2502" s="1199" t="s">
        <v>1240</v>
      </c>
      <c r="D2502" s="1199">
        <v>22.64</v>
      </c>
      <c r="E2502" s="1199">
        <f t="shared" si="39"/>
        <v>18.95</v>
      </c>
    </row>
    <row r="2503" spans="1:5">
      <c r="A2503" s="1003" t="s">
        <v>9855</v>
      </c>
      <c r="B2503" s="1003" t="s">
        <v>4252</v>
      </c>
      <c r="C2503" s="1199" t="s">
        <v>1615</v>
      </c>
      <c r="D2503" s="1199">
        <v>781.59</v>
      </c>
      <c r="E2503" s="1199">
        <f t="shared" si="39"/>
        <v>654.04999999999995</v>
      </c>
    </row>
    <row r="2504" spans="1:5">
      <c r="A2504" s="1003" t="s">
        <v>9856</v>
      </c>
      <c r="B2504" s="1003" t="s">
        <v>4218</v>
      </c>
      <c r="C2504" s="1199" t="s">
        <v>1214</v>
      </c>
      <c r="D2504" s="1199">
        <v>1.88</v>
      </c>
      <c r="E2504" s="1199">
        <f t="shared" si="39"/>
        <v>1.57</v>
      </c>
    </row>
    <row r="2505" spans="1:5">
      <c r="A2505" s="1003" t="s">
        <v>9857</v>
      </c>
      <c r="B2505" s="1003" t="s">
        <v>9858</v>
      </c>
      <c r="C2505" s="1199" t="s">
        <v>1240</v>
      </c>
      <c r="D2505" s="1199">
        <v>14.74</v>
      </c>
      <c r="E2505" s="1199">
        <f t="shared" si="39"/>
        <v>12.33</v>
      </c>
    </row>
    <row r="2506" spans="1:5">
      <c r="A2506" s="1003" t="s">
        <v>9859</v>
      </c>
      <c r="B2506" s="1003" t="s">
        <v>4237</v>
      </c>
      <c r="C2506" s="1199" t="s">
        <v>1240</v>
      </c>
      <c r="D2506" s="1199">
        <v>19.93</v>
      </c>
      <c r="E2506" s="1199">
        <f t="shared" si="39"/>
        <v>16.68</v>
      </c>
    </row>
    <row r="2507" spans="1:5">
      <c r="A2507" s="1003" t="s">
        <v>9860</v>
      </c>
      <c r="B2507" s="1003" t="s">
        <v>4243</v>
      </c>
      <c r="C2507" s="1199" t="s">
        <v>1240</v>
      </c>
      <c r="D2507" s="1199">
        <v>29.61</v>
      </c>
      <c r="E2507" s="1199">
        <f t="shared" si="39"/>
        <v>24.78</v>
      </c>
    </row>
    <row r="2508" spans="1:5">
      <c r="A2508" s="1003" t="s">
        <v>9861</v>
      </c>
      <c r="B2508" s="1003" t="s">
        <v>4247</v>
      </c>
      <c r="C2508" s="1199" t="s">
        <v>1240</v>
      </c>
      <c r="D2508" s="1199">
        <v>31.64</v>
      </c>
      <c r="E2508" s="1199">
        <f t="shared" si="39"/>
        <v>26.48</v>
      </c>
    </row>
    <row r="2509" spans="1:5">
      <c r="A2509" s="1003" t="s">
        <v>9862</v>
      </c>
      <c r="B2509" s="1003" t="s">
        <v>4251</v>
      </c>
      <c r="C2509" s="1199" t="s">
        <v>1240</v>
      </c>
      <c r="D2509" s="1199">
        <v>20.329999999999998</v>
      </c>
      <c r="E2509" s="1199">
        <f t="shared" si="39"/>
        <v>17.010000000000002</v>
      </c>
    </row>
    <row r="2510" spans="1:5">
      <c r="A2510" s="1003" t="s">
        <v>9863</v>
      </c>
      <c r="B2510" s="1003" t="s">
        <v>4254</v>
      </c>
      <c r="C2510" s="1199" t="s">
        <v>1240</v>
      </c>
      <c r="D2510" s="1199">
        <v>21.04</v>
      </c>
      <c r="E2510" s="1199">
        <f t="shared" si="39"/>
        <v>17.61</v>
      </c>
    </row>
    <row r="2511" spans="1:5">
      <c r="A2511" s="1003" t="s">
        <v>9864</v>
      </c>
      <c r="B2511" s="1003" t="s">
        <v>4253</v>
      </c>
      <c r="C2511" s="1199" t="s">
        <v>1240</v>
      </c>
      <c r="D2511" s="1199">
        <v>20.12</v>
      </c>
      <c r="E2511" s="1199">
        <f t="shared" si="39"/>
        <v>16.84</v>
      </c>
    </row>
    <row r="2512" spans="1:5">
      <c r="A2512" s="1003" t="s">
        <v>9865</v>
      </c>
      <c r="B2512" s="1003" t="s">
        <v>4255</v>
      </c>
      <c r="C2512" s="1199" t="s">
        <v>1240</v>
      </c>
      <c r="D2512" s="1199">
        <v>18.87</v>
      </c>
      <c r="E2512" s="1199">
        <f t="shared" si="39"/>
        <v>15.79</v>
      </c>
    </row>
    <row r="2513" spans="1:5">
      <c r="A2513" s="1003" t="s">
        <v>9866</v>
      </c>
      <c r="B2513" s="1003" t="s">
        <v>4256</v>
      </c>
      <c r="C2513" s="1199" t="s">
        <v>1240</v>
      </c>
      <c r="D2513" s="1199">
        <v>18.170000000000002</v>
      </c>
      <c r="E2513" s="1199">
        <f t="shared" si="39"/>
        <v>15.21</v>
      </c>
    </row>
    <row r="2514" spans="1:5">
      <c r="A2514" s="1003" t="s">
        <v>9867</v>
      </c>
      <c r="B2514" s="1003" t="s">
        <v>4257</v>
      </c>
      <c r="C2514" s="1199" t="s">
        <v>1240</v>
      </c>
      <c r="D2514" s="1199">
        <v>20.9</v>
      </c>
      <c r="E2514" s="1199">
        <f t="shared" si="39"/>
        <v>17.489999999999998</v>
      </c>
    </row>
    <row r="2515" spans="1:5">
      <c r="A2515" s="1003" t="s">
        <v>9868</v>
      </c>
      <c r="B2515" s="1003" t="s">
        <v>4258</v>
      </c>
      <c r="C2515" s="1199" t="s">
        <v>1240</v>
      </c>
      <c r="D2515" s="1199">
        <v>62.35</v>
      </c>
      <c r="E2515" s="1199">
        <f t="shared" si="39"/>
        <v>52.18</v>
      </c>
    </row>
    <row r="2516" spans="1:5">
      <c r="A2516" s="1003" t="s">
        <v>9869</v>
      </c>
      <c r="B2516" s="1003" t="s">
        <v>4259</v>
      </c>
      <c r="C2516" s="1199" t="s">
        <v>1240</v>
      </c>
      <c r="D2516" s="1199">
        <v>91.46</v>
      </c>
      <c r="E2516" s="1199">
        <f t="shared" si="39"/>
        <v>76.540000000000006</v>
      </c>
    </row>
    <row r="2517" spans="1:5">
      <c r="A2517" s="1003" t="s">
        <v>9870</v>
      </c>
      <c r="B2517" s="1003" t="s">
        <v>4260</v>
      </c>
      <c r="C2517" s="1199" t="s">
        <v>1240</v>
      </c>
      <c r="D2517" s="1199">
        <v>12.75</v>
      </c>
      <c r="E2517" s="1199">
        <f t="shared" si="39"/>
        <v>10.67</v>
      </c>
    </row>
    <row r="2518" spans="1:5">
      <c r="A2518" s="1003" t="s">
        <v>9871</v>
      </c>
      <c r="B2518" s="1003" t="s">
        <v>4261</v>
      </c>
      <c r="C2518" s="1199" t="s">
        <v>1240</v>
      </c>
      <c r="D2518" s="1199">
        <v>24.13</v>
      </c>
      <c r="E2518" s="1199">
        <f t="shared" si="39"/>
        <v>20.190000000000001</v>
      </c>
    </row>
    <row r="2519" spans="1:5">
      <c r="A2519" s="1003" t="s">
        <v>9872</v>
      </c>
      <c r="B2519" s="1003" t="s">
        <v>4262</v>
      </c>
      <c r="C2519" s="1199" t="s">
        <v>1240</v>
      </c>
      <c r="D2519" s="1199">
        <v>14.47</v>
      </c>
      <c r="E2519" s="1199">
        <f t="shared" si="39"/>
        <v>12.11</v>
      </c>
    </row>
    <row r="2520" spans="1:5">
      <c r="A2520" s="1003" t="s">
        <v>9873</v>
      </c>
      <c r="B2520" s="1003" t="s">
        <v>4263</v>
      </c>
      <c r="C2520" s="1199" t="s">
        <v>1240</v>
      </c>
      <c r="D2520" s="1199">
        <v>26.18</v>
      </c>
      <c r="E2520" s="1199">
        <f t="shared" si="39"/>
        <v>21.91</v>
      </c>
    </row>
    <row r="2521" spans="1:5">
      <c r="A2521" s="1003" t="s">
        <v>9874</v>
      </c>
      <c r="B2521" s="1003" t="s">
        <v>9875</v>
      </c>
      <c r="C2521" s="1199" t="s">
        <v>1248</v>
      </c>
      <c r="D2521" s="1199">
        <v>5.54</v>
      </c>
      <c r="E2521" s="1199">
        <f t="shared" si="39"/>
        <v>4.6399999999999997</v>
      </c>
    </row>
    <row r="2522" spans="1:5">
      <c r="A2522" s="1003" t="s">
        <v>9876</v>
      </c>
      <c r="B2522" s="1003" t="s">
        <v>9877</v>
      </c>
      <c r="C2522" s="1199" t="s">
        <v>1652</v>
      </c>
      <c r="D2522" s="1199">
        <v>637.01</v>
      </c>
      <c r="E2522" s="1199">
        <f t="shared" si="39"/>
        <v>533.05999999999995</v>
      </c>
    </row>
    <row r="2523" spans="1:5">
      <c r="A2523" s="1003" t="s">
        <v>9878</v>
      </c>
      <c r="B2523" s="1003" t="s">
        <v>4267</v>
      </c>
      <c r="C2523" s="1199" t="s">
        <v>1214</v>
      </c>
      <c r="D2523" s="1199">
        <v>575.5</v>
      </c>
      <c r="E2523" s="1199">
        <f t="shared" si="39"/>
        <v>481.59</v>
      </c>
    </row>
    <row r="2524" spans="1:5">
      <c r="A2524" s="1003" t="s">
        <v>9879</v>
      </c>
      <c r="B2524" s="1003" t="s">
        <v>4268</v>
      </c>
      <c r="C2524" s="1199" t="s">
        <v>1214</v>
      </c>
      <c r="D2524" s="1199">
        <v>683.49</v>
      </c>
      <c r="E2524" s="1199">
        <f t="shared" si="39"/>
        <v>571.96</v>
      </c>
    </row>
    <row r="2525" spans="1:5">
      <c r="A2525" s="1003" t="s">
        <v>9880</v>
      </c>
      <c r="B2525" s="1003" t="s">
        <v>4269</v>
      </c>
      <c r="C2525" s="1199" t="s">
        <v>1214</v>
      </c>
      <c r="D2525" s="1199">
        <v>75.17</v>
      </c>
      <c r="E2525" s="1199">
        <f t="shared" si="39"/>
        <v>62.9</v>
      </c>
    </row>
    <row r="2526" spans="1:5">
      <c r="A2526" s="1003" t="s">
        <v>9881</v>
      </c>
      <c r="B2526" s="1003" t="s">
        <v>4270</v>
      </c>
      <c r="C2526" s="1199" t="s">
        <v>1214</v>
      </c>
      <c r="D2526" s="1199">
        <v>269.36</v>
      </c>
      <c r="E2526" s="1199">
        <f t="shared" si="39"/>
        <v>225.41</v>
      </c>
    </row>
    <row r="2527" spans="1:5">
      <c r="A2527" s="1003" t="s">
        <v>9882</v>
      </c>
      <c r="B2527" s="1003" t="s">
        <v>4271</v>
      </c>
      <c r="C2527" s="1199" t="s">
        <v>1214</v>
      </c>
      <c r="D2527" s="1199">
        <v>223.08</v>
      </c>
      <c r="E2527" s="1199">
        <f t="shared" si="39"/>
        <v>186.68</v>
      </c>
    </row>
    <row r="2528" spans="1:5">
      <c r="A2528" s="1003" t="s">
        <v>9883</v>
      </c>
      <c r="B2528" s="1003" t="s">
        <v>4272</v>
      </c>
      <c r="C2528" s="1199" t="s">
        <v>1214</v>
      </c>
      <c r="D2528" s="1199">
        <v>554.49</v>
      </c>
      <c r="E2528" s="1199">
        <f t="shared" si="39"/>
        <v>464.01</v>
      </c>
    </row>
    <row r="2529" spans="1:5">
      <c r="A2529" s="1003" t="s">
        <v>9884</v>
      </c>
      <c r="B2529" s="1003" t="s">
        <v>4273</v>
      </c>
      <c r="C2529" s="1199" t="s">
        <v>1214</v>
      </c>
      <c r="D2529" s="1199">
        <v>662.34</v>
      </c>
      <c r="E2529" s="1199">
        <f t="shared" si="39"/>
        <v>554.26</v>
      </c>
    </row>
    <row r="2530" spans="1:5">
      <c r="A2530" s="1003" t="s">
        <v>9885</v>
      </c>
      <c r="B2530" s="1003" t="s">
        <v>4274</v>
      </c>
      <c r="C2530" s="1199" t="s">
        <v>1214</v>
      </c>
      <c r="D2530" s="1199">
        <v>727.83</v>
      </c>
      <c r="E2530" s="1199">
        <f t="shared" si="39"/>
        <v>609.05999999999995</v>
      </c>
    </row>
    <row r="2531" spans="1:5">
      <c r="A2531" s="1003" t="s">
        <v>956</v>
      </c>
      <c r="B2531" s="1003" t="s">
        <v>4275</v>
      </c>
      <c r="C2531" s="1199" t="s">
        <v>1214</v>
      </c>
      <c r="D2531" s="1199">
        <v>841.34</v>
      </c>
      <c r="E2531" s="1199">
        <f t="shared" si="39"/>
        <v>704.05</v>
      </c>
    </row>
    <row r="2532" spans="1:5">
      <c r="A2532" s="1003" t="s">
        <v>9886</v>
      </c>
      <c r="B2532" s="1003" t="s">
        <v>4276</v>
      </c>
      <c r="C2532" s="1199" t="s">
        <v>1214</v>
      </c>
      <c r="D2532" s="1199">
        <v>967.9</v>
      </c>
      <c r="E2532" s="1199">
        <f t="shared" si="39"/>
        <v>809.96</v>
      </c>
    </row>
    <row r="2533" spans="1:5">
      <c r="A2533" s="1003" t="s">
        <v>9887</v>
      </c>
      <c r="B2533" s="1003" t="s">
        <v>4277</v>
      </c>
      <c r="C2533" s="1199" t="s">
        <v>1214</v>
      </c>
      <c r="D2533" s="1199">
        <v>1026.17</v>
      </c>
      <c r="E2533" s="1199">
        <f t="shared" si="39"/>
        <v>858.72</v>
      </c>
    </row>
    <row r="2534" spans="1:5">
      <c r="A2534" s="1003" t="s">
        <v>9888</v>
      </c>
      <c r="B2534" s="1003" t="s">
        <v>4280</v>
      </c>
      <c r="C2534" s="1199" t="s">
        <v>1214</v>
      </c>
      <c r="D2534" s="1199">
        <v>1060.8599999999999</v>
      </c>
      <c r="E2534" s="1199">
        <f t="shared" si="39"/>
        <v>887.75</v>
      </c>
    </row>
    <row r="2535" spans="1:5">
      <c r="A2535" s="1003" t="s">
        <v>958</v>
      </c>
      <c r="B2535" s="1003" t="s">
        <v>4281</v>
      </c>
      <c r="C2535" s="1199" t="s">
        <v>1214</v>
      </c>
      <c r="D2535" s="1199">
        <v>1119.1400000000001</v>
      </c>
      <c r="E2535" s="1199">
        <f t="shared" si="39"/>
        <v>936.52</v>
      </c>
    </row>
    <row r="2536" spans="1:5">
      <c r="A2536" s="1003" t="s">
        <v>9889</v>
      </c>
      <c r="B2536" s="1003" t="s">
        <v>4282</v>
      </c>
      <c r="C2536" s="1199" t="s">
        <v>1214</v>
      </c>
      <c r="D2536" s="1199">
        <v>880.12</v>
      </c>
      <c r="E2536" s="1199">
        <f t="shared" si="39"/>
        <v>736.5</v>
      </c>
    </row>
    <row r="2537" spans="1:5">
      <c r="A2537" s="1003" t="s">
        <v>9890</v>
      </c>
      <c r="B2537" s="1003" t="s">
        <v>4283</v>
      </c>
      <c r="C2537" s="1199" t="s">
        <v>1214</v>
      </c>
      <c r="D2537" s="1199">
        <v>976.55</v>
      </c>
      <c r="E2537" s="1199">
        <f t="shared" si="39"/>
        <v>817.2</v>
      </c>
    </row>
    <row r="2538" spans="1:5">
      <c r="A2538" s="1003" t="s">
        <v>9891</v>
      </c>
      <c r="B2538" s="1003" t="s">
        <v>4284</v>
      </c>
      <c r="C2538" s="1199" t="s">
        <v>1214</v>
      </c>
      <c r="D2538" s="1199">
        <v>1056.21</v>
      </c>
      <c r="E2538" s="1199">
        <f t="shared" si="39"/>
        <v>883.86</v>
      </c>
    </row>
    <row r="2539" spans="1:5">
      <c r="A2539" s="1003" t="s">
        <v>9892</v>
      </c>
      <c r="B2539" s="1003" t="s">
        <v>4285</v>
      </c>
      <c r="C2539" s="1199" t="s">
        <v>1214</v>
      </c>
      <c r="D2539" s="1199">
        <v>1166.44</v>
      </c>
      <c r="E2539" s="1199">
        <f t="shared" si="39"/>
        <v>976.1</v>
      </c>
    </row>
    <row r="2540" spans="1:5">
      <c r="A2540" s="1003" t="s">
        <v>9893</v>
      </c>
      <c r="B2540" s="1003" t="s">
        <v>2196</v>
      </c>
      <c r="C2540" s="1199" t="s">
        <v>1240</v>
      </c>
      <c r="D2540" s="1199">
        <v>938.22</v>
      </c>
      <c r="E2540" s="1199">
        <f t="shared" si="39"/>
        <v>785.12</v>
      </c>
    </row>
    <row r="2541" spans="1:5">
      <c r="A2541" s="1003" t="s">
        <v>9894</v>
      </c>
      <c r="B2541" s="1003" t="s">
        <v>4287</v>
      </c>
      <c r="C2541" s="1199" t="s">
        <v>1240</v>
      </c>
      <c r="D2541" s="1199">
        <v>1321.33</v>
      </c>
      <c r="E2541" s="1199">
        <f t="shared" si="39"/>
        <v>1105.72</v>
      </c>
    </row>
    <row r="2542" spans="1:5">
      <c r="A2542" s="1003" t="s">
        <v>9895</v>
      </c>
      <c r="B2542" s="1003" t="s">
        <v>9896</v>
      </c>
      <c r="C2542" s="1199" t="s">
        <v>1240</v>
      </c>
      <c r="D2542" s="1199">
        <v>522.15</v>
      </c>
      <c r="E2542" s="1199">
        <f t="shared" si="39"/>
        <v>436.95</v>
      </c>
    </row>
    <row r="2543" spans="1:5">
      <c r="A2543" s="1003" t="s">
        <v>9897</v>
      </c>
      <c r="B2543" s="1003" t="s">
        <v>4292</v>
      </c>
      <c r="C2543" s="1199" t="s">
        <v>1214</v>
      </c>
      <c r="D2543" s="1199">
        <v>951.92</v>
      </c>
      <c r="E2543" s="1199">
        <f t="shared" si="39"/>
        <v>796.59</v>
      </c>
    </row>
    <row r="2544" spans="1:5">
      <c r="A2544" s="1003" t="s">
        <v>9898</v>
      </c>
      <c r="B2544" s="1003" t="s">
        <v>4293</v>
      </c>
      <c r="C2544" s="1199" t="s">
        <v>1214</v>
      </c>
      <c r="D2544" s="1199">
        <v>1013.32</v>
      </c>
      <c r="E2544" s="1199">
        <f t="shared" si="39"/>
        <v>847.97</v>
      </c>
    </row>
    <row r="2545" spans="1:5">
      <c r="A2545" s="1003" t="s">
        <v>9899</v>
      </c>
      <c r="B2545" s="1003" t="s">
        <v>4294</v>
      </c>
      <c r="C2545" s="1199" t="s">
        <v>1214</v>
      </c>
      <c r="D2545" s="1199">
        <v>884.86</v>
      </c>
      <c r="E2545" s="1199">
        <f t="shared" si="39"/>
        <v>740.47</v>
      </c>
    </row>
    <row r="2546" spans="1:5">
      <c r="A2546" s="1003" t="s">
        <v>9900</v>
      </c>
      <c r="B2546" s="1003" t="s">
        <v>4295</v>
      </c>
      <c r="C2546" s="1199" t="s">
        <v>1214</v>
      </c>
      <c r="D2546" s="1199">
        <v>951.7</v>
      </c>
      <c r="E2546" s="1199">
        <f t="shared" si="39"/>
        <v>796.4</v>
      </c>
    </row>
    <row r="2547" spans="1:5">
      <c r="A2547" s="1003" t="s">
        <v>9901</v>
      </c>
      <c r="B2547" s="1202" t="s">
        <v>4296</v>
      </c>
      <c r="C2547" s="1199" t="s">
        <v>1240</v>
      </c>
      <c r="D2547" s="1199">
        <v>1159.95</v>
      </c>
      <c r="E2547" s="1199">
        <f t="shared" si="39"/>
        <v>970.67</v>
      </c>
    </row>
    <row r="2548" spans="1:5">
      <c r="A2548" s="1003" t="s">
        <v>9902</v>
      </c>
      <c r="B2548" s="1202" t="s">
        <v>4297</v>
      </c>
      <c r="C2548" s="1199" t="s">
        <v>1214</v>
      </c>
      <c r="D2548" s="1199">
        <v>59.68</v>
      </c>
      <c r="E2548" s="1199">
        <f t="shared" si="39"/>
        <v>49.94</v>
      </c>
    </row>
    <row r="2549" spans="1:5">
      <c r="A2549" s="1003" t="s">
        <v>9903</v>
      </c>
      <c r="B2549" s="1003" t="s">
        <v>4298</v>
      </c>
      <c r="C2549" s="1199" t="s">
        <v>1214</v>
      </c>
      <c r="D2549" s="1199">
        <v>49.93</v>
      </c>
      <c r="E2549" s="1199">
        <f t="shared" si="39"/>
        <v>41.78</v>
      </c>
    </row>
    <row r="2550" spans="1:5">
      <c r="A2550" s="1003" t="s">
        <v>9904</v>
      </c>
      <c r="B2550" s="1003" t="s">
        <v>9905</v>
      </c>
      <c r="C2550" s="1199" t="s">
        <v>1214</v>
      </c>
      <c r="D2550" s="1199">
        <v>736.02</v>
      </c>
      <c r="E2550" s="1199">
        <f t="shared" si="39"/>
        <v>615.91999999999996</v>
      </c>
    </row>
    <row r="2551" spans="1:5">
      <c r="A2551" s="1003" t="s">
        <v>9906</v>
      </c>
      <c r="B2551" s="1003" t="s">
        <v>9907</v>
      </c>
      <c r="C2551" s="1199" t="s">
        <v>1214</v>
      </c>
      <c r="D2551" s="1199">
        <v>851.23</v>
      </c>
      <c r="E2551" s="1199">
        <f t="shared" si="39"/>
        <v>712.33</v>
      </c>
    </row>
    <row r="2552" spans="1:5">
      <c r="A2552" s="1003" t="s">
        <v>9908</v>
      </c>
      <c r="B2552" s="1003" t="s">
        <v>4299</v>
      </c>
      <c r="C2552" s="1199" t="s">
        <v>1615</v>
      </c>
      <c r="D2552" s="1199">
        <v>7297.95</v>
      </c>
      <c r="E2552" s="1199">
        <f t="shared" si="39"/>
        <v>6107.07</v>
      </c>
    </row>
    <row r="2553" spans="1:5">
      <c r="A2553" s="1003" t="s">
        <v>9909</v>
      </c>
      <c r="B2553" s="1003" t="s">
        <v>4300</v>
      </c>
      <c r="C2553" s="1199" t="s">
        <v>1615</v>
      </c>
      <c r="D2553" s="1199">
        <v>8918.01</v>
      </c>
      <c r="E2553" s="1199">
        <f t="shared" si="39"/>
        <v>7462.77</v>
      </c>
    </row>
    <row r="2554" spans="1:5">
      <c r="A2554" s="1003" t="s">
        <v>9910</v>
      </c>
      <c r="B2554" s="1003" t="s">
        <v>4301</v>
      </c>
      <c r="C2554" s="1199" t="s">
        <v>1615</v>
      </c>
      <c r="D2554" s="1199">
        <v>6871.28</v>
      </c>
      <c r="E2554" s="1199">
        <f t="shared" si="39"/>
        <v>5750.03</v>
      </c>
    </row>
    <row r="2555" spans="1:5">
      <c r="A2555" s="1003" t="s">
        <v>9911</v>
      </c>
      <c r="B2555" s="1003" t="s">
        <v>4302</v>
      </c>
      <c r="C2555" s="1199" t="s">
        <v>1615</v>
      </c>
      <c r="D2555" s="1199">
        <v>6308.04</v>
      </c>
      <c r="E2555" s="1199">
        <f t="shared" si="39"/>
        <v>5278.69</v>
      </c>
    </row>
    <row r="2556" spans="1:5">
      <c r="A2556" s="1003" t="s">
        <v>960</v>
      </c>
      <c r="B2556" s="1003" t="s">
        <v>4307</v>
      </c>
      <c r="C2556" s="1199" t="s">
        <v>1615</v>
      </c>
      <c r="D2556" s="1199">
        <v>11691.16</v>
      </c>
      <c r="E2556" s="1199">
        <f t="shared" si="39"/>
        <v>9783.4</v>
      </c>
    </row>
    <row r="2557" spans="1:5">
      <c r="A2557" s="1003" t="s">
        <v>9912</v>
      </c>
      <c r="B2557" s="1003" t="s">
        <v>4308</v>
      </c>
      <c r="C2557" s="1199" t="s">
        <v>1615</v>
      </c>
      <c r="D2557" s="1199">
        <v>7806.23</v>
      </c>
      <c r="E2557" s="1199">
        <f t="shared" si="39"/>
        <v>6532.41</v>
      </c>
    </row>
    <row r="2558" spans="1:5">
      <c r="A2558" s="1003" t="s">
        <v>9913</v>
      </c>
      <c r="B2558" s="1003" t="s">
        <v>9914</v>
      </c>
      <c r="C2558" s="1199" t="s">
        <v>1240</v>
      </c>
      <c r="D2558" s="1199">
        <v>959.95</v>
      </c>
      <c r="E2558" s="1199">
        <f t="shared" si="39"/>
        <v>803.31</v>
      </c>
    </row>
    <row r="2559" spans="1:5">
      <c r="A2559" s="1003" t="s">
        <v>962</v>
      </c>
      <c r="B2559" s="1003" t="s">
        <v>9915</v>
      </c>
      <c r="C2559" s="1199" t="s">
        <v>1240</v>
      </c>
      <c r="D2559" s="1199">
        <v>333.63</v>
      </c>
      <c r="E2559" s="1199">
        <f t="shared" si="39"/>
        <v>279.19</v>
      </c>
    </row>
    <row r="2560" spans="1:5">
      <c r="A2560" s="1003" t="s">
        <v>964</v>
      </c>
      <c r="B2560" s="1003" t="s">
        <v>9916</v>
      </c>
      <c r="C2560" s="1199" t="s">
        <v>1240</v>
      </c>
      <c r="D2560" s="1199">
        <v>1319.17</v>
      </c>
      <c r="E2560" s="1199">
        <f t="shared" si="39"/>
        <v>1103.9100000000001</v>
      </c>
    </row>
    <row r="2561" spans="1:5">
      <c r="A2561" s="1003" t="s">
        <v>9917</v>
      </c>
      <c r="B2561" s="1003" t="s">
        <v>4303</v>
      </c>
      <c r="C2561" s="1199" t="s">
        <v>1615</v>
      </c>
      <c r="D2561" s="1199">
        <v>6200.23</v>
      </c>
      <c r="E2561" s="1199">
        <f t="shared" si="39"/>
        <v>5188.4799999999996</v>
      </c>
    </row>
    <row r="2562" spans="1:5">
      <c r="A2562" s="1003" t="s">
        <v>966</v>
      </c>
      <c r="B2562" s="1003" t="s">
        <v>4304</v>
      </c>
      <c r="C2562" s="1199" t="s">
        <v>1615</v>
      </c>
      <c r="D2562" s="1199">
        <v>7815.26</v>
      </c>
      <c r="E2562" s="1199">
        <f t="shared" si="39"/>
        <v>6539.97</v>
      </c>
    </row>
    <row r="2563" spans="1:5">
      <c r="A2563" s="1003" t="s">
        <v>9918</v>
      </c>
      <c r="B2563" s="1003" t="s">
        <v>4305</v>
      </c>
      <c r="C2563" s="1199" t="s">
        <v>1615</v>
      </c>
      <c r="D2563" s="1199">
        <v>5821.57</v>
      </c>
      <c r="E2563" s="1199">
        <f t="shared" si="39"/>
        <v>4871.6099999999997</v>
      </c>
    </row>
    <row r="2564" spans="1:5">
      <c r="A2564" s="1003" t="s">
        <v>9919</v>
      </c>
      <c r="B2564" s="1003" t="s">
        <v>4306</v>
      </c>
      <c r="C2564" s="1199" t="s">
        <v>1615</v>
      </c>
      <c r="D2564" s="1199">
        <v>5261.37</v>
      </c>
      <c r="E2564" s="1199">
        <f t="shared" ref="E2564:E2627" si="40">ROUND(D2564/1.195,2)</f>
        <v>4402.82</v>
      </c>
    </row>
    <row r="2565" spans="1:5">
      <c r="A2565" s="1003" t="s">
        <v>9920</v>
      </c>
      <c r="B2565" s="1003" t="s">
        <v>4309</v>
      </c>
      <c r="C2565" s="1199" t="s">
        <v>1652</v>
      </c>
      <c r="D2565" s="1199">
        <v>637.01</v>
      </c>
      <c r="E2565" s="1199">
        <f t="shared" si="40"/>
        <v>533.05999999999995</v>
      </c>
    </row>
    <row r="2566" spans="1:5">
      <c r="A2566" s="1003" t="s">
        <v>9921</v>
      </c>
      <c r="B2566" s="1003" t="s">
        <v>9922</v>
      </c>
      <c r="C2566" s="1199" t="s">
        <v>1240</v>
      </c>
      <c r="D2566" s="1199">
        <v>180.39</v>
      </c>
      <c r="E2566" s="1199">
        <f t="shared" si="40"/>
        <v>150.94999999999999</v>
      </c>
    </row>
    <row r="2567" spans="1:5">
      <c r="A2567" s="1003" t="s">
        <v>9923</v>
      </c>
      <c r="B2567" s="1003" t="s">
        <v>3971</v>
      </c>
      <c r="C2567" s="1199" t="s">
        <v>1240</v>
      </c>
      <c r="D2567" s="1199">
        <v>197.99</v>
      </c>
      <c r="E2567" s="1199">
        <f t="shared" si="40"/>
        <v>165.68</v>
      </c>
    </row>
    <row r="2568" spans="1:5">
      <c r="A2568" s="1003" t="s">
        <v>9924</v>
      </c>
      <c r="B2568" s="1003" t="s">
        <v>4311</v>
      </c>
      <c r="C2568" s="1199" t="s">
        <v>1240</v>
      </c>
      <c r="D2568" s="1199">
        <v>90.74</v>
      </c>
      <c r="E2568" s="1199">
        <f t="shared" si="40"/>
        <v>75.930000000000007</v>
      </c>
    </row>
    <row r="2569" spans="1:5">
      <c r="A2569" s="1003" t="s">
        <v>9925</v>
      </c>
      <c r="B2569" s="1003" t="s">
        <v>9926</v>
      </c>
      <c r="C2569" s="1199" t="s">
        <v>1240</v>
      </c>
      <c r="D2569" s="1199">
        <v>144.74</v>
      </c>
      <c r="E2569" s="1199">
        <f t="shared" si="40"/>
        <v>121.12</v>
      </c>
    </row>
    <row r="2570" spans="1:5">
      <c r="A2570" s="1003" t="s">
        <v>9927</v>
      </c>
      <c r="B2570" s="1003" t="s">
        <v>9928</v>
      </c>
      <c r="C2570" s="1199" t="s">
        <v>1240</v>
      </c>
      <c r="D2570" s="1199">
        <v>157.47999999999999</v>
      </c>
      <c r="E2570" s="1199">
        <f t="shared" si="40"/>
        <v>131.78</v>
      </c>
    </row>
    <row r="2571" spans="1:5">
      <c r="A2571" s="1003" t="s">
        <v>9929</v>
      </c>
      <c r="B2571" s="1003" t="s">
        <v>4313</v>
      </c>
      <c r="C2571" s="1199" t="s">
        <v>1240</v>
      </c>
      <c r="D2571" s="1199">
        <v>79.42</v>
      </c>
      <c r="E2571" s="1199">
        <f t="shared" si="40"/>
        <v>66.459999999999994</v>
      </c>
    </row>
    <row r="2572" spans="1:5">
      <c r="A2572" s="1003" t="s">
        <v>971</v>
      </c>
      <c r="B2572" s="1003" t="s">
        <v>3983</v>
      </c>
      <c r="C2572" s="1199" t="s">
        <v>1240</v>
      </c>
      <c r="D2572" s="1199">
        <v>513.79</v>
      </c>
      <c r="E2572" s="1199">
        <f t="shared" si="40"/>
        <v>429.95</v>
      </c>
    </row>
    <row r="2573" spans="1:5">
      <c r="A2573" s="1003" t="s">
        <v>9930</v>
      </c>
      <c r="B2573" s="1003" t="s">
        <v>4314</v>
      </c>
      <c r="C2573" s="1199" t="s">
        <v>1240</v>
      </c>
      <c r="D2573" s="1199">
        <v>513.79</v>
      </c>
      <c r="E2573" s="1199">
        <f t="shared" si="40"/>
        <v>429.95</v>
      </c>
    </row>
    <row r="2574" spans="1:5">
      <c r="A2574" s="1003" t="s">
        <v>973</v>
      </c>
      <c r="B2574" s="1003" t="s">
        <v>4315</v>
      </c>
      <c r="C2574" s="1199" t="s">
        <v>1240</v>
      </c>
      <c r="D2574" s="1199">
        <v>14.51</v>
      </c>
      <c r="E2574" s="1199">
        <f t="shared" si="40"/>
        <v>12.14</v>
      </c>
    </row>
    <row r="2575" spans="1:5">
      <c r="A2575" s="1003" t="s">
        <v>9931</v>
      </c>
      <c r="B2575" s="1003" t="s">
        <v>4316</v>
      </c>
      <c r="C2575" s="1199" t="s">
        <v>1240</v>
      </c>
      <c r="D2575" s="1199">
        <v>227.79</v>
      </c>
      <c r="E2575" s="1199">
        <f t="shared" si="40"/>
        <v>190.62</v>
      </c>
    </row>
    <row r="2576" spans="1:5">
      <c r="A2576" s="1003" t="s">
        <v>9932</v>
      </c>
      <c r="B2576" s="1003" t="s">
        <v>4317</v>
      </c>
      <c r="C2576" s="1199" t="s">
        <v>1214</v>
      </c>
      <c r="D2576" s="1199">
        <v>95.06</v>
      </c>
      <c r="E2576" s="1199">
        <f t="shared" si="40"/>
        <v>79.55</v>
      </c>
    </row>
    <row r="2577" spans="1:5">
      <c r="A2577" s="1003" t="s">
        <v>9933</v>
      </c>
      <c r="B2577" s="1003" t="s">
        <v>4318</v>
      </c>
      <c r="C2577" s="1199" t="s">
        <v>1214</v>
      </c>
      <c r="D2577" s="1199">
        <v>88.11</v>
      </c>
      <c r="E2577" s="1199">
        <f t="shared" si="40"/>
        <v>73.73</v>
      </c>
    </row>
    <row r="2578" spans="1:5">
      <c r="A2578" s="1003" t="s">
        <v>975</v>
      </c>
      <c r="B2578" s="1003" t="s">
        <v>4319</v>
      </c>
      <c r="C2578" s="1199" t="s">
        <v>1214</v>
      </c>
      <c r="D2578" s="1199">
        <v>56.32</v>
      </c>
      <c r="E2578" s="1199">
        <f t="shared" si="40"/>
        <v>47.13</v>
      </c>
    </row>
    <row r="2579" spans="1:5">
      <c r="A2579" s="1003" t="s">
        <v>9934</v>
      </c>
      <c r="B2579" s="1003" t="s">
        <v>4320</v>
      </c>
      <c r="C2579" s="1199" t="s">
        <v>1214</v>
      </c>
      <c r="D2579" s="1199">
        <v>129.4</v>
      </c>
      <c r="E2579" s="1199">
        <f t="shared" si="40"/>
        <v>108.28</v>
      </c>
    </row>
    <row r="2580" spans="1:5">
      <c r="A2580" s="1003" t="s">
        <v>9935</v>
      </c>
      <c r="B2580" s="1003" t="s">
        <v>4321</v>
      </c>
      <c r="C2580" s="1199" t="s">
        <v>1214</v>
      </c>
      <c r="D2580" s="1199">
        <v>143.07</v>
      </c>
      <c r="E2580" s="1199">
        <f t="shared" si="40"/>
        <v>119.72</v>
      </c>
    </row>
    <row r="2581" spans="1:5">
      <c r="A2581" s="1003" t="s">
        <v>9936</v>
      </c>
      <c r="B2581" s="1003" t="s">
        <v>4322</v>
      </c>
      <c r="C2581" s="1199" t="s">
        <v>1214</v>
      </c>
      <c r="D2581" s="1199">
        <v>92.22</v>
      </c>
      <c r="E2581" s="1199">
        <f t="shared" si="40"/>
        <v>77.17</v>
      </c>
    </row>
    <row r="2582" spans="1:5">
      <c r="A2582" s="1003" t="s">
        <v>9937</v>
      </c>
      <c r="B2582" s="1003" t="s">
        <v>4323</v>
      </c>
      <c r="C2582" s="1199" t="s">
        <v>1240</v>
      </c>
      <c r="D2582" s="1199">
        <v>112.28</v>
      </c>
      <c r="E2582" s="1199">
        <f t="shared" si="40"/>
        <v>93.96</v>
      </c>
    </row>
    <row r="2583" spans="1:5">
      <c r="A2583" s="1003" t="s">
        <v>9938</v>
      </c>
      <c r="B2583" s="1003" t="s">
        <v>9939</v>
      </c>
      <c r="C2583" s="1199" t="s">
        <v>1240</v>
      </c>
      <c r="D2583" s="1199">
        <v>173.58</v>
      </c>
      <c r="E2583" s="1199">
        <f t="shared" si="40"/>
        <v>145.26</v>
      </c>
    </row>
    <row r="2584" spans="1:5" ht="27.6">
      <c r="A2584" s="1003" t="s">
        <v>9940</v>
      </c>
      <c r="B2584" s="1003" t="s">
        <v>9941</v>
      </c>
      <c r="C2584" s="1199" t="s">
        <v>1240</v>
      </c>
      <c r="D2584" s="1199">
        <v>152.80000000000001</v>
      </c>
      <c r="E2584" s="1199">
        <f t="shared" si="40"/>
        <v>127.87</v>
      </c>
    </row>
    <row r="2585" spans="1:5" ht="27.6">
      <c r="A2585" s="1003" t="s">
        <v>9942</v>
      </c>
      <c r="B2585" s="1003" t="s">
        <v>9943</v>
      </c>
      <c r="C2585" s="1199" t="s">
        <v>1240</v>
      </c>
      <c r="D2585" s="1199">
        <v>178.74</v>
      </c>
      <c r="E2585" s="1199">
        <f t="shared" si="40"/>
        <v>149.57</v>
      </c>
    </row>
    <row r="2586" spans="1:5">
      <c r="A2586" s="1003" t="s">
        <v>9944</v>
      </c>
      <c r="B2586" s="1003" t="s">
        <v>4327</v>
      </c>
      <c r="C2586" s="1199" t="s">
        <v>1240</v>
      </c>
      <c r="D2586" s="1199">
        <v>524.12</v>
      </c>
      <c r="E2586" s="1199">
        <f t="shared" si="40"/>
        <v>438.59</v>
      </c>
    </row>
    <row r="2587" spans="1:5">
      <c r="A2587" s="1003" t="s">
        <v>9945</v>
      </c>
      <c r="B2587" s="1003" t="s">
        <v>4328</v>
      </c>
      <c r="C2587" s="1199" t="s">
        <v>1240</v>
      </c>
      <c r="D2587" s="1199">
        <v>386.99</v>
      </c>
      <c r="E2587" s="1199">
        <f t="shared" si="40"/>
        <v>323.83999999999997</v>
      </c>
    </row>
    <row r="2588" spans="1:5">
      <c r="A2588" s="1003" t="s">
        <v>9946</v>
      </c>
      <c r="B2588" s="1003" t="s">
        <v>4329</v>
      </c>
      <c r="C2588" s="1199" t="s">
        <v>1240</v>
      </c>
      <c r="D2588" s="1199">
        <v>124.53</v>
      </c>
      <c r="E2588" s="1199">
        <f t="shared" si="40"/>
        <v>104.21</v>
      </c>
    </row>
    <row r="2589" spans="1:5">
      <c r="A2589" s="1003" t="s">
        <v>9947</v>
      </c>
      <c r="B2589" s="1003" t="s">
        <v>3980</v>
      </c>
      <c r="C2589" s="1199" t="s">
        <v>1240</v>
      </c>
      <c r="D2589" s="1199">
        <v>163.08000000000001</v>
      </c>
      <c r="E2589" s="1199">
        <f t="shared" si="40"/>
        <v>136.47</v>
      </c>
    </row>
    <row r="2590" spans="1:5">
      <c r="A2590" s="1003" t="s">
        <v>9948</v>
      </c>
      <c r="B2590" s="1003" t="s">
        <v>3981</v>
      </c>
      <c r="C2590" s="1199" t="s">
        <v>1240</v>
      </c>
      <c r="D2590" s="1199">
        <v>163.08000000000001</v>
      </c>
      <c r="E2590" s="1199">
        <f t="shared" si="40"/>
        <v>136.47</v>
      </c>
    </row>
    <row r="2591" spans="1:5" ht="27.6">
      <c r="A2591" s="1003" t="s">
        <v>9949</v>
      </c>
      <c r="B2591" s="1003" t="s">
        <v>9950</v>
      </c>
      <c r="C2591" s="1199" t="s">
        <v>1240</v>
      </c>
      <c r="D2591" s="1199">
        <v>188.63</v>
      </c>
      <c r="E2591" s="1199">
        <f t="shared" si="40"/>
        <v>157.85</v>
      </c>
    </row>
    <row r="2592" spans="1:5">
      <c r="A2592" s="1003" t="s">
        <v>977</v>
      </c>
      <c r="B2592" s="1003" t="s">
        <v>9425</v>
      </c>
      <c r="C2592" s="1199" t="s">
        <v>1240</v>
      </c>
      <c r="D2592" s="1199">
        <v>78.73</v>
      </c>
      <c r="E2592" s="1199">
        <f t="shared" si="40"/>
        <v>65.88</v>
      </c>
    </row>
    <row r="2593" spans="1:5">
      <c r="A2593" s="1003" t="s">
        <v>979</v>
      </c>
      <c r="B2593" s="1003" t="s">
        <v>9951</v>
      </c>
      <c r="C2593" s="1199" t="s">
        <v>1240</v>
      </c>
      <c r="D2593" s="1199">
        <v>122.87</v>
      </c>
      <c r="E2593" s="1199">
        <f t="shared" si="40"/>
        <v>102.82</v>
      </c>
    </row>
    <row r="2594" spans="1:5">
      <c r="A2594" s="1003" t="s">
        <v>9952</v>
      </c>
      <c r="B2594" s="1003" t="s">
        <v>1752</v>
      </c>
      <c r="C2594" s="1199" t="s">
        <v>1248</v>
      </c>
      <c r="D2594" s="1199">
        <v>13.67</v>
      </c>
      <c r="E2594" s="1199">
        <f t="shared" si="40"/>
        <v>11.44</v>
      </c>
    </row>
    <row r="2595" spans="1:5">
      <c r="A2595" s="1003" t="s">
        <v>981</v>
      </c>
      <c r="B2595" s="1003" t="s">
        <v>9953</v>
      </c>
      <c r="C2595" s="1199" t="s">
        <v>1214</v>
      </c>
      <c r="D2595" s="1199">
        <v>69.13</v>
      </c>
      <c r="E2595" s="1199">
        <f t="shared" si="40"/>
        <v>57.85</v>
      </c>
    </row>
    <row r="2596" spans="1:5">
      <c r="A2596" s="1003" t="s">
        <v>9954</v>
      </c>
      <c r="B2596" s="1003" t="s">
        <v>9814</v>
      </c>
      <c r="C2596" s="1199" t="s">
        <v>2050</v>
      </c>
      <c r="D2596" s="1199">
        <v>13.68</v>
      </c>
      <c r="E2596" s="1199">
        <f t="shared" si="40"/>
        <v>11.45</v>
      </c>
    </row>
    <row r="2597" spans="1:5">
      <c r="A2597" s="1003" t="s">
        <v>9955</v>
      </c>
      <c r="B2597" s="1003" t="s">
        <v>4330</v>
      </c>
      <c r="C2597" s="1199" t="s">
        <v>1240</v>
      </c>
      <c r="D2597" s="1199">
        <v>40.4</v>
      </c>
      <c r="E2597" s="1199">
        <f t="shared" si="40"/>
        <v>33.81</v>
      </c>
    </row>
    <row r="2598" spans="1:5">
      <c r="A2598" s="1003" t="s">
        <v>983</v>
      </c>
      <c r="B2598" s="1003" t="s">
        <v>1654</v>
      </c>
      <c r="C2598" s="1199" t="s">
        <v>1240</v>
      </c>
      <c r="D2598" s="1199">
        <v>11.6</v>
      </c>
      <c r="E2598" s="1199">
        <f t="shared" si="40"/>
        <v>9.7100000000000009</v>
      </c>
    </row>
    <row r="2599" spans="1:5">
      <c r="A2599" s="1003" t="s">
        <v>9956</v>
      </c>
      <c r="B2599" s="1003" t="s">
        <v>4015</v>
      </c>
      <c r="C2599" s="1199" t="s">
        <v>1240</v>
      </c>
      <c r="D2599" s="1199">
        <v>99.67</v>
      </c>
      <c r="E2599" s="1199">
        <f t="shared" si="40"/>
        <v>83.41</v>
      </c>
    </row>
    <row r="2600" spans="1:5">
      <c r="A2600" s="1003" t="s">
        <v>9957</v>
      </c>
      <c r="B2600" s="1003" t="s">
        <v>4331</v>
      </c>
      <c r="C2600" s="1199" t="s">
        <v>1240</v>
      </c>
      <c r="D2600" s="1199">
        <v>62.48</v>
      </c>
      <c r="E2600" s="1199">
        <f t="shared" si="40"/>
        <v>52.28</v>
      </c>
    </row>
    <row r="2601" spans="1:5">
      <c r="A2601" s="1003" t="s">
        <v>9958</v>
      </c>
      <c r="B2601" s="1003" t="s">
        <v>4332</v>
      </c>
      <c r="C2601" s="1199" t="s">
        <v>1240</v>
      </c>
      <c r="D2601" s="1199">
        <v>68.260000000000005</v>
      </c>
      <c r="E2601" s="1199">
        <f t="shared" si="40"/>
        <v>57.12</v>
      </c>
    </row>
    <row r="2602" spans="1:5">
      <c r="A2602" s="1003" t="s">
        <v>9959</v>
      </c>
      <c r="B2602" s="1003" t="s">
        <v>4333</v>
      </c>
      <c r="C2602" s="1199" t="s">
        <v>1652</v>
      </c>
      <c r="D2602" s="1199">
        <v>637.01</v>
      </c>
      <c r="E2602" s="1199">
        <f t="shared" si="40"/>
        <v>533.05999999999995</v>
      </c>
    </row>
    <row r="2603" spans="1:5">
      <c r="A2603" s="1003" t="s">
        <v>9960</v>
      </c>
      <c r="B2603" s="1003" t="s">
        <v>9961</v>
      </c>
      <c r="C2603" s="1199" t="s">
        <v>1240</v>
      </c>
      <c r="D2603" s="1199">
        <v>7.56</v>
      </c>
      <c r="E2603" s="1199">
        <f t="shared" si="40"/>
        <v>6.33</v>
      </c>
    </row>
    <row r="2604" spans="1:5">
      <c r="A2604" s="1003" t="s">
        <v>9962</v>
      </c>
      <c r="B2604" s="1003" t="s">
        <v>9963</v>
      </c>
      <c r="C2604" s="1199" t="s">
        <v>1240</v>
      </c>
      <c r="D2604" s="1199">
        <v>29.49</v>
      </c>
      <c r="E2604" s="1199">
        <f t="shared" si="40"/>
        <v>24.68</v>
      </c>
    </row>
    <row r="2605" spans="1:5">
      <c r="A2605" s="1003" t="s">
        <v>9964</v>
      </c>
      <c r="B2605" s="1003" t="s">
        <v>9965</v>
      </c>
      <c r="C2605" s="1199" t="s">
        <v>1240</v>
      </c>
      <c r="D2605" s="1199">
        <v>59.4</v>
      </c>
      <c r="E2605" s="1199">
        <f t="shared" si="40"/>
        <v>49.71</v>
      </c>
    </row>
    <row r="2606" spans="1:5" ht="27.6">
      <c r="A2606" s="1003" t="s">
        <v>9966</v>
      </c>
      <c r="B2606" s="1003" t="s">
        <v>9967</v>
      </c>
      <c r="C2606" s="1199" t="s">
        <v>1240</v>
      </c>
      <c r="D2606" s="1199">
        <v>65.19</v>
      </c>
      <c r="E2606" s="1199">
        <f t="shared" si="40"/>
        <v>54.55</v>
      </c>
    </row>
    <row r="2607" spans="1:5">
      <c r="A2607" s="1003" t="s">
        <v>9968</v>
      </c>
      <c r="B2607" s="1003" t="s">
        <v>9969</v>
      </c>
      <c r="C2607" s="1199" t="s">
        <v>1240</v>
      </c>
      <c r="D2607" s="1199">
        <v>0.91</v>
      </c>
      <c r="E2607" s="1199">
        <f t="shared" si="40"/>
        <v>0.76</v>
      </c>
    </row>
    <row r="2608" spans="1:5">
      <c r="A2608" s="1003" t="s">
        <v>9970</v>
      </c>
      <c r="B2608" s="1003" t="s">
        <v>9971</v>
      </c>
      <c r="C2608" s="1199" t="s">
        <v>1240</v>
      </c>
      <c r="D2608" s="1199">
        <v>18.95</v>
      </c>
      <c r="E2608" s="1199">
        <f t="shared" si="40"/>
        <v>15.86</v>
      </c>
    </row>
    <row r="2609" spans="1:5">
      <c r="A2609" s="1003" t="s">
        <v>988</v>
      </c>
      <c r="B2609" s="1003" t="s">
        <v>4336</v>
      </c>
      <c r="C2609" s="1199" t="s">
        <v>1240</v>
      </c>
      <c r="D2609" s="1199">
        <v>24.3</v>
      </c>
      <c r="E2609" s="1199">
        <f t="shared" si="40"/>
        <v>20.329999999999998</v>
      </c>
    </row>
    <row r="2610" spans="1:5">
      <c r="A2610" s="1003" t="s">
        <v>9972</v>
      </c>
      <c r="B2610" s="1003" t="s">
        <v>4340</v>
      </c>
      <c r="C2610" s="1199" t="s">
        <v>1240</v>
      </c>
      <c r="D2610" s="1199">
        <v>294.83</v>
      </c>
      <c r="E2610" s="1199">
        <f t="shared" si="40"/>
        <v>246.72</v>
      </c>
    </row>
    <row r="2611" spans="1:5">
      <c r="A2611" s="1003" t="s">
        <v>9973</v>
      </c>
      <c r="B2611" s="1003" t="s">
        <v>4337</v>
      </c>
      <c r="C2611" s="1199" t="s">
        <v>1240</v>
      </c>
      <c r="D2611" s="1199">
        <v>72.790000000000006</v>
      </c>
      <c r="E2611" s="1199">
        <f t="shared" si="40"/>
        <v>60.91</v>
      </c>
    </row>
    <row r="2612" spans="1:5">
      <c r="A2612" s="1003" t="s">
        <v>990</v>
      </c>
      <c r="B2612" s="1003" t="s">
        <v>4341</v>
      </c>
      <c r="C2612" s="1199" t="s">
        <v>1615</v>
      </c>
      <c r="D2612" s="1199">
        <v>136.30000000000001</v>
      </c>
      <c r="E2612" s="1199">
        <f t="shared" si="40"/>
        <v>114.06</v>
      </c>
    </row>
    <row r="2613" spans="1:5">
      <c r="A2613" s="1003" t="s">
        <v>9974</v>
      </c>
      <c r="B2613" s="1003" t="s">
        <v>4357</v>
      </c>
      <c r="C2613" s="1199" t="s">
        <v>1615</v>
      </c>
      <c r="D2613" s="1199">
        <v>178.37</v>
      </c>
      <c r="E2613" s="1199">
        <f t="shared" si="40"/>
        <v>149.26</v>
      </c>
    </row>
    <row r="2614" spans="1:5">
      <c r="A2614" s="1003" t="s">
        <v>9975</v>
      </c>
      <c r="B2614" s="1003" t="s">
        <v>9976</v>
      </c>
      <c r="C2614" s="1199" t="s">
        <v>1615</v>
      </c>
      <c r="D2614" s="1199">
        <v>385.4</v>
      </c>
      <c r="E2614" s="1199">
        <f t="shared" si="40"/>
        <v>322.51</v>
      </c>
    </row>
    <row r="2615" spans="1:5">
      <c r="A2615" s="1003" t="s">
        <v>9977</v>
      </c>
      <c r="B2615" s="1003" t="s">
        <v>9978</v>
      </c>
      <c r="C2615" s="1199" t="s">
        <v>1615</v>
      </c>
      <c r="D2615" s="1199">
        <v>64.209999999999994</v>
      </c>
      <c r="E2615" s="1199">
        <f t="shared" si="40"/>
        <v>53.73</v>
      </c>
    </row>
    <row r="2616" spans="1:5">
      <c r="A2616" s="1003" t="s">
        <v>9979</v>
      </c>
      <c r="B2616" s="1003" t="s">
        <v>4390</v>
      </c>
      <c r="C2616" s="1199" t="s">
        <v>1615</v>
      </c>
      <c r="D2616" s="1199">
        <v>34.83</v>
      </c>
      <c r="E2616" s="1199">
        <f t="shared" si="40"/>
        <v>29.15</v>
      </c>
    </row>
    <row r="2617" spans="1:5">
      <c r="A2617" s="1003" t="s">
        <v>9980</v>
      </c>
      <c r="B2617" s="1003" t="s">
        <v>9981</v>
      </c>
      <c r="C2617" s="1199" t="s">
        <v>1615</v>
      </c>
      <c r="D2617" s="1199">
        <v>121.73</v>
      </c>
      <c r="E2617" s="1199">
        <f t="shared" si="40"/>
        <v>101.87</v>
      </c>
    </row>
    <row r="2618" spans="1:5">
      <c r="A2618" s="1003" t="s">
        <v>9982</v>
      </c>
      <c r="B2618" s="1003" t="s">
        <v>9983</v>
      </c>
      <c r="C2618" s="1199" t="s">
        <v>1615</v>
      </c>
      <c r="D2618" s="1199">
        <v>62.42</v>
      </c>
      <c r="E2618" s="1199">
        <f t="shared" si="40"/>
        <v>52.23</v>
      </c>
    </row>
    <row r="2619" spans="1:5">
      <c r="A2619" s="1003" t="s">
        <v>9984</v>
      </c>
      <c r="B2619" s="1003" t="s">
        <v>9985</v>
      </c>
      <c r="C2619" s="1199" t="s">
        <v>1615</v>
      </c>
      <c r="D2619" s="1199">
        <v>81.55</v>
      </c>
      <c r="E2619" s="1199">
        <f t="shared" si="40"/>
        <v>68.239999999999995</v>
      </c>
    </row>
    <row r="2620" spans="1:5">
      <c r="A2620" s="1003" t="s">
        <v>9986</v>
      </c>
      <c r="B2620" s="1003" t="s">
        <v>4403</v>
      </c>
      <c r="C2620" s="1199" t="s">
        <v>1615</v>
      </c>
      <c r="D2620" s="1199">
        <v>53.28</v>
      </c>
      <c r="E2620" s="1199">
        <f t="shared" si="40"/>
        <v>44.59</v>
      </c>
    </row>
    <row r="2621" spans="1:5">
      <c r="A2621" s="1003" t="s">
        <v>9987</v>
      </c>
      <c r="B2621" s="1003" t="s">
        <v>4406</v>
      </c>
      <c r="C2621" s="1199" t="s">
        <v>1615</v>
      </c>
      <c r="D2621" s="1199">
        <v>59.71</v>
      </c>
      <c r="E2621" s="1199">
        <f t="shared" si="40"/>
        <v>49.97</v>
      </c>
    </row>
    <row r="2622" spans="1:5">
      <c r="A2622" s="1003" t="s">
        <v>9988</v>
      </c>
      <c r="B2622" s="1003" t="s">
        <v>4408</v>
      </c>
      <c r="C2622" s="1199" t="s">
        <v>1240</v>
      </c>
      <c r="D2622" s="1199">
        <v>123.87</v>
      </c>
      <c r="E2622" s="1199">
        <f t="shared" si="40"/>
        <v>103.66</v>
      </c>
    </row>
    <row r="2623" spans="1:5">
      <c r="A2623" s="1003" t="s">
        <v>9989</v>
      </c>
      <c r="B2623" s="1003" t="s">
        <v>4410</v>
      </c>
      <c r="C2623" s="1199" t="s">
        <v>1240</v>
      </c>
      <c r="D2623" s="1199">
        <v>103.53</v>
      </c>
      <c r="E2623" s="1199">
        <f t="shared" si="40"/>
        <v>86.64</v>
      </c>
    </row>
    <row r="2624" spans="1:5">
      <c r="A2624" s="1003" t="s">
        <v>9990</v>
      </c>
      <c r="B2624" s="1003" t="s">
        <v>4411</v>
      </c>
      <c r="C2624" s="1199" t="s">
        <v>1240</v>
      </c>
      <c r="D2624" s="1199">
        <v>161.9</v>
      </c>
      <c r="E2624" s="1199">
        <f t="shared" si="40"/>
        <v>135.47999999999999</v>
      </c>
    </row>
    <row r="2625" spans="1:5">
      <c r="A2625" s="1003" t="s">
        <v>9991</v>
      </c>
      <c r="B2625" s="1003" t="s">
        <v>9992</v>
      </c>
      <c r="C2625" s="1199" t="s">
        <v>1240</v>
      </c>
      <c r="D2625" s="1199">
        <v>224.69</v>
      </c>
      <c r="E2625" s="1199">
        <f t="shared" si="40"/>
        <v>188.03</v>
      </c>
    </row>
    <row r="2626" spans="1:5">
      <c r="A2626" s="1003" t="s">
        <v>9993</v>
      </c>
      <c r="B2626" s="1003" t="s">
        <v>9994</v>
      </c>
      <c r="C2626" s="1199" t="s">
        <v>1240</v>
      </c>
      <c r="D2626" s="1199">
        <v>124.09</v>
      </c>
      <c r="E2626" s="1199">
        <f t="shared" si="40"/>
        <v>103.84</v>
      </c>
    </row>
    <row r="2627" spans="1:5">
      <c r="A2627" s="1003" t="s">
        <v>9995</v>
      </c>
      <c r="B2627" s="1003" t="s">
        <v>4415</v>
      </c>
      <c r="C2627" s="1199" t="s">
        <v>1240</v>
      </c>
      <c r="D2627" s="1199">
        <v>123.61</v>
      </c>
      <c r="E2627" s="1199">
        <f t="shared" si="40"/>
        <v>103.44</v>
      </c>
    </row>
    <row r="2628" spans="1:5">
      <c r="A2628" s="1003" t="s">
        <v>9996</v>
      </c>
      <c r="B2628" s="1003" t="s">
        <v>4416</v>
      </c>
      <c r="C2628" s="1199" t="s">
        <v>1240</v>
      </c>
      <c r="D2628" s="1199">
        <v>168.76</v>
      </c>
      <c r="E2628" s="1199">
        <f t="shared" ref="E2628:E2691" si="41">ROUND(D2628/1.195,2)</f>
        <v>141.22</v>
      </c>
    </row>
    <row r="2629" spans="1:5">
      <c r="A2629" s="1003" t="s">
        <v>9997</v>
      </c>
      <c r="B2629" s="1003" t="s">
        <v>4418</v>
      </c>
      <c r="C2629" s="1199" t="s">
        <v>1240</v>
      </c>
      <c r="D2629" s="1199">
        <v>94.74</v>
      </c>
      <c r="E2629" s="1199">
        <f t="shared" si="41"/>
        <v>79.28</v>
      </c>
    </row>
    <row r="2630" spans="1:5">
      <c r="A2630" s="1003" t="s">
        <v>9998</v>
      </c>
      <c r="B2630" s="1003" t="s">
        <v>9999</v>
      </c>
      <c r="C2630" s="1199" t="s">
        <v>1652</v>
      </c>
      <c r="D2630" s="1199">
        <v>637.01</v>
      </c>
      <c r="E2630" s="1199">
        <f t="shared" si="41"/>
        <v>533.05999999999995</v>
      </c>
    </row>
    <row r="2631" spans="1:5">
      <c r="A2631" s="1003" t="s">
        <v>10000</v>
      </c>
      <c r="B2631" s="1003" t="s">
        <v>10001</v>
      </c>
      <c r="C2631" s="1199" t="s">
        <v>1615</v>
      </c>
      <c r="D2631" s="1199">
        <v>64.39</v>
      </c>
      <c r="E2631" s="1199">
        <f t="shared" si="41"/>
        <v>53.88</v>
      </c>
    </row>
    <row r="2632" spans="1:5">
      <c r="A2632" s="1003" t="s">
        <v>10002</v>
      </c>
      <c r="B2632" s="1003" t="s">
        <v>10003</v>
      </c>
      <c r="C2632" s="1199" t="s">
        <v>1240</v>
      </c>
      <c r="D2632" s="1199">
        <v>291.82</v>
      </c>
      <c r="E2632" s="1199">
        <f t="shared" si="41"/>
        <v>244.2</v>
      </c>
    </row>
    <row r="2633" spans="1:5">
      <c r="A2633" s="1003" t="s">
        <v>10004</v>
      </c>
      <c r="B2633" s="1003" t="s">
        <v>10005</v>
      </c>
      <c r="C2633" s="1199" t="s">
        <v>1240</v>
      </c>
      <c r="D2633" s="1199">
        <v>325.51</v>
      </c>
      <c r="E2633" s="1199">
        <f t="shared" si="41"/>
        <v>272.39</v>
      </c>
    </row>
    <row r="2634" spans="1:5">
      <c r="A2634" s="1003" t="s">
        <v>10006</v>
      </c>
      <c r="B2634" s="1003" t="s">
        <v>10007</v>
      </c>
      <c r="C2634" s="1199" t="s">
        <v>1240</v>
      </c>
      <c r="D2634" s="1199">
        <v>153.63</v>
      </c>
      <c r="E2634" s="1199">
        <f t="shared" si="41"/>
        <v>128.56</v>
      </c>
    </row>
    <row r="2635" spans="1:5">
      <c r="A2635" s="1003" t="s">
        <v>10008</v>
      </c>
      <c r="B2635" s="1003" t="s">
        <v>10009</v>
      </c>
      <c r="C2635" s="1199" t="s">
        <v>1240</v>
      </c>
      <c r="D2635" s="1199">
        <v>1150.96</v>
      </c>
      <c r="E2635" s="1199">
        <f t="shared" si="41"/>
        <v>963.15</v>
      </c>
    </row>
    <row r="2636" spans="1:5">
      <c r="A2636" s="1003" t="s">
        <v>10010</v>
      </c>
      <c r="B2636" s="1003" t="s">
        <v>10011</v>
      </c>
      <c r="C2636" s="1199" t="s">
        <v>1240</v>
      </c>
      <c r="D2636" s="1199">
        <v>102.26</v>
      </c>
      <c r="E2636" s="1199">
        <f t="shared" si="41"/>
        <v>85.57</v>
      </c>
    </row>
    <row r="2637" spans="1:5">
      <c r="A2637" s="1003" t="s">
        <v>10012</v>
      </c>
      <c r="B2637" s="1003" t="s">
        <v>10013</v>
      </c>
      <c r="C2637" s="1199" t="s">
        <v>1240</v>
      </c>
      <c r="D2637" s="1199">
        <v>119.87</v>
      </c>
      <c r="E2637" s="1199">
        <f t="shared" si="41"/>
        <v>100.31</v>
      </c>
    </row>
    <row r="2638" spans="1:5">
      <c r="A2638" s="1003" t="s">
        <v>10014</v>
      </c>
      <c r="B2638" s="1003" t="s">
        <v>10015</v>
      </c>
      <c r="C2638" s="1199" t="s">
        <v>1240</v>
      </c>
      <c r="D2638" s="1199">
        <v>224.06</v>
      </c>
      <c r="E2638" s="1199">
        <f t="shared" si="41"/>
        <v>187.5</v>
      </c>
    </row>
    <row r="2639" spans="1:5">
      <c r="A2639" s="1003" t="s">
        <v>10016</v>
      </c>
      <c r="B2639" s="1003" t="s">
        <v>10017</v>
      </c>
      <c r="C2639" s="1199" t="s">
        <v>1240</v>
      </c>
      <c r="D2639" s="1199">
        <v>816.96</v>
      </c>
      <c r="E2639" s="1199">
        <f t="shared" si="41"/>
        <v>683.65</v>
      </c>
    </row>
    <row r="2640" spans="1:5">
      <c r="A2640" s="1003" t="s">
        <v>10018</v>
      </c>
      <c r="B2640" s="1003" t="s">
        <v>10019</v>
      </c>
      <c r="C2640" s="1199" t="s">
        <v>1240</v>
      </c>
      <c r="D2640" s="1199">
        <v>293.33</v>
      </c>
      <c r="E2640" s="1199">
        <f t="shared" si="41"/>
        <v>245.46</v>
      </c>
    </row>
    <row r="2641" spans="1:5">
      <c r="A2641" s="1003" t="s">
        <v>10020</v>
      </c>
      <c r="B2641" s="1003" t="s">
        <v>10021</v>
      </c>
      <c r="C2641" s="1199" t="s">
        <v>1615</v>
      </c>
      <c r="D2641" s="1199">
        <v>68.8</v>
      </c>
      <c r="E2641" s="1199">
        <f t="shared" si="41"/>
        <v>57.57</v>
      </c>
    </row>
    <row r="2642" spans="1:5">
      <c r="A2642" s="1003" t="s">
        <v>10022</v>
      </c>
      <c r="B2642" s="1003" t="s">
        <v>10023</v>
      </c>
      <c r="C2642" s="1199" t="s">
        <v>1240</v>
      </c>
      <c r="D2642" s="1199">
        <v>144.32</v>
      </c>
      <c r="E2642" s="1199">
        <f t="shared" si="41"/>
        <v>120.77</v>
      </c>
    </row>
    <row r="2643" spans="1:5">
      <c r="A2643" s="1003" t="s">
        <v>10024</v>
      </c>
      <c r="B2643" s="1003" t="s">
        <v>10025</v>
      </c>
      <c r="C2643" s="1199" t="s">
        <v>1240</v>
      </c>
      <c r="D2643" s="1199">
        <v>842.97</v>
      </c>
      <c r="E2643" s="1199">
        <f t="shared" si="41"/>
        <v>705.41</v>
      </c>
    </row>
    <row r="2644" spans="1:5">
      <c r="A2644" s="1003" t="s">
        <v>10026</v>
      </c>
      <c r="B2644" s="1003" t="s">
        <v>10027</v>
      </c>
      <c r="C2644" s="1199" t="s">
        <v>1240</v>
      </c>
      <c r="D2644" s="1199">
        <v>103.7</v>
      </c>
      <c r="E2644" s="1199">
        <f t="shared" si="41"/>
        <v>86.78</v>
      </c>
    </row>
    <row r="2645" spans="1:5">
      <c r="A2645" s="1003" t="s">
        <v>10028</v>
      </c>
      <c r="B2645" s="1003" t="s">
        <v>10029</v>
      </c>
      <c r="C2645" s="1199" t="s">
        <v>1240</v>
      </c>
      <c r="D2645" s="1199">
        <v>296.45</v>
      </c>
      <c r="E2645" s="1199">
        <f t="shared" si="41"/>
        <v>248.08</v>
      </c>
    </row>
    <row r="2646" spans="1:5">
      <c r="A2646" s="1003" t="s">
        <v>10030</v>
      </c>
      <c r="B2646" s="1003" t="s">
        <v>10031</v>
      </c>
      <c r="C2646" s="1199" t="s">
        <v>1615</v>
      </c>
      <c r="D2646" s="1199">
        <v>305.82</v>
      </c>
      <c r="E2646" s="1199">
        <f t="shared" si="41"/>
        <v>255.92</v>
      </c>
    </row>
    <row r="2647" spans="1:5">
      <c r="A2647" s="1003" t="s">
        <v>10032</v>
      </c>
      <c r="B2647" s="1003" t="s">
        <v>10033</v>
      </c>
      <c r="C2647" s="1199" t="s">
        <v>1615</v>
      </c>
      <c r="D2647" s="1199">
        <v>341.77</v>
      </c>
      <c r="E2647" s="1199">
        <f t="shared" si="41"/>
        <v>286</v>
      </c>
    </row>
    <row r="2648" spans="1:5">
      <c r="A2648" s="1003" t="s">
        <v>10034</v>
      </c>
      <c r="B2648" s="1003" t="s">
        <v>10035</v>
      </c>
      <c r="C2648" s="1199" t="s">
        <v>1615</v>
      </c>
      <c r="D2648" s="1199">
        <v>383.5</v>
      </c>
      <c r="E2648" s="1199">
        <f t="shared" si="41"/>
        <v>320.92</v>
      </c>
    </row>
    <row r="2649" spans="1:5">
      <c r="A2649" s="1003" t="s">
        <v>10036</v>
      </c>
      <c r="B2649" s="1003" t="s">
        <v>10037</v>
      </c>
      <c r="C2649" s="1199" t="s">
        <v>1615</v>
      </c>
      <c r="D2649" s="1199">
        <v>330.21</v>
      </c>
      <c r="E2649" s="1199">
        <f t="shared" si="41"/>
        <v>276.33</v>
      </c>
    </row>
    <row r="2650" spans="1:5">
      <c r="A2650" s="1003" t="s">
        <v>10038</v>
      </c>
      <c r="B2650" s="1003" t="s">
        <v>10039</v>
      </c>
      <c r="C2650" s="1199" t="s">
        <v>1615</v>
      </c>
      <c r="D2650" s="1199">
        <v>390.64</v>
      </c>
      <c r="E2650" s="1199">
        <f t="shared" si="41"/>
        <v>326.89999999999998</v>
      </c>
    </row>
    <row r="2651" spans="1:5">
      <c r="A2651" s="1003" t="s">
        <v>10040</v>
      </c>
      <c r="B2651" s="1003" t="s">
        <v>10041</v>
      </c>
      <c r="C2651" s="1199" t="s">
        <v>1615</v>
      </c>
      <c r="D2651" s="1199">
        <v>339.25</v>
      </c>
      <c r="E2651" s="1199">
        <f t="shared" si="41"/>
        <v>283.89</v>
      </c>
    </row>
    <row r="2652" spans="1:5">
      <c r="A2652" s="1003" t="s">
        <v>10042</v>
      </c>
      <c r="B2652" s="1003" t="s">
        <v>10043</v>
      </c>
      <c r="C2652" s="1199" t="s">
        <v>1615</v>
      </c>
      <c r="D2652" s="1199">
        <v>371.48</v>
      </c>
      <c r="E2652" s="1199">
        <f t="shared" si="41"/>
        <v>310.86</v>
      </c>
    </row>
    <row r="2653" spans="1:5">
      <c r="A2653" s="1003" t="s">
        <v>10044</v>
      </c>
      <c r="B2653" s="1003" t="s">
        <v>10045</v>
      </c>
      <c r="C2653" s="1199" t="s">
        <v>1615</v>
      </c>
      <c r="D2653" s="1199">
        <v>386.18</v>
      </c>
      <c r="E2653" s="1199">
        <f t="shared" si="41"/>
        <v>323.16000000000003</v>
      </c>
    </row>
    <row r="2654" spans="1:5">
      <c r="A2654" s="1003" t="s">
        <v>10046</v>
      </c>
      <c r="B2654" s="1003" t="s">
        <v>10047</v>
      </c>
      <c r="C2654" s="1199" t="s">
        <v>1615</v>
      </c>
      <c r="D2654" s="1199">
        <v>30.98</v>
      </c>
      <c r="E2654" s="1199">
        <f t="shared" si="41"/>
        <v>25.92</v>
      </c>
    </row>
    <row r="2655" spans="1:5">
      <c r="A2655" s="1003" t="s">
        <v>10048</v>
      </c>
      <c r="B2655" s="1003" t="s">
        <v>10049</v>
      </c>
      <c r="C2655" s="1199" t="s">
        <v>1615</v>
      </c>
      <c r="D2655" s="1199">
        <v>34.19</v>
      </c>
      <c r="E2655" s="1199">
        <f t="shared" si="41"/>
        <v>28.61</v>
      </c>
    </row>
    <row r="2656" spans="1:5">
      <c r="A2656" s="1003" t="s">
        <v>10050</v>
      </c>
      <c r="B2656" s="1003" t="s">
        <v>10051</v>
      </c>
      <c r="C2656" s="1199" t="s">
        <v>1615</v>
      </c>
      <c r="D2656" s="1199">
        <v>30.98</v>
      </c>
      <c r="E2656" s="1199">
        <f t="shared" si="41"/>
        <v>25.92</v>
      </c>
    </row>
    <row r="2657" spans="1:5">
      <c r="A2657" s="1003" t="s">
        <v>10052</v>
      </c>
      <c r="B2657" s="1003" t="s">
        <v>10053</v>
      </c>
      <c r="C2657" s="1199" t="s">
        <v>1615</v>
      </c>
      <c r="D2657" s="1199">
        <v>29.97</v>
      </c>
      <c r="E2657" s="1199">
        <f t="shared" si="41"/>
        <v>25.08</v>
      </c>
    </row>
    <row r="2658" spans="1:5">
      <c r="A2658" s="1003" t="s">
        <v>10054</v>
      </c>
      <c r="B2658" s="1003" t="s">
        <v>10055</v>
      </c>
      <c r="C2658" s="1199" t="s">
        <v>1615</v>
      </c>
      <c r="D2658" s="1199">
        <v>44.48</v>
      </c>
      <c r="E2658" s="1199">
        <f t="shared" si="41"/>
        <v>37.22</v>
      </c>
    </row>
    <row r="2659" spans="1:5">
      <c r="A2659" s="1003" t="s">
        <v>10056</v>
      </c>
      <c r="B2659" s="1003" t="s">
        <v>10057</v>
      </c>
      <c r="C2659" s="1199" t="s">
        <v>1615</v>
      </c>
      <c r="D2659" s="1199">
        <v>32.049999999999997</v>
      </c>
      <c r="E2659" s="1199">
        <f t="shared" si="41"/>
        <v>26.82</v>
      </c>
    </row>
    <row r="2660" spans="1:5">
      <c r="A2660" s="1003" t="s">
        <v>10058</v>
      </c>
      <c r="B2660" s="1003" t="s">
        <v>10059</v>
      </c>
      <c r="C2660" s="1199" t="s">
        <v>1615</v>
      </c>
      <c r="D2660" s="1199">
        <v>29.63</v>
      </c>
      <c r="E2660" s="1199">
        <f t="shared" si="41"/>
        <v>24.79</v>
      </c>
    </row>
    <row r="2661" spans="1:5">
      <c r="A2661" s="1003" t="s">
        <v>10060</v>
      </c>
      <c r="B2661" s="1003" t="s">
        <v>10061</v>
      </c>
      <c r="C2661" s="1199" t="s">
        <v>1615</v>
      </c>
      <c r="D2661" s="1199">
        <v>29.85</v>
      </c>
      <c r="E2661" s="1199">
        <f t="shared" si="41"/>
        <v>24.98</v>
      </c>
    </row>
    <row r="2662" spans="1:5">
      <c r="A2662" s="1003" t="s">
        <v>10062</v>
      </c>
      <c r="B2662" s="1003" t="s">
        <v>10063</v>
      </c>
      <c r="C2662" s="1199" t="s">
        <v>1615</v>
      </c>
      <c r="D2662" s="1199">
        <v>76.72</v>
      </c>
      <c r="E2662" s="1199">
        <f t="shared" si="41"/>
        <v>64.2</v>
      </c>
    </row>
    <row r="2663" spans="1:5">
      <c r="A2663" s="1003" t="s">
        <v>10064</v>
      </c>
      <c r="B2663" s="1003" t="s">
        <v>10065</v>
      </c>
      <c r="C2663" s="1199" t="s">
        <v>1615</v>
      </c>
      <c r="D2663" s="1199">
        <v>90.58</v>
      </c>
      <c r="E2663" s="1199">
        <f t="shared" si="41"/>
        <v>75.8</v>
      </c>
    </row>
    <row r="2664" spans="1:5">
      <c r="A2664" s="1003" t="s">
        <v>10066</v>
      </c>
      <c r="B2664" s="1003" t="s">
        <v>10067</v>
      </c>
      <c r="C2664" s="1199" t="s">
        <v>1615</v>
      </c>
      <c r="D2664" s="1199">
        <v>125.82</v>
      </c>
      <c r="E2664" s="1199">
        <f t="shared" si="41"/>
        <v>105.29</v>
      </c>
    </row>
    <row r="2665" spans="1:5">
      <c r="A2665" s="1003" t="s">
        <v>10068</v>
      </c>
      <c r="B2665" s="1003" t="s">
        <v>10069</v>
      </c>
      <c r="C2665" s="1199" t="s">
        <v>1615</v>
      </c>
      <c r="D2665" s="1199">
        <v>113.94</v>
      </c>
      <c r="E2665" s="1199">
        <f t="shared" si="41"/>
        <v>95.35</v>
      </c>
    </row>
    <row r="2666" spans="1:5">
      <c r="A2666" s="1003" t="s">
        <v>10070</v>
      </c>
      <c r="B2666" s="1003" t="s">
        <v>10071</v>
      </c>
      <c r="C2666" s="1199" t="s">
        <v>1615</v>
      </c>
      <c r="D2666" s="1199">
        <v>67.34</v>
      </c>
      <c r="E2666" s="1199">
        <f t="shared" si="41"/>
        <v>56.35</v>
      </c>
    </row>
    <row r="2667" spans="1:5">
      <c r="A2667" s="1003" t="s">
        <v>10072</v>
      </c>
      <c r="B2667" s="1003" t="s">
        <v>10073</v>
      </c>
      <c r="C2667" s="1199" t="s">
        <v>1615</v>
      </c>
      <c r="D2667" s="1199">
        <v>177.12</v>
      </c>
      <c r="E2667" s="1199">
        <f t="shared" si="41"/>
        <v>148.22</v>
      </c>
    </row>
    <row r="2668" spans="1:5">
      <c r="A2668" s="1003" t="s">
        <v>10074</v>
      </c>
      <c r="B2668" s="1003" t="s">
        <v>10075</v>
      </c>
      <c r="C2668" s="1199" t="s">
        <v>1615</v>
      </c>
      <c r="D2668" s="1199">
        <v>177.56</v>
      </c>
      <c r="E2668" s="1199">
        <f t="shared" si="41"/>
        <v>148.59</v>
      </c>
    </row>
    <row r="2669" spans="1:5">
      <c r="A2669" s="1003" t="s">
        <v>10076</v>
      </c>
      <c r="B2669" s="1003" t="s">
        <v>10077</v>
      </c>
      <c r="C2669" s="1199" t="s">
        <v>1615</v>
      </c>
      <c r="D2669" s="1199">
        <v>180.85</v>
      </c>
      <c r="E2669" s="1199">
        <f t="shared" si="41"/>
        <v>151.34</v>
      </c>
    </row>
    <row r="2670" spans="1:5">
      <c r="A2670" s="1003" t="s">
        <v>10078</v>
      </c>
      <c r="B2670" s="1003" t="s">
        <v>10079</v>
      </c>
      <c r="C2670" s="1199" t="s">
        <v>1615</v>
      </c>
      <c r="D2670" s="1199">
        <v>355.05</v>
      </c>
      <c r="E2670" s="1199">
        <f t="shared" si="41"/>
        <v>297.11</v>
      </c>
    </row>
    <row r="2671" spans="1:5">
      <c r="A2671" s="1003" t="s">
        <v>10080</v>
      </c>
      <c r="B2671" s="1003" t="s">
        <v>10081</v>
      </c>
      <c r="C2671" s="1199" t="s">
        <v>1615</v>
      </c>
      <c r="D2671" s="1199">
        <v>323.11</v>
      </c>
      <c r="E2671" s="1199">
        <f t="shared" si="41"/>
        <v>270.38</v>
      </c>
    </row>
    <row r="2672" spans="1:5">
      <c r="A2672" s="1003" t="s">
        <v>10082</v>
      </c>
      <c r="B2672" s="1003" t="s">
        <v>10083</v>
      </c>
      <c r="C2672" s="1199" t="s">
        <v>1615</v>
      </c>
      <c r="D2672" s="1199">
        <v>315.41000000000003</v>
      </c>
      <c r="E2672" s="1199">
        <f t="shared" si="41"/>
        <v>263.94</v>
      </c>
    </row>
    <row r="2673" spans="1:5">
      <c r="A2673" s="1003" t="s">
        <v>10084</v>
      </c>
      <c r="B2673" s="1003" t="s">
        <v>10085</v>
      </c>
      <c r="C2673" s="1199" t="s">
        <v>1615</v>
      </c>
      <c r="D2673" s="1199">
        <v>321.54000000000002</v>
      </c>
      <c r="E2673" s="1199">
        <f t="shared" si="41"/>
        <v>269.07</v>
      </c>
    </row>
    <row r="2674" spans="1:5">
      <c r="A2674" s="1003" t="s">
        <v>10086</v>
      </c>
      <c r="B2674" s="1003" t="s">
        <v>10087</v>
      </c>
      <c r="C2674" s="1199" t="s">
        <v>1615</v>
      </c>
      <c r="D2674" s="1199">
        <v>396.52</v>
      </c>
      <c r="E2674" s="1199">
        <f t="shared" si="41"/>
        <v>331.82</v>
      </c>
    </row>
    <row r="2675" spans="1:5">
      <c r="A2675" s="1003" t="s">
        <v>10088</v>
      </c>
      <c r="B2675" s="1003" t="s">
        <v>10089</v>
      </c>
      <c r="C2675" s="1199" t="s">
        <v>1615</v>
      </c>
      <c r="D2675" s="1199">
        <v>330.03</v>
      </c>
      <c r="E2675" s="1199">
        <f t="shared" si="41"/>
        <v>276.18</v>
      </c>
    </row>
    <row r="2676" spans="1:5">
      <c r="A2676" s="1003" t="s">
        <v>10090</v>
      </c>
      <c r="B2676" s="1003" t="s">
        <v>10091</v>
      </c>
      <c r="C2676" s="1199" t="s">
        <v>1615</v>
      </c>
      <c r="D2676" s="1199">
        <v>335</v>
      </c>
      <c r="E2676" s="1199">
        <f t="shared" si="41"/>
        <v>280.33</v>
      </c>
    </row>
    <row r="2677" spans="1:5">
      <c r="A2677" s="1003" t="s">
        <v>10092</v>
      </c>
      <c r="B2677" s="1003" t="s">
        <v>10093</v>
      </c>
      <c r="C2677" s="1199" t="s">
        <v>1615</v>
      </c>
      <c r="D2677" s="1199">
        <v>350.44</v>
      </c>
      <c r="E2677" s="1199">
        <f t="shared" si="41"/>
        <v>293.26</v>
      </c>
    </row>
    <row r="2678" spans="1:5">
      <c r="A2678" s="1003" t="s">
        <v>10094</v>
      </c>
      <c r="B2678" s="1003" t="s">
        <v>10095</v>
      </c>
      <c r="C2678" s="1199" t="s">
        <v>1615</v>
      </c>
      <c r="D2678" s="1199">
        <v>334.19</v>
      </c>
      <c r="E2678" s="1199">
        <f t="shared" si="41"/>
        <v>279.66000000000003</v>
      </c>
    </row>
    <row r="2679" spans="1:5">
      <c r="A2679" s="1003" t="s">
        <v>10096</v>
      </c>
      <c r="B2679" s="1003" t="s">
        <v>10097</v>
      </c>
      <c r="C2679" s="1199" t="s">
        <v>1615</v>
      </c>
      <c r="D2679" s="1199">
        <v>314.89</v>
      </c>
      <c r="E2679" s="1199">
        <f t="shared" si="41"/>
        <v>263.51</v>
      </c>
    </row>
    <row r="2680" spans="1:5">
      <c r="A2680" s="1003" t="s">
        <v>10098</v>
      </c>
      <c r="B2680" s="1003" t="s">
        <v>10099</v>
      </c>
      <c r="C2680" s="1199" t="s">
        <v>1615</v>
      </c>
      <c r="D2680" s="1199">
        <v>361.4</v>
      </c>
      <c r="E2680" s="1199">
        <f t="shared" si="41"/>
        <v>302.43</v>
      </c>
    </row>
    <row r="2681" spans="1:5">
      <c r="A2681" s="1003" t="s">
        <v>10100</v>
      </c>
      <c r="B2681" s="1003" t="s">
        <v>10101</v>
      </c>
      <c r="C2681" s="1199" t="s">
        <v>1615</v>
      </c>
      <c r="D2681" s="1199">
        <v>339.72</v>
      </c>
      <c r="E2681" s="1199">
        <f t="shared" si="41"/>
        <v>284.27999999999997</v>
      </c>
    </row>
    <row r="2682" spans="1:5">
      <c r="A2682" s="1003" t="s">
        <v>10102</v>
      </c>
      <c r="B2682" s="1003" t="s">
        <v>10103</v>
      </c>
      <c r="C2682" s="1199" t="s">
        <v>1615</v>
      </c>
      <c r="D2682" s="1199">
        <v>351.64</v>
      </c>
      <c r="E2682" s="1199">
        <f t="shared" si="41"/>
        <v>294.26</v>
      </c>
    </row>
    <row r="2683" spans="1:5">
      <c r="A2683" s="1003" t="s">
        <v>10104</v>
      </c>
      <c r="B2683" s="1003" t="s">
        <v>10105</v>
      </c>
      <c r="C2683" s="1199" t="s">
        <v>1615</v>
      </c>
      <c r="D2683" s="1199">
        <v>323.55</v>
      </c>
      <c r="E2683" s="1199">
        <f t="shared" si="41"/>
        <v>270.75</v>
      </c>
    </row>
    <row r="2684" spans="1:5">
      <c r="A2684" s="1003" t="s">
        <v>10106</v>
      </c>
      <c r="B2684" s="1003" t="s">
        <v>10107</v>
      </c>
      <c r="C2684" s="1199" t="s">
        <v>1615</v>
      </c>
      <c r="D2684" s="1199">
        <v>330.03</v>
      </c>
      <c r="E2684" s="1199">
        <f t="shared" si="41"/>
        <v>276.18</v>
      </c>
    </row>
    <row r="2685" spans="1:5">
      <c r="A2685" s="1003" t="s">
        <v>10108</v>
      </c>
      <c r="B2685" s="1003" t="s">
        <v>10109</v>
      </c>
      <c r="C2685" s="1199" t="s">
        <v>1615</v>
      </c>
      <c r="D2685" s="1199">
        <v>339.19</v>
      </c>
      <c r="E2685" s="1199">
        <f t="shared" si="41"/>
        <v>283.83999999999997</v>
      </c>
    </row>
    <row r="2686" spans="1:5">
      <c r="A2686" s="1003" t="s">
        <v>10110</v>
      </c>
      <c r="B2686" s="1003" t="s">
        <v>10111</v>
      </c>
      <c r="C2686" s="1199" t="s">
        <v>1615</v>
      </c>
      <c r="D2686" s="1199">
        <v>293.01</v>
      </c>
      <c r="E2686" s="1199">
        <f t="shared" si="41"/>
        <v>245.2</v>
      </c>
    </row>
    <row r="2687" spans="1:5">
      <c r="A2687" s="1003" t="s">
        <v>10112</v>
      </c>
      <c r="B2687" s="1003" t="s">
        <v>10113</v>
      </c>
      <c r="C2687" s="1199" t="s">
        <v>1615</v>
      </c>
      <c r="D2687" s="1199">
        <v>329.51</v>
      </c>
      <c r="E2687" s="1199">
        <f t="shared" si="41"/>
        <v>275.74</v>
      </c>
    </row>
    <row r="2688" spans="1:5">
      <c r="A2688" s="1003" t="s">
        <v>10114</v>
      </c>
      <c r="B2688" s="1003" t="s">
        <v>10115</v>
      </c>
      <c r="C2688" s="1199" t="s">
        <v>1615</v>
      </c>
      <c r="D2688" s="1199">
        <v>326.17</v>
      </c>
      <c r="E2688" s="1199">
        <f t="shared" si="41"/>
        <v>272.95</v>
      </c>
    </row>
    <row r="2689" spans="1:5">
      <c r="A2689" s="1003" t="s">
        <v>10116</v>
      </c>
      <c r="B2689" s="1003" t="s">
        <v>10117</v>
      </c>
      <c r="C2689" s="1199" t="s">
        <v>1615</v>
      </c>
      <c r="D2689" s="1199">
        <v>554.12</v>
      </c>
      <c r="E2689" s="1199">
        <f t="shared" si="41"/>
        <v>463.7</v>
      </c>
    </row>
    <row r="2690" spans="1:5">
      <c r="A2690" s="1003" t="s">
        <v>10118</v>
      </c>
      <c r="B2690" s="1003" t="s">
        <v>10119</v>
      </c>
      <c r="C2690" s="1199" t="s">
        <v>1615</v>
      </c>
      <c r="D2690" s="1199">
        <v>334.75</v>
      </c>
      <c r="E2690" s="1199">
        <f t="shared" si="41"/>
        <v>280.13</v>
      </c>
    </row>
    <row r="2691" spans="1:5">
      <c r="A2691" s="1003" t="s">
        <v>10120</v>
      </c>
      <c r="B2691" s="1003" t="s">
        <v>10121</v>
      </c>
      <c r="C2691" s="1199" t="s">
        <v>1615</v>
      </c>
      <c r="D2691" s="1199">
        <v>297.61</v>
      </c>
      <c r="E2691" s="1199">
        <f t="shared" si="41"/>
        <v>249.05</v>
      </c>
    </row>
    <row r="2692" spans="1:5">
      <c r="A2692" s="1003" t="s">
        <v>10122</v>
      </c>
      <c r="B2692" s="1003" t="s">
        <v>10123</v>
      </c>
      <c r="C2692" s="1199" t="s">
        <v>1615</v>
      </c>
      <c r="D2692" s="1199">
        <v>327.89</v>
      </c>
      <c r="E2692" s="1199">
        <f t="shared" ref="E2692:E2755" si="42">ROUND(D2692/1.195,2)</f>
        <v>274.38</v>
      </c>
    </row>
    <row r="2693" spans="1:5">
      <c r="A2693" s="1003" t="s">
        <v>10124</v>
      </c>
      <c r="B2693" s="1003" t="s">
        <v>10125</v>
      </c>
      <c r="C2693" s="1199" t="s">
        <v>1615</v>
      </c>
      <c r="D2693" s="1199">
        <v>330.03</v>
      </c>
      <c r="E2693" s="1199">
        <f t="shared" si="42"/>
        <v>276.18</v>
      </c>
    </row>
    <row r="2694" spans="1:5">
      <c r="A2694" s="1003" t="s">
        <v>10126</v>
      </c>
      <c r="B2694" s="1003" t="s">
        <v>10127</v>
      </c>
      <c r="C2694" s="1199" t="s">
        <v>1615</v>
      </c>
      <c r="D2694" s="1199">
        <v>293.97000000000003</v>
      </c>
      <c r="E2694" s="1199">
        <f t="shared" si="42"/>
        <v>246</v>
      </c>
    </row>
    <row r="2695" spans="1:5">
      <c r="A2695" s="1003" t="s">
        <v>10128</v>
      </c>
      <c r="B2695" s="1003" t="s">
        <v>10129</v>
      </c>
      <c r="C2695" s="1199" t="s">
        <v>1615</v>
      </c>
      <c r="D2695" s="1199">
        <v>342.02</v>
      </c>
      <c r="E2695" s="1199">
        <f t="shared" si="42"/>
        <v>286.20999999999998</v>
      </c>
    </row>
    <row r="2696" spans="1:5">
      <c r="A2696" s="1003" t="s">
        <v>10130</v>
      </c>
      <c r="B2696" s="1003" t="s">
        <v>10131</v>
      </c>
      <c r="C2696" s="1199" t="s">
        <v>1615</v>
      </c>
      <c r="D2696" s="1199">
        <v>342.02</v>
      </c>
      <c r="E2696" s="1199">
        <f t="shared" si="42"/>
        <v>286.20999999999998</v>
      </c>
    </row>
    <row r="2697" spans="1:5">
      <c r="A2697" s="1003" t="s">
        <v>10132</v>
      </c>
      <c r="B2697" s="1003" t="s">
        <v>10133</v>
      </c>
      <c r="C2697" s="1199" t="s">
        <v>1615</v>
      </c>
      <c r="D2697" s="1199">
        <v>323.11</v>
      </c>
      <c r="E2697" s="1199">
        <f t="shared" si="42"/>
        <v>270.38</v>
      </c>
    </row>
    <row r="2698" spans="1:5">
      <c r="A2698" s="1003" t="s">
        <v>10134</v>
      </c>
      <c r="B2698" s="1003" t="s">
        <v>10135</v>
      </c>
      <c r="C2698" s="1199" t="s">
        <v>1615</v>
      </c>
      <c r="D2698" s="1199">
        <v>353.85</v>
      </c>
      <c r="E2698" s="1199">
        <f t="shared" si="42"/>
        <v>296.11</v>
      </c>
    </row>
    <row r="2699" spans="1:5">
      <c r="A2699" s="1003" t="s">
        <v>10136</v>
      </c>
      <c r="B2699" s="1003" t="s">
        <v>10137</v>
      </c>
      <c r="C2699" s="1199" t="s">
        <v>1615</v>
      </c>
      <c r="D2699" s="1199">
        <v>323.11</v>
      </c>
      <c r="E2699" s="1199">
        <f t="shared" si="42"/>
        <v>270.38</v>
      </c>
    </row>
    <row r="2700" spans="1:5">
      <c r="A2700" s="1003" t="s">
        <v>10138</v>
      </c>
      <c r="B2700" s="1003" t="s">
        <v>10139</v>
      </c>
      <c r="C2700" s="1199" t="s">
        <v>1615</v>
      </c>
      <c r="D2700" s="1199">
        <v>309.32</v>
      </c>
      <c r="E2700" s="1199">
        <f t="shared" si="42"/>
        <v>258.85000000000002</v>
      </c>
    </row>
    <row r="2701" spans="1:5">
      <c r="A2701" s="1003" t="s">
        <v>10140</v>
      </c>
      <c r="B2701" s="1003" t="s">
        <v>10141</v>
      </c>
      <c r="C2701" s="1199" t="s">
        <v>1615</v>
      </c>
      <c r="D2701" s="1199">
        <v>361.01</v>
      </c>
      <c r="E2701" s="1199">
        <f t="shared" si="42"/>
        <v>302.10000000000002</v>
      </c>
    </row>
    <row r="2702" spans="1:5">
      <c r="A2702" s="1003" t="s">
        <v>10142</v>
      </c>
      <c r="B2702" s="1003" t="s">
        <v>10143</v>
      </c>
      <c r="C2702" s="1199" t="s">
        <v>1615</v>
      </c>
      <c r="D2702" s="1199">
        <v>321.73</v>
      </c>
      <c r="E2702" s="1199">
        <f t="shared" si="42"/>
        <v>269.23</v>
      </c>
    </row>
    <row r="2703" spans="1:5">
      <c r="A2703" s="1003" t="s">
        <v>10144</v>
      </c>
      <c r="B2703" s="1003" t="s">
        <v>10145</v>
      </c>
      <c r="C2703" s="1199" t="s">
        <v>1615</v>
      </c>
      <c r="D2703" s="1199">
        <v>74.28</v>
      </c>
      <c r="E2703" s="1199">
        <f t="shared" si="42"/>
        <v>62.16</v>
      </c>
    </row>
    <row r="2704" spans="1:5">
      <c r="A2704" s="1003" t="s">
        <v>10146</v>
      </c>
      <c r="B2704" s="1003" t="s">
        <v>10147</v>
      </c>
      <c r="C2704" s="1199" t="s">
        <v>1615</v>
      </c>
      <c r="D2704" s="1199">
        <v>95.79</v>
      </c>
      <c r="E2704" s="1199">
        <f t="shared" si="42"/>
        <v>80.16</v>
      </c>
    </row>
    <row r="2705" spans="1:5">
      <c r="A2705" s="1003" t="s">
        <v>10148</v>
      </c>
      <c r="B2705" s="1003" t="s">
        <v>10149</v>
      </c>
      <c r="C2705" s="1199" t="s">
        <v>1615</v>
      </c>
      <c r="D2705" s="1199">
        <v>65.31</v>
      </c>
      <c r="E2705" s="1199">
        <f t="shared" si="42"/>
        <v>54.65</v>
      </c>
    </row>
    <row r="2706" spans="1:5">
      <c r="A2706" s="1003" t="s">
        <v>10150</v>
      </c>
      <c r="B2706" s="1003" t="s">
        <v>10151</v>
      </c>
      <c r="C2706" s="1199" t="s">
        <v>1240</v>
      </c>
      <c r="D2706" s="1199">
        <v>316.18</v>
      </c>
      <c r="E2706" s="1199">
        <f t="shared" si="42"/>
        <v>264.58999999999997</v>
      </c>
    </row>
    <row r="2707" spans="1:5">
      <c r="A2707" s="1003" t="s">
        <v>10152</v>
      </c>
      <c r="B2707" s="1003" t="s">
        <v>10153</v>
      </c>
      <c r="C2707" s="1199" t="s">
        <v>1615</v>
      </c>
      <c r="D2707" s="1199">
        <v>174.75</v>
      </c>
      <c r="E2707" s="1199">
        <f t="shared" si="42"/>
        <v>146.22999999999999</v>
      </c>
    </row>
    <row r="2708" spans="1:5">
      <c r="A2708" s="1003" t="s">
        <v>10154</v>
      </c>
      <c r="B2708" s="1003" t="s">
        <v>10155</v>
      </c>
      <c r="C2708" s="1199" t="s">
        <v>1240</v>
      </c>
      <c r="D2708" s="1199">
        <v>162.19</v>
      </c>
      <c r="E2708" s="1199">
        <f t="shared" si="42"/>
        <v>135.72</v>
      </c>
    </row>
    <row r="2709" spans="1:5">
      <c r="A2709" s="1003" t="s">
        <v>10156</v>
      </c>
      <c r="B2709" s="1003" t="s">
        <v>10157</v>
      </c>
      <c r="C2709" s="1199" t="s">
        <v>1615</v>
      </c>
      <c r="D2709" s="1199">
        <v>54.61</v>
      </c>
      <c r="E2709" s="1199">
        <f t="shared" si="42"/>
        <v>45.7</v>
      </c>
    </row>
    <row r="2710" spans="1:5">
      <c r="A2710" s="1003" t="s">
        <v>10158</v>
      </c>
      <c r="B2710" s="1003" t="s">
        <v>10159</v>
      </c>
      <c r="C2710" s="1199" t="s">
        <v>1615</v>
      </c>
      <c r="D2710" s="1199">
        <v>85.47</v>
      </c>
      <c r="E2710" s="1199">
        <f t="shared" si="42"/>
        <v>71.52</v>
      </c>
    </row>
    <row r="2711" spans="1:5">
      <c r="A2711" s="1003" t="s">
        <v>10160</v>
      </c>
      <c r="B2711" s="1003" t="s">
        <v>10161</v>
      </c>
      <c r="C2711" s="1199" t="s">
        <v>1615</v>
      </c>
      <c r="D2711" s="1199">
        <v>77.680000000000007</v>
      </c>
      <c r="E2711" s="1199">
        <f t="shared" si="42"/>
        <v>65</v>
      </c>
    </row>
    <row r="2712" spans="1:5">
      <c r="A2712" s="1003" t="s">
        <v>10162</v>
      </c>
      <c r="B2712" s="1003" t="s">
        <v>10163</v>
      </c>
      <c r="C2712" s="1199" t="s">
        <v>1240</v>
      </c>
      <c r="D2712" s="1199">
        <v>628.05999999999995</v>
      </c>
      <c r="E2712" s="1199">
        <f t="shared" si="42"/>
        <v>525.57000000000005</v>
      </c>
    </row>
    <row r="2713" spans="1:5">
      <c r="A2713" s="1003" t="s">
        <v>10164</v>
      </c>
      <c r="B2713" s="1003" t="s">
        <v>10165</v>
      </c>
      <c r="C2713" s="1199" t="s">
        <v>1615</v>
      </c>
      <c r="D2713" s="1199">
        <v>89.63</v>
      </c>
      <c r="E2713" s="1199">
        <f t="shared" si="42"/>
        <v>75</v>
      </c>
    </row>
    <row r="2714" spans="1:5">
      <c r="A2714" s="1003" t="s">
        <v>10166</v>
      </c>
      <c r="B2714" s="1003" t="s">
        <v>10167</v>
      </c>
      <c r="C2714" s="1199" t="s">
        <v>1615</v>
      </c>
      <c r="D2714" s="1199">
        <v>53.56</v>
      </c>
      <c r="E2714" s="1199">
        <f t="shared" si="42"/>
        <v>44.82</v>
      </c>
    </row>
    <row r="2715" spans="1:5">
      <c r="A2715" s="1003" t="s">
        <v>10168</v>
      </c>
      <c r="B2715" s="1003" t="s">
        <v>10169</v>
      </c>
      <c r="C2715" s="1199" t="s">
        <v>1615</v>
      </c>
      <c r="D2715" s="1199">
        <v>54.36</v>
      </c>
      <c r="E2715" s="1199">
        <f t="shared" si="42"/>
        <v>45.49</v>
      </c>
    </row>
    <row r="2716" spans="1:5">
      <c r="A2716" s="1003" t="s">
        <v>10170</v>
      </c>
      <c r="B2716" s="1003" t="s">
        <v>10171</v>
      </c>
      <c r="C2716" s="1199" t="s">
        <v>1615</v>
      </c>
      <c r="D2716" s="1199">
        <v>111.81</v>
      </c>
      <c r="E2716" s="1199">
        <f t="shared" si="42"/>
        <v>93.56</v>
      </c>
    </row>
    <row r="2717" spans="1:5">
      <c r="A2717" s="1003" t="s">
        <v>10172</v>
      </c>
      <c r="B2717" s="1003" t="s">
        <v>10173</v>
      </c>
      <c r="C2717" s="1199" t="s">
        <v>1615</v>
      </c>
      <c r="D2717" s="1199">
        <v>50.25</v>
      </c>
      <c r="E2717" s="1199">
        <f t="shared" si="42"/>
        <v>42.05</v>
      </c>
    </row>
    <row r="2718" spans="1:5">
      <c r="A2718" s="1003" t="s">
        <v>10174</v>
      </c>
      <c r="B2718" s="1003" t="s">
        <v>10175</v>
      </c>
      <c r="C2718" s="1199" t="s">
        <v>1240</v>
      </c>
      <c r="D2718" s="1199">
        <v>647.91999999999996</v>
      </c>
      <c r="E2718" s="1199">
        <f t="shared" si="42"/>
        <v>542.19000000000005</v>
      </c>
    </row>
    <row r="2719" spans="1:5">
      <c r="A2719" s="1003" t="s">
        <v>10176</v>
      </c>
      <c r="B2719" s="1003" t="s">
        <v>10177</v>
      </c>
      <c r="C2719" s="1199" t="s">
        <v>1615</v>
      </c>
      <c r="D2719" s="1199">
        <v>77.319999999999993</v>
      </c>
      <c r="E2719" s="1199">
        <f t="shared" si="42"/>
        <v>64.7</v>
      </c>
    </row>
    <row r="2720" spans="1:5">
      <c r="A2720" s="1003" t="s">
        <v>10178</v>
      </c>
      <c r="B2720" s="1003" t="s">
        <v>10179</v>
      </c>
      <c r="C2720" s="1199" t="s">
        <v>1615</v>
      </c>
      <c r="D2720" s="1199">
        <v>86.87</v>
      </c>
      <c r="E2720" s="1199">
        <f t="shared" si="42"/>
        <v>72.69</v>
      </c>
    </row>
    <row r="2721" spans="1:5">
      <c r="A2721" s="1003" t="s">
        <v>10180</v>
      </c>
      <c r="B2721" s="1003" t="s">
        <v>10181</v>
      </c>
      <c r="C2721" s="1199" t="s">
        <v>1615</v>
      </c>
      <c r="D2721" s="1199">
        <v>165.9</v>
      </c>
      <c r="E2721" s="1199">
        <f t="shared" si="42"/>
        <v>138.83000000000001</v>
      </c>
    </row>
    <row r="2722" spans="1:5">
      <c r="A2722" s="1003" t="s">
        <v>10182</v>
      </c>
      <c r="B2722" s="1003" t="s">
        <v>10183</v>
      </c>
      <c r="C2722" s="1199" t="s">
        <v>1615</v>
      </c>
      <c r="D2722" s="1199">
        <v>74.53</v>
      </c>
      <c r="E2722" s="1199">
        <f t="shared" si="42"/>
        <v>62.37</v>
      </c>
    </row>
    <row r="2723" spans="1:5">
      <c r="A2723" s="1003" t="s">
        <v>10184</v>
      </c>
      <c r="B2723" s="1003" t="s">
        <v>10185</v>
      </c>
      <c r="C2723" s="1199" t="s">
        <v>1615</v>
      </c>
      <c r="D2723" s="1199">
        <v>77.34</v>
      </c>
      <c r="E2723" s="1199">
        <f t="shared" si="42"/>
        <v>64.72</v>
      </c>
    </row>
    <row r="2724" spans="1:5">
      <c r="A2724" s="1003" t="s">
        <v>10186</v>
      </c>
      <c r="B2724" s="1003" t="s">
        <v>10187</v>
      </c>
      <c r="C2724" s="1199" t="s">
        <v>1615</v>
      </c>
      <c r="D2724" s="1199">
        <v>75.48</v>
      </c>
      <c r="E2724" s="1199">
        <f t="shared" si="42"/>
        <v>63.16</v>
      </c>
    </row>
    <row r="2725" spans="1:5">
      <c r="A2725" s="1003" t="s">
        <v>10188</v>
      </c>
      <c r="B2725" s="1003" t="s">
        <v>10189</v>
      </c>
      <c r="C2725" s="1199" t="s">
        <v>1615</v>
      </c>
      <c r="D2725" s="1199">
        <v>57.18</v>
      </c>
      <c r="E2725" s="1199">
        <f t="shared" si="42"/>
        <v>47.85</v>
      </c>
    </row>
    <row r="2726" spans="1:5">
      <c r="A2726" s="1003" t="s">
        <v>10190</v>
      </c>
      <c r="B2726" s="1003" t="s">
        <v>10191</v>
      </c>
      <c r="C2726" s="1199" t="s">
        <v>1615</v>
      </c>
      <c r="D2726" s="1199">
        <v>319.2</v>
      </c>
      <c r="E2726" s="1199">
        <f t="shared" si="42"/>
        <v>267.11</v>
      </c>
    </row>
    <row r="2727" spans="1:5">
      <c r="A2727" s="1003" t="s">
        <v>10192</v>
      </c>
      <c r="B2727" s="1003" t="s">
        <v>10193</v>
      </c>
      <c r="C2727" s="1199" t="s">
        <v>1615</v>
      </c>
      <c r="D2727" s="1199">
        <v>657.86</v>
      </c>
      <c r="E2727" s="1199">
        <f t="shared" si="42"/>
        <v>550.51</v>
      </c>
    </row>
    <row r="2728" spans="1:5">
      <c r="A2728" s="1003" t="s">
        <v>10194</v>
      </c>
      <c r="B2728" s="1003" t="s">
        <v>10195</v>
      </c>
      <c r="C2728" s="1199" t="s">
        <v>1615</v>
      </c>
      <c r="D2728" s="1199">
        <v>338.22</v>
      </c>
      <c r="E2728" s="1199">
        <f t="shared" si="42"/>
        <v>283.02999999999997</v>
      </c>
    </row>
    <row r="2729" spans="1:5">
      <c r="A2729" s="1003" t="s">
        <v>10196</v>
      </c>
      <c r="B2729" s="1003" t="s">
        <v>10197</v>
      </c>
      <c r="C2729" s="1199" t="s">
        <v>1615</v>
      </c>
      <c r="D2729" s="1199">
        <v>395.7</v>
      </c>
      <c r="E2729" s="1199">
        <f t="shared" si="42"/>
        <v>331.13</v>
      </c>
    </row>
    <row r="2730" spans="1:5">
      <c r="A2730" s="1003" t="s">
        <v>10198</v>
      </c>
      <c r="B2730" s="1003" t="s">
        <v>10199</v>
      </c>
      <c r="C2730" s="1199" t="s">
        <v>1615</v>
      </c>
      <c r="D2730" s="1199">
        <v>479.21</v>
      </c>
      <c r="E2730" s="1199">
        <f t="shared" si="42"/>
        <v>401.01</v>
      </c>
    </row>
    <row r="2731" spans="1:5">
      <c r="A2731" s="1003" t="s">
        <v>10200</v>
      </c>
      <c r="B2731" s="1003" t="s">
        <v>10201</v>
      </c>
      <c r="C2731" s="1199" t="s">
        <v>1615</v>
      </c>
      <c r="D2731" s="1199">
        <v>375.57</v>
      </c>
      <c r="E2731" s="1199">
        <f t="shared" si="42"/>
        <v>314.27999999999997</v>
      </c>
    </row>
    <row r="2732" spans="1:5">
      <c r="A2732" s="1003" t="s">
        <v>10202</v>
      </c>
      <c r="B2732" s="1003" t="s">
        <v>10203</v>
      </c>
      <c r="C2732" s="1199" t="s">
        <v>1615</v>
      </c>
      <c r="D2732" s="1199">
        <v>658.69</v>
      </c>
      <c r="E2732" s="1199">
        <f t="shared" si="42"/>
        <v>551.21</v>
      </c>
    </row>
    <row r="2733" spans="1:5">
      <c r="A2733" s="1003" t="s">
        <v>10204</v>
      </c>
      <c r="B2733" s="1003" t="s">
        <v>10205</v>
      </c>
      <c r="C2733" s="1199" t="s">
        <v>1615</v>
      </c>
      <c r="D2733" s="1199">
        <v>423.03</v>
      </c>
      <c r="E2733" s="1199">
        <f t="shared" si="42"/>
        <v>354</v>
      </c>
    </row>
    <row r="2734" spans="1:5">
      <c r="A2734" s="1003" t="s">
        <v>10206</v>
      </c>
      <c r="B2734" s="1003" t="s">
        <v>10207</v>
      </c>
      <c r="C2734" s="1199" t="s">
        <v>1615</v>
      </c>
      <c r="D2734" s="1199">
        <v>327.13</v>
      </c>
      <c r="E2734" s="1199">
        <f t="shared" si="42"/>
        <v>273.75</v>
      </c>
    </row>
    <row r="2735" spans="1:5">
      <c r="A2735" s="1003" t="s">
        <v>10208</v>
      </c>
      <c r="B2735" s="1003" t="s">
        <v>10209</v>
      </c>
      <c r="C2735" s="1199" t="s">
        <v>1615</v>
      </c>
      <c r="D2735" s="1199">
        <v>502.88</v>
      </c>
      <c r="E2735" s="1199">
        <f t="shared" si="42"/>
        <v>420.82</v>
      </c>
    </row>
    <row r="2736" spans="1:5">
      <c r="A2736" s="1003" t="s">
        <v>10210</v>
      </c>
      <c r="B2736" s="1003" t="s">
        <v>10211</v>
      </c>
      <c r="C2736" s="1199" t="s">
        <v>1615</v>
      </c>
      <c r="D2736" s="1199">
        <v>405.77</v>
      </c>
      <c r="E2736" s="1199">
        <f t="shared" si="42"/>
        <v>339.56</v>
      </c>
    </row>
    <row r="2737" spans="1:5">
      <c r="A2737" s="1003" t="s">
        <v>10212</v>
      </c>
      <c r="B2737" s="1003" t="s">
        <v>10213</v>
      </c>
      <c r="C2737" s="1199" t="s">
        <v>1615</v>
      </c>
      <c r="D2737" s="1199">
        <v>482.15</v>
      </c>
      <c r="E2737" s="1199">
        <f t="shared" si="42"/>
        <v>403.47</v>
      </c>
    </row>
    <row r="2738" spans="1:5">
      <c r="A2738" s="1003" t="s">
        <v>10214</v>
      </c>
      <c r="B2738" s="1003" t="s">
        <v>10215</v>
      </c>
      <c r="C2738" s="1199" t="s">
        <v>1615</v>
      </c>
      <c r="D2738" s="1199">
        <v>73.599999999999994</v>
      </c>
      <c r="E2738" s="1199">
        <f t="shared" si="42"/>
        <v>61.59</v>
      </c>
    </row>
    <row r="2739" spans="1:5">
      <c r="A2739" s="1003" t="s">
        <v>10216</v>
      </c>
      <c r="B2739" s="1003" t="s">
        <v>10217</v>
      </c>
      <c r="C2739" s="1199" t="s">
        <v>1615</v>
      </c>
      <c r="D2739" s="1199">
        <v>86.71</v>
      </c>
      <c r="E2739" s="1199">
        <f t="shared" si="42"/>
        <v>72.56</v>
      </c>
    </row>
    <row r="2740" spans="1:5">
      <c r="A2740" s="1003" t="s">
        <v>10218</v>
      </c>
      <c r="B2740" s="1003" t="s">
        <v>10219</v>
      </c>
      <c r="C2740" s="1199" t="s">
        <v>1615</v>
      </c>
      <c r="D2740" s="1199">
        <v>90.79</v>
      </c>
      <c r="E2740" s="1199">
        <f t="shared" si="42"/>
        <v>75.97</v>
      </c>
    </row>
    <row r="2741" spans="1:5">
      <c r="A2741" s="1003" t="s">
        <v>10220</v>
      </c>
      <c r="B2741" s="1003" t="s">
        <v>10221</v>
      </c>
      <c r="C2741" s="1199" t="s">
        <v>1615</v>
      </c>
      <c r="D2741" s="1199">
        <v>292.95</v>
      </c>
      <c r="E2741" s="1199">
        <f t="shared" si="42"/>
        <v>245.15</v>
      </c>
    </row>
    <row r="2742" spans="1:5">
      <c r="A2742" s="1003" t="s">
        <v>10222</v>
      </c>
      <c r="B2742" s="1003" t="s">
        <v>10223</v>
      </c>
      <c r="C2742" s="1199" t="s">
        <v>1615</v>
      </c>
      <c r="D2742" s="1199">
        <v>332.79</v>
      </c>
      <c r="E2742" s="1199">
        <f t="shared" si="42"/>
        <v>278.49</v>
      </c>
    </row>
    <row r="2743" spans="1:5">
      <c r="A2743" s="1003" t="s">
        <v>10224</v>
      </c>
      <c r="B2743" s="1003" t="s">
        <v>10225</v>
      </c>
      <c r="C2743" s="1199" t="s">
        <v>1615</v>
      </c>
      <c r="D2743" s="1199">
        <v>366.05</v>
      </c>
      <c r="E2743" s="1199">
        <f t="shared" si="42"/>
        <v>306.32</v>
      </c>
    </row>
    <row r="2744" spans="1:5">
      <c r="A2744" s="1003" t="s">
        <v>10226</v>
      </c>
      <c r="B2744" s="1003" t="s">
        <v>10227</v>
      </c>
      <c r="C2744" s="1199" t="s">
        <v>1615</v>
      </c>
      <c r="D2744" s="1199">
        <v>894.3</v>
      </c>
      <c r="E2744" s="1199">
        <f t="shared" si="42"/>
        <v>748.37</v>
      </c>
    </row>
    <row r="2745" spans="1:5">
      <c r="A2745" s="1003" t="s">
        <v>10228</v>
      </c>
      <c r="B2745" s="1003" t="s">
        <v>10229</v>
      </c>
      <c r="C2745" s="1199" t="s">
        <v>1615</v>
      </c>
      <c r="D2745" s="1199">
        <v>900.26</v>
      </c>
      <c r="E2745" s="1199">
        <f t="shared" si="42"/>
        <v>753.36</v>
      </c>
    </row>
    <row r="2746" spans="1:5">
      <c r="A2746" s="1003" t="s">
        <v>10230</v>
      </c>
      <c r="B2746" s="1003" t="s">
        <v>10231</v>
      </c>
      <c r="C2746" s="1199" t="s">
        <v>1615</v>
      </c>
      <c r="D2746" s="1199">
        <v>2152.83</v>
      </c>
      <c r="E2746" s="1199">
        <f t="shared" si="42"/>
        <v>1801.53</v>
      </c>
    </row>
    <row r="2747" spans="1:5">
      <c r="A2747" s="1003" t="s">
        <v>10232</v>
      </c>
      <c r="B2747" s="1003" t="s">
        <v>10233</v>
      </c>
      <c r="C2747" s="1199" t="s">
        <v>1615</v>
      </c>
      <c r="D2747" s="1199">
        <v>3557.14</v>
      </c>
      <c r="E2747" s="1199">
        <f t="shared" si="42"/>
        <v>2976.69</v>
      </c>
    </row>
    <row r="2748" spans="1:5">
      <c r="A2748" s="1003" t="s">
        <v>10234</v>
      </c>
      <c r="B2748" s="1003" t="s">
        <v>10235</v>
      </c>
      <c r="C2748" s="1199" t="s">
        <v>1615</v>
      </c>
      <c r="D2748" s="1199">
        <v>221.2</v>
      </c>
      <c r="E2748" s="1199">
        <f t="shared" si="42"/>
        <v>185.1</v>
      </c>
    </row>
    <row r="2749" spans="1:5">
      <c r="A2749" s="1003" t="s">
        <v>10236</v>
      </c>
      <c r="B2749" s="1003" t="s">
        <v>10237</v>
      </c>
      <c r="C2749" s="1199" t="s">
        <v>1615</v>
      </c>
      <c r="D2749" s="1199">
        <v>1902.94</v>
      </c>
      <c r="E2749" s="1199">
        <f t="shared" si="42"/>
        <v>1592.42</v>
      </c>
    </row>
    <row r="2750" spans="1:5" ht="27.6">
      <c r="A2750" s="1003" t="s">
        <v>10238</v>
      </c>
      <c r="B2750" s="1003" t="s">
        <v>10239</v>
      </c>
      <c r="C2750" s="1199" t="s">
        <v>1615</v>
      </c>
      <c r="D2750" s="1199">
        <v>2784.53</v>
      </c>
      <c r="E2750" s="1199">
        <f t="shared" si="42"/>
        <v>2330.15</v>
      </c>
    </row>
    <row r="2751" spans="1:5" ht="27.6">
      <c r="A2751" s="1003" t="s">
        <v>10240</v>
      </c>
      <c r="B2751" s="1003" t="s">
        <v>10241</v>
      </c>
      <c r="C2751" s="1199" t="s">
        <v>1615</v>
      </c>
      <c r="D2751" s="1199">
        <v>4629.3100000000004</v>
      </c>
      <c r="E2751" s="1199">
        <f t="shared" si="42"/>
        <v>3873.9</v>
      </c>
    </row>
    <row r="2752" spans="1:5" ht="27.6">
      <c r="A2752" s="1003" t="s">
        <v>10242</v>
      </c>
      <c r="B2752" s="1003" t="s">
        <v>10243</v>
      </c>
      <c r="C2752" s="1199" t="s">
        <v>1615</v>
      </c>
      <c r="D2752" s="1199">
        <v>5853.22</v>
      </c>
      <c r="E2752" s="1199">
        <f t="shared" si="42"/>
        <v>4898.09</v>
      </c>
    </row>
    <row r="2753" spans="1:5" ht="27.6">
      <c r="A2753" s="1003" t="s">
        <v>10244</v>
      </c>
      <c r="B2753" s="1003" t="s">
        <v>10245</v>
      </c>
      <c r="C2753" s="1199" t="s">
        <v>1615</v>
      </c>
      <c r="D2753" s="1199">
        <v>18768.349999999999</v>
      </c>
      <c r="E2753" s="1199">
        <f t="shared" si="42"/>
        <v>15705.73</v>
      </c>
    </row>
    <row r="2754" spans="1:5">
      <c r="A2754" s="1003" t="s">
        <v>10246</v>
      </c>
      <c r="B2754" s="1003" t="s">
        <v>10247</v>
      </c>
      <c r="C2754" s="1199" t="s">
        <v>1615</v>
      </c>
      <c r="D2754" s="1199">
        <v>33.65</v>
      </c>
      <c r="E2754" s="1199">
        <f t="shared" si="42"/>
        <v>28.16</v>
      </c>
    </row>
    <row r="2755" spans="1:5">
      <c r="A2755" s="1003" t="s">
        <v>10248</v>
      </c>
      <c r="B2755" s="1003" t="s">
        <v>10249</v>
      </c>
      <c r="C2755" s="1199" t="s">
        <v>1615</v>
      </c>
      <c r="D2755" s="1199">
        <v>117.97</v>
      </c>
      <c r="E2755" s="1199">
        <f t="shared" si="42"/>
        <v>98.72</v>
      </c>
    </row>
    <row r="2756" spans="1:5">
      <c r="A2756" s="1003" t="s">
        <v>10250</v>
      </c>
      <c r="B2756" s="1003" t="s">
        <v>10251</v>
      </c>
      <c r="C2756" s="1199" t="s">
        <v>1615</v>
      </c>
      <c r="D2756" s="1199">
        <v>29.15</v>
      </c>
      <c r="E2756" s="1199">
        <f t="shared" ref="E2756:E2819" si="43">ROUND(D2756/1.195,2)</f>
        <v>24.39</v>
      </c>
    </row>
    <row r="2757" spans="1:5">
      <c r="A2757" s="1003" t="s">
        <v>10252</v>
      </c>
      <c r="B2757" s="1003" t="s">
        <v>10253</v>
      </c>
      <c r="C2757" s="1199" t="s">
        <v>1615</v>
      </c>
      <c r="D2757" s="1199">
        <v>366.39</v>
      </c>
      <c r="E2757" s="1199">
        <f t="shared" si="43"/>
        <v>306.60000000000002</v>
      </c>
    </row>
    <row r="2758" spans="1:5">
      <c r="A2758" s="1003" t="s">
        <v>10254</v>
      </c>
      <c r="B2758" s="1003" t="s">
        <v>10255</v>
      </c>
      <c r="C2758" s="1199" t="s">
        <v>1615</v>
      </c>
      <c r="D2758" s="1199">
        <v>305.89</v>
      </c>
      <c r="E2758" s="1199">
        <f t="shared" si="43"/>
        <v>255.97</v>
      </c>
    </row>
    <row r="2759" spans="1:5">
      <c r="A2759" s="1003" t="s">
        <v>10256</v>
      </c>
      <c r="B2759" s="1003" t="s">
        <v>10257</v>
      </c>
      <c r="C2759" s="1199" t="s">
        <v>1615</v>
      </c>
      <c r="D2759" s="1199">
        <v>256.23</v>
      </c>
      <c r="E2759" s="1199">
        <f t="shared" si="43"/>
        <v>214.42</v>
      </c>
    </row>
    <row r="2760" spans="1:5">
      <c r="A2760" s="1003" t="s">
        <v>10258</v>
      </c>
      <c r="B2760" s="1003" t="s">
        <v>10259</v>
      </c>
      <c r="C2760" s="1199" t="s">
        <v>1615</v>
      </c>
      <c r="D2760" s="1199">
        <v>849.99</v>
      </c>
      <c r="E2760" s="1199">
        <f t="shared" si="43"/>
        <v>711.29</v>
      </c>
    </row>
    <row r="2761" spans="1:5">
      <c r="A2761" s="1003" t="s">
        <v>10260</v>
      </c>
      <c r="B2761" s="1003" t="s">
        <v>10261</v>
      </c>
      <c r="C2761" s="1199" t="s">
        <v>1615</v>
      </c>
      <c r="D2761" s="1199">
        <v>543.04</v>
      </c>
      <c r="E2761" s="1199">
        <f t="shared" si="43"/>
        <v>454.43</v>
      </c>
    </row>
    <row r="2762" spans="1:5">
      <c r="A2762" s="1003" t="s">
        <v>10262</v>
      </c>
      <c r="B2762" s="1003" t="s">
        <v>10263</v>
      </c>
      <c r="C2762" s="1199" t="s">
        <v>1615</v>
      </c>
      <c r="D2762" s="1199">
        <v>797.84</v>
      </c>
      <c r="E2762" s="1199">
        <f t="shared" si="43"/>
        <v>667.65</v>
      </c>
    </row>
    <row r="2763" spans="1:5">
      <c r="A2763" s="1003" t="s">
        <v>10264</v>
      </c>
      <c r="B2763" s="1003" t="s">
        <v>10265</v>
      </c>
      <c r="C2763" s="1199" t="s">
        <v>1615</v>
      </c>
      <c r="D2763" s="1199">
        <v>381.38</v>
      </c>
      <c r="E2763" s="1199">
        <f t="shared" si="43"/>
        <v>319.14999999999998</v>
      </c>
    </row>
    <row r="2764" spans="1:5">
      <c r="A2764" s="1003" t="s">
        <v>10266</v>
      </c>
      <c r="B2764" s="1003" t="s">
        <v>10267</v>
      </c>
      <c r="C2764" s="1199" t="s">
        <v>1615</v>
      </c>
      <c r="D2764" s="1199">
        <v>332.15</v>
      </c>
      <c r="E2764" s="1199">
        <f t="shared" si="43"/>
        <v>277.95</v>
      </c>
    </row>
    <row r="2765" spans="1:5">
      <c r="A2765" s="1003" t="s">
        <v>992</v>
      </c>
      <c r="B2765" s="1003" t="s">
        <v>10268</v>
      </c>
      <c r="C2765" s="1199" t="s">
        <v>1615</v>
      </c>
      <c r="D2765" s="1199">
        <v>499.06</v>
      </c>
      <c r="E2765" s="1199">
        <f t="shared" si="43"/>
        <v>417.62</v>
      </c>
    </row>
    <row r="2766" spans="1:5">
      <c r="A2766" s="1003" t="s">
        <v>10269</v>
      </c>
      <c r="B2766" s="1003" t="s">
        <v>10270</v>
      </c>
      <c r="C2766" s="1199" t="s">
        <v>1615</v>
      </c>
      <c r="D2766" s="1199">
        <v>521.29999999999995</v>
      </c>
      <c r="E2766" s="1199">
        <f t="shared" si="43"/>
        <v>436.23</v>
      </c>
    </row>
    <row r="2767" spans="1:5">
      <c r="A2767" s="1003" t="s">
        <v>10271</v>
      </c>
      <c r="B2767" s="1003" t="s">
        <v>10272</v>
      </c>
      <c r="C2767" s="1199" t="s">
        <v>1615</v>
      </c>
      <c r="D2767" s="1199">
        <v>313.22000000000003</v>
      </c>
      <c r="E2767" s="1199">
        <f t="shared" si="43"/>
        <v>262.11</v>
      </c>
    </row>
    <row r="2768" spans="1:5">
      <c r="A2768" s="1003" t="s">
        <v>10273</v>
      </c>
      <c r="B2768" s="1003" t="s">
        <v>10274</v>
      </c>
      <c r="C2768" s="1199" t="s">
        <v>1615</v>
      </c>
      <c r="D2768" s="1199">
        <v>318.45</v>
      </c>
      <c r="E2768" s="1199">
        <f t="shared" si="43"/>
        <v>266.49</v>
      </c>
    </row>
    <row r="2769" spans="1:5">
      <c r="A2769" s="1003" t="s">
        <v>10275</v>
      </c>
      <c r="B2769" s="1003" t="s">
        <v>10276</v>
      </c>
      <c r="C2769" s="1199" t="s">
        <v>1615</v>
      </c>
      <c r="D2769" s="1199">
        <v>322.77</v>
      </c>
      <c r="E2769" s="1199">
        <f t="shared" si="43"/>
        <v>270.10000000000002</v>
      </c>
    </row>
    <row r="2770" spans="1:5">
      <c r="A2770" s="1003" t="s">
        <v>10277</v>
      </c>
      <c r="B2770" s="1003" t="s">
        <v>10278</v>
      </c>
      <c r="C2770" s="1199" t="s">
        <v>1615</v>
      </c>
      <c r="D2770" s="1199">
        <v>327.98</v>
      </c>
      <c r="E2770" s="1199">
        <f t="shared" si="43"/>
        <v>274.45999999999998</v>
      </c>
    </row>
    <row r="2771" spans="1:5">
      <c r="A2771" s="1003" t="s">
        <v>10279</v>
      </c>
      <c r="B2771" s="1003" t="s">
        <v>10280</v>
      </c>
      <c r="C2771" s="1199" t="s">
        <v>1615</v>
      </c>
      <c r="D2771" s="1199">
        <v>309.89999999999998</v>
      </c>
      <c r="E2771" s="1199">
        <f t="shared" si="43"/>
        <v>259.33</v>
      </c>
    </row>
    <row r="2772" spans="1:5">
      <c r="A2772" s="1003" t="s">
        <v>10281</v>
      </c>
      <c r="B2772" s="1003" t="s">
        <v>10282</v>
      </c>
      <c r="C2772" s="1199" t="s">
        <v>1615</v>
      </c>
      <c r="D2772" s="1199">
        <v>316.19</v>
      </c>
      <c r="E2772" s="1199">
        <f t="shared" si="43"/>
        <v>264.58999999999997</v>
      </c>
    </row>
    <row r="2773" spans="1:5">
      <c r="A2773" s="1003" t="s">
        <v>994</v>
      </c>
      <c r="B2773" s="1003" t="s">
        <v>10283</v>
      </c>
      <c r="C2773" s="1199" t="s">
        <v>1615</v>
      </c>
      <c r="D2773" s="1199">
        <v>275.98</v>
      </c>
      <c r="E2773" s="1199">
        <f t="shared" si="43"/>
        <v>230.95</v>
      </c>
    </row>
    <row r="2774" spans="1:5">
      <c r="A2774" s="1003" t="s">
        <v>10284</v>
      </c>
      <c r="B2774" s="1003" t="s">
        <v>10285</v>
      </c>
      <c r="C2774" s="1199" t="s">
        <v>1615</v>
      </c>
      <c r="D2774" s="1199">
        <v>273.25</v>
      </c>
      <c r="E2774" s="1199">
        <f t="shared" si="43"/>
        <v>228.66</v>
      </c>
    </row>
    <row r="2775" spans="1:5">
      <c r="A2775" s="1003" t="s">
        <v>10286</v>
      </c>
      <c r="B2775" s="1003" t="s">
        <v>10287</v>
      </c>
      <c r="C2775" s="1199" t="s">
        <v>1615</v>
      </c>
      <c r="D2775" s="1199">
        <v>300.62</v>
      </c>
      <c r="E2775" s="1199">
        <f t="shared" si="43"/>
        <v>251.56</v>
      </c>
    </row>
    <row r="2776" spans="1:5">
      <c r="A2776" s="1003" t="s">
        <v>10288</v>
      </c>
      <c r="B2776" s="1003" t="s">
        <v>10289</v>
      </c>
      <c r="C2776" s="1199" t="s">
        <v>1615</v>
      </c>
      <c r="D2776" s="1199">
        <v>320.56</v>
      </c>
      <c r="E2776" s="1199">
        <f t="shared" si="43"/>
        <v>268.25</v>
      </c>
    </row>
    <row r="2777" spans="1:5">
      <c r="A2777" s="1003" t="s">
        <v>10290</v>
      </c>
      <c r="B2777" s="1003" t="s">
        <v>10291</v>
      </c>
      <c r="C2777" s="1199" t="s">
        <v>1615</v>
      </c>
      <c r="D2777" s="1199">
        <v>318.54000000000002</v>
      </c>
      <c r="E2777" s="1199">
        <f t="shared" si="43"/>
        <v>266.56</v>
      </c>
    </row>
    <row r="2778" spans="1:5">
      <c r="A2778" s="1003" t="s">
        <v>10292</v>
      </c>
      <c r="B2778" s="1003" t="s">
        <v>10293</v>
      </c>
      <c r="C2778" s="1199" t="s">
        <v>1615</v>
      </c>
      <c r="D2778" s="1199">
        <v>1007.3</v>
      </c>
      <c r="E2778" s="1199">
        <f t="shared" si="43"/>
        <v>842.93</v>
      </c>
    </row>
    <row r="2779" spans="1:5">
      <c r="A2779" s="1003" t="s">
        <v>10294</v>
      </c>
      <c r="B2779" s="1003" t="s">
        <v>10295</v>
      </c>
      <c r="C2779" s="1199" t="s">
        <v>1615</v>
      </c>
      <c r="D2779" s="1199">
        <v>892.96</v>
      </c>
      <c r="E2779" s="1199">
        <f t="shared" si="43"/>
        <v>747.25</v>
      </c>
    </row>
    <row r="2780" spans="1:5">
      <c r="A2780" s="1003" t="s">
        <v>10296</v>
      </c>
      <c r="B2780" s="1003" t="s">
        <v>10297</v>
      </c>
      <c r="C2780" s="1199" t="s">
        <v>1615</v>
      </c>
      <c r="D2780" s="1199">
        <v>1055.01</v>
      </c>
      <c r="E2780" s="1199">
        <f t="shared" si="43"/>
        <v>882.85</v>
      </c>
    </row>
    <row r="2781" spans="1:5">
      <c r="A2781" s="1003" t="s">
        <v>10298</v>
      </c>
      <c r="B2781" s="1003" t="s">
        <v>4423</v>
      </c>
      <c r="C2781" s="1199" t="s">
        <v>2087</v>
      </c>
      <c r="D2781" s="1199">
        <v>2235.6799999999998</v>
      </c>
      <c r="E2781" s="1199">
        <f t="shared" si="43"/>
        <v>1870.86</v>
      </c>
    </row>
    <row r="2782" spans="1:5">
      <c r="A2782" s="1003" t="s">
        <v>10299</v>
      </c>
      <c r="B2782" s="1003" t="s">
        <v>4424</v>
      </c>
      <c r="C2782" s="1199" t="s">
        <v>1615</v>
      </c>
      <c r="D2782" s="1199">
        <v>2011.4</v>
      </c>
      <c r="E2782" s="1199">
        <f t="shared" si="43"/>
        <v>1683.18</v>
      </c>
    </row>
    <row r="2783" spans="1:5">
      <c r="A2783" s="1003" t="s">
        <v>10300</v>
      </c>
      <c r="B2783" s="1202" t="s">
        <v>4427</v>
      </c>
      <c r="C2783" s="1199" t="s">
        <v>1615</v>
      </c>
      <c r="D2783" s="1199">
        <v>97120.58</v>
      </c>
      <c r="E2783" s="1199">
        <f t="shared" si="43"/>
        <v>81272.45</v>
      </c>
    </row>
    <row r="2784" spans="1:5">
      <c r="A2784" s="1003" t="s">
        <v>10301</v>
      </c>
      <c r="B2784" s="1202" t="s">
        <v>4431</v>
      </c>
      <c r="C2784" s="1199" t="s">
        <v>1240</v>
      </c>
      <c r="D2784" s="1199">
        <v>158.25</v>
      </c>
      <c r="E2784" s="1199">
        <f t="shared" si="43"/>
        <v>132.43</v>
      </c>
    </row>
    <row r="2785" spans="1:5">
      <c r="A2785" s="1003" t="s">
        <v>10302</v>
      </c>
      <c r="B2785" s="1202" t="s">
        <v>4433</v>
      </c>
      <c r="C2785" s="1199" t="s">
        <v>1214</v>
      </c>
      <c r="D2785" s="1199">
        <v>1418.3</v>
      </c>
      <c r="E2785" s="1199">
        <f t="shared" si="43"/>
        <v>1186.8599999999999</v>
      </c>
    </row>
    <row r="2786" spans="1:5">
      <c r="A2786" s="1003" t="s">
        <v>10303</v>
      </c>
      <c r="B2786" s="1202" t="s">
        <v>4434</v>
      </c>
      <c r="C2786" s="1199" t="s">
        <v>1214</v>
      </c>
      <c r="D2786" s="1199">
        <v>1294.3</v>
      </c>
      <c r="E2786" s="1199">
        <f t="shared" si="43"/>
        <v>1083.0999999999999</v>
      </c>
    </row>
    <row r="2787" spans="1:5">
      <c r="A2787" s="1003" t="s">
        <v>10304</v>
      </c>
      <c r="B2787" s="1202" t="s">
        <v>10305</v>
      </c>
      <c r="C2787" s="1199" t="s">
        <v>1615</v>
      </c>
      <c r="D2787" s="1199">
        <v>7647.9</v>
      </c>
      <c r="E2787" s="1199">
        <f t="shared" si="43"/>
        <v>6399.92</v>
      </c>
    </row>
    <row r="2788" spans="1:5">
      <c r="A2788" s="1003" t="s">
        <v>10306</v>
      </c>
      <c r="B2788" s="1202" t="s">
        <v>4435</v>
      </c>
      <c r="C2788" s="1199" t="s">
        <v>1214</v>
      </c>
      <c r="D2788" s="1199">
        <v>998.26</v>
      </c>
      <c r="E2788" s="1199">
        <f t="shared" si="43"/>
        <v>835.36</v>
      </c>
    </row>
    <row r="2789" spans="1:5">
      <c r="A2789" s="1003" t="s">
        <v>10307</v>
      </c>
      <c r="B2789" s="1202" t="s">
        <v>4436</v>
      </c>
      <c r="C2789" s="1199" t="s">
        <v>1240</v>
      </c>
      <c r="D2789" s="1199">
        <v>196.2</v>
      </c>
      <c r="E2789" s="1199">
        <f t="shared" si="43"/>
        <v>164.18</v>
      </c>
    </row>
    <row r="2790" spans="1:5">
      <c r="A2790" s="1003" t="s">
        <v>10308</v>
      </c>
      <c r="B2790" s="1202" t="s">
        <v>4438</v>
      </c>
      <c r="C2790" s="1199" t="s">
        <v>1214</v>
      </c>
      <c r="D2790" s="1199">
        <v>855.62</v>
      </c>
      <c r="E2790" s="1199">
        <f t="shared" si="43"/>
        <v>716</v>
      </c>
    </row>
    <row r="2791" spans="1:5">
      <c r="A2791" s="1003" t="s">
        <v>10309</v>
      </c>
      <c r="B2791" s="1202" t="s">
        <v>10310</v>
      </c>
      <c r="C2791" s="1199" t="s">
        <v>1240</v>
      </c>
      <c r="D2791" s="1199">
        <v>213.12</v>
      </c>
      <c r="E2791" s="1199">
        <f t="shared" si="43"/>
        <v>178.34</v>
      </c>
    </row>
    <row r="2792" spans="1:5">
      <c r="A2792" s="1003" t="s">
        <v>10311</v>
      </c>
      <c r="B2792" s="1003" t="s">
        <v>4439</v>
      </c>
      <c r="C2792" s="1199" t="s">
        <v>1615</v>
      </c>
      <c r="D2792" s="1199">
        <v>26353.63</v>
      </c>
      <c r="E2792" s="1199">
        <f t="shared" si="43"/>
        <v>22053.25</v>
      </c>
    </row>
    <row r="2793" spans="1:5">
      <c r="A2793" s="1003" t="s">
        <v>10312</v>
      </c>
      <c r="B2793" s="1003" t="s">
        <v>4440</v>
      </c>
      <c r="C2793" s="1199" t="s">
        <v>1652</v>
      </c>
      <c r="D2793" s="1199">
        <v>637.01</v>
      </c>
      <c r="E2793" s="1199">
        <f t="shared" si="43"/>
        <v>533.05999999999995</v>
      </c>
    </row>
    <row r="2794" spans="1:5">
      <c r="A2794" s="1003" t="s">
        <v>999</v>
      </c>
      <c r="B2794" s="1003" t="s">
        <v>4442</v>
      </c>
      <c r="C2794" s="1199" t="s">
        <v>1214</v>
      </c>
      <c r="D2794" s="1199">
        <v>51.26</v>
      </c>
      <c r="E2794" s="1199">
        <f t="shared" si="43"/>
        <v>42.9</v>
      </c>
    </row>
    <row r="2795" spans="1:5">
      <c r="A2795" s="1003" t="s">
        <v>10313</v>
      </c>
      <c r="B2795" s="1003" t="s">
        <v>4443</v>
      </c>
      <c r="C2795" s="1199" t="s">
        <v>1214</v>
      </c>
      <c r="D2795" s="1199">
        <v>74.36</v>
      </c>
      <c r="E2795" s="1199">
        <f t="shared" si="43"/>
        <v>62.23</v>
      </c>
    </row>
    <row r="2796" spans="1:5">
      <c r="A2796" s="1003" t="s">
        <v>1001</v>
      </c>
      <c r="B2796" s="1003" t="s">
        <v>4444</v>
      </c>
      <c r="C2796" s="1199" t="s">
        <v>1615</v>
      </c>
      <c r="D2796" s="1199">
        <v>654.79</v>
      </c>
      <c r="E2796" s="1199">
        <f t="shared" si="43"/>
        <v>547.94000000000005</v>
      </c>
    </row>
    <row r="2797" spans="1:5">
      <c r="A2797" s="1003" t="s">
        <v>1163</v>
      </c>
      <c r="B2797" s="1003" t="s">
        <v>4445</v>
      </c>
      <c r="C2797" s="1199" t="s">
        <v>1214</v>
      </c>
      <c r="D2797" s="1199">
        <v>162.13</v>
      </c>
      <c r="E2797" s="1199">
        <f t="shared" si="43"/>
        <v>135.66999999999999</v>
      </c>
    </row>
    <row r="2798" spans="1:5">
      <c r="A2798" s="1003" t="s">
        <v>10314</v>
      </c>
      <c r="B2798" s="1003" t="s">
        <v>4446</v>
      </c>
      <c r="C2798" s="1199" t="s">
        <v>1214</v>
      </c>
      <c r="D2798" s="1199">
        <v>165.48</v>
      </c>
      <c r="E2798" s="1199">
        <f t="shared" si="43"/>
        <v>138.47999999999999</v>
      </c>
    </row>
    <row r="2799" spans="1:5">
      <c r="A2799" s="1003" t="s">
        <v>1003</v>
      </c>
      <c r="B2799" s="1003" t="s">
        <v>4447</v>
      </c>
      <c r="C2799" s="1199" t="s">
        <v>1214</v>
      </c>
      <c r="D2799" s="1199">
        <v>172.26</v>
      </c>
      <c r="E2799" s="1199">
        <f t="shared" si="43"/>
        <v>144.15</v>
      </c>
    </row>
    <row r="2800" spans="1:5">
      <c r="A2800" s="1003" t="s">
        <v>1005</v>
      </c>
      <c r="B2800" s="1003" t="s">
        <v>4448</v>
      </c>
      <c r="C2800" s="1199" t="s">
        <v>1214</v>
      </c>
      <c r="D2800" s="1199">
        <v>69.3</v>
      </c>
      <c r="E2800" s="1199">
        <f t="shared" si="43"/>
        <v>57.99</v>
      </c>
    </row>
    <row r="2801" spans="1:5">
      <c r="A2801" s="1003" t="s">
        <v>10315</v>
      </c>
      <c r="B2801" s="1003" t="s">
        <v>4449</v>
      </c>
      <c r="C2801" s="1199" t="s">
        <v>1214</v>
      </c>
      <c r="D2801" s="1199">
        <v>88.94</v>
      </c>
      <c r="E2801" s="1199">
        <f t="shared" si="43"/>
        <v>74.430000000000007</v>
      </c>
    </row>
    <row r="2802" spans="1:5">
      <c r="A2802" s="1003" t="s">
        <v>10316</v>
      </c>
      <c r="B2802" s="1003" t="s">
        <v>4450</v>
      </c>
      <c r="C2802" s="1199" t="s">
        <v>1214</v>
      </c>
      <c r="D2802" s="1199">
        <v>116.7</v>
      </c>
      <c r="E2802" s="1199">
        <f t="shared" si="43"/>
        <v>97.66</v>
      </c>
    </row>
    <row r="2803" spans="1:5">
      <c r="A2803" s="1003" t="s">
        <v>10317</v>
      </c>
      <c r="B2803" s="1003" t="s">
        <v>4451</v>
      </c>
      <c r="C2803" s="1199" t="s">
        <v>1214</v>
      </c>
      <c r="D2803" s="1199">
        <v>155.12</v>
      </c>
      <c r="E2803" s="1199">
        <f t="shared" si="43"/>
        <v>129.81</v>
      </c>
    </row>
    <row r="2804" spans="1:5">
      <c r="A2804" s="1003" t="s">
        <v>10318</v>
      </c>
      <c r="B2804" s="1003" t="s">
        <v>4452</v>
      </c>
      <c r="C2804" s="1199" t="s">
        <v>1214</v>
      </c>
      <c r="D2804" s="1199">
        <v>144.54</v>
      </c>
      <c r="E2804" s="1199">
        <f t="shared" si="43"/>
        <v>120.95</v>
      </c>
    </row>
    <row r="2805" spans="1:5">
      <c r="A2805" s="1003" t="s">
        <v>10319</v>
      </c>
      <c r="B2805" s="1003" t="s">
        <v>4453</v>
      </c>
      <c r="C2805" s="1199" t="s">
        <v>1214</v>
      </c>
      <c r="D2805" s="1199">
        <v>209.81</v>
      </c>
      <c r="E2805" s="1199">
        <f t="shared" si="43"/>
        <v>175.57</v>
      </c>
    </row>
    <row r="2806" spans="1:5">
      <c r="A2806" s="1003" t="s">
        <v>10320</v>
      </c>
      <c r="B2806" s="1003" t="s">
        <v>4454</v>
      </c>
      <c r="C2806" s="1199" t="s">
        <v>1214</v>
      </c>
      <c r="D2806" s="1199">
        <v>174.89</v>
      </c>
      <c r="E2806" s="1199">
        <f t="shared" si="43"/>
        <v>146.35</v>
      </c>
    </row>
    <row r="2807" spans="1:5">
      <c r="A2807" s="1003" t="s">
        <v>1164</v>
      </c>
      <c r="B2807" s="1003" t="s">
        <v>4455</v>
      </c>
      <c r="C2807" s="1199" t="s">
        <v>1214</v>
      </c>
      <c r="D2807" s="1199">
        <v>722.1</v>
      </c>
      <c r="E2807" s="1199">
        <f t="shared" si="43"/>
        <v>604.27</v>
      </c>
    </row>
    <row r="2808" spans="1:5">
      <c r="A2808" s="1003" t="s">
        <v>10321</v>
      </c>
      <c r="B2808" s="1003" t="s">
        <v>4456</v>
      </c>
      <c r="C2808" s="1199" t="s">
        <v>1214</v>
      </c>
      <c r="D2808" s="1199">
        <v>811.7</v>
      </c>
      <c r="E2808" s="1199">
        <f t="shared" si="43"/>
        <v>679.25</v>
      </c>
    </row>
    <row r="2809" spans="1:5">
      <c r="A2809" s="1003" t="s">
        <v>1007</v>
      </c>
      <c r="B2809" s="1003" t="s">
        <v>4457</v>
      </c>
      <c r="C2809" s="1199" t="s">
        <v>1214</v>
      </c>
      <c r="D2809" s="1199">
        <v>949.54</v>
      </c>
      <c r="E2809" s="1199">
        <f t="shared" si="43"/>
        <v>794.59</v>
      </c>
    </row>
    <row r="2810" spans="1:5">
      <c r="A2810" s="1003" t="s">
        <v>10322</v>
      </c>
      <c r="B2810" s="1003" t="s">
        <v>4458</v>
      </c>
      <c r="C2810" s="1199" t="s">
        <v>1214</v>
      </c>
      <c r="D2810" s="1199">
        <v>100.44</v>
      </c>
      <c r="E2810" s="1199">
        <f t="shared" si="43"/>
        <v>84.05</v>
      </c>
    </row>
    <row r="2811" spans="1:5">
      <c r="A2811" s="1003" t="s">
        <v>10323</v>
      </c>
      <c r="B2811" s="1003" t="s">
        <v>4459</v>
      </c>
      <c r="C2811" s="1199" t="s">
        <v>1214</v>
      </c>
      <c r="D2811" s="1199">
        <v>114.21</v>
      </c>
      <c r="E2811" s="1199">
        <f t="shared" si="43"/>
        <v>95.57</v>
      </c>
    </row>
    <row r="2812" spans="1:5">
      <c r="A2812" s="1003" t="s">
        <v>1009</v>
      </c>
      <c r="B2812" s="1003" t="s">
        <v>4460</v>
      </c>
      <c r="C2812" s="1199" t="s">
        <v>1214</v>
      </c>
      <c r="D2812" s="1199">
        <v>204.1</v>
      </c>
      <c r="E2812" s="1199">
        <f t="shared" si="43"/>
        <v>170.79</v>
      </c>
    </row>
    <row r="2813" spans="1:5">
      <c r="A2813" s="1003" t="s">
        <v>10324</v>
      </c>
      <c r="B2813" s="1003" t="s">
        <v>10325</v>
      </c>
      <c r="C2813" s="1199" t="s">
        <v>1214</v>
      </c>
      <c r="D2813" s="1199">
        <v>3576.43</v>
      </c>
      <c r="E2813" s="1199">
        <f t="shared" si="43"/>
        <v>2992.83</v>
      </c>
    </row>
    <row r="2814" spans="1:5">
      <c r="A2814" s="1003" t="s">
        <v>1011</v>
      </c>
      <c r="B2814" s="1003" t="s">
        <v>10326</v>
      </c>
      <c r="C2814" s="1199" t="s">
        <v>1615</v>
      </c>
      <c r="D2814" s="1199">
        <v>1012.19</v>
      </c>
      <c r="E2814" s="1199">
        <f t="shared" si="43"/>
        <v>847.02</v>
      </c>
    </row>
    <row r="2815" spans="1:5">
      <c r="A2815" s="1003" t="s">
        <v>10327</v>
      </c>
      <c r="B2815" s="1003" t="s">
        <v>10328</v>
      </c>
      <c r="C2815" s="1199" t="s">
        <v>1214</v>
      </c>
      <c r="D2815" s="1199">
        <v>5142.41</v>
      </c>
      <c r="E2815" s="1199">
        <f t="shared" si="43"/>
        <v>4303.2700000000004</v>
      </c>
    </row>
    <row r="2816" spans="1:5">
      <c r="A2816" s="1003" t="s">
        <v>10329</v>
      </c>
      <c r="B2816" s="1003" t="s">
        <v>10330</v>
      </c>
      <c r="C2816" s="1199" t="s">
        <v>1615</v>
      </c>
      <c r="D2816" s="1199">
        <v>1875.78</v>
      </c>
      <c r="E2816" s="1199">
        <f t="shared" si="43"/>
        <v>1569.69</v>
      </c>
    </row>
    <row r="2817" spans="1:5">
      <c r="A2817" s="1003" t="s">
        <v>10331</v>
      </c>
      <c r="B2817" s="1003" t="s">
        <v>10332</v>
      </c>
      <c r="C2817" s="1199" t="s">
        <v>1650</v>
      </c>
      <c r="D2817" s="1199">
        <v>579.29</v>
      </c>
      <c r="E2817" s="1199">
        <f t="shared" si="43"/>
        <v>484.76</v>
      </c>
    </row>
    <row r="2818" spans="1:5">
      <c r="A2818" s="1003" t="s">
        <v>1013</v>
      </c>
      <c r="B2818" s="1003" t="s">
        <v>10333</v>
      </c>
      <c r="C2818" s="1199" t="s">
        <v>1214</v>
      </c>
      <c r="D2818" s="1199">
        <v>4197.82</v>
      </c>
      <c r="E2818" s="1199">
        <f t="shared" si="43"/>
        <v>3512.82</v>
      </c>
    </row>
    <row r="2819" spans="1:5">
      <c r="A2819" s="1003" t="s">
        <v>10334</v>
      </c>
      <c r="B2819" s="1003" t="s">
        <v>10335</v>
      </c>
      <c r="C2819" s="1199" t="s">
        <v>1650</v>
      </c>
      <c r="D2819" s="1199">
        <v>313.52</v>
      </c>
      <c r="E2819" s="1199">
        <f t="shared" si="43"/>
        <v>262.36</v>
      </c>
    </row>
    <row r="2820" spans="1:5">
      <c r="A2820" s="1003" t="s">
        <v>10336</v>
      </c>
      <c r="B2820" s="1003" t="s">
        <v>10337</v>
      </c>
      <c r="C2820" s="1199" t="s">
        <v>1214</v>
      </c>
      <c r="D2820" s="1199">
        <v>6048.61</v>
      </c>
      <c r="E2820" s="1199">
        <f t="shared" ref="E2820:E2883" si="44">ROUND(D2820/1.195,2)</f>
        <v>5061.6000000000004</v>
      </c>
    </row>
    <row r="2821" spans="1:5">
      <c r="A2821" s="1003" t="s">
        <v>1015</v>
      </c>
      <c r="B2821" s="1003" t="s">
        <v>10338</v>
      </c>
      <c r="C2821" s="1199" t="s">
        <v>1214</v>
      </c>
      <c r="D2821" s="1199">
        <v>84.83</v>
      </c>
      <c r="E2821" s="1199">
        <f t="shared" si="44"/>
        <v>70.989999999999995</v>
      </c>
    </row>
    <row r="2822" spans="1:5">
      <c r="A2822" s="1003" t="s">
        <v>1017</v>
      </c>
      <c r="B2822" s="1003" t="s">
        <v>10339</v>
      </c>
      <c r="C2822" s="1199" t="s">
        <v>1214</v>
      </c>
      <c r="D2822" s="1199">
        <v>125.72</v>
      </c>
      <c r="E2822" s="1199">
        <f t="shared" si="44"/>
        <v>105.21</v>
      </c>
    </row>
    <row r="2823" spans="1:5">
      <c r="A2823" s="1003" t="s">
        <v>1019</v>
      </c>
      <c r="B2823" s="1003" t="s">
        <v>10340</v>
      </c>
      <c r="C2823" s="1199" t="s">
        <v>1214</v>
      </c>
      <c r="D2823" s="1199">
        <v>237.3</v>
      </c>
      <c r="E2823" s="1199">
        <f t="shared" si="44"/>
        <v>198.58</v>
      </c>
    </row>
    <row r="2824" spans="1:5">
      <c r="A2824" s="1003" t="s">
        <v>1021</v>
      </c>
      <c r="B2824" s="1003" t="s">
        <v>10341</v>
      </c>
      <c r="C2824" s="1199" t="s">
        <v>1214</v>
      </c>
      <c r="D2824" s="1199">
        <v>322.92</v>
      </c>
      <c r="E2824" s="1199">
        <f t="shared" si="44"/>
        <v>270.23</v>
      </c>
    </row>
    <row r="2825" spans="1:5">
      <c r="A2825" s="1003" t="s">
        <v>10342</v>
      </c>
      <c r="B2825" s="1003" t="s">
        <v>10343</v>
      </c>
      <c r="C2825" s="1199" t="s">
        <v>1214</v>
      </c>
      <c r="D2825" s="1199">
        <v>505.65</v>
      </c>
      <c r="E2825" s="1199">
        <f t="shared" si="44"/>
        <v>423.14</v>
      </c>
    </row>
    <row r="2826" spans="1:5">
      <c r="A2826" s="1003" t="s">
        <v>10344</v>
      </c>
      <c r="B2826" s="1003" t="s">
        <v>2699</v>
      </c>
      <c r="C2826" s="1199" t="s">
        <v>1650</v>
      </c>
      <c r="D2826" s="1199">
        <v>91.99</v>
      </c>
      <c r="E2826" s="1199">
        <f t="shared" si="44"/>
        <v>76.98</v>
      </c>
    </row>
    <row r="2827" spans="1:5">
      <c r="A2827" s="1003" t="s">
        <v>10345</v>
      </c>
      <c r="B2827" s="1003" t="s">
        <v>2700</v>
      </c>
      <c r="C2827" s="1199" t="s">
        <v>1650</v>
      </c>
      <c r="D2827" s="1199">
        <v>881.21</v>
      </c>
      <c r="E2827" s="1199">
        <f t="shared" si="44"/>
        <v>737.41</v>
      </c>
    </row>
    <row r="2828" spans="1:5">
      <c r="A2828" s="1003" t="s">
        <v>10346</v>
      </c>
      <c r="B2828" s="1202" t="s">
        <v>2701</v>
      </c>
      <c r="C2828" s="1199" t="s">
        <v>1240</v>
      </c>
      <c r="D2828" s="1199">
        <v>228.92</v>
      </c>
      <c r="E2828" s="1199">
        <f t="shared" si="44"/>
        <v>191.56</v>
      </c>
    </row>
    <row r="2829" spans="1:5">
      <c r="A2829" s="1003" t="s">
        <v>10347</v>
      </c>
      <c r="B2829" s="1202" t="s">
        <v>2702</v>
      </c>
      <c r="C2829" s="1199" t="s">
        <v>1240</v>
      </c>
      <c r="D2829" s="1199">
        <v>344.85</v>
      </c>
      <c r="E2829" s="1199">
        <f t="shared" si="44"/>
        <v>288.58</v>
      </c>
    </row>
    <row r="2830" spans="1:5">
      <c r="A2830" s="1003" t="s">
        <v>10348</v>
      </c>
      <c r="B2830" s="1202" t="s">
        <v>2703</v>
      </c>
      <c r="C2830" s="1199" t="s">
        <v>1240</v>
      </c>
      <c r="D2830" s="1199">
        <v>206.67</v>
      </c>
      <c r="E2830" s="1199">
        <f t="shared" si="44"/>
        <v>172.95</v>
      </c>
    </row>
    <row r="2831" spans="1:5">
      <c r="A2831" s="1003" t="s">
        <v>1023</v>
      </c>
      <c r="B2831" s="1003" t="s">
        <v>2770</v>
      </c>
      <c r="C2831" s="1199" t="s">
        <v>1615</v>
      </c>
      <c r="D2831" s="1199">
        <v>385.98</v>
      </c>
      <c r="E2831" s="1199">
        <f t="shared" si="44"/>
        <v>323</v>
      </c>
    </row>
    <row r="2832" spans="1:5">
      <c r="A2832" s="1003" t="s">
        <v>10349</v>
      </c>
      <c r="B2832" s="1003" t="s">
        <v>2771</v>
      </c>
      <c r="C2832" s="1199" t="s">
        <v>1615</v>
      </c>
      <c r="D2832" s="1199">
        <v>906.85</v>
      </c>
      <c r="E2832" s="1199">
        <f t="shared" si="44"/>
        <v>758.87</v>
      </c>
    </row>
    <row r="2833" spans="1:5">
      <c r="A2833" s="1003" t="s">
        <v>10350</v>
      </c>
      <c r="B2833" s="1003" t="s">
        <v>2772</v>
      </c>
      <c r="C2833" s="1199" t="s">
        <v>1615</v>
      </c>
      <c r="D2833" s="1199">
        <v>1024.5999999999999</v>
      </c>
      <c r="E2833" s="1199">
        <f t="shared" si="44"/>
        <v>857.41</v>
      </c>
    </row>
    <row r="2834" spans="1:5" ht="27.6">
      <c r="A2834" s="1003" t="s">
        <v>10351</v>
      </c>
      <c r="B2834" s="1003" t="s">
        <v>10352</v>
      </c>
      <c r="C2834" s="1199" t="s">
        <v>1650</v>
      </c>
      <c r="D2834" s="1199">
        <v>28.3</v>
      </c>
      <c r="E2834" s="1199">
        <f t="shared" si="44"/>
        <v>23.68</v>
      </c>
    </row>
    <row r="2835" spans="1:5" ht="27.6">
      <c r="A2835" s="1003" t="s">
        <v>10353</v>
      </c>
      <c r="B2835" s="1003" t="s">
        <v>10354</v>
      </c>
      <c r="C2835" s="1199" t="s">
        <v>1615</v>
      </c>
      <c r="D2835" s="1199">
        <v>3091.8</v>
      </c>
      <c r="E2835" s="1199">
        <f t="shared" si="44"/>
        <v>2587.2800000000002</v>
      </c>
    </row>
    <row r="2836" spans="1:5" ht="27.6">
      <c r="A2836" s="1003" t="s">
        <v>10355</v>
      </c>
      <c r="B2836" s="1003" t="s">
        <v>10356</v>
      </c>
      <c r="C2836" s="1199" t="s">
        <v>1615</v>
      </c>
      <c r="D2836" s="1199">
        <v>73.150000000000006</v>
      </c>
      <c r="E2836" s="1199">
        <f t="shared" si="44"/>
        <v>61.21</v>
      </c>
    </row>
    <row r="2837" spans="1:5">
      <c r="A2837" s="1003" t="s">
        <v>10357</v>
      </c>
      <c r="B2837" s="1003" t="s">
        <v>10358</v>
      </c>
      <c r="C2837" s="1199" t="s">
        <v>1214</v>
      </c>
      <c r="D2837" s="1199">
        <v>276.29000000000002</v>
      </c>
      <c r="E2837" s="1199">
        <f t="shared" si="44"/>
        <v>231.21</v>
      </c>
    </row>
    <row r="2838" spans="1:5">
      <c r="A2838" s="1003" t="s">
        <v>10359</v>
      </c>
      <c r="B2838" s="1003" t="s">
        <v>10360</v>
      </c>
      <c r="C2838" s="1199" t="s">
        <v>1615</v>
      </c>
      <c r="D2838" s="1199">
        <v>686.63</v>
      </c>
      <c r="E2838" s="1199">
        <f t="shared" si="44"/>
        <v>574.59</v>
      </c>
    </row>
    <row r="2839" spans="1:5">
      <c r="A2839" s="1003" t="s">
        <v>10361</v>
      </c>
      <c r="B2839" s="1003" t="s">
        <v>10362</v>
      </c>
      <c r="C2839" s="1199" t="s">
        <v>1615</v>
      </c>
      <c r="D2839" s="1199">
        <v>660.2</v>
      </c>
      <c r="E2839" s="1199">
        <f t="shared" si="44"/>
        <v>552.47</v>
      </c>
    </row>
    <row r="2840" spans="1:5">
      <c r="A2840" s="1003" t="s">
        <v>10363</v>
      </c>
      <c r="B2840" s="1003" t="s">
        <v>10364</v>
      </c>
      <c r="C2840" s="1199" t="s">
        <v>1214</v>
      </c>
      <c r="D2840" s="1199">
        <v>12.82</v>
      </c>
      <c r="E2840" s="1199">
        <f t="shared" si="44"/>
        <v>10.73</v>
      </c>
    </row>
    <row r="2841" spans="1:5">
      <c r="A2841" s="1003" t="s">
        <v>1025</v>
      </c>
      <c r="B2841" s="1003" t="s">
        <v>997</v>
      </c>
      <c r="C2841" s="1199" t="s">
        <v>1652</v>
      </c>
      <c r="D2841" s="1199">
        <v>637.01</v>
      </c>
      <c r="E2841" s="1199">
        <f t="shared" si="44"/>
        <v>533.05999999999995</v>
      </c>
    </row>
    <row r="2842" spans="1:5">
      <c r="A2842" s="1003" t="s">
        <v>1030</v>
      </c>
      <c r="B2842" s="1003" t="s">
        <v>4468</v>
      </c>
      <c r="C2842" s="1199" t="s">
        <v>2050</v>
      </c>
      <c r="D2842" s="1199">
        <v>12610.91</v>
      </c>
      <c r="E2842" s="1199">
        <f t="shared" si="44"/>
        <v>10553.06</v>
      </c>
    </row>
    <row r="2843" spans="1:5">
      <c r="A2843" s="1003" t="s">
        <v>1032</v>
      </c>
      <c r="B2843" s="1003" t="s">
        <v>4469</v>
      </c>
      <c r="C2843" s="1199" t="s">
        <v>1615</v>
      </c>
      <c r="D2843" s="1199">
        <v>6626.1</v>
      </c>
      <c r="E2843" s="1199">
        <f t="shared" si="44"/>
        <v>5544.85</v>
      </c>
    </row>
    <row r="2844" spans="1:5">
      <c r="A2844" s="1003" t="s">
        <v>1034</v>
      </c>
      <c r="B2844" s="1003" t="s">
        <v>10365</v>
      </c>
      <c r="C2844" s="1199" t="s">
        <v>1615</v>
      </c>
      <c r="D2844" s="1199">
        <v>6626.1</v>
      </c>
      <c r="E2844" s="1199">
        <f t="shared" si="44"/>
        <v>5544.85</v>
      </c>
    </row>
    <row r="2845" spans="1:5" ht="27.6">
      <c r="A2845" s="1003" t="s">
        <v>10366</v>
      </c>
      <c r="B2845" s="1003" t="s">
        <v>10367</v>
      </c>
      <c r="C2845" s="1199" t="s">
        <v>1240</v>
      </c>
      <c r="D2845" s="1199">
        <v>98.62</v>
      </c>
      <c r="E2845" s="1199">
        <f t="shared" si="44"/>
        <v>82.53</v>
      </c>
    </row>
    <row r="2846" spans="1:5">
      <c r="A2846" s="1003" t="s">
        <v>10368</v>
      </c>
      <c r="B2846" s="1003" t="s">
        <v>10369</v>
      </c>
      <c r="C2846" s="1199" t="s">
        <v>1240</v>
      </c>
      <c r="D2846" s="1199">
        <v>75.58</v>
      </c>
      <c r="E2846" s="1199">
        <f t="shared" si="44"/>
        <v>63.25</v>
      </c>
    </row>
    <row r="2847" spans="1:5">
      <c r="A2847" s="1003" t="s">
        <v>10370</v>
      </c>
      <c r="B2847" s="1003" t="s">
        <v>10371</v>
      </c>
      <c r="C2847" s="1199" t="s">
        <v>1240</v>
      </c>
      <c r="D2847" s="1199">
        <v>159.79</v>
      </c>
      <c r="E2847" s="1199">
        <f t="shared" si="44"/>
        <v>133.72</v>
      </c>
    </row>
    <row r="2848" spans="1:5">
      <c r="A2848" s="1003" t="s">
        <v>10372</v>
      </c>
      <c r="B2848" s="1003" t="s">
        <v>10373</v>
      </c>
      <c r="C2848" s="1199" t="s">
        <v>1615</v>
      </c>
      <c r="D2848" s="1199">
        <v>465.11</v>
      </c>
      <c r="E2848" s="1199">
        <f t="shared" si="44"/>
        <v>389.21</v>
      </c>
    </row>
    <row r="2849" spans="1:5">
      <c r="A2849" s="1003" t="s">
        <v>10374</v>
      </c>
      <c r="B2849" s="1003" t="s">
        <v>10375</v>
      </c>
      <c r="C2849" s="1199" t="s">
        <v>1615</v>
      </c>
      <c r="D2849" s="1199">
        <v>458.43</v>
      </c>
      <c r="E2849" s="1199">
        <f t="shared" si="44"/>
        <v>383.62</v>
      </c>
    </row>
    <row r="2850" spans="1:5">
      <c r="A2850" s="1003" t="s">
        <v>10376</v>
      </c>
      <c r="B2850" s="1003" t="s">
        <v>4471</v>
      </c>
      <c r="C2850" s="1199" t="s">
        <v>1240</v>
      </c>
      <c r="D2850" s="1199">
        <v>411.89</v>
      </c>
      <c r="E2850" s="1199">
        <f t="shared" si="44"/>
        <v>344.68</v>
      </c>
    </row>
    <row r="2851" spans="1:5">
      <c r="A2851" s="1003" t="s">
        <v>1036</v>
      </c>
      <c r="B2851" s="1003" t="s">
        <v>4472</v>
      </c>
      <c r="C2851" s="1199" t="s">
        <v>1240</v>
      </c>
      <c r="D2851" s="1199">
        <v>511.02</v>
      </c>
      <c r="E2851" s="1199">
        <f t="shared" si="44"/>
        <v>427.63</v>
      </c>
    </row>
    <row r="2852" spans="1:5">
      <c r="A2852" s="1003" t="s">
        <v>10377</v>
      </c>
      <c r="B2852" s="1003" t="s">
        <v>10378</v>
      </c>
      <c r="C2852" s="1199" t="s">
        <v>1240</v>
      </c>
      <c r="D2852" s="1199">
        <v>63.29</v>
      </c>
      <c r="E2852" s="1199">
        <f t="shared" si="44"/>
        <v>52.96</v>
      </c>
    </row>
    <row r="2853" spans="1:5">
      <c r="A2853" s="1003" t="s">
        <v>10379</v>
      </c>
      <c r="B2853" s="1003" t="s">
        <v>10380</v>
      </c>
      <c r="C2853" s="1199" t="s">
        <v>1214</v>
      </c>
      <c r="D2853" s="1199">
        <v>104.24</v>
      </c>
      <c r="E2853" s="1199">
        <f t="shared" si="44"/>
        <v>87.23</v>
      </c>
    </row>
    <row r="2854" spans="1:5">
      <c r="A2854" s="1003" t="s">
        <v>10381</v>
      </c>
      <c r="B2854" s="1003" t="s">
        <v>10382</v>
      </c>
      <c r="C2854" s="1199" t="s">
        <v>1214</v>
      </c>
      <c r="D2854" s="1199">
        <v>97.04</v>
      </c>
      <c r="E2854" s="1199">
        <f t="shared" si="44"/>
        <v>81.209999999999994</v>
      </c>
    </row>
    <row r="2855" spans="1:5">
      <c r="A2855" s="1003" t="s">
        <v>10383</v>
      </c>
      <c r="B2855" s="1003" t="s">
        <v>4475</v>
      </c>
      <c r="C2855" s="1199" t="s">
        <v>1240</v>
      </c>
      <c r="D2855" s="1199">
        <v>19.66</v>
      </c>
      <c r="E2855" s="1199">
        <f t="shared" si="44"/>
        <v>16.45</v>
      </c>
    </row>
    <row r="2856" spans="1:5">
      <c r="A2856" s="1003" t="s">
        <v>10384</v>
      </c>
      <c r="B2856" s="1003" t="s">
        <v>4476</v>
      </c>
      <c r="C2856" s="1199" t="s">
        <v>1214</v>
      </c>
      <c r="D2856" s="1199">
        <v>32.96</v>
      </c>
      <c r="E2856" s="1199">
        <f t="shared" si="44"/>
        <v>27.58</v>
      </c>
    </row>
    <row r="2857" spans="1:5">
      <c r="A2857" s="1003" t="s">
        <v>10385</v>
      </c>
      <c r="B2857" s="1003" t="s">
        <v>10386</v>
      </c>
      <c r="C2857" s="1199" t="s">
        <v>1240</v>
      </c>
      <c r="D2857" s="1199">
        <v>3.39</v>
      </c>
      <c r="E2857" s="1199">
        <f t="shared" si="44"/>
        <v>2.84</v>
      </c>
    </row>
    <row r="2858" spans="1:5">
      <c r="A2858" s="1003" t="s">
        <v>10387</v>
      </c>
      <c r="B2858" s="1003" t="s">
        <v>10388</v>
      </c>
      <c r="C2858" s="1199" t="s">
        <v>1240</v>
      </c>
      <c r="D2858" s="1199">
        <v>407.54</v>
      </c>
      <c r="E2858" s="1199">
        <f t="shared" si="44"/>
        <v>341.04</v>
      </c>
    </row>
    <row r="2859" spans="1:5">
      <c r="A2859" s="1003" t="s">
        <v>10389</v>
      </c>
      <c r="B2859" s="1003" t="s">
        <v>4479</v>
      </c>
      <c r="C2859" s="1199" t="s">
        <v>4478</v>
      </c>
      <c r="D2859" s="1199">
        <v>23.13</v>
      </c>
      <c r="E2859" s="1199">
        <f t="shared" si="44"/>
        <v>19.36</v>
      </c>
    </row>
    <row r="2860" spans="1:5">
      <c r="A2860" s="1003" t="s">
        <v>1038</v>
      </c>
      <c r="B2860" s="1003" t="s">
        <v>10390</v>
      </c>
      <c r="C2860" s="1199" t="s">
        <v>1615</v>
      </c>
      <c r="D2860" s="1199">
        <v>28.85</v>
      </c>
      <c r="E2860" s="1199">
        <f t="shared" si="44"/>
        <v>24.14</v>
      </c>
    </row>
    <row r="2861" spans="1:5">
      <c r="A2861" s="1003" t="s">
        <v>1040</v>
      </c>
      <c r="B2861" s="1003" t="s">
        <v>4480</v>
      </c>
      <c r="C2861" s="1199" t="s">
        <v>1615</v>
      </c>
      <c r="D2861" s="1199">
        <v>20.38</v>
      </c>
      <c r="E2861" s="1199">
        <f t="shared" si="44"/>
        <v>17.05</v>
      </c>
    </row>
    <row r="2862" spans="1:5">
      <c r="A2862" s="1003" t="s">
        <v>1042</v>
      </c>
      <c r="B2862" s="1003" t="s">
        <v>10391</v>
      </c>
      <c r="C2862" s="1199" t="s">
        <v>1615</v>
      </c>
      <c r="D2862" s="1199">
        <v>8.15</v>
      </c>
      <c r="E2862" s="1199">
        <f t="shared" si="44"/>
        <v>6.82</v>
      </c>
    </row>
    <row r="2863" spans="1:5">
      <c r="A2863" s="1003" t="s">
        <v>10392</v>
      </c>
      <c r="B2863" s="1003" t="s">
        <v>10393</v>
      </c>
      <c r="C2863" s="1199" t="s">
        <v>1615</v>
      </c>
      <c r="D2863" s="1199">
        <v>4.07</v>
      </c>
      <c r="E2863" s="1199">
        <f t="shared" si="44"/>
        <v>3.41</v>
      </c>
    </row>
    <row r="2864" spans="1:5">
      <c r="A2864" s="1003" t="s">
        <v>1044</v>
      </c>
      <c r="B2864" s="1003" t="s">
        <v>10394</v>
      </c>
      <c r="C2864" s="1199" t="s">
        <v>1615</v>
      </c>
      <c r="D2864" s="1199">
        <v>40.76</v>
      </c>
      <c r="E2864" s="1199">
        <f t="shared" si="44"/>
        <v>34.11</v>
      </c>
    </row>
    <row r="2865" spans="1:5">
      <c r="A2865" s="1003" t="s">
        <v>1046</v>
      </c>
      <c r="B2865" s="1003" t="s">
        <v>10395</v>
      </c>
      <c r="C2865" s="1199" t="s">
        <v>1615</v>
      </c>
      <c r="D2865" s="1199">
        <v>10.19</v>
      </c>
      <c r="E2865" s="1199">
        <f t="shared" si="44"/>
        <v>8.5299999999999994</v>
      </c>
    </row>
    <row r="2866" spans="1:5">
      <c r="A2866" s="1003" t="s">
        <v>1048</v>
      </c>
      <c r="B2866" s="1003" t="s">
        <v>10396</v>
      </c>
      <c r="C2866" s="1199" t="s">
        <v>1615</v>
      </c>
      <c r="D2866" s="1199">
        <v>20.38</v>
      </c>
      <c r="E2866" s="1199">
        <f t="shared" si="44"/>
        <v>17.05</v>
      </c>
    </row>
    <row r="2867" spans="1:5">
      <c r="A2867" s="1003" t="s">
        <v>1050</v>
      </c>
      <c r="B2867" s="1003" t="s">
        <v>10397</v>
      </c>
      <c r="C2867" s="1199" t="s">
        <v>1615</v>
      </c>
      <c r="D2867" s="1199">
        <v>10.19</v>
      </c>
      <c r="E2867" s="1199">
        <f t="shared" si="44"/>
        <v>8.5299999999999994</v>
      </c>
    </row>
    <row r="2868" spans="1:5">
      <c r="A2868" s="1003" t="s">
        <v>10398</v>
      </c>
      <c r="B2868" s="1003" t="s">
        <v>4493</v>
      </c>
      <c r="C2868" s="1199" t="s">
        <v>1652</v>
      </c>
      <c r="D2868" s="1199">
        <v>637.01</v>
      </c>
      <c r="E2868" s="1199">
        <f t="shared" si="44"/>
        <v>533.05999999999995</v>
      </c>
    </row>
    <row r="2869" spans="1:5">
      <c r="A2869" s="1003" t="s">
        <v>1052</v>
      </c>
      <c r="B2869" s="1003" t="s">
        <v>10399</v>
      </c>
      <c r="C2869" s="1199" t="s">
        <v>1615</v>
      </c>
      <c r="D2869" s="1199">
        <v>10.19</v>
      </c>
      <c r="E2869" s="1199">
        <f t="shared" si="44"/>
        <v>8.5299999999999994</v>
      </c>
    </row>
    <row r="2870" spans="1:5">
      <c r="A2870" s="1003" t="s">
        <v>1054</v>
      </c>
      <c r="B2870" s="1003" t="s">
        <v>10400</v>
      </c>
      <c r="C2870" s="1199" t="s">
        <v>1615</v>
      </c>
      <c r="D2870" s="1199">
        <v>58.14</v>
      </c>
      <c r="E2870" s="1199">
        <f t="shared" si="44"/>
        <v>48.65</v>
      </c>
    </row>
    <row r="2871" spans="1:5">
      <c r="A2871" s="1003" t="s">
        <v>10401</v>
      </c>
      <c r="B2871" s="1003" t="s">
        <v>10402</v>
      </c>
      <c r="C2871" s="1199" t="s">
        <v>4478</v>
      </c>
      <c r="D2871" s="1199">
        <v>19.579999999999998</v>
      </c>
      <c r="E2871" s="1199">
        <f t="shared" si="44"/>
        <v>16.38</v>
      </c>
    </row>
    <row r="2872" spans="1:5">
      <c r="A2872" s="1003" t="s">
        <v>10403</v>
      </c>
      <c r="B2872" s="1003" t="s">
        <v>10404</v>
      </c>
      <c r="C2872" s="1199" t="s">
        <v>4478</v>
      </c>
      <c r="D2872" s="1199">
        <v>9.5399999999999991</v>
      </c>
      <c r="E2872" s="1199">
        <f t="shared" si="44"/>
        <v>7.98</v>
      </c>
    </row>
    <row r="2873" spans="1:5">
      <c r="A2873" s="1003" t="s">
        <v>10405</v>
      </c>
      <c r="B2873" s="1003" t="s">
        <v>10406</v>
      </c>
      <c r="C2873" s="1199" t="s">
        <v>4478</v>
      </c>
      <c r="D2873" s="1199">
        <v>8.43</v>
      </c>
      <c r="E2873" s="1199">
        <f t="shared" si="44"/>
        <v>7.05</v>
      </c>
    </row>
    <row r="2874" spans="1:5">
      <c r="A2874" s="1003" t="s">
        <v>10407</v>
      </c>
      <c r="B2874" s="1003" t="s">
        <v>10408</v>
      </c>
      <c r="C2874" s="1199" t="s">
        <v>4478</v>
      </c>
      <c r="D2874" s="1199">
        <v>7.48</v>
      </c>
      <c r="E2874" s="1199">
        <f t="shared" si="44"/>
        <v>6.26</v>
      </c>
    </row>
    <row r="2875" spans="1:5">
      <c r="A2875" s="1003" t="s">
        <v>10409</v>
      </c>
      <c r="B2875" s="1202" t="s">
        <v>10410</v>
      </c>
      <c r="C2875" s="1199" t="s">
        <v>1615</v>
      </c>
      <c r="D2875" s="1199">
        <v>1694.08</v>
      </c>
      <c r="E2875" s="1199">
        <f t="shared" si="44"/>
        <v>1417.64</v>
      </c>
    </row>
    <row r="2876" spans="1:5">
      <c r="A2876" s="1003" t="s">
        <v>1059</v>
      </c>
      <c r="B2876" s="1202" t="s">
        <v>10411</v>
      </c>
      <c r="C2876" s="1199" t="s">
        <v>1615</v>
      </c>
      <c r="D2876" s="1199">
        <v>1790.98</v>
      </c>
      <c r="E2876" s="1199">
        <f t="shared" si="44"/>
        <v>1498.73</v>
      </c>
    </row>
    <row r="2877" spans="1:5">
      <c r="A2877" s="1003" t="s">
        <v>10412</v>
      </c>
      <c r="B2877" s="1202" t="s">
        <v>4503</v>
      </c>
      <c r="C2877" s="1199" t="s">
        <v>1615</v>
      </c>
      <c r="D2877" s="1199">
        <v>209.83</v>
      </c>
      <c r="E2877" s="1199">
        <f t="shared" si="44"/>
        <v>175.59</v>
      </c>
    </row>
    <row r="2878" spans="1:5">
      <c r="A2878" s="1003" t="s">
        <v>10413</v>
      </c>
      <c r="B2878" s="1003" t="s">
        <v>10414</v>
      </c>
      <c r="C2878" s="1199" t="s">
        <v>1615</v>
      </c>
      <c r="D2878" s="1199">
        <v>843.89</v>
      </c>
      <c r="E2878" s="1199">
        <f t="shared" si="44"/>
        <v>706.18</v>
      </c>
    </row>
    <row r="2879" spans="1:5">
      <c r="A2879" s="1003" t="s">
        <v>10415</v>
      </c>
      <c r="B2879" s="1003" t="s">
        <v>10416</v>
      </c>
      <c r="C2879" s="1199" t="s">
        <v>1615</v>
      </c>
      <c r="D2879" s="1199">
        <v>1316.04</v>
      </c>
      <c r="E2879" s="1199">
        <f t="shared" si="44"/>
        <v>1101.29</v>
      </c>
    </row>
    <row r="2880" spans="1:5">
      <c r="A2880" s="1003" t="s">
        <v>10417</v>
      </c>
      <c r="B2880" s="1003" t="s">
        <v>10418</v>
      </c>
      <c r="C2880" s="1199" t="s">
        <v>1615</v>
      </c>
      <c r="D2880" s="1199">
        <v>416.5</v>
      </c>
      <c r="E2880" s="1199">
        <f t="shared" si="44"/>
        <v>348.54</v>
      </c>
    </row>
    <row r="2881" spans="1:5">
      <c r="A2881" s="1003" t="s">
        <v>10419</v>
      </c>
      <c r="B2881" s="1003" t="s">
        <v>10420</v>
      </c>
      <c r="C2881" s="1199" t="s">
        <v>1615</v>
      </c>
      <c r="D2881" s="1199">
        <v>2226.73</v>
      </c>
      <c r="E2881" s="1199">
        <f t="shared" si="44"/>
        <v>1863.37</v>
      </c>
    </row>
    <row r="2882" spans="1:5">
      <c r="A2882" s="1003" t="s">
        <v>10421</v>
      </c>
      <c r="B2882" s="1003" t="s">
        <v>4510</v>
      </c>
      <c r="C2882" s="1199" t="s">
        <v>1615</v>
      </c>
      <c r="D2882" s="1199">
        <v>891.78</v>
      </c>
      <c r="E2882" s="1199">
        <f t="shared" si="44"/>
        <v>746.26</v>
      </c>
    </row>
    <row r="2883" spans="1:5">
      <c r="A2883" s="1003" t="s">
        <v>10422</v>
      </c>
      <c r="B2883" s="1003" t="s">
        <v>10423</v>
      </c>
      <c r="C2883" s="1199" t="s">
        <v>1615</v>
      </c>
      <c r="D2883" s="1199">
        <v>416.5</v>
      </c>
      <c r="E2883" s="1199">
        <f t="shared" si="44"/>
        <v>348.54</v>
      </c>
    </row>
    <row r="2884" spans="1:5">
      <c r="A2884" s="1003" t="s">
        <v>10424</v>
      </c>
      <c r="B2884" s="1003" t="s">
        <v>10425</v>
      </c>
      <c r="C2884" s="1199" t="s">
        <v>1615</v>
      </c>
      <c r="D2884" s="1199">
        <v>1480.51</v>
      </c>
      <c r="E2884" s="1199">
        <f t="shared" ref="E2884:E2947" si="45">ROUND(D2884/1.195,2)</f>
        <v>1238.92</v>
      </c>
    </row>
    <row r="2885" spans="1:5" ht="27.6">
      <c r="A2885" s="1003" t="s">
        <v>1061</v>
      </c>
      <c r="B2885" s="1003" t="s">
        <v>10426</v>
      </c>
      <c r="C2885" s="1199" t="s">
        <v>1214</v>
      </c>
      <c r="D2885" s="1199">
        <v>352.02</v>
      </c>
      <c r="E2885" s="1199">
        <f t="shared" si="45"/>
        <v>294.58</v>
      </c>
    </row>
    <row r="2886" spans="1:5" ht="27.6">
      <c r="A2886" s="1003" t="s">
        <v>10427</v>
      </c>
      <c r="B2886" s="1003" t="s">
        <v>10428</v>
      </c>
      <c r="C2886" s="1199" t="s">
        <v>1615</v>
      </c>
      <c r="D2886" s="1199">
        <v>258.20999999999998</v>
      </c>
      <c r="E2886" s="1199">
        <f t="shared" si="45"/>
        <v>216.08</v>
      </c>
    </row>
    <row r="2887" spans="1:5" ht="27.6">
      <c r="A2887" s="1003" t="s">
        <v>10429</v>
      </c>
      <c r="B2887" s="1003" t="s">
        <v>10430</v>
      </c>
      <c r="C2887" s="1199" t="s">
        <v>1615</v>
      </c>
      <c r="D2887" s="1199">
        <v>56.54</v>
      </c>
      <c r="E2887" s="1199">
        <f t="shared" si="45"/>
        <v>47.31</v>
      </c>
    </row>
    <row r="2888" spans="1:5">
      <c r="A2888" s="1003" t="s">
        <v>10431</v>
      </c>
      <c r="B2888" s="1003" t="s">
        <v>10432</v>
      </c>
      <c r="C2888" s="1199" t="s">
        <v>1615</v>
      </c>
      <c r="D2888" s="1199">
        <v>419.07</v>
      </c>
      <c r="E2888" s="1199">
        <f t="shared" si="45"/>
        <v>350.69</v>
      </c>
    </row>
    <row r="2889" spans="1:5">
      <c r="A2889" s="1003" t="s">
        <v>10433</v>
      </c>
      <c r="B2889" s="1003" t="s">
        <v>4523</v>
      </c>
      <c r="C2889" s="1199" t="s">
        <v>1615</v>
      </c>
      <c r="D2889" s="1199">
        <v>237.4</v>
      </c>
      <c r="E2889" s="1199">
        <f t="shared" si="45"/>
        <v>198.66</v>
      </c>
    </row>
    <row r="2890" spans="1:5">
      <c r="A2890" s="1003" t="s">
        <v>10434</v>
      </c>
      <c r="B2890" s="1003" t="s">
        <v>10338</v>
      </c>
      <c r="C2890" s="1199" t="s">
        <v>1214</v>
      </c>
      <c r="D2890" s="1199">
        <v>84.83</v>
      </c>
      <c r="E2890" s="1199">
        <f t="shared" si="45"/>
        <v>70.989999999999995</v>
      </c>
    </row>
    <row r="2891" spans="1:5">
      <c r="A2891" s="1003" t="s">
        <v>10435</v>
      </c>
      <c r="B2891" s="1003" t="s">
        <v>10436</v>
      </c>
      <c r="C2891" s="1199" t="s">
        <v>1214</v>
      </c>
      <c r="D2891" s="1199">
        <v>125.72</v>
      </c>
      <c r="E2891" s="1199">
        <f t="shared" si="45"/>
        <v>105.21</v>
      </c>
    </row>
    <row r="2892" spans="1:5">
      <c r="A2892" s="1003" t="s">
        <v>1066</v>
      </c>
      <c r="B2892" s="1003" t="s">
        <v>10437</v>
      </c>
      <c r="C2892" s="1199" t="s">
        <v>1615</v>
      </c>
      <c r="D2892" s="1199">
        <v>1210.23</v>
      </c>
      <c r="E2892" s="1199">
        <f t="shared" si="45"/>
        <v>1012.74</v>
      </c>
    </row>
    <row r="2893" spans="1:5">
      <c r="A2893" s="1003" t="s">
        <v>1068</v>
      </c>
      <c r="B2893" s="1003" t="s">
        <v>2696</v>
      </c>
      <c r="C2893" s="1199" t="s">
        <v>1615</v>
      </c>
      <c r="D2893" s="1199">
        <v>1635.51</v>
      </c>
      <c r="E2893" s="1199">
        <f t="shared" si="45"/>
        <v>1368.63</v>
      </c>
    </row>
    <row r="2894" spans="1:5">
      <c r="A2894" s="1003" t="s">
        <v>1070</v>
      </c>
      <c r="B2894" s="1003" t="s">
        <v>2697</v>
      </c>
      <c r="C2894" s="1199" t="s">
        <v>1615</v>
      </c>
      <c r="D2894" s="1199">
        <v>639.4</v>
      </c>
      <c r="E2894" s="1199">
        <f t="shared" si="45"/>
        <v>535.05999999999995</v>
      </c>
    </row>
    <row r="2895" spans="1:5">
      <c r="A2895" s="1003" t="s">
        <v>10438</v>
      </c>
      <c r="B2895" s="1003" t="s">
        <v>4531</v>
      </c>
      <c r="C2895" s="1199" t="s">
        <v>1615</v>
      </c>
      <c r="D2895" s="1199">
        <v>6165.32</v>
      </c>
      <c r="E2895" s="1199">
        <f t="shared" si="45"/>
        <v>5159.26</v>
      </c>
    </row>
    <row r="2896" spans="1:5">
      <c r="A2896" s="1003" t="s">
        <v>1072</v>
      </c>
      <c r="B2896" s="1003" t="s">
        <v>2699</v>
      </c>
      <c r="C2896" s="1199" t="s">
        <v>1650</v>
      </c>
      <c r="D2896" s="1199">
        <v>91.99</v>
      </c>
      <c r="E2896" s="1199">
        <f t="shared" si="45"/>
        <v>76.98</v>
      </c>
    </row>
    <row r="2897" spans="1:5">
      <c r="A2897" s="1003" t="s">
        <v>1074</v>
      </c>
      <c r="B2897" s="1003" t="s">
        <v>2700</v>
      </c>
      <c r="C2897" s="1199" t="s">
        <v>1650</v>
      </c>
      <c r="D2897" s="1199">
        <v>881.21</v>
      </c>
      <c r="E2897" s="1199">
        <f t="shared" si="45"/>
        <v>737.41</v>
      </c>
    </row>
    <row r="2898" spans="1:5">
      <c r="A2898" s="1003" t="s">
        <v>10439</v>
      </c>
      <c r="B2898" s="1003" t="s">
        <v>2701</v>
      </c>
      <c r="C2898" s="1199" t="s">
        <v>1240</v>
      </c>
      <c r="D2898" s="1199">
        <v>250.96</v>
      </c>
      <c r="E2898" s="1199">
        <f t="shared" si="45"/>
        <v>210.01</v>
      </c>
    </row>
    <row r="2899" spans="1:5">
      <c r="A2899" s="1003" t="s">
        <v>1076</v>
      </c>
      <c r="B2899" s="1003" t="s">
        <v>2702</v>
      </c>
      <c r="C2899" s="1199" t="s">
        <v>1240</v>
      </c>
      <c r="D2899" s="1199">
        <v>366.89</v>
      </c>
      <c r="E2899" s="1199">
        <f t="shared" si="45"/>
        <v>307.02</v>
      </c>
    </row>
    <row r="2900" spans="1:5">
      <c r="A2900" s="1003" t="s">
        <v>1078</v>
      </c>
      <c r="B2900" s="1003" t="s">
        <v>2703</v>
      </c>
      <c r="C2900" s="1199" t="s">
        <v>1240</v>
      </c>
      <c r="D2900" s="1199">
        <v>206.67</v>
      </c>
      <c r="E2900" s="1199">
        <f t="shared" si="45"/>
        <v>172.95</v>
      </c>
    </row>
    <row r="2901" spans="1:5">
      <c r="A2901" s="1003" t="s">
        <v>10440</v>
      </c>
      <c r="B2901" s="1003" t="s">
        <v>4532</v>
      </c>
      <c r="C2901" s="1199" t="s">
        <v>1615</v>
      </c>
      <c r="D2901" s="1199">
        <v>7647.04</v>
      </c>
      <c r="E2901" s="1199">
        <f t="shared" si="45"/>
        <v>6399.2</v>
      </c>
    </row>
    <row r="2902" spans="1:5">
      <c r="A2902" s="1003" t="s">
        <v>10441</v>
      </c>
      <c r="B2902" s="1003" t="s">
        <v>4533</v>
      </c>
      <c r="C2902" s="1199" t="s">
        <v>1615</v>
      </c>
      <c r="D2902" s="1199">
        <v>12961.71</v>
      </c>
      <c r="E2902" s="1199">
        <f t="shared" si="45"/>
        <v>10846.62</v>
      </c>
    </row>
    <row r="2903" spans="1:5">
      <c r="A2903" s="1003" t="s">
        <v>10442</v>
      </c>
      <c r="B2903" s="1003" t="s">
        <v>4534</v>
      </c>
      <c r="C2903" s="1199" t="s">
        <v>1615</v>
      </c>
      <c r="D2903" s="1199">
        <v>668.52</v>
      </c>
      <c r="E2903" s="1199">
        <f t="shared" si="45"/>
        <v>559.42999999999995</v>
      </c>
    </row>
    <row r="2904" spans="1:5">
      <c r="A2904" s="1003" t="s">
        <v>10443</v>
      </c>
      <c r="B2904" s="1003" t="s">
        <v>4535</v>
      </c>
      <c r="C2904" s="1199" t="s">
        <v>1615</v>
      </c>
      <c r="D2904" s="1199">
        <v>907.84</v>
      </c>
      <c r="E2904" s="1199">
        <f t="shared" si="45"/>
        <v>759.7</v>
      </c>
    </row>
    <row r="2905" spans="1:5">
      <c r="A2905" s="1003" t="s">
        <v>10444</v>
      </c>
      <c r="B2905" s="1003" t="s">
        <v>4536</v>
      </c>
      <c r="C2905" s="1199" t="s">
        <v>1615</v>
      </c>
      <c r="D2905" s="1199">
        <v>1142.55</v>
      </c>
      <c r="E2905" s="1199">
        <f t="shared" si="45"/>
        <v>956.11</v>
      </c>
    </row>
    <row r="2906" spans="1:5">
      <c r="A2906" s="1003" t="s">
        <v>10445</v>
      </c>
      <c r="B2906" s="1003" t="s">
        <v>4537</v>
      </c>
      <c r="C2906" s="1199" t="s">
        <v>1615</v>
      </c>
      <c r="D2906" s="1199">
        <v>20031.080000000002</v>
      </c>
      <c r="E2906" s="1199">
        <f t="shared" si="45"/>
        <v>16762.41</v>
      </c>
    </row>
    <row r="2907" spans="1:5">
      <c r="A2907" s="1003" t="s">
        <v>10446</v>
      </c>
      <c r="B2907" s="1003" t="s">
        <v>4538</v>
      </c>
      <c r="C2907" s="1199" t="s">
        <v>1615</v>
      </c>
      <c r="D2907" s="1199">
        <v>22742.639999999999</v>
      </c>
      <c r="E2907" s="1199">
        <f t="shared" si="45"/>
        <v>19031.5</v>
      </c>
    </row>
    <row r="2908" spans="1:5">
      <c r="A2908" s="1003" t="s">
        <v>10447</v>
      </c>
      <c r="B2908" s="1003" t="s">
        <v>4539</v>
      </c>
      <c r="C2908" s="1199" t="s">
        <v>1615</v>
      </c>
      <c r="D2908" s="1199">
        <v>29317.26</v>
      </c>
      <c r="E2908" s="1199">
        <f t="shared" si="45"/>
        <v>24533.27</v>
      </c>
    </row>
    <row r="2909" spans="1:5">
      <c r="A2909" s="1003" t="s">
        <v>10448</v>
      </c>
      <c r="B2909" s="1003" t="s">
        <v>4540</v>
      </c>
      <c r="C2909" s="1199" t="s">
        <v>1615</v>
      </c>
      <c r="D2909" s="1199">
        <v>29535.49</v>
      </c>
      <c r="E2909" s="1199">
        <f t="shared" si="45"/>
        <v>24715.89</v>
      </c>
    </row>
    <row r="2910" spans="1:5">
      <c r="A2910" s="1003" t="s">
        <v>10449</v>
      </c>
      <c r="B2910" s="1003" t="s">
        <v>4541</v>
      </c>
      <c r="C2910" s="1199" t="s">
        <v>1615</v>
      </c>
      <c r="D2910" s="1199">
        <v>33582.089999999997</v>
      </c>
      <c r="E2910" s="1199">
        <f t="shared" si="45"/>
        <v>28102.17</v>
      </c>
    </row>
    <row r="2911" spans="1:5">
      <c r="A2911" s="1003" t="s">
        <v>10450</v>
      </c>
      <c r="B2911" s="1003" t="s">
        <v>4542</v>
      </c>
      <c r="C2911" s="1199" t="s">
        <v>1615</v>
      </c>
      <c r="D2911" s="1199">
        <v>36978.74</v>
      </c>
      <c r="E2911" s="1199">
        <f t="shared" si="45"/>
        <v>30944.55</v>
      </c>
    </row>
    <row r="2912" spans="1:5">
      <c r="A2912" s="1003" t="s">
        <v>10451</v>
      </c>
      <c r="B2912" s="1003" t="s">
        <v>4543</v>
      </c>
      <c r="C2912" s="1199" t="s">
        <v>1615</v>
      </c>
      <c r="D2912" s="1199">
        <v>15241.08</v>
      </c>
      <c r="E2912" s="1199">
        <f t="shared" si="45"/>
        <v>12754.04</v>
      </c>
    </row>
    <row r="2913" spans="1:5">
      <c r="A2913" s="1003" t="s">
        <v>10452</v>
      </c>
      <c r="B2913" s="1003" t="s">
        <v>4544</v>
      </c>
      <c r="C2913" s="1199" t="s">
        <v>1615</v>
      </c>
      <c r="D2913" s="1199">
        <v>18040.830000000002</v>
      </c>
      <c r="E2913" s="1199">
        <f t="shared" si="45"/>
        <v>15096.93</v>
      </c>
    </row>
    <row r="2914" spans="1:5">
      <c r="A2914" s="1003" t="s">
        <v>10453</v>
      </c>
      <c r="B2914" s="1003" t="s">
        <v>4545</v>
      </c>
      <c r="C2914" s="1199" t="s">
        <v>1615</v>
      </c>
      <c r="D2914" s="1199">
        <v>20588.830000000002</v>
      </c>
      <c r="E2914" s="1199">
        <f t="shared" si="45"/>
        <v>17229.150000000001</v>
      </c>
    </row>
    <row r="2915" spans="1:5">
      <c r="A2915" s="1003" t="s">
        <v>10454</v>
      </c>
      <c r="B2915" s="1003" t="s">
        <v>4546</v>
      </c>
      <c r="C2915" s="1199" t="s">
        <v>1615</v>
      </c>
      <c r="D2915" s="1199">
        <v>25670.46</v>
      </c>
      <c r="E2915" s="1199">
        <f t="shared" si="45"/>
        <v>21481.56</v>
      </c>
    </row>
    <row r="2916" spans="1:5">
      <c r="A2916" s="1003" t="s">
        <v>10455</v>
      </c>
      <c r="B2916" s="1003" t="s">
        <v>4547</v>
      </c>
      <c r="C2916" s="1199" t="s">
        <v>1615</v>
      </c>
      <c r="D2916" s="1199">
        <v>30025.7</v>
      </c>
      <c r="E2916" s="1199">
        <f t="shared" si="45"/>
        <v>25126.11</v>
      </c>
    </row>
    <row r="2917" spans="1:5">
      <c r="A2917" s="1003" t="s">
        <v>10456</v>
      </c>
      <c r="B2917" s="1003" t="s">
        <v>1064</v>
      </c>
      <c r="C2917" s="1199" t="s">
        <v>1652</v>
      </c>
      <c r="D2917" s="1199">
        <v>637.01</v>
      </c>
      <c r="E2917" s="1199">
        <f t="shared" si="45"/>
        <v>533.05999999999995</v>
      </c>
    </row>
    <row r="2918" spans="1:5">
      <c r="A2918" s="1003" t="s">
        <v>10457</v>
      </c>
      <c r="B2918" s="1003" t="s">
        <v>4550</v>
      </c>
      <c r="C2918" s="1199" t="s">
        <v>1615</v>
      </c>
      <c r="D2918" s="1199">
        <v>1325.31</v>
      </c>
      <c r="E2918" s="1199">
        <f t="shared" si="45"/>
        <v>1109.05</v>
      </c>
    </row>
    <row r="2919" spans="1:5">
      <c r="A2919" s="1003" t="s">
        <v>10458</v>
      </c>
      <c r="B2919" s="1003" t="s">
        <v>4551</v>
      </c>
      <c r="C2919" s="1199" t="s">
        <v>1615</v>
      </c>
      <c r="D2919" s="1199">
        <v>2379.09</v>
      </c>
      <c r="E2919" s="1199">
        <f t="shared" si="45"/>
        <v>1990.87</v>
      </c>
    </row>
    <row r="2920" spans="1:5">
      <c r="A2920" s="1003" t="s">
        <v>10459</v>
      </c>
      <c r="B2920" s="1003" t="s">
        <v>4552</v>
      </c>
      <c r="C2920" s="1199" t="s">
        <v>1214</v>
      </c>
      <c r="D2920" s="1199">
        <v>3321.12</v>
      </c>
      <c r="E2920" s="1199">
        <f t="shared" si="45"/>
        <v>2779.18</v>
      </c>
    </row>
    <row r="2921" spans="1:5">
      <c r="A2921" s="1003" t="s">
        <v>10460</v>
      </c>
      <c r="B2921" s="1003" t="s">
        <v>4553</v>
      </c>
      <c r="C2921" s="1199" t="s">
        <v>1214</v>
      </c>
      <c r="D2921" s="1199">
        <v>4755.13</v>
      </c>
      <c r="E2921" s="1199">
        <f t="shared" si="45"/>
        <v>3979.19</v>
      </c>
    </row>
    <row r="2922" spans="1:5">
      <c r="A2922" s="1003" t="s">
        <v>10461</v>
      </c>
      <c r="B2922" s="1003" t="s">
        <v>4554</v>
      </c>
      <c r="C2922" s="1199" t="s">
        <v>1652</v>
      </c>
      <c r="D2922" s="1199">
        <v>637.01</v>
      </c>
      <c r="E2922" s="1199">
        <f t="shared" si="45"/>
        <v>533.05999999999995</v>
      </c>
    </row>
    <row r="2923" spans="1:5">
      <c r="A2923" s="1003" t="s">
        <v>10462</v>
      </c>
      <c r="B2923" s="1003" t="s">
        <v>4564</v>
      </c>
      <c r="C2923" s="1199" t="s">
        <v>1652</v>
      </c>
      <c r="D2923" s="1199">
        <v>637.01</v>
      </c>
      <c r="E2923" s="1199">
        <f t="shared" si="45"/>
        <v>533.05999999999995</v>
      </c>
    </row>
    <row r="2924" spans="1:5">
      <c r="A2924" s="1003" t="s">
        <v>1083</v>
      </c>
      <c r="B2924" s="1003" t="s">
        <v>1388</v>
      </c>
      <c r="C2924" s="1199" t="s">
        <v>1240</v>
      </c>
      <c r="D2924" s="1199">
        <v>12.87</v>
      </c>
      <c r="E2924" s="1199">
        <f t="shared" si="45"/>
        <v>10.77</v>
      </c>
    </row>
    <row r="2925" spans="1:5">
      <c r="A2925" s="1003" t="s">
        <v>10463</v>
      </c>
      <c r="B2925" s="1003" t="s">
        <v>4565</v>
      </c>
      <c r="C2925" s="1199" t="s">
        <v>1615</v>
      </c>
      <c r="D2925" s="1199">
        <v>14.71</v>
      </c>
      <c r="E2925" s="1199">
        <f t="shared" si="45"/>
        <v>12.31</v>
      </c>
    </row>
    <row r="2926" spans="1:5">
      <c r="A2926" s="1003" t="s">
        <v>10464</v>
      </c>
      <c r="B2926" s="1003" t="s">
        <v>4566</v>
      </c>
      <c r="C2926" s="1199" t="s">
        <v>1240</v>
      </c>
      <c r="D2926" s="1199">
        <v>11.03</v>
      </c>
      <c r="E2926" s="1199">
        <f t="shared" si="45"/>
        <v>9.23</v>
      </c>
    </row>
    <row r="2927" spans="1:5">
      <c r="A2927" s="1003" t="s">
        <v>10465</v>
      </c>
      <c r="B2927" s="1003" t="s">
        <v>4567</v>
      </c>
      <c r="C2927" s="1199" t="s">
        <v>1240</v>
      </c>
      <c r="D2927" s="1199">
        <v>13.79</v>
      </c>
      <c r="E2927" s="1199">
        <f t="shared" si="45"/>
        <v>11.54</v>
      </c>
    </row>
    <row r="2928" spans="1:5">
      <c r="A2928" s="1003" t="s">
        <v>10466</v>
      </c>
      <c r="B2928" s="1003" t="s">
        <v>4568</v>
      </c>
      <c r="C2928" s="1199" t="s">
        <v>1240</v>
      </c>
      <c r="D2928" s="1199">
        <v>8.33</v>
      </c>
      <c r="E2928" s="1199">
        <f t="shared" si="45"/>
        <v>6.97</v>
      </c>
    </row>
    <row r="2929" spans="1:5">
      <c r="A2929" s="1003" t="s">
        <v>10467</v>
      </c>
      <c r="B2929" s="1003" t="s">
        <v>10468</v>
      </c>
      <c r="C2929" s="1199" t="s">
        <v>1650</v>
      </c>
      <c r="D2929" s="1199">
        <v>217.79</v>
      </c>
      <c r="E2929" s="1199">
        <f t="shared" si="45"/>
        <v>182.25</v>
      </c>
    </row>
    <row r="2930" spans="1:5">
      <c r="A2930" s="1003" t="s">
        <v>10469</v>
      </c>
      <c r="B2930" s="1003" t="s">
        <v>10470</v>
      </c>
      <c r="C2930" s="1199" t="s">
        <v>4478</v>
      </c>
      <c r="D2930" s="1199">
        <v>3.21</v>
      </c>
      <c r="E2930" s="1199">
        <f t="shared" si="45"/>
        <v>2.69</v>
      </c>
    </row>
    <row r="2931" spans="1:5">
      <c r="A2931" s="1003" t="s">
        <v>10471</v>
      </c>
      <c r="B2931" s="1003" t="s">
        <v>4569</v>
      </c>
      <c r="C2931" s="1199" t="s">
        <v>1652</v>
      </c>
      <c r="D2931" s="1199">
        <v>637.01</v>
      </c>
      <c r="E2931" s="1199">
        <f t="shared" si="45"/>
        <v>533.05999999999995</v>
      </c>
    </row>
    <row r="2932" spans="1:5">
      <c r="A2932" s="1003" t="s">
        <v>1088</v>
      </c>
      <c r="B2932" s="1003" t="s">
        <v>1696</v>
      </c>
      <c r="C2932" s="1199" t="s">
        <v>1650</v>
      </c>
      <c r="D2932" s="1199">
        <v>73.59</v>
      </c>
      <c r="E2932" s="1199">
        <f t="shared" si="45"/>
        <v>61.58</v>
      </c>
    </row>
    <row r="2933" spans="1:5">
      <c r="A2933" s="1003" t="s">
        <v>10472</v>
      </c>
      <c r="B2933" s="1003" t="s">
        <v>1697</v>
      </c>
      <c r="C2933" s="1199" t="s">
        <v>1650</v>
      </c>
      <c r="D2933" s="1199">
        <v>82.79</v>
      </c>
      <c r="E2933" s="1199">
        <f t="shared" si="45"/>
        <v>69.28</v>
      </c>
    </row>
    <row r="2934" spans="1:5">
      <c r="A2934" s="1003" t="s">
        <v>10473</v>
      </c>
      <c r="B2934" s="1003" t="s">
        <v>4571</v>
      </c>
      <c r="C2934" s="1199" t="s">
        <v>1240</v>
      </c>
      <c r="D2934" s="1199">
        <v>113.02</v>
      </c>
      <c r="E2934" s="1199">
        <f t="shared" si="45"/>
        <v>94.58</v>
      </c>
    </row>
    <row r="2935" spans="1:5">
      <c r="A2935" s="1003" t="s">
        <v>1090</v>
      </c>
      <c r="B2935" s="1003" t="s">
        <v>1700</v>
      </c>
      <c r="C2935" s="1199" t="s">
        <v>1240</v>
      </c>
      <c r="D2935" s="1199">
        <v>7.35</v>
      </c>
      <c r="E2935" s="1199">
        <f t="shared" si="45"/>
        <v>6.15</v>
      </c>
    </row>
    <row r="2936" spans="1:5">
      <c r="A2936" s="1003" t="s">
        <v>1092</v>
      </c>
      <c r="B2936" s="1003" t="s">
        <v>1701</v>
      </c>
      <c r="C2936" s="1199" t="s">
        <v>1650</v>
      </c>
      <c r="D2936" s="1199">
        <v>64.39</v>
      </c>
      <c r="E2936" s="1199">
        <f t="shared" si="45"/>
        <v>53.88</v>
      </c>
    </row>
    <row r="2937" spans="1:5">
      <c r="A2937" s="1003" t="s">
        <v>1094</v>
      </c>
      <c r="B2937" s="1003" t="s">
        <v>4330</v>
      </c>
      <c r="C2937" s="1199" t="s">
        <v>1240</v>
      </c>
      <c r="D2937" s="1199">
        <v>40.4</v>
      </c>
      <c r="E2937" s="1199">
        <f t="shared" si="45"/>
        <v>33.81</v>
      </c>
    </row>
    <row r="2938" spans="1:5">
      <c r="A2938" s="1003" t="s">
        <v>1096</v>
      </c>
      <c r="B2938" s="1003" t="s">
        <v>1654</v>
      </c>
      <c r="C2938" s="1199" t="s">
        <v>1240</v>
      </c>
      <c r="D2938" s="1199">
        <v>11.6</v>
      </c>
      <c r="E2938" s="1199">
        <f t="shared" si="45"/>
        <v>9.7100000000000009</v>
      </c>
    </row>
    <row r="2939" spans="1:5">
      <c r="A2939" s="1003" t="s">
        <v>10474</v>
      </c>
      <c r="B2939" s="1003" t="s">
        <v>4572</v>
      </c>
      <c r="C2939" s="1199" t="s">
        <v>1240</v>
      </c>
      <c r="D2939" s="1199">
        <v>126.45</v>
      </c>
      <c r="E2939" s="1199">
        <f t="shared" si="45"/>
        <v>105.82</v>
      </c>
    </row>
    <row r="2940" spans="1:5">
      <c r="A2940" s="1003" t="s">
        <v>10475</v>
      </c>
      <c r="B2940" s="1003" t="s">
        <v>4574</v>
      </c>
      <c r="C2940" s="1199" t="s">
        <v>1240</v>
      </c>
      <c r="D2940" s="1199">
        <v>82.42</v>
      </c>
      <c r="E2940" s="1199">
        <f t="shared" si="45"/>
        <v>68.97</v>
      </c>
    </row>
    <row r="2941" spans="1:5">
      <c r="A2941" s="1003" t="s">
        <v>10476</v>
      </c>
      <c r="B2941" s="1003" t="s">
        <v>4576</v>
      </c>
      <c r="C2941" s="1199" t="s">
        <v>1652</v>
      </c>
      <c r="D2941" s="1199">
        <v>637.01</v>
      </c>
      <c r="E2941" s="1199">
        <f t="shared" si="45"/>
        <v>533.05999999999995</v>
      </c>
    </row>
    <row r="2942" spans="1:5">
      <c r="A2942" s="1003" t="s">
        <v>1101</v>
      </c>
      <c r="B2942" s="1003" t="s">
        <v>1780</v>
      </c>
      <c r="C2942" s="1199" t="s">
        <v>1240</v>
      </c>
      <c r="D2942" s="1199">
        <v>131.76</v>
      </c>
      <c r="E2942" s="1199">
        <f t="shared" si="45"/>
        <v>110.26</v>
      </c>
    </row>
    <row r="2943" spans="1:5">
      <c r="A2943" s="1003" t="s">
        <v>10477</v>
      </c>
      <c r="B2943" s="1003" t="s">
        <v>4578</v>
      </c>
      <c r="C2943" s="1199" t="s">
        <v>1240</v>
      </c>
      <c r="D2943" s="1199">
        <v>151.46</v>
      </c>
      <c r="E2943" s="1199">
        <f t="shared" si="45"/>
        <v>126.74</v>
      </c>
    </row>
    <row r="2944" spans="1:5">
      <c r="A2944" s="1003" t="s">
        <v>1103</v>
      </c>
      <c r="B2944" s="1003" t="s">
        <v>4579</v>
      </c>
      <c r="C2944" s="1199" t="s">
        <v>1248</v>
      </c>
      <c r="D2944" s="1199">
        <v>14.56</v>
      </c>
      <c r="E2944" s="1199">
        <f t="shared" si="45"/>
        <v>12.18</v>
      </c>
    </row>
    <row r="2945" spans="1:5">
      <c r="A2945" s="1003" t="s">
        <v>1105</v>
      </c>
      <c r="B2945" s="1003" t="s">
        <v>4580</v>
      </c>
      <c r="C2945" s="1199" t="s">
        <v>1248</v>
      </c>
      <c r="D2945" s="1199">
        <v>15.03</v>
      </c>
      <c r="E2945" s="1199">
        <f t="shared" si="45"/>
        <v>12.58</v>
      </c>
    </row>
    <row r="2946" spans="1:5">
      <c r="A2946" s="1003" t="s">
        <v>10478</v>
      </c>
      <c r="B2946" s="1003" t="s">
        <v>4581</v>
      </c>
      <c r="C2946" s="1199" t="s">
        <v>1248</v>
      </c>
      <c r="D2946" s="1199">
        <v>13.67</v>
      </c>
      <c r="E2946" s="1199">
        <f t="shared" si="45"/>
        <v>11.44</v>
      </c>
    </row>
    <row r="2947" spans="1:5">
      <c r="A2947" s="1003" t="s">
        <v>10479</v>
      </c>
      <c r="B2947" s="1003" t="s">
        <v>1754</v>
      </c>
      <c r="C2947" s="1199" t="s">
        <v>1650</v>
      </c>
      <c r="D2947" s="1199">
        <v>591.75</v>
      </c>
      <c r="E2947" s="1199">
        <f t="shared" si="45"/>
        <v>495.19</v>
      </c>
    </row>
    <row r="2948" spans="1:5">
      <c r="A2948" s="1003" t="s">
        <v>1107</v>
      </c>
      <c r="B2948" s="1003" t="s">
        <v>1804</v>
      </c>
      <c r="C2948" s="1199" t="s">
        <v>1650</v>
      </c>
      <c r="D2948" s="1199">
        <v>625.89</v>
      </c>
      <c r="E2948" s="1199">
        <f t="shared" ref="E2948:E3011" si="46">ROUND(D2948/1.195,2)</f>
        <v>523.76</v>
      </c>
    </row>
    <row r="2949" spans="1:5">
      <c r="A2949" s="1003" t="s">
        <v>10480</v>
      </c>
      <c r="B2949" s="1003" t="s">
        <v>1756</v>
      </c>
      <c r="C2949" s="1199" t="s">
        <v>1650</v>
      </c>
      <c r="D2949" s="1199">
        <v>643.12</v>
      </c>
      <c r="E2949" s="1199">
        <f t="shared" si="46"/>
        <v>538.17999999999995</v>
      </c>
    </row>
    <row r="2950" spans="1:5">
      <c r="A2950" s="1003" t="s">
        <v>10481</v>
      </c>
      <c r="B2950" s="1003" t="s">
        <v>1757</v>
      </c>
      <c r="C2950" s="1199" t="s">
        <v>1650</v>
      </c>
      <c r="D2950" s="1199">
        <v>648.37</v>
      </c>
      <c r="E2950" s="1199">
        <f t="shared" si="46"/>
        <v>542.57000000000005</v>
      </c>
    </row>
    <row r="2951" spans="1:5">
      <c r="A2951" s="1003" t="s">
        <v>10482</v>
      </c>
      <c r="B2951" s="1003" t="s">
        <v>4582</v>
      </c>
      <c r="C2951" s="1199" t="s">
        <v>1650</v>
      </c>
      <c r="D2951" s="1199">
        <v>673.1</v>
      </c>
      <c r="E2951" s="1199">
        <f t="shared" si="46"/>
        <v>563.26</v>
      </c>
    </row>
    <row r="2952" spans="1:5">
      <c r="A2952" s="1003" t="s">
        <v>10483</v>
      </c>
      <c r="B2952" s="1003" t="s">
        <v>1759</v>
      </c>
      <c r="C2952" s="1199" t="s">
        <v>1650</v>
      </c>
      <c r="D2952" s="1199">
        <v>699.82</v>
      </c>
      <c r="E2952" s="1199">
        <f t="shared" si="46"/>
        <v>585.62</v>
      </c>
    </row>
    <row r="2953" spans="1:5">
      <c r="A2953" s="1003" t="s">
        <v>1109</v>
      </c>
      <c r="B2953" s="1003" t="s">
        <v>6871</v>
      </c>
      <c r="C2953" s="1199" t="s">
        <v>1650</v>
      </c>
      <c r="D2953" s="1199">
        <v>580.48</v>
      </c>
      <c r="E2953" s="1199">
        <f t="shared" si="46"/>
        <v>485.76</v>
      </c>
    </row>
    <row r="2954" spans="1:5">
      <c r="A2954" s="1003" t="s">
        <v>10484</v>
      </c>
      <c r="B2954" s="1003" t="s">
        <v>4583</v>
      </c>
      <c r="C2954" s="1199" t="s">
        <v>1652</v>
      </c>
      <c r="D2954" s="1199">
        <v>637.01</v>
      </c>
      <c r="E2954" s="1199">
        <f t="shared" si="46"/>
        <v>533.05999999999995</v>
      </c>
    </row>
    <row r="2955" spans="1:5">
      <c r="A2955" s="1003" t="s">
        <v>10485</v>
      </c>
      <c r="B2955" s="1202" t="s">
        <v>10486</v>
      </c>
      <c r="C2955" s="1199" t="s">
        <v>1214</v>
      </c>
      <c r="D2955" s="1199">
        <v>34.299999999999997</v>
      </c>
      <c r="E2955" s="1199">
        <f t="shared" si="46"/>
        <v>28.7</v>
      </c>
    </row>
    <row r="2956" spans="1:5">
      <c r="A2956" s="1003" t="s">
        <v>10487</v>
      </c>
      <c r="B2956" s="1202" t="s">
        <v>10488</v>
      </c>
      <c r="C2956" s="1199" t="s">
        <v>1214</v>
      </c>
      <c r="D2956" s="1199">
        <v>36.549999999999997</v>
      </c>
      <c r="E2956" s="1199">
        <f t="shared" si="46"/>
        <v>30.59</v>
      </c>
    </row>
    <row r="2957" spans="1:5">
      <c r="A2957" s="1003" t="s">
        <v>10489</v>
      </c>
      <c r="B2957" s="1202" t="s">
        <v>10490</v>
      </c>
      <c r="C2957" s="1199" t="s">
        <v>1240</v>
      </c>
      <c r="D2957" s="1199">
        <v>104.66</v>
      </c>
      <c r="E2957" s="1199">
        <f t="shared" si="46"/>
        <v>87.58</v>
      </c>
    </row>
    <row r="2958" spans="1:5">
      <c r="A2958" s="1003" t="s">
        <v>1114</v>
      </c>
      <c r="B2958" s="1202" t="s">
        <v>10491</v>
      </c>
      <c r="C2958" s="1199" t="s">
        <v>1240</v>
      </c>
      <c r="D2958" s="1199">
        <v>136.38</v>
      </c>
      <c r="E2958" s="1199">
        <f t="shared" si="46"/>
        <v>114.13</v>
      </c>
    </row>
    <row r="2959" spans="1:5">
      <c r="A2959" s="1003" t="s">
        <v>10492</v>
      </c>
      <c r="B2959" s="1202" t="s">
        <v>4585</v>
      </c>
      <c r="C2959" s="1199" t="s">
        <v>1240</v>
      </c>
      <c r="D2959" s="1199">
        <v>57.11</v>
      </c>
      <c r="E2959" s="1199">
        <f t="shared" si="46"/>
        <v>47.79</v>
      </c>
    </row>
    <row r="2960" spans="1:5">
      <c r="A2960" s="1003" t="s">
        <v>10493</v>
      </c>
      <c r="B2960" s="1202" t="s">
        <v>4586</v>
      </c>
      <c r="C2960" s="1199" t="s">
        <v>1240</v>
      </c>
      <c r="D2960" s="1199">
        <v>89.67</v>
      </c>
      <c r="E2960" s="1199">
        <f t="shared" si="46"/>
        <v>75.040000000000006</v>
      </c>
    </row>
    <row r="2961" spans="1:5">
      <c r="A2961" s="1003" t="s">
        <v>1116</v>
      </c>
      <c r="B2961" s="1202" t="s">
        <v>4587</v>
      </c>
      <c r="C2961" s="1199" t="s">
        <v>1240</v>
      </c>
      <c r="D2961" s="1199">
        <v>13.15</v>
      </c>
      <c r="E2961" s="1199">
        <f t="shared" si="46"/>
        <v>11</v>
      </c>
    </row>
    <row r="2962" spans="1:5">
      <c r="A2962" s="1003" t="s">
        <v>10494</v>
      </c>
      <c r="B2962" s="1202" t="s">
        <v>6733</v>
      </c>
      <c r="C2962" s="1199" t="s">
        <v>1240</v>
      </c>
      <c r="D2962" s="1199">
        <v>20.78</v>
      </c>
      <c r="E2962" s="1199">
        <f t="shared" si="46"/>
        <v>17.39</v>
      </c>
    </row>
    <row r="2963" spans="1:5">
      <c r="A2963" s="1003" t="s">
        <v>10495</v>
      </c>
      <c r="B2963" s="1202" t="s">
        <v>4589</v>
      </c>
      <c r="C2963" s="1199" t="s">
        <v>1650</v>
      </c>
      <c r="D2963" s="1199">
        <v>222.97</v>
      </c>
      <c r="E2963" s="1199">
        <f t="shared" si="46"/>
        <v>186.59</v>
      </c>
    </row>
    <row r="2964" spans="1:5">
      <c r="A2964" s="1003" t="s">
        <v>10496</v>
      </c>
      <c r="B2964" s="1202" t="s">
        <v>4590</v>
      </c>
      <c r="C2964" s="1199" t="s">
        <v>1650</v>
      </c>
      <c r="D2964" s="1199">
        <v>242.29</v>
      </c>
      <c r="E2964" s="1199">
        <f t="shared" si="46"/>
        <v>202.75</v>
      </c>
    </row>
    <row r="2965" spans="1:5">
      <c r="A2965" s="1003" t="s">
        <v>10497</v>
      </c>
      <c r="B2965" s="1202" t="s">
        <v>4591</v>
      </c>
      <c r="C2965" s="1199" t="s">
        <v>1650</v>
      </c>
      <c r="D2965" s="1199">
        <v>756.85</v>
      </c>
      <c r="E2965" s="1199">
        <f t="shared" si="46"/>
        <v>633.35</v>
      </c>
    </row>
    <row r="2966" spans="1:5">
      <c r="A2966" s="1003" t="s">
        <v>10498</v>
      </c>
      <c r="B2966" s="1202" t="s">
        <v>4592</v>
      </c>
      <c r="C2966" s="1199" t="s">
        <v>1652</v>
      </c>
      <c r="D2966" s="1199">
        <v>637.01</v>
      </c>
      <c r="E2966" s="1199">
        <f t="shared" si="46"/>
        <v>533.05999999999995</v>
      </c>
    </row>
    <row r="2967" spans="1:5">
      <c r="A2967" s="1003" t="s">
        <v>10499</v>
      </c>
      <c r="B2967" s="1202" t="s">
        <v>10500</v>
      </c>
      <c r="C2967" s="1199" t="s">
        <v>1615</v>
      </c>
      <c r="D2967" s="1199">
        <v>1661.63</v>
      </c>
      <c r="E2967" s="1199">
        <f t="shared" si="46"/>
        <v>1390.49</v>
      </c>
    </row>
    <row r="2968" spans="1:5">
      <c r="A2968" s="1003" t="s">
        <v>10501</v>
      </c>
      <c r="B2968" s="1202" t="s">
        <v>10502</v>
      </c>
      <c r="C2968" s="1199" t="s">
        <v>1615</v>
      </c>
      <c r="D2968" s="1199">
        <v>217.74</v>
      </c>
      <c r="E2968" s="1199">
        <f t="shared" si="46"/>
        <v>182.21</v>
      </c>
    </row>
    <row r="2969" spans="1:5" ht="27.6">
      <c r="A2969" s="1003" t="s">
        <v>10503</v>
      </c>
      <c r="B2969" s="1003" t="s">
        <v>10504</v>
      </c>
      <c r="C2969" s="1199" t="s">
        <v>1214</v>
      </c>
      <c r="D2969" s="1199">
        <v>39.340000000000003</v>
      </c>
      <c r="E2969" s="1199">
        <f t="shared" si="46"/>
        <v>32.92</v>
      </c>
    </row>
    <row r="2970" spans="1:5" ht="27.6">
      <c r="A2970" s="1003" t="s">
        <v>10505</v>
      </c>
      <c r="B2970" s="1003" t="s">
        <v>10506</v>
      </c>
      <c r="C2970" s="1199" t="s">
        <v>1214</v>
      </c>
      <c r="D2970" s="1199">
        <v>34.11</v>
      </c>
      <c r="E2970" s="1199">
        <f t="shared" si="46"/>
        <v>28.54</v>
      </c>
    </row>
    <row r="2971" spans="1:5">
      <c r="A2971" s="1003" t="s">
        <v>10507</v>
      </c>
      <c r="B2971" s="1003" t="s">
        <v>10508</v>
      </c>
      <c r="C2971" s="1199" t="s">
        <v>1240</v>
      </c>
      <c r="D2971" s="1199">
        <v>2498.7399999999998</v>
      </c>
      <c r="E2971" s="1199">
        <f t="shared" si="46"/>
        <v>2091</v>
      </c>
    </row>
    <row r="2972" spans="1:5">
      <c r="A2972" s="1003" t="s">
        <v>1121</v>
      </c>
      <c r="B2972" s="1003" t="s">
        <v>10509</v>
      </c>
      <c r="C2972" s="1199" t="s">
        <v>1615</v>
      </c>
      <c r="D2972" s="1199">
        <v>112.69</v>
      </c>
      <c r="E2972" s="1199">
        <f t="shared" si="46"/>
        <v>94.3</v>
      </c>
    </row>
    <row r="2973" spans="1:5">
      <c r="A2973" s="1003" t="s">
        <v>10510</v>
      </c>
      <c r="B2973" s="1003" t="s">
        <v>10511</v>
      </c>
      <c r="C2973" s="1199" t="s">
        <v>1615</v>
      </c>
      <c r="D2973" s="1199">
        <v>115.03</v>
      </c>
      <c r="E2973" s="1199">
        <f t="shared" si="46"/>
        <v>96.26</v>
      </c>
    </row>
    <row r="2974" spans="1:5">
      <c r="A2974" s="1003" t="s">
        <v>1123</v>
      </c>
      <c r="B2974" s="1003" t="s">
        <v>10512</v>
      </c>
      <c r="C2974" s="1199" t="s">
        <v>1615</v>
      </c>
      <c r="D2974" s="1199">
        <v>169.64</v>
      </c>
      <c r="E2974" s="1199">
        <f t="shared" si="46"/>
        <v>141.96</v>
      </c>
    </row>
    <row r="2975" spans="1:5">
      <c r="A2975" s="1003" t="s">
        <v>10513</v>
      </c>
      <c r="B2975" s="1003" t="s">
        <v>10514</v>
      </c>
      <c r="C2975" s="1199" t="s">
        <v>1615</v>
      </c>
      <c r="D2975" s="1199">
        <v>260.39999999999998</v>
      </c>
      <c r="E2975" s="1199">
        <f t="shared" si="46"/>
        <v>217.91</v>
      </c>
    </row>
    <row r="2976" spans="1:5">
      <c r="A2976" s="1003" t="s">
        <v>10515</v>
      </c>
      <c r="B2976" s="1003" t="s">
        <v>10516</v>
      </c>
      <c r="C2976" s="1199" t="s">
        <v>1615</v>
      </c>
      <c r="D2976" s="1199">
        <v>262.73</v>
      </c>
      <c r="E2976" s="1199">
        <f t="shared" si="46"/>
        <v>219.86</v>
      </c>
    </row>
    <row r="2977" spans="1:5">
      <c r="A2977" s="1003" t="s">
        <v>10517</v>
      </c>
      <c r="B2977" s="1003" t="s">
        <v>10518</v>
      </c>
      <c r="C2977" s="1199" t="s">
        <v>1615</v>
      </c>
      <c r="D2977" s="1199">
        <v>414.61</v>
      </c>
      <c r="E2977" s="1199">
        <f t="shared" si="46"/>
        <v>346.95</v>
      </c>
    </row>
    <row r="2978" spans="1:5">
      <c r="A2978" s="1003" t="s">
        <v>10519</v>
      </c>
      <c r="B2978" s="1003" t="s">
        <v>10520</v>
      </c>
      <c r="C2978" s="1199" t="s">
        <v>1615</v>
      </c>
      <c r="D2978" s="1199">
        <v>358.18</v>
      </c>
      <c r="E2978" s="1199">
        <f t="shared" si="46"/>
        <v>299.73</v>
      </c>
    </row>
    <row r="2979" spans="1:5">
      <c r="A2979" s="1003" t="s">
        <v>10521</v>
      </c>
      <c r="B2979" s="1003" t="s">
        <v>10522</v>
      </c>
      <c r="C2979" s="1199" t="s">
        <v>1615</v>
      </c>
      <c r="D2979" s="1199">
        <v>11.39</v>
      </c>
      <c r="E2979" s="1199">
        <f t="shared" si="46"/>
        <v>9.5299999999999994</v>
      </c>
    </row>
    <row r="2980" spans="1:5">
      <c r="A2980" s="1003" t="s">
        <v>10523</v>
      </c>
      <c r="B2980" s="1003" t="s">
        <v>10524</v>
      </c>
      <c r="C2980" s="1199" t="s">
        <v>1615</v>
      </c>
      <c r="D2980" s="1199">
        <v>728.06</v>
      </c>
      <c r="E2980" s="1199">
        <f t="shared" si="46"/>
        <v>609.26</v>
      </c>
    </row>
    <row r="2981" spans="1:5">
      <c r="A2981" s="1003" t="s">
        <v>10525</v>
      </c>
      <c r="B2981" s="1003" t="s">
        <v>10526</v>
      </c>
      <c r="C2981" s="1199" t="s">
        <v>1615</v>
      </c>
      <c r="D2981" s="1199">
        <v>1004.82</v>
      </c>
      <c r="E2981" s="1199">
        <f t="shared" si="46"/>
        <v>840.85</v>
      </c>
    </row>
    <row r="2982" spans="1:5">
      <c r="A2982" s="1003" t="s">
        <v>1125</v>
      </c>
      <c r="B2982" s="1003" t="s">
        <v>10527</v>
      </c>
      <c r="C2982" s="1199" t="s">
        <v>1615</v>
      </c>
      <c r="D2982" s="1199">
        <v>399.09</v>
      </c>
      <c r="E2982" s="1199">
        <f t="shared" si="46"/>
        <v>333.97</v>
      </c>
    </row>
    <row r="2983" spans="1:5">
      <c r="A2983" s="1003" t="s">
        <v>1127</v>
      </c>
      <c r="B2983" s="1003" t="s">
        <v>10528</v>
      </c>
      <c r="C2983" s="1199" t="s">
        <v>1615</v>
      </c>
      <c r="D2983" s="1199">
        <v>14282.99</v>
      </c>
      <c r="E2983" s="1199">
        <f t="shared" si="46"/>
        <v>11952.29</v>
      </c>
    </row>
    <row r="2984" spans="1:5">
      <c r="A2984" s="1003" t="s">
        <v>10529</v>
      </c>
      <c r="B2984" s="1003" t="s">
        <v>10530</v>
      </c>
      <c r="C2984" s="1199" t="s">
        <v>1615</v>
      </c>
      <c r="D2984" s="1199">
        <v>240.8</v>
      </c>
      <c r="E2984" s="1199">
        <f t="shared" si="46"/>
        <v>201.51</v>
      </c>
    </row>
    <row r="2985" spans="1:5">
      <c r="A2985" s="1003" t="s">
        <v>10531</v>
      </c>
      <c r="B2985" s="1003" t="s">
        <v>10532</v>
      </c>
      <c r="C2985" s="1199" t="s">
        <v>1615</v>
      </c>
      <c r="D2985" s="1199">
        <v>274.02</v>
      </c>
      <c r="E2985" s="1199">
        <f t="shared" si="46"/>
        <v>229.31</v>
      </c>
    </row>
    <row r="2986" spans="1:5">
      <c r="A2986" s="1003" t="s">
        <v>10533</v>
      </c>
      <c r="B2986" s="1003" t="s">
        <v>10534</v>
      </c>
      <c r="C2986" s="1199" t="s">
        <v>1615</v>
      </c>
      <c r="D2986" s="1199">
        <v>118.24</v>
      </c>
      <c r="E2986" s="1199">
        <f t="shared" si="46"/>
        <v>98.95</v>
      </c>
    </row>
    <row r="2987" spans="1:5">
      <c r="A2987" s="1003" t="s">
        <v>10535</v>
      </c>
      <c r="B2987" s="1003" t="s">
        <v>10536</v>
      </c>
      <c r="C2987" s="1199" t="s">
        <v>1615</v>
      </c>
      <c r="D2987" s="1199">
        <v>411.21</v>
      </c>
      <c r="E2987" s="1199">
        <f t="shared" si="46"/>
        <v>344.11</v>
      </c>
    </row>
    <row r="2988" spans="1:5">
      <c r="A2988" s="1003" t="s">
        <v>10537</v>
      </c>
      <c r="B2988" s="1003" t="s">
        <v>10538</v>
      </c>
      <c r="C2988" s="1199" t="s">
        <v>1615</v>
      </c>
      <c r="D2988" s="1199">
        <v>117.62</v>
      </c>
      <c r="E2988" s="1199">
        <f t="shared" si="46"/>
        <v>98.43</v>
      </c>
    </row>
    <row r="2989" spans="1:5">
      <c r="A2989" s="1003" t="s">
        <v>10539</v>
      </c>
      <c r="B2989" s="1003" t="s">
        <v>4594</v>
      </c>
      <c r="C2989" s="1199" t="s">
        <v>1652</v>
      </c>
      <c r="D2989" s="1199">
        <v>637.01</v>
      </c>
      <c r="E2989" s="1199">
        <f t="shared" si="46"/>
        <v>533.05999999999995</v>
      </c>
    </row>
    <row r="2990" spans="1:5">
      <c r="A2990" s="1003" t="s">
        <v>10540</v>
      </c>
      <c r="B2990" s="1003" t="s">
        <v>10541</v>
      </c>
      <c r="C2990" s="1199" t="s">
        <v>1652</v>
      </c>
      <c r="D2990" s="1199">
        <v>637.01</v>
      </c>
      <c r="E2990" s="1199">
        <f t="shared" si="46"/>
        <v>533.05999999999995</v>
      </c>
    </row>
    <row r="2991" spans="1:5">
      <c r="A2991" s="1003" t="s">
        <v>10542</v>
      </c>
      <c r="B2991" s="1003" t="s">
        <v>10543</v>
      </c>
      <c r="C2991" s="1199" t="s">
        <v>1615</v>
      </c>
      <c r="D2991" s="1199">
        <v>135866.01</v>
      </c>
      <c r="E2991" s="1199">
        <f t="shared" si="46"/>
        <v>113695.41</v>
      </c>
    </row>
    <row r="2992" spans="1:5">
      <c r="A2992" s="1003" t="s">
        <v>10544</v>
      </c>
      <c r="B2992" s="1003" t="s">
        <v>4610</v>
      </c>
      <c r="C2992" s="1199" t="s">
        <v>1615</v>
      </c>
      <c r="D2992" s="1199">
        <v>158970.12</v>
      </c>
      <c r="E2992" s="1199">
        <f t="shared" si="46"/>
        <v>133029.39000000001</v>
      </c>
    </row>
    <row r="2993" spans="1:5">
      <c r="A2993" s="1003" t="s">
        <v>10545</v>
      </c>
      <c r="B2993" s="1003" t="s">
        <v>4611</v>
      </c>
      <c r="C2993" s="1199" t="s">
        <v>1615</v>
      </c>
      <c r="D2993" s="1199">
        <v>175442.75</v>
      </c>
      <c r="E2993" s="1199">
        <f t="shared" si="46"/>
        <v>146814.01999999999</v>
      </c>
    </row>
    <row r="2994" spans="1:5">
      <c r="A2994" s="1003" t="s">
        <v>10546</v>
      </c>
      <c r="B2994" s="1003" t="s">
        <v>4612</v>
      </c>
      <c r="C2994" s="1199" t="s">
        <v>1615</v>
      </c>
      <c r="D2994" s="1199">
        <v>202097.77</v>
      </c>
      <c r="E2994" s="1199">
        <f t="shared" si="46"/>
        <v>169119.47</v>
      </c>
    </row>
    <row r="2995" spans="1:5">
      <c r="A2995" s="1003" t="s">
        <v>10547</v>
      </c>
      <c r="B2995" s="1003" t="s">
        <v>4613</v>
      </c>
      <c r="C2995" s="1199" t="s">
        <v>1615</v>
      </c>
      <c r="D2995" s="1199">
        <v>190602.91</v>
      </c>
      <c r="E2995" s="1199">
        <f t="shared" si="46"/>
        <v>159500.34</v>
      </c>
    </row>
    <row r="2996" spans="1:5">
      <c r="A2996" s="1003" t="s">
        <v>10548</v>
      </c>
      <c r="B2996" s="1003" t="s">
        <v>4614</v>
      </c>
      <c r="C2996" s="1199" t="s">
        <v>1615</v>
      </c>
      <c r="D2996" s="1199">
        <v>168679.69</v>
      </c>
      <c r="E2996" s="1199">
        <f t="shared" si="46"/>
        <v>141154.54999999999</v>
      </c>
    </row>
    <row r="2997" spans="1:5">
      <c r="A2997" s="1003" t="s">
        <v>10549</v>
      </c>
      <c r="B2997" s="1003" t="s">
        <v>4615</v>
      </c>
      <c r="C2997" s="1199" t="s">
        <v>1615</v>
      </c>
      <c r="D2997" s="1199">
        <v>156074.34</v>
      </c>
      <c r="E2997" s="1199">
        <f t="shared" si="46"/>
        <v>130606.14</v>
      </c>
    </row>
    <row r="2998" spans="1:5">
      <c r="A2998" s="1003" t="s">
        <v>10550</v>
      </c>
      <c r="B2998" s="1003" t="s">
        <v>4618</v>
      </c>
      <c r="C2998" s="1199" t="s">
        <v>1615</v>
      </c>
      <c r="D2998" s="1199">
        <v>1253.3499999999999</v>
      </c>
      <c r="E2998" s="1199">
        <f t="shared" si="46"/>
        <v>1048.83</v>
      </c>
    </row>
    <row r="2999" spans="1:5">
      <c r="A2999" s="1003" t="s">
        <v>10551</v>
      </c>
      <c r="B2999" s="1003" t="s">
        <v>4619</v>
      </c>
      <c r="C2999" s="1199" t="s">
        <v>1615</v>
      </c>
      <c r="D2999" s="1199">
        <v>1302.04</v>
      </c>
      <c r="E2999" s="1199">
        <f t="shared" si="46"/>
        <v>1089.57</v>
      </c>
    </row>
    <row r="3000" spans="1:5">
      <c r="A3000" s="1003" t="s">
        <v>10552</v>
      </c>
      <c r="B3000" s="1003" t="s">
        <v>4620</v>
      </c>
      <c r="C3000" s="1199" t="s">
        <v>1615</v>
      </c>
      <c r="D3000" s="1199">
        <v>1368.92</v>
      </c>
      <c r="E3000" s="1199">
        <f t="shared" si="46"/>
        <v>1145.54</v>
      </c>
    </row>
    <row r="3001" spans="1:5">
      <c r="A3001" s="1003" t="s">
        <v>10553</v>
      </c>
      <c r="B3001" s="1003" t="s">
        <v>4621</v>
      </c>
      <c r="C3001" s="1199" t="s">
        <v>1615</v>
      </c>
      <c r="D3001" s="1199">
        <v>1382.39</v>
      </c>
      <c r="E3001" s="1199">
        <f t="shared" si="46"/>
        <v>1156.81</v>
      </c>
    </row>
    <row r="3002" spans="1:5">
      <c r="A3002" s="1003" t="s">
        <v>10554</v>
      </c>
      <c r="B3002" s="1003" t="s">
        <v>4607</v>
      </c>
      <c r="C3002" s="1199" t="s">
        <v>1652</v>
      </c>
      <c r="D3002" s="1199">
        <v>637.01</v>
      </c>
      <c r="E3002" s="1199">
        <f t="shared" si="46"/>
        <v>533.05999999999995</v>
      </c>
    </row>
    <row r="3003" spans="1:5">
      <c r="A3003" s="1003" t="s">
        <v>10555</v>
      </c>
      <c r="B3003" s="1003" t="s">
        <v>10556</v>
      </c>
      <c r="C3003" s="1199" t="s">
        <v>1214</v>
      </c>
      <c r="D3003" s="1199">
        <v>266.48</v>
      </c>
      <c r="E3003" s="1199">
        <f t="shared" si="46"/>
        <v>223</v>
      </c>
    </row>
    <row r="3004" spans="1:5">
      <c r="A3004" s="1003" t="s">
        <v>10557</v>
      </c>
      <c r="B3004" s="1003" t="s">
        <v>10558</v>
      </c>
      <c r="C3004" s="1199" t="s">
        <v>1214</v>
      </c>
      <c r="D3004" s="1199">
        <v>77.06</v>
      </c>
      <c r="E3004" s="1199">
        <f t="shared" si="46"/>
        <v>64.489999999999995</v>
      </c>
    </row>
    <row r="3005" spans="1:5">
      <c r="A3005" s="1003" t="s">
        <v>10559</v>
      </c>
      <c r="B3005" s="1003" t="s">
        <v>10380</v>
      </c>
      <c r="C3005" s="1199" t="s">
        <v>1214</v>
      </c>
      <c r="D3005" s="1199">
        <v>104.24</v>
      </c>
      <c r="E3005" s="1199">
        <f t="shared" si="46"/>
        <v>87.23</v>
      </c>
    </row>
    <row r="3006" spans="1:5">
      <c r="A3006" s="1003" t="s">
        <v>10560</v>
      </c>
      <c r="B3006" s="1003" t="s">
        <v>4471</v>
      </c>
      <c r="C3006" s="1199" t="s">
        <v>1240</v>
      </c>
      <c r="D3006" s="1199">
        <v>411.89</v>
      </c>
      <c r="E3006" s="1199">
        <f t="shared" si="46"/>
        <v>344.68</v>
      </c>
    </row>
    <row r="3007" spans="1:5">
      <c r="A3007" s="1003" t="s">
        <v>10561</v>
      </c>
      <c r="B3007" s="1003" t="s">
        <v>4625</v>
      </c>
      <c r="C3007" s="1199" t="s">
        <v>1240</v>
      </c>
      <c r="D3007" s="1199">
        <v>510.01</v>
      </c>
      <c r="E3007" s="1199">
        <f t="shared" si="46"/>
        <v>426.79</v>
      </c>
    </row>
    <row r="3008" spans="1:5">
      <c r="A3008" s="1003" t="s">
        <v>10562</v>
      </c>
      <c r="B3008" s="1003" t="s">
        <v>4475</v>
      </c>
      <c r="C3008" s="1199" t="s">
        <v>1240</v>
      </c>
      <c r="D3008" s="1199">
        <v>19.66</v>
      </c>
      <c r="E3008" s="1199">
        <f t="shared" si="46"/>
        <v>16.45</v>
      </c>
    </row>
    <row r="3009" spans="1:5">
      <c r="A3009" s="1003" t="s">
        <v>10563</v>
      </c>
      <c r="B3009" s="1003" t="s">
        <v>4476</v>
      </c>
      <c r="C3009" s="1199" t="s">
        <v>1214</v>
      </c>
      <c r="D3009" s="1199">
        <v>32.96</v>
      </c>
      <c r="E3009" s="1199">
        <f t="shared" si="46"/>
        <v>27.58</v>
      </c>
    </row>
    <row r="3010" spans="1:5">
      <c r="A3010" s="1003" t="s">
        <v>10564</v>
      </c>
      <c r="B3010" s="1003" t="s">
        <v>10565</v>
      </c>
      <c r="C3010" s="1199" t="s">
        <v>1615</v>
      </c>
      <c r="D3010" s="1199">
        <v>26069.16</v>
      </c>
      <c r="E3010" s="1199">
        <f t="shared" si="46"/>
        <v>21815.200000000001</v>
      </c>
    </row>
    <row r="3011" spans="1:5">
      <c r="A3011" s="1003" t="s">
        <v>10566</v>
      </c>
      <c r="B3011" s="1003" t="s">
        <v>4632</v>
      </c>
      <c r="C3011" s="1199" t="s">
        <v>1214</v>
      </c>
      <c r="D3011" s="1199">
        <v>547.16</v>
      </c>
      <c r="E3011" s="1199">
        <f t="shared" si="46"/>
        <v>457.87</v>
      </c>
    </row>
    <row r="3012" spans="1:5">
      <c r="A3012" s="1003" t="s">
        <v>10567</v>
      </c>
      <c r="B3012" s="1003" t="s">
        <v>4633</v>
      </c>
      <c r="C3012" s="1199" t="s">
        <v>1615</v>
      </c>
      <c r="D3012" s="1199">
        <v>3300.41</v>
      </c>
      <c r="E3012" s="1199">
        <f t="shared" ref="E3012:E3075" si="47">ROUND(D3012/1.195,2)</f>
        <v>2761.85</v>
      </c>
    </row>
    <row r="3013" spans="1:5">
      <c r="A3013" s="1003" t="s">
        <v>10568</v>
      </c>
      <c r="B3013" s="1003" t="s">
        <v>4634</v>
      </c>
      <c r="C3013" s="1199" t="s">
        <v>1214</v>
      </c>
      <c r="D3013" s="1199">
        <v>557.42999999999995</v>
      </c>
      <c r="E3013" s="1199">
        <f t="shared" si="47"/>
        <v>466.47</v>
      </c>
    </row>
    <row r="3014" spans="1:5">
      <c r="A3014" s="1003" t="s">
        <v>10569</v>
      </c>
      <c r="B3014" s="1003" t="s">
        <v>4635</v>
      </c>
      <c r="C3014" s="1199" t="s">
        <v>1615</v>
      </c>
      <c r="D3014" s="1199">
        <v>3543.97</v>
      </c>
      <c r="E3014" s="1199">
        <f t="shared" si="47"/>
        <v>2965.67</v>
      </c>
    </row>
    <row r="3015" spans="1:5">
      <c r="A3015" s="1003" t="s">
        <v>10570</v>
      </c>
      <c r="B3015" s="1003" t="s">
        <v>10571</v>
      </c>
      <c r="C3015" s="1199" t="s">
        <v>1214</v>
      </c>
      <c r="D3015" s="1199">
        <v>300.58</v>
      </c>
      <c r="E3015" s="1199">
        <f t="shared" si="47"/>
        <v>251.53</v>
      </c>
    </row>
    <row r="3016" spans="1:5">
      <c r="A3016" s="1003" t="s">
        <v>10572</v>
      </c>
      <c r="B3016" s="1003" t="s">
        <v>10573</v>
      </c>
      <c r="C3016" s="1199" t="s">
        <v>1214</v>
      </c>
      <c r="D3016" s="1199">
        <v>331.97</v>
      </c>
      <c r="E3016" s="1199">
        <f t="shared" si="47"/>
        <v>277.8</v>
      </c>
    </row>
    <row r="3017" spans="1:5">
      <c r="A3017" s="1003" t="s">
        <v>10574</v>
      </c>
      <c r="B3017" s="1003" t="s">
        <v>10575</v>
      </c>
      <c r="C3017" s="1199" t="s">
        <v>1240</v>
      </c>
      <c r="D3017" s="1199">
        <v>64.86</v>
      </c>
      <c r="E3017" s="1199">
        <f t="shared" si="47"/>
        <v>54.28</v>
      </c>
    </row>
    <row r="3018" spans="1:5">
      <c r="A3018" s="1003" t="s">
        <v>10576</v>
      </c>
      <c r="B3018" s="1003" t="s">
        <v>4641</v>
      </c>
      <c r="C3018" s="1199" t="s">
        <v>1214</v>
      </c>
      <c r="D3018" s="1199">
        <v>5.22</v>
      </c>
      <c r="E3018" s="1199">
        <f t="shared" si="47"/>
        <v>4.37</v>
      </c>
    </row>
    <row r="3019" spans="1:5">
      <c r="A3019" s="1003" t="s">
        <v>10577</v>
      </c>
      <c r="B3019" s="1003" t="s">
        <v>4642</v>
      </c>
      <c r="C3019" s="1199" t="s">
        <v>1240</v>
      </c>
      <c r="D3019" s="1199">
        <v>183.99</v>
      </c>
      <c r="E3019" s="1199">
        <f t="shared" si="47"/>
        <v>153.97</v>
      </c>
    </row>
    <row r="3020" spans="1:5">
      <c r="A3020" s="1003" t="s">
        <v>10578</v>
      </c>
      <c r="B3020" s="1003" t="s">
        <v>4643</v>
      </c>
      <c r="C3020" s="1199" t="s">
        <v>1240</v>
      </c>
      <c r="D3020" s="1199">
        <v>28.2</v>
      </c>
      <c r="E3020" s="1199">
        <f t="shared" si="47"/>
        <v>23.6</v>
      </c>
    </row>
    <row r="3021" spans="1:5">
      <c r="A3021" s="1003" t="s">
        <v>10579</v>
      </c>
      <c r="B3021" s="1003" t="s">
        <v>4644</v>
      </c>
      <c r="C3021" s="1199" t="s">
        <v>1240</v>
      </c>
      <c r="D3021" s="1199">
        <v>124.66</v>
      </c>
      <c r="E3021" s="1199">
        <f t="shared" si="47"/>
        <v>104.32</v>
      </c>
    </row>
    <row r="3022" spans="1:5">
      <c r="A3022" s="1003" t="s">
        <v>10580</v>
      </c>
      <c r="B3022" s="1003" t="s">
        <v>4645</v>
      </c>
      <c r="C3022" s="1199" t="s">
        <v>1240</v>
      </c>
      <c r="D3022" s="1199">
        <v>282.43</v>
      </c>
      <c r="E3022" s="1199">
        <f t="shared" si="47"/>
        <v>236.34</v>
      </c>
    </row>
    <row r="3023" spans="1:5">
      <c r="A3023" s="1003" t="s">
        <v>10581</v>
      </c>
      <c r="B3023" s="1003" t="s">
        <v>10582</v>
      </c>
      <c r="C3023" s="1199" t="s">
        <v>1240</v>
      </c>
      <c r="D3023" s="1199">
        <v>207.77</v>
      </c>
      <c r="E3023" s="1199">
        <f t="shared" si="47"/>
        <v>173.87</v>
      </c>
    </row>
    <row r="3024" spans="1:5">
      <c r="A3024" s="1003" t="s">
        <v>10583</v>
      </c>
      <c r="B3024" s="1003" t="s">
        <v>4647</v>
      </c>
      <c r="C3024" s="1199" t="s">
        <v>1214</v>
      </c>
      <c r="D3024" s="1199">
        <v>5.5</v>
      </c>
      <c r="E3024" s="1199">
        <f t="shared" si="47"/>
        <v>4.5999999999999996</v>
      </c>
    </row>
    <row r="3025" spans="1:5">
      <c r="A3025" s="1003" t="s">
        <v>10584</v>
      </c>
      <c r="B3025" s="1003" t="s">
        <v>4648</v>
      </c>
      <c r="C3025" s="1199" t="s">
        <v>1240</v>
      </c>
      <c r="D3025" s="1199">
        <v>7.66</v>
      </c>
      <c r="E3025" s="1199">
        <f t="shared" si="47"/>
        <v>6.41</v>
      </c>
    </row>
    <row r="3026" spans="1:5">
      <c r="A3026" s="1003" t="s">
        <v>10585</v>
      </c>
      <c r="B3026" s="1003" t="s">
        <v>4649</v>
      </c>
      <c r="C3026" s="1199" t="s">
        <v>1240</v>
      </c>
      <c r="D3026" s="1199">
        <v>98.06</v>
      </c>
      <c r="E3026" s="1199">
        <f t="shared" si="47"/>
        <v>82.06</v>
      </c>
    </row>
    <row r="3027" spans="1:5">
      <c r="A3027" s="1003" t="s">
        <v>10586</v>
      </c>
      <c r="B3027" s="1003" t="s">
        <v>4650</v>
      </c>
      <c r="C3027" s="1199" t="s">
        <v>1240</v>
      </c>
      <c r="D3027" s="1199">
        <v>33.729999999999997</v>
      </c>
      <c r="E3027" s="1199">
        <f t="shared" si="47"/>
        <v>28.23</v>
      </c>
    </row>
    <row r="3028" spans="1:5">
      <c r="A3028" s="1003" t="s">
        <v>10587</v>
      </c>
      <c r="B3028" s="1003" t="s">
        <v>4651</v>
      </c>
      <c r="C3028" s="1199" t="s">
        <v>1240</v>
      </c>
      <c r="D3028" s="1199">
        <v>21.22</v>
      </c>
      <c r="E3028" s="1199">
        <f t="shared" si="47"/>
        <v>17.760000000000002</v>
      </c>
    </row>
    <row r="3029" spans="1:5">
      <c r="A3029" s="1003" t="s">
        <v>10588</v>
      </c>
      <c r="B3029" s="1003" t="s">
        <v>4652</v>
      </c>
      <c r="C3029" s="1199" t="s">
        <v>1240</v>
      </c>
      <c r="D3029" s="1199">
        <v>33.64</v>
      </c>
      <c r="E3029" s="1199">
        <f t="shared" si="47"/>
        <v>28.15</v>
      </c>
    </row>
    <row r="3030" spans="1:5">
      <c r="A3030" s="1003" t="s">
        <v>10589</v>
      </c>
      <c r="B3030" s="1003" t="s">
        <v>4653</v>
      </c>
      <c r="C3030" s="1199" t="s">
        <v>1240</v>
      </c>
      <c r="D3030" s="1199">
        <v>10.62</v>
      </c>
      <c r="E3030" s="1199">
        <f t="shared" si="47"/>
        <v>8.89</v>
      </c>
    </row>
    <row r="3031" spans="1:5">
      <c r="A3031" s="1003" t="s">
        <v>10590</v>
      </c>
      <c r="B3031" s="1003" t="s">
        <v>4654</v>
      </c>
      <c r="C3031" s="1199" t="s">
        <v>1240</v>
      </c>
      <c r="D3031" s="1199">
        <v>18.190000000000001</v>
      </c>
      <c r="E3031" s="1199">
        <f t="shared" si="47"/>
        <v>15.22</v>
      </c>
    </row>
    <row r="3032" spans="1:5">
      <c r="A3032" s="1003" t="s">
        <v>10591</v>
      </c>
      <c r="B3032" s="1003" t="s">
        <v>4655</v>
      </c>
      <c r="C3032" s="1199" t="s">
        <v>1240</v>
      </c>
      <c r="D3032" s="1199">
        <v>13.31</v>
      </c>
      <c r="E3032" s="1199">
        <f t="shared" si="47"/>
        <v>11.14</v>
      </c>
    </row>
    <row r="3033" spans="1:5">
      <c r="A3033" s="1003" t="s">
        <v>10592</v>
      </c>
      <c r="B3033" s="1003" t="s">
        <v>4656</v>
      </c>
      <c r="C3033" s="1199" t="s">
        <v>1240</v>
      </c>
      <c r="D3033" s="1199">
        <v>6.72</v>
      </c>
      <c r="E3033" s="1199">
        <f t="shared" si="47"/>
        <v>5.62</v>
      </c>
    </row>
    <row r="3034" spans="1:5">
      <c r="A3034" s="1003" t="s">
        <v>10593</v>
      </c>
      <c r="B3034" s="1003" t="s">
        <v>4657</v>
      </c>
      <c r="C3034" s="1199" t="s">
        <v>1240</v>
      </c>
      <c r="D3034" s="1199">
        <v>19.75</v>
      </c>
      <c r="E3034" s="1199">
        <f t="shared" si="47"/>
        <v>16.53</v>
      </c>
    </row>
    <row r="3035" spans="1:5">
      <c r="A3035" s="1003" t="s">
        <v>10594</v>
      </c>
      <c r="B3035" s="1003" t="s">
        <v>4658</v>
      </c>
      <c r="C3035" s="1199" t="s">
        <v>1240</v>
      </c>
      <c r="D3035" s="1199">
        <v>9.0399999999999991</v>
      </c>
      <c r="E3035" s="1199">
        <f t="shared" si="47"/>
        <v>7.56</v>
      </c>
    </row>
    <row r="3036" spans="1:5">
      <c r="A3036" s="1003" t="s">
        <v>10595</v>
      </c>
      <c r="B3036" s="1003" t="s">
        <v>4659</v>
      </c>
      <c r="C3036" s="1199" t="s">
        <v>1240</v>
      </c>
      <c r="D3036" s="1199">
        <v>24.69</v>
      </c>
      <c r="E3036" s="1199">
        <f t="shared" si="47"/>
        <v>20.66</v>
      </c>
    </row>
    <row r="3037" spans="1:5">
      <c r="A3037" s="1003" t="s">
        <v>10596</v>
      </c>
      <c r="B3037" s="1003" t="s">
        <v>4660</v>
      </c>
      <c r="C3037" s="1199" t="s">
        <v>1240</v>
      </c>
      <c r="D3037" s="1199">
        <v>7.82</v>
      </c>
      <c r="E3037" s="1199">
        <f t="shared" si="47"/>
        <v>6.54</v>
      </c>
    </row>
    <row r="3038" spans="1:5">
      <c r="A3038" s="1003" t="s">
        <v>10597</v>
      </c>
      <c r="B3038" s="1003" t="s">
        <v>4661</v>
      </c>
      <c r="C3038" s="1199" t="s">
        <v>1240</v>
      </c>
      <c r="D3038" s="1199">
        <v>45.99</v>
      </c>
      <c r="E3038" s="1199">
        <f t="shared" si="47"/>
        <v>38.49</v>
      </c>
    </row>
    <row r="3039" spans="1:5">
      <c r="A3039" s="1003" t="s">
        <v>10598</v>
      </c>
      <c r="B3039" s="1003" t="s">
        <v>10599</v>
      </c>
      <c r="C3039" s="1199" t="s">
        <v>1240</v>
      </c>
      <c r="D3039" s="1199">
        <v>261.24</v>
      </c>
      <c r="E3039" s="1199">
        <f t="shared" si="47"/>
        <v>218.61</v>
      </c>
    </row>
    <row r="3040" spans="1:5">
      <c r="A3040" s="1003" t="s">
        <v>10600</v>
      </c>
      <c r="B3040" s="1003" t="s">
        <v>10601</v>
      </c>
      <c r="C3040" s="1199" t="s">
        <v>1240</v>
      </c>
      <c r="D3040" s="1199">
        <v>443.31</v>
      </c>
      <c r="E3040" s="1199">
        <f t="shared" si="47"/>
        <v>370.97</v>
      </c>
    </row>
    <row r="3041" spans="1:5">
      <c r="A3041" s="1003" t="s">
        <v>10602</v>
      </c>
      <c r="B3041" s="1003" t="s">
        <v>10603</v>
      </c>
      <c r="C3041" s="1199" t="s">
        <v>1240</v>
      </c>
      <c r="D3041" s="1199">
        <v>486.81</v>
      </c>
      <c r="E3041" s="1199">
        <f t="shared" si="47"/>
        <v>407.37</v>
      </c>
    </row>
    <row r="3042" spans="1:5">
      <c r="A3042" s="1003" t="s">
        <v>10604</v>
      </c>
      <c r="B3042" s="1003" t="s">
        <v>10605</v>
      </c>
      <c r="C3042" s="1199" t="s">
        <v>1240</v>
      </c>
      <c r="D3042" s="1199">
        <v>950.19</v>
      </c>
      <c r="E3042" s="1199">
        <f t="shared" si="47"/>
        <v>795.14</v>
      </c>
    </row>
    <row r="3043" spans="1:5">
      <c r="A3043" s="1003" t="s">
        <v>10606</v>
      </c>
      <c r="B3043" s="1003" t="s">
        <v>10607</v>
      </c>
      <c r="C3043" s="1199" t="s">
        <v>1240</v>
      </c>
      <c r="D3043" s="1199">
        <v>529.46</v>
      </c>
      <c r="E3043" s="1199">
        <f t="shared" si="47"/>
        <v>443.06</v>
      </c>
    </row>
    <row r="3044" spans="1:5">
      <c r="A3044" s="1003" t="s">
        <v>10608</v>
      </c>
      <c r="B3044" s="1003" t="s">
        <v>10609</v>
      </c>
      <c r="C3044" s="1199" t="s">
        <v>1240</v>
      </c>
      <c r="D3044" s="1199">
        <v>348.53</v>
      </c>
      <c r="E3044" s="1199">
        <f t="shared" si="47"/>
        <v>291.66000000000003</v>
      </c>
    </row>
    <row r="3045" spans="1:5">
      <c r="A3045" s="1003" t="s">
        <v>10610</v>
      </c>
      <c r="B3045" s="1003" t="s">
        <v>10611</v>
      </c>
      <c r="C3045" s="1199" t="s">
        <v>1240</v>
      </c>
      <c r="D3045" s="1199">
        <v>639.85</v>
      </c>
      <c r="E3045" s="1199">
        <f t="shared" si="47"/>
        <v>535.44000000000005</v>
      </c>
    </row>
    <row r="3046" spans="1:5">
      <c r="A3046" s="1003" t="s">
        <v>10612</v>
      </c>
      <c r="B3046" s="1003" t="s">
        <v>10613</v>
      </c>
      <c r="C3046" s="1199" t="s">
        <v>1240</v>
      </c>
      <c r="D3046" s="1199">
        <v>709.44</v>
      </c>
      <c r="E3046" s="1199">
        <f t="shared" si="47"/>
        <v>593.66999999999996</v>
      </c>
    </row>
    <row r="3047" spans="1:5">
      <c r="A3047" s="1003" t="s">
        <v>10614</v>
      </c>
      <c r="B3047" s="1003" t="s">
        <v>10615</v>
      </c>
      <c r="C3047" s="1199" t="s">
        <v>1240</v>
      </c>
      <c r="D3047" s="1199">
        <v>565.1</v>
      </c>
      <c r="E3047" s="1199">
        <f t="shared" si="47"/>
        <v>472.89</v>
      </c>
    </row>
    <row r="3048" spans="1:5">
      <c r="A3048" s="1003" t="s">
        <v>10616</v>
      </c>
      <c r="B3048" s="1003" t="s">
        <v>10617</v>
      </c>
      <c r="C3048" s="1199" t="s">
        <v>1240</v>
      </c>
      <c r="D3048" s="1199">
        <v>1074.9000000000001</v>
      </c>
      <c r="E3048" s="1199">
        <f t="shared" si="47"/>
        <v>899.5</v>
      </c>
    </row>
    <row r="3049" spans="1:5">
      <c r="A3049" s="1003" t="s">
        <v>10618</v>
      </c>
      <c r="B3049" s="1003" t="s">
        <v>10619</v>
      </c>
      <c r="C3049" s="1199" t="s">
        <v>1240</v>
      </c>
      <c r="D3049" s="1199">
        <v>1196.69</v>
      </c>
      <c r="E3049" s="1199">
        <f t="shared" si="47"/>
        <v>1001.41</v>
      </c>
    </row>
    <row r="3050" spans="1:5">
      <c r="A3050" s="1003" t="s">
        <v>10620</v>
      </c>
      <c r="B3050" s="1003" t="s">
        <v>10621</v>
      </c>
      <c r="C3050" s="1199" t="s">
        <v>1240</v>
      </c>
      <c r="D3050" s="1199">
        <v>53.69</v>
      </c>
      <c r="E3050" s="1199">
        <f t="shared" si="47"/>
        <v>44.93</v>
      </c>
    </row>
    <row r="3051" spans="1:5">
      <c r="A3051" s="1003" t="s">
        <v>10622</v>
      </c>
      <c r="B3051" s="1003" t="s">
        <v>10623</v>
      </c>
      <c r="C3051" s="1199" t="s">
        <v>1240</v>
      </c>
      <c r="D3051" s="1199">
        <v>90.1</v>
      </c>
      <c r="E3051" s="1199">
        <f t="shared" si="47"/>
        <v>75.400000000000006</v>
      </c>
    </row>
    <row r="3052" spans="1:5">
      <c r="A3052" s="1003" t="s">
        <v>10624</v>
      </c>
      <c r="B3052" s="1003" t="s">
        <v>10625</v>
      </c>
      <c r="C3052" s="1199" t="s">
        <v>1240</v>
      </c>
      <c r="D3052" s="1199">
        <v>98.8</v>
      </c>
      <c r="E3052" s="1199">
        <f t="shared" si="47"/>
        <v>82.68</v>
      </c>
    </row>
    <row r="3053" spans="1:5">
      <c r="A3053" s="1003" t="s">
        <v>10626</v>
      </c>
      <c r="B3053" s="1003" t="s">
        <v>10627</v>
      </c>
      <c r="C3053" s="1199" t="s">
        <v>1240</v>
      </c>
      <c r="D3053" s="1199">
        <v>292.81</v>
      </c>
      <c r="E3053" s="1199">
        <f t="shared" si="47"/>
        <v>245.03</v>
      </c>
    </row>
    <row r="3054" spans="1:5">
      <c r="A3054" s="1003" t="s">
        <v>10628</v>
      </c>
      <c r="B3054" s="1003" t="s">
        <v>10629</v>
      </c>
      <c r="C3054" s="1199" t="s">
        <v>1240</v>
      </c>
      <c r="D3054" s="1199">
        <v>474.88</v>
      </c>
      <c r="E3054" s="1199">
        <f t="shared" si="47"/>
        <v>397.39</v>
      </c>
    </row>
    <row r="3055" spans="1:5">
      <c r="A3055" s="1003" t="s">
        <v>10630</v>
      </c>
      <c r="B3055" s="1003" t="s">
        <v>10631</v>
      </c>
      <c r="C3055" s="1199" t="s">
        <v>1240</v>
      </c>
      <c r="D3055" s="1199">
        <v>518.38</v>
      </c>
      <c r="E3055" s="1199">
        <f t="shared" si="47"/>
        <v>433.79</v>
      </c>
    </row>
    <row r="3056" spans="1:5">
      <c r="A3056" s="1003" t="s">
        <v>10632</v>
      </c>
      <c r="B3056" s="1003" t="s">
        <v>4676</v>
      </c>
      <c r="C3056" s="1199" t="s">
        <v>1240</v>
      </c>
      <c r="D3056" s="1199">
        <v>981.76</v>
      </c>
      <c r="E3056" s="1199">
        <f t="shared" si="47"/>
        <v>821.56</v>
      </c>
    </row>
    <row r="3057" spans="1:5">
      <c r="A3057" s="1003" t="s">
        <v>10633</v>
      </c>
      <c r="B3057" s="1003" t="s">
        <v>4677</v>
      </c>
      <c r="C3057" s="1199" t="s">
        <v>4678</v>
      </c>
      <c r="D3057" s="1199">
        <v>283.52999999999997</v>
      </c>
      <c r="E3057" s="1199">
        <f t="shared" si="47"/>
        <v>237.26</v>
      </c>
    </row>
    <row r="3058" spans="1:5">
      <c r="A3058" s="1003" t="s">
        <v>10634</v>
      </c>
      <c r="B3058" s="1003" t="s">
        <v>10635</v>
      </c>
      <c r="C3058" s="1199" t="s">
        <v>1650</v>
      </c>
      <c r="D3058" s="1199">
        <v>5063.8100000000004</v>
      </c>
      <c r="E3058" s="1199">
        <f t="shared" si="47"/>
        <v>4237.5</v>
      </c>
    </row>
    <row r="3059" spans="1:5">
      <c r="A3059" s="1003" t="s">
        <v>10636</v>
      </c>
      <c r="B3059" s="1003" t="s">
        <v>10637</v>
      </c>
      <c r="C3059" s="1199" t="s">
        <v>1650</v>
      </c>
      <c r="D3059" s="1199">
        <v>5323.84</v>
      </c>
      <c r="E3059" s="1199">
        <f t="shared" si="47"/>
        <v>4455.1000000000004</v>
      </c>
    </row>
    <row r="3060" spans="1:5">
      <c r="A3060" s="1003" t="s">
        <v>10638</v>
      </c>
      <c r="B3060" s="1003" t="s">
        <v>10639</v>
      </c>
      <c r="C3060" s="1199" t="s">
        <v>1650</v>
      </c>
      <c r="D3060" s="1199">
        <v>6970.8</v>
      </c>
      <c r="E3060" s="1199">
        <f t="shared" si="47"/>
        <v>5833.31</v>
      </c>
    </row>
    <row r="3061" spans="1:5">
      <c r="A3061" s="1003" t="s">
        <v>10640</v>
      </c>
      <c r="B3061" s="1003" t="s">
        <v>4683</v>
      </c>
      <c r="C3061" s="1199" t="s">
        <v>1240</v>
      </c>
      <c r="D3061" s="1199">
        <v>326.85000000000002</v>
      </c>
      <c r="E3061" s="1199">
        <f t="shared" si="47"/>
        <v>273.51</v>
      </c>
    </row>
    <row r="3062" spans="1:5">
      <c r="A3062" s="1003" t="s">
        <v>10641</v>
      </c>
      <c r="B3062" s="1003" t="s">
        <v>4684</v>
      </c>
      <c r="C3062" s="1199" t="s">
        <v>1240</v>
      </c>
      <c r="D3062" s="1199">
        <v>9.42</v>
      </c>
      <c r="E3062" s="1199">
        <f t="shared" si="47"/>
        <v>7.88</v>
      </c>
    </row>
    <row r="3063" spans="1:5">
      <c r="A3063" s="1003" t="s">
        <v>10642</v>
      </c>
      <c r="B3063" s="1003" t="s">
        <v>4686</v>
      </c>
      <c r="C3063" s="1199" t="s">
        <v>1214</v>
      </c>
      <c r="D3063" s="1199">
        <v>5.51</v>
      </c>
      <c r="E3063" s="1199">
        <f t="shared" si="47"/>
        <v>4.6100000000000003</v>
      </c>
    </row>
    <row r="3064" spans="1:5">
      <c r="A3064" s="1003" t="s">
        <v>10643</v>
      </c>
      <c r="B3064" s="1003" t="s">
        <v>4687</v>
      </c>
      <c r="C3064" s="1199" t="s">
        <v>1650</v>
      </c>
      <c r="D3064" s="1199">
        <v>1383.1</v>
      </c>
      <c r="E3064" s="1199">
        <f t="shared" si="47"/>
        <v>1157.4100000000001</v>
      </c>
    </row>
    <row r="3065" spans="1:5">
      <c r="A3065" s="1003" t="s">
        <v>10644</v>
      </c>
      <c r="B3065" s="1003" t="s">
        <v>4689</v>
      </c>
      <c r="C3065" s="1199" t="s">
        <v>1248</v>
      </c>
      <c r="D3065" s="1199">
        <v>15.84</v>
      </c>
      <c r="E3065" s="1199">
        <f t="shared" si="47"/>
        <v>13.26</v>
      </c>
    </row>
    <row r="3066" spans="1:5">
      <c r="A3066" s="1003" t="s">
        <v>10645</v>
      </c>
      <c r="B3066" s="1003" t="s">
        <v>4690</v>
      </c>
      <c r="C3066" s="1199" t="s">
        <v>1615</v>
      </c>
      <c r="D3066" s="1199">
        <v>18.25</v>
      </c>
      <c r="E3066" s="1199">
        <f t="shared" si="47"/>
        <v>15.27</v>
      </c>
    </row>
    <row r="3067" spans="1:5">
      <c r="A3067" s="1003" t="s">
        <v>10646</v>
      </c>
      <c r="B3067" s="1003" t="s">
        <v>4692</v>
      </c>
      <c r="C3067" s="1199" t="s">
        <v>1214</v>
      </c>
      <c r="D3067" s="1199">
        <v>481.24</v>
      </c>
      <c r="E3067" s="1199">
        <f t="shared" si="47"/>
        <v>402.71</v>
      </c>
    </row>
    <row r="3068" spans="1:5">
      <c r="A3068" s="1003" t="s">
        <v>10647</v>
      </c>
      <c r="B3068" s="1003" t="s">
        <v>4693</v>
      </c>
      <c r="C3068" s="1199" t="s">
        <v>1214</v>
      </c>
      <c r="D3068" s="1199">
        <v>353.25</v>
      </c>
      <c r="E3068" s="1199">
        <f t="shared" si="47"/>
        <v>295.61</v>
      </c>
    </row>
    <row r="3069" spans="1:5">
      <c r="A3069" s="1003" t="s">
        <v>10648</v>
      </c>
      <c r="B3069" s="1003" t="s">
        <v>4694</v>
      </c>
      <c r="C3069" s="1199" t="s">
        <v>1214</v>
      </c>
      <c r="D3069" s="1199">
        <v>512.96</v>
      </c>
      <c r="E3069" s="1199">
        <f t="shared" si="47"/>
        <v>429.26</v>
      </c>
    </row>
    <row r="3070" spans="1:5">
      <c r="A3070" s="1003" t="s">
        <v>10649</v>
      </c>
      <c r="B3070" s="1003" t="s">
        <v>4695</v>
      </c>
      <c r="C3070" s="1199" t="s">
        <v>1240</v>
      </c>
      <c r="D3070" s="1199">
        <v>15.39</v>
      </c>
      <c r="E3070" s="1199">
        <f t="shared" si="47"/>
        <v>12.88</v>
      </c>
    </row>
    <row r="3071" spans="1:5">
      <c r="A3071" s="1003" t="s">
        <v>10650</v>
      </c>
      <c r="B3071" s="1003" t="s">
        <v>4696</v>
      </c>
      <c r="C3071" s="1199" t="s">
        <v>1615</v>
      </c>
      <c r="D3071" s="1199">
        <v>11.49</v>
      </c>
      <c r="E3071" s="1199">
        <f t="shared" si="47"/>
        <v>9.6199999999999992</v>
      </c>
    </row>
    <row r="3072" spans="1:5">
      <c r="A3072" s="1003" t="s">
        <v>10651</v>
      </c>
      <c r="B3072" s="1003" t="s">
        <v>4697</v>
      </c>
      <c r="C3072" s="1199" t="s">
        <v>1615</v>
      </c>
      <c r="D3072" s="1199">
        <v>31.39</v>
      </c>
      <c r="E3072" s="1199">
        <f t="shared" si="47"/>
        <v>26.27</v>
      </c>
    </row>
    <row r="3073" spans="1:5">
      <c r="A3073" s="1003" t="s">
        <v>10652</v>
      </c>
      <c r="B3073" s="1003" t="s">
        <v>4698</v>
      </c>
      <c r="C3073" s="1199" t="s">
        <v>1615</v>
      </c>
      <c r="D3073" s="1199">
        <v>20.440000000000001</v>
      </c>
      <c r="E3073" s="1199">
        <f t="shared" si="47"/>
        <v>17.100000000000001</v>
      </c>
    </row>
    <row r="3074" spans="1:5">
      <c r="A3074" s="1003" t="s">
        <v>10653</v>
      </c>
      <c r="B3074" s="1003" t="s">
        <v>4699</v>
      </c>
      <c r="C3074" s="1199" t="s">
        <v>1615</v>
      </c>
      <c r="D3074" s="1199">
        <v>9.59</v>
      </c>
      <c r="E3074" s="1199">
        <f t="shared" si="47"/>
        <v>8.0299999999999994</v>
      </c>
    </row>
    <row r="3075" spans="1:5">
      <c r="A3075" s="1003" t="s">
        <v>1132</v>
      </c>
      <c r="B3075" s="1003" t="s">
        <v>4700</v>
      </c>
      <c r="C3075" s="1199" t="s">
        <v>1615</v>
      </c>
      <c r="D3075" s="1199">
        <v>28.76</v>
      </c>
      <c r="E3075" s="1199">
        <f t="shared" si="47"/>
        <v>24.07</v>
      </c>
    </row>
    <row r="3076" spans="1:5">
      <c r="A3076" s="1003" t="s">
        <v>10654</v>
      </c>
      <c r="B3076" s="1003" t="s">
        <v>4701</v>
      </c>
      <c r="C3076" s="1199" t="s">
        <v>1615</v>
      </c>
      <c r="D3076" s="1199">
        <v>18.77</v>
      </c>
      <c r="E3076" s="1199">
        <f t="shared" ref="E3076:E3139" si="48">ROUND(D3076/1.195,2)</f>
        <v>15.71</v>
      </c>
    </row>
    <row r="3077" spans="1:5">
      <c r="A3077" s="1003" t="s">
        <v>10655</v>
      </c>
      <c r="B3077" s="1003" t="s">
        <v>4702</v>
      </c>
      <c r="C3077" s="1199" t="s">
        <v>1615</v>
      </c>
      <c r="D3077" s="1199">
        <v>6.35</v>
      </c>
      <c r="E3077" s="1199">
        <f t="shared" si="48"/>
        <v>5.31</v>
      </c>
    </row>
    <row r="3078" spans="1:5">
      <c r="A3078" s="1003" t="s">
        <v>10656</v>
      </c>
      <c r="B3078" s="1003" t="s">
        <v>4703</v>
      </c>
      <c r="C3078" s="1199" t="s">
        <v>1615</v>
      </c>
      <c r="D3078" s="1199">
        <v>20.96</v>
      </c>
      <c r="E3078" s="1199">
        <f t="shared" si="48"/>
        <v>17.54</v>
      </c>
    </row>
    <row r="3079" spans="1:5">
      <c r="A3079" s="1003" t="s">
        <v>10657</v>
      </c>
      <c r="B3079" s="1003" t="s">
        <v>4704</v>
      </c>
      <c r="C3079" s="1199" t="s">
        <v>1615</v>
      </c>
      <c r="D3079" s="1199">
        <v>16.61</v>
      </c>
      <c r="E3079" s="1199">
        <f t="shared" si="48"/>
        <v>13.9</v>
      </c>
    </row>
    <row r="3080" spans="1:5">
      <c r="A3080" s="1003" t="s">
        <v>10658</v>
      </c>
      <c r="B3080" s="1003" t="s">
        <v>4705</v>
      </c>
      <c r="C3080" s="1199" t="s">
        <v>1615</v>
      </c>
      <c r="D3080" s="1199">
        <v>5.37</v>
      </c>
      <c r="E3080" s="1199">
        <f t="shared" si="48"/>
        <v>4.49</v>
      </c>
    </row>
    <row r="3081" spans="1:5">
      <c r="A3081" s="1003" t="s">
        <v>10659</v>
      </c>
      <c r="B3081" s="1003" t="s">
        <v>4706</v>
      </c>
      <c r="C3081" s="1199" t="s">
        <v>1615</v>
      </c>
      <c r="D3081" s="1199">
        <v>17.46</v>
      </c>
      <c r="E3081" s="1199">
        <f t="shared" si="48"/>
        <v>14.61</v>
      </c>
    </row>
    <row r="3082" spans="1:5">
      <c r="A3082" s="1003" t="s">
        <v>10660</v>
      </c>
      <c r="B3082" s="1003" t="s">
        <v>4707</v>
      </c>
      <c r="C3082" s="1199" t="s">
        <v>1615</v>
      </c>
      <c r="D3082" s="1199">
        <v>18.84</v>
      </c>
      <c r="E3082" s="1199">
        <f t="shared" si="48"/>
        <v>15.77</v>
      </c>
    </row>
    <row r="3083" spans="1:5">
      <c r="A3083" s="1003" t="s">
        <v>10661</v>
      </c>
      <c r="B3083" s="1003" t="s">
        <v>10662</v>
      </c>
      <c r="C3083" s="1199" t="s">
        <v>1214</v>
      </c>
      <c r="D3083" s="1199">
        <v>64.239999999999995</v>
      </c>
      <c r="E3083" s="1199">
        <f t="shared" si="48"/>
        <v>53.76</v>
      </c>
    </row>
    <row r="3084" spans="1:5">
      <c r="A3084" s="1003" t="s">
        <v>10663</v>
      </c>
      <c r="B3084" s="1003" t="s">
        <v>10664</v>
      </c>
      <c r="C3084" s="1199" t="s">
        <v>1214</v>
      </c>
      <c r="D3084" s="1199">
        <v>76</v>
      </c>
      <c r="E3084" s="1199">
        <f t="shared" si="48"/>
        <v>63.6</v>
      </c>
    </row>
    <row r="3085" spans="1:5">
      <c r="A3085" s="1003" t="s">
        <v>10665</v>
      </c>
      <c r="B3085" s="1003" t="s">
        <v>10666</v>
      </c>
      <c r="C3085" s="1199" t="s">
        <v>1214</v>
      </c>
      <c r="D3085" s="1199">
        <v>102.12</v>
      </c>
      <c r="E3085" s="1199">
        <f t="shared" si="48"/>
        <v>85.46</v>
      </c>
    </row>
    <row r="3086" spans="1:5">
      <c r="A3086" s="1003" t="s">
        <v>10667</v>
      </c>
      <c r="B3086" s="1003" t="s">
        <v>10668</v>
      </c>
      <c r="C3086" s="1199" t="s">
        <v>1214</v>
      </c>
      <c r="D3086" s="1199">
        <v>125.64</v>
      </c>
      <c r="E3086" s="1199">
        <f t="shared" si="48"/>
        <v>105.14</v>
      </c>
    </row>
    <row r="3087" spans="1:5">
      <c r="A3087" s="1003" t="s">
        <v>10669</v>
      </c>
      <c r="B3087" s="1003" t="s">
        <v>10670</v>
      </c>
      <c r="C3087" s="1199" t="s">
        <v>1214</v>
      </c>
      <c r="D3087" s="1199">
        <v>175.19</v>
      </c>
      <c r="E3087" s="1199">
        <f t="shared" si="48"/>
        <v>146.6</v>
      </c>
    </row>
    <row r="3088" spans="1:5">
      <c r="A3088" s="1003" t="s">
        <v>10671</v>
      </c>
      <c r="B3088" s="1003" t="s">
        <v>10672</v>
      </c>
      <c r="C3088" s="1199" t="s">
        <v>1615</v>
      </c>
      <c r="D3088" s="1199">
        <v>373.62</v>
      </c>
      <c r="E3088" s="1199">
        <f t="shared" si="48"/>
        <v>312.64999999999998</v>
      </c>
    </row>
    <row r="3089" spans="1:5">
      <c r="A3089" s="1003" t="s">
        <v>10673</v>
      </c>
      <c r="B3089" s="1003" t="s">
        <v>10674</v>
      </c>
      <c r="C3089" s="1199" t="s">
        <v>1652</v>
      </c>
      <c r="D3089" s="1199">
        <v>637.01</v>
      </c>
      <c r="E3089" s="1199">
        <f t="shared" si="48"/>
        <v>533.05999999999995</v>
      </c>
    </row>
    <row r="3090" spans="1:5">
      <c r="A3090" s="1003" t="s">
        <v>10675</v>
      </c>
      <c r="B3090" s="1003" t="s">
        <v>4709</v>
      </c>
      <c r="C3090" s="1199" t="s">
        <v>1615</v>
      </c>
      <c r="D3090" s="1199">
        <v>89.89</v>
      </c>
      <c r="E3090" s="1199">
        <f t="shared" si="48"/>
        <v>75.22</v>
      </c>
    </row>
    <row r="3091" spans="1:5">
      <c r="A3091" s="1003" t="s">
        <v>10676</v>
      </c>
      <c r="B3091" s="1003" t="s">
        <v>4710</v>
      </c>
      <c r="C3091" s="1199" t="s">
        <v>1615</v>
      </c>
      <c r="D3091" s="1199">
        <v>36.96</v>
      </c>
      <c r="E3091" s="1199">
        <f t="shared" si="48"/>
        <v>30.93</v>
      </c>
    </row>
    <row r="3092" spans="1:5">
      <c r="A3092" s="1003" t="s">
        <v>10677</v>
      </c>
      <c r="B3092" s="1003" t="s">
        <v>4711</v>
      </c>
      <c r="C3092" s="1199" t="s">
        <v>1615</v>
      </c>
      <c r="D3092" s="1199">
        <v>26.29</v>
      </c>
      <c r="E3092" s="1199">
        <f t="shared" si="48"/>
        <v>22</v>
      </c>
    </row>
    <row r="3093" spans="1:5">
      <c r="A3093" s="1003" t="s">
        <v>10678</v>
      </c>
      <c r="B3093" s="1003" t="s">
        <v>10679</v>
      </c>
      <c r="C3093" s="1199" t="s">
        <v>1652</v>
      </c>
      <c r="D3093" s="1199">
        <v>637.01</v>
      </c>
      <c r="E3093" s="1199">
        <f t="shared" si="48"/>
        <v>533.05999999999995</v>
      </c>
    </row>
    <row r="3094" spans="1:5">
      <c r="A3094" s="1003" t="s">
        <v>10680</v>
      </c>
      <c r="B3094" s="1003" t="s">
        <v>4713</v>
      </c>
      <c r="C3094" s="1199" t="s">
        <v>1615</v>
      </c>
      <c r="D3094" s="1199">
        <v>38.049999999999997</v>
      </c>
      <c r="E3094" s="1199">
        <f t="shared" si="48"/>
        <v>31.84</v>
      </c>
    </row>
    <row r="3095" spans="1:5">
      <c r="A3095" s="1003" t="s">
        <v>10681</v>
      </c>
      <c r="B3095" s="1003" t="s">
        <v>4714</v>
      </c>
      <c r="C3095" s="1199" t="s">
        <v>1615</v>
      </c>
      <c r="D3095" s="1199">
        <v>14.13</v>
      </c>
      <c r="E3095" s="1199">
        <f t="shared" si="48"/>
        <v>11.82</v>
      </c>
    </row>
    <row r="3096" spans="1:5">
      <c r="A3096" s="1003" t="s">
        <v>10682</v>
      </c>
      <c r="B3096" s="1003" t="s">
        <v>10683</v>
      </c>
      <c r="C3096" s="1199" t="s">
        <v>1615</v>
      </c>
      <c r="D3096" s="1199">
        <v>8.67</v>
      </c>
      <c r="E3096" s="1199">
        <f t="shared" si="48"/>
        <v>7.26</v>
      </c>
    </row>
    <row r="3097" spans="1:5">
      <c r="A3097" s="1003" t="s">
        <v>10684</v>
      </c>
      <c r="B3097" s="1003" t="s">
        <v>4716</v>
      </c>
      <c r="C3097" s="1199" t="s">
        <v>1615</v>
      </c>
      <c r="D3097" s="1199">
        <v>15.37</v>
      </c>
      <c r="E3097" s="1199">
        <f t="shared" si="48"/>
        <v>12.86</v>
      </c>
    </row>
    <row r="3098" spans="1:5">
      <c r="A3098" s="1003" t="s">
        <v>10685</v>
      </c>
      <c r="B3098" s="1003" t="s">
        <v>4718</v>
      </c>
      <c r="C3098" s="1199" t="s">
        <v>4678</v>
      </c>
      <c r="D3098" s="1199">
        <v>111.33</v>
      </c>
      <c r="E3098" s="1199">
        <f t="shared" si="48"/>
        <v>93.16</v>
      </c>
    </row>
    <row r="3099" spans="1:5">
      <c r="A3099" s="1003" t="s">
        <v>10686</v>
      </c>
      <c r="B3099" s="1003" t="s">
        <v>4719</v>
      </c>
      <c r="C3099" s="1199" t="s">
        <v>4678</v>
      </c>
      <c r="D3099" s="1199">
        <v>163.71</v>
      </c>
      <c r="E3099" s="1199">
        <f t="shared" si="48"/>
        <v>137</v>
      </c>
    </row>
    <row r="3100" spans="1:5">
      <c r="A3100" s="1003" t="s">
        <v>10687</v>
      </c>
      <c r="B3100" s="1003" t="s">
        <v>4721</v>
      </c>
      <c r="C3100" s="1199" t="s">
        <v>1240</v>
      </c>
      <c r="D3100" s="1199">
        <v>18.98</v>
      </c>
      <c r="E3100" s="1199">
        <f t="shared" si="48"/>
        <v>15.88</v>
      </c>
    </row>
    <row r="3101" spans="1:5">
      <c r="A3101" s="1003" t="s">
        <v>10688</v>
      </c>
      <c r="B3101" s="1003" t="s">
        <v>4722</v>
      </c>
      <c r="C3101" s="1199" t="s">
        <v>1240</v>
      </c>
      <c r="D3101" s="1199">
        <v>107.2</v>
      </c>
      <c r="E3101" s="1199">
        <f t="shared" si="48"/>
        <v>89.71</v>
      </c>
    </row>
    <row r="3102" spans="1:5">
      <c r="A3102" s="1003" t="s">
        <v>10689</v>
      </c>
      <c r="B3102" s="1003" t="s">
        <v>4724</v>
      </c>
      <c r="C3102" s="1199" t="s">
        <v>1240</v>
      </c>
      <c r="D3102" s="1199">
        <v>11.1</v>
      </c>
      <c r="E3102" s="1199">
        <f t="shared" si="48"/>
        <v>9.2899999999999991</v>
      </c>
    </row>
    <row r="3103" spans="1:5">
      <c r="A3103" s="1003" t="s">
        <v>10690</v>
      </c>
      <c r="B3103" s="1003" t="s">
        <v>4725</v>
      </c>
      <c r="C3103" s="1199" t="s">
        <v>1240</v>
      </c>
      <c r="D3103" s="1199">
        <v>16.670000000000002</v>
      </c>
      <c r="E3103" s="1199">
        <f t="shared" si="48"/>
        <v>13.95</v>
      </c>
    </row>
    <row r="3104" spans="1:5">
      <c r="A3104" s="1003" t="s">
        <v>10691</v>
      </c>
      <c r="B3104" s="1003" t="s">
        <v>4726</v>
      </c>
      <c r="C3104" s="1199" t="s">
        <v>1240</v>
      </c>
      <c r="D3104" s="1199">
        <v>18.82</v>
      </c>
      <c r="E3104" s="1199">
        <f t="shared" si="48"/>
        <v>15.75</v>
      </c>
    </row>
    <row r="3105" spans="1:5">
      <c r="A3105" s="1003" t="s">
        <v>10692</v>
      </c>
      <c r="B3105" s="1003" t="s">
        <v>4727</v>
      </c>
      <c r="C3105" s="1199" t="s">
        <v>1240</v>
      </c>
      <c r="D3105" s="1199">
        <v>6.5</v>
      </c>
      <c r="E3105" s="1199">
        <f t="shared" si="48"/>
        <v>5.44</v>
      </c>
    </row>
    <row r="3106" spans="1:5">
      <c r="A3106" s="1003" t="s">
        <v>10693</v>
      </c>
      <c r="B3106" s="1003" t="s">
        <v>4728</v>
      </c>
      <c r="C3106" s="1199" t="s">
        <v>1240</v>
      </c>
      <c r="D3106" s="1199">
        <v>23.04</v>
      </c>
      <c r="E3106" s="1199">
        <f t="shared" si="48"/>
        <v>19.28</v>
      </c>
    </row>
    <row r="3107" spans="1:5">
      <c r="A3107" s="1003" t="s">
        <v>10694</v>
      </c>
      <c r="B3107" s="1003" t="s">
        <v>4729</v>
      </c>
      <c r="C3107" s="1199" t="s">
        <v>1240</v>
      </c>
      <c r="D3107" s="1199">
        <v>58.25</v>
      </c>
      <c r="E3107" s="1199">
        <f t="shared" si="48"/>
        <v>48.74</v>
      </c>
    </row>
    <row r="3108" spans="1:5">
      <c r="A3108" s="1003" t="s">
        <v>10695</v>
      </c>
      <c r="B3108" s="1003" t="s">
        <v>10696</v>
      </c>
      <c r="C3108" s="1199" t="s">
        <v>1240</v>
      </c>
      <c r="D3108" s="1199">
        <v>32.25</v>
      </c>
      <c r="E3108" s="1199">
        <f t="shared" si="48"/>
        <v>26.99</v>
      </c>
    </row>
    <row r="3109" spans="1:5">
      <c r="A3109" s="1003" t="s">
        <v>10697</v>
      </c>
      <c r="B3109" s="1003" t="s">
        <v>10698</v>
      </c>
      <c r="C3109" s="1199" t="s">
        <v>1240</v>
      </c>
      <c r="D3109" s="1199">
        <v>31.46</v>
      </c>
      <c r="E3109" s="1199">
        <f t="shared" si="48"/>
        <v>26.33</v>
      </c>
    </row>
    <row r="3110" spans="1:5">
      <c r="A3110" s="1003" t="s">
        <v>10699</v>
      </c>
      <c r="B3110" s="1003" t="s">
        <v>4732</v>
      </c>
      <c r="C3110" s="1199" t="s">
        <v>1240</v>
      </c>
      <c r="D3110" s="1199">
        <v>47.84</v>
      </c>
      <c r="E3110" s="1199">
        <f t="shared" si="48"/>
        <v>40.03</v>
      </c>
    </row>
    <row r="3111" spans="1:5">
      <c r="A3111" s="1003" t="s">
        <v>10700</v>
      </c>
      <c r="B3111" s="1003" t="s">
        <v>4733</v>
      </c>
      <c r="C3111" s="1199" t="s">
        <v>1240</v>
      </c>
      <c r="D3111" s="1199">
        <v>44.22</v>
      </c>
      <c r="E3111" s="1199">
        <f t="shared" si="48"/>
        <v>37</v>
      </c>
    </row>
    <row r="3112" spans="1:5">
      <c r="A3112" s="1003" t="s">
        <v>10701</v>
      </c>
      <c r="B3112" s="1003" t="s">
        <v>4734</v>
      </c>
      <c r="C3112" s="1199" t="s">
        <v>1240</v>
      </c>
      <c r="D3112" s="1199">
        <v>39.369999999999997</v>
      </c>
      <c r="E3112" s="1199">
        <f t="shared" si="48"/>
        <v>32.950000000000003</v>
      </c>
    </row>
    <row r="3113" spans="1:5">
      <c r="A3113" s="1003" t="s">
        <v>10702</v>
      </c>
      <c r="B3113" s="1003" t="s">
        <v>10703</v>
      </c>
      <c r="C3113" s="1199" t="s">
        <v>1240</v>
      </c>
      <c r="D3113" s="1199">
        <v>48.23</v>
      </c>
      <c r="E3113" s="1199">
        <f t="shared" si="48"/>
        <v>40.36</v>
      </c>
    </row>
    <row r="3114" spans="1:5">
      <c r="A3114" s="1003" t="s">
        <v>10704</v>
      </c>
      <c r="B3114" s="1003" t="s">
        <v>10705</v>
      </c>
      <c r="C3114" s="1199" t="s">
        <v>1240</v>
      </c>
      <c r="D3114" s="1199">
        <v>33.15</v>
      </c>
      <c r="E3114" s="1199">
        <f t="shared" si="48"/>
        <v>27.74</v>
      </c>
    </row>
    <row r="3115" spans="1:5">
      <c r="A3115" s="1003" t="s">
        <v>10706</v>
      </c>
      <c r="B3115" s="1003" t="s">
        <v>4737</v>
      </c>
      <c r="C3115" s="1199" t="s">
        <v>1240</v>
      </c>
      <c r="D3115" s="1199">
        <v>75.150000000000006</v>
      </c>
      <c r="E3115" s="1199">
        <f t="shared" si="48"/>
        <v>62.89</v>
      </c>
    </row>
    <row r="3116" spans="1:5">
      <c r="A3116" s="1003" t="s">
        <v>10707</v>
      </c>
      <c r="B3116" s="1003" t="s">
        <v>4738</v>
      </c>
      <c r="C3116" s="1199" t="s">
        <v>1240</v>
      </c>
      <c r="D3116" s="1199">
        <v>75.8</v>
      </c>
      <c r="E3116" s="1199">
        <f t="shared" si="48"/>
        <v>63.43</v>
      </c>
    </row>
    <row r="3117" spans="1:5">
      <c r="A3117" s="1003" t="s">
        <v>10708</v>
      </c>
      <c r="B3117" s="1003" t="s">
        <v>4739</v>
      </c>
      <c r="C3117" s="1199" t="s">
        <v>1240</v>
      </c>
      <c r="D3117" s="1199">
        <v>52.87</v>
      </c>
      <c r="E3117" s="1199">
        <f t="shared" si="48"/>
        <v>44.24</v>
      </c>
    </row>
    <row r="3118" spans="1:5">
      <c r="A3118" s="1003" t="s">
        <v>10709</v>
      </c>
      <c r="B3118" s="1003" t="s">
        <v>4740</v>
      </c>
      <c r="C3118" s="1199" t="s">
        <v>1240</v>
      </c>
      <c r="D3118" s="1199">
        <v>92.24</v>
      </c>
      <c r="E3118" s="1199">
        <f t="shared" si="48"/>
        <v>77.19</v>
      </c>
    </row>
    <row r="3119" spans="1:5">
      <c r="A3119" s="1003" t="s">
        <v>10710</v>
      </c>
      <c r="B3119" s="1003" t="s">
        <v>4741</v>
      </c>
      <c r="C3119" s="1199" t="s">
        <v>1240</v>
      </c>
      <c r="D3119" s="1199">
        <v>132.05000000000001</v>
      </c>
      <c r="E3119" s="1199">
        <f t="shared" si="48"/>
        <v>110.5</v>
      </c>
    </row>
    <row r="3120" spans="1:5">
      <c r="A3120" s="1003" t="s">
        <v>10711</v>
      </c>
      <c r="B3120" s="1003" t="s">
        <v>4742</v>
      </c>
      <c r="C3120" s="1199" t="s">
        <v>1240</v>
      </c>
      <c r="D3120" s="1199">
        <v>135.65</v>
      </c>
      <c r="E3120" s="1199">
        <f t="shared" si="48"/>
        <v>113.51</v>
      </c>
    </row>
    <row r="3121" spans="1:5">
      <c r="A3121" s="1003" t="s">
        <v>1137</v>
      </c>
      <c r="B3121" s="1003" t="s">
        <v>4744</v>
      </c>
      <c r="C3121" s="1199" t="s">
        <v>4678</v>
      </c>
      <c r="D3121" s="1199">
        <v>211.52</v>
      </c>
      <c r="E3121" s="1199">
        <f t="shared" si="48"/>
        <v>177</v>
      </c>
    </row>
    <row r="3122" spans="1:5">
      <c r="A3122" s="1003" t="s">
        <v>10712</v>
      </c>
      <c r="B3122" s="1003" t="s">
        <v>10713</v>
      </c>
      <c r="C3122" s="1199" t="s">
        <v>1615</v>
      </c>
      <c r="D3122" s="1199">
        <v>23.91</v>
      </c>
      <c r="E3122" s="1199">
        <f t="shared" si="48"/>
        <v>20.010000000000002</v>
      </c>
    </row>
    <row r="3123" spans="1:5">
      <c r="A3123" s="1003" t="s">
        <v>10714</v>
      </c>
      <c r="B3123" s="1003" t="s">
        <v>10715</v>
      </c>
      <c r="C3123" s="1199" t="s">
        <v>1240</v>
      </c>
      <c r="D3123" s="1199">
        <v>2.0299999999999998</v>
      </c>
      <c r="E3123" s="1199">
        <f t="shared" si="48"/>
        <v>1.7</v>
      </c>
    </row>
    <row r="3124" spans="1:5">
      <c r="A3124" s="1003" t="s">
        <v>10716</v>
      </c>
      <c r="B3124" s="1003" t="s">
        <v>4748</v>
      </c>
      <c r="C3124" s="1199" t="s">
        <v>1650</v>
      </c>
      <c r="D3124" s="1199">
        <v>239.19</v>
      </c>
      <c r="E3124" s="1199">
        <f t="shared" si="48"/>
        <v>200.16</v>
      </c>
    </row>
    <row r="3125" spans="1:5">
      <c r="A3125" s="1003" t="s">
        <v>10717</v>
      </c>
      <c r="B3125" s="1003" t="s">
        <v>4749</v>
      </c>
      <c r="C3125" s="1199" t="s">
        <v>1650</v>
      </c>
      <c r="D3125" s="1199">
        <v>152.63999999999999</v>
      </c>
      <c r="E3125" s="1199">
        <f t="shared" si="48"/>
        <v>127.73</v>
      </c>
    </row>
    <row r="3126" spans="1:5">
      <c r="A3126" s="1003" t="s">
        <v>10718</v>
      </c>
      <c r="B3126" s="1003" t="s">
        <v>1690</v>
      </c>
      <c r="C3126" s="1199" t="s">
        <v>1652</v>
      </c>
      <c r="D3126" s="1199">
        <v>637.01</v>
      </c>
      <c r="E3126" s="1199">
        <f t="shared" si="48"/>
        <v>533.05999999999995</v>
      </c>
    </row>
    <row r="3127" spans="1:5">
      <c r="A3127" s="1003" t="s">
        <v>10719</v>
      </c>
      <c r="B3127" s="1003" t="s">
        <v>10720</v>
      </c>
      <c r="C3127" s="1199" t="s">
        <v>1240</v>
      </c>
      <c r="D3127" s="1199">
        <v>113.91</v>
      </c>
      <c r="E3127" s="1199">
        <f t="shared" si="48"/>
        <v>95.32</v>
      </c>
    </row>
    <row r="3128" spans="1:5">
      <c r="A3128" s="1003" t="s">
        <v>10721</v>
      </c>
      <c r="B3128" s="1003" t="s">
        <v>4753</v>
      </c>
      <c r="C3128" s="1199" t="s">
        <v>1248</v>
      </c>
      <c r="D3128" s="1199">
        <v>49.3</v>
      </c>
      <c r="E3128" s="1199">
        <f t="shared" si="48"/>
        <v>41.26</v>
      </c>
    </row>
    <row r="3129" spans="1:5">
      <c r="A3129" s="1003" t="s">
        <v>10722</v>
      </c>
      <c r="B3129" s="1003" t="s">
        <v>4754</v>
      </c>
      <c r="C3129" s="1199" t="s">
        <v>1214</v>
      </c>
      <c r="D3129" s="1199">
        <v>91.77</v>
      </c>
      <c r="E3129" s="1199">
        <f t="shared" si="48"/>
        <v>76.790000000000006</v>
      </c>
    </row>
    <row r="3130" spans="1:5">
      <c r="A3130" s="1003" t="s">
        <v>10723</v>
      </c>
      <c r="B3130" s="1003" t="s">
        <v>4755</v>
      </c>
      <c r="C3130" s="1199" t="s">
        <v>1240</v>
      </c>
      <c r="D3130" s="1199">
        <v>82.82</v>
      </c>
      <c r="E3130" s="1199">
        <f t="shared" si="48"/>
        <v>69.31</v>
      </c>
    </row>
    <row r="3131" spans="1:5">
      <c r="A3131" s="1003" t="s">
        <v>10724</v>
      </c>
      <c r="B3131" s="1003" t="s">
        <v>4756</v>
      </c>
      <c r="C3131" s="1199" t="s">
        <v>1240</v>
      </c>
      <c r="D3131" s="1199">
        <v>104.23</v>
      </c>
      <c r="E3131" s="1199">
        <f t="shared" si="48"/>
        <v>87.22</v>
      </c>
    </row>
    <row r="3132" spans="1:5">
      <c r="A3132" s="1003" t="s">
        <v>10725</v>
      </c>
      <c r="B3132" s="1003" t="s">
        <v>4757</v>
      </c>
      <c r="C3132" s="1199" t="s">
        <v>1240</v>
      </c>
      <c r="D3132" s="1199">
        <v>89.89</v>
      </c>
      <c r="E3132" s="1199">
        <f t="shared" si="48"/>
        <v>75.22</v>
      </c>
    </row>
    <row r="3133" spans="1:5">
      <c r="A3133" s="1003" t="s">
        <v>10726</v>
      </c>
      <c r="B3133" s="1003" t="s">
        <v>4759</v>
      </c>
      <c r="C3133" s="1199" t="s">
        <v>1214</v>
      </c>
      <c r="D3133" s="1199">
        <v>129.99</v>
      </c>
      <c r="E3133" s="1199">
        <f t="shared" si="48"/>
        <v>108.78</v>
      </c>
    </row>
    <row r="3134" spans="1:5">
      <c r="A3134" s="1003" t="s">
        <v>10727</v>
      </c>
      <c r="B3134" s="1003" t="s">
        <v>4760</v>
      </c>
      <c r="C3134" s="1199" t="s">
        <v>1240</v>
      </c>
      <c r="D3134" s="1199">
        <v>57.69</v>
      </c>
      <c r="E3134" s="1199">
        <f t="shared" si="48"/>
        <v>48.28</v>
      </c>
    </row>
    <row r="3135" spans="1:5">
      <c r="A3135" s="1003" t="s">
        <v>10728</v>
      </c>
      <c r="B3135" s="1003" t="s">
        <v>9602</v>
      </c>
      <c r="C3135" s="1199" t="s">
        <v>1240</v>
      </c>
      <c r="D3135" s="1199">
        <v>19.97</v>
      </c>
      <c r="E3135" s="1199">
        <f t="shared" si="48"/>
        <v>16.71</v>
      </c>
    </row>
    <row r="3136" spans="1:5">
      <c r="A3136" s="1003" t="s">
        <v>10729</v>
      </c>
      <c r="B3136" s="1003" t="s">
        <v>9610</v>
      </c>
      <c r="C3136" s="1199" t="s">
        <v>1240</v>
      </c>
      <c r="D3136" s="1199">
        <v>5.57</v>
      </c>
      <c r="E3136" s="1199">
        <f t="shared" si="48"/>
        <v>4.66</v>
      </c>
    </row>
    <row r="3137" spans="1:6">
      <c r="A3137" s="1003" t="s">
        <v>10730</v>
      </c>
      <c r="B3137" s="1003" t="s">
        <v>9630</v>
      </c>
      <c r="C3137" s="1199" t="s">
        <v>1240</v>
      </c>
      <c r="D3137" s="1199">
        <v>18.8</v>
      </c>
      <c r="E3137" s="1199">
        <f t="shared" si="48"/>
        <v>15.73</v>
      </c>
    </row>
    <row r="3138" spans="1:6">
      <c r="A3138" s="1003" t="s">
        <v>10731</v>
      </c>
      <c r="B3138" s="1003" t="s">
        <v>9632</v>
      </c>
      <c r="C3138" s="1199" t="s">
        <v>1240</v>
      </c>
      <c r="D3138" s="1199">
        <v>44.04</v>
      </c>
      <c r="E3138" s="1199">
        <f t="shared" si="48"/>
        <v>36.85</v>
      </c>
    </row>
    <row r="3139" spans="1:6">
      <c r="A3139" s="1003" t="s">
        <v>10732</v>
      </c>
      <c r="B3139" s="1003" t="s">
        <v>9606</v>
      </c>
      <c r="C3139" s="1199" t="s">
        <v>1240</v>
      </c>
      <c r="D3139" s="1199">
        <v>33.54</v>
      </c>
      <c r="E3139" s="1199">
        <f t="shared" si="48"/>
        <v>28.07</v>
      </c>
    </row>
    <row r="3140" spans="1:6">
      <c r="A3140" s="1003" t="s">
        <v>10733</v>
      </c>
      <c r="B3140" s="1003" t="s">
        <v>9634</v>
      </c>
      <c r="C3140" s="1199" t="s">
        <v>1240</v>
      </c>
      <c r="D3140" s="1199">
        <v>78.73</v>
      </c>
      <c r="E3140" s="1199">
        <f t="shared" ref="E3140:E3203" si="49">ROUND(D3140/1.195,2)</f>
        <v>65.88</v>
      </c>
    </row>
    <row r="3141" spans="1:6">
      <c r="A3141" s="1003" t="s">
        <v>10734</v>
      </c>
      <c r="B3141" s="1003" t="s">
        <v>4763</v>
      </c>
      <c r="C3141" s="1199" t="s">
        <v>1615</v>
      </c>
      <c r="D3141" s="1199">
        <v>309.08</v>
      </c>
      <c r="E3141" s="1199">
        <f t="shared" si="49"/>
        <v>258.64</v>
      </c>
    </row>
    <row r="3142" spans="1:6">
      <c r="A3142" s="1003" t="s">
        <v>10735</v>
      </c>
      <c r="B3142" s="1003" t="s">
        <v>9636</v>
      </c>
      <c r="C3142" s="1199" t="s">
        <v>1240</v>
      </c>
      <c r="D3142" s="1199">
        <v>81.13</v>
      </c>
      <c r="E3142" s="1199">
        <f t="shared" si="49"/>
        <v>67.89</v>
      </c>
    </row>
    <row r="3143" spans="1:6">
      <c r="A3143" s="1003" t="s">
        <v>10736</v>
      </c>
      <c r="B3143" s="1003" t="s">
        <v>10737</v>
      </c>
      <c r="C3143" s="1199" t="s">
        <v>1615</v>
      </c>
      <c r="D3143" s="1199">
        <v>1045.46</v>
      </c>
      <c r="E3143" s="1199">
        <f t="shared" si="49"/>
        <v>874.86</v>
      </c>
    </row>
    <row r="3144" spans="1:6">
      <c r="A3144" s="1003" t="s">
        <v>10738</v>
      </c>
      <c r="B3144" s="1003" t="s">
        <v>10739</v>
      </c>
      <c r="C3144" s="1199" t="s">
        <v>1214</v>
      </c>
      <c r="D3144" s="1199">
        <v>88.92</v>
      </c>
      <c r="E3144" s="1199">
        <f t="shared" si="49"/>
        <v>74.41</v>
      </c>
    </row>
    <row r="3145" spans="1:6">
      <c r="A3145" s="1003" t="s">
        <v>10740</v>
      </c>
      <c r="B3145" s="1003" t="s">
        <v>10741</v>
      </c>
      <c r="C3145" s="1199" t="s">
        <v>1214</v>
      </c>
      <c r="D3145" s="1199">
        <v>1016.56</v>
      </c>
      <c r="E3145" s="1199">
        <f t="shared" si="49"/>
        <v>850.68</v>
      </c>
    </row>
    <row r="3146" spans="1:6">
      <c r="A3146" s="1003" t="s">
        <v>10742</v>
      </c>
      <c r="B3146" s="1003" t="s">
        <v>10743</v>
      </c>
      <c r="C3146" s="1199" t="s">
        <v>1650</v>
      </c>
      <c r="D3146" s="1199">
        <v>700.24</v>
      </c>
      <c r="E3146" s="1199">
        <f t="shared" si="49"/>
        <v>585.97</v>
      </c>
    </row>
    <row r="3147" spans="1:6">
      <c r="A3147" s="1003" t="s">
        <v>10744</v>
      </c>
      <c r="B3147" s="1003" t="s">
        <v>4764</v>
      </c>
      <c r="C3147" s="1199" t="s">
        <v>1214</v>
      </c>
      <c r="D3147" s="1199">
        <v>1870.21</v>
      </c>
      <c r="E3147" s="1199">
        <f t="shared" si="49"/>
        <v>1565.03</v>
      </c>
    </row>
    <row r="3148" spans="1:6">
      <c r="A3148" s="1003" t="s">
        <v>10745</v>
      </c>
      <c r="B3148" s="1003" t="s">
        <v>4765</v>
      </c>
      <c r="C3148" s="1199" t="s">
        <v>1214</v>
      </c>
      <c r="D3148" s="1199">
        <v>368.15</v>
      </c>
      <c r="E3148" s="1199">
        <f t="shared" si="49"/>
        <v>308.08</v>
      </c>
    </row>
    <row r="3149" spans="1:6">
      <c r="A3149" s="1003" t="s">
        <v>10746</v>
      </c>
      <c r="B3149" s="1003" t="s">
        <v>4766</v>
      </c>
      <c r="C3149" s="1199" t="s">
        <v>1650</v>
      </c>
      <c r="D3149" s="1199">
        <v>204.82</v>
      </c>
      <c r="E3149" s="1199">
        <f t="shared" si="49"/>
        <v>171.4</v>
      </c>
    </row>
    <row r="3150" spans="1:6">
      <c r="A3150" s="1003" t="s">
        <v>10747</v>
      </c>
      <c r="B3150" s="1003" t="s">
        <v>10748</v>
      </c>
      <c r="C3150" s="1199" t="s">
        <v>1214</v>
      </c>
      <c r="D3150" s="1199">
        <v>124.2</v>
      </c>
      <c r="E3150" s="1199">
        <f t="shared" si="49"/>
        <v>103.93</v>
      </c>
      <c r="F3150" s="1200"/>
    </row>
    <row r="3151" spans="1:6">
      <c r="A3151" s="1003" t="s">
        <v>10749</v>
      </c>
      <c r="B3151" s="1003" t="s">
        <v>4565</v>
      </c>
      <c r="C3151" s="1199" t="s">
        <v>1615</v>
      </c>
      <c r="D3151" s="1199">
        <v>14.71</v>
      </c>
      <c r="E3151" s="1199">
        <f t="shared" si="49"/>
        <v>12.31</v>
      </c>
    </row>
    <row r="3152" spans="1:6">
      <c r="A3152" s="1003" t="s">
        <v>10750</v>
      </c>
      <c r="B3152" s="1003" t="s">
        <v>4566</v>
      </c>
      <c r="C3152" s="1199" t="s">
        <v>1240</v>
      </c>
      <c r="D3152" s="1199">
        <v>11.03</v>
      </c>
      <c r="E3152" s="1199">
        <f t="shared" si="49"/>
        <v>9.23</v>
      </c>
    </row>
    <row r="3153" spans="1:5">
      <c r="A3153" s="1003" t="s">
        <v>10751</v>
      </c>
      <c r="B3153" s="1003" t="s">
        <v>4567</v>
      </c>
      <c r="C3153" s="1199" t="s">
        <v>1240</v>
      </c>
      <c r="D3153" s="1199">
        <v>13.79</v>
      </c>
      <c r="E3153" s="1199">
        <f t="shared" si="49"/>
        <v>11.54</v>
      </c>
    </row>
    <row r="3154" spans="1:5">
      <c r="A3154" s="1003" t="s">
        <v>10752</v>
      </c>
      <c r="B3154" s="1003" t="s">
        <v>4767</v>
      </c>
      <c r="C3154" s="1199" t="s">
        <v>1615</v>
      </c>
      <c r="D3154" s="1199">
        <v>55.19</v>
      </c>
      <c r="E3154" s="1199">
        <f t="shared" si="49"/>
        <v>46.18</v>
      </c>
    </row>
    <row r="3155" spans="1:5">
      <c r="A3155" s="1003" t="s">
        <v>10753</v>
      </c>
      <c r="B3155" s="1003" t="s">
        <v>4768</v>
      </c>
      <c r="C3155" s="1199" t="s">
        <v>1615</v>
      </c>
      <c r="D3155" s="1199">
        <v>147.19</v>
      </c>
      <c r="E3155" s="1199">
        <f t="shared" si="49"/>
        <v>123.17</v>
      </c>
    </row>
    <row r="3156" spans="1:5">
      <c r="A3156" s="1003" t="s">
        <v>10754</v>
      </c>
      <c r="B3156" s="1003" t="s">
        <v>4769</v>
      </c>
      <c r="C3156" s="1199" t="s">
        <v>1615</v>
      </c>
      <c r="D3156" s="1199">
        <v>331.19</v>
      </c>
      <c r="E3156" s="1199">
        <f t="shared" si="49"/>
        <v>277.14999999999998</v>
      </c>
    </row>
    <row r="3157" spans="1:5">
      <c r="A3157" s="1003" t="s">
        <v>10755</v>
      </c>
      <c r="B3157" s="1003" t="s">
        <v>4770</v>
      </c>
      <c r="C3157" s="1199" t="s">
        <v>1240</v>
      </c>
      <c r="D3157" s="1199">
        <v>27.59</v>
      </c>
      <c r="E3157" s="1199">
        <f t="shared" si="49"/>
        <v>23.09</v>
      </c>
    </row>
    <row r="3158" spans="1:5">
      <c r="A3158" s="1003" t="s">
        <v>10756</v>
      </c>
      <c r="B3158" s="1003" t="s">
        <v>4771</v>
      </c>
      <c r="C3158" s="1199" t="s">
        <v>1615</v>
      </c>
      <c r="D3158" s="1199">
        <v>5.51</v>
      </c>
      <c r="E3158" s="1199">
        <f t="shared" si="49"/>
        <v>4.6100000000000003</v>
      </c>
    </row>
    <row r="3159" spans="1:5">
      <c r="A3159" s="1003" t="s">
        <v>10757</v>
      </c>
      <c r="B3159" s="1003" t="s">
        <v>4772</v>
      </c>
      <c r="C3159" s="1199" t="s">
        <v>1650</v>
      </c>
      <c r="D3159" s="1199">
        <v>241.53</v>
      </c>
      <c r="E3159" s="1199">
        <f t="shared" si="49"/>
        <v>202.12</v>
      </c>
    </row>
    <row r="3160" spans="1:5">
      <c r="A3160" s="1003" t="s">
        <v>10758</v>
      </c>
      <c r="B3160" s="1003" t="s">
        <v>4773</v>
      </c>
      <c r="C3160" s="1199" t="s">
        <v>4774</v>
      </c>
      <c r="D3160" s="1199">
        <v>1923.25</v>
      </c>
      <c r="E3160" s="1199">
        <f t="shared" si="49"/>
        <v>1609.41</v>
      </c>
    </row>
    <row r="3161" spans="1:5">
      <c r="A3161" s="1003" t="s">
        <v>10759</v>
      </c>
      <c r="B3161" s="1003" t="s">
        <v>10760</v>
      </c>
      <c r="C3161" s="1199" t="s">
        <v>1615</v>
      </c>
      <c r="D3161" s="1199">
        <v>731.29</v>
      </c>
      <c r="E3161" s="1199">
        <f t="shared" si="49"/>
        <v>611.96</v>
      </c>
    </row>
    <row r="3162" spans="1:5">
      <c r="A3162" s="1003" t="s">
        <v>10761</v>
      </c>
      <c r="B3162" s="1003" t="s">
        <v>4775</v>
      </c>
      <c r="C3162" s="1013" t="s">
        <v>1650</v>
      </c>
      <c r="D3162" s="1199">
        <v>103.69</v>
      </c>
      <c r="E3162" s="1199">
        <f t="shared" si="49"/>
        <v>86.77</v>
      </c>
    </row>
    <row r="3163" spans="1:5">
      <c r="A3163" s="1003" t="s">
        <v>10762</v>
      </c>
      <c r="B3163" s="1003" t="s">
        <v>10763</v>
      </c>
      <c r="C3163" s="1013" t="s">
        <v>1652</v>
      </c>
      <c r="D3163" s="1199">
        <v>637.01</v>
      </c>
      <c r="E3163" s="1199">
        <f t="shared" si="49"/>
        <v>533.05999999999995</v>
      </c>
    </row>
    <row r="3164" spans="1:5">
      <c r="A3164" s="1003" t="s">
        <v>10764</v>
      </c>
      <c r="B3164" s="1003" t="s">
        <v>10468</v>
      </c>
      <c r="C3164" s="1013" t="s">
        <v>1650</v>
      </c>
      <c r="D3164" s="1199">
        <v>217.79</v>
      </c>
      <c r="E3164" s="1199">
        <f t="shared" si="49"/>
        <v>182.25</v>
      </c>
    </row>
    <row r="3165" spans="1:5">
      <c r="A3165" s="1003" t="s">
        <v>10765</v>
      </c>
      <c r="B3165" s="1003" t="s">
        <v>10470</v>
      </c>
      <c r="C3165" s="1013" t="s">
        <v>4478</v>
      </c>
      <c r="D3165" s="1199">
        <v>3.21</v>
      </c>
      <c r="E3165" s="1199">
        <f t="shared" si="49"/>
        <v>2.69</v>
      </c>
    </row>
    <row r="3166" spans="1:5">
      <c r="A3166" s="1003" t="s">
        <v>10766</v>
      </c>
      <c r="B3166" s="1003" t="s">
        <v>4811</v>
      </c>
      <c r="C3166" s="1013" t="s">
        <v>1615</v>
      </c>
      <c r="D3166" s="1199">
        <v>364.52</v>
      </c>
      <c r="E3166" s="1199">
        <f t="shared" si="49"/>
        <v>305.04000000000002</v>
      </c>
    </row>
    <row r="3167" spans="1:5">
      <c r="A3167" s="1003" t="s">
        <v>10767</v>
      </c>
      <c r="B3167" s="1003" t="s">
        <v>4812</v>
      </c>
      <c r="C3167" s="1013" t="s">
        <v>1615</v>
      </c>
      <c r="D3167" s="1199">
        <v>1852.09</v>
      </c>
      <c r="E3167" s="1199">
        <f t="shared" si="49"/>
        <v>1549.87</v>
      </c>
    </row>
    <row r="3168" spans="1:5">
      <c r="A3168" s="1003" t="s">
        <v>10768</v>
      </c>
      <c r="B3168" s="1003" t="s">
        <v>4822</v>
      </c>
      <c r="C3168" s="1013" t="s">
        <v>1615</v>
      </c>
      <c r="D3168" s="1199">
        <v>4117.7299999999996</v>
      </c>
      <c r="E3168" s="1199">
        <f t="shared" si="49"/>
        <v>3445.8</v>
      </c>
    </row>
    <row r="3169" spans="1:5">
      <c r="A3169" s="1003" t="s">
        <v>10769</v>
      </c>
      <c r="B3169" s="1003" t="s">
        <v>4823</v>
      </c>
      <c r="C3169" s="1013" t="s">
        <v>1615</v>
      </c>
      <c r="D3169" s="1199">
        <v>4622.2</v>
      </c>
      <c r="E3169" s="1199">
        <f t="shared" si="49"/>
        <v>3867.95</v>
      </c>
    </row>
    <row r="3170" spans="1:5">
      <c r="A3170" s="1003" t="s">
        <v>10770</v>
      </c>
      <c r="B3170" s="1003" t="s">
        <v>4824</v>
      </c>
      <c r="C3170" s="1013" t="s">
        <v>1615</v>
      </c>
      <c r="D3170" s="1199">
        <v>4642.3</v>
      </c>
      <c r="E3170" s="1199">
        <f t="shared" si="49"/>
        <v>3884.77</v>
      </c>
    </row>
    <row r="3171" spans="1:5">
      <c r="A3171" s="1003" t="s">
        <v>10771</v>
      </c>
      <c r="B3171" s="1003" t="s">
        <v>4825</v>
      </c>
      <c r="C3171" s="1013" t="s">
        <v>1615</v>
      </c>
      <c r="D3171" s="1199">
        <v>5308.93</v>
      </c>
      <c r="E3171" s="1199">
        <f t="shared" si="49"/>
        <v>4442.62</v>
      </c>
    </row>
    <row r="3172" spans="1:5">
      <c r="A3172" s="1003" t="s">
        <v>10772</v>
      </c>
      <c r="B3172" s="1003" t="s">
        <v>4826</v>
      </c>
      <c r="C3172" s="1013" t="s">
        <v>1615</v>
      </c>
      <c r="D3172" s="1199">
        <v>6126.41</v>
      </c>
      <c r="E3172" s="1199">
        <f t="shared" si="49"/>
        <v>5126.7</v>
      </c>
    </row>
    <row r="3173" spans="1:5">
      <c r="A3173" s="1003" t="s">
        <v>10773</v>
      </c>
      <c r="B3173" s="1003" t="s">
        <v>10774</v>
      </c>
      <c r="C3173" s="1013" t="s">
        <v>1214</v>
      </c>
      <c r="D3173" s="1199">
        <v>56.79</v>
      </c>
      <c r="E3173" s="1199">
        <f t="shared" si="49"/>
        <v>47.52</v>
      </c>
    </row>
    <row r="3174" spans="1:5">
      <c r="A3174" s="1003" t="s">
        <v>10775</v>
      </c>
      <c r="B3174" s="1003" t="s">
        <v>10776</v>
      </c>
      <c r="C3174" s="1013" t="s">
        <v>1214</v>
      </c>
      <c r="D3174" s="1199">
        <v>37.46</v>
      </c>
      <c r="E3174" s="1199">
        <f t="shared" si="49"/>
        <v>31.35</v>
      </c>
    </row>
    <row r="3175" spans="1:5">
      <c r="A3175" s="1003" t="s">
        <v>10777</v>
      </c>
      <c r="B3175" s="1003" t="s">
        <v>10778</v>
      </c>
      <c r="C3175" s="1013" t="s">
        <v>1214</v>
      </c>
      <c r="D3175" s="1199">
        <v>24.87</v>
      </c>
      <c r="E3175" s="1199">
        <f t="shared" si="49"/>
        <v>20.81</v>
      </c>
    </row>
    <row r="3176" spans="1:5">
      <c r="A3176" s="1003" t="s">
        <v>10779</v>
      </c>
      <c r="B3176" s="1003" t="s">
        <v>10780</v>
      </c>
      <c r="C3176" s="1013" t="s">
        <v>1214</v>
      </c>
      <c r="D3176" s="1199">
        <v>14.78</v>
      </c>
      <c r="E3176" s="1199">
        <f t="shared" si="49"/>
        <v>12.37</v>
      </c>
    </row>
    <row r="3177" spans="1:5">
      <c r="A3177" s="1003" t="s">
        <v>10781</v>
      </c>
      <c r="B3177" s="1003" t="s">
        <v>10782</v>
      </c>
      <c r="C3177" s="1013" t="s">
        <v>1214</v>
      </c>
      <c r="D3177" s="1199">
        <v>10.210000000000001</v>
      </c>
      <c r="E3177" s="1199">
        <f t="shared" si="49"/>
        <v>8.5399999999999991</v>
      </c>
    </row>
    <row r="3178" spans="1:5">
      <c r="A3178" s="1003" t="s">
        <v>10783</v>
      </c>
      <c r="B3178" s="1003" t="s">
        <v>10784</v>
      </c>
      <c r="C3178" s="1013" t="s">
        <v>1214</v>
      </c>
      <c r="D3178" s="1199">
        <v>7.15</v>
      </c>
      <c r="E3178" s="1199">
        <f t="shared" si="49"/>
        <v>5.98</v>
      </c>
    </row>
    <row r="3179" spans="1:5">
      <c r="A3179" s="1003" t="s">
        <v>10785</v>
      </c>
      <c r="B3179" s="1003" t="s">
        <v>10786</v>
      </c>
      <c r="C3179" s="1013" t="s">
        <v>1652</v>
      </c>
      <c r="D3179" s="1199">
        <v>637.01</v>
      </c>
      <c r="E3179" s="1199">
        <f t="shared" si="49"/>
        <v>533.05999999999995</v>
      </c>
    </row>
    <row r="3180" spans="1:5">
      <c r="A3180" s="1003"/>
      <c r="B3180" s="1003"/>
      <c r="C3180" s="1013"/>
      <c r="D3180" s="1199"/>
      <c r="E3180" s="1199"/>
    </row>
  </sheetData>
  <autoFilter ref="A3:E3180" xr:uid="{00000000-0009-0000-0000-000010000000}"/>
  <mergeCells count="1">
    <mergeCell ref="A1:E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P1268"/>
  <sheetViews>
    <sheetView view="pageBreakPreview" zoomScale="85" zoomScaleNormal="75" zoomScalePageLayoutView="85" workbookViewId="0">
      <pane ySplit="7" topLeftCell="A1242" activePane="bottomLeft" state="frozen"/>
      <selection pane="bottomLeft" activeCell="H1269" sqref="H1269"/>
    </sheetView>
  </sheetViews>
  <sheetFormatPr defaultColWidth="11.5546875" defaultRowHeight="13.2"/>
  <cols>
    <col min="1" max="1" width="10" style="16" customWidth="1"/>
    <col min="2" max="2" width="15.33203125" style="16" customWidth="1"/>
    <col min="3" max="3" width="11.33203125" style="17" customWidth="1"/>
    <col min="4" max="4" width="75.88671875" style="1210" customWidth="1"/>
    <col min="5" max="5" width="11.44140625" style="18" customWidth="1"/>
    <col min="6" max="6" width="17.6640625" style="19" customWidth="1"/>
    <col min="7" max="11" width="17.6640625" style="20" customWidth="1"/>
    <col min="12" max="12" width="53.88671875" style="20" customWidth="1"/>
    <col min="13" max="13" width="20.5546875" style="21" customWidth="1"/>
    <col min="14" max="14" width="20.109375" style="15" customWidth="1"/>
    <col min="15" max="15" width="15.5546875" style="22" customWidth="1"/>
    <col min="16" max="16" width="14.33203125" style="15" customWidth="1"/>
  </cols>
  <sheetData>
    <row r="1" spans="1:16" ht="22.5" customHeight="1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/>
      <c r="N1"/>
      <c r="O1"/>
      <c r="P1"/>
    </row>
    <row r="2" spans="1:16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/>
      <c r="N2"/>
      <c r="O2"/>
      <c r="P2"/>
    </row>
    <row r="3" spans="1:16" ht="56.25" customHeight="1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/>
      <c r="N3"/>
      <c r="O3"/>
      <c r="P3"/>
    </row>
    <row r="4" spans="1:16" ht="29.25" customHeight="1">
      <c r="A4" s="13" t="s">
        <v>1</v>
      </c>
      <c r="B4" s="13"/>
      <c r="C4" s="1425" t="s">
        <v>2</v>
      </c>
      <c r="D4" s="1425"/>
      <c r="E4" s="1425"/>
      <c r="F4" s="1425"/>
      <c r="G4" s="1425"/>
      <c r="H4" s="1425"/>
      <c r="I4" s="1425"/>
      <c r="J4" s="1425"/>
      <c r="K4" s="1425"/>
      <c r="L4" s="1425"/>
      <c r="M4" s="23"/>
      <c r="N4"/>
      <c r="O4"/>
      <c r="P4"/>
    </row>
    <row r="5" spans="1:16" ht="29.25" customHeight="1">
      <c r="A5" s="13"/>
      <c r="B5" s="13"/>
      <c r="C5" s="1426" t="s">
        <v>1200</v>
      </c>
      <c r="D5" s="1426"/>
      <c r="E5" s="1426"/>
      <c r="F5" s="1426"/>
      <c r="G5" s="1426"/>
      <c r="H5" s="1426"/>
      <c r="I5" s="1426"/>
      <c r="J5" s="1426"/>
      <c r="K5" s="1426"/>
      <c r="L5" s="1426"/>
      <c r="M5" s="23"/>
      <c r="N5"/>
      <c r="O5"/>
      <c r="P5"/>
    </row>
    <row r="6" spans="1:16" ht="29.25" customHeight="1">
      <c r="A6" s="26"/>
      <c r="B6" s="27"/>
      <c r="C6" s="28"/>
      <c r="D6" s="1211"/>
      <c r="E6" s="29"/>
      <c r="F6" s="29"/>
      <c r="G6" s="30"/>
      <c r="H6" s="30"/>
      <c r="I6" s="30"/>
      <c r="J6" s="30"/>
      <c r="K6" s="30"/>
      <c r="L6" s="31"/>
      <c r="M6" s="23"/>
      <c r="N6"/>
      <c r="O6"/>
      <c r="P6"/>
    </row>
    <row r="7" spans="1:16" ht="50.25" customHeight="1">
      <c r="A7" s="32" t="s">
        <v>10</v>
      </c>
      <c r="B7" s="33" t="s">
        <v>11</v>
      </c>
      <c r="C7" s="34" t="s">
        <v>12</v>
      </c>
      <c r="D7" s="35"/>
      <c r="E7" s="36" t="s">
        <v>14</v>
      </c>
      <c r="F7" s="37" t="s">
        <v>10787</v>
      </c>
      <c r="G7" s="1212" t="s">
        <v>10788</v>
      </c>
      <c r="H7" s="39" t="s">
        <v>10789</v>
      </c>
      <c r="I7" s="1212" t="s">
        <v>10790</v>
      </c>
      <c r="J7" s="1212" t="s">
        <v>10791</v>
      </c>
      <c r="K7" s="1212" t="s">
        <v>10792</v>
      </c>
      <c r="L7" s="1212" t="s">
        <v>10793</v>
      </c>
      <c r="M7" s="41"/>
      <c r="N7" s="24"/>
      <c r="O7" s="42"/>
      <c r="P7" s="24"/>
    </row>
    <row r="8" spans="1:16" ht="30" customHeight="1">
      <c r="A8" s="43">
        <v>1</v>
      </c>
      <c r="B8" s="44"/>
      <c r="C8" s="44" t="s">
        <v>20</v>
      </c>
      <c r="D8" s="1213" t="s">
        <v>21</v>
      </c>
      <c r="E8" s="46"/>
      <c r="F8" s="47"/>
      <c r="G8" s="47"/>
      <c r="H8" s="1214"/>
      <c r="I8" s="1214"/>
      <c r="J8" s="1214"/>
      <c r="K8" s="1214"/>
      <c r="L8" s="1215"/>
      <c r="M8" s="51"/>
      <c r="N8" s="52"/>
      <c r="O8" s="25"/>
      <c r="P8" s="25"/>
    </row>
    <row r="9" spans="1:16" ht="30" customHeight="1">
      <c r="A9" s="53" t="s">
        <v>22</v>
      </c>
      <c r="B9" s="54"/>
      <c r="C9" s="54" t="s">
        <v>23</v>
      </c>
      <c r="D9" s="1216" t="s">
        <v>24</v>
      </c>
      <c r="E9" s="56"/>
      <c r="F9" s="57"/>
      <c r="G9" s="57"/>
      <c r="H9" s="1217"/>
      <c r="I9" s="1217"/>
      <c r="J9" s="1217"/>
      <c r="K9" s="1217"/>
      <c r="L9" s="1218"/>
      <c r="M9" s="51"/>
      <c r="N9" s="52"/>
      <c r="O9" s="25"/>
      <c r="P9" s="25"/>
    </row>
    <row r="10" spans="1:16" ht="30" customHeight="1">
      <c r="A10" s="61" t="s">
        <v>25</v>
      </c>
      <c r="B10" s="62" t="s">
        <v>26</v>
      </c>
      <c r="C10" s="63" t="s">
        <v>27</v>
      </c>
      <c r="D10" s="1219" t="str">
        <f>IFERROR(UPPER(IF(B10="CPU",VLOOKUP(C10,#REF!,2,0),IF(B10="SINAPI",VLOOKUP(C10,#REF!,2,0),IF(B10="EDIF",VLOOKUP(C10,#REF!,2,0),IF(B10="CDHU",VLOOKUP(C10,#REF!,2,0),IF(B10="FDE",VLOOKUP(C10,'FDE 10-23 '!$A$4:$E$3180,2,0),IF(B10="INFRA",VLOOKUP(C10,#REF!,2,0),""))))))),"")</f>
        <v>RETIRANDO A VEGETACAO, TRONCOS ATE 5CM DE DIAMETRO E RASPAGEM.</v>
      </c>
      <c r="E10" s="65" t="str">
        <f>VLOOKUP(C10,'FDE 10-23 '!$A$4:$E$3180,3,0)</f>
        <v>M2</v>
      </c>
      <c r="F10" s="66"/>
      <c r="G10" s="66"/>
      <c r="H10" s="1220"/>
      <c r="I10" s="66"/>
      <c r="J10" s="66"/>
      <c r="K10" s="66"/>
      <c r="L10" s="1221" t="s">
        <v>10794</v>
      </c>
      <c r="M10" s="51"/>
      <c r="N10" s="52"/>
      <c r="O10" s="25"/>
      <c r="P10" s="25"/>
    </row>
    <row r="11" spans="1:16" ht="30" customHeight="1">
      <c r="A11" s="53" t="s">
        <v>28</v>
      </c>
      <c r="B11" s="54"/>
      <c r="C11" s="54" t="s">
        <v>29</v>
      </c>
      <c r="D11" s="1216" t="s">
        <v>30</v>
      </c>
      <c r="E11" s="56"/>
      <c r="F11" s="57"/>
      <c r="G11" s="57"/>
      <c r="H11" s="1217"/>
      <c r="I11" s="1217"/>
      <c r="J11" s="1217"/>
      <c r="K11" s="1217"/>
      <c r="L11" s="1218"/>
      <c r="M11" s="51"/>
      <c r="N11" s="52"/>
      <c r="O11" s="25"/>
      <c r="P11" s="25"/>
    </row>
    <row r="12" spans="1:16" ht="30" customHeight="1">
      <c r="A12" s="61" t="s">
        <v>31</v>
      </c>
      <c r="B12" s="62" t="s">
        <v>26</v>
      </c>
      <c r="C12" s="63" t="s">
        <v>32</v>
      </c>
      <c r="D12" s="1219" t="str">
        <f>IFERROR(UPPER(IF(B12="CPU",VLOOKUP(C12,#REF!,2,0),IF(B12="SINAPI",VLOOKUP(C12,#REF!,2,0),IF(B12="EDIF",VLOOKUP(C12,#REF!,2,0),IF(B12="CDHU",VLOOKUP(C12,#REF!,2,0),IF(B12="FDE",VLOOKUP(C12,'FDE 10-23 '!$A$4:$E$3180,2,0),IF(B12="INFRA",VLOOKUP(C12,#REF!,2,0),""))))))),"")</f>
        <v>CORTE E ATERRO DENTRO DA OBRA COM TRANSPORTE INTERNO</v>
      </c>
      <c r="E12" s="65" t="str">
        <f>VLOOKUP(C12,'FDE 10-23 '!$A$4:$E$3180,3,0)</f>
        <v>M3</v>
      </c>
      <c r="F12" s="66"/>
      <c r="G12" s="66"/>
      <c r="H12" s="1220"/>
      <c r="I12" s="66"/>
      <c r="J12" s="66"/>
      <c r="K12" s="66"/>
      <c r="L12" s="1221" t="s">
        <v>10794</v>
      </c>
      <c r="M12" s="51"/>
      <c r="N12" s="52"/>
      <c r="O12" s="25"/>
      <c r="P12" s="25"/>
    </row>
    <row r="13" spans="1:16" ht="30" customHeight="1">
      <c r="A13" s="61" t="s">
        <v>33</v>
      </c>
      <c r="B13" s="62" t="s">
        <v>26</v>
      </c>
      <c r="C13" s="63" t="s">
        <v>34</v>
      </c>
      <c r="D13" s="1219" t="str">
        <f>IFERROR(UPPER(IF(B13="CPU",VLOOKUP(C13,#REF!,2,0),IF(B13="SINAPI",VLOOKUP(C13,#REF!,2,0),IF(B13="EDIF",VLOOKUP(C13,#REF!,2,0),IF(B13="CDHU",VLOOKUP(C13,#REF!,2,0),IF(B13="FDE",VLOOKUP(C13,'FDE 10-23 '!$A$4:$E$3180,2,0),IF(B13="INFRA",VLOOKUP(C13,#REF!,2,0),""))))))),"")</f>
        <v>CORTE COM RETIRADA POR CAMINHAO NOS PRIMEIROS 100 M</v>
      </c>
      <c r="E13" s="65" t="str">
        <f>VLOOKUP(C13,'FDE 10-23 '!$A$4:$E$3180,3,0)</f>
        <v>M3</v>
      </c>
      <c r="F13" s="66"/>
      <c r="G13" s="66"/>
      <c r="H13" s="1220"/>
      <c r="I13" s="66"/>
      <c r="J13" s="66"/>
      <c r="K13" s="66"/>
      <c r="L13" s="1221" t="s">
        <v>10794</v>
      </c>
      <c r="M13" s="51"/>
      <c r="N13" s="52"/>
      <c r="O13" s="25"/>
      <c r="P13" s="25"/>
    </row>
    <row r="14" spans="1:16" ht="30" customHeight="1">
      <c r="A14" s="61" t="s">
        <v>35</v>
      </c>
      <c r="B14" s="62" t="s">
        <v>26</v>
      </c>
      <c r="C14" s="63" t="s">
        <v>36</v>
      </c>
      <c r="D14" s="1219" t="str">
        <f>IFERROR(UPPER(IF(B14="CPU",VLOOKUP(C14,#REF!,2,0),IF(B14="SINAPI",VLOOKUP(C14,#REF!,2,0),IF(B14="EDIF",VLOOKUP(C14,#REF!,2,0),IF(B14="CDHU",VLOOKUP(C14,#REF!,2,0),IF(B14="FDE",VLOOKUP(C14,'FDE 10-23 '!$A$4:$E$3180,2,0),IF(B14="INFRA",VLOOKUP(C14,#REF!,2,0),""))))))),"")</f>
        <v>TRANSPORTE POR CAMINHAO                                                 M3X</v>
      </c>
      <c r="E14" s="65" t="str">
        <f>VLOOKUP(C14,'FDE 10-23 '!$A$4:$E$3180,3,0)</f>
        <v>KM</v>
      </c>
      <c r="F14" s="66"/>
      <c r="G14" s="66"/>
      <c r="H14" s="1220"/>
      <c r="I14" s="66"/>
      <c r="J14" s="66"/>
      <c r="K14" s="66"/>
      <c r="L14" s="1221" t="s">
        <v>10794</v>
      </c>
      <c r="M14" s="51"/>
      <c r="N14" s="52"/>
      <c r="O14" s="25"/>
      <c r="P14" s="25"/>
    </row>
    <row r="15" spans="1:16" ht="30" customHeight="1">
      <c r="A15" s="43">
        <v>2</v>
      </c>
      <c r="B15" s="44"/>
      <c r="C15" s="44" t="s">
        <v>37</v>
      </c>
      <c r="D15" s="1213" t="s">
        <v>38</v>
      </c>
      <c r="E15" s="46"/>
      <c r="F15" s="47"/>
      <c r="G15" s="47"/>
      <c r="H15" s="1214"/>
      <c r="I15" s="1214"/>
      <c r="J15" s="1214"/>
      <c r="K15" s="1214"/>
      <c r="L15" s="1215"/>
      <c r="M15" s="51"/>
      <c r="N15" s="52"/>
      <c r="O15" s="25"/>
      <c r="P15" s="25"/>
    </row>
    <row r="16" spans="1:16" ht="30" customHeight="1">
      <c r="A16" s="53" t="s">
        <v>39</v>
      </c>
      <c r="B16" s="54"/>
      <c r="C16" s="54" t="s">
        <v>40</v>
      </c>
      <c r="D16" s="1216" t="s">
        <v>41</v>
      </c>
      <c r="E16" s="56"/>
      <c r="F16" s="57"/>
      <c r="G16" s="57"/>
      <c r="H16" s="1217"/>
      <c r="I16" s="1217"/>
      <c r="J16" s="1217"/>
      <c r="K16" s="1217"/>
      <c r="L16" s="1218"/>
      <c r="M16" s="51"/>
      <c r="N16" s="52"/>
      <c r="O16" s="25"/>
      <c r="P16" s="25"/>
    </row>
    <row r="17" spans="1:16" ht="30" customHeight="1">
      <c r="A17" s="61" t="s">
        <v>42</v>
      </c>
      <c r="B17" s="62" t="s">
        <v>26</v>
      </c>
      <c r="C17" s="63" t="s">
        <v>43</v>
      </c>
      <c r="D17" s="1219" t="str">
        <f>IFERROR(UPPER(IF(B17="CPU",VLOOKUP(C17,#REF!,2,0),IF(B17="SINAPI",VLOOKUP(C17,#REF!,2,0),IF(B17="EDIF",VLOOKUP(C17,#REF!,2,0),IF(B17="CDHU",VLOOKUP(C17,#REF!,2,0),IF(B17="FDE",VLOOKUP(C17,'FDE 10-23 '!$A$4:$E$3180,2,0),IF(B17="INFRA",VLOOKUP(C17,#REF!,2,0),""))))))),"")</f>
        <v>ESCAVACAO MANUAL - PROFUNDIDADE ATE 1.80 M</v>
      </c>
      <c r="E17" s="65" t="str">
        <f>VLOOKUP(C17,'FDE 10-23 '!$A$4:$E$3180,3,0)</f>
        <v>M3</v>
      </c>
      <c r="F17" s="1112">
        <f>SUM(F18:F21)</f>
        <v>65.144000000000005</v>
      </c>
      <c r="G17" s="66"/>
      <c r="H17" s="1220"/>
      <c r="I17" s="66"/>
      <c r="J17" s="66"/>
      <c r="K17" s="66"/>
      <c r="L17" s="1222"/>
      <c r="M17" s="51"/>
      <c r="N17" s="52"/>
      <c r="O17" s="25"/>
      <c r="P17" s="25"/>
    </row>
    <row r="18" spans="1:16" ht="30" customHeight="1">
      <c r="A18" s="61"/>
      <c r="B18" s="62"/>
      <c r="C18" s="63"/>
      <c r="D18" s="1219" t="s">
        <v>10795</v>
      </c>
      <c r="E18" s="65"/>
      <c r="F18" s="66">
        <f>SUM(G18*I18*K18)</f>
        <v>47.424000000000007</v>
      </c>
      <c r="G18" s="66">
        <v>0.8</v>
      </c>
      <c r="H18" s="1220"/>
      <c r="I18" s="66">
        <v>4.9400000000000004</v>
      </c>
      <c r="J18" s="66"/>
      <c r="K18" s="66">
        <v>12</v>
      </c>
      <c r="L18" s="1222"/>
      <c r="M18" s="51"/>
      <c r="N18" s="52"/>
      <c r="O18" s="25"/>
      <c r="P18" s="25"/>
    </row>
    <row r="19" spans="1:16" ht="30" customHeight="1">
      <c r="A19" s="61"/>
      <c r="B19" s="62"/>
      <c r="C19" s="63"/>
      <c r="D19" s="1219" t="s">
        <v>10796</v>
      </c>
      <c r="E19" s="65"/>
      <c r="F19" s="66">
        <f>SUM(G19*I19*K19)</f>
        <v>2.2000000000000002</v>
      </c>
      <c r="G19" s="66">
        <v>0.55000000000000004</v>
      </c>
      <c r="H19" s="1220"/>
      <c r="I19" s="66">
        <v>1</v>
      </c>
      <c r="J19" s="66"/>
      <c r="K19" s="66">
        <v>4</v>
      </c>
      <c r="L19" s="1222"/>
      <c r="M19" s="51"/>
      <c r="N19" s="52"/>
      <c r="O19" s="25"/>
      <c r="P19" s="25"/>
    </row>
    <row r="20" spans="1:16" ht="30" customHeight="1">
      <c r="A20" s="61"/>
      <c r="B20" s="62"/>
      <c r="C20" s="63"/>
      <c r="D20" s="1219" t="s">
        <v>10797</v>
      </c>
      <c r="E20" s="65"/>
      <c r="F20" s="66">
        <f>SUM(G20*I20*K20*H20)</f>
        <v>11.200000000000001</v>
      </c>
      <c r="G20" s="66">
        <v>0.5</v>
      </c>
      <c r="H20" s="1220">
        <v>0.4</v>
      </c>
      <c r="I20" s="66">
        <v>56</v>
      </c>
      <c r="J20" s="66"/>
      <c r="K20" s="66">
        <v>1</v>
      </c>
      <c r="L20" s="1222"/>
      <c r="M20" s="51"/>
      <c r="N20" s="52"/>
      <c r="O20" s="25"/>
      <c r="P20" s="25"/>
    </row>
    <row r="21" spans="1:16" ht="30" customHeight="1">
      <c r="A21" s="61"/>
      <c r="B21" s="62"/>
      <c r="C21" s="63"/>
      <c r="D21" s="1219" t="s">
        <v>10798</v>
      </c>
      <c r="E21" s="65"/>
      <c r="F21" s="66">
        <f>SUM(G21*I21*K21*H21)</f>
        <v>4.32</v>
      </c>
      <c r="G21" s="66">
        <v>0.5</v>
      </c>
      <c r="H21" s="1220">
        <v>0.4</v>
      </c>
      <c r="I21" s="66">
        <v>21.6</v>
      </c>
      <c r="J21" s="66"/>
      <c r="K21" s="66">
        <v>1</v>
      </c>
      <c r="L21" s="1222"/>
      <c r="M21" s="51"/>
      <c r="N21" s="52"/>
      <c r="O21" s="25"/>
      <c r="P21" s="25"/>
    </row>
    <row r="22" spans="1:16" ht="30" customHeight="1">
      <c r="A22" s="61"/>
      <c r="B22" s="62"/>
      <c r="C22" s="63"/>
      <c r="D22" s="1219" t="s">
        <v>10799</v>
      </c>
      <c r="E22" s="65"/>
      <c r="F22" s="66"/>
      <c r="G22" s="66"/>
      <c r="H22" s="1220"/>
      <c r="I22" s="66"/>
      <c r="J22" s="66"/>
      <c r="K22" s="66"/>
      <c r="L22" s="1222"/>
      <c r="M22" s="51"/>
      <c r="N22" s="52"/>
      <c r="O22" s="25"/>
      <c r="P22" s="25"/>
    </row>
    <row r="23" spans="1:16" ht="30" customHeight="1">
      <c r="A23" s="61" t="s">
        <v>44</v>
      </c>
      <c r="B23" s="62" t="s">
        <v>26</v>
      </c>
      <c r="C23" s="63" t="s">
        <v>45</v>
      </c>
      <c r="D23" s="1219" t="str">
        <f>IFERROR(UPPER(IF(B23="CPU",VLOOKUP(C23,#REF!,2,0),IF(B23="SINAPI",VLOOKUP(C23,#REF!,2,0),IF(B23="EDIF",VLOOKUP(C23,#REF!,2,0),IF(B23="CDHU",VLOOKUP(C23,#REF!,2,0),IF(B23="FDE",VLOOKUP(C23,'FDE 10-23 '!$A$4:$E$3180,2,0),IF(B23="INFRA",VLOOKUP(C23,#REF!,2,0),""))))))),"")</f>
        <v>APILOAMENTO PARA SIMPLES REGULARIZACAO</v>
      </c>
      <c r="E23" s="65" t="str">
        <f>VLOOKUP(C23,'FDE 10-23 '!$A$4:$E$3180,3,0)</f>
        <v>M2</v>
      </c>
      <c r="F23" s="1112">
        <f>SUM(F24:F27)</f>
        <v>35.96</v>
      </c>
      <c r="G23" s="66"/>
      <c r="H23" s="1220"/>
      <c r="I23" s="66"/>
      <c r="J23" s="66"/>
      <c r="K23" s="66"/>
      <c r="L23" s="1222"/>
      <c r="M23" s="51"/>
      <c r="N23" s="52"/>
      <c r="O23" s="25"/>
      <c r="P23" s="25"/>
    </row>
    <row r="24" spans="1:16" ht="30" customHeight="1">
      <c r="A24" s="61"/>
      <c r="B24" s="62"/>
      <c r="C24" s="63"/>
      <c r="D24" s="1219" t="s">
        <v>10795</v>
      </c>
      <c r="E24" s="65"/>
      <c r="F24" s="66">
        <f>SUM(I24*K24)</f>
        <v>19.440000000000001</v>
      </c>
      <c r="G24" s="66"/>
      <c r="H24" s="1220"/>
      <c r="I24" s="66">
        <v>1.62</v>
      </c>
      <c r="J24" s="66"/>
      <c r="K24" s="66">
        <v>12</v>
      </c>
      <c r="L24" s="1222"/>
      <c r="M24" s="51"/>
      <c r="N24" s="52"/>
      <c r="O24" s="25"/>
      <c r="P24" s="25"/>
    </row>
    <row r="25" spans="1:16" ht="30" customHeight="1">
      <c r="A25" s="61"/>
      <c r="B25" s="62"/>
      <c r="C25" s="63"/>
      <c r="D25" s="1219" t="s">
        <v>10796</v>
      </c>
      <c r="E25" s="65"/>
      <c r="F25" s="66">
        <f>SUM(I25*K25)</f>
        <v>1</v>
      </c>
      <c r="G25" s="66"/>
      <c r="H25" s="1220"/>
      <c r="I25" s="66">
        <f>0.5*0.5</f>
        <v>0.25</v>
      </c>
      <c r="J25" s="66"/>
      <c r="K25" s="66">
        <v>4</v>
      </c>
      <c r="L25" s="1222"/>
      <c r="M25" s="51"/>
      <c r="N25" s="52"/>
      <c r="O25" s="25"/>
      <c r="P25" s="25"/>
    </row>
    <row r="26" spans="1:16" ht="30" customHeight="1">
      <c r="A26" s="61"/>
      <c r="B26" s="62"/>
      <c r="C26" s="63"/>
      <c r="D26" s="1219" t="s">
        <v>10797</v>
      </c>
      <c r="E26" s="65"/>
      <c r="F26" s="66">
        <f>SUM(I26*K26*H26)</f>
        <v>11.200000000000001</v>
      </c>
      <c r="G26" s="66"/>
      <c r="H26" s="1220">
        <v>0.2</v>
      </c>
      <c r="I26" s="66">
        <v>56</v>
      </c>
      <c r="J26" s="66"/>
      <c r="K26" s="66">
        <v>1</v>
      </c>
      <c r="L26" s="1222"/>
      <c r="M26" s="51"/>
      <c r="N26" s="52"/>
      <c r="O26" s="25"/>
      <c r="P26" s="25"/>
    </row>
    <row r="27" spans="1:16" ht="30" customHeight="1">
      <c r="A27" s="61"/>
      <c r="B27" s="62"/>
      <c r="C27" s="63"/>
      <c r="D27" s="1219" t="s">
        <v>10798</v>
      </c>
      <c r="E27" s="65"/>
      <c r="F27" s="66">
        <f>SUM(I27*K27*H27)</f>
        <v>4.32</v>
      </c>
      <c r="G27" s="66"/>
      <c r="H27" s="1220">
        <v>0.2</v>
      </c>
      <c r="I27" s="66">
        <v>21.6</v>
      </c>
      <c r="J27" s="66"/>
      <c r="K27" s="66">
        <v>1</v>
      </c>
      <c r="L27" s="1222"/>
      <c r="M27" s="51"/>
      <c r="N27" s="52"/>
      <c r="O27" s="25"/>
      <c r="P27" s="25"/>
    </row>
    <row r="28" spans="1:16" ht="30" customHeight="1">
      <c r="A28" s="61"/>
      <c r="B28" s="62"/>
      <c r="C28" s="63"/>
      <c r="D28" s="1219"/>
      <c r="E28" s="65"/>
      <c r="F28" s="66"/>
      <c r="G28" s="66"/>
      <c r="H28" s="1220"/>
      <c r="I28" s="66"/>
      <c r="J28" s="66"/>
      <c r="K28" s="66"/>
      <c r="L28" s="1222"/>
      <c r="M28" s="51"/>
      <c r="N28" s="52"/>
      <c r="O28" s="25"/>
      <c r="P28" s="25"/>
    </row>
    <row r="29" spans="1:16" ht="30" customHeight="1">
      <c r="A29" s="61" t="s">
        <v>46</v>
      </c>
      <c r="B29" s="62" t="s">
        <v>26</v>
      </c>
      <c r="C29" s="63" t="s">
        <v>47</v>
      </c>
      <c r="D29" s="1219" t="str">
        <f>IFERROR(UPPER(IF(B29="CPU",VLOOKUP(C29,#REF!,2,0),IF(B29="SINAPI",VLOOKUP(C29,#REF!,2,0),IF(B29="EDIF",VLOOKUP(C29,#REF!,2,0),IF(B29="CDHU",VLOOKUP(C29,#REF!,2,0),IF(B29="FDE",VLOOKUP(C29,'FDE 10-23 '!$A$4:$E$3180,2,0),IF(B29="INFRA",VLOOKUP(C29,#REF!,2,0),""))))))),"")</f>
        <v>LASTRO DE PEDRA BRITADA - 5CM</v>
      </c>
      <c r="E29" s="65" t="str">
        <f>VLOOKUP(C29,'FDE 10-23 '!$A$4:$E$3180,3,0)</f>
        <v>M2</v>
      </c>
      <c r="F29" s="1112">
        <f>SUM(F30:F33)</f>
        <v>35.96</v>
      </c>
      <c r="G29" s="66"/>
      <c r="H29" s="1220"/>
      <c r="I29" s="66"/>
      <c r="J29" s="66"/>
      <c r="K29" s="66"/>
      <c r="L29" s="1222"/>
      <c r="M29" s="51"/>
      <c r="N29" s="52"/>
      <c r="O29" s="25"/>
      <c r="P29" s="25"/>
    </row>
    <row r="30" spans="1:16" ht="30" customHeight="1">
      <c r="A30" s="61"/>
      <c r="B30" s="62"/>
      <c r="C30" s="63"/>
      <c r="D30" s="1219" t="s">
        <v>10795</v>
      </c>
      <c r="E30" s="65"/>
      <c r="F30" s="66">
        <f>SUM(I30*K30)</f>
        <v>19.440000000000001</v>
      </c>
      <c r="G30" s="66"/>
      <c r="H30" s="1220"/>
      <c r="I30" s="66">
        <v>1.62</v>
      </c>
      <c r="J30" s="66"/>
      <c r="K30" s="66">
        <v>12</v>
      </c>
      <c r="L30" s="1222"/>
      <c r="M30" s="51"/>
      <c r="N30" s="52"/>
      <c r="O30" s="25"/>
      <c r="P30" s="25"/>
    </row>
    <row r="31" spans="1:16" ht="30" customHeight="1">
      <c r="A31" s="61"/>
      <c r="B31" s="62"/>
      <c r="C31" s="63"/>
      <c r="D31" s="1219" t="s">
        <v>10796</v>
      </c>
      <c r="E31" s="65"/>
      <c r="F31" s="66">
        <f>SUM(I31*K31)</f>
        <v>1</v>
      </c>
      <c r="G31" s="66"/>
      <c r="H31" s="1220"/>
      <c r="I31" s="66">
        <f>0.5*0.5</f>
        <v>0.25</v>
      </c>
      <c r="J31" s="66"/>
      <c r="K31" s="66">
        <v>4</v>
      </c>
      <c r="L31" s="1222"/>
      <c r="M31" s="51"/>
      <c r="N31" s="52"/>
      <c r="O31" s="25"/>
      <c r="P31" s="25"/>
    </row>
    <row r="32" spans="1:16" ht="30" customHeight="1">
      <c r="A32" s="61"/>
      <c r="B32" s="62"/>
      <c r="C32" s="63"/>
      <c r="D32" s="1219" t="s">
        <v>10797</v>
      </c>
      <c r="E32" s="65"/>
      <c r="F32" s="66">
        <f>SUM(I32*K32*H32)</f>
        <v>11.200000000000001</v>
      </c>
      <c r="G32" s="66"/>
      <c r="H32" s="1220">
        <v>0.2</v>
      </c>
      <c r="I32" s="66">
        <v>56</v>
      </c>
      <c r="J32" s="66"/>
      <c r="K32" s="66">
        <v>1</v>
      </c>
      <c r="L32" s="1222"/>
      <c r="M32" s="51"/>
      <c r="N32" s="52"/>
      <c r="O32" s="25"/>
      <c r="P32" s="25"/>
    </row>
    <row r="33" spans="1:16" ht="30" customHeight="1">
      <c r="A33" s="61"/>
      <c r="B33" s="62"/>
      <c r="C33" s="63"/>
      <c r="D33" s="1219" t="s">
        <v>10798</v>
      </c>
      <c r="E33" s="65"/>
      <c r="F33" s="66">
        <f>SUM(I33*K33*H33)</f>
        <v>4.32</v>
      </c>
      <c r="G33" s="66"/>
      <c r="H33" s="1220">
        <v>0.2</v>
      </c>
      <c r="I33" s="66">
        <v>21.6</v>
      </c>
      <c r="J33" s="66"/>
      <c r="K33" s="66">
        <v>1</v>
      </c>
      <c r="L33" s="1222"/>
      <c r="M33" s="51"/>
      <c r="N33" s="52"/>
      <c r="O33" s="25"/>
      <c r="P33" s="25"/>
    </row>
    <row r="34" spans="1:16" ht="30" customHeight="1">
      <c r="A34" s="61"/>
      <c r="B34" s="62"/>
      <c r="C34" s="63"/>
      <c r="D34" s="1219"/>
      <c r="E34" s="65"/>
      <c r="F34" s="66"/>
      <c r="G34" s="66"/>
      <c r="H34" s="1220"/>
      <c r="I34" s="66"/>
      <c r="J34" s="66"/>
      <c r="K34" s="66"/>
      <c r="L34" s="1222"/>
      <c r="M34" s="51"/>
      <c r="N34" s="52"/>
      <c r="O34" s="25"/>
      <c r="P34" s="25"/>
    </row>
    <row r="35" spans="1:16" ht="30" customHeight="1">
      <c r="A35" s="61" t="s">
        <v>48</v>
      </c>
      <c r="B35" s="62" t="s">
        <v>26</v>
      </c>
      <c r="C35" s="63" t="s">
        <v>49</v>
      </c>
      <c r="D35" s="1219" t="str">
        <f>IFERROR(UPPER(IF(B35="CPU",VLOOKUP(C35,#REF!,2,0),IF(B35="SINAPI",VLOOKUP(C35,#REF!,2,0),IF(B35="EDIF",VLOOKUP(C35,#REF!,2,0),IF(B35="CDHU",VLOOKUP(C35,#REF!,2,0),IF(B35="FDE",VLOOKUP(C35,'FDE 10-23 '!$A$4:$E$3180,2,0),IF(B35="INFRA",VLOOKUP(C35,#REF!,2,0),""))))))),"")</f>
        <v>LASTRO DE CONCRETO - 5 CM</v>
      </c>
      <c r="E35" s="65" t="str">
        <f>VLOOKUP(C35,'FDE 10-23 '!$A$4:$E$3180,3,0)</f>
        <v>M2</v>
      </c>
      <c r="F35" s="1112">
        <f>SUM(F36:F39)</f>
        <v>35.96</v>
      </c>
      <c r="G35" s="66"/>
      <c r="H35" s="1220"/>
      <c r="I35" s="66"/>
      <c r="J35" s="66"/>
      <c r="K35" s="66"/>
      <c r="L35" s="1222"/>
      <c r="M35" s="51"/>
      <c r="N35" s="52"/>
      <c r="O35" s="25"/>
      <c r="P35" s="25"/>
    </row>
    <row r="36" spans="1:16" ht="30" customHeight="1">
      <c r="A36" s="61"/>
      <c r="B36" s="62"/>
      <c r="C36" s="63"/>
      <c r="D36" s="1219" t="s">
        <v>10795</v>
      </c>
      <c r="E36" s="65"/>
      <c r="F36" s="66">
        <f>SUM(I36*K36)</f>
        <v>19.440000000000001</v>
      </c>
      <c r="G36" s="66"/>
      <c r="H36" s="1220"/>
      <c r="I36" s="66">
        <v>1.62</v>
      </c>
      <c r="J36" s="66"/>
      <c r="K36" s="66">
        <v>12</v>
      </c>
      <c r="L36" s="1222"/>
      <c r="M36" s="51"/>
      <c r="N36" s="52"/>
      <c r="O36" s="25"/>
      <c r="P36" s="25"/>
    </row>
    <row r="37" spans="1:16" ht="30" customHeight="1">
      <c r="A37" s="61"/>
      <c r="B37" s="62"/>
      <c r="C37" s="63"/>
      <c r="D37" s="1219" t="s">
        <v>10796</v>
      </c>
      <c r="E37" s="65"/>
      <c r="F37" s="66">
        <f>SUM(I37*K37)</f>
        <v>1</v>
      </c>
      <c r="G37" s="66"/>
      <c r="H37" s="1220"/>
      <c r="I37" s="66">
        <f>0.5*0.5</f>
        <v>0.25</v>
      </c>
      <c r="J37" s="66"/>
      <c r="K37" s="66">
        <v>4</v>
      </c>
      <c r="L37" s="1222"/>
      <c r="M37" s="51"/>
      <c r="N37" s="52"/>
      <c r="O37" s="25"/>
      <c r="P37" s="25"/>
    </row>
    <row r="38" spans="1:16" ht="30" customHeight="1">
      <c r="A38" s="61"/>
      <c r="B38" s="62"/>
      <c r="C38" s="63"/>
      <c r="D38" s="1219" t="s">
        <v>10797</v>
      </c>
      <c r="E38" s="65"/>
      <c r="F38" s="66">
        <f>SUM(I38*K38*H38)</f>
        <v>11.200000000000001</v>
      </c>
      <c r="G38" s="66"/>
      <c r="H38" s="1220">
        <v>0.2</v>
      </c>
      <c r="I38" s="66">
        <v>56</v>
      </c>
      <c r="J38" s="66"/>
      <c r="K38" s="66">
        <v>1</v>
      </c>
      <c r="L38" s="1222"/>
      <c r="M38" s="51"/>
      <c r="N38" s="52"/>
      <c r="O38" s="25"/>
      <c r="P38" s="25"/>
    </row>
    <row r="39" spans="1:16" ht="30" customHeight="1">
      <c r="A39" s="61"/>
      <c r="B39" s="62"/>
      <c r="C39" s="63"/>
      <c r="D39" s="1219" t="s">
        <v>10798</v>
      </c>
      <c r="E39" s="65"/>
      <c r="F39" s="66">
        <f>SUM(I39*K39*H39)</f>
        <v>4.32</v>
      </c>
      <c r="G39" s="66"/>
      <c r="H39" s="1220">
        <v>0.2</v>
      </c>
      <c r="I39" s="66">
        <v>21.6</v>
      </c>
      <c r="J39" s="66"/>
      <c r="K39" s="66">
        <v>1</v>
      </c>
      <c r="L39" s="1222"/>
      <c r="M39" s="51"/>
      <c r="N39" s="52"/>
      <c r="O39" s="25"/>
      <c r="P39" s="25"/>
    </row>
    <row r="40" spans="1:16" ht="30" customHeight="1">
      <c r="A40" s="61"/>
      <c r="B40" s="62"/>
      <c r="C40" s="63"/>
      <c r="D40" s="1219"/>
      <c r="E40" s="65"/>
      <c r="F40" s="66"/>
      <c r="G40" s="66"/>
      <c r="H40" s="1220"/>
      <c r="I40" s="66"/>
      <c r="J40" s="66"/>
      <c r="K40" s="66"/>
      <c r="L40" s="1222"/>
      <c r="M40" s="51"/>
      <c r="N40" s="52"/>
      <c r="O40" s="25"/>
      <c r="P40" s="25"/>
    </row>
    <row r="41" spans="1:16" ht="30" customHeight="1">
      <c r="A41" s="61" t="s">
        <v>50</v>
      </c>
      <c r="B41" s="62" t="s">
        <v>26</v>
      </c>
      <c r="C41" s="63" t="s">
        <v>51</v>
      </c>
      <c r="D41" s="1219" t="str">
        <f>IFERROR(UPPER(IF(B41="CPU",VLOOKUP(C41,#REF!,2,0),IF(B41="SINAPI",VLOOKUP(C41,#REF!,2,0),IF(B41="EDIF",VLOOKUP(C41,#REF!,2,0),IF(B41="CDHU",VLOOKUP(C41,#REF!,2,0),IF(B41="FDE",VLOOKUP(C41,'FDE 10-23 '!$A$4:$E$3180,2,0),IF(B41="INFRA",VLOOKUP(C41,#REF!,2,0),""))))))),"")</f>
        <v>REATERRO INTERNO APILOADO</v>
      </c>
      <c r="E41" s="65" t="str">
        <f>VLOOKUP(C41,'FDE 10-23 '!$A$4:$E$3180,3,0)</f>
        <v>M3</v>
      </c>
      <c r="F41" s="1112">
        <f>SUM(F42:F43)</f>
        <v>38.070000000000007</v>
      </c>
      <c r="G41" s="66"/>
      <c r="H41" s="1220"/>
      <c r="I41" s="66"/>
      <c r="J41" s="66"/>
      <c r="K41" s="66"/>
      <c r="L41" s="1222"/>
      <c r="M41" s="51"/>
      <c r="N41" s="52"/>
      <c r="O41" s="25"/>
      <c r="P41" s="25"/>
    </row>
    <row r="42" spans="1:16" ht="30" customHeight="1">
      <c r="A42" s="61"/>
      <c r="B42" s="62"/>
      <c r="C42" s="63"/>
      <c r="D42" s="1219" t="s">
        <v>10800</v>
      </c>
      <c r="E42" s="65"/>
      <c r="F42" s="66">
        <f>F17</f>
        <v>65.144000000000005</v>
      </c>
      <c r="G42" s="66"/>
      <c r="H42" s="1220"/>
      <c r="I42" s="66"/>
      <c r="J42" s="66"/>
      <c r="K42" s="66"/>
      <c r="L42" s="1222"/>
      <c r="M42" s="51"/>
      <c r="N42" s="52"/>
      <c r="O42" s="25"/>
      <c r="P42" s="25"/>
    </row>
    <row r="43" spans="1:16" ht="30" customHeight="1">
      <c r="A43" s="61"/>
      <c r="B43" s="62"/>
      <c r="C43" s="63"/>
      <c r="D43" s="1219" t="s">
        <v>10801</v>
      </c>
      <c r="E43" s="65"/>
      <c r="F43" s="66">
        <f>-F189</f>
        <v>-27.073999999999998</v>
      </c>
      <c r="G43" s="66"/>
      <c r="H43" s="1220"/>
      <c r="I43" s="66"/>
      <c r="J43" s="66"/>
      <c r="K43" s="66"/>
      <c r="L43" s="1222"/>
      <c r="M43" s="51"/>
      <c r="N43" s="52"/>
      <c r="O43" s="25"/>
      <c r="P43" s="25"/>
    </row>
    <row r="44" spans="1:16" ht="30" customHeight="1">
      <c r="A44" s="61"/>
      <c r="B44" s="62"/>
      <c r="C44" s="63"/>
      <c r="D44" s="1219"/>
      <c r="E44" s="65"/>
      <c r="F44" s="66"/>
      <c r="G44" s="66"/>
      <c r="H44" s="1220"/>
      <c r="I44" s="66"/>
      <c r="J44" s="66"/>
      <c r="K44" s="66"/>
      <c r="L44" s="1222"/>
      <c r="M44" s="51"/>
      <c r="N44" s="52"/>
      <c r="O44" s="25"/>
      <c r="P44" s="25"/>
    </row>
    <row r="45" spans="1:16" ht="30" customHeight="1">
      <c r="A45" s="53" t="s">
        <v>52</v>
      </c>
      <c r="B45" s="54"/>
      <c r="C45" s="54" t="s">
        <v>53</v>
      </c>
      <c r="D45" s="1216" t="s">
        <v>54</v>
      </c>
      <c r="E45" s="56"/>
      <c r="F45" s="57"/>
      <c r="G45" s="57"/>
      <c r="H45" s="1217"/>
      <c r="I45" s="1217"/>
      <c r="J45" s="1217"/>
      <c r="K45" s="1217"/>
      <c r="L45" s="1218"/>
      <c r="M45" s="51"/>
      <c r="N45" s="52"/>
      <c r="O45" s="25"/>
      <c r="P45" s="25"/>
    </row>
    <row r="46" spans="1:16" ht="30" customHeight="1">
      <c r="A46" s="61" t="s">
        <v>55</v>
      </c>
      <c r="B46" s="62" t="s">
        <v>26</v>
      </c>
      <c r="C46" s="63" t="s">
        <v>56</v>
      </c>
      <c r="D46" s="1219" t="str">
        <f>IFERROR(UPPER(IF(B46="CPU",VLOOKUP(C46,#REF!,2,0),IF(B46="SINAPI",VLOOKUP(C46,#REF!,2,0),IF(B46="EDIF",VLOOKUP(C46,#REF!,2,0),IF(B46="CDHU",VLOOKUP(C46,#REF!,2,0),IF(B46="FDE",VLOOKUP(C46,'FDE 10-23 '!$A$4:$E$3180,2,0),IF(B46="INFRA",VLOOKUP(C46,#REF!,2,0),""))))))),"")</f>
        <v>ACO CA-50 (A OU B) FYK = 500 MPA</v>
      </c>
      <c r="E46" s="65" t="str">
        <f>VLOOKUP(C46,'FDE 10-23 '!$A$4:$E$3180,3,0)</f>
        <v>KG</v>
      </c>
      <c r="F46" s="66"/>
      <c r="G46" s="66"/>
      <c r="H46" s="1220"/>
      <c r="I46" s="66"/>
      <c r="J46" s="66"/>
      <c r="K46" s="66"/>
      <c r="L46" s="1221" t="s">
        <v>10794</v>
      </c>
      <c r="M46" s="51"/>
      <c r="N46" s="52"/>
      <c r="O46" s="25"/>
      <c r="P46" s="25"/>
    </row>
    <row r="47" spans="1:16" ht="30" customHeight="1">
      <c r="A47" s="61" t="s">
        <v>57</v>
      </c>
      <c r="B47" s="62" t="s">
        <v>26</v>
      </c>
      <c r="C47" s="63" t="s">
        <v>58</v>
      </c>
      <c r="D47" s="1219" t="str">
        <f>IFERROR(UPPER(IF(B47="CPU",VLOOKUP(C47,#REF!,2,0),IF(B47="SINAPI",VLOOKUP(C47,#REF!,2,0),IF(B47="EDIF",VLOOKUP(C47,#REF!,2,0),IF(B47="CDHU",VLOOKUP(C47,#REF!,2,0),IF(B47="FDE",VLOOKUP(C47,'FDE 10-23 '!$A$4:$E$3180,2,0),IF(B47="INFRA",VLOOKUP(C47,#REF!,2,0),""))))))),"")</f>
        <v>BROCA DE CONCRETO DE DIAMETRO 25CM - INCL ARRANQUES</v>
      </c>
      <c r="E47" s="65" t="str">
        <f>VLOOKUP(C47,'FDE 10-23 '!$A$4:$E$3180,3,0)</f>
        <v>M</v>
      </c>
      <c r="F47" s="66"/>
      <c r="G47" s="66"/>
      <c r="H47" s="1220"/>
      <c r="I47" s="66"/>
      <c r="J47" s="66"/>
      <c r="K47" s="66"/>
      <c r="L47" s="1221" t="s">
        <v>10794</v>
      </c>
      <c r="M47" s="51"/>
      <c r="N47" s="52"/>
      <c r="O47" s="25"/>
      <c r="P47" s="25"/>
    </row>
    <row r="48" spans="1:16" ht="30" customHeight="1">
      <c r="A48" s="61" t="s">
        <v>59</v>
      </c>
      <c r="B48" s="62" t="s">
        <v>26</v>
      </c>
      <c r="C48" s="63" t="s">
        <v>60</v>
      </c>
      <c r="D48" s="1219" t="str">
        <f>IFERROR(UPPER(IF(B48="CPU",VLOOKUP(C48,#REF!,2,0),IF(B48="SINAPI",VLOOKUP(C48,#REF!,2,0),IF(B48="EDIF",VLOOKUP(C48,#REF!,2,0),IF(B48="CDHU",VLOOKUP(C48,#REF!,2,0),IF(B48="FDE",VLOOKUP(C48,'FDE 10-23 '!$A$4:$E$3180,2,0),IF(B48="INFRA",VLOOKUP(C48,#REF!,2,0),""))))))),"")</f>
        <v>ESTACA TIPO HELICE DN 25CM</v>
      </c>
      <c r="E48" s="65" t="str">
        <f>VLOOKUP(C48,'FDE 10-23 '!$A$4:$E$3180,3,0)</f>
        <v>M</v>
      </c>
      <c r="F48" s="66"/>
      <c r="G48" s="66"/>
      <c r="H48" s="1220"/>
      <c r="I48" s="66"/>
      <c r="J48" s="66"/>
      <c r="K48" s="66"/>
      <c r="L48" s="1221" t="s">
        <v>10794</v>
      </c>
      <c r="M48" s="51"/>
      <c r="N48" s="52"/>
      <c r="O48" s="25"/>
      <c r="P48" s="25"/>
    </row>
    <row r="49" spans="1:16" ht="30" customHeight="1">
      <c r="A49" s="61" t="s">
        <v>61</v>
      </c>
      <c r="B49" s="62" t="s">
        <v>26</v>
      </c>
      <c r="C49" s="63" t="s">
        <v>62</v>
      </c>
      <c r="D49" s="1219" t="str">
        <f>IFERROR(UPPER(IF(B49="CPU",VLOOKUP(C49,#REF!,2,0),IF(B49="SINAPI",VLOOKUP(C49,#REF!,2,0),IF(B49="EDIF",VLOOKUP(C49,#REF!,2,0),IF(B49="CDHU",VLOOKUP(C49,#REF!,2,0),IF(B49="FDE",VLOOKUP(C49,'FDE 10-23 '!$A$4:$E$3180,2,0),IF(B49="INFRA",VLOOKUP(C49,#REF!,2,0),""))))))),"")</f>
        <v>ESTACA TIPO HELICE DN 30CM</v>
      </c>
      <c r="E49" s="65" t="str">
        <f>VLOOKUP(C49,'FDE 10-23 '!$A$4:$E$3180,3,0)</f>
        <v>M</v>
      </c>
      <c r="F49" s="66"/>
      <c r="G49" s="66"/>
      <c r="H49" s="1220"/>
      <c r="I49" s="66"/>
      <c r="J49" s="66"/>
      <c r="K49" s="66"/>
      <c r="L49" s="1221" t="s">
        <v>10794</v>
      </c>
      <c r="M49" s="51"/>
      <c r="N49" s="52"/>
      <c r="O49" s="25"/>
      <c r="P49" s="25"/>
    </row>
    <row r="50" spans="1:16" ht="30" customHeight="1">
      <c r="A50" s="61" t="s">
        <v>63</v>
      </c>
      <c r="B50" s="62" t="s">
        <v>26</v>
      </c>
      <c r="C50" s="63" t="s">
        <v>64</v>
      </c>
      <c r="D50" s="1219" t="str">
        <f>IFERROR(UPPER(IF(B50="CPU",VLOOKUP(C50,#REF!,2,0),IF(B50="SINAPI",VLOOKUP(C50,#REF!,2,0),IF(B50="EDIF",VLOOKUP(C50,#REF!,2,0),IF(B50="CDHU",VLOOKUP(C50,#REF!,2,0),IF(B50="FDE",VLOOKUP(C50,'FDE 10-23 '!$A$4:$E$3180,2,0),IF(B50="INFRA",VLOOKUP(C50,#REF!,2,0),""))))))),"")</f>
        <v>ESTACA TIPO HELICE DN 35CM</v>
      </c>
      <c r="E50" s="65" t="str">
        <f>VLOOKUP(C50,'FDE 10-23 '!$A$4:$E$3180,3,0)</f>
        <v>M</v>
      </c>
      <c r="F50" s="66"/>
      <c r="G50" s="66"/>
      <c r="H50" s="1220"/>
      <c r="I50" s="66"/>
      <c r="J50" s="66"/>
      <c r="K50" s="66"/>
      <c r="L50" s="1221" t="s">
        <v>10794</v>
      </c>
      <c r="M50" s="51"/>
      <c r="N50" s="52"/>
      <c r="O50" s="25"/>
      <c r="P50" s="25"/>
    </row>
    <row r="51" spans="1:16" ht="30" customHeight="1">
      <c r="A51" s="61" t="s">
        <v>65</v>
      </c>
      <c r="B51" s="62" t="s">
        <v>26</v>
      </c>
      <c r="C51" s="63" t="s">
        <v>66</v>
      </c>
      <c r="D51" s="1219" t="str">
        <f>IFERROR(UPPER(IF(B51="CPU",VLOOKUP(C51,#REF!,2,0),IF(B51="SINAPI",VLOOKUP(C51,#REF!,2,0),IF(B51="EDIF",VLOOKUP(C51,#REF!,2,0),IF(B51="CDHU",VLOOKUP(C51,#REF!,2,0),IF(B51="FDE",VLOOKUP(C51,'FDE 10-23 '!$A$4:$E$3180,2,0),IF(B51="INFRA",VLOOKUP(C51,#REF!,2,0),""))))))),"")</f>
        <v>TRANSPORTE E ATERRO INTERNO DE MATERIAL ESCAVADO DE FUNDAÇÃO-ESTACA-TUBULÃO</v>
      </c>
      <c r="E51" s="65" t="str">
        <f>VLOOKUP(C51,'FDE 10-23 '!$A$4:$E$3180,3,0)</f>
        <v>M3</v>
      </c>
      <c r="F51" s="66"/>
      <c r="G51" s="66"/>
      <c r="H51" s="1220"/>
      <c r="I51" s="66"/>
      <c r="J51" s="66"/>
      <c r="K51" s="66"/>
      <c r="L51" s="1221" t="s">
        <v>10794</v>
      </c>
      <c r="M51" s="51"/>
      <c r="N51" s="52"/>
      <c r="O51" s="25"/>
      <c r="P51" s="25"/>
    </row>
    <row r="52" spans="1:16" ht="30" customHeight="1">
      <c r="A52" s="53" t="s">
        <v>67</v>
      </c>
      <c r="B52" s="54"/>
      <c r="C52" s="54" t="s">
        <v>68</v>
      </c>
      <c r="D52" s="1216" t="s">
        <v>69</v>
      </c>
      <c r="E52" s="56"/>
      <c r="F52" s="57"/>
      <c r="G52" s="57"/>
      <c r="H52" s="1217"/>
      <c r="I52" s="1217"/>
      <c r="J52" s="1217"/>
      <c r="K52" s="1217"/>
      <c r="L52" s="1218"/>
      <c r="M52" s="51"/>
      <c r="N52" s="52"/>
      <c r="O52" s="25"/>
      <c r="P52" s="25"/>
    </row>
    <row r="53" spans="1:16" ht="30" customHeight="1">
      <c r="A53" s="61" t="s">
        <v>70</v>
      </c>
      <c r="B53" s="62" t="s">
        <v>26</v>
      </c>
      <c r="C53" s="63" t="s">
        <v>71</v>
      </c>
      <c r="D53" s="1219" t="str">
        <f>IFERROR(UPPER(IF(B53="CPU",VLOOKUP(C53,#REF!,2,0),IF(B53="SINAPI",VLOOKUP(C53,#REF!,2,0),IF(B53="EDIF",VLOOKUP(C53,#REF!,2,0),IF(B53="CDHU",VLOOKUP(C53,#REF!,2,0),IF(B53="FDE",VLOOKUP(C53,'FDE 10-23 '!$A$4:$E$3180,2,0),IF(B53="INFRA",VLOOKUP(C53,#REF!,2,0),""))))))),"")</f>
        <v>FORMA DE MADEIRA MACICA</v>
      </c>
      <c r="E53" s="65" t="str">
        <f>VLOOKUP(C53,'FDE 10-23 '!$A$4:$E$3180,3,0)</f>
        <v>M2</v>
      </c>
      <c r="F53" s="1112">
        <f>SUM(F114:F116)</f>
        <v>276.82</v>
      </c>
      <c r="G53" s="66"/>
      <c r="H53" s="1220"/>
      <c r="I53" s="66"/>
      <c r="J53" s="66"/>
      <c r="K53" s="66"/>
      <c r="L53" s="1222"/>
      <c r="M53" s="51"/>
      <c r="N53" s="52"/>
      <c r="O53" s="25"/>
      <c r="P53" s="25"/>
    </row>
    <row r="54" spans="1:16" ht="30" customHeight="1">
      <c r="A54" s="61"/>
      <c r="B54" s="62"/>
      <c r="C54" s="63"/>
      <c r="D54" s="1223" t="s">
        <v>10802</v>
      </c>
      <c r="E54" s="65"/>
      <c r="F54" s="66"/>
      <c r="G54" s="66"/>
      <c r="H54" s="1220"/>
      <c r="I54" s="66"/>
      <c r="J54" s="66"/>
      <c r="K54" s="66"/>
      <c r="L54" s="1222"/>
      <c r="M54" s="51"/>
      <c r="N54" s="52"/>
      <c r="O54" s="25"/>
      <c r="P54" s="25"/>
    </row>
    <row r="55" spans="1:16" ht="30" customHeight="1">
      <c r="A55" s="61"/>
      <c r="B55" s="62"/>
      <c r="C55" s="63"/>
      <c r="D55" s="1224" t="s">
        <v>10795</v>
      </c>
      <c r="E55" s="1225"/>
      <c r="F55" s="1226">
        <f t="shared" ref="F55:F68" si="0">SUM(G55*I55*K55)</f>
        <v>75.92</v>
      </c>
      <c r="G55" s="1226">
        <v>0.8</v>
      </c>
      <c r="H55" s="1227"/>
      <c r="I55" s="1226">
        <f>1.4+0.545+0.9+0.25+0.25+0.9+0.25+0.25</f>
        <v>4.7450000000000001</v>
      </c>
      <c r="J55" s="1226"/>
      <c r="K55" s="1226">
        <v>20</v>
      </c>
      <c r="L55" s="1221" t="s">
        <v>10794</v>
      </c>
      <c r="M55" s="51"/>
      <c r="N55" s="52"/>
      <c r="O55" s="25"/>
      <c r="P55" s="25"/>
    </row>
    <row r="56" spans="1:16" ht="30" customHeight="1">
      <c r="A56" s="61"/>
      <c r="B56" s="62"/>
      <c r="C56" s="63"/>
      <c r="D56" s="1224" t="s">
        <v>10803</v>
      </c>
      <c r="E56" s="1225"/>
      <c r="F56" s="1226">
        <f t="shared" si="0"/>
        <v>53.2</v>
      </c>
      <c r="G56" s="1226">
        <v>0.7</v>
      </c>
      <c r="H56" s="1227"/>
      <c r="I56" s="1226">
        <f>0.8+0.8+1.1+1.1</f>
        <v>3.8000000000000003</v>
      </c>
      <c r="J56" s="1226"/>
      <c r="K56" s="1226">
        <v>20</v>
      </c>
      <c r="L56" s="1221" t="s">
        <v>10794</v>
      </c>
      <c r="M56" s="51"/>
      <c r="N56" s="52"/>
      <c r="O56" s="25"/>
      <c r="P56" s="25"/>
    </row>
    <row r="57" spans="1:16" ht="30" customHeight="1">
      <c r="A57" s="61"/>
      <c r="B57" s="62"/>
      <c r="C57" s="63"/>
      <c r="D57" s="1224" t="s">
        <v>10804</v>
      </c>
      <c r="E57" s="1225"/>
      <c r="F57" s="1226">
        <f t="shared" si="0"/>
        <v>65</v>
      </c>
      <c r="G57" s="1226">
        <v>1.25</v>
      </c>
      <c r="H57" s="1227"/>
      <c r="I57" s="1226">
        <f>0.5+0.5+0.8+0.8</f>
        <v>2.6</v>
      </c>
      <c r="J57" s="1226"/>
      <c r="K57" s="1226">
        <v>20</v>
      </c>
      <c r="L57" s="1221" t="s">
        <v>10794</v>
      </c>
      <c r="M57" s="51"/>
      <c r="N57" s="52"/>
      <c r="O57" s="25"/>
      <c r="P57" s="25"/>
    </row>
    <row r="58" spans="1:16" ht="30" customHeight="1">
      <c r="A58" s="61"/>
      <c r="B58" s="62"/>
      <c r="C58" s="63"/>
      <c r="D58" s="1224" t="s">
        <v>10805</v>
      </c>
      <c r="E58" s="1225"/>
      <c r="F58" s="1226">
        <f t="shared" si="0"/>
        <v>26.879999999999995</v>
      </c>
      <c r="G58" s="1226">
        <v>0.8</v>
      </c>
      <c r="H58" s="1227"/>
      <c r="I58" s="1226">
        <f>1.4*4</f>
        <v>5.6</v>
      </c>
      <c r="J58" s="1226"/>
      <c r="K58" s="1226">
        <v>6</v>
      </c>
      <c r="L58" s="1221" t="s">
        <v>10794</v>
      </c>
      <c r="M58" s="51"/>
      <c r="N58" s="52"/>
      <c r="O58" s="25"/>
      <c r="P58" s="25"/>
    </row>
    <row r="59" spans="1:16" ht="30" customHeight="1">
      <c r="A59" s="61"/>
      <c r="B59" s="62"/>
      <c r="C59" s="63"/>
      <c r="D59" s="1224" t="s">
        <v>10803</v>
      </c>
      <c r="E59" s="1225"/>
      <c r="F59" s="1226">
        <f t="shared" si="0"/>
        <v>8.4</v>
      </c>
      <c r="G59" s="1226">
        <v>0.4</v>
      </c>
      <c r="H59" s="1227"/>
      <c r="I59" s="1226">
        <f>0.8+0.8+0.95+0.95</f>
        <v>3.5</v>
      </c>
      <c r="J59" s="1226"/>
      <c r="K59" s="1226">
        <v>6</v>
      </c>
      <c r="L59" s="1221" t="s">
        <v>10794</v>
      </c>
      <c r="M59" s="51"/>
      <c r="N59" s="52"/>
      <c r="O59" s="25"/>
      <c r="P59" s="25"/>
    </row>
    <row r="60" spans="1:16" ht="30" customHeight="1">
      <c r="A60" s="61"/>
      <c r="B60" s="62"/>
      <c r="C60" s="63"/>
      <c r="D60" s="1224" t="s">
        <v>10804</v>
      </c>
      <c r="E60" s="1225"/>
      <c r="F60" s="1226">
        <f t="shared" si="0"/>
        <v>13.109999999999998</v>
      </c>
      <c r="G60" s="1226">
        <v>0.95</v>
      </c>
      <c r="H60" s="1227"/>
      <c r="I60" s="1226">
        <f>0.5+0.5+0.65+0.65</f>
        <v>2.2999999999999998</v>
      </c>
      <c r="J60" s="1226"/>
      <c r="K60" s="1226">
        <v>6</v>
      </c>
      <c r="L60" s="1221" t="s">
        <v>10794</v>
      </c>
      <c r="M60" s="51"/>
      <c r="N60" s="52"/>
      <c r="O60" s="25"/>
      <c r="P60" s="25"/>
    </row>
    <row r="61" spans="1:16" ht="30" customHeight="1">
      <c r="A61" s="61"/>
      <c r="B61" s="62"/>
      <c r="C61" s="63"/>
      <c r="D61" s="1224" t="s">
        <v>10806</v>
      </c>
      <c r="E61" s="1225"/>
      <c r="F61" s="1226">
        <f t="shared" si="0"/>
        <v>25.6</v>
      </c>
      <c r="G61" s="1226">
        <v>0.8</v>
      </c>
      <c r="H61" s="1227"/>
      <c r="I61" s="1226">
        <f>2*4</f>
        <v>8</v>
      </c>
      <c r="J61" s="1226"/>
      <c r="K61" s="1226">
        <v>4</v>
      </c>
      <c r="L61" s="1221" t="s">
        <v>10794</v>
      </c>
      <c r="M61" s="51"/>
      <c r="N61" s="52"/>
      <c r="O61" s="25"/>
      <c r="P61" s="25"/>
    </row>
    <row r="62" spans="1:16" ht="30" customHeight="1">
      <c r="A62" s="61"/>
      <c r="B62" s="62"/>
      <c r="C62" s="63"/>
      <c r="D62" s="1224" t="s">
        <v>10803</v>
      </c>
      <c r="E62" s="1225"/>
      <c r="F62" s="1226">
        <f t="shared" si="0"/>
        <v>5.6000000000000005</v>
      </c>
      <c r="G62" s="1226">
        <v>0.4</v>
      </c>
      <c r="H62" s="1227"/>
      <c r="I62" s="1226">
        <f>0.8+0.8+0.95+0.95</f>
        <v>3.5</v>
      </c>
      <c r="J62" s="1226"/>
      <c r="K62" s="1226">
        <v>4</v>
      </c>
      <c r="L62" s="1221" t="s">
        <v>10794</v>
      </c>
      <c r="M62" s="51"/>
      <c r="N62" s="52"/>
      <c r="O62" s="25"/>
      <c r="P62" s="25"/>
    </row>
    <row r="63" spans="1:16" ht="30" customHeight="1">
      <c r="A63" s="61"/>
      <c r="B63" s="62"/>
      <c r="C63" s="63"/>
      <c r="D63" s="1224" t="s">
        <v>10804</v>
      </c>
      <c r="E63" s="1225"/>
      <c r="F63" s="1226">
        <f t="shared" si="0"/>
        <v>8.7399999999999984</v>
      </c>
      <c r="G63" s="1226">
        <v>0.95</v>
      </c>
      <c r="H63" s="1227"/>
      <c r="I63" s="1226">
        <f>0.5+0.5+0.65+0.65</f>
        <v>2.2999999999999998</v>
      </c>
      <c r="J63" s="1226"/>
      <c r="K63" s="1226">
        <v>4</v>
      </c>
      <c r="L63" s="1221" t="s">
        <v>10794</v>
      </c>
      <c r="M63" s="51"/>
      <c r="N63" s="52"/>
      <c r="O63" s="25"/>
      <c r="P63" s="25"/>
    </row>
    <row r="64" spans="1:16" ht="30" customHeight="1">
      <c r="A64" s="61"/>
      <c r="B64" s="62"/>
      <c r="C64" s="63"/>
      <c r="D64" s="1224" t="s">
        <v>10807</v>
      </c>
      <c r="E64" s="1225"/>
      <c r="F64" s="1226">
        <f t="shared" si="0"/>
        <v>15.400000000000002</v>
      </c>
      <c r="G64" s="1226">
        <v>0.5</v>
      </c>
      <c r="H64" s="1227"/>
      <c r="I64" s="1226">
        <f>1.4*2+0.8*2</f>
        <v>4.4000000000000004</v>
      </c>
      <c r="J64" s="1226"/>
      <c r="K64" s="1226">
        <v>7</v>
      </c>
      <c r="L64" s="1221" t="s">
        <v>10794</v>
      </c>
      <c r="M64" s="51"/>
      <c r="N64" s="52"/>
      <c r="O64" s="25"/>
      <c r="P64" s="25"/>
    </row>
    <row r="65" spans="1:16" ht="30" customHeight="1">
      <c r="A65" s="61"/>
      <c r="B65" s="62"/>
      <c r="C65" s="63"/>
      <c r="D65" s="1224" t="s">
        <v>10803</v>
      </c>
      <c r="E65" s="1225"/>
      <c r="F65" s="1226">
        <f t="shared" si="0"/>
        <v>8.9600000000000009</v>
      </c>
      <c r="G65" s="1226">
        <v>0.4</v>
      </c>
      <c r="H65" s="1227"/>
      <c r="I65" s="1226">
        <f>0.8*4</f>
        <v>3.2</v>
      </c>
      <c r="J65" s="1226"/>
      <c r="K65" s="1226">
        <v>7</v>
      </c>
      <c r="L65" s="1221" t="s">
        <v>10794</v>
      </c>
      <c r="M65" s="51"/>
      <c r="N65" s="52"/>
      <c r="O65" s="25"/>
      <c r="P65" s="25"/>
    </row>
    <row r="66" spans="1:16" ht="30" customHeight="1">
      <c r="A66" s="61"/>
      <c r="B66" s="62"/>
      <c r="C66" s="63"/>
      <c r="D66" s="1224" t="s">
        <v>10804</v>
      </c>
      <c r="E66" s="1225"/>
      <c r="F66" s="1226">
        <f t="shared" si="0"/>
        <v>9.1</v>
      </c>
      <c r="G66" s="1226">
        <v>0.65</v>
      </c>
      <c r="H66" s="1227"/>
      <c r="I66" s="1226">
        <f>0.5*4</f>
        <v>2</v>
      </c>
      <c r="J66" s="1226"/>
      <c r="K66" s="1226">
        <v>7</v>
      </c>
      <c r="L66" s="1221" t="s">
        <v>10794</v>
      </c>
      <c r="M66" s="51"/>
      <c r="N66" s="52"/>
      <c r="O66" s="25"/>
      <c r="P66" s="25"/>
    </row>
    <row r="67" spans="1:16" ht="30" customHeight="1">
      <c r="A67" s="61"/>
      <c r="B67" s="62"/>
      <c r="C67" s="63"/>
      <c r="D67" s="1224" t="s">
        <v>10808</v>
      </c>
      <c r="E67" s="1225"/>
      <c r="F67" s="1226">
        <f t="shared" si="0"/>
        <v>3.8225000000000002</v>
      </c>
      <c r="G67" s="1226">
        <v>0.55000000000000004</v>
      </c>
      <c r="H67" s="1227"/>
      <c r="I67" s="1226">
        <f>3.275*2+0.4</f>
        <v>6.95</v>
      </c>
      <c r="J67" s="1226"/>
      <c r="K67" s="1226">
        <v>1</v>
      </c>
      <c r="L67" s="1221" t="s">
        <v>10794</v>
      </c>
      <c r="M67" s="51"/>
      <c r="N67" s="52"/>
      <c r="O67" s="25"/>
      <c r="P67" s="25"/>
    </row>
    <row r="68" spans="1:16" ht="30" customHeight="1">
      <c r="A68" s="61"/>
      <c r="B68" s="62"/>
      <c r="C68" s="63"/>
      <c r="D68" s="1224" t="s">
        <v>10809</v>
      </c>
      <c r="E68" s="1225"/>
      <c r="F68" s="1226">
        <f t="shared" si="0"/>
        <v>38.5</v>
      </c>
      <c r="G68" s="1226">
        <v>0.55000000000000004</v>
      </c>
      <c r="H68" s="1227"/>
      <c r="I68" s="1226">
        <f>0.5*4</f>
        <v>2</v>
      </c>
      <c r="J68" s="1226"/>
      <c r="K68" s="1226">
        <v>35</v>
      </c>
      <c r="L68" s="1221" t="s">
        <v>10794</v>
      </c>
      <c r="M68" s="51"/>
      <c r="N68" s="52"/>
      <c r="O68" s="25"/>
      <c r="P68" s="25"/>
    </row>
    <row r="69" spans="1:16" ht="30" customHeight="1">
      <c r="A69" s="61"/>
      <c r="B69" s="62"/>
      <c r="C69" s="63"/>
      <c r="D69" s="1224" t="s">
        <v>10797</v>
      </c>
      <c r="E69" s="1225"/>
      <c r="F69" s="1226">
        <f>SUM(G69*2*I69*K69)</f>
        <v>4.7200000000000006</v>
      </c>
      <c r="G69" s="1226">
        <v>0.4</v>
      </c>
      <c r="H69" s="1227">
        <v>0.2</v>
      </c>
      <c r="I69" s="1226">
        <f>3+2.9</f>
        <v>5.9</v>
      </c>
      <c r="J69" s="1226"/>
      <c r="K69" s="1226">
        <v>1</v>
      </c>
      <c r="L69" s="1221" t="s">
        <v>10794</v>
      </c>
      <c r="M69" s="51"/>
      <c r="N69" s="52"/>
      <c r="O69" s="25"/>
      <c r="P69" s="25"/>
    </row>
    <row r="70" spans="1:16" ht="30" customHeight="1">
      <c r="A70" s="61"/>
      <c r="B70" s="62"/>
      <c r="C70" s="63"/>
      <c r="D70" s="1224" t="s">
        <v>10798</v>
      </c>
      <c r="E70" s="1225"/>
      <c r="F70" s="1226">
        <f t="shared" ref="F70:F109" si="1">SUM((G70*2)*I70*K70)</f>
        <v>44.2</v>
      </c>
      <c r="G70" s="1226">
        <v>0.5</v>
      </c>
      <c r="H70" s="1227">
        <v>0.2</v>
      </c>
      <c r="I70" s="1226">
        <f>3.25*4+7*2+4.2+3.25*4</f>
        <v>44.2</v>
      </c>
      <c r="J70" s="1226"/>
      <c r="K70" s="1226">
        <v>1</v>
      </c>
      <c r="L70" s="1221" t="s">
        <v>10794</v>
      </c>
      <c r="M70" s="51"/>
      <c r="N70" s="52"/>
      <c r="O70" s="25"/>
      <c r="P70" s="25"/>
    </row>
    <row r="71" spans="1:16" ht="30" customHeight="1">
      <c r="A71" s="61"/>
      <c r="B71" s="62"/>
      <c r="C71" s="63"/>
      <c r="D71" s="1224" t="s">
        <v>10810</v>
      </c>
      <c r="E71" s="1225"/>
      <c r="F71" s="1226">
        <f t="shared" si="1"/>
        <v>10.4</v>
      </c>
      <c r="G71" s="1226">
        <v>0.4</v>
      </c>
      <c r="H71" s="1227">
        <v>0.2</v>
      </c>
      <c r="I71" s="1226">
        <f>3.25*4</f>
        <v>13</v>
      </c>
      <c r="J71" s="1226"/>
      <c r="K71" s="1226">
        <v>1</v>
      </c>
      <c r="L71" s="1221" t="s">
        <v>10794</v>
      </c>
      <c r="M71" s="51"/>
      <c r="N71" s="52"/>
      <c r="O71" s="25"/>
      <c r="P71" s="25"/>
    </row>
    <row r="72" spans="1:16" ht="30" customHeight="1">
      <c r="A72" s="61"/>
      <c r="B72" s="62"/>
      <c r="C72" s="63"/>
      <c r="D72" s="1224" t="s">
        <v>10811</v>
      </c>
      <c r="E72" s="1225"/>
      <c r="F72" s="1226">
        <f t="shared" si="1"/>
        <v>5.9</v>
      </c>
      <c r="G72" s="1226">
        <v>0.5</v>
      </c>
      <c r="H72" s="1227">
        <v>0.2</v>
      </c>
      <c r="I72" s="1226">
        <f>3+2.9</f>
        <v>5.9</v>
      </c>
      <c r="J72" s="1226"/>
      <c r="K72" s="1226">
        <v>1</v>
      </c>
      <c r="L72" s="1221" t="s">
        <v>10794</v>
      </c>
      <c r="M72" s="51"/>
      <c r="N72" s="52"/>
      <c r="O72" s="25"/>
      <c r="P72" s="25"/>
    </row>
    <row r="73" spans="1:16" ht="30" customHeight="1">
      <c r="A73" s="61"/>
      <c r="B73" s="62"/>
      <c r="C73" s="63"/>
      <c r="D73" s="1224" t="s">
        <v>10812</v>
      </c>
      <c r="E73" s="1225"/>
      <c r="F73" s="1226">
        <f t="shared" si="1"/>
        <v>9.15</v>
      </c>
      <c r="G73" s="1226">
        <v>0.5</v>
      </c>
      <c r="H73" s="1227">
        <v>0.2</v>
      </c>
      <c r="I73" s="1226">
        <f t="shared" ref="I73:I81" si="2">1+3.25+4.9</f>
        <v>9.15</v>
      </c>
      <c r="J73" s="1226"/>
      <c r="K73" s="1226">
        <v>1</v>
      </c>
      <c r="L73" s="1221" t="s">
        <v>10794</v>
      </c>
      <c r="M73" s="51"/>
      <c r="N73" s="52"/>
      <c r="O73" s="25"/>
      <c r="P73" s="25"/>
    </row>
    <row r="74" spans="1:16" ht="30" customHeight="1">
      <c r="A74" s="61"/>
      <c r="B74" s="62"/>
      <c r="C74" s="63"/>
      <c r="D74" s="1224" t="s">
        <v>10813</v>
      </c>
      <c r="E74" s="1225"/>
      <c r="F74" s="1226">
        <f t="shared" si="1"/>
        <v>9.15</v>
      </c>
      <c r="G74" s="1226">
        <v>0.5</v>
      </c>
      <c r="H74" s="1227">
        <v>0.2</v>
      </c>
      <c r="I74" s="1226">
        <f t="shared" si="2"/>
        <v>9.15</v>
      </c>
      <c r="J74" s="1226"/>
      <c r="K74" s="1226">
        <v>1</v>
      </c>
      <c r="L74" s="1221" t="s">
        <v>10794</v>
      </c>
      <c r="M74" s="51"/>
      <c r="N74" s="52"/>
      <c r="O74" s="25"/>
      <c r="P74" s="25"/>
    </row>
    <row r="75" spans="1:16" ht="30" customHeight="1">
      <c r="A75" s="61"/>
      <c r="B75" s="62"/>
      <c r="C75" s="63"/>
      <c r="D75" s="1224" t="s">
        <v>10814</v>
      </c>
      <c r="E75" s="1225"/>
      <c r="F75" s="1226">
        <f t="shared" si="1"/>
        <v>9.15</v>
      </c>
      <c r="G75" s="1226">
        <v>0.5</v>
      </c>
      <c r="H75" s="1227">
        <v>0.2</v>
      </c>
      <c r="I75" s="1226">
        <f t="shared" si="2"/>
        <v>9.15</v>
      </c>
      <c r="J75" s="1226"/>
      <c r="K75" s="1226">
        <v>1</v>
      </c>
      <c r="L75" s="1221" t="s">
        <v>10794</v>
      </c>
      <c r="M75" s="51"/>
      <c r="N75" s="52"/>
      <c r="O75" s="25"/>
      <c r="P75" s="25"/>
    </row>
    <row r="76" spans="1:16" ht="30" customHeight="1">
      <c r="A76" s="61"/>
      <c r="B76" s="62"/>
      <c r="C76" s="63"/>
      <c r="D76" s="1224" t="s">
        <v>10815</v>
      </c>
      <c r="E76" s="1225"/>
      <c r="F76" s="1226">
        <f t="shared" si="1"/>
        <v>9.15</v>
      </c>
      <c r="G76" s="1226">
        <v>0.5</v>
      </c>
      <c r="H76" s="1227">
        <v>0.2</v>
      </c>
      <c r="I76" s="1226">
        <f t="shared" si="2"/>
        <v>9.15</v>
      </c>
      <c r="J76" s="1226"/>
      <c r="K76" s="1226">
        <v>1</v>
      </c>
      <c r="L76" s="1221" t="s">
        <v>10794</v>
      </c>
      <c r="M76" s="51"/>
      <c r="N76" s="52"/>
      <c r="O76" s="25"/>
      <c r="P76" s="25"/>
    </row>
    <row r="77" spans="1:16" ht="30" customHeight="1">
      <c r="A77" s="61"/>
      <c r="B77" s="62"/>
      <c r="C77" s="63"/>
      <c r="D77" s="1224" t="s">
        <v>10816</v>
      </c>
      <c r="E77" s="1225"/>
      <c r="F77" s="1226">
        <f t="shared" si="1"/>
        <v>9.15</v>
      </c>
      <c r="G77" s="1226">
        <v>0.5</v>
      </c>
      <c r="H77" s="1227">
        <v>0.2</v>
      </c>
      <c r="I77" s="1226">
        <f t="shared" si="2"/>
        <v>9.15</v>
      </c>
      <c r="J77" s="1226"/>
      <c r="K77" s="1226">
        <v>1</v>
      </c>
      <c r="L77" s="1221" t="s">
        <v>10794</v>
      </c>
      <c r="M77" s="51"/>
      <c r="N77" s="52"/>
      <c r="O77" s="25"/>
      <c r="P77" s="25"/>
    </row>
    <row r="78" spans="1:16" ht="30" customHeight="1">
      <c r="A78" s="61"/>
      <c r="B78" s="62"/>
      <c r="C78" s="63"/>
      <c r="D78" s="1224" t="s">
        <v>10817</v>
      </c>
      <c r="E78" s="1225"/>
      <c r="F78" s="1226">
        <f t="shared" si="1"/>
        <v>9.15</v>
      </c>
      <c r="G78" s="1226">
        <v>0.5</v>
      </c>
      <c r="H78" s="1227">
        <v>0.2</v>
      </c>
      <c r="I78" s="1226">
        <f t="shared" si="2"/>
        <v>9.15</v>
      </c>
      <c r="J78" s="1226"/>
      <c r="K78" s="1226">
        <v>1</v>
      </c>
      <c r="L78" s="1221" t="s">
        <v>10794</v>
      </c>
      <c r="M78" s="51"/>
      <c r="N78" s="52"/>
      <c r="O78" s="25"/>
      <c r="P78" s="25"/>
    </row>
    <row r="79" spans="1:16" ht="30" customHeight="1">
      <c r="A79" s="61"/>
      <c r="B79" s="62"/>
      <c r="C79" s="63"/>
      <c r="D79" s="1224" t="s">
        <v>10818</v>
      </c>
      <c r="E79" s="1225"/>
      <c r="F79" s="1226">
        <f t="shared" si="1"/>
        <v>9.15</v>
      </c>
      <c r="G79" s="1226">
        <v>0.5</v>
      </c>
      <c r="H79" s="1227">
        <v>0.2</v>
      </c>
      <c r="I79" s="1226">
        <f t="shared" si="2"/>
        <v>9.15</v>
      </c>
      <c r="J79" s="1226"/>
      <c r="K79" s="1226">
        <v>1</v>
      </c>
      <c r="L79" s="1221" t="s">
        <v>10794</v>
      </c>
      <c r="M79" s="51"/>
      <c r="N79" s="52"/>
      <c r="O79" s="25"/>
      <c r="P79" s="25"/>
    </row>
    <row r="80" spans="1:16" ht="30" customHeight="1">
      <c r="A80" s="61"/>
      <c r="B80" s="62"/>
      <c r="C80" s="63"/>
      <c r="D80" s="1224" t="s">
        <v>10819</v>
      </c>
      <c r="E80" s="1225"/>
      <c r="F80" s="1226">
        <f t="shared" si="1"/>
        <v>9.15</v>
      </c>
      <c r="G80" s="1226">
        <v>0.5</v>
      </c>
      <c r="H80" s="1227">
        <v>0.2</v>
      </c>
      <c r="I80" s="1226">
        <f t="shared" si="2"/>
        <v>9.15</v>
      </c>
      <c r="J80" s="1226"/>
      <c r="K80" s="1226">
        <v>1</v>
      </c>
      <c r="L80" s="1221" t="s">
        <v>10794</v>
      </c>
      <c r="M80" s="51"/>
      <c r="N80" s="52"/>
      <c r="O80" s="25"/>
      <c r="P80" s="25"/>
    </row>
    <row r="81" spans="1:16" ht="30" customHeight="1">
      <c r="A81" s="61"/>
      <c r="B81" s="62"/>
      <c r="C81" s="63"/>
      <c r="D81" s="1224" t="s">
        <v>10820</v>
      </c>
      <c r="E81" s="1225"/>
      <c r="F81" s="1226">
        <f t="shared" si="1"/>
        <v>9.15</v>
      </c>
      <c r="G81" s="1226">
        <v>0.5</v>
      </c>
      <c r="H81" s="1227">
        <v>0.2</v>
      </c>
      <c r="I81" s="1226">
        <f t="shared" si="2"/>
        <v>9.15</v>
      </c>
      <c r="J81" s="1226"/>
      <c r="K81" s="1226">
        <v>1</v>
      </c>
      <c r="L81" s="1221" t="s">
        <v>10794</v>
      </c>
      <c r="M81" s="51"/>
      <c r="N81" s="52"/>
      <c r="O81" s="25"/>
      <c r="P81" s="25"/>
    </row>
    <row r="82" spans="1:16" ht="30" customHeight="1">
      <c r="A82" s="61"/>
      <c r="B82" s="62"/>
      <c r="C82" s="63"/>
      <c r="D82" s="1224" t="s">
        <v>10821</v>
      </c>
      <c r="E82" s="1225"/>
      <c r="F82" s="1226">
        <f t="shared" si="1"/>
        <v>4</v>
      </c>
      <c r="G82" s="1226">
        <v>0.4</v>
      </c>
      <c r="H82" s="1227">
        <v>0.2</v>
      </c>
      <c r="I82" s="1226">
        <v>5</v>
      </c>
      <c r="J82" s="1226"/>
      <c r="K82" s="1226">
        <v>1</v>
      </c>
      <c r="L82" s="1221" t="s">
        <v>10794</v>
      </c>
      <c r="M82" s="51"/>
      <c r="N82" s="52"/>
      <c r="O82" s="25"/>
      <c r="P82" s="25"/>
    </row>
    <row r="83" spans="1:16" ht="30" customHeight="1">
      <c r="A83" s="61"/>
      <c r="B83" s="62"/>
      <c r="C83" s="63"/>
      <c r="D83" s="1224" t="s">
        <v>10822</v>
      </c>
      <c r="E83" s="1225"/>
      <c r="F83" s="1226">
        <f t="shared" si="1"/>
        <v>4</v>
      </c>
      <c r="G83" s="1226">
        <v>0.4</v>
      </c>
      <c r="H83" s="1227">
        <v>0.2</v>
      </c>
      <c r="I83" s="1226">
        <v>5</v>
      </c>
      <c r="J83" s="1226"/>
      <c r="K83" s="1226">
        <v>1</v>
      </c>
      <c r="L83" s="1221" t="s">
        <v>10794</v>
      </c>
      <c r="M83" s="51"/>
      <c r="N83" s="52"/>
      <c r="O83" s="25"/>
      <c r="P83" s="25"/>
    </row>
    <row r="84" spans="1:16" ht="30" customHeight="1">
      <c r="A84" s="61"/>
      <c r="B84" s="62"/>
      <c r="C84" s="63"/>
      <c r="D84" s="1224" t="s">
        <v>10823</v>
      </c>
      <c r="E84" s="1225"/>
      <c r="F84" s="1226">
        <f t="shared" si="1"/>
        <v>5</v>
      </c>
      <c r="G84" s="1226">
        <v>0.5</v>
      </c>
      <c r="H84" s="1227">
        <v>0.2</v>
      </c>
      <c r="I84" s="1226">
        <v>5</v>
      </c>
      <c r="J84" s="1226"/>
      <c r="K84" s="1226">
        <v>1</v>
      </c>
      <c r="L84" s="1221" t="s">
        <v>10794</v>
      </c>
      <c r="M84" s="51"/>
      <c r="N84" s="52"/>
      <c r="O84" s="25"/>
      <c r="P84" s="25"/>
    </row>
    <row r="85" spans="1:16" ht="30" customHeight="1">
      <c r="A85" s="61"/>
      <c r="B85" s="62"/>
      <c r="C85" s="63"/>
      <c r="D85" s="1224" t="s">
        <v>10824</v>
      </c>
      <c r="E85" s="1225"/>
      <c r="F85" s="1226">
        <f t="shared" si="1"/>
        <v>1.5</v>
      </c>
      <c r="G85" s="1226">
        <v>0.3</v>
      </c>
      <c r="H85" s="1227">
        <v>0.2</v>
      </c>
      <c r="I85" s="1226">
        <v>2.5</v>
      </c>
      <c r="J85" s="1226"/>
      <c r="K85" s="1226">
        <v>1</v>
      </c>
      <c r="L85" s="1221" t="s">
        <v>10794</v>
      </c>
      <c r="M85" s="51"/>
      <c r="N85" s="52"/>
      <c r="O85" s="25"/>
      <c r="P85" s="25"/>
    </row>
    <row r="86" spans="1:16" ht="30" customHeight="1">
      <c r="A86" s="61"/>
      <c r="B86" s="62"/>
      <c r="C86" s="63"/>
      <c r="D86" s="1224" t="s">
        <v>10825</v>
      </c>
      <c r="E86" s="1225"/>
      <c r="F86" s="1226">
        <f t="shared" si="1"/>
        <v>1.5</v>
      </c>
      <c r="G86" s="1226">
        <v>0.3</v>
      </c>
      <c r="H86" s="1227">
        <v>0.2</v>
      </c>
      <c r="I86" s="1226">
        <v>2.5</v>
      </c>
      <c r="J86" s="1226"/>
      <c r="K86" s="1226">
        <v>1</v>
      </c>
      <c r="L86" s="1221" t="s">
        <v>10794</v>
      </c>
      <c r="M86" s="51"/>
      <c r="N86" s="52"/>
      <c r="O86" s="25"/>
      <c r="P86" s="25"/>
    </row>
    <row r="87" spans="1:16" ht="30" customHeight="1">
      <c r="A87" s="61"/>
      <c r="B87" s="62"/>
      <c r="C87" s="63"/>
      <c r="D87" s="1224" t="s">
        <v>10826</v>
      </c>
      <c r="E87" s="1225"/>
      <c r="F87" s="1226">
        <f t="shared" si="1"/>
        <v>2</v>
      </c>
      <c r="G87" s="1226">
        <v>0.4</v>
      </c>
      <c r="H87" s="1227">
        <v>0.2</v>
      </c>
      <c r="I87" s="1226">
        <v>2.5</v>
      </c>
      <c r="J87" s="1226"/>
      <c r="K87" s="1226">
        <v>1</v>
      </c>
      <c r="L87" s="1221" t="s">
        <v>10794</v>
      </c>
      <c r="M87" s="51"/>
      <c r="N87" s="52"/>
      <c r="O87" s="25"/>
      <c r="P87" s="25"/>
    </row>
    <row r="88" spans="1:16" ht="30" customHeight="1">
      <c r="A88" s="61"/>
      <c r="B88" s="62"/>
      <c r="C88" s="63"/>
      <c r="D88" s="1224" t="s">
        <v>10827</v>
      </c>
      <c r="E88" s="1225"/>
      <c r="F88" s="1226">
        <f t="shared" si="1"/>
        <v>2.4000000000000004</v>
      </c>
      <c r="G88" s="1226">
        <v>0.4</v>
      </c>
      <c r="H88" s="1227">
        <v>0.2</v>
      </c>
      <c r="I88" s="1226">
        <v>3</v>
      </c>
      <c r="J88" s="1226"/>
      <c r="K88" s="1226">
        <v>1</v>
      </c>
      <c r="L88" s="1221" t="s">
        <v>10794</v>
      </c>
      <c r="M88" s="51"/>
      <c r="N88" s="52"/>
      <c r="O88" s="25"/>
      <c r="P88" s="25"/>
    </row>
    <row r="89" spans="1:16" ht="30" customHeight="1">
      <c r="A89" s="61"/>
      <c r="B89" s="62"/>
      <c r="C89" s="63"/>
      <c r="D89" s="1224" t="s">
        <v>10828</v>
      </c>
      <c r="E89" s="1225"/>
      <c r="F89" s="1226">
        <f t="shared" si="1"/>
        <v>6.85</v>
      </c>
      <c r="G89" s="1226">
        <v>0.5</v>
      </c>
      <c r="H89" s="1227">
        <v>0.2</v>
      </c>
      <c r="I89" s="1226">
        <v>6.85</v>
      </c>
      <c r="J89" s="1226"/>
      <c r="K89" s="1226">
        <v>1</v>
      </c>
      <c r="L89" s="1221" t="s">
        <v>10794</v>
      </c>
      <c r="M89" s="51"/>
      <c r="N89" s="52"/>
      <c r="O89" s="25"/>
      <c r="P89" s="25"/>
    </row>
    <row r="90" spans="1:16" ht="30" customHeight="1">
      <c r="A90" s="61"/>
      <c r="B90" s="62"/>
      <c r="C90" s="63"/>
      <c r="D90" s="1224" t="s">
        <v>10829</v>
      </c>
      <c r="E90" s="1225"/>
      <c r="F90" s="1226">
        <f t="shared" si="1"/>
        <v>1.5</v>
      </c>
      <c r="G90" s="1226">
        <v>0.3</v>
      </c>
      <c r="H90" s="1227">
        <v>0.2</v>
      </c>
      <c r="I90" s="1226">
        <v>2.5</v>
      </c>
      <c r="J90" s="1226"/>
      <c r="K90" s="1226">
        <v>1</v>
      </c>
      <c r="L90" s="1221" t="s">
        <v>10794</v>
      </c>
      <c r="M90" s="51"/>
      <c r="N90" s="52"/>
      <c r="O90" s="25"/>
      <c r="P90" s="25"/>
    </row>
    <row r="91" spans="1:16" ht="30" customHeight="1">
      <c r="A91" s="61"/>
      <c r="B91" s="62"/>
      <c r="C91" s="63"/>
      <c r="D91" s="1224" t="s">
        <v>10830</v>
      </c>
      <c r="E91" s="1225"/>
      <c r="F91" s="1226">
        <f t="shared" si="1"/>
        <v>2.4800000000000004</v>
      </c>
      <c r="G91" s="1226">
        <v>0.4</v>
      </c>
      <c r="H91" s="1227">
        <v>0.2</v>
      </c>
      <c r="I91" s="1226">
        <v>3.1</v>
      </c>
      <c r="J91" s="1226"/>
      <c r="K91" s="1226">
        <v>1</v>
      </c>
      <c r="L91" s="1221" t="s">
        <v>10794</v>
      </c>
      <c r="M91" s="51"/>
      <c r="N91" s="52"/>
      <c r="O91" s="25"/>
      <c r="P91" s="25"/>
    </row>
    <row r="92" spans="1:16" ht="30" customHeight="1">
      <c r="A92" s="61"/>
      <c r="B92" s="62"/>
      <c r="C92" s="63"/>
      <c r="D92" s="1224" t="s">
        <v>10831</v>
      </c>
      <c r="E92" s="1225"/>
      <c r="F92" s="1226">
        <f t="shared" si="1"/>
        <v>2.72</v>
      </c>
      <c r="G92" s="1226">
        <v>0.4</v>
      </c>
      <c r="H92" s="1227">
        <v>0.2</v>
      </c>
      <c r="I92" s="1226">
        <v>3.4</v>
      </c>
      <c r="J92" s="1226"/>
      <c r="K92" s="1226">
        <v>1</v>
      </c>
      <c r="L92" s="1221" t="s">
        <v>10794</v>
      </c>
      <c r="M92" s="51"/>
      <c r="N92" s="52"/>
      <c r="O92" s="25"/>
      <c r="P92" s="25"/>
    </row>
    <row r="93" spans="1:16" ht="30" customHeight="1">
      <c r="A93" s="61"/>
      <c r="B93" s="62"/>
      <c r="C93" s="63"/>
      <c r="D93" s="1224" t="s">
        <v>10832</v>
      </c>
      <c r="E93" s="1225"/>
      <c r="F93" s="1226">
        <f t="shared" si="1"/>
        <v>4.3</v>
      </c>
      <c r="G93" s="1226">
        <v>0.5</v>
      </c>
      <c r="H93" s="1227">
        <v>0.2</v>
      </c>
      <c r="I93" s="1226">
        <v>4.3</v>
      </c>
      <c r="J93" s="1226"/>
      <c r="K93" s="1226">
        <v>1</v>
      </c>
      <c r="L93" s="1221" t="s">
        <v>10794</v>
      </c>
      <c r="M93" s="51"/>
      <c r="N93" s="52"/>
      <c r="O93" s="25"/>
      <c r="P93" s="25"/>
    </row>
    <row r="94" spans="1:16" ht="30" customHeight="1">
      <c r="A94" s="61"/>
      <c r="B94" s="62"/>
      <c r="C94" s="63"/>
      <c r="D94" s="1224" t="s">
        <v>10833</v>
      </c>
      <c r="E94" s="1225"/>
      <c r="F94" s="1226">
        <f t="shared" si="1"/>
        <v>2.72</v>
      </c>
      <c r="G94" s="1226">
        <v>0.4</v>
      </c>
      <c r="H94" s="1227">
        <v>0.2</v>
      </c>
      <c r="I94" s="1226">
        <v>3.4</v>
      </c>
      <c r="J94" s="1226"/>
      <c r="K94" s="1226">
        <v>1</v>
      </c>
      <c r="L94" s="1221" t="s">
        <v>10794</v>
      </c>
      <c r="M94" s="51"/>
      <c r="N94" s="52"/>
      <c r="O94" s="25"/>
      <c r="P94" s="25"/>
    </row>
    <row r="95" spans="1:16" ht="30" customHeight="1">
      <c r="A95" s="61"/>
      <c r="B95" s="62"/>
      <c r="C95" s="63"/>
      <c r="D95" s="1224" t="s">
        <v>10834</v>
      </c>
      <c r="E95" s="1225"/>
      <c r="F95" s="1226">
        <f t="shared" si="1"/>
        <v>2.64</v>
      </c>
      <c r="G95" s="1226">
        <v>0.4</v>
      </c>
      <c r="H95" s="1227">
        <v>0.2</v>
      </c>
      <c r="I95" s="1226">
        <v>3.3</v>
      </c>
      <c r="J95" s="1226"/>
      <c r="K95" s="1226">
        <v>1</v>
      </c>
      <c r="L95" s="1221" t="s">
        <v>10794</v>
      </c>
      <c r="M95" s="51"/>
      <c r="N95" s="52"/>
      <c r="O95" s="25"/>
      <c r="P95" s="25"/>
    </row>
    <row r="96" spans="1:16" ht="30" customHeight="1">
      <c r="A96" s="61"/>
      <c r="B96" s="62"/>
      <c r="C96" s="63"/>
      <c r="D96" s="1224" t="s">
        <v>10835</v>
      </c>
      <c r="E96" s="1225"/>
      <c r="F96" s="1226">
        <f t="shared" si="1"/>
        <v>3.1</v>
      </c>
      <c r="G96" s="1226">
        <v>0.5</v>
      </c>
      <c r="H96" s="1227">
        <v>0.2</v>
      </c>
      <c r="I96" s="1226">
        <v>3.1</v>
      </c>
      <c r="J96" s="1226"/>
      <c r="K96" s="1226">
        <v>1</v>
      </c>
      <c r="L96" s="1221" t="s">
        <v>10794</v>
      </c>
      <c r="M96" s="51"/>
      <c r="N96" s="52"/>
      <c r="O96" s="25"/>
      <c r="P96" s="25"/>
    </row>
    <row r="97" spans="1:16" ht="30" customHeight="1">
      <c r="A97" s="61"/>
      <c r="B97" s="62"/>
      <c r="C97" s="63"/>
      <c r="D97" s="1224" t="s">
        <v>10836</v>
      </c>
      <c r="E97" s="1225"/>
      <c r="F97" s="1226">
        <f t="shared" si="1"/>
        <v>9.15</v>
      </c>
      <c r="G97" s="1226">
        <v>0.5</v>
      </c>
      <c r="H97" s="1227">
        <v>0.2</v>
      </c>
      <c r="I97" s="1226">
        <f>5.9+3.25</f>
        <v>9.15</v>
      </c>
      <c r="J97" s="1226"/>
      <c r="K97" s="1226">
        <v>1</v>
      </c>
      <c r="L97" s="1221" t="s">
        <v>10794</v>
      </c>
      <c r="M97" s="51"/>
      <c r="N97" s="52"/>
      <c r="O97" s="25"/>
      <c r="P97" s="25"/>
    </row>
    <row r="98" spans="1:16" ht="30" customHeight="1">
      <c r="A98" s="61"/>
      <c r="B98" s="62"/>
      <c r="C98" s="63"/>
      <c r="D98" s="1224" t="s">
        <v>10837</v>
      </c>
      <c r="E98" s="1225"/>
      <c r="F98" s="1226">
        <f t="shared" si="1"/>
        <v>2.4800000000000004</v>
      </c>
      <c r="G98" s="1226">
        <v>0.4</v>
      </c>
      <c r="H98" s="1227">
        <v>0.2</v>
      </c>
      <c r="I98" s="1226">
        <v>3.1</v>
      </c>
      <c r="J98" s="1226"/>
      <c r="K98" s="1226">
        <v>1</v>
      </c>
      <c r="L98" s="1221" t="s">
        <v>10794</v>
      </c>
      <c r="M98" s="51"/>
      <c r="N98" s="52"/>
      <c r="O98" s="25"/>
      <c r="P98" s="25"/>
    </row>
    <row r="99" spans="1:16" ht="30" customHeight="1">
      <c r="A99" s="61"/>
      <c r="B99" s="62"/>
      <c r="C99" s="63"/>
      <c r="D99" s="1224" t="s">
        <v>10838</v>
      </c>
      <c r="E99" s="1225"/>
      <c r="F99" s="1226">
        <f t="shared" si="1"/>
        <v>2.4800000000000004</v>
      </c>
      <c r="G99" s="1226">
        <v>0.4</v>
      </c>
      <c r="H99" s="1227">
        <v>0.2</v>
      </c>
      <c r="I99" s="1226">
        <v>3.1</v>
      </c>
      <c r="J99" s="1226"/>
      <c r="K99" s="1226">
        <v>1</v>
      </c>
      <c r="L99" s="1221" t="s">
        <v>10794</v>
      </c>
      <c r="M99" s="51"/>
      <c r="N99" s="52"/>
      <c r="O99" s="25"/>
      <c r="P99" s="25"/>
    </row>
    <row r="100" spans="1:16" ht="30" customHeight="1">
      <c r="A100" s="61"/>
      <c r="B100" s="62"/>
      <c r="C100" s="63"/>
      <c r="D100" s="1224" t="s">
        <v>10839</v>
      </c>
      <c r="E100" s="1225"/>
      <c r="F100" s="1226">
        <f t="shared" si="1"/>
        <v>2.75</v>
      </c>
      <c r="G100" s="1226">
        <v>0.5</v>
      </c>
      <c r="H100" s="1227">
        <v>0.2</v>
      </c>
      <c r="I100" s="1226">
        <v>2.75</v>
      </c>
      <c r="J100" s="1226"/>
      <c r="K100" s="1226">
        <v>1</v>
      </c>
      <c r="L100" s="1221" t="s">
        <v>10794</v>
      </c>
      <c r="M100" s="51"/>
      <c r="N100" s="52"/>
      <c r="O100" s="25"/>
      <c r="P100" s="25"/>
    </row>
    <row r="101" spans="1:16" ht="30" customHeight="1">
      <c r="A101" s="61"/>
      <c r="B101" s="62"/>
      <c r="C101" s="63"/>
      <c r="D101" s="1224" t="s">
        <v>10840</v>
      </c>
      <c r="E101" s="1225"/>
      <c r="F101" s="1226">
        <f t="shared" si="1"/>
        <v>1.95</v>
      </c>
      <c r="G101" s="1226">
        <v>0.5</v>
      </c>
      <c r="H101" s="1227">
        <v>0.2</v>
      </c>
      <c r="I101" s="1226">
        <v>1.95</v>
      </c>
      <c r="J101" s="1226"/>
      <c r="K101" s="1226">
        <v>1</v>
      </c>
      <c r="L101" s="1221" t="s">
        <v>10794</v>
      </c>
      <c r="M101" s="51"/>
      <c r="N101" s="52"/>
      <c r="O101" s="25"/>
      <c r="P101" s="25"/>
    </row>
    <row r="102" spans="1:16" ht="30" customHeight="1">
      <c r="A102" s="61"/>
      <c r="B102" s="62"/>
      <c r="C102" s="63"/>
      <c r="D102" s="1224" t="s">
        <v>10841</v>
      </c>
      <c r="E102" s="1225"/>
      <c r="F102" s="1226">
        <f t="shared" si="1"/>
        <v>5.35</v>
      </c>
      <c r="G102" s="1226">
        <v>0.5</v>
      </c>
      <c r="H102" s="1227">
        <v>0.2</v>
      </c>
      <c r="I102" s="1226">
        <v>5.35</v>
      </c>
      <c r="J102" s="1226"/>
      <c r="K102" s="1226">
        <v>1</v>
      </c>
      <c r="L102" s="1221" t="s">
        <v>10794</v>
      </c>
      <c r="M102" s="51"/>
      <c r="N102" s="52"/>
      <c r="O102" s="25"/>
      <c r="P102" s="25"/>
    </row>
    <row r="103" spans="1:16" ht="30" customHeight="1">
      <c r="A103" s="61"/>
      <c r="B103" s="62"/>
      <c r="C103" s="63"/>
      <c r="D103" s="1224" t="s">
        <v>10842</v>
      </c>
      <c r="E103" s="1225"/>
      <c r="F103" s="1226">
        <f t="shared" si="1"/>
        <v>7.75</v>
      </c>
      <c r="G103" s="1226">
        <v>0.5</v>
      </c>
      <c r="H103" s="1227">
        <v>0.2</v>
      </c>
      <c r="I103" s="1226">
        <f>5.15+2.6</f>
        <v>7.75</v>
      </c>
      <c r="J103" s="1226"/>
      <c r="K103" s="1226">
        <v>1</v>
      </c>
      <c r="L103" s="1221" t="s">
        <v>10794</v>
      </c>
      <c r="M103" s="51"/>
      <c r="N103" s="52"/>
      <c r="O103" s="25"/>
      <c r="P103" s="25"/>
    </row>
    <row r="104" spans="1:16" ht="30" customHeight="1">
      <c r="A104" s="61"/>
      <c r="B104" s="62"/>
      <c r="C104" s="63"/>
      <c r="D104" s="1224" t="s">
        <v>10843</v>
      </c>
      <c r="E104" s="1225"/>
      <c r="F104" s="1226">
        <f t="shared" si="1"/>
        <v>3.75</v>
      </c>
      <c r="G104" s="1226">
        <v>0.5</v>
      </c>
      <c r="H104" s="1227">
        <v>0.2</v>
      </c>
      <c r="I104" s="1226">
        <v>3.75</v>
      </c>
      <c r="J104" s="1226"/>
      <c r="K104" s="1226">
        <v>1</v>
      </c>
      <c r="L104" s="1221" t="s">
        <v>10794</v>
      </c>
      <c r="M104" s="51"/>
      <c r="N104" s="52"/>
      <c r="O104" s="25"/>
      <c r="P104" s="25"/>
    </row>
    <row r="105" spans="1:16" ht="30" customHeight="1">
      <c r="A105" s="61"/>
      <c r="B105" s="62"/>
      <c r="C105" s="63"/>
      <c r="D105" s="1224" t="s">
        <v>10844</v>
      </c>
      <c r="E105" s="1225"/>
      <c r="F105" s="1226">
        <f t="shared" si="1"/>
        <v>2.25</v>
      </c>
      <c r="G105" s="1226">
        <v>0.5</v>
      </c>
      <c r="H105" s="1227">
        <v>0.2</v>
      </c>
      <c r="I105" s="1226">
        <v>2.25</v>
      </c>
      <c r="J105" s="1226"/>
      <c r="K105" s="1226">
        <v>1</v>
      </c>
      <c r="L105" s="1221" t="s">
        <v>10794</v>
      </c>
      <c r="M105" s="51"/>
      <c r="N105" s="52"/>
      <c r="O105" s="25"/>
      <c r="P105" s="25"/>
    </row>
    <row r="106" spans="1:16" ht="30" customHeight="1">
      <c r="A106" s="61"/>
      <c r="B106" s="62"/>
      <c r="C106" s="63"/>
      <c r="D106" s="1224" t="s">
        <v>10845</v>
      </c>
      <c r="E106" s="1225"/>
      <c r="F106" s="1226">
        <f t="shared" si="1"/>
        <v>6.6</v>
      </c>
      <c r="G106" s="1226">
        <v>0.5</v>
      </c>
      <c r="H106" s="1227">
        <v>0.2</v>
      </c>
      <c r="I106" s="1226">
        <v>6.6</v>
      </c>
      <c r="J106" s="1226"/>
      <c r="K106" s="1226">
        <v>1</v>
      </c>
      <c r="L106" s="1221" t="s">
        <v>10794</v>
      </c>
      <c r="M106" s="51"/>
      <c r="N106" s="52"/>
      <c r="O106" s="25"/>
      <c r="P106" s="25"/>
    </row>
    <row r="107" spans="1:16" ht="30" customHeight="1">
      <c r="A107" s="61"/>
      <c r="B107" s="62"/>
      <c r="C107" s="63"/>
      <c r="D107" s="1224" t="s">
        <v>10846</v>
      </c>
      <c r="E107" s="1225"/>
      <c r="F107" s="1226">
        <f t="shared" si="1"/>
        <v>9.1999999999999993</v>
      </c>
      <c r="G107" s="1226">
        <v>0.5</v>
      </c>
      <c r="H107" s="1227">
        <v>0.2</v>
      </c>
      <c r="I107" s="1226">
        <f>5.2+4</f>
        <v>9.1999999999999993</v>
      </c>
      <c r="J107" s="1226"/>
      <c r="K107" s="1226">
        <v>1</v>
      </c>
      <c r="L107" s="1221" t="s">
        <v>10794</v>
      </c>
      <c r="M107" s="51"/>
      <c r="N107" s="52"/>
      <c r="O107" s="25"/>
      <c r="P107" s="25"/>
    </row>
    <row r="108" spans="1:16" ht="30" customHeight="1">
      <c r="A108" s="61"/>
      <c r="B108" s="62"/>
      <c r="C108" s="63"/>
      <c r="D108" s="1224" t="s">
        <v>10847</v>
      </c>
      <c r="E108" s="1225"/>
      <c r="F108" s="1226">
        <f t="shared" si="1"/>
        <v>9.1999999999999993</v>
      </c>
      <c r="G108" s="1226">
        <v>0.5</v>
      </c>
      <c r="H108" s="1227">
        <v>0.2</v>
      </c>
      <c r="I108" s="1226">
        <f>5.2+4</f>
        <v>9.1999999999999993</v>
      </c>
      <c r="J108" s="1226"/>
      <c r="K108" s="1226">
        <v>1</v>
      </c>
      <c r="L108" s="1221" t="s">
        <v>10794</v>
      </c>
      <c r="M108" s="51"/>
      <c r="N108" s="52"/>
      <c r="O108" s="25"/>
      <c r="P108" s="25"/>
    </row>
    <row r="109" spans="1:16" ht="30" customHeight="1">
      <c r="A109" s="61"/>
      <c r="B109" s="62"/>
      <c r="C109" s="63"/>
      <c r="D109" s="1224" t="s">
        <v>10848</v>
      </c>
      <c r="E109" s="1225"/>
      <c r="F109" s="1226">
        <f t="shared" si="1"/>
        <v>9.1999999999999993</v>
      </c>
      <c r="G109" s="1226">
        <v>0.5</v>
      </c>
      <c r="H109" s="1227">
        <v>0.2</v>
      </c>
      <c r="I109" s="1226">
        <f>5.2+4</f>
        <v>9.1999999999999993</v>
      </c>
      <c r="J109" s="1226"/>
      <c r="K109" s="1226">
        <v>1</v>
      </c>
      <c r="L109" s="1221" t="s">
        <v>10794</v>
      </c>
      <c r="M109" s="51"/>
      <c r="N109" s="52"/>
      <c r="O109" s="25"/>
      <c r="P109" s="25"/>
    </row>
    <row r="110" spans="1:16" ht="30" customHeight="1">
      <c r="A110" s="61"/>
      <c r="B110" s="62"/>
      <c r="C110" s="63"/>
      <c r="D110" s="1224" t="s">
        <v>10849</v>
      </c>
      <c r="E110" s="1225"/>
      <c r="F110" s="1226">
        <f>SUM(G110*2*I110*K110)</f>
        <v>9.1999999999999993</v>
      </c>
      <c r="G110" s="1226">
        <v>0.5</v>
      </c>
      <c r="H110" s="1227">
        <v>0.2</v>
      </c>
      <c r="I110" s="1226">
        <f>5.2+4</f>
        <v>9.1999999999999993</v>
      </c>
      <c r="J110" s="1226"/>
      <c r="K110" s="1226">
        <v>1</v>
      </c>
      <c r="L110" s="1221" t="s">
        <v>10794</v>
      </c>
      <c r="M110" s="51"/>
      <c r="N110" s="52"/>
      <c r="O110" s="25"/>
      <c r="P110" s="25"/>
    </row>
    <row r="111" spans="1:16" ht="30" customHeight="1">
      <c r="A111" s="61"/>
      <c r="B111" s="62"/>
      <c r="C111" s="63"/>
      <c r="D111" s="1224" t="s">
        <v>10850</v>
      </c>
      <c r="E111" s="1225"/>
      <c r="F111" s="1226">
        <f>SUM(G111*2*I111*K111)</f>
        <v>6.5</v>
      </c>
      <c r="G111" s="1226">
        <v>0.5</v>
      </c>
      <c r="H111" s="1227">
        <v>0.2</v>
      </c>
      <c r="I111" s="1226">
        <f>3.25*2</f>
        <v>6.5</v>
      </c>
      <c r="J111" s="1226"/>
      <c r="K111" s="1226">
        <v>1</v>
      </c>
      <c r="L111" s="1221" t="s">
        <v>10794</v>
      </c>
      <c r="M111" s="51"/>
      <c r="N111" s="52"/>
      <c r="O111" s="25"/>
      <c r="P111" s="25"/>
    </row>
    <row r="112" spans="1:16" ht="30" customHeight="1">
      <c r="A112" s="61"/>
      <c r="B112" s="62"/>
      <c r="C112" s="63"/>
      <c r="D112" s="1224" t="s">
        <v>10851</v>
      </c>
      <c r="E112" s="1225"/>
      <c r="F112" s="1226">
        <f>SUM(G112*2*I112*K112)</f>
        <v>6.5</v>
      </c>
      <c r="G112" s="1226">
        <v>0.5</v>
      </c>
      <c r="H112" s="1227">
        <v>0.2</v>
      </c>
      <c r="I112" s="1226">
        <f>3.25*2</f>
        <v>6.5</v>
      </c>
      <c r="J112" s="1226"/>
      <c r="K112" s="1226">
        <v>1</v>
      </c>
      <c r="L112" s="1221" t="s">
        <v>10794</v>
      </c>
      <c r="M112" s="51"/>
      <c r="N112" s="52"/>
      <c r="O112" s="25"/>
      <c r="P112" s="25"/>
    </row>
    <row r="113" spans="1:16" ht="30" customHeight="1">
      <c r="A113" s="61"/>
      <c r="B113" s="62"/>
      <c r="C113" s="63"/>
      <c r="D113" s="1224"/>
      <c r="E113" s="1225"/>
      <c r="F113" s="1226"/>
      <c r="G113" s="1226"/>
      <c r="H113" s="1227"/>
      <c r="I113" s="1226"/>
      <c r="J113" s="1226"/>
      <c r="K113" s="1226"/>
      <c r="L113" s="1221"/>
      <c r="M113" s="51"/>
      <c r="N113" s="52"/>
      <c r="O113" s="25"/>
      <c r="P113" s="25"/>
    </row>
    <row r="114" spans="1:16" ht="30" customHeight="1">
      <c r="A114" s="61"/>
      <c r="B114" s="62"/>
      <c r="C114" s="63"/>
      <c r="D114" s="1219" t="s">
        <v>10852</v>
      </c>
      <c r="E114" s="65"/>
      <c r="F114" s="1112">
        <v>76.38</v>
      </c>
      <c r="G114" s="66">
        <v>0.2</v>
      </c>
      <c r="H114" s="1220"/>
      <c r="I114" s="66">
        <v>381.9</v>
      </c>
      <c r="J114" s="66"/>
      <c r="K114" s="66"/>
      <c r="L114" s="1222"/>
      <c r="M114" s="51"/>
      <c r="N114" s="52"/>
      <c r="O114" s="25"/>
      <c r="P114" s="25"/>
    </row>
    <row r="115" spans="1:16" ht="30" customHeight="1">
      <c r="A115" s="61"/>
      <c r="B115" s="62"/>
      <c r="C115" s="63"/>
      <c r="D115" s="1219"/>
      <c r="E115" s="65"/>
      <c r="F115" s="66"/>
      <c r="G115" s="66"/>
      <c r="H115" s="1220"/>
      <c r="I115" s="66"/>
      <c r="J115" s="66"/>
      <c r="K115" s="66"/>
      <c r="L115" s="1222"/>
      <c r="M115" s="51"/>
      <c r="N115" s="52"/>
      <c r="O115" s="25"/>
      <c r="P115" s="25"/>
    </row>
    <row r="116" spans="1:16" ht="30" customHeight="1">
      <c r="A116" s="61"/>
      <c r="B116" s="62"/>
      <c r="C116" s="63"/>
      <c r="D116" s="1223" t="s">
        <v>10853</v>
      </c>
      <c r="E116" s="65"/>
      <c r="F116" s="1112">
        <f>SUM(F117:F122)</f>
        <v>200.44</v>
      </c>
      <c r="G116" s="66"/>
      <c r="H116" s="1220"/>
      <c r="I116" s="66"/>
      <c r="J116" s="66"/>
      <c r="K116" s="66"/>
      <c r="L116" s="1222"/>
      <c r="M116" s="51"/>
      <c r="N116" s="52"/>
      <c r="O116" s="25"/>
      <c r="P116" s="25"/>
    </row>
    <row r="117" spans="1:16" ht="30" customHeight="1">
      <c r="A117" s="61"/>
      <c r="B117" s="62"/>
      <c r="C117" s="63"/>
      <c r="D117" s="1219" t="s">
        <v>10795</v>
      </c>
      <c r="E117" s="65"/>
      <c r="F117" s="66">
        <f>SUM(G117*I117*K117)</f>
        <v>47.52</v>
      </c>
      <c r="G117" s="66">
        <v>0.8</v>
      </c>
      <c r="H117" s="1220"/>
      <c r="I117" s="66">
        <v>4.95</v>
      </c>
      <c r="J117" s="66"/>
      <c r="K117" s="66">
        <v>12</v>
      </c>
      <c r="L117" s="1222"/>
      <c r="M117" s="51"/>
      <c r="N117" s="52"/>
      <c r="O117" s="25"/>
      <c r="P117" s="25"/>
    </row>
    <row r="118" spans="1:16" ht="30" customHeight="1">
      <c r="A118" s="61"/>
      <c r="B118" s="62"/>
      <c r="C118" s="63"/>
      <c r="D118" s="1219" t="s">
        <v>10803</v>
      </c>
      <c r="E118" s="65"/>
      <c r="F118" s="66">
        <f>SUM(G118*I118*K118)</f>
        <v>31.92</v>
      </c>
      <c r="G118" s="66">
        <v>0.7</v>
      </c>
      <c r="H118" s="1220"/>
      <c r="I118" s="66">
        <f>0.8+0.8+1.1+1.1</f>
        <v>3.8000000000000003</v>
      </c>
      <c r="J118" s="66"/>
      <c r="K118" s="66">
        <v>12</v>
      </c>
      <c r="L118" s="1222"/>
      <c r="M118" s="51"/>
      <c r="N118" s="52"/>
      <c r="O118" s="25"/>
      <c r="P118" s="25"/>
    </row>
    <row r="119" spans="1:16" ht="30" customHeight="1">
      <c r="A119" s="61"/>
      <c r="B119" s="62"/>
      <c r="C119" s="63"/>
      <c r="D119" s="1219" t="s">
        <v>10804</v>
      </c>
      <c r="E119" s="65"/>
      <c r="F119" s="66">
        <f>SUM(G119*I119*K119)</f>
        <v>39</v>
      </c>
      <c r="G119" s="66">
        <v>1.25</v>
      </c>
      <c r="H119" s="1220"/>
      <c r="I119" s="66">
        <f>0.5+0.5+0.8+0.8</f>
        <v>2.6</v>
      </c>
      <c r="J119" s="66"/>
      <c r="K119" s="66">
        <v>12</v>
      </c>
      <c r="L119" s="1222"/>
      <c r="M119" s="51"/>
      <c r="N119" s="52"/>
      <c r="O119" s="25"/>
      <c r="P119" s="25"/>
    </row>
    <row r="120" spans="1:16" ht="30" customHeight="1">
      <c r="A120" s="61"/>
      <c r="B120" s="62"/>
      <c r="C120" s="63"/>
      <c r="D120" s="1219" t="s">
        <v>10796</v>
      </c>
      <c r="E120" s="65"/>
      <c r="F120" s="66">
        <f>SUM(G120*I120*K120)</f>
        <v>4.4000000000000004</v>
      </c>
      <c r="G120" s="66">
        <v>0.55000000000000004</v>
      </c>
      <c r="H120" s="1220"/>
      <c r="I120" s="66">
        <f>0.5*4</f>
        <v>2</v>
      </c>
      <c r="J120" s="66"/>
      <c r="K120" s="66">
        <v>4</v>
      </c>
      <c r="L120" s="1222"/>
      <c r="M120" s="51"/>
      <c r="N120" s="52"/>
      <c r="O120" s="25"/>
      <c r="P120" s="25"/>
    </row>
    <row r="121" spans="1:16" ht="30" customHeight="1">
      <c r="A121" s="61"/>
      <c r="B121" s="62"/>
      <c r="C121" s="63"/>
      <c r="D121" s="1219" t="s">
        <v>10797</v>
      </c>
      <c r="E121" s="65"/>
      <c r="F121" s="66">
        <f>SUM(G121*2*I121*K121)</f>
        <v>56</v>
      </c>
      <c r="G121" s="66">
        <v>0.5</v>
      </c>
      <c r="H121" s="1220">
        <v>0.2</v>
      </c>
      <c r="I121" s="66">
        <v>56</v>
      </c>
      <c r="J121" s="66"/>
      <c r="K121" s="66">
        <v>1</v>
      </c>
      <c r="L121" s="1222"/>
      <c r="M121" s="51"/>
      <c r="N121" s="52"/>
      <c r="O121" s="25"/>
      <c r="P121" s="25"/>
    </row>
    <row r="122" spans="1:16" ht="30" customHeight="1">
      <c r="A122" s="61"/>
      <c r="B122" s="62"/>
      <c r="C122" s="63"/>
      <c r="D122" s="1219" t="s">
        <v>10798</v>
      </c>
      <c r="E122" s="65"/>
      <c r="F122" s="66">
        <f>SUM(G122*2*I122*K122)</f>
        <v>21.6</v>
      </c>
      <c r="G122" s="66">
        <v>0.5</v>
      </c>
      <c r="H122" s="1220">
        <v>0.2</v>
      </c>
      <c r="I122" s="66">
        <v>21.6</v>
      </c>
      <c r="J122" s="66"/>
      <c r="K122" s="66">
        <v>1</v>
      </c>
      <c r="L122" s="1222"/>
      <c r="M122" s="51"/>
      <c r="N122" s="52"/>
      <c r="O122" s="25"/>
      <c r="P122" s="25"/>
    </row>
    <row r="123" spans="1:16" ht="30" customHeight="1">
      <c r="A123" s="61"/>
      <c r="B123" s="62"/>
      <c r="C123" s="63"/>
      <c r="D123" s="1219"/>
      <c r="E123" s="65"/>
      <c r="F123" s="66"/>
      <c r="G123" s="66"/>
      <c r="H123" s="1220"/>
      <c r="I123" s="66"/>
      <c r="J123" s="66"/>
      <c r="K123" s="66"/>
      <c r="L123" s="1222"/>
      <c r="M123" s="51"/>
      <c r="N123" s="52"/>
      <c r="O123" s="25"/>
      <c r="P123" s="25"/>
    </row>
    <row r="124" spans="1:16" ht="30" customHeight="1">
      <c r="A124" s="53" t="s">
        <v>72</v>
      </c>
      <c r="B124" s="54"/>
      <c r="C124" s="54" t="s">
        <v>73</v>
      </c>
      <c r="D124" s="1216" t="s">
        <v>74</v>
      </c>
      <c r="E124" s="56"/>
      <c r="F124" s="57"/>
      <c r="G124" s="57"/>
      <c r="H124" s="1217"/>
      <c r="I124" s="1217"/>
      <c r="J124" s="1217"/>
      <c r="K124" s="1217"/>
      <c r="L124" s="1218"/>
      <c r="M124" s="51"/>
      <c r="N124" s="52"/>
      <c r="O124" s="25"/>
      <c r="P124" s="25"/>
    </row>
    <row r="125" spans="1:16" ht="30" customHeight="1">
      <c r="A125" s="61" t="s">
        <v>75</v>
      </c>
      <c r="B125" s="62" t="s">
        <v>26</v>
      </c>
      <c r="C125" s="63" t="s">
        <v>76</v>
      </c>
      <c r="D125" s="1219" t="str">
        <f>IFERROR(UPPER(IF(B125="CPU",VLOOKUP(C125,#REF!,2,0),IF(B125="SINAPI",VLOOKUP(C125,#REF!,2,0),IF(B125="EDIF",VLOOKUP(C125,#REF!,2,0),IF(B125="CDHU",VLOOKUP(C125,#REF!,2,0),IF(B125="FDE",VLOOKUP(C125,'FDE 10-23 '!$A$4:$E$3180,2,0),IF(B125="INFRA",VLOOKUP(C125,#REF!,2,0),""))))))),"")</f>
        <v>ACO CA 50 (A OU B) FYK= 500 M PA</v>
      </c>
      <c r="E125" s="65" t="str">
        <f>VLOOKUP(C125,'FDE 10-23 '!$A$4:$E$3180,3,0)</f>
        <v>KG</v>
      </c>
      <c r="F125" s="66"/>
      <c r="G125" s="66"/>
      <c r="H125" s="1220"/>
      <c r="I125" s="66"/>
      <c r="J125" s="66"/>
      <c r="K125" s="66"/>
      <c r="L125" s="1221" t="s">
        <v>10794</v>
      </c>
      <c r="M125" s="51"/>
      <c r="N125" s="52"/>
      <c r="O125" s="25"/>
      <c r="P125" s="25"/>
    </row>
    <row r="126" spans="1:16" ht="30" customHeight="1">
      <c r="A126" s="61" t="s">
        <v>77</v>
      </c>
      <c r="B126" s="62" t="s">
        <v>26</v>
      </c>
      <c r="C126" s="63" t="s">
        <v>78</v>
      </c>
      <c r="D126" s="1219" t="str">
        <f>IFERROR(UPPER(IF(B126="CPU",VLOOKUP(C126,#REF!,2,0),IF(B126="SINAPI",VLOOKUP(C126,#REF!,2,0),IF(B126="EDIF",VLOOKUP(C126,#REF!,2,0),IF(B126="CDHU",VLOOKUP(C126,#REF!,2,0),IF(B126="FDE",VLOOKUP(C126,'FDE 10-23 '!$A$4:$E$3180,2,0),IF(B126="INFRA",VLOOKUP(C126,#REF!,2,0),""))))))),"")</f>
        <v>ACO CA 60 (A OU B) FYK= 600 M PA</v>
      </c>
      <c r="E126" s="65" t="str">
        <f>VLOOKUP(C126,'FDE 10-23 '!$A$4:$E$3180,3,0)</f>
        <v>KG</v>
      </c>
      <c r="F126" s="66"/>
      <c r="G126" s="66"/>
      <c r="H126" s="1220"/>
      <c r="I126" s="66"/>
      <c r="J126" s="66"/>
      <c r="K126" s="66"/>
      <c r="L126" s="1221" t="s">
        <v>10794</v>
      </c>
      <c r="M126" s="51"/>
      <c r="N126" s="52"/>
      <c r="O126" s="25"/>
      <c r="P126" s="25"/>
    </row>
    <row r="127" spans="1:16" ht="30" customHeight="1">
      <c r="A127" s="53" t="s">
        <v>79</v>
      </c>
      <c r="B127" s="54"/>
      <c r="C127" s="54" t="s">
        <v>80</v>
      </c>
      <c r="D127" s="1216" t="s">
        <v>81</v>
      </c>
      <c r="E127" s="56"/>
      <c r="F127" s="57"/>
      <c r="G127" s="57"/>
      <c r="H127" s="1217"/>
      <c r="I127" s="1217"/>
      <c r="J127" s="1217"/>
      <c r="K127" s="1217"/>
      <c r="L127" s="1218"/>
      <c r="M127" s="51"/>
      <c r="N127" s="52"/>
      <c r="O127" s="25"/>
      <c r="P127" s="25"/>
    </row>
    <row r="128" spans="1:16" ht="30" customHeight="1">
      <c r="A128" s="61" t="s">
        <v>82</v>
      </c>
      <c r="B128" s="62" t="s">
        <v>26</v>
      </c>
      <c r="C128" s="63" t="s">
        <v>83</v>
      </c>
      <c r="D128" s="1219" t="str">
        <f>IFERROR(UPPER(IF(B128="CPU",VLOOKUP(C128,#REF!,2,0),IF(B128="SINAPI",VLOOKUP(C128,#REF!,2,0),IF(B128="EDIF",VLOOKUP(C128,#REF!,2,0),IF(B128="CDHU",VLOOKUP(C128,#REF!,2,0),IF(B128="FDE",VLOOKUP(C128,'FDE 10-23 '!$A$4:$E$3180,2,0),IF(B128="INFRA",VLOOKUP(C128,#REF!,2,0),""))))))),"")</f>
        <v>CONCRETO DOSADO E LANCADO FCK=25MPA</v>
      </c>
      <c r="E128" s="65" t="str">
        <f>VLOOKUP(C128,'FDE 10-23 '!$A$4:$E$3180,3,0)</f>
        <v>M3</v>
      </c>
      <c r="F128" s="1112">
        <f>F189</f>
        <v>27.073999999999998</v>
      </c>
      <c r="G128" s="66"/>
      <c r="H128" s="1220"/>
      <c r="I128" s="66"/>
      <c r="J128" s="66"/>
      <c r="K128" s="66"/>
      <c r="L128" s="1222"/>
      <c r="M128" s="51"/>
      <c r="N128" s="52"/>
      <c r="O128" s="25"/>
      <c r="P128" s="25"/>
    </row>
    <row r="129" spans="1:16" ht="30" customHeight="1">
      <c r="A129" s="61"/>
      <c r="B129" s="62"/>
      <c r="C129" s="63"/>
      <c r="D129" s="1223" t="s">
        <v>10802</v>
      </c>
      <c r="E129" s="65"/>
      <c r="F129" s="66">
        <f>SUM(F130:F187)</f>
        <v>97.319800000000001</v>
      </c>
      <c r="G129" s="66"/>
      <c r="H129" s="1220"/>
      <c r="I129" s="66"/>
      <c r="J129" s="66"/>
      <c r="K129" s="66"/>
      <c r="L129" s="1222"/>
      <c r="M129" s="51"/>
      <c r="N129" s="52"/>
      <c r="O129" s="25"/>
      <c r="P129" s="25"/>
    </row>
    <row r="130" spans="1:16" ht="30" customHeight="1">
      <c r="A130" s="61"/>
      <c r="B130" s="62"/>
      <c r="C130" s="63"/>
      <c r="D130" s="1224" t="s">
        <v>10797</v>
      </c>
      <c r="E130" s="1225"/>
      <c r="F130" s="66">
        <f t="shared" ref="F130:F173" si="3">SUM(G130*H130*I130*K130)</f>
        <v>0.53100000000000014</v>
      </c>
      <c r="G130" s="66">
        <v>0.45</v>
      </c>
      <c r="H130" s="1220">
        <v>0.2</v>
      </c>
      <c r="I130" s="66">
        <f>3+2.9</f>
        <v>5.9</v>
      </c>
      <c r="J130" s="66"/>
      <c r="K130" s="66">
        <v>1</v>
      </c>
      <c r="L130" s="1221" t="s">
        <v>10794</v>
      </c>
      <c r="M130" s="51"/>
      <c r="N130" s="52"/>
      <c r="O130" s="25"/>
      <c r="P130" s="25"/>
    </row>
    <row r="131" spans="1:16" ht="30" customHeight="1">
      <c r="A131" s="61"/>
      <c r="B131" s="62"/>
      <c r="C131" s="63"/>
      <c r="D131" s="1224" t="s">
        <v>10798</v>
      </c>
      <c r="E131" s="1225"/>
      <c r="F131" s="66">
        <f t="shared" si="3"/>
        <v>4.862000000000001</v>
      </c>
      <c r="G131" s="66">
        <v>0.55000000000000004</v>
      </c>
      <c r="H131" s="1220">
        <v>0.2</v>
      </c>
      <c r="I131" s="66">
        <f>3.25*4+7*2+4.2+3.25*4</f>
        <v>44.2</v>
      </c>
      <c r="J131" s="66"/>
      <c r="K131" s="66">
        <v>1</v>
      </c>
      <c r="L131" s="1221" t="s">
        <v>10794</v>
      </c>
      <c r="M131" s="51"/>
      <c r="N131" s="52"/>
      <c r="O131" s="25"/>
      <c r="P131" s="25"/>
    </row>
    <row r="132" spans="1:16" ht="30" customHeight="1">
      <c r="A132" s="61"/>
      <c r="B132" s="62"/>
      <c r="C132" s="63"/>
      <c r="D132" s="1224" t="s">
        <v>10810</v>
      </c>
      <c r="E132" s="1225"/>
      <c r="F132" s="66">
        <f t="shared" si="3"/>
        <v>1.1700000000000002</v>
      </c>
      <c r="G132" s="66">
        <v>0.45</v>
      </c>
      <c r="H132" s="1220">
        <v>0.2</v>
      </c>
      <c r="I132" s="66">
        <f>3.25*4</f>
        <v>13</v>
      </c>
      <c r="J132" s="66"/>
      <c r="K132" s="66">
        <v>1</v>
      </c>
      <c r="L132" s="1221" t="s">
        <v>10794</v>
      </c>
      <c r="M132" s="51"/>
      <c r="N132" s="52"/>
      <c r="O132" s="25"/>
      <c r="P132" s="25"/>
    </row>
    <row r="133" spans="1:16" ht="30" customHeight="1">
      <c r="A133" s="61"/>
      <c r="B133" s="62"/>
      <c r="C133" s="63"/>
      <c r="D133" s="1224" t="s">
        <v>10811</v>
      </c>
      <c r="E133" s="1225"/>
      <c r="F133" s="66">
        <f t="shared" si="3"/>
        <v>0.64900000000000013</v>
      </c>
      <c r="G133" s="66">
        <v>0.55000000000000004</v>
      </c>
      <c r="H133" s="1220">
        <v>0.2</v>
      </c>
      <c r="I133" s="66">
        <f>3+2.9</f>
        <v>5.9</v>
      </c>
      <c r="J133" s="66"/>
      <c r="K133" s="66">
        <v>1</v>
      </c>
      <c r="L133" s="1221" t="s">
        <v>10794</v>
      </c>
      <c r="M133" s="51"/>
      <c r="N133" s="52"/>
      <c r="O133" s="25"/>
      <c r="P133" s="25"/>
    </row>
    <row r="134" spans="1:16" ht="30" customHeight="1">
      <c r="A134" s="61"/>
      <c r="B134" s="62"/>
      <c r="C134" s="63"/>
      <c r="D134" s="1224" t="s">
        <v>10812</v>
      </c>
      <c r="E134" s="1225"/>
      <c r="F134" s="66">
        <f t="shared" si="3"/>
        <v>1.012</v>
      </c>
      <c r="G134" s="66">
        <v>0.55000000000000004</v>
      </c>
      <c r="H134" s="1220">
        <v>0.2</v>
      </c>
      <c r="I134" s="66">
        <v>9.1999999999999993</v>
      </c>
      <c r="J134" s="66"/>
      <c r="K134" s="66">
        <v>1</v>
      </c>
      <c r="L134" s="1221" t="s">
        <v>10794</v>
      </c>
      <c r="M134" s="51"/>
      <c r="N134" s="52"/>
      <c r="O134" s="25"/>
      <c r="P134" s="25"/>
    </row>
    <row r="135" spans="1:16" ht="30" customHeight="1">
      <c r="A135" s="61"/>
      <c r="B135" s="62"/>
      <c r="C135" s="63"/>
      <c r="D135" s="1224" t="s">
        <v>10813</v>
      </c>
      <c r="E135" s="1225"/>
      <c r="F135" s="66">
        <f t="shared" si="3"/>
        <v>1.012</v>
      </c>
      <c r="G135" s="66">
        <v>0.55000000000000004</v>
      </c>
      <c r="H135" s="1220">
        <v>0.2</v>
      </c>
      <c r="I135" s="66">
        <v>9.1999999999999993</v>
      </c>
      <c r="J135" s="66"/>
      <c r="K135" s="66">
        <v>1</v>
      </c>
      <c r="L135" s="1221" t="s">
        <v>10794</v>
      </c>
      <c r="M135" s="51"/>
      <c r="N135" s="52"/>
      <c r="O135" s="25"/>
      <c r="P135" s="25"/>
    </row>
    <row r="136" spans="1:16" ht="30" customHeight="1">
      <c r="A136" s="61"/>
      <c r="B136" s="62"/>
      <c r="C136" s="63"/>
      <c r="D136" s="1224" t="s">
        <v>10814</v>
      </c>
      <c r="E136" s="1225"/>
      <c r="F136" s="66">
        <f t="shared" si="3"/>
        <v>1.012</v>
      </c>
      <c r="G136" s="66">
        <v>0.55000000000000004</v>
      </c>
      <c r="H136" s="1220">
        <v>0.2</v>
      </c>
      <c r="I136" s="66">
        <v>9.1999999999999993</v>
      </c>
      <c r="J136" s="66"/>
      <c r="K136" s="66">
        <v>1</v>
      </c>
      <c r="L136" s="1221" t="s">
        <v>10794</v>
      </c>
      <c r="M136" s="51"/>
      <c r="N136" s="52"/>
      <c r="O136" s="25"/>
      <c r="P136" s="25"/>
    </row>
    <row r="137" spans="1:16" ht="30" customHeight="1">
      <c r="A137" s="61"/>
      <c r="B137" s="62"/>
      <c r="C137" s="63"/>
      <c r="D137" s="1224" t="s">
        <v>10815</v>
      </c>
      <c r="E137" s="1225"/>
      <c r="F137" s="66">
        <f t="shared" si="3"/>
        <v>1.012</v>
      </c>
      <c r="G137" s="66">
        <v>0.55000000000000004</v>
      </c>
      <c r="H137" s="1220">
        <v>0.2</v>
      </c>
      <c r="I137" s="66">
        <v>9.1999999999999993</v>
      </c>
      <c r="J137" s="66"/>
      <c r="K137" s="66">
        <v>1</v>
      </c>
      <c r="L137" s="1221" t="s">
        <v>10794</v>
      </c>
      <c r="M137" s="51"/>
      <c r="N137" s="52"/>
      <c r="O137" s="25"/>
      <c r="P137" s="25"/>
    </row>
    <row r="138" spans="1:16" ht="30" customHeight="1">
      <c r="A138" s="61"/>
      <c r="B138" s="62"/>
      <c r="C138" s="63"/>
      <c r="D138" s="1224" t="s">
        <v>10816</v>
      </c>
      <c r="E138" s="1225"/>
      <c r="F138" s="66">
        <f t="shared" si="3"/>
        <v>1.012</v>
      </c>
      <c r="G138" s="66">
        <v>0.55000000000000004</v>
      </c>
      <c r="H138" s="1220">
        <v>0.2</v>
      </c>
      <c r="I138" s="66">
        <v>9.1999999999999993</v>
      </c>
      <c r="J138" s="66"/>
      <c r="K138" s="66">
        <v>1</v>
      </c>
      <c r="L138" s="1221" t="s">
        <v>10794</v>
      </c>
      <c r="M138" s="51"/>
      <c r="N138" s="52"/>
      <c r="O138" s="25"/>
      <c r="P138" s="25"/>
    </row>
    <row r="139" spans="1:16" ht="30" customHeight="1">
      <c r="A139" s="61"/>
      <c r="B139" s="62"/>
      <c r="C139" s="63"/>
      <c r="D139" s="1224" t="s">
        <v>10817</v>
      </c>
      <c r="E139" s="1225"/>
      <c r="F139" s="66">
        <f t="shared" si="3"/>
        <v>1.012</v>
      </c>
      <c r="G139" s="66">
        <v>0.55000000000000004</v>
      </c>
      <c r="H139" s="1220">
        <v>0.2</v>
      </c>
      <c r="I139" s="66">
        <v>9.1999999999999993</v>
      </c>
      <c r="J139" s="66"/>
      <c r="K139" s="66">
        <v>1</v>
      </c>
      <c r="L139" s="1221" t="s">
        <v>10794</v>
      </c>
      <c r="M139" s="51"/>
      <c r="N139" s="52"/>
      <c r="O139" s="25"/>
      <c r="P139" s="25"/>
    </row>
    <row r="140" spans="1:16" ht="30" customHeight="1">
      <c r="A140" s="61"/>
      <c r="B140" s="62"/>
      <c r="C140" s="63"/>
      <c r="D140" s="1224" t="s">
        <v>10818</v>
      </c>
      <c r="E140" s="1225"/>
      <c r="F140" s="66">
        <f t="shared" si="3"/>
        <v>1.012</v>
      </c>
      <c r="G140" s="66">
        <v>0.55000000000000004</v>
      </c>
      <c r="H140" s="1220">
        <v>0.2</v>
      </c>
      <c r="I140" s="66">
        <v>9.1999999999999993</v>
      </c>
      <c r="J140" s="66"/>
      <c r="K140" s="66">
        <v>1</v>
      </c>
      <c r="L140" s="1221" t="s">
        <v>10794</v>
      </c>
      <c r="M140" s="51"/>
      <c r="N140" s="52"/>
      <c r="O140" s="25"/>
      <c r="P140" s="25"/>
    </row>
    <row r="141" spans="1:16" ht="30" customHeight="1">
      <c r="A141" s="61"/>
      <c r="B141" s="62"/>
      <c r="C141" s="63"/>
      <c r="D141" s="1224" t="s">
        <v>10819</v>
      </c>
      <c r="E141" s="1225"/>
      <c r="F141" s="66">
        <f t="shared" si="3"/>
        <v>1.012</v>
      </c>
      <c r="G141" s="66">
        <v>0.55000000000000004</v>
      </c>
      <c r="H141" s="1220">
        <v>0.2</v>
      </c>
      <c r="I141" s="66">
        <v>9.1999999999999993</v>
      </c>
      <c r="J141" s="66"/>
      <c r="K141" s="66">
        <v>1</v>
      </c>
      <c r="L141" s="1221" t="s">
        <v>10794</v>
      </c>
      <c r="M141" s="51"/>
      <c r="N141" s="52"/>
      <c r="O141" s="25"/>
      <c r="P141" s="25"/>
    </row>
    <row r="142" spans="1:16" ht="30" customHeight="1">
      <c r="A142" s="61"/>
      <c r="B142" s="62"/>
      <c r="C142" s="63"/>
      <c r="D142" s="1224" t="s">
        <v>10820</v>
      </c>
      <c r="E142" s="1225"/>
      <c r="F142" s="66">
        <f t="shared" si="3"/>
        <v>1.012</v>
      </c>
      <c r="G142" s="66">
        <v>0.55000000000000004</v>
      </c>
      <c r="H142" s="1220">
        <v>0.2</v>
      </c>
      <c r="I142" s="66">
        <v>9.1999999999999993</v>
      </c>
      <c r="J142" s="66"/>
      <c r="K142" s="66">
        <v>1</v>
      </c>
      <c r="L142" s="1221" t="s">
        <v>10794</v>
      </c>
      <c r="M142" s="51"/>
      <c r="N142" s="52"/>
      <c r="O142" s="25"/>
      <c r="P142" s="25"/>
    </row>
    <row r="143" spans="1:16" ht="30" customHeight="1">
      <c r="A143" s="61"/>
      <c r="B143" s="62"/>
      <c r="C143" s="63"/>
      <c r="D143" s="1224" t="s">
        <v>10821</v>
      </c>
      <c r="E143" s="1225"/>
      <c r="F143" s="66">
        <f t="shared" si="3"/>
        <v>0.45000000000000007</v>
      </c>
      <c r="G143" s="66">
        <v>0.45</v>
      </c>
      <c r="H143" s="1220">
        <v>0.2</v>
      </c>
      <c r="I143" s="66">
        <v>5</v>
      </c>
      <c r="J143" s="66"/>
      <c r="K143" s="66">
        <v>1</v>
      </c>
      <c r="L143" s="1221" t="s">
        <v>10794</v>
      </c>
      <c r="M143" s="51"/>
      <c r="N143" s="52"/>
      <c r="O143" s="25"/>
      <c r="P143" s="25"/>
    </row>
    <row r="144" spans="1:16" ht="30" customHeight="1">
      <c r="A144" s="61"/>
      <c r="B144" s="62"/>
      <c r="C144" s="63"/>
      <c r="D144" s="1224" t="s">
        <v>10822</v>
      </c>
      <c r="E144" s="1225"/>
      <c r="F144" s="66">
        <f t="shared" si="3"/>
        <v>0.45000000000000007</v>
      </c>
      <c r="G144" s="66">
        <v>0.45</v>
      </c>
      <c r="H144" s="1220">
        <v>0.2</v>
      </c>
      <c r="I144" s="66">
        <v>5</v>
      </c>
      <c r="J144" s="66"/>
      <c r="K144" s="66">
        <v>1</v>
      </c>
      <c r="L144" s="1221" t="s">
        <v>10794</v>
      </c>
      <c r="M144" s="51"/>
      <c r="N144" s="52"/>
      <c r="O144" s="25"/>
      <c r="P144" s="25"/>
    </row>
    <row r="145" spans="1:16" ht="30" customHeight="1">
      <c r="A145" s="61"/>
      <c r="B145" s="62"/>
      <c r="C145" s="63"/>
      <c r="D145" s="1224" t="s">
        <v>10823</v>
      </c>
      <c r="E145" s="1225"/>
      <c r="F145" s="66">
        <f t="shared" si="3"/>
        <v>0.55000000000000004</v>
      </c>
      <c r="G145" s="66">
        <v>0.55000000000000004</v>
      </c>
      <c r="H145" s="1220">
        <v>0.2</v>
      </c>
      <c r="I145" s="66">
        <v>5</v>
      </c>
      <c r="J145" s="66"/>
      <c r="K145" s="66">
        <v>1</v>
      </c>
      <c r="L145" s="1221" t="s">
        <v>10794</v>
      </c>
      <c r="M145" s="51"/>
      <c r="N145" s="52"/>
      <c r="O145" s="25"/>
      <c r="P145" s="25"/>
    </row>
    <row r="146" spans="1:16" ht="30" customHeight="1">
      <c r="A146" s="61"/>
      <c r="B146" s="62"/>
      <c r="C146" s="63"/>
      <c r="D146" s="1224" t="s">
        <v>10824</v>
      </c>
      <c r="E146" s="1225"/>
      <c r="F146" s="66">
        <f t="shared" si="3"/>
        <v>0.17499999999999999</v>
      </c>
      <c r="G146" s="66">
        <v>0.35</v>
      </c>
      <c r="H146" s="1220">
        <v>0.2</v>
      </c>
      <c r="I146" s="66">
        <v>2.5</v>
      </c>
      <c r="J146" s="66"/>
      <c r="K146" s="66">
        <v>1</v>
      </c>
      <c r="L146" s="1221" t="s">
        <v>10794</v>
      </c>
      <c r="M146" s="51"/>
      <c r="N146" s="52"/>
      <c r="O146" s="25"/>
      <c r="P146" s="25"/>
    </row>
    <row r="147" spans="1:16" ht="30" customHeight="1">
      <c r="A147" s="61"/>
      <c r="B147" s="62"/>
      <c r="C147" s="63"/>
      <c r="D147" s="1224" t="s">
        <v>10825</v>
      </c>
      <c r="E147" s="1225"/>
      <c r="F147" s="66">
        <f t="shared" si="3"/>
        <v>0.17499999999999999</v>
      </c>
      <c r="G147" s="66">
        <v>0.35</v>
      </c>
      <c r="H147" s="1220">
        <v>0.2</v>
      </c>
      <c r="I147" s="66">
        <v>2.5</v>
      </c>
      <c r="J147" s="66"/>
      <c r="K147" s="66">
        <v>1</v>
      </c>
      <c r="L147" s="1221" t="s">
        <v>10794</v>
      </c>
      <c r="M147" s="51"/>
      <c r="N147" s="52"/>
      <c r="O147" s="25"/>
      <c r="P147" s="25"/>
    </row>
    <row r="148" spans="1:16" ht="30" customHeight="1">
      <c r="A148" s="61"/>
      <c r="B148" s="62"/>
      <c r="C148" s="63"/>
      <c r="D148" s="1224" t="s">
        <v>10826</v>
      </c>
      <c r="E148" s="1225"/>
      <c r="F148" s="66">
        <f t="shared" si="3"/>
        <v>0.22500000000000003</v>
      </c>
      <c r="G148" s="66">
        <v>0.45</v>
      </c>
      <c r="H148" s="1220">
        <v>0.2</v>
      </c>
      <c r="I148" s="66">
        <v>2.5</v>
      </c>
      <c r="J148" s="66"/>
      <c r="K148" s="66">
        <v>1</v>
      </c>
      <c r="L148" s="1221" t="s">
        <v>10794</v>
      </c>
      <c r="M148" s="51"/>
      <c r="N148" s="52"/>
      <c r="O148" s="25"/>
      <c r="P148" s="25"/>
    </row>
    <row r="149" spans="1:16" ht="30" customHeight="1">
      <c r="A149" s="61"/>
      <c r="B149" s="62"/>
      <c r="C149" s="63"/>
      <c r="D149" s="1224" t="s">
        <v>10827</v>
      </c>
      <c r="E149" s="1225"/>
      <c r="F149" s="66">
        <f t="shared" si="3"/>
        <v>0.27</v>
      </c>
      <c r="G149" s="66">
        <v>0.45</v>
      </c>
      <c r="H149" s="1220">
        <v>0.2</v>
      </c>
      <c r="I149" s="66">
        <v>3</v>
      </c>
      <c r="J149" s="66"/>
      <c r="K149" s="66">
        <v>1</v>
      </c>
      <c r="L149" s="1221" t="s">
        <v>10794</v>
      </c>
      <c r="M149" s="51"/>
      <c r="N149" s="52"/>
      <c r="O149" s="25"/>
      <c r="P149" s="25"/>
    </row>
    <row r="150" spans="1:16" ht="30" customHeight="1">
      <c r="A150" s="61"/>
      <c r="B150" s="62"/>
      <c r="C150" s="63"/>
      <c r="D150" s="1224" t="s">
        <v>10828</v>
      </c>
      <c r="E150" s="1225"/>
      <c r="F150" s="66">
        <f t="shared" si="3"/>
        <v>0.75350000000000006</v>
      </c>
      <c r="G150" s="66">
        <v>0.55000000000000004</v>
      </c>
      <c r="H150" s="1220">
        <v>0.2</v>
      </c>
      <c r="I150" s="66">
        <v>6.85</v>
      </c>
      <c r="J150" s="66"/>
      <c r="K150" s="66">
        <v>1</v>
      </c>
      <c r="L150" s="1221" t="s">
        <v>10794</v>
      </c>
      <c r="M150" s="51"/>
      <c r="N150" s="52"/>
      <c r="O150" s="25"/>
      <c r="P150" s="25"/>
    </row>
    <row r="151" spans="1:16" ht="30" customHeight="1">
      <c r="A151" s="61"/>
      <c r="B151" s="62"/>
      <c r="C151" s="63"/>
      <c r="D151" s="1224" t="s">
        <v>10829</v>
      </c>
      <c r="E151" s="1225"/>
      <c r="F151" s="66">
        <f t="shared" si="3"/>
        <v>0.17499999999999999</v>
      </c>
      <c r="G151" s="66">
        <v>0.35</v>
      </c>
      <c r="H151" s="1220">
        <v>0.2</v>
      </c>
      <c r="I151" s="66">
        <v>2.5</v>
      </c>
      <c r="J151" s="66"/>
      <c r="K151" s="66">
        <v>1</v>
      </c>
      <c r="L151" s="1221" t="s">
        <v>10794</v>
      </c>
      <c r="M151" s="51"/>
      <c r="N151" s="52"/>
      <c r="O151" s="25"/>
      <c r="P151" s="25"/>
    </row>
    <row r="152" spans="1:16" ht="30" customHeight="1">
      <c r="A152" s="61"/>
      <c r="B152" s="62"/>
      <c r="C152" s="63"/>
      <c r="D152" s="1224" t="s">
        <v>10830</v>
      </c>
      <c r="E152" s="1225"/>
      <c r="F152" s="66">
        <f t="shared" si="3"/>
        <v>0.27900000000000003</v>
      </c>
      <c r="G152" s="66">
        <v>0.45</v>
      </c>
      <c r="H152" s="1220">
        <v>0.2</v>
      </c>
      <c r="I152" s="66">
        <v>3.1</v>
      </c>
      <c r="J152" s="66"/>
      <c r="K152" s="66">
        <v>1</v>
      </c>
      <c r="L152" s="1221" t="s">
        <v>10794</v>
      </c>
      <c r="M152" s="51"/>
      <c r="N152" s="52"/>
      <c r="O152" s="25"/>
      <c r="P152" s="25"/>
    </row>
    <row r="153" spans="1:16" ht="30" customHeight="1">
      <c r="A153" s="61"/>
      <c r="B153" s="62"/>
      <c r="C153" s="63"/>
      <c r="D153" s="1224" t="s">
        <v>10831</v>
      </c>
      <c r="E153" s="1225"/>
      <c r="F153" s="66">
        <f t="shared" si="3"/>
        <v>0.30600000000000005</v>
      </c>
      <c r="G153" s="66">
        <v>0.45</v>
      </c>
      <c r="H153" s="1220">
        <v>0.2</v>
      </c>
      <c r="I153" s="66">
        <v>3.4</v>
      </c>
      <c r="J153" s="66"/>
      <c r="K153" s="66">
        <v>1</v>
      </c>
      <c r="L153" s="1221" t="s">
        <v>10794</v>
      </c>
      <c r="M153" s="51"/>
      <c r="N153" s="52"/>
      <c r="O153" s="25"/>
      <c r="P153" s="25"/>
    </row>
    <row r="154" spans="1:16" ht="30" customHeight="1">
      <c r="A154" s="61"/>
      <c r="B154" s="62"/>
      <c r="C154" s="63"/>
      <c r="D154" s="1224" t="s">
        <v>10832</v>
      </c>
      <c r="E154" s="1225"/>
      <c r="F154" s="66">
        <f t="shared" si="3"/>
        <v>0.47300000000000003</v>
      </c>
      <c r="G154" s="66">
        <v>0.55000000000000004</v>
      </c>
      <c r="H154" s="1220">
        <v>0.2</v>
      </c>
      <c r="I154" s="66">
        <v>4.3</v>
      </c>
      <c r="J154" s="66"/>
      <c r="K154" s="66">
        <v>1</v>
      </c>
      <c r="L154" s="1221" t="s">
        <v>10794</v>
      </c>
      <c r="M154" s="51"/>
      <c r="N154" s="52"/>
      <c r="O154" s="25"/>
      <c r="P154" s="25"/>
    </row>
    <row r="155" spans="1:16" ht="30" customHeight="1">
      <c r="A155" s="61"/>
      <c r="B155" s="62"/>
      <c r="C155" s="63"/>
      <c r="D155" s="1224" t="s">
        <v>10833</v>
      </c>
      <c r="E155" s="1225"/>
      <c r="F155" s="66">
        <f t="shared" si="3"/>
        <v>0.30600000000000005</v>
      </c>
      <c r="G155" s="66">
        <v>0.45</v>
      </c>
      <c r="H155" s="1220">
        <v>0.2</v>
      </c>
      <c r="I155" s="66">
        <v>3.4</v>
      </c>
      <c r="J155" s="66"/>
      <c r="K155" s="66">
        <v>1</v>
      </c>
      <c r="L155" s="1221" t="s">
        <v>10794</v>
      </c>
      <c r="M155" s="51"/>
      <c r="N155" s="52"/>
      <c r="O155" s="25"/>
      <c r="P155" s="25"/>
    </row>
    <row r="156" spans="1:16" ht="30" customHeight="1">
      <c r="A156" s="61"/>
      <c r="B156" s="62"/>
      <c r="C156" s="63"/>
      <c r="D156" s="1224" t="s">
        <v>10834</v>
      </c>
      <c r="E156" s="1225"/>
      <c r="F156" s="66">
        <f t="shared" si="3"/>
        <v>0.29700000000000004</v>
      </c>
      <c r="G156" s="66">
        <v>0.45</v>
      </c>
      <c r="H156" s="1220">
        <v>0.2</v>
      </c>
      <c r="I156" s="66">
        <v>3.3</v>
      </c>
      <c r="J156" s="66"/>
      <c r="K156" s="66">
        <v>1</v>
      </c>
      <c r="L156" s="1221" t="s">
        <v>10794</v>
      </c>
      <c r="M156" s="51"/>
      <c r="N156" s="52"/>
      <c r="O156" s="25"/>
      <c r="P156" s="25"/>
    </row>
    <row r="157" spans="1:16" ht="30" customHeight="1">
      <c r="A157" s="61"/>
      <c r="B157" s="62"/>
      <c r="C157" s="63"/>
      <c r="D157" s="1224" t="s">
        <v>10835</v>
      </c>
      <c r="E157" s="1225"/>
      <c r="F157" s="66">
        <f t="shared" si="3"/>
        <v>0.34100000000000008</v>
      </c>
      <c r="G157" s="66">
        <v>0.55000000000000004</v>
      </c>
      <c r="H157" s="1220">
        <v>0.2</v>
      </c>
      <c r="I157" s="66">
        <v>3.1</v>
      </c>
      <c r="J157" s="66"/>
      <c r="K157" s="66">
        <v>1</v>
      </c>
      <c r="L157" s="1221" t="s">
        <v>10794</v>
      </c>
      <c r="M157" s="51"/>
      <c r="N157" s="52"/>
      <c r="O157" s="25"/>
      <c r="P157" s="25"/>
    </row>
    <row r="158" spans="1:16" ht="30" customHeight="1">
      <c r="A158" s="61"/>
      <c r="B158" s="62"/>
      <c r="C158" s="63"/>
      <c r="D158" s="1224" t="s">
        <v>10836</v>
      </c>
      <c r="E158" s="1225"/>
      <c r="F158" s="66">
        <f t="shared" si="3"/>
        <v>1.012</v>
      </c>
      <c r="G158" s="66">
        <v>0.55000000000000004</v>
      </c>
      <c r="H158" s="1220">
        <v>0.2</v>
      </c>
      <c r="I158" s="66">
        <v>9.1999999999999993</v>
      </c>
      <c r="J158" s="66"/>
      <c r="K158" s="66">
        <v>1</v>
      </c>
      <c r="L158" s="1221" t="s">
        <v>10794</v>
      </c>
      <c r="M158" s="51"/>
      <c r="N158" s="52"/>
      <c r="O158" s="25"/>
      <c r="P158" s="25"/>
    </row>
    <row r="159" spans="1:16" ht="30" customHeight="1">
      <c r="A159" s="61"/>
      <c r="B159" s="62"/>
      <c r="C159" s="63"/>
      <c r="D159" s="1224" t="s">
        <v>10837</v>
      </c>
      <c r="E159" s="1225"/>
      <c r="F159" s="66">
        <f t="shared" si="3"/>
        <v>0.27900000000000003</v>
      </c>
      <c r="G159" s="66">
        <v>0.45</v>
      </c>
      <c r="H159" s="1220">
        <v>0.2</v>
      </c>
      <c r="I159" s="66">
        <v>3.1</v>
      </c>
      <c r="J159" s="66"/>
      <c r="K159" s="66">
        <v>1</v>
      </c>
      <c r="L159" s="1221" t="s">
        <v>10794</v>
      </c>
      <c r="M159" s="51"/>
      <c r="N159" s="52"/>
      <c r="O159" s="25"/>
      <c r="P159" s="25"/>
    </row>
    <row r="160" spans="1:16" ht="30" customHeight="1">
      <c r="A160" s="61"/>
      <c r="B160" s="62"/>
      <c r="C160" s="63"/>
      <c r="D160" s="1224" t="s">
        <v>10838</v>
      </c>
      <c r="E160" s="1225"/>
      <c r="F160" s="66">
        <f t="shared" si="3"/>
        <v>0.27900000000000003</v>
      </c>
      <c r="G160" s="66">
        <v>0.45</v>
      </c>
      <c r="H160" s="1220">
        <v>0.2</v>
      </c>
      <c r="I160" s="66">
        <v>3.1</v>
      </c>
      <c r="J160" s="66"/>
      <c r="K160" s="66">
        <v>1</v>
      </c>
      <c r="L160" s="1221" t="s">
        <v>10794</v>
      </c>
      <c r="M160" s="51"/>
      <c r="N160" s="52"/>
      <c r="O160" s="25"/>
      <c r="P160" s="25"/>
    </row>
    <row r="161" spans="1:16" ht="30" customHeight="1">
      <c r="A161" s="61"/>
      <c r="B161" s="62"/>
      <c r="C161" s="63"/>
      <c r="D161" s="1224" t="s">
        <v>10839</v>
      </c>
      <c r="E161" s="1225"/>
      <c r="F161" s="66">
        <f t="shared" si="3"/>
        <v>0.30250000000000005</v>
      </c>
      <c r="G161" s="66">
        <v>0.55000000000000004</v>
      </c>
      <c r="H161" s="1220">
        <v>0.2</v>
      </c>
      <c r="I161" s="66">
        <v>2.75</v>
      </c>
      <c r="J161" s="66"/>
      <c r="K161" s="66">
        <v>1</v>
      </c>
      <c r="L161" s="1221" t="s">
        <v>10794</v>
      </c>
      <c r="M161" s="51"/>
      <c r="N161" s="52"/>
      <c r="O161" s="25"/>
      <c r="P161" s="25"/>
    </row>
    <row r="162" spans="1:16" ht="30" customHeight="1">
      <c r="A162" s="61"/>
      <c r="B162" s="62"/>
      <c r="C162" s="63"/>
      <c r="D162" s="1224" t="s">
        <v>10840</v>
      </c>
      <c r="E162" s="1225"/>
      <c r="F162" s="66">
        <f t="shared" si="3"/>
        <v>0.21450000000000002</v>
      </c>
      <c r="G162" s="66">
        <v>0.55000000000000004</v>
      </c>
      <c r="H162" s="1220">
        <v>0.2</v>
      </c>
      <c r="I162" s="66">
        <v>1.95</v>
      </c>
      <c r="J162" s="66"/>
      <c r="K162" s="66">
        <v>1</v>
      </c>
      <c r="L162" s="1221" t="s">
        <v>10794</v>
      </c>
      <c r="M162" s="51"/>
      <c r="N162" s="52"/>
      <c r="O162" s="25"/>
      <c r="P162" s="25"/>
    </row>
    <row r="163" spans="1:16" ht="30" customHeight="1">
      <c r="A163" s="61"/>
      <c r="B163" s="62"/>
      <c r="C163" s="63"/>
      <c r="D163" s="1224" t="s">
        <v>10841</v>
      </c>
      <c r="E163" s="1225"/>
      <c r="F163" s="66">
        <f t="shared" si="3"/>
        <v>0.58850000000000002</v>
      </c>
      <c r="G163" s="66">
        <v>0.55000000000000004</v>
      </c>
      <c r="H163" s="1220">
        <v>0.2</v>
      </c>
      <c r="I163" s="66">
        <v>5.35</v>
      </c>
      <c r="J163" s="66"/>
      <c r="K163" s="66">
        <v>1</v>
      </c>
      <c r="L163" s="1221" t="s">
        <v>10794</v>
      </c>
      <c r="M163" s="51"/>
      <c r="N163" s="52"/>
      <c r="O163" s="25"/>
      <c r="P163" s="25"/>
    </row>
    <row r="164" spans="1:16" ht="30" customHeight="1">
      <c r="A164" s="61"/>
      <c r="B164" s="62"/>
      <c r="C164" s="63"/>
      <c r="D164" s="1224" t="s">
        <v>10842</v>
      </c>
      <c r="E164" s="1225"/>
      <c r="F164" s="66">
        <f t="shared" si="3"/>
        <v>0.85250000000000015</v>
      </c>
      <c r="G164" s="66">
        <v>0.55000000000000004</v>
      </c>
      <c r="H164" s="1220">
        <v>0.2</v>
      </c>
      <c r="I164" s="66">
        <f>5.15+2.6</f>
        <v>7.75</v>
      </c>
      <c r="J164" s="66"/>
      <c r="K164" s="66">
        <v>1</v>
      </c>
      <c r="L164" s="1221" t="s">
        <v>10794</v>
      </c>
      <c r="M164" s="51"/>
      <c r="N164" s="52"/>
      <c r="O164" s="25"/>
      <c r="P164" s="25"/>
    </row>
    <row r="165" spans="1:16" ht="30" customHeight="1">
      <c r="A165" s="61"/>
      <c r="B165" s="62"/>
      <c r="C165" s="63"/>
      <c r="D165" s="1224" t="s">
        <v>10843</v>
      </c>
      <c r="E165" s="1225"/>
      <c r="F165" s="66">
        <f t="shared" si="3"/>
        <v>0.41250000000000003</v>
      </c>
      <c r="G165" s="66">
        <v>0.55000000000000004</v>
      </c>
      <c r="H165" s="1220">
        <v>0.2</v>
      </c>
      <c r="I165" s="66">
        <v>3.75</v>
      </c>
      <c r="J165" s="66"/>
      <c r="K165" s="66">
        <v>1</v>
      </c>
      <c r="L165" s="1221" t="s">
        <v>10794</v>
      </c>
      <c r="M165" s="51"/>
      <c r="N165" s="52"/>
      <c r="O165" s="25"/>
      <c r="P165" s="25"/>
    </row>
    <row r="166" spans="1:16" ht="30" customHeight="1">
      <c r="A166" s="61"/>
      <c r="B166" s="62"/>
      <c r="C166" s="63"/>
      <c r="D166" s="1224" t="s">
        <v>10844</v>
      </c>
      <c r="E166" s="1225"/>
      <c r="F166" s="66">
        <f t="shared" si="3"/>
        <v>0.24750000000000003</v>
      </c>
      <c r="G166" s="66">
        <v>0.55000000000000004</v>
      </c>
      <c r="H166" s="1220">
        <v>0.2</v>
      </c>
      <c r="I166" s="66">
        <v>2.25</v>
      </c>
      <c r="J166" s="66"/>
      <c r="K166" s="66">
        <v>1</v>
      </c>
      <c r="L166" s="1221" t="s">
        <v>10794</v>
      </c>
      <c r="M166" s="51"/>
      <c r="N166" s="52"/>
      <c r="O166" s="25"/>
      <c r="P166" s="25"/>
    </row>
    <row r="167" spans="1:16" ht="30" customHeight="1">
      <c r="A167" s="61"/>
      <c r="B167" s="62"/>
      <c r="C167" s="63"/>
      <c r="D167" s="1224" t="s">
        <v>10845</v>
      </c>
      <c r="E167" s="1225"/>
      <c r="F167" s="66">
        <f t="shared" si="3"/>
        <v>0.72600000000000009</v>
      </c>
      <c r="G167" s="66">
        <v>0.55000000000000004</v>
      </c>
      <c r="H167" s="1220">
        <v>0.2</v>
      </c>
      <c r="I167" s="66">
        <v>6.6</v>
      </c>
      <c r="J167" s="66"/>
      <c r="K167" s="66">
        <v>1</v>
      </c>
      <c r="L167" s="1221" t="s">
        <v>10794</v>
      </c>
      <c r="M167" s="51"/>
      <c r="N167" s="52"/>
      <c r="O167" s="25"/>
      <c r="P167" s="25"/>
    </row>
    <row r="168" spans="1:16" ht="30" customHeight="1">
      <c r="A168" s="61"/>
      <c r="B168" s="62"/>
      <c r="C168" s="63"/>
      <c r="D168" s="1224" t="s">
        <v>10846</v>
      </c>
      <c r="E168" s="1225"/>
      <c r="F168" s="66">
        <f t="shared" si="3"/>
        <v>1.012</v>
      </c>
      <c r="G168" s="66">
        <v>0.55000000000000004</v>
      </c>
      <c r="H168" s="1220">
        <v>0.2</v>
      </c>
      <c r="I168" s="66">
        <f>5.2+4</f>
        <v>9.1999999999999993</v>
      </c>
      <c r="J168" s="66"/>
      <c r="K168" s="66">
        <v>1</v>
      </c>
      <c r="L168" s="1221" t="s">
        <v>10794</v>
      </c>
      <c r="M168" s="51"/>
      <c r="N168" s="52"/>
      <c r="O168" s="25"/>
      <c r="P168" s="25"/>
    </row>
    <row r="169" spans="1:16" ht="30" customHeight="1">
      <c r="A169" s="61"/>
      <c r="B169" s="62"/>
      <c r="C169" s="63"/>
      <c r="D169" s="1224" t="s">
        <v>10847</v>
      </c>
      <c r="E169" s="1225"/>
      <c r="F169" s="66">
        <f t="shared" si="3"/>
        <v>1.012</v>
      </c>
      <c r="G169" s="66">
        <v>0.55000000000000004</v>
      </c>
      <c r="H169" s="1220">
        <v>0.2</v>
      </c>
      <c r="I169" s="66">
        <f>5.2+4</f>
        <v>9.1999999999999993</v>
      </c>
      <c r="J169" s="66"/>
      <c r="K169" s="66">
        <v>1</v>
      </c>
      <c r="L169" s="1221" t="s">
        <v>10794</v>
      </c>
      <c r="M169" s="51"/>
      <c r="N169" s="52"/>
      <c r="O169" s="25"/>
      <c r="P169" s="25"/>
    </row>
    <row r="170" spans="1:16" ht="30" customHeight="1">
      <c r="A170" s="61"/>
      <c r="B170" s="62"/>
      <c r="C170" s="63"/>
      <c r="D170" s="1224" t="s">
        <v>10848</v>
      </c>
      <c r="E170" s="1225"/>
      <c r="F170" s="66">
        <f t="shared" si="3"/>
        <v>1.012</v>
      </c>
      <c r="G170" s="66">
        <v>0.55000000000000004</v>
      </c>
      <c r="H170" s="1220">
        <v>0.2</v>
      </c>
      <c r="I170" s="66">
        <f>5.2+4</f>
        <v>9.1999999999999993</v>
      </c>
      <c r="J170" s="66"/>
      <c r="K170" s="66">
        <v>1</v>
      </c>
      <c r="L170" s="1221" t="s">
        <v>10794</v>
      </c>
      <c r="M170" s="51"/>
      <c r="N170" s="52"/>
      <c r="O170" s="25"/>
      <c r="P170" s="25"/>
    </row>
    <row r="171" spans="1:16" ht="30" customHeight="1">
      <c r="A171" s="61"/>
      <c r="B171" s="62"/>
      <c r="C171" s="63"/>
      <c r="D171" s="1224" t="s">
        <v>10849</v>
      </c>
      <c r="E171" s="1225"/>
      <c r="F171" s="66">
        <f t="shared" si="3"/>
        <v>1.012</v>
      </c>
      <c r="G171" s="66">
        <v>0.55000000000000004</v>
      </c>
      <c r="H171" s="1220">
        <v>0.2</v>
      </c>
      <c r="I171" s="66">
        <f>5.2+4</f>
        <v>9.1999999999999993</v>
      </c>
      <c r="J171" s="66"/>
      <c r="K171" s="66">
        <v>1</v>
      </c>
      <c r="L171" s="1221" t="s">
        <v>10794</v>
      </c>
      <c r="M171" s="51"/>
      <c r="N171" s="52"/>
      <c r="O171" s="25"/>
      <c r="P171" s="25"/>
    </row>
    <row r="172" spans="1:16" ht="30" customHeight="1">
      <c r="A172" s="61"/>
      <c r="B172" s="62"/>
      <c r="C172" s="63"/>
      <c r="D172" s="1224" t="s">
        <v>10850</v>
      </c>
      <c r="E172" s="1225"/>
      <c r="F172" s="66">
        <f t="shared" si="3"/>
        <v>0.71500000000000008</v>
      </c>
      <c r="G172" s="66">
        <v>0.55000000000000004</v>
      </c>
      <c r="H172" s="1220">
        <v>0.2</v>
      </c>
      <c r="I172" s="66">
        <f>3.25*2</f>
        <v>6.5</v>
      </c>
      <c r="J172" s="66"/>
      <c r="K172" s="66">
        <v>1</v>
      </c>
      <c r="L172" s="1221" t="s">
        <v>10794</v>
      </c>
      <c r="M172" s="51"/>
      <c r="N172" s="52"/>
      <c r="O172" s="25"/>
      <c r="P172" s="25"/>
    </row>
    <row r="173" spans="1:16" ht="30" customHeight="1">
      <c r="A173" s="61"/>
      <c r="B173" s="62"/>
      <c r="C173" s="63"/>
      <c r="D173" s="1224" t="s">
        <v>10851</v>
      </c>
      <c r="E173" s="1225"/>
      <c r="F173" s="66">
        <f t="shared" si="3"/>
        <v>0.71500000000000008</v>
      </c>
      <c r="G173" s="66">
        <v>0.55000000000000004</v>
      </c>
      <c r="H173" s="1220">
        <v>0.2</v>
      </c>
      <c r="I173" s="66">
        <f>3.25*2</f>
        <v>6.5</v>
      </c>
      <c r="J173" s="66"/>
      <c r="K173" s="66">
        <v>1</v>
      </c>
      <c r="L173" s="1221" t="s">
        <v>10794</v>
      </c>
      <c r="M173" s="51"/>
      <c r="N173" s="52"/>
      <c r="O173" s="25"/>
      <c r="P173" s="25"/>
    </row>
    <row r="174" spans="1:16" ht="30" customHeight="1">
      <c r="A174" s="61"/>
      <c r="B174" s="62"/>
      <c r="C174" s="63"/>
      <c r="D174" s="1228" t="s">
        <v>10795</v>
      </c>
      <c r="E174" s="1225"/>
      <c r="F174" s="66">
        <f>G174*J174*K174</f>
        <v>25.669999999999998</v>
      </c>
      <c r="G174" s="66">
        <v>0.85</v>
      </c>
      <c r="H174" s="1220"/>
      <c r="I174" s="66"/>
      <c r="J174" s="66">
        <v>1.51</v>
      </c>
      <c r="K174" s="66">
        <v>20</v>
      </c>
      <c r="L174" s="1221" t="s">
        <v>10794</v>
      </c>
      <c r="M174" s="51"/>
      <c r="N174" s="52"/>
      <c r="O174" s="25"/>
      <c r="P174" s="25"/>
    </row>
    <row r="175" spans="1:16" ht="30" customHeight="1">
      <c r="A175" s="61"/>
      <c r="B175" s="62"/>
      <c r="C175" s="63"/>
      <c r="D175" s="1224" t="s">
        <v>10854</v>
      </c>
      <c r="E175" s="1225"/>
      <c r="F175" s="66">
        <f>(J175*K175*H175)</f>
        <v>7.9800000000000013</v>
      </c>
      <c r="G175" s="66"/>
      <c r="H175" s="1220">
        <v>0.7</v>
      </c>
      <c r="I175" s="66"/>
      <c r="J175" s="66">
        <f>(0.15*0.8*2)+(0.15*1.1*2)</f>
        <v>0.57000000000000006</v>
      </c>
      <c r="K175" s="66">
        <v>20</v>
      </c>
      <c r="L175" s="1221" t="s">
        <v>10794</v>
      </c>
      <c r="M175" s="51"/>
      <c r="N175" s="52"/>
      <c r="O175" s="25"/>
      <c r="P175" s="25"/>
    </row>
    <row r="176" spans="1:16" ht="30" customHeight="1">
      <c r="A176" s="61"/>
      <c r="B176" s="62"/>
      <c r="C176" s="63"/>
      <c r="D176" s="1224" t="s">
        <v>10855</v>
      </c>
      <c r="E176" s="1225"/>
      <c r="F176" s="66">
        <f>-(J176*K176*H176)</f>
        <v>-3.6800000000000006</v>
      </c>
      <c r="G176" s="66"/>
      <c r="H176" s="1220">
        <v>0.8</v>
      </c>
      <c r="I176" s="66"/>
      <c r="J176" s="66">
        <v>0.23</v>
      </c>
      <c r="K176" s="66">
        <v>20</v>
      </c>
      <c r="L176" s="1221"/>
      <c r="M176" s="51"/>
      <c r="N176" s="52"/>
      <c r="O176" s="25"/>
      <c r="P176" s="25"/>
    </row>
    <row r="177" spans="1:16" ht="30" customHeight="1">
      <c r="A177" s="61"/>
      <c r="B177" s="62"/>
      <c r="C177" s="63"/>
      <c r="D177" s="1228" t="s">
        <v>10805</v>
      </c>
      <c r="E177" s="1225"/>
      <c r="F177" s="66">
        <f>G177*H177*I177*K177</f>
        <v>9.9959999999999987</v>
      </c>
      <c r="G177" s="66">
        <v>0.85</v>
      </c>
      <c r="H177" s="1220">
        <v>1.4</v>
      </c>
      <c r="I177" s="66">
        <v>1.4</v>
      </c>
      <c r="J177" s="66"/>
      <c r="K177" s="66">
        <v>6</v>
      </c>
      <c r="L177" s="1221" t="s">
        <v>10794</v>
      </c>
      <c r="M177" s="51"/>
      <c r="N177" s="52"/>
      <c r="O177" s="25"/>
      <c r="P177" s="25"/>
    </row>
    <row r="178" spans="1:16" ht="30" customHeight="1">
      <c r="A178" s="61"/>
      <c r="B178" s="62"/>
      <c r="C178" s="63"/>
      <c r="D178" s="1224" t="s">
        <v>10854</v>
      </c>
      <c r="E178" s="1225"/>
      <c r="F178" s="66">
        <f>(J178*K178*H178)</f>
        <v>1.2599999999999998</v>
      </c>
      <c r="G178" s="66"/>
      <c r="H178" s="1220">
        <v>0.4</v>
      </c>
      <c r="I178" s="66"/>
      <c r="J178" s="66">
        <f>(0.15*0.8*2)+(0.15*0.95*2)</f>
        <v>0.52499999999999991</v>
      </c>
      <c r="K178" s="66">
        <v>6</v>
      </c>
      <c r="L178" s="1221" t="s">
        <v>10794</v>
      </c>
      <c r="M178" s="51"/>
      <c r="N178" s="52"/>
      <c r="O178" s="25"/>
      <c r="P178" s="25"/>
    </row>
    <row r="179" spans="1:16" ht="30" customHeight="1">
      <c r="A179" s="61"/>
      <c r="B179" s="62"/>
      <c r="C179" s="63"/>
      <c r="D179" s="1224" t="s">
        <v>10855</v>
      </c>
      <c r="E179" s="1225"/>
      <c r="F179" s="66">
        <f>-(J179*K179*H179)</f>
        <v>-0.89700000000000013</v>
      </c>
      <c r="G179" s="66"/>
      <c r="H179" s="1220">
        <v>0.65</v>
      </c>
      <c r="I179" s="66"/>
      <c r="J179" s="66">
        <v>0.23</v>
      </c>
      <c r="K179" s="66">
        <v>6</v>
      </c>
      <c r="L179" s="1221"/>
      <c r="M179" s="51"/>
      <c r="N179" s="52"/>
      <c r="O179" s="25"/>
      <c r="P179" s="25"/>
    </row>
    <row r="180" spans="1:16" ht="30" customHeight="1">
      <c r="A180" s="61"/>
      <c r="B180" s="62"/>
      <c r="C180" s="63"/>
      <c r="D180" s="1228" t="s">
        <v>10806</v>
      </c>
      <c r="E180" s="1225"/>
      <c r="F180" s="66">
        <f>G180*H180*I180*K180</f>
        <v>13.6</v>
      </c>
      <c r="G180" s="66">
        <v>0.85</v>
      </c>
      <c r="H180" s="1220">
        <v>2</v>
      </c>
      <c r="I180" s="66">
        <v>2</v>
      </c>
      <c r="J180" s="66"/>
      <c r="K180" s="66">
        <v>4</v>
      </c>
      <c r="L180" s="1221" t="s">
        <v>10794</v>
      </c>
      <c r="M180" s="51"/>
      <c r="N180" s="52"/>
      <c r="O180" s="25"/>
      <c r="P180" s="25"/>
    </row>
    <row r="181" spans="1:16" ht="30" customHeight="1">
      <c r="A181" s="61"/>
      <c r="B181" s="62"/>
      <c r="C181" s="63"/>
      <c r="D181" s="1224" t="s">
        <v>10854</v>
      </c>
      <c r="E181" s="1225"/>
      <c r="F181" s="66">
        <f>(J181*K181*H181)</f>
        <v>0.83999999999999986</v>
      </c>
      <c r="G181" s="66"/>
      <c r="H181" s="1220">
        <v>0.4</v>
      </c>
      <c r="I181" s="66"/>
      <c r="J181" s="66">
        <f>(0.15*0.8*2)+(0.15*0.95*2)</f>
        <v>0.52499999999999991</v>
      </c>
      <c r="K181" s="66">
        <v>4</v>
      </c>
      <c r="L181" s="1221" t="s">
        <v>10794</v>
      </c>
      <c r="M181" s="51"/>
      <c r="N181" s="52"/>
      <c r="O181" s="25"/>
      <c r="P181" s="25"/>
    </row>
    <row r="182" spans="1:16" ht="30" customHeight="1">
      <c r="A182" s="61"/>
      <c r="B182" s="62"/>
      <c r="C182" s="63"/>
      <c r="D182" s="1224" t="s">
        <v>10855</v>
      </c>
      <c r="E182" s="1225"/>
      <c r="F182" s="66">
        <f>-(J182*K182*H182)</f>
        <v>-0.59800000000000009</v>
      </c>
      <c r="G182" s="66"/>
      <c r="H182" s="1220">
        <v>0.65</v>
      </c>
      <c r="I182" s="66"/>
      <c r="J182" s="66">
        <v>0.23</v>
      </c>
      <c r="K182" s="66">
        <v>4</v>
      </c>
      <c r="L182" s="1221"/>
      <c r="M182" s="51"/>
      <c r="N182" s="52"/>
      <c r="O182" s="25"/>
      <c r="P182" s="25"/>
    </row>
    <row r="183" spans="1:16" ht="30" customHeight="1">
      <c r="A183" s="61"/>
      <c r="B183" s="62"/>
      <c r="C183" s="63"/>
      <c r="D183" s="1228" t="s">
        <v>10807</v>
      </c>
      <c r="E183" s="1225"/>
      <c r="F183" s="66">
        <f>G183*H183*I183*K183</f>
        <v>4.3120000000000003</v>
      </c>
      <c r="G183" s="66">
        <v>0.55000000000000004</v>
      </c>
      <c r="H183" s="1220">
        <v>0.8</v>
      </c>
      <c r="I183" s="66">
        <v>1.4</v>
      </c>
      <c r="J183" s="66"/>
      <c r="K183" s="66">
        <v>7</v>
      </c>
      <c r="L183" s="1221" t="s">
        <v>10794</v>
      </c>
      <c r="M183" s="51"/>
      <c r="N183" s="52"/>
      <c r="O183" s="25"/>
      <c r="P183" s="25"/>
    </row>
    <row r="184" spans="1:16" ht="30" customHeight="1">
      <c r="A184" s="61"/>
      <c r="B184" s="62"/>
      <c r="C184" s="63"/>
      <c r="D184" s="1224" t="s">
        <v>10854</v>
      </c>
      <c r="E184" s="1225"/>
      <c r="F184" s="66">
        <f>(J184*K184*H184)</f>
        <v>2.1840000000000002</v>
      </c>
      <c r="G184" s="66"/>
      <c r="H184" s="1220">
        <v>0.65</v>
      </c>
      <c r="I184" s="66"/>
      <c r="J184" s="66">
        <f>(0.15*0.8*2)+(0.15*0.8*2)</f>
        <v>0.48</v>
      </c>
      <c r="K184" s="66">
        <v>7</v>
      </c>
      <c r="L184" s="1221" t="s">
        <v>10794</v>
      </c>
      <c r="M184" s="51"/>
      <c r="N184" s="52"/>
      <c r="O184" s="25"/>
      <c r="P184" s="25"/>
    </row>
    <row r="185" spans="1:16" ht="30" customHeight="1">
      <c r="A185" s="61"/>
      <c r="B185" s="62"/>
      <c r="C185" s="63"/>
      <c r="D185" s="1224" t="s">
        <v>10855</v>
      </c>
      <c r="E185" s="1225"/>
      <c r="F185" s="66">
        <f>-(J185*K185*H185)</f>
        <v>-1.3194999999999999</v>
      </c>
      <c r="G185" s="66"/>
      <c r="H185" s="1220">
        <v>0.65</v>
      </c>
      <c r="I185" s="66"/>
      <c r="J185" s="66">
        <v>0.28999999999999998</v>
      </c>
      <c r="K185" s="66">
        <v>7</v>
      </c>
      <c r="L185" s="1221"/>
      <c r="M185" s="51"/>
      <c r="N185" s="52"/>
      <c r="O185" s="25"/>
      <c r="P185" s="25"/>
    </row>
    <row r="186" spans="1:16" ht="30" customHeight="1">
      <c r="A186" s="61"/>
      <c r="B186" s="62"/>
      <c r="C186" s="63"/>
      <c r="D186" s="1228" t="s">
        <v>10808</v>
      </c>
      <c r="E186" s="1225"/>
      <c r="F186" s="66">
        <f>SUM(G186*H186*I186*K186)</f>
        <v>0.78479999999999994</v>
      </c>
      <c r="G186" s="66">
        <v>0.6</v>
      </c>
      <c r="H186" s="1220">
        <v>0.4</v>
      </c>
      <c r="I186" s="66">
        <v>3.27</v>
      </c>
      <c r="J186" s="66"/>
      <c r="K186" s="66">
        <v>1</v>
      </c>
      <c r="L186" s="1221" t="s">
        <v>10794</v>
      </c>
      <c r="M186" s="51"/>
      <c r="N186" s="52"/>
      <c r="O186" s="25"/>
      <c r="P186" s="25"/>
    </row>
    <row r="187" spans="1:16" ht="30" customHeight="1">
      <c r="A187" s="61"/>
      <c r="B187" s="62"/>
      <c r="C187" s="63"/>
      <c r="D187" s="1228" t="s">
        <v>10809</v>
      </c>
      <c r="E187" s="1225"/>
      <c r="F187" s="66">
        <f>SUM(G187*H187*I187*K187)</f>
        <v>5.25</v>
      </c>
      <c r="G187" s="66">
        <v>0.6</v>
      </c>
      <c r="H187" s="1220">
        <v>0.5</v>
      </c>
      <c r="I187" s="66">
        <v>0.5</v>
      </c>
      <c r="J187" s="66"/>
      <c r="K187" s="66">
        <v>35</v>
      </c>
      <c r="L187" s="1221" t="s">
        <v>10794</v>
      </c>
      <c r="M187" s="51"/>
      <c r="N187" s="52"/>
      <c r="O187" s="25"/>
      <c r="P187" s="25"/>
    </row>
    <row r="188" spans="1:16" ht="30" customHeight="1">
      <c r="A188" s="61"/>
      <c r="B188" s="62"/>
      <c r="C188" s="63"/>
      <c r="D188" s="1219"/>
      <c r="E188" s="65"/>
      <c r="F188" s="66"/>
      <c r="G188" s="66"/>
      <c r="H188" s="1220"/>
      <c r="I188" s="66"/>
      <c r="J188" s="66"/>
      <c r="K188" s="66"/>
      <c r="L188" s="1222"/>
      <c r="M188" s="51"/>
      <c r="N188" s="52"/>
      <c r="O188" s="25"/>
      <c r="P188" s="25"/>
    </row>
    <row r="189" spans="1:16" ht="30" customHeight="1">
      <c r="A189" s="61"/>
      <c r="B189" s="62"/>
      <c r="C189" s="63"/>
      <c r="D189" s="1223" t="s">
        <v>10853</v>
      </c>
      <c r="E189" s="65" t="s">
        <v>1650</v>
      </c>
      <c r="F189" s="1112">
        <f>SUM(F190:F194)</f>
        <v>27.073999999999998</v>
      </c>
      <c r="G189" s="66"/>
      <c r="H189" s="1220"/>
      <c r="I189" s="66"/>
      <c r="J189" s="66"/>
      <c r="K189" s="66"/>
      <c r="L189" s="1222"/>
      <c r="M189" s="51"/>
      <c r="N189" s="52"/>
      <c r="O189" s="25"/>
      <c r="P189" s="25"/>
    </row>
    <row r="190" spans="1:16" ht="30" customHeight="1">
      <c r="A190" s="61"/>
      <c r="B190" s="62"/>
      <c r="C190" s="63"/>
      <c r="D190" s="1219" t="s">
        <v>10795</v>
      </c>
      <c r="E190" s="65"/>
      <c r="F190" s="66">
        <f>G190*J190*K190</f>
        <v>12.851999999999997</v>
      </c>
      <c r="G190" s="66">
        <v>0.85</v>
      </c>
      <c r="H190" s="1220"/>
      <c r="I190" s="66"/>
      <c r="J190" s="66">
        <f>1.65-0.39</f>
        <v>1.2599999999999998</v>
      </c>
      <c r="K190" s="66">
        <v>12</v>
      </c>
      <c r="L190" s="1222"/>
      <c r="M190" s="51"/>
      <c r="N190" s="52"/>
      <c r="O190" s="25"/>
      <c r="P190" s="25"/>
    </row>
    <row r="191" spans="1:16" ht="30" customHeight="1">
      <c r="A191" s="61"/>
      <c r="B191" s="62"/>
      <c r="C191" s="63"/>
      <c r="D191" s="1219" t="s">
        <v>10856</v>
      </c>
      <c r="E191" s="65"/>
      <c r="F191" s="66">
        <f>J191*K191</f>
        <v>4.9920000000000009</v>
      </c>
      <c r="G191" s="66"/>
      <c r="H191" s="1220"/>
      <c r="I191" s="66"/>
      <c r="J191" s="66">
        <f>(0.16*0.8*2)+(0.16*0.5*2)</f>
        <v>0.41600000000000004</v>
      </c>
      <c r="K191" s="66">
        <v>12</v>
      </c>
      <c r="L191" s="1222"/>
      <c r="M191" s="51"/>
      <c r="N191" s="52"/>
      <c r="O191" s="25"/>
      <c r="P191" s="25"/>
    </row>
    <row r="192" spans="1:16" ht="30" customHeight="1">
      <c r="A192" s="61"/>
      <c r="B192" s="62"/>
      <c r="C192" s="63"/>
      <c r="D192" s="1219" t="s">
        <v>10796</v>
      </c>
      <c r="E192" s="65"/>
      <c r="F192" s="66">
        <f>SUM(G192*H192*I192*K192)</f>
        <v>0.65</v>
      </c>
      <c r="G192" s="66">
        <v>0.65</v>
      </c>
      <c r="H192" s="1220">
        <v>0.5</v>
      </c>
      <c r="I192" s="66">
        <v>0.5</v>
      </c>
      <c r="J192" s="66"/>
      <c r="K192" s="66">
        <v>4</v>
      </c>
      <c r="L192" s="1222"/>
      <c r="M192" s="51"/>
      <c r="N192" s="52"/>
      <c r="O192" s="25"/>
      <c r="P192" s="25"/>
    </row>
    <row r="193" spans="1:16" ht="30" customHeight="1">
      <c r="A193" s="61"/>
      <c r="B193" s="62"/>
      <c r="C193" s="63"/>
      <c r="D193" s="1219" t="s">
        <v>10797</v>
      </c>
      <c r="E193" s="65"/>
      <c r="F193" s="66">
        <f>SUM(G193*H193*I193*K193)</f>
        <v>6.160000000000001</v>
      </c>
      <c r="G193" s="66">
        <v>0.55000000000000004</v>
      </c>
      <c r="H193" s="1220">
        <v>0.2</v>
      </c>
      <c r="I193" s="66">
        <v>56</v>
      </c>
      <c r="J193" s="66"/>
      <c r="K193" s="66">
        <v>1</v>
      </c>
      <c r="L193" s="1222"/>
      <c r="M193" s="51"/>
      <c r="N193" s="52"/>
      <c r="O193" s="25"/>
      <c r="P193" s="25"/>
    </row>
    <row r="194" spans="1:16" ht="30" customHeight="1">
      <c r="A194" s="61"/>
      <c r="B194" s="62"/>
      <c r="C194" s="63"/>
      <c r="D194" s="1219" t="s">
        <v>10798</v>
      </c>
      <c r="E194" s="65"/>
      <c r="F194" s="66">
        <f>SUM(G194*H194*I194*K194)</f>
        <v>2.4200000000000004</v>
      </c>
      <c r="G194" s="66">
        <v>0.55000000000000004</v>
      </c>
      <c r="H194" s="1220">
        <v>0.2</v>
      </c>
      <c r="I194" s="66">
        <v>22</v>
      </c>
      <c r="J194" s="66"/>
      <c r="K194" s="66">
        <v>1</v>
      </c>
      <c r="L194" s="1222"/>
      <c r="M194" s="51"/>
      <c r="N194" s="52"/>
      <c r="O194" s="25"/>
      <c r="P194" s="25"/>
    </row>
    <row r="195" spans="1:16" ht="30" customHeight="1">
      <c r="A195" s="61"/>
      <c r="B195" s="62"/>
      <c r="C195" s="63"/>
      <c r="D195" s="1219"/>
      <c r="E195" s="65"/>
      <c r="F195" s="66"/>
      <c r="G195" s="66"/>
      <c r="H195" s="1220"/>
      <c r="I195" s="66"/>
      <c r="J195" s="66"/>
      <c r="K195" s="66"/>
      <c r="L195" s="1222"/>
      <c r="M195" s="51"/>
      <c r="N195" s="52"/>
      <c r="O195" s="25"/>
      <c r="P195" s="25"/>
    </row>
    <row r="196" spans="1:16" ht="30" customHeight="1">
      <c r="A196" s="61" t="s">
        <v>84</v>
      </c>
      <c r="B196" s="62" t="s">
        <v>26</v>
      </c>
      <c r="C196" s="63" t="s">
        <v>85</v>
      </c>
      <c r="D196" s="1219" t="str">
        <f>IFERROR(UPPER(IF(B196="CPU",VLOOKUP(C196,#REF!,2,0),IF(B196="SINAPI",VLOOKUP(C196,#REF!,2,0),IF(B196="EDIF",VLOOKUP(C196,#REF!,2,0),IF(B196="CDHU",VLOOKUP(C196,#REF!,2,0),IF(B196="FDE",VLOOKUP(C196,'FDE 10-23 '!$A$4:$E$3180,2,0),IF(B196="INFRA",VLOOKUP(C196,#REF!,2,0),""))))))),"")</f>
        <v>CONCRETO GROUT, PREPARADO NO LOCAL, LANÇADO E ADENSADO</v>
      </c>
      <c r="E196" s="65" t="str">
        <f>VLOOKUP(C196,'FDE 10-23 '!$A$4:$E$3180,3,0)</f>
        <v>M3</v>
      </c>
      <c r="F196" s="1112">
        <f>SUM(F197:F200)</f>
        <v>10.722000000000001</v>
      </c>
      <c r="G196" s="66"/>
      <c r="H196" s="1220"/>
      <c r="I196" s="66"/>
      <c r="J196" s="66"/>
      <c r="K196" s="66"/>
      <c r="L196" s="1222"/>
      <c r="M196" s="51"/>
      <c r="N196" s="52"/>
      <c r="O196" s="25"/>
      <c r="P196" s="25"/>
    </row>
    <row r="197" spans="1:16" ht="30" customHeight="1">
      <c r="A197" s="61"/>
      <c r="B197" s="62"/>
      <c r="C197" s="63"/>
      <c r="D197" s="1219" t="s">
        <v>10857</v>
      </c>
      <c r="E197" s="65"/>
      <c r="F197" s="66">
        <f>J197*K197</f>
        <v>8.32</v>
      </c>
      <c r="G197" s="66"/>
      <c r="H197" s="1220"/>
      <c r="I197" s="66"/>
      <c r="J197" s="66">
        <v>0.26</v>
      </c>
      <c r="K197" s="66">
        <v>32</v>
      </c>
      <c r="L197" s="1222"/>
      <c r="M197" s="51"/>
      <c r="N197" s="52"/>
      <c r="O197" s="25"/>
      <c r="P197" s="25"/>
    </row>
    <row r="198" spans="1:16" ht="30" customHeight="1">
      <c r="A198" s="61"/>
      <c r="B198" s="62"/>
      <c r="C198" s="63"/>
      <c r="D198" s="1219" t="s">
        <v>10858</v>
      </c>
      <c r="E198" s="65"/>
      <c r="F198" s="66">
        <f>J198*K198</f>
        <v>1.7100000000000002</v>
      </c>
      <c r="G198" s="66"/>
      <c r="H198" s="1220"/>
      <c r="I198" s="66"/>
      <c r="J198" s="66">
        <v>0.17100000000000001</v>
      </c>
      <c r="K198" s="66">
        <v>10</v>
      </c>
      <c r="L198" s="1222"/>
      <c r="M198" s="51"/>
      <c r="N198" s="52"/>
      <c r="O198" s="25"/>
      <c r="P198" s="25"/>
    </row>
    <row r="199" spans="1:16" ht="30" customHeight="1">
      <c r="A199" s="61"/>
      <c r="B199" s="62"/>
      <c r="C199" s="63"/>
      <c r="D199" s="1219" t="s">
        <v>10859</v>
      </c>
      <c r="E199" s="65"/>
      <c r="F199" s="66">
        <f>J199*K199</f>
        <v>0.192</v>
      </c>
      <c r="G199" s="66"/>
      <c r="H199" s="1220"/>
      <c r="I199" s="66"/>
      <c r="J199" s="66">
        <v>9.6000000000000002E-2</v>
      </c>
      <c r="K199" s="66">
        <v>2</v>
      </c>
      <c r="L199" s="1222"/>
      <c r="M199" s="51"/>
      <c r="N199" s="52"/>
      <c r="O199" s="25"/>
      <c r="P199" s="25"/>
    </row>
    <row r="200" spans="1:16" ht="30" customHeight="1">
      <c r="A200" s="61"/>
      <c r="B200" s="62"/>
      <c r="C200" s="63"/>
      <c r="D200" s="1219" t="s">
        <v>10860</v>
      </c>
      <c r="E200" s="65"/>
      <c r="F200" s="66">
        <f>J200*K200</f>
        <v>0.5</v>
      </c>
      <c r="G200" s="66"/>
      <c r="H200" s="1220"/>
      <c r="I200" s="66"/>
      <c r="J200" s="66">
        <v>0.1</v>
      </c>
      <c r="K200" s="66">
        <v>5</v>
      </c>
      <c r="L200" s="1222"/>
      <c r="M200" s="51"/>
      <c r="N200" s="52"/>
      <c r="O200" s="25"/>
      <c r="P200" s="25"/>
    </row>
    <row r="201" spans="1:16" ht="30" customHeight="1">
      <c r="A201" s="61"/>
      <c r="B201" s="62"/>
      <c r="C201" s="63"/>
      <c r="D201" s="1219" t="s">
        <v>10861</v>
      </c>
      <c r="E201" s="65"/>
      <c r="F201" s="66"/>
      <c r="G201" s="66"/>
      <c r="H201" s="1220"/>
      <c r="I201" s="66"/>
      <c r="J201" s="66"/>
      <c r="K201" s="66"/>
      <c r="L201" s="1222"/>
      <c r="M201" s="51"/>
      <c r="N201" s="52"/>
      <c r="O201" s="25"/>
      <c r="P201" s="25"/>
    </row>
    <row r="202" spans="1:16" ht="30" customHeight="1">
      <c r="A202" s="53" t="s">
        <v>86</v>
      </c>
      <c r="B202" s="54"/>
      <c r="C202" s="54" t="s">
        <v>87</v>
      </c>
      <c r="D202" s="1216" t="s">
        <v>88</v>
      </c>
      <c r="E202" s="56"/>
      <c r="F202" s="57"/>
      <c r="G202" s="57"/>
      <c r="H202" s="1217"/>
      <c r="I202" s="1217"/>
      <c r="J202" s="1217"/>
      <c r="K202" s="1217"/>
      <c r="L202" s="1218"/>
      <c r="M202" s="51"/>
      <c r="N202" s="52"/>
      <c r="O202" s="25"/>
      <c r="P202" s="25"/>
    </row>
    <row r="203" spans="1:16" ht="30" customHeight="1">
      <c r="A203" s="61" t="s">
        <v>89</v>
      </c>
      <c r="B203" s="62" t="s">
        <v>26</v>
      </c>
      <c r="C203" s="63" t="s">
        <v>90</v>
      </c>
      <c r="D203" s="1219" t="str">
        <f>IFERROR(UPPER(IF(B203="CPU",VLOOKUP(C203,#REF!,2,0),IF(B203="SINAPI",VLOOKUP(C203,#REF!,2,0),IF(B203="EDIF",VLOOKUP(C203,#REF!,2,0),IF(B203="CDHU",VLOOKUP(C203,#REF!,2,0),IF(B203="FDE",VLOOKUP(C203,'FDE 10-23 '!$A$4:$E$3180,2,0),IF(B203="INFRA",VLOOKUP(C203,#REF!,2,0),""))))))),"")</f>
        <v>ALVENARIA EMBASAMENTO TIJOLO BARRO MACIÇO E = 1 TIJOLO</v>
      </c>
      <c r="E203" s="65" t="str">
        <f>VLOOKUP(C203,'FDE 10-23 '!$A$4:$E$3180,3,0)</f>
        <v>M2</v>
      </c>
      <c r="F203" s="1112">
        <f>F204</f>
        <v>114.25500000000001</v>
      </c>
      <c r="G203" s="66"/>
      <c r="H203" s="1220"/>
      <c r="I203" s="66"/>
      <c r="J203" s="66"/>
      <c r="K203" s="66"/>
      <c r="L203" s="1222"/>
      <c r="M203" s="51"/>
      <c r="N203" s="52"/>
      <c r="O203" s="25"/>
      <c r="P203" s="25"/>
    </row>
    <row r="204" spans="1:16" ht="30" customHeight="1">
      <c r="A204" s="61"/>
      <c r="B204" s="62"/>
      <c r="C204" s="63"/>
      <c r="D204" s="1219" t="s">
        <v>10862</v>
      </c>
      <c r="E204" s="65"/>
      <c r="F204" s="66">
        <f>G204*I204</f>
        <v>114.25500000000001</v>
      </c>
      <c r="G204" s="1220">
        <v>0.3</v>
      </c>
      <c r="H204" s="1220"/>
      <c r="I204" s="66">
        <v>380.85</v>
      </c>
      <c r="J204" s="66"/>
      <c r="K204" s="66"/>
      <c r="L204" s="1222"/>
      <c r="M204" s="51"/>
      <c r="N204" s="52"/>
      <c r="O204" s="25"/>
      <c r="P204" s="25"/>
    </row>
    <row r="205" spans="1:16" ht="30" customHeight="1">
      <c r="A205" s="61"/>
      <c r="B205" s="62"/>
      <c r="C205" s="63"/>
      <c r="D205" s="1219"/>
      <c r="E205" s="65"/>
      <c r="F205" s="66"/>
      <c r="G205" s="66"/>
      <c r="H205" s="1220"/>
      <c r="I205" s="66"/>
      <c r="J205" s="66"/>
      <c r="K205" s="66"/>
      <c r="L205" s="1222"/>
      <c r="M205" s="51"/>
      <c r="N205" s="52"/>
      <c r="O205" s="25"/>
      <c r="P205" s="25"/>
    </row>
    <row r="206" spans="1:16" ht="30" customHeight="1">
      <c r="A206" s="53" t="s">
        <v>91</v>
      </c>
      <c r="B206" s="54"/>
      <c r="C206" s="54" t="s">
        <v>92</v>
      </c>
      <c r="D206" s="1216" t="s">
        <v>93</v>
      </c>
      <c r="E206" s="56"/>
      <c r="F206" s="57"/>
      <c r="G206" s="57"/>
      <c r="H206" s="1217"/>
      <c r="I206" s="1217"/>
      <c r="J206" s="1217"/>
      <c r="K206" s="1217"/>
      <c r="L206" s="1218"/>
      <c r="M206" s="51"/>
      <c r="N206" s="52"/>
      <c r="O206" s="25"/>
      <c r="P206" s="25"/>
    </row>
    <row r="207" spans="1:16" ht="30" customHeight="1">
      <c r="A207" s="61" t="s">
        <v>94</v>
      </c>
      <c r="B207" s="62" t="s">
        <v>26</v>
      </c>
      <c r="C207" s="63" t="s">
        <v>95</v>
      </c>
      <c r="D207" s="1219" t="str">
        <f>IFERROR(UPPER(IF(B207="CPU",VLOOKUP(C207,#REF!,2,0),IF(B207="SINAPI",VLOOKUP(C207,#REF!,2,0),IF(B207="EDIF",VLOOKUP(C207,#REF!,2,0),IF(B207="CDHU",VLOOKUP(C207,#REF!,2,0),IF(B207="FDE",VLOOKUP(C207,'FDE 10-23 '!$A$4:$E$3180,2,0),IF(B207="INFRA",VLOOKUP(C207,#REF!,2,0),""))))))),"")</f>
        <v>IMPERM RESP ALV EMBAS COM ARGAM CIM-AREIA 1:3 CONTENDO HIDROFUGO</v>
      </c>
      <c r="E207" s="65" t="str">
        <f>VLOOKUP(C207,'FDE 10-23 '!$A$4:$E$3180,3,0)</f>
        <v>M2</v>
      </c>
      <c r="F207" s="1112">
        <f>F208</f>
        <v>304.68</v>
      </c>
      <c r="G207" s="66"/>
      <c r="H207" s="1220"/>
      <c r="I207" s="66"/>
      <c r="J207" s="66"/>
      <c r="K207" s="66"/>
      <c r="L207" s="1222"/>
      <c r="M207" s="51"/>
      <c r="N207" s="52"/>
      <c r="O207" s="25"/>
      <c r="P207" s="25"/>
    </row>
    <row r="208" spans="1:16" ht="30" customHeight="1">
      <c r="A208" s="61"/>
      <c r="B208" s="62"/>
      <c r="C208" s="63"/>
      <c r="D208" s="1219" t="s">
        <v>10863</v>
      </c>
      <c r="E208" s="65"/>
      <c r="F208" s="66">
        <f>(G208*2+H208)*I208</f>
        <v>304.68</v>
      </c>
      <c r="G208" s="66">
        <v>0.3</v>
      </c>
      <c r="H208" s="1220">
        <v>0.2</v>
      </c>
      <c r="I208" s="66">
        <v>380.85</v>
      </c>
      <c r="J208" s="66"/>
      <c r="K208" s="66"/>
      <c r="L208" s="1222"/>
      <c r="M208" s="51"/>
      <c r="N208" s="52"/>
      <c r="O208" s="25"/>
      <c r="P208" s="25"/>
    </row>
    <row r="209" spans="1:16" ht="30" customHeight="1">
      <c r="A209" s="61"/>
      <c r="B209" s="62"/>
      <c r="C209" s="63"/>
      <c r="D209" s="1219"/>
      <c r="E209" s="65"/>
      <c r="F209" s="66"/>
      <c r="G209" s="66"/>
      <c r="H209" s="1220"/>
      <c r="I209" s="66"/>
      <c r="J209" s="66"/>
      <c r="K209" s="66"/>
      <c r="L209" s="1222"/>
      <c r="M209" s="51"/>
      <c r="N209" s="52"/>
      <c r="O209" s="25"/>
      <c r="P209" s="25"/>
    </row>
    <row r="210" spans="1:16" ht="30" customHeight="1">
      <c r="A210" s="43">
        <v>3</v>
      </c>
      <c r="B210" s="44"/>
      <c r="C210" s="44" t="s">
        <v>96</v>
      </c>
      <c r="D210" s="1213" t="s">
        <v>97</v>
      </c>
      <c r="E210" s="46"/>
      <c r="F210" s="47"/>
      <c r="G210" s="47"/>
      <c r="H210" s="1214"/>
      <c r="I210" s="1214"/>
      <c r="J210" s="1214"/>
      <c r="K210" s="1214"/>
      <c r="L210" s="1215"/>
      <c r="M210" s="51"/>
      <c r="N210" s="52"/>
      <c r="O210" s="25"/>
      <c r="P210" s="25"/>
    </row>
    <row r="211" spans="1:16" ht="30" customHeight="1">
      <c r="A211" s="53" t="s">
        <v>98</v>
      </c>
      <c r="B211" s="54"/>
      <c r="C211" s="54" t="s">
        <v>99</v>
      </c>
      <c r="D211" s="1216" t="s">
        <v>69</v>
      </c>
      <c r="E211" s="56"/>
      <c r="F211" s="57"/>
      <c r="G211" s="57"/>
      <c r="H211" s="1217"/>
      <c r="I211" s="1217"/>
      <c r="J211" s="1217"/>
      <c r="K211" s="1217"/>
      <c r="L211" s="1218"/>
      <c r="M211" s="51"/>
      <c r="N211" s="52"/>
      <c r="O211" s="25"/>
      <c r="P211" s="25"/>
    </row>
    <row r="212" spans="1:16" ht="30" customHeight="1">
      <c r="A212" s="61" t="s">
        <v>100</v>
      </c>
      <c r="B212" s="62" t="s">
        <v>26</v>
      </c>
      <c r="C212" s="63" t="s">
        <v>101</v>
      </c>
      <c r="D212" s="1219" t="str">
        <f>IFERROR(UPPER(IF(B212="CPU",VLOOKUP(C212,#REF!,2,0),IF(B212="SINAPI",VLOOKUP(C212,#REF!,2,0),IF(B212="EDIF",VLOOKUP(C212,#REF!,2,0),IF(B212="CDHU",VLOOKUP(C212,#REF!,2,0),IF(B212="FDE",VLOOKUP(C212,'FDE 10-23 '!$A$4:$E$3180,2,0),IF(B212="INFRA",VLOOKUP(C212,#REF!,2,0),""))))))),"")</f>
        <v>FORMAS PLANAS PLASTIFICADA PARA CONCRETO APARENTE</v>
      </c>
      <c r="E212" s="65" t="str">
        <f>VLOOKUP(C212,'FDE 10-23 '!$A$4:$E$3180,3,0)</f>
        <v>M2</v>
      </c>
      <c r="F212" s="1112">
        <v>8.1999999999999993</v>
      </c>
      <c r="G212" s="66"/>
      <c r="H212" s="1220"/>
      <c r="I212" s="66"/>
      <c r="J212" s="66"/>
      <c r="K212" s="66"/>
      <c r="L212" s="1222"/>
      <c r="M212" s="51"/>
      <c r="N212" s="52"/>
      <c r="O212" s="25"/>
      <c r="P212" s="25"/>
    </row>
    <row r="213" spans="1:16" ht="30" customHeight="1">
      <c r="A213" s="61"/>
      <c r="B213" s="62"/>
      <c r="C213" s="63"/>
      <c r="D213" s="1219" t="s">
        <v>10864</v>
      </c>
      <c r="E213" s="65"/>
      <c r="F213" s="66"/>
      <c r="G213" s="66"/>
      <c r="H213" s="1220"/>
      <c r="I213" s="66"/>
      <c r="J213" s="66"/>
      <c r="K213" s="66"/>
      <c r="L213" s="1222"/>
      <c r="M213" s="51"/>
      <c r="N213" s="52"/>
      <c r="O213" s="25"/>
      <c r="P213" s="25"/>
    </row>
    <row r="214" spans="1:16" ht="30" customHeight="1">
      <c r="A214" s="53" t="s">
        <v>102</v>
      </c>
      <c r="B214" s="54"/>
      <c r="C214" s="54" t="s">
        <v>103</v>
      </c>
      <c r="D214" s="1216" t="s">
        <v>74</v>
      </c>
      <c r="E214" s="56"/>
      <c r="F214" s="57"/>
      <c r="G214" s="57"/>
      <c r="H214" s="1217"/>
      <c r="I214" s="1217"/>
      <c r="J214" s="1217"/>
      <c r="K214" s="1217"/>
      <c r="L214" s="1218"/>
      <c r="M214" s="51"/>
      <c r="N214" s="52"/>
      <c r="O214" s="25"/>
      <c r="P214" s="25"/>
    </row>
    <row r="215" spans="1:16" ht="30" customHeight="1">
      <c r="A215" s="61" t="s">
        <v>104</v>
      </c>
      <c r="B215" s="62" t="s">
        <v>26</v>
      </c>
      <c r="C215" s="63" t="s">
        <v>105</v>
      </c>
      <c r="D215" s="1219" t="str">
        <f>IFERROR(UPPER(IF(B215="CPU",VLOOKUP(C215,#REF!,2,0),IF(B215="SINAPI",VLOOKUP(C215,#REF!,2,0),IF(B215="EDIF",VLOOKUP(C215,#REF!,2,0),IF(B215="CDHU",VLOOKUP(C215,#REF!,2,0),IF(B215="FDE",VLOOKUP(C215,'FDE 10-23 '!$A$4:$E$3180,2,0),IF(B215="INFRA",VLOOKUP(C215,#REF!,2,0),""))))))),"")</f>
        <v>ACO CA 50 (A OU B) FYK= 500 M PA</v>
      </c>
      <c r="E215" s="65" t="str">
        <f>VLOOKUP(C215,'FDE 10-23 '!$A$4:$E$3180,3,0)</f>
        <v>KG</v>
      </c>
      <c r="F215" s="1112">
        <f>F284+F285+F286</f>
        <v>4425.6000000000004</v>
      </c>
      <c r="G215" s="66">
        <v>4608</v>
      </c>
      <c r="H215" s="1220"/>
      <c r="I215" s="66"/>
      <c r="J215" s="66"/>
      <c r="K215" s="66"/>
      <c r="L215" s="1222"/>
      <c r="M215" s="51"/>
      <c r="N215" s="52"/>
      <c r="O215" s="25"/>
      <c r="P215" s="25"/>
    </row>
    <row r="216" spans="1:16" ht="30" customHeight="1">
      <c r="A216" s="61"/>
      <c r="B216" s="62"/>
      <c r="C216" s="63"/>
      <c r="D216" s="1219" t="s">
        <v>10865</v>
      </c>
      <c r="E216" s="65"/>
      <c r="F216" s="66">
        <f t="shared" ref="F216:F247" si="4">J216*K216</f>
        <v>499.36</v>
      </c>
      <c r="G216" s="66"/>
      <c r="H216" s="1220"/>
      <c r="I216" s="66"/>
      <c r="J216" s="66">
        <v>62.42</v>
      </c>
      <c r="K216" s="66">
        <v>8</v>
      </c>
      <c r="L216" s="1229" t="s">
        <v>10866</v>
      </c>
      <c r="M216" s="51"/>
      <c r="N216" s="52"/>
      <c r="O216" s="25"/>
      <c r="P216" s="25"/>
    </row>
    <row r="217" spans="1:16" ht="30" customHeight="1">
      <c r="A217" s="61"/>
      <c r="B217" s="62"/>
      <c r="C217" s="63"/>
      <c r="D217" s="1219" t="s">
        <v>10865</v>
      </c>
      <c r="E217" s="65"/>
      <c r="F217" s="66">
        <f t="shared" si="4"/>
        <v>324.89999999999998</v>
      </c>
      <c r="G217" s="66"/>
      <c r="H217" s="1220"/>
      <c r="I217" s="66"/>
      <c r="J217" s="66">
        <v>162.44999999999999</v>
      </c>
      <c r="K217" s="66">
        <v>2</v>
      </c>
      <c r="L217" s="1229" t="s">
        <v>10866</v>
      </c>
      <c r="M217" s="51"/>
      <c r="N217" s="52"/>
      <c r="O217" s="25"/>
      <c r="P217" s="25"/>
    </row>
    <row r="218" spans="1:16" ht="30" customHeight="1">
      <c r="A218" s="61"/>
      <c r="B218" s="62"/>
      <c r="C218" s="63"/>
      <c r="D218" s="1219" t="s">
        <v>10867</v>
      </c>
      <c r="E218" s="65"/>
      <c r="F218" s="66">
        <f t="shared" si="4"/>
        <v>324.89999999999998</v>
      </c>
      <c r="G218" s="66"/>
      <c r="H218" s="1220"/>
      <c r="I218" s="66"/>
      <c r="J218" s="66">
        <v>162.44999999999999</v>
      </c>
      <c r="K218" s="66">
        <v>2</v>
      </c>
      <c r="L218" s="1229" t="s">
        <v>10866</v>
      </c>
      <c r="M218" s="51"/>
      <c r="N218" s="52"/>
      <c r="O218" s="25"/>
      <c r="P218" s="25"/>
    </row>
    <row r="219" spans="1:16" ht="30" customHeight="1">
      <c r="A219" s="61"/>
      <c r="B219" s="62"/>
      <c r="C219" s="63"/>
      <c r="D219" s="1219" t="s">
        <v>10867</v>
      </c>
      <c r="E219" s="65"/>
      <c r="F219" s="66">
        <f t="shared" si="4"/>
        <v>193.01</v>
      </c>
      <c r="G219" s="66"/>
      <c r="H219" s="1220"/>
      <c r="I219" s="66"/>
      <c r="J219" s="66">
        <v>193.01</v>
      </c>
      <c r="K219" s="66">
        <v>1</v>
      </c>
      <c r="L219" s="1229" t="s">
        <v>10866</v>
      </c>
      <c r="M219" s="51"/>
      <c r="N219" s="52"/>
      <c r="O219" s="25"/>
      <c r="P219" s="25"/>
    </row>
    <row r="220" spans="1:16" ht="30" customHeight="1">
      <c r="A220" s="61"/>
      <c r="B220" s="62"/>
      <c r="C220" s="63"/>
      <c r="D220" s="1219" t="s">
        <v>10867</v>
      </c>
      <c r="E220" s="65"/>
      <c r="F220" s="66">
        <f t="shared" si="4"/>
        <v>192.52</v>
      </c>
      <c r="G220" s="66"/>
      <c r="H220" s="1220"/>
      <c r="I220" s="66"/>
      <c r="J220" s="66">
        <v>192.52</v>
      </c>
      <c r="K220" s="66">
        <v>1</v>
      </c>
      <c r="L220" s="1229" t="s">
        <v>10866</v>
      </c>
      <c r="M220" s="51"/>
      <c r="N220" s="52"/>
      <c r="O220" s="25"/>
      <c r="P220" s="25"/>
    </row>
    <row r="221" spans="1:16" ht="30" customHeight="1">
      <c r="A221" s="61"/>
      <c r="B221" s="62"/>
      <c r="C221" s="63"/>
      <c r="D221" s="1219" t="s">
        <v>10868</v>
      </c>
      <c r="E221" s="65"/>
      <c r="F221" s="66">
        <f t="shared" si="4"/>
        <v>840.9</v>
      </c>
      <c r="G221" s="66"/>
      <c r="H221" s="1220"/>
      <c r="I221" s="66"/>
      <c r="J221" s="66">
        <v>420.45</v>
      </c>
      <c r="K221" s="66">
        <v>2</v>
      </c>
      <c r="L221" s="1229" t="s">
        <v>10866</v>
      </c>
      <c r="M221" s="51"/>
      <c r="N221" s="52"/>
      <c r="O221" s="25"/>
      <c r="P221" s="25"/>
    </row>
    <row r="222" spans="1:16" ht="30" customHeight="1">
      <c r="A222" s="61"/>
      <c r="B222" s="62"/>
      <c r="C222" s="63"/>
      <c r="D222" s="1219" t="s">
        <v>10869</v>
      </c>
      <c r="E222" s="65"/>
      <c r="F222" s="66">
        <f t="shared" si="4"/>
        <v>840.9</v>
      </c>
      <c r="G222" s="66"/>
      <c r="H222" s="1220"/>
      <c r="I222" s="66"/>
      <c r="J222" s="66">
        <v>420.45</v>
      </c>
      <c r="K222" s="66">
        <v>2</v>
      </c>
      <c r="L222" s="1229" t="s">
        <v>10866</v>
      </c>
      <c r="M222" s="51"/>
      <c r="N222" s="52"/>
      <c r="O222" s="25"/>
      <c r="P222" s="25"/>
    </row>
    <row r="223" spans="1:16" ht="30" customHeight="1">
      <c r="A223" s="61"/>
      <c r="B223" s="62"/>
      <c r="C223" s="63"/>
      <c r="D223" s="1219" t="s">
        <v>10870</v>
      </c>
      <c r="E223" s="65"/>
      <c r="F223" s="66">
        <f t="shared" si="4"/>
        <v>185.91</v>
      </c>
      <c r="G223" s="66"/>
      <c r="H223" s="1220"/>
      <c r="I223" s="66"/>
      <c r="J223" s="66">
        <v>185.91</v>
      </c>
      <c r="K223" s="66">
        <v>1</v>
      </c>
      <c r="L223" s="1229" t="s">
        <v>10866</v>
      </c>
      <c r="M223" s="51"/>
      <c r="N223" s="52"/>
      <c r="O223" s="25"/>
      <c r="P223" s="25"/>
    </row>
    <row r="224" spans="1:16" ht="30" customHeight="1">
      <c r="A224" s="61"/>
      <c r="B224" s="62"/>
      <c r="C224" s="63"/>
      <c r="D224" s="1219" t="s">
        <v>10870</v>
      </c>
      <c r="E224" s="65"/>
      <c r="F224" s="66">
        <f t="shared" si="4"/>
        <v>1013.88</v>
      </c>
      <c r="G224" s="66"/>
      <c r="H224" s="1220"/>
      <c r="I224" s="66"/>
      <c r="J224" s="66">
        <v>72.42</v>
      </c>
      <c r="K224" s="66">
        <v>14</v>
      </c>
      <c r="L224" s="1229" t="s">
        <v>10866</v>
      </c>
      <c r="M224" s="51"/>
      <c r="N224" s="52"/>
      <c r="O224" s="25"/>
      <c r="P224" s="25"/>
    </row>
    <row r="225" spans="1:16" ht="30" customHeight="1">
      <c r="A225" s="61"/>
      <c r="B225" s="62"/>
      <c r="C225" s="63"/>
      <c r="D225" s="1219" t="s">
        <v>10870</v>
      </c>
      <c r="E225" s="65"/>
      <c r="F225" s="66">
        <f t="shared" si="4"/>
        <v>556.26</v>
      </c>
      <c r="G225" s="66"/>
      <c r="H225" s="1220"/>
      <c r="I225" s="66"/>
      <c r="J225" s="66">
        <v>92.71</v>
      </c>
      <c r="K225" s="66">
        <v>6</v>
      </c>
      <c r="L225" s="1229" t="s">
        <v>10866</v>
      </c>
      <c r="M225" s="51"/>
      <c r="N225" s="52"/>
      <c r="O225" s="25"/>
      <c r="P225" s="25"/>
    </row>
    <row r="226" spans="1:16" ht="30" customHeight="1">
      <c r="A226" s="61"/>
      <c r="B226" s="62"/>
      <c r="C226" s="63"/>
      <c r="D226" s="1219" t="s">
        <v>10871</v>
      </c>
      <c r="E226" s="65"/>
      <c r="F226" s="66">
        <f t="shared" si="4"/>
        <v>366.28</v>
      </c>
      <c r="G226" s="66"/>
      <c r="H226" s="1220"/>
      <c r="I226" s="66"/>
      <c r="J226" s="66">
        <v>366.28</v>
      </c>
      <c r="K226" s="66">
        <v>1</v>
      </c>
      <c r="L226" s="1229" t="s">
        <v>10866</v>
      </c>
      <c r="M226" s="51"/>
      <c r="N226" s="52"/>
      <c r="O226" s="25"/>
      <c r="P226" s="25"/>
    </row>
    <row r="227" spans="1:16" ht="30" customHeight="1">
      <c r="A227" s="61"/>
      <c r="B227" s="62"/>
      <c r="C227" s="63"/>
      <c r="D227" s="1219" t="s">
        <v>10871</v>
      </c>
      <c r="E227" s="65"/>
      <c r="F227" s="66">
        <f t="shared" si="4"/>
        <v>372</v>
      </c>
      <c r="G227" s="66"/>
      <c r="H227" s="1220"/>
      <c r="I227" s="66"/>
      <c r="J227" s="66">
        <v>372</v>
      </c>
      <c r="K227" s="66">
        <v>1</v>
      </c>
      <c r="L227" s="1229" t="s">
        <v>10866</v>
      </c>
      <c r="M227" s="51"/>
      <c r="N227" s="52"/>
      <c r="O227" s="25"/>
      <c r="P227" s="25"/>
    </row>
    <row r="228" spans="1:16" ht="30" customHeight="1">
      <c r="A228" s="61"/>
      <c r="B228" s="62"/>
      <c r="C228" s="63"/>
      <c r="D228" s="1219" t="s">
        <v>10871</v>
      </c>
      <c r="E228" s="65"/>
      <c r="F228" s="66">
        <f t="shared" si="4"/>
        <v>366.78</v>
      </c>
      <c r="G228" s="66"/>
      <c r="H228" s="1220"/>
      <c r="I228" s="66"/>
      <c r="J228" s="66">
        <v>366.78</v>
      </c>
      <c r="K228" s="66">
        <v>1</v>
      </c>
      <c r="L228" s="1229" t="s">
        <v>10866</v>
      </c>
      <c r="M228" s="51"/>
      <c r="N228" s="52"/>
      <c r="O228" s="25"/>
      <c r="P228" s="25"/>
    </row>
    <row r="229" spans="1:16" ht="30" customHeight="1">
      <c r="A229" s="61"/>
      <c r="B229" s="62"/>
      <c r="C229" s="63"/>
      <c r="D229" s="1219" t="s">
        <v>10871</v>
      </c>
      <c r="E229" s="65"/>
      <c r="F229" s="66">
        <f t="shared" si="4"/>
        <v>92.71</v>
      </c>
      <c r="G229" s="66"/>
      <c r="H229" s="1220"/>
      <c r="I229" s="66"/>
      <c r="J229" s="66">
        <v>92.71</v>
      </c>
      <c r="K229" s="66">
        <v>1</v>
      </c>
      <c r="L229" s="1229" t="s">
        <v>10866</v>
      </c>
      <c r="M229" s="51"/>
      <c r="N229" s="52"/>
      <c r="O229" s="25"/>
      <c r="P229" s="25"/>
    </row>
    <row r="230" spans="1:16" ht="30" customHeight="1">
      <c r="A230" s="61"/>
      <c r="B230" s="62"/>
      <c r="C230" s="63"/>
      <c r="D230" s="1219" t="s">
        <v>10872</v>
      </c>
      <c r="E230" s="65"/>
      <c r="F230" s="66">
        <f t="shared" si="4"/>
        <v>552.24</v>
      </c>
      <c r="G230" s="66"/>
      <c r="H230" s="1220"/>
      <c r="I230" s="66"/>
      <c r="J230" s="66">
        <v>61.36</v>
      </c>
      <c r="K230" s="66">
        <v>9</v>
      </c>
      <c r="L230" s="1229" t="s">
        <v>10866</v>
      </c>
      <c r="M230" s="51"/>
      <c r="N230" s="52"/>
      <c r="O230" s="25"/>
      <c r="P230" s="25"/>
    </row>
    <row r="231" spans="1:16" ht="30" customHeight="1">
      <c r="A231" s="61"/>
      <c r="B231" s="62"/>
      <c r="C231" s="63"/>
      <c r="D231" s="1219" t="s">
        <v>10872</v>
      </c>
      <c r="E231" s="65"/>
      <c r="F231" s="66">
        <f t="shared" si="4"/>
        <v>383.22</v>
      </c>
      <c r="G231" s="66"/>
      <c r="H231" s="1220"/>
      <c r="I231" s="66"/>
      <c r="J231" s="66">
        <v>383.22</v>
      </c>
      <c r="K231" s="66">
        <v>1</v>
      </c>
      <c r="L231" s="1229" t="s">
        <v>10866</v>
      </c>
      <c r="M231" s="51"/>
      <c r="N231" s="52"/>
      <c r="O231" s="25"/>
      <c r="P231" s="25"/>
    </row>
    <row r="232" spans="1:16" ht="30" customHeight="1">
      <c r="A232" s="61"/>
      <c r="B232" s="62"/>
      <c r="C232" s="63"/>
      <c r="D232" s="1219" t="s">
        <v>10872</v>
      </c>
      <c r="E232" s="65"/>
      <c r="F232" s="66">
        <f t="shared" si="4"/>
        <v>185.42</v>
      </c>
      <c r="G232" s="66"/>
      <c r="H232" s="1220"/>
      <c r="I232" s="66"/>
      <c r="J232" s="66">
        <v>92.71</v>
      </c>
      <c r="K232" s="66">
        <v>2</v>
      </c>
      <c r="L232" s="1229" t="s">
        <v>10866</v>
      </c>
      <c r="M232" s="51"/>
      <c r="N232" s="52"/>
      <c r="O232" s="25"/>
      <c r="P232" s="25"/>
    </row>
    <row r="233" spans="1:16" ht="30" customHeight="1">
      <c r="A233" s="61"/>
      <c r="B233" s="62"/>
      <c r="C233" s="63"/>
      <c r="D233" s="1219" t="s">
        <v>10872</v>
      </c>
      <c r="E233" s="65"/>
      <c r="F233" s="66">
        <f t="shared" si="4"/>
        <v>363.24</v>
      </c>
      <c r="G233" s="66"/>
      <c r="H233" s="1220"/>
      <c r="I233" s="66"/>
      <c r="J233" s="66">
        <v>363.24</v>
      </c>
      <c r="K233" s="66">
        <v>1</v>
      </c>
      <c r="L233" s="1229" t="s">
        <v>10866</v>
      </c>
      <c r="M233" s="51"/>
      <c r="N233" s="52"/>
      <c r="O233" s="25"/>
      <c r="P233" s="25"/>
    </row>
    <row r="234" spans="1:16" ht="30" customHeight="1">
      <c r="A234" s="61"/>
      <c r="B234" s="62"/>
      <c r="C234" s="63"/>
      <c r="D234" s="1219" t="s">
        <v>10873</v>
      </c>
      <c r="E234" s="65"/>
      <c r="F234" s="66">
        <f t="shared" si="4"/>
        <v>379.11</v>
      </c>
      <c r="G234" s="66"/>
      <c r="H234" s="1220"/>
      <c r="I234" s="66"/>
      <c r="J234" s="66">
        <v>379.11</v>
      </c>
      <c r="K234" s="66">
        <v>1</v>
      </c>
      <c r="L234" s="1229" t="s">
        <v>10866</v>
      </c>
      <c r="M234" s="51"/>
      <c r="N234" s="52"/>
      <c r="O234" s="25"/>
      <c r="P234" s="25"/>
    </row>
    <row r="235" spans="1:16" ht="30" customHeight="1">
      <c r="A235" s="61"/>
      <c r="B235" s="62"/>
      <c r="C235" s="63"/>
      <c r="D235" s="1219" t="s">
        <v>10873</v>
      </c>
      <c r="E235" s="65"/>
      <c r="F235" s="66">
        <f t="shared" si="4"/>
        <v>92.71</v>
      </c>
      <c r="G235" s="66"/>
      <c r="H235" s="1220"/>
      <c r="I235" s="66"/>
      <c r="J235" s="66">
        <v>92.71</v>
      </c>
      <c r="K235" s="66">
        <v>1</v>
      </c>
      <c r="L235" s="1229" t="s">
        <v>10866</v>
      </c>
      <c r="M235" s="51"/>
      <c r="N235" s="52"/>
      <c r="O235" s="25"/>
      <c r="P235" s="25"/>
    </row>
    <row r="236" spans="1:16" ht="30" customHeight="1">
      <c r="A236" s="61"/>
      <c r="B236" s="62"/>
      <c r="C236" s="63"/>
      <c r="D236" s="1219" t="s">
        <v>10873</v>
      </c>
      <c r="E236" s="65"/>
      <c r="F236" s="66">
        <f t="shared" si="4"/>
        <v>124.3</v>
      </c>
      <c r="G236" s="66"/>
      <c r="H236" s="1220"/>
      <c r="I236" s="66"/>
      <c r="J236" s="66">
        <v>62.15</v>
      </c>
      <c r="K236" s="66">
        <v>2</v>
      </c>
      <c r="L236" s="1229" t="s">
        <v>10866</v>
      </c>
      <c r="M236" s="51"/>
      <c r="N236" s="52"/>
      <c r="O236" s="25"/>
      <c r="P236" s="25"/>
    </row>
    <row r="237" spans="1:16" ht="30" customHeight="1">
      <c r="A237" s="61"/>
      <c r="B237" s="62"/>
      <c r="C237" s="63"/>
      <c r="D237" s="1219" t="s">
        <v>10873</v>
      </c>
      <c r="E237" s="65"/>
      <c r="F237" s="66">
        <f t="shared" si="4"/>
        <v>707.86</v>
      </c>
      <c r="G237" s="66"/>
      <c r="H237" s="1220"/>
      <c r="I237" s="66"/>
      <c r="J237" s="66">
        <v>353.93</v>
      </c>
      <c r="K237" s="66">
        <v>2</v>
      </c>
      <c r="L237" s="1229" t="s">
        <v>10866</v>
      </c>
      <c r="M237" s="51"/>
      <c r="N237" s="52"/>
      <c r="O237" s="25"/>
      <c r="P237" s="25"/>
    </row>
    <row r="238" spans="1:16" ht="30" customHeight="1">
      <c r="A238" s="61"/>
      <c r="B238" s="62"/>
      <c r="C238" s="63"/>
      <c r="D238" s="1219" t="s">
        <v>10873</v>
      </c>
      <c r="E238" s="65"/>
      <c r="F238" s="66">
        <f t="shared" si="4"/>
        <v>185.66</v>
      </c>
      <c r="G238" s="66"/>
      <c r="H238" s="1220"/>
      <c r="I238" s="66"/>
      <c r="J238" s="66">
        <v>92.83</v>
      </c>
      <c r="K238" s="66">
        <v>2</v>
      </c>
      <c r="L238" s="1229" t="s">
        <v>10866</v>
      </c>
      <c r="M238" s="51"/>
      <c r="N238" s="52"/>
      <c r="O238" s="25"/>
      <c r="P238" s="25"/>
    </row>
    <row r="239" spans="1:16" ht="30" customHeight="1">
      <c r="A239" s="61"/>
      <c r="B239" s="62"/>
      <c r="C239" s="63"/>
      <c r="D239" s="1219" t="s">
        <v>10874</v>
      </c>
      <c r="E239" s="65"/>
      <c r="F239" s="66">
        <f t="shared" si="4"/>
        <v>92.52</v>
      </c>
      <c r="G239" s="66"/>
      <c r="H239" s="1220"/>
      <c r="I239" s="66"/>
      <c r="J239" s="66">
        <v>92.52</v>
      </c>
      <c r="K239" s="66">
        <v>1</v>
      </c>
      <c r="L239" s="1229" t="s">
        <v>10866</v>
      </c>
      <c r="M239" s="51"/>
      <c r="N239" s="52"/>
      <c r="O239" s="25"/>
      <c r="P239" s="25"/>
    </row>
    <row r="240" spans="1:16" ht="30" customHeight="1">
      <c r="A240" s="61"/>
      <c r="B240" s="62"/>
      <c r="C240" s="63"/>
      <c r="D240" s="1219" t="s">
        <v>10874</v>
      </c>
      <c r="E240" s="65"/>
      <c r="F240" s="66">
        <f t="shared" si="4"/>
        <v>78.760000000000005</v>
      </c>
      <c r="G240" s="66"/>
      <c r="H240" s="1220"/>
      <c r="I240" s="66"/>
      <c r="J240" s="66">
        <v>78.760000000000005</v>
      </c>
      <c r="K240" s="66">
        <v>1</v>
      </c>
      <c r="L240" s="1229" t="s">
        <v>10866</v>
      </c>
      <c r="M240" s="51"/>
      <c r="N240" s="52"/>
      <c r="O240" s="25"/>
      <c r="P240" s="25"/>
    </row>
    <row r="241" spans="1:16" ht="30" customHeight="1">
      <c r="A241" s="61"/>
      <c r="B241" s="62"/>
      <c r="C241" s="63"/>
      <c r="D241" s="1219" t="s">
        <v>10874</v>
      </c>
      <c r="E241" s="65"/>
      <c r="F241" s="66">
        <f t="shared" si="4"/>
        <v>346.68</v>
      </c>
      <c r="G241" s="66"/>
      <c r="H241" s="1220"/>
      <c r="I241" s="66"/>
      <c r="J241" s="66">
        <v>173.34</v>
      </c>
      <c r="K241" s="66">
        <v>2</v>
      </c>
      <c r="L241" s="1229" t="s">
        <v>10866</v>
      </c>
      <c r="M241" s="51"/>
      <c r="N241" s="52"/>
      <c r="O241" s="25"/>
      <c r="P241" s="25"/>
    </row>
    <row r="242" spans="1:16" ht="30" customHeight="1">
      <c r="A242" s="61"/>
      <c r="B242" s="62"/>
      <c r="C242" s="63"/>
      <c r="D242" s="1219" t="s">
        <v>10874</v>
      </c>
      <c r="E242" s="65"/>
      <c r="F242" s="66">
        <f t="shared" si="4"/>
        <v>218.6</v>
      </c>
      <c r="G242" s="66"/>
      <c r="H242" s="1220"/>
      <c r="I242" s="66"/>
      <c r="J242" s="66">
        <v>218.6</v>
      </c>
      <c r="K242" s="66">
        <v>1</v>
      </c>
      <c r="L242" s="1229" t="s">
        <v>10866</v>
      </c>
      <c r="M242" s="51"/>
      <c r="N242" s="52"/>
      <c r="O242" s="25"/>
      <c r="P242" s="25"/>
    </row>
    <row r="243" spans="1:16" ht="30" customHeight="1">
      <c r="A243" s="61"/>
      <c r="B243" s="62"/>
      <c r="C243" s="63"/>
      <c r="D243" s="1219" t="s">
        <v>10874</v>
      </c>
      <c r="E243" s="65"/>
      <c r="F243" s="66">
        <f t="shared" si="4"/>
        <v>148.03</v>
      </c>
      <c r="G243" s="66"/>
      <c r="H243" s="1220"/>
      <c r="I243" s="66"/>
      <c r="J243" s="66">
        <v>148.03</v>
      </c>
      <c r="K243" s="66">
        <v>1</v>
      </c>
      <c r="L243" s="1229" t="s">
        <v>10866</v>
      </c>
      <c r="M243" s="51"/>
      <c r="N243" s="52"/>
      <c r="O243" s="25"/>
      <c r="P243" s="25"/>
    </row>
    <row r="244" spans="1:16" ht="30.75" customHeight="1">
      <c r="A244" s="61"/>
      <c r="B244" s="62"/>
      <c r="C244" s="63"/>
      <c r="D244" s="1219" t="s">
        <v>10875</v>
      </c>
      <c r="E244" s="65"/>
      <c r="F244" s="66">
        <f t="shared" si="4"/>
        <v>222.96</v>
      </c>
      <c r="G244" s="66"/>
      <c r="H244" s="1220"/>
      <c r="I244" s="66"/>
      <c r="J244" s="66">
        <v>222.96</v>
      </c>
      <c r="K244" s="66">
        <v>1</v>
      </c>
      <c r="L244" s="1229" t="s">
        <v>10866</v>
      </c>
      <c r="M244" s="51"/>
      <c r="N244" s="52"/>
      <c r="O244" s="25"/>
      <c r="P244" s="25"/>
    </row>
    <row r="245" spans="1:16" ht="30.75" customHeight="1">
      <c r="A245" s="61"/>
      <c r="B245" s="62"/>
      <c r="C245" s="63"/>
      <c r="D245" s="1219" t="s">
        <v>10875</v>
      </c>
      <c r="E245" s="65"/>
      <c r="F245" s="66">
        <f t="shared" si="4"/>
        <v>190.44</v>
      </c>
      <c r="G245" s="66"/>
      <c r="H245" s="1220"/>
      <c r="I245" s="66"/>
      <c r="J245" s="66">
        <v>190.44</v>
      </c>
      <c r="K245" s="66">
        <v>1</v>
      </c>
      <c r="L245" s="1229" t="s">
        <v>10866</v>
      </c>
      <c r="M245" s="51"/>
      <c r="N245" s="52"/>
      <c r="O245" s="25"/>
      <c r="P245" s="25"/>
    </row>
    <row r="246" spans="1:16" ht="30.75" customHeight="1">
      <c r="A246" s="61"/>
      <c r="B246" s="62"/>
      <c r="C246" s="63"/>
      <c r="D246" s="1219" t="s">
        <v>10875</v>
      </c>
      <c r="E246" s="65"/>
      <c r="F246" s="66">
        <f t="shared" si="4"/>
        <v>189.27</v>
      </c>
      <c r="G246" s="66"/>
      <c r="H246" s="1220"/>
      <c r="I246" s="66"/>
      <c r="J246" s="66">
        <v>189.27</v>
      </c>
      <c r="K246" s="66">
        <v>1</v>
      </c>
      <c r="L246" s="1229" t="s">
        <v>10866</v>
      </c>
      <c r="M246" s="51"/>
      <c r="N246" s="52"/>
      <c r="O246" s="25"/>
      <c r="P246" s="25"/>
    </row>
    <row r="247" spans="1:16" ht="30.75" customHeight="1">
      <c r="A247" s="61"/>
      <c r="B247" s="62"/>
      <c r="C247" s="63"/>
      <c r="D247" s="1219" t="s">
        <v>10875</v>
      </c>
      <c r="E247" s="65"/>
      <c r="F247" s="66">
        <f t="shared" si="4"/>
        <v>79.05</v>
      </c>
      <c r="G247" s="66"/>
      <c r="H247" s="1220"/>
      <c r="I247" s="66"/>
      <c r="J247" s="66">
        <v>79.05</v>
      </c>
      <c r="K247" s="66">
        <v>1</v>
      </c>
      <c r="L247" s="1229" t="s">
        <v>10866</v>
      </c>
      <c r="M247" s="51"/>
      <c r="N247" s="52"/>
      <c r="O247" s="25"/>
      <c r="P247" s="25"/>
    </row>
    <row r="248" spans="1:16" ht="30.75" customHeight="1">
      <c r="A248" s="61"/>
      <c r="B248" s="62"/>
      <c r="C248" s="63"/>
      <c r="D248" s="1219" t="s">
        <v>10876</v>
      </c>
      <c r="E248" s="65"/>
      <c r="F248" s="66">
        <f t="shared" ref="F248:F279" si="5">J248*K248</f>
        <v>219.81</v>
      </c>
      <c r="G248" s="66"/>
      <c r="H248" s="1220"/>
      <c r="I248" s="66"/>
      <c r="J248" s="66">
        <v>219.81</v>
      </c>
      <c r="K248" s="66">
        <v>1</v>
      </c>
      <c r="L248" s="1229" t="s">
        <v>10866</v>
      </c>
      <c r="M248" s="51"/>
      <c r="N248" s="52"/>
      <c r="O248" s="25"/>
      <c r="P248" s="25"/>
    </row>
    <row r="249" spans="1:16" ht="30" customHeight="1">
      <c r="A249" s="61"/>
      <c r="B249" s="62"/>
      <c r="C249" s="63"/>
      <c r="D249" s="1219" t="s">
        <v>10876</v>
      </c>
      <c r="E249" s="65"/>
      <c r="F249" s="66">
        <f t="shared" si="5"/>
        <v>193.16</v>
      </c>
      <c r="G249" s="66"/>
      <c r="H249" s="1220"/>
      <c r="I249" s="66"/>
      <c r="J249" s="66">
        <v>193.16</v>
      </c>
      <c r="K249" s="66">
        <v>1</v>
      </c>
      <c r="L249" s="1229" t="s">
        <v>10866</v>
      </c>
      <c r="M249" s="51"/>
      <c r="N249" s="52"/>
      <c r="O249" s="25"/>
      <c r="P249" s="25"/>
    </row>
    <row r="250" spans="1:16" ht="30" customHeight="1">
      <c r="A250" s="61"/>
      <c r="B250" s="62"/>
      <c r="C250" s="63"/>
      <c r="D250" s="1219" t="s">
        <v>10876</v>
      </c>
      <c r="E250" s="65"/>
      <c r="F250" s="66">
        <f t="shared" si="5"/>
        <v>193.43</v>
      </c>
      <c r="G250" s="66"/>
      <c r="H250" s="1220"/>
      <c r="I250" s="66"/>
      <c r="J250" s="66">
        <v>193.43</v>
      </c>
      <c r="K250" s="66">
        <v>1</v>
      </c>
      <c r="L250" s="1229" t="s">
        <v>10866</v>
      </c>
      <c r="M250" s="51"/>
      <c r="N250" s="52"/>
      <c r="O250" s="25"/>
      <c r="P250" s="25"/>
    </row>
    <row r="251" spans="1:16" ht="30" customHeight="1">
      <c r="A251" s="61"/>
      <c r="B251" s="62"/>
      <c r="C251" s="63"/>
      <c r="D251" s="1219" t="s">
        <v>10876</v>
      </c>
      <c r="E251" s="65"/>
      <c r="F251" s="66">
        <f t="shared" si="5"/>
        <v>34.229999999999997</v>
      </c>
      <c r="G251" s="66"/>
      <c r="H251" s="1220"/>
      <c r="I251" s="66"/>
      <c r="J251" s="66">
        <v>34.229999999999997</v>
      </c>
      <c r="K251" s="66">
        <v>1</v>
      </c>
      <c r="L251" s="1229" t="s">
        <v>10866</v>
      </c>
      <c r="M251" s="51"/>
      <c r="N251" s="52"/>
      <c r="O251" s="25"/>
      <c r="P251" s="25"/>
    </row>
    <row r="252" spans="1:16" ht="30" customHeight="1">
      <c r="A252" s="61"/>
      <c r="B252" s="62"/>
      <c r="C252" s="63"/>
      <c r="D252" s="1219" t="s">
        <v>10877</v>
      </c>
      <c r="E252" s="65"/>
      <c r="F252" s="66">
        <f t="shared" si="5"/>
        <v>78.95</v>
      </c>
      <c r="G252" s="66"/>
      <c r="H252" s="1220"/>
      <c r="I252" s="66"/>
      <c r="J252" s="66">
        <v>78.95</v>
      </c>
      <c r="K252" s="66">
        <v>1</v>
      </c>
      <c r="L252" s="1229" t="s">
        <v>10866</v>
      </c>
      <c r="M252" s="51"/>
      <c r="N252" s="52"/>
      <c r="O252" s="25"/>
      <c r="P252" s="25"/>
    </row>
    <row r="253" spans="1:16" ht="30" customHeight="1">
      <c r="A253" s="61"/>
      <c r="B253" s="62"/>
      <c r="C253" s="63"/>
      <c r="D253" s="1219" t="s">
        <v>10877</v>
      </c>
      <c r="E253" s="65"/>
      <c r="F253" s="66">
        <f t="shared" si="5"/>
        <v>90.69</v>
      </c>
      <c r="G253" s="66"/>
      <c r="H253" s="1220"/>
      <c r="I253" s="66"/>
      <c r="J253" s="66">
        <v>90.69</v>
      </c>
      <c r="K253" s="66">
        <v>1</v>
      </c>
      <c r="L253" s="1229" t="s">
        <v>10866</v>
      </c>
      <c r="M253" s="51"/>
      <c r="N253" s="52"/>
      <c r="O253" s="25"/>
      <c r="P253" s="25"/>
    </row>
    <row r="254" spans="1:16" ht="30" customHeight="1">
      <c r="A254" s="61"/>
      <c r="B254" s="62"/>
      <c r="C254" s="63"/>
      <c r="D254" s="1219" t="s">
        <v>10877</v>
      </c>
      <c r="E254" s="65"/>
      <c r="F254" s="66">
        <f t="shared" si="5"/>
        <v>112.74</v>
      </c>
      <c r="G254" s="66"/>
      <c r="H254" s="1220"/>
      <c r="I254" s="66"/>
      <c r="J254" s="66">
        <v>112.74</v>
      </c>
      <c r="K254" s="66">
        <v>1</v>
      </c>
      <c r="L254" s="1229" t="s">
        <v>10866</v>
      </c>
      <c r="M254" s="51"/>
      <c r="N254" s="52"/>
      <c r="O254" s="25"/>
      <c r="P254" s="25"/>
    </row>
    <row r="255" spans="1:16" ht="30" customHeight="1">
      <c r="A255" s="61"/>
      <c r="B255" s="62"/>
      <c r="C255" s="63"/>
      <c r="D255" s="1219" t="s">
        <v>10877</v>
      </c>
      <c r="E255" s="65"/>
      <c r="F255" s="66">
        <f t="shared" si="5"/>
        <v>52.44</v>
      </c>
      <c r="G255" s="66"/>
      <c r="H255" s="1220"/>
      <c r="I255" s="66"/>
      <c r="J255" s="66">
        <v>52.44</v>
      </c>
      <c r="K255" s="66">
        <v>1</v>
      </c>
      <c r="L255" s="1229" t="s">
        <v>10866</v>
      </c>
      <c r="M255" s="51"/>
      <c r="N255" s="52"/>
      <c r="O255" s="25"/>
      <c r="P255" s="25"/>
    </row>
    <row r="256" spans="1:16" ht="30" customHeight="1">
      <c r="A256" s="61"/>
      <c r="B256" s="62"/>
      <c r="C256" s="63"/>
      <c r="D256" s="1219" t="s">
        <v>10878</v>
      </c>
      <c r="E256" s="65"/>
      <c r="F256" s="66">
        <f t="shared" si="5"/>
        <v>530.66</v>
      </c>
      <c r="G256" s="66"/>
      <c r="H256" s="1220"/>
      <c r="I256" s="66"/>
      <c r="J256" s="66">
        <v>265.33</v>
      </c>
      <c r="K256" s="66">
        <v>2</v>
      </c>
      <c r="L256" s="1229" t="s">
        <v>10866</v>
      </c>
      <c r="M256" s="51"/>
      <c r="N256" s="52"/>
      <c r="O256" s="25"/>
      <c r="P256" s="25"/>
    </row>
    <row r="257" spans="1:16" ht="30" customHeight="1">
      <c r="A257" s="61"/>
      <c r="B257" s="62"/>
      <c r="C257" s="63"/>
      <c r="D257" s="1219" t="s">
        <v>10879</v>
      </c>
      <c r="E257" s="65"/>
      <c r="F257" s="66">
        <f t="shared" si="5"/>
        <v>264.08</v>
      </c>
      <c r="G257" s="66"/>
      <c r="H257" s="1220"/>
      <c r="I257" s="66"/>
      <c r="J257" s="66">
        <v>264.08</v>
      </c>
      <c r="K257" s="66">
        <v>1</v>
      </c>
      <c r="L257" s="1229" t="s">
        <v>10866</v>
      </c>
      <c r="M257" s="51"/>
      <c r="N257" s="52"/>
      <c r="O257" s="25"/>
      <c r="P257" s="25"/>
    </row>
    <row r="258" spans="1:16" ht="30" customHeight="1">
      <c r="A258" s="61"/>
      <c r="B258" s="62"/>
      <c r="C258" s="63"/>
      <c r="D258" s="1219" t="s">
        <v>10879</v>
      </c>
      <c r="E258" s="65"/>
      <c r="F258" s="66">
        <f t="shared" si="5"/>
        <v>257.82</v>
      </c>
      <c r="G258" s="66"/>
      <c r="H258" s="1220"/>
      <c r="I258" s="66"/>
      <c r="J258" s="66">
        <v>257.82</v>
      </c>
      <c r="K258" s="66">
        <v>1</v>
      </c>
      <c r="L258" s="1229" t="s">
        <v>10866</v>
      </c>
      <c r="M258" s="51"/>
      <c r="N258" s="52"/>
      <c r="O258" s="25"/>
      <c r="P258" s="25"/>
    </row>
    <row r="259" spans="1:16" ht="30" customHeight="1">
      <c r="A259" s="61"/>
      <c r="B259" s="62"/>
      <c r="C259" s="63"/>
      <c r="D259" s="1219" t="s">
        <v>10880</v>
      </c>
      <c r="E259" s="65"/>
      <c r="F259" s="66">
        <f t="shared" si="5"/>
        <v>234.07</v>
      </c>
      <c r="G259" s="66"/>
      <c r="H259" s="1220"/>
      <c r="I259" s="66"/>
      <c r="J259" s="66">
        <v>234.07</v>
      </c>
      <c r="K259" s="66">
        <v>1</v>
      </c>
      <c r="L259" s="1229" t="s">
        <v>10866</v>
      </c>
      <c r="M259" s="51"/>
      <c r="N259" s="52"/>
      <c r="O259" s="25"/>
      <c r="P259" s="25"/>
    </row>
    <row r="260" spans="1:16" ht="30" customHeight="1">
      <c r="A260" s="61"/>
      <c r="B260" s="62"/>
      <c r="C260" s="63"/>
      <c r="D260" s="1219" t="s">
        <v>10880</v>
      </c>
      <c r="E260" s="65"/>
      <c r="F260" s="66">
        <f t="shared" si="5"/>
        <v>456.04</v>
      </c>
      <c r="G260" s="66"/>
      <c r="H260" s="1220"/>
      <c r="I260" s="66"/>
      <c r="J260" s="66">
        <v>228.02</v>
      </c>
      <c r="K260" s="66">
        <v>2</v>
      </c>
      <c r="L260" s="1229" t="s">
        <v>10866</v>
      </c>
      <c r="M260" s="51"/>
      <c r="N260" s="52"/>
      <c r="O260" s="25"/>
      <c r="P260" s="25"/>
    </row>
    <row r="261" spans="1:16" ht="30" customHeight="1">
      <c r="A261" s="61"/>
      <c r="B261" s="62"/>
      <c r="C261" s="63"/>
      <c r="D261" s="1219" t="s">
        <v>10881</v>
      </c>
      <c r="E261" s="65"/>
      <c r="F261" s="66">
        <f t="shared" si="5"/>
        <v>278.18</v>
      </c>
      <c r="G261" s="66"/>
      <c r="H261" s="1220"/>
      <c r="I261" s="66"/>
      <c r="J261" s="66">
        <v>278.18</v>
      </c>
      <c r="K261" s="66">
        <v>1</v>
      </c>
      <c r="L261" s="1229" t="s">
        <v>10866</v>
      </c>
      <c r="M261" s="51"/>
      <c r="N261" s="52"/>
      <c r="O261" s="25"/>
      <c r="P261" s="25"/>
    </row>
    <row r="262" spans="1:16" ht="30" customHeight="1">
      <c r="A262" s="61"/>
      <c r="B262" s="62"/>
      <c r="C262" s="63"/>
      <c r="D262" s="1219" t="s">
        <v>10881</v>
      </c>
      <c r="E262" s="65"/>
      <c r="F262" s="66">
        <f t="shared" si="5"/>
        <v>124.69</v>
      </c>
      <c r="G262" s="66"/>
      <c r="H262" s="1220"/>
      <c r="I262" s="66"/>
      <c r="J262" s="66">
        <v>124.69</v>
      </c>
      <c r="K262" s="66">
        <v>1</v>
      </c>
      <c r="L262" s="1229" t="s">
        <v>10866</v>
      </c>
      <c r="M262" s="51"/>
      <c r="N262" s="52"/>
      <c r="O262" s="25"/>
      <c r="P262" s="25"/>
    </row>
    <row r="263" spans="1:16" ht="30" customHeight="1">
      <c r="A263" s="61"/>
      <c r="B263" s="62"/>
      <c r="C263" s="63"/>
      <c r="D263" s="1219" t="s">
        <v>10882</v>
      </c>
      <c r="E263" s="65"/>
      <c r="F263" s="66">
        <f t="shared" si="5"/>
        <v>285.64999999999998</v>
      </c>
      <c r="G263" s="66"/>
      <c r="H263" s="1220"/>
      <c r="I263" s="66"/>
      <c r="J263" s="66">
        <v>285.64999999999998</v>
      </c>
      <c r="K263" s="66">
        <v>1</v>
      </c>
      <c r="L263" s="1229" t="s">
        <v>10866</v>
      </c>
      <c r="M263" s="51"/>
      <c r="N263" s="52"/>
      <c r="O263" s="25"/>
      <c r="P263" s="25"/>
    </row>
    <row r="264" spans="1:16" ht="30" customHeight="1">
      <c r="A264" s="61"/>
      <c r="B264" s="62"/>
      <c r="C264" s="63"/>
      <c r="D264" s="1219" t="s">
        <v>10883</v>
      </c>
      <c r="E264" s="65"/>
      <c r="F264" s="66">
        <f t="shared" si="5"/>
        <v>280.26</v>
      </c>
      <c r="G264" s="66"/>
      <c r="H264" s="1220"/>
      <c r="I264" s="66"/>
      <c r="J264" s="66">
        <v>280.26</v>
      </c>
      <c r="K264" s="66">
        <v>1</v>
      </c>
      <c r="L264" s="1229" t="s">
        <v>10866</v>
      </c>
      <c r="M264" s="51"/>
      <c r="N264" s="52"/>
      <c r="O264" s="25"/>
      <c r="P264" s="25"/>
    </row>
    <row r="265" spans="1:16" ht="30" customHeight="1">
      <c r="A265" s="61"/>
      <c r="B265" s="62"/>
      <c r="C265" s="63"/>
      <c r="D265" s="1219" t="s">
        <v>10884</v>
      </c>
      <c r="E265" s="65"/>
      <c r="F265" s="66">
        <f t="shared" si="5"/>
        <v>272.14</v>
      </c>
      <c r="G265" s="66"/>
      <c r="H265" s="1220"/>
      <c r="I265" s="66"/>
      <c r="J265" s="66">
        <v>272.14</v>
      </c>
      <c r="K265" s="66">
        <v>1</v>
      </c>
      <c r="L265" s="1229" t="s">
        <v>10866</v>
      </c>
      <c r="M265" s="51"/>
      <c r="N265" s="52"/>
      <c r="O265" s="25"/>
      <c r="P265" s="25"/>
    </row>
    <row r="266" spans="1:16" ht="30" customHeight="1">
      <c r="A266" s="61"/>
      <c r="B266" s="62"/>
      <c r="C266" s="63"/>
      <c r="D266" s="1219" t="s">
        <v>10885</v>
      </c>
      <c r="E266" s="65"/>
      <c r="F266" s="66">
        <f t="shared" si="5"/>
        <v>280.26</v>
      </c>
      <c r="G266" s="66"/>
      <c r="H266" s="1220"/>
      <c r="I266" s="66"/>
      <c r="J266" s="66">
        <v>280.26</v>
      </c>
      <c r="K266" s="66">
        <v>1</v>
      </c>
      <c r="L266" s="1229" t="s">
        <v>10866</v>
      </c>
      <c r="M266" s="51"/>
      <c r="N266" s="52"/>
      <c r="O266" s="25"/>
      <c r="P266" s="25"/>
    </row>
    <row r="267" spans="1:16" ht="30" customHeight="1">
      <c r="A267" s="61"/>
      <c r="B267" s="62"/>
      <c r="C267" s="63"/>
      <c r="D267" s="1219" t="s">
        <v>10886</v>
      </c>
      <c r="E267" s="65"/>
      <c r="F267" s="66">
        <f t="shared" si="5"/>
        <v>497.52</v>
      </c>
      <c r="G267" s="66"/>
      <c r="H267" s="1220"/>
      <c r="I267" s="66"/>
      <c r="J267" s="66">
        <v>248.76</v>
      </c>
      <c r="K267" s="66">
        <v>2</v>
      </c>
      <c r="L267" s="1229" t="s">
        <v>10866</v>
      </c>
      <c r="M267" s="51"/>
      <c r="N267" s="52"/>
      <c r="O267" s="25"/>
      <c r="P267" s="25"/>
    </row>
    <row r="268" spans="1:16" ht="30" customHeight="1">
      <c r="A268" s="61"/>
      <c r="B268" s="62"/>
      <c r="C268" s="63"/>
      <c r="D268" s="1219" t="s">
        <v>10887</v>
      </c>
      <c r="E268" s="65"/>
      <c r="F268" s="66">
        <f t="shared" si="5"/>
        <v>901.28</v>
      </c>
      <c r="G268" s="66"/>
      <c r="H268" s="1220"/>
      <c r="I268" s="66"/>
      <c r="J268" s="66">
        <v>225.32</v>
      </c>
      <c r="K268" s="66">
        <v>4</v>
      </c>
      <c r="L268" s="1229" t="s">
        <v>10866</v>
      </c>
      <c r="M268" s="51"/>
      <c r="N268" s="52"/>
      <c r="O268" s="25"/>
      <c r="P268" s="25"/>
    </row>
    <row r="269" spans="1:16" ht="30" customHeight="1">
      <c r="A269" s="61"/>
      <c r="B269" s="62"/>
      <c r="C269" s="63"/>
      <c r="D269" s="1219" t="s">
        <v>10887</v>
      </c>
      <c r="E269" s="65"/>
      <c r="F269" s="66">
        <f t="shared" si="5"/>
        <v>71.78</v>
      </c>
      <c r="G269" s="66"/>
      <c r="H269" s="1220"/>
      <c r="I269" s="66"/>
      <c r="J269" s="66">
        <v>71.78</v>
      </c>
      <c r="K269" s="66">
        <v>1</v>
      </c>
      <c r="L269" s="1229" t="s">
        <v>10866</v>
      </c>
      <c r="M269" s="51"/>
      <c r="N269" s="52"/>
      <c r="O269" s="25"/>
      <c r="P269" s="25"/>
    </row>
    <row r="270" spans="1:16" ht="30" customHeight="1">
      <c r="A270" s="61"/>
      <c r="B270" s="62"/>
      <c r="C270" s="63"/>
      <c r="D270" s="1219" t="s">
        <v>10888</v>
      </c>
      <c r="E270" s="65"/>
      <c r="F270" s="66">
        <f t="shared" si="5"/>
        <v>255.19</v>
      </c>
      <c r="G270" s="66"/>
      <c r="H270" s="1220"/>
      <c r="I270" s="66"/>
      <c r="J270" s="66">
        <v>255.19</v>
      </c>
      <c r="K270" s="66">
        <v>1</v>
      </c>
      <c r="L270" s="1229" t="s">
        <v>10866</v>
      </c>
      <c r="M270" s="51"/>
      <c r="N270" s="52"/>
      <c r="O270" s="25"/>
      <c r="P270" s="25"/>
    </row>
    <row r="271" spans="1:16" ht="30" customHeight="1">
      <c r="A271" s="61"/>
      <c r="B271" s="62"/>
      <c r="C271" s="63"/>
      <c r="D271" s="1219" t="s">
        <v>10889</v>
      </c>
      <c r="E271" s="65"/>
      <c r="F271" s="66">
        <f t="shared" si="5"/>
        <v>107.62</v>
      </c>
      <c r="G271" s="66"/>
      <c r="H271" s="1220"/>
      <c r="I271" s="66"/>
      <c r="J271" s="66">
        <v>107.62</v>
      </c>
      <c r="K271" s="66">
        <v>1</v>
      </c>
      <c r="L271" s="1229" t="s">
        <v>10866</v>
      </c>
      <c r="M271" s="51"/>
      <c r="N271" s="52"/>
      <c r="O271" s="25"/>
      <c r="P271" s="25"/>
    </row>
    <row r="272" spans="1:16" ht="30" customHeight="1">
      <c r="A272" s="61"/>
      <c r="B272" s="62"/>
      <c r="C272" s="63"/>
      <c r="D272" s="1219" t="s">
        <v>10889</v>
      </c>
      <c r="E272" s="65"/>
      <c r="F272" s="66">
        <f t="shared" si="5"/>
        <v>328.06</v>
      </c>
      <c r="G272" s="66"/>
      <c r="H272" s="1220"/>
      <c r="I272" s="66"/>
      <c r="J272" s="66">
        <v>328.06</v>
      </c>
      <c r="K272" s="66">
        <v>1</v>
      </c>
      <c r="L272" s="1229" t="s">
        <v>10866</v>
      </c>
      <c r="M272" s="51"/>
      <c r="N272" s="52"/>
      <c r="O272" s="25"/>
      <c r="P272" s="25"/>
    </row>
    <row r="273" spans="1:16" ht="30" customHeight="1">
      <c r="A273" s="61"/>
      <c r="B273" s="62"/>
      <c r="C273" s="63"/>
      <c r="D273" s="1219" t="s">
        <v>10889</v>
      </c>
      <c r="E273" s="65"/>
      <c r="F273" s="66">
        <f t="shared" si="5"/>
        <v>231.75</v>
      </c>
      <c r="G273" s="66"/>
      <c r="H273" s="1220"/>
      <c r="I273" s="66"/>
      <c r="J273" s="66">
        <v>231.75</v>
      </c>
      <c r="K273" s="66">
        <v>1</v>
      </c>
      <c r="L273" s="1229" t="s">
        <v>10866</v>
      </c>
      <c r="M273" s="51"/>
      <c r="N273" s="52"/>
      <c r="O273" s="25"/>
      <c r="P273" s="25"/>
    </row>
    <row r="274" spans="1:16" ht="30" customHeight="1">
      <c r="A274" s="61"/>
      <c r="B274" s="62"/>
      <c r="C274" s="63"/>
      <c r="D274" s="1219" t="s">
        <v>10889</v>
      </c>
      <c r="E274" s="65"/>
      <c r="F274" s="66">
        <f t="shared" si="5"/>
        <v>619.28</v>
      </c>
      <c r="G274" s="66"/>
      <c r="H274" s="1220"/>
      <c r="I274" s="66"/>
      <c r="J274" s="66">
        <v>619.28</v>
      </c>
      <c r="K274" s="66">
        <v>1</v>
      </c>
      <c r="L274" s="1229" t="s">
        <v>10866</v>
      </c>
      <c r="M274" s="51"/>
      <c r="N274" s="52"/>
      <c r="O274" s="25"/>
      <c r="P274" s="25"/>
    </row>
    <row r="275" spans="1:16" ht="30" customHeight="1">
      <c r="A275" s="61"/>
      <c r="B275" s="62"/>
      <c r="C275" s="63"/>
      <c r="D275" s="1219" t="s">
        <v>10889</v>
      </c>
      <c r="E275" s="65"/>
      <c r="F275" s="66">
        <f t="shared" si="5"/>
        <v>551.89</v>
      </c>
      <c r="G275" s="66"/>
      <c r="H275" s="1220"/>
      <c r="I275" s="66"/>
      <c r="J275" s="66">
        <v>551.89</v>
      </c>
      <c r="K275" s="66">
        <v>1</v>
      </c>
      <c r="L275" s="1229" t="s">
        <v>10866</v>
      </c>
      <c r="M275" s="51"/>
      <c r="N275" s="52"/>
      <c r="O275" s="25"/>
      <c r="P275" s="25"/>
    </row>
    <row r="276" spans="1:16" ht="30" customHeight="1">
      <c r="A276" s="61"/>
      <c r="B276" s="62"/>
      <c r="C276" s="63"/>
      <c r="D276" s="1219" t="s">
        <v>10890</v>
      </c>
      <c r="E276" s="65"/>
      <c r="F276" s="66">
        <f t="shared" si="5"/>
        <v>460.66</v>
      </c>
      <c r="G276" s="66"/>
      <c r="H276" s="1220"/>
      <c r="I276" s="66"/>
      <c r="J276" s="66">
        <v>230.33</v>
      </c>
      <c r="K276" s="66">
        <v>2</v>
      </c>
      <c r="L276" s="1229" t="s">
        <v>10866</v>
      </c>
      <c r="M276" s="51"/>
      <c r="N276" s="52"/>
      <c r="O276" s="25"/>
      <c r="P276" s="25"/>
    </row>
    <row r="277" spans="1:16" ht="30" customHeight="1">
      <c r="A277" s="61"/>
      <c r="B277" s="62"/>
      <c r="C277" s="63"/>
      <c r="D277" s="1219" t="s">
        <v>10890</v>
      </c>
      <c r="E277" s="65"/>
      <c r="F277" s="66">
        <f t="shared" si="5"/>
        <v>154.96</v>
      </c>
      <c r="G277" s="66"/>
      <c r="H277" s="1220"/>
      <c r="I277" s="66"/>
      <c r="J277" s="66">
        <v>77.48</v>
      </c>
      <c r="K277" s="66">
        <v>2</v>
      </c>
      <c r="L277" s="1229" t="s">
        <v>10866</v>
      </c>
      <c r="M277" s="51"/>
      <c r="N277" s="52"/>
      <c r="O277" s="25"/>
      <c r="P277" s="25"/>
    </row>
    <row r="278" spans="1:16" ht="30" customHeight="1">
      <c r="A278" s="61"/>
      <c r="B278" s="62"/>
      <c r="C278" s="63"/>
      <c r="D278" s="1219" t="s">
        <v>10890</v>
      </c>
      <c r="E278" s="65"/>
      <c r="F278" s="66">
        <f t="shared" si="5"/>
        <v>92.71</v>
      </c>
      <c r="G278" s="66"/>
      <c r="H278" s="1220"/>
      <c r="I278" s="66"/>
      <c r="J278" s="66">
        <v>92.71</v>
      </c>
      <c r="K278" s="66">
        <v>1</v>
      </c>
      <c r="L278" s="1229" t="s">
        <v>10866</v>
      </c>
      <c r="M278" s="51"/>
      <c r="N278" s="52"/>
      <c r="O278" s="25"/>
      <c r="P278" s="25"/>
    </row>
    <row r="279" spans="1:16" ht="30" customHeight="1">
      <c r="A279" s="61"/>
      <c r="B279" s="62"/>
      <c r="C279" s="63"/>
      <c r="D279" s="1219" t="s">
        <v>10890</v>
      </c>
      <c r="E279" s="65"/>
      <c r="F279" s="66">
        <f t="shared" si="5"/>
        <v>407.79</v>
      </c>
      <c r="G279" s="66"/>
      <c r="H279" s="1220"/>
      <c r="I279" s="66"/>
      <c r="J279" s="66">
        <v>407.79</v>
      </c>
      <c r="K279" s="66">
        <v>1</v>
      </c>
      <c r="L279" s="1229" t="s">
        <v>10866</v>
      </c>
      <c r="M279" s="51"/>
      <c r="N279" s="52"/>
      <c r="O279" s="25"/>
      <c r="P279" s="25"/>
    </row>
    <row r="280" spans="1:16" ht="30" customHeight="1">
      <c r="A280" s="61"/>
      <c r="B280" s="62"/>
      <c r="C280" s="63"/>
      <c r="D280" s="1219" t="s">
        <v>10890</v>
      </c>
      <c r="E280" s="65"/>
      <c r="F280" s="66">
        <f t="shared" ref="F280:F295" si="6">J280*K280</f>
        <v>60.03</v>
      </c>
      <c r="G280" s="66"/>
      <c r="H280" s="1220"/>
      <c r="I280" s="66"/>
      <c r="J280" s="66">
        <v>60.03</v>
      </c>
      <c r="K280" s="66">
        <v>1</v>
      </c>
      <c r="L280" s="1229" t="s">
        <v>10866</v>
      </c>
      <c r="M280" s="51"/>
      <c r="N280" s="52"/>
      <c r="O280" s="25"/>
      <c r="P280" s="25"/>
    </row>
    <row r="281" spans="1:16" ht="30" customHeight="1">
      <c r="A281" s="61"/>
      <c r="B281" s="62"/>
      <c r="C281" s="63"/>
      <c r="D281" s="1219" t="s">
        <v>10890</v>
      </c>
      <c r="E281" s="65"/>
      <c r="F281" s="66">
        <f t="shared" si="6"/>
        <v>62.08</v>
      </c>
      <c r="G281" s="66"/>
      <c r="H281" s="1220"/>
      <c r="I281" s="66"/>
      <c r="J281" s="66">
        <v>62.08</v>
      </c>
      <c r="K281" s="66">
        <v>1</v>
      </c>
      <c r="L281" s="1229" t="s">
        <v>10866</v>
      </c>
      <c r="M281" s="51"/>
      <c r="N281" s="52"/>
      <c r="O281" s="25"/>
      <c r="P281" s="25"/>
    </row>
    <row r="282" spans="1:16" ht="30" customHeight="1">
      <c r="A282" s="61"/>
      <c r="B282" s="62"/>
      <c r="C282" s="63"/>
      <c r="D282" s="1219" t="s">
        <v>10891</v>
      </c>
      <c r="E282" s="65"/>
      <c r="F282" s="66">
        <f t="shared" si="6"/>
        <v>418.8</v>
      </c>
      <c r="G282" s="66"/>
      <c r="H282" s="1220"/>
      <c r="I282" s="66"/>
      <c r="J282" s="66">
        <v>418.8</v>
      </c>
      <c r="K282" s="66">
        <v>1</v>
      </c>
      <c r="L282" s="1229" t="s">
        <v>10866</v>
      </c>
      <c r="M282" s="51"/>
      <c r="N282" s="52"/>
      <c r="O282" s="25"/>
      <c r="P282" s="25"/>
    </row>
    <row r="283" spans="1:16" ht="30" customHeight="1">
      <c r="A283" s="61"/>
      <c r="B283" s="62"/>
      <c r="C283" s="63"/>
      <c r="D283" s="1219" t="s">
        <v>10891</v>
      </c>
      <c r="E283" s="65"/>
      <c r="F283" s="66">
        <f t="shared" si="6"/>
        <v>92.71</v>
      </c>
      <c r="G283" s="66"/>
      <c r="H283" s="1220"/>
      <c r="I283" s="66"/>
      <c r="J283" s="66">
        <v>92.71</v>
      </c>
      <c r="K283" s="66">
        <v>1</v>
      </c>
      <c r="L283" s="1229" t="s">
        <v>10866</v>
      </c>
      <c r="M283" s="51"/>
      <c r="N283" s="52"/>
      <c r="O283" s="25"/>
      <c r="P283" s="25"/>
    </row>
    <row r="284" spans="1:16" ht="30" customHeight="1">
      <c r="A284" s="61"/>
      <c r="B284" s="62"/>
      <c r="C284" s="63"/>
      <c r="D284" s="1219" t="s">
        <v>10892</v>
      </c>
      <c r="E284" s="65"/>
      <c r="F284" s="1112">
        <f t="shared" si="6"/>
        <v>24.1</v>
      </c>
      <c r="G284" s="66"/>
      <c r="H284" s="1220"/>
      <c r="I284" s="66"/>
      <c r="J284" s="66">
        <v>24.1</v>
      </c>
      <c r="K284" s="66">
        <v>1</v>
      </c>
      <c r="L284" s="1230"/>
      <c r="M284" s="51"/>
      <c r="N284" s="52"/>
      <c r="O284" s="25"/>
      <c r="P284" s="25"/>
    </row>
    <row r="285" spans="1:16" ht="30" customHeight="1">
      <c r="A285" s="61"/>
      <c r="B285" s="62"/>
      <c r="C285" s="63"/>
      <c r="D285" s="1219" t="s">
        <v>10893</v>
      </c>
      <c r="E285" s="65"/>
      <c r="F285" s="1112">
        <f t="shared" si="6"/>
        <v>2118.02</v>
      </c>
      <c r="G285" s="66"/>
      <c r="H285" s="1220"/>
      <c r="I285" s="66"/>
      <c r="J285" s="66">
        <v>2118.02</v>
      </c>
      <c r="K285" s="66">
        <v>1</v>
      </c>
      <c r="L285" s="1231"/>
      <c r="M285" s="51"/>
      <c r="N285" s="52"/>
      <c r="O285" s="25"/>
      <c r="P285" s="25"/>
    </row>
    <row r="286" spans="1:16" ht="30" customHeight="1">
      <c r="A286" s="61"/>
      <c r="B286" s="62"/>
      <c r="C286" s="63"/>
      <c r="D286" s="1219" t="s">
        <v>10894</v>
      </c>
      <c r="E286" s="65"/>
      <c r="F286" s="1112">
        <f t="shared" si="6"/>
        <v>2283.48</v>
      </c>
      <c r="G286" s="66"/>
      <c r="H286" s="1220"/>
      <c r="I286" s="66"/>
      <c r="J286" s="66">
        <v>2283.48</v>
      </c>
      <c r="K286" s="66">
        <v>1</v>
      </c>
      <c r="L286" s="1231"/>
      <c r="M286" s="51"/>
      <c r="N286" s="52"/>
      <c r="O286" s="25"/>
      <c r="P286" s="25"/>
    </row>
    <row r="287" spans="1:16" ht="30" customHeight="1">
      <c r="A287" s="61"/>
      <c r="B287" s="62"/>
      <c r="C287" s="63"/>
      <c r="D287" s="1219" t="s">
        <v>10895</v>
      </c>
      <c r="E287" s="65"/>
      <c r="F287" s="66">
        <f t="shared" si="6"/>
        <v>324.89999999999998</v>
      </c>
      <c r="G287" s="66"/>
      <c r="H287" s="1220"/>
      <c r="I287" s="66"/>
      <c r="J287" s="66">
        <v>162.44999999999999</v>
      </c>
      <c r="K287" s="66">
        <v>2</v>
      </c>
      <c r="L287" s="1229" t="s">
        <v>10866</v>
      </c>
      <c r="M287" s="51"/>
      <c r="N287" s="52"/>
      <c r="O287" s="25"/>
      <c r="P287" s="25"/>
    </row>
    <row r="288" spans="1:16" ht="30" customHeight="1">
      <c r="A288" s="61"/>
      <c r="B288" s="62"/>
      <c r="C288" s="63"/>
      <c r="D288" s="1219" t="s">
        <v>10895</v>
      </c>
      <c r="E288" s="65"/>
      <c r="F288" s="66">
        <f t="shared" si="6"/>
        <v>855.68</v>
      </c>
      <c r="G288" s="66"/>
      <c r="H288" s="1220"/>
      <c r="I288" s="66"/>
      <c r="J288" s="66">
        <v>213.92</v>
      </c>
      <c r="K288" s="66">
        <v>4</v>
      </c>
      <c r="L288" s="1229" t="s">
        <v>10866</v>
      </c>
      <c r="M288" s="51"/>
      <c r="N288" s="52"/>
      <c r="O288" s="25"/>
      <c r="P288" s="25"/>
    </row>
    <row r="289" spans="1:16" ht="30" customHeight="1">
      <c r="A289" s="61"/>
      <c r="B289" s="62"/>
      <c r="C289" s="63"/>
      <c r="D289" s="1219" t="s">
        <v>10896</v>
      </c>
      <c r="E289" s="65"/>
      <c r="F289" s="66">
        <f t="shared" si="6"/>
        <v>954.66000000000008</v>
      </c>
      <c r="G289" s="66"/>
      <c r="H289" s="1220"/>
      <c r="I289" s="66"/>
      <c r="J289" s="66">
        <v>159.11000000000001</v>
      </c>
      <c r="K289" s="66">
        <v>6</v>
      </c>
      <c r="L289" s="1229" t="s">
        <v>10866</v>
      </c>
      <c r="M289" s="51"/>
      <c r="N289" s="52"/>
      <c r="O289" s="25"/>
      <c r="P289" s="25"/>
    </row>
    <row r="290" spans="1:16" ht="30" customHeight="1">
      <c r="A290" s="61"/>
      <c r="B290" s="62"/>
      <c r="C290" s="63"/>
      <c r="D290" s="1219" t="s">
        <v>10897</v>
      </c>
      <c r="E290" s="65"/>
      <c r="F290" s="66">
        <f t="shared" si="6"/>
        <v>844.72</v>
      </c>
      <c r="G290" s="66"/>
      <c r="H290" s="1220"/>
      <c r="I290" s="66"/>
      <c r="J290" s="66">
        <v>105.59</v>
      </c>
      <c r="K290" s="66">
        <v>8</v>
      </c>
      <c r="L290" s="1229" t="s">
        <v>10866</v>
      </c>
      <c r="M290" s="51"/>
      <c r="N290" s="52"/>
      <c r="O290" s="25"/>
      <c r="P290" s="25"/>
    </row>
    <row r="291" spans="1:16" ht="30" customHeight="1">
      <c r="A291" s="61"/>
      <c r="B291" s="62"/>
      <c r="C291" s="63"/>
      <c r="D291" s="1219" t="s">
        <v>10897</v>
      </c>
      <c r="E291" s="65"/>
      <c r="F291" s="66">
        <f t="shared" si="6"/>
        <v>641.36</v>
      </c>
      <c r="G291" s="66"/>
      <c r="H291" s="1220"/>
      <c r="I291" s="66"/>
      <c r="J291" s="66">
        <v>160.34</v>
      </c>
      <c r="K291" s="66">
        <v>4</v>
      </c>
      <c r="L291" s="1229" t="s">
        <v>10866</v>
      </c>
      <c r="M291" s="51"/>
      <c r="N291" s="52"/>
      <c r="O291" s="25"/>
      <c r="P291" s="25"/>
    </row>
    <row r="292" spans="1:16" ht="30" customHeight="1">
      <c r="A292" s="61"/>
      <c r="B292" s="62"/>
      <c r="C292" s="63"/>
      <c r="D292" s="1219" t="s">
        <v>10898</v>
      </c>
      <c r="E292" s="65"/>
      <c r="F292" s="66">
        <f t="shared" si="6"/>
        <v>1785.72</v>
      </c>
      <c r="G292" s="66"/>
      <c r="H292" s="1220"/>
      <c r="I292" s="66"/>
      <c r="J292" s="66">
        <v>297.62</v>
      </c>
      <c r="K292" s="66">
        <v>6</v>
      </c>
      <c r="L292" s="1229" t="s">
        <v>10866</v>
      </c>
      <c r="M292" s="51"/>
      <c r="N292" s="52"/>
      <c r="O292" s="25"/>
      <c r="P292" s="25"/>
    </row>
    <row r="293" spans="1:16" ht="30" customHeight="1">
      <c r="A293" s="61"/>
      <c r="B293" s="62"/>
      <c r="C293" s="63"/>
      <c r="D293" s="1219" t="s">
        <v>10899</v>
      </c>
      <c r="E293" s="65"/>
      <c r="F293" s="66">
        <f t="shared" si="6"/>
        <v>530.88</v>
      </c>
      <c r="G293" s="66"/>
      <c r="H293" s="1220"/>
      <c r="I293" s="66"/>
      <c r="J293" s="66">
        <v>265.44</v>
      </c>
      <c r="K293" s="66">
        <v>2</v>
      </c>
      <c r="L293" s="1229" t="s">
        <v>10866</v>
      </c>
      <c r="M293" s="51"/>
      <c r="N293" s="52"/>
      <c r="O293" s="25"/>
      <c r="P293" s="25"/>
    </row>
    <row r="294" spans="1:16" ht="30" customHeight="1">
      <c r="A294" s="61"/>
      <c r="B294" s="62"/>
      <c r="C294" s="63"/>
      <c r="D294" s="1219" t="s">
        <v>10900</v>
      </c>
      <c r="E294" s="65"/>
      <c r="F294" s="66">
        <f t="shared" si="6"/>
        <v>1139.24</v>
      </c>
      <c r="G294" s="66"/>
      <c r="H294" s="1220"/>
      <c r="I294" s="66"/>
      <c r="J294" s="66">
        <v>284.81</v>
      </c>
      <c r="K294" s="66">
        <v>4</v>
      </c>
      <c r="L294" s="1229" t="s">
        <v>10866</v>
      </c>
      <c r="M294" s="51"/>
      <c r="N294" s="52"/>
      <c r="O294" s="25"/>
      <c r="P294" s="25"/>
    </row>
    <row r="295" spans="1:16" ht="30" customHeight="1">
      <c r="A295" s="61"/>
      <c r="B295" s="62"/>
      <c r="C295" s="63"/>
      <c r="D295" s="1219" t="s">
        <v>10901</v>
      </c>
      <c r="E295" s="65"/>
      <c r="F295" s="66">
        <f t="shared" si="6"/>
        <v>127.91</v>
      </c>
      <c r="G295" s="66"/>
      <c r="H295" s="1220"/>
      <c r="I295" s="66"/>
      <c r="J295" s="66">
        <v>127.91</v>
      </c>
      <c r="K295" s="66">
        <v>1</v>
      </c>
      <c r="L295" s="1229" t="s">
        <v>10866</v>
      </c>
      <c r="M295" s="51"/>
      <c r="N295" s="52"/>
      <c r="O295" s="25"/>
      <c r="P295" s="25"/>
    </row>
    <row r="296" spans="1:16" ht="30" customHeight="1">
      <c r="A296" s="61"/>
      <c r="B296" s="62"/>
      <c r="C296" s="63"/>
      <c r="D296" s="1219"/>
      <c r="E296" s="65"/>
      <c r="F296" s="66"/>
      <c r="G296" s="66"/>
      <c r="H296" s="1220"/>
      <c r="I296" s="66"/>
      <c r="J296" s="66"/>
      <c r="K296" s="66"/>
      <c r="L296" s="1229"/>
      <c r="M296" s="51"/>
      <c r="N296" s="52"/>
      <c r="O296" s="25"/>
      <c r="P296" s="25"/>
    </row>
    <row r="297" spans="1:16" ht="30" customHeight="1">
      <c r="A297" s="61" t="s">
        <v>106</v>
      </c>
      <c r="B297" s="62" t="s">
        <v>26</v>
      </c>
      <c r="C297" s="63" t="s">
        <v>107</v>
      </c>
      <c r="D297" s="1219" t="str">
        <f>IFERROR(UPPER(IF(B297="CPU",VLOOKUP(C297,#REF!,2,0),IF(B297="SINAPI",VLOOKUP(C297,#REF!,2,0),IF(B297="EDIF",VLOOKUP(C297,#REF!,2,0),IF(B297="CDHU",VLOOKUP(C297,#REF!,2,0),IF(B297="FDE",VLOOKUP(C297,'FDE 10-23 '!$A$4:$E$3180,2,0),IF(B297="INFRA",VLOOKUP(C297,#REF!,2,0),""))))))),"")</f>
        <v>TELA ARMADURA (MALHA ACO CA 60 FYK= 600 M PA)</v>
      </c>
      <c r="E297" s="65" t="str">
        <f>VLOOKUP(C297,'FDE 10-23 '!$A$4:$E$3180,3,0)</f>
        <v>KG</v>
      </c>
      <c r="F297" s="1112">
        <v>6456</v>
      </c>
      <c r="G297" s="66"/>
      <c r="H297" s="1220"/>
      <c r="I297" s="66"/>
      <c r="J297" s="66"/>
      <c r="K297" s="66"/>
      <c r="L297" s="1222"/>
      <c r="M297" s="51"/>
      <c r="N297" s="52"/>
      <c r="O297" s="25"/>
      <c r="P297" s="25"/>
    </row>
    <row r="298" spans="1:16" ht="30" customHeight="1">
      <c r="A298" s="61"/>
      <c r="B298" s="62"/>
      <c r="C298" s="63"/>
      <c r="D298" s="1219" t="s">
        <v>10902</v>
      </c>
      <c r="E298" s="65"/>
      <c r="F298" s="66"/>
      <c r="G298" s="66"/>
      <c r="H298" s="1220"/>
      <c r="I298" s="66"/>
      <c r="J298" s="66"/>
      <c r="K298" s="66"/>
      <c r="L298" s="1222"/>
      <c r="M298" s="51"/>
      <c r="N298" s="52"/>
      <c r="O298" s="25"/>
      <c r="P298" s="25"/>
    </row>
    <row r="299" spans="1:16" ht="30" customHeight="1">
      <c r="A299" s="61"/>
      <c r="B299" s="62"/>
      <c r="C299" s="63"/>
      <c r="D299" s="1219"/>
      <c r="E299" s="65"/>
      <c r="F299" s="66"/>
      <c r="G299" s="66"/>
      <c r="H299" s="1220"/>
      <c r="I299" s="66"/>
      <c r="J299" s="66"/>
      <c r="K299" s="66"/>
      <c r="L299" s="1222"/>
      <c r="M299" s="51"/>
      <c r="N299" s="52"/>
      <c r="O299" s="25"/>
      <c r="P299" s="25"/>
    </row>
    <row r="300" spans="1:16" ht="30" customHeight="1">
      <c r="A300" s="61" t="s">
        <v>108</v>
      </c>
      <c r="B300" s="62" t="s">
        <v>26</v>
      </c>
      <c r="C300" s="63" t="s">
        <v>109</v>
      </c>
      <c r="D300" s="1219" t="str">
        <f>IFERROR(UPPER(IF(B300="CPU",VLOOKUP(C300,#REF!,2,0),IF(B300="SINAPI",VLOOKUP(C300,#REF!,2,0),IF(B300="EDIF",VLOOKUP(C300,#REF!,2,0),IF(B300="CDHU",VLOOKUP(C300,#REF!,2,0),IF(B300="FDE",VLOOKUP(C300,'FDE 10-23 '!$A$4:$E$3180,2,0),IF(B300="INFRA",VLOOKUP(C300,#REF!,2,0),""))))))),"")</f>
        <v>INSERTS EM CANTONEIRAS OU CHAPA AÇO A-36 P/SOLIDARIZAÇÃO DE VIGAS E PILARES</v>
      </c>
      <c r="E300" s="65" t="str">
        <f>VLOOKUP(C300,'FDE 10-23 '!$A$4:$E$3180,3,0)</f>
        <v>KG</v>
      </c>
      <c r="F300" s="1112">
        <v>885.9</v>
      </c>
      <c r="G300" s="66"/>
      <c r="H300" s="1220"/>
      <c r="I300" s="66"/>
      <c r="J300" s="66"/>
      <c r="K300" s="66"/>
      <c r="L300" s="1222"/>
      <c r="M300" s="51"/>
      <c r="N300" s="52"/>
      <c r="O300" s="25"/>
      <c r="P300" s="25"/>
    </row>
    <row r="301" spans="1:16" ht="30" customHeight="1">
      <c r="A301" s="61"/>
      <c r="B301" s="62"/>
      <c r="C301" s="63"/>
      <c r="D301" s="1219" t="s">
        <v>10903</v>
      </c>
      <c r="E301" s="65"/>
      <c r="F301" s="66"/>
      <c r="G301" s="66"/>
      <c r="H301" s="1220"/>
      <c r="I301" s="66"/>
      <c r="J301" s="66"/>
      <c r="K301" s="66"/>
      <c r="L301" s="1222"/>
      <c r="M301" s="51"/>
      <c r="N301" s="52"/>
      <c r="O301" s="25"/>
      <c r="P301" s="25"/>
    </row>
    <row r="302" spans="1:16" ht="30" customHeight="1">
      <c r="A302" s="61"/>
      <c r="B302" s="62"/>
      <c r="C302" s="63"/>
      <c r="D302" s="1219"/>
      <c r="E302" s="65"/>
      <c r="F302" s="66"/>
      <c r="G302" s="66"/>
      <c r="H302" s="1220"/>
      <c r="I302" s="66"/>
      <c r="J302" s="66"/>
      <c r="K302" s="66"/>
      <c r="L302" s="1222"/>
      <c r="M302" s="51"/>
      <c r="N302" s="52"/>
      <c r="O302" s="25"/>
      <c r="P302" s="25"/>
    </row>
    <row r="303" spans="1:16" ht="30" customHeight="1">
      <c r="A303" s="61" t="s">
        <v>110</v>
      </c>
      <c r="B303" s="62" t="s">
        <v>26</v>
      </c>
      <c r="C303" s="63" t="s">
        <v>111</v>
      </c>
      <c r="D303" s="1219" t="str">
        <f>IFERROR(UPPER(IF(B303="CPU",VLOOKUP(C303,#REF!,2,0),IF(B303="SINAPI",VLOOKUP(C303,#REF!,2,0),IF(B303="EDIF",VLOOKUP(C303,#REF!,2,0),IF(B303="CDHU",VLOOKUP(C303,#REF!,2,0),IF(B303="FDE",VLOOKUP(C303,'FDE 10-23 '!$A$4:$E$3180,2,0),IF(B303="INFRA",VLOOKUP(C303,#REF!,2,0),""))))))),"")</f>
        <v>CONJUNTO DE LUVAS E PINO ROSCAVEL DN 12,5MM P/SOLIDARIZAÇÃO DE VIGA FORNEC. E INST.</v>
      </c>
      <c r="E303" s="65" t="str">
        <f>VLOOKUP(C303,'FDE 10-23 '!$A$4:$E$3180,3,0)</f>
        <v>UN</v>
      </c>
      <c r="F303" s="1112">
        <v>24</v>
      </c>
      <c r="G303" s="66"/>
      <c r="H303" s="1220"/>
      <c r="I303" s="66"/>
      <c r="J303" s="66"/>
      <c r="K303" s="66"/>
      <c r="L303" s="1222"/>
      <c r="M303" s="51"/>
      <c r="N303" s="52"/>
      <c r="O303" s="25"/>
      <c r="P303" s="25"/>
    </row>
    <row r="304" spans="1:16" ht="30" customHeight="1">
      <c r="A304" s="61"/>
      <c r="B304" s="62"/>
      <c r="C304" s="63"/>
      <c r="D304" s="1219" t="s">
        <v>10904</v>
      </c>
      <c r="E304" s="65"/>
      <c r="F304" s="66"/>
      <c r="G304" s="66"/>
      <c r="H304" s="1220"/>
      <c r="I304" s="66"/>
      <c r="J304" s="66"/>
      <c r="K304" s="66"/>
      <c r="L304" s="1222"/>
      <c r="M304" s="51"/>
      <c r="N304" s="52"/>
      <c r="O304" s="25"/>
      <c r="P304" s="25"/>
    </row>
    <row r="305" spans="1:16" ht="30" customHeight="1">
      <c r="A305" s="61"/>
      <c r="B305" s="62"/>
      <c r="C305" s="63"/>
      <c r="D305" s="1219"/>
      <c r="E305" s="65"/>
      <c r="F305" s="66"/>
      <c r="G305" s="66"/>
      <c r="H305" s="1220"/>
      <c r="I305" s="66"/>
      <c r="J305" s="66"/>
      <c r="K305" s="66"/>
      <c r="L305" s="1222"/>
      <c r="M305" s="51"/>
      <c r="N305" s="52"/>
      <c r="O305" s="25"/>
      <c r="P305" s="25"/>
    </row>
    <row r="306" spans="1:16" ht="30" customHeight="1">
      <c r="A306" s="61" t="s">
        <v>112</v>
      </c>
      <c r="B306" s="62" t="s">
        <v>26</v>
      </c>
      <c r="C306" s="63" t="s">
        <v>113</v>
      </c>
      <c r="D306" s="1219" t="str">
        <f>IFERROR(UPPER(IF(B306="CPU",VLOOKUP(C306,#REF!,2,0),IF(B306="SINAPI",VLOOKUP(C306,#REF!,2,0),IF(B306="EDIF",VLOOKUP(C306,#REF!,2,0),IF(B306="CDHU",VLOOKUP(C306,#REF!,2,0),IF(B306="FDE",VLOOKUP(C306,'FDE 10-23 '!$A$4:$E$3180,2,0),IF(B306="INFRA",VLOOKUP(C306,#REF!,2,0),""))))))),"")</f>
        <v>CONJUNTO DE LUVAS E PINO ROSCAVEL DN 20MM P/SOLIDARIZAÇÃO DE VIGA FORNEC. E INST.</v>
      </c>
      <c r="E306" s="65" t="str">
        <f>VLOOKUP(C306,'FDE 10-23 '!$A$4:$E$3180,3,0)</f>
        <v>UN</v>
      </c>
      <c r="F306" s="1112">
        <v>150</v>
      </c>
      <c r="G306" s="66"/>
      <c r="H306" s="1220"/>
      <c r="I306" s="66"/>
      <c r="J306" s="66"/>
      <c r="K306" s="66"/>
      <c r="L306" s="1222"/>
      <c r="M306" s="51"/>
      <c r="N306" s="52"/>
      <c r="O306" s="25"/>
      <c r="P306" s="25"/>
    </row>
    <row r="307" spans="1:16" ht="30" customHeight="1">
      <c r="A307" s="61"/>
      <c r="B307" s="62"/>
      <c r="C307" s="63"/>
      <c r="D307" s="1219" t="s">
        <v>10904</v>
      </c>
      <c r="E307" s="65"/>
      <c r="F307" s="66"/>
      <c r="G307" s="66"/>
      <c r="H307" s="1220"/>
      <c r="I307" s="66"/>
      <c r="J307" s="66"/>
      <c r="K307" s="66"/>
      <c r="L307" s="1222"/>
      <c r="M307" s="51"/>
      <c r="N307" s="52"/>
      <c r="O307" s="25"/>
      <c r="P307" s="25"/>
    </row>
    <row r="308" spans="1:16" ht="30" customHeight="1">
      <c r="A308" s="61"/>
      <c r="B308" s="62"/>
      <c r="C308" s="63"/>
      <c r="D308" s="1219"/>
      <c r="E308" s="65"/>
      <c r="F308" s="66"/>
      <c r="G308" s="66"/>
      <c r="H308" s="1220"/>
      <c r="I308" s="66"/>
      <c r="J308" s="66"/>
      <c r="K308" s="66"/>
      <c r="L308" s="1222"/>
      <c r="M308" s="51"/>
      <c r="N308" s="52"/>
      <c r="O308" s="25"/>
      <c r="P308" s="25"/>
    </row>
    <row r="309" spans="1:16" ht="30" customHeight="1">
      <c r="A309" s="53" t="s">
        <v>114</v>
      </c>
      <c r="B309" s="54"/>
      <c r="C309" s="54" t="s">
        <v>115</v>
      </c>
      <c r="D309" s="1216" t="s">
        <v>81</v>
      </c>
      <c r="E309" s="56"/>
      <c r="F309" s="57"/>
      <c r="G309" s="57"/>
      <c r="H309" s="1217"/>
      <c r="I309" s="1217"/>
      <c r="J309" s="1217"/>
      <c r="K309" s="1217"/>
      <c r="L309" s="1218"/>
      <c r="M309" s="51"/>
      <c r="N309" s="52"/>
      <c r="O309" s="25"/>
      <c r="P309" s="25"/>
    </row>
    <row r="310" spans="1:16" ht="30" customHeight="1">
      <c r="A310" s="61" t="s">
        <v>116</v>
      </c>
      <c r="B310" s="62" t="s">
        <v>26</v>
      </c>
      <c r="C310" s="63" t="s">
        <v>117</v>
      </c>
      <c r="D310" s="1219" t="str">
        <f>IFERROR(UPPER(IF(B310="CPU",VLOOKUP(C310,#REF!,2,0),IF(B310="SINAPI",VLOOKUP(C310,#REF!,2,0),IF(B310="EDIF",VLOOKUP(C310,#REF!,2,0),IF(B310="CDHU",VLOOKUP(C310,#REF!,2,0),IF(B310="FDE",VLOOKUP(C310,'FDE 10-23 '!$A$4:$E$3180,2,0),IF(B310="INFRA",VLOOKUP(C310,#REF!,2,0),""))))))),"")</f>
        <v>CONCRETO DOSADO,BOMBEADO E LANCADO FCK 25 MPA</v>
      </c>
      <c r="E310" s="65" t="str">
        <f>VLOOKUP(C310,'FDE 10-23 '!$A$4:$E$3180,3,0)</f>
        <v>M3</v>
      </c>
      <c r="F310" s="1112">
        <f>F311</f>
        <v>195.6</v>
      </c>
      <c r="G310" s="66"/>
      <c r="H310" s="66"/>
      <c r="I310" s="66"/>
      <c r="J310" s="66"/>
      <c r="K310" s="66"/>
      <c r="L310" s="1222"/>
      <c r="M310" s="51"/>
      <c r="N310" s="52"/>
      <c r="O310" s="25"/>
      <c r="P310" s="25"/>
    </row>
    <row r="311" spans="1:16" ht="30" customHeight="1">
      <c r="A311" s="61"/>
      <c r="B311" s="62"/>
      <c r="C311" s="63"/>
      <c r="D311" s="1219"/>
      <c r="E311" s="65"/>
      <c r="F311" s="66">
        <f>G311*J311</f>
        <v>195.6</v>
      </c>
      <c r="G311" s="66">
        <v>0.08</v>
      </c>
      <c r="H311" s="1220"/>
      <c r="I311" s="66"/>
      <c r="J311" s="66">
        <f>F313+F315+F317</f>
        <v>2445</v>
      </c>
      <c r="K311" s="66"/>
      <c r="L311" s="1222"/>
      <c r="M311" s="51"/>
      <c r="N311" s="52"/>
      <c r="O311" s="25"/>
      <c r="P311" s="25"/>
    </row>
    <row r="312" spans="1:16" ht="30" customHeight="1">
      <c r="A312" s="61"/>
      <c r="B312" s="62"/>
      <c r="C312" s="63"/>
      <c r="D312" s="1219" t="s">
        <v>10905</v>
      </c>
      <c r="E312" s="65"/>
      <c r="F312" s="66"/>
      <c r="G312" s="66"/>
      <c r="H312" s="1220"/>
      <c r="I312" s="66"/>
      <c r="J312" s="66"/>
      <c r="K312" s="66"/>
      <c r="L312" s="1222"/>
      <c r="M312" s="51"/>
      <c r="N312" s="52"/>
      <c r="O312" s="25"/>
      <c r="P312" s="25"/>
    </row>
    <row r="313" spans="1:16" ht="30" customHeight="1">
      <c r="A313" s="61" t="s">
        <v>118</v>
      </c>
      <c r="B313" s="62" t="s">
        <v>26</v>
      </c>
      <c r="C313" s="63" t="s">
        <v>119</v>
      </c>
      <c r="D313" s="1219" t="str">
        <f>IFERROR(UPPER(IF(B313="CPU",VLOOKUP(C313,#REF!,2,0),IF(B313="SINAPI",VLOOKUP(C313,#REF!,2,0),IF(B313="EDIF",VLOOKUP(C313,#REF!,2,0),IF(B313="CDHU",VLOOKUP(C313,#REF!,2,0),IF(B313="FDE",VLOOKUP(C313,'FDE 10-23 '!$A$4:$E$3180,2,0),IF(B313="INFRA",VLOOKUP(C313,#REF!,2,0),""))))))),"")</f>
        <v>LAJE PRE-FABRICADA PAINEL ALVEOLAR CONCRETO PROTENDIDO H15-100KGF/M2</v>
      </c>
      <c r="E313" s="65" t="str">
        <f>VLOOKUP(C313,'FDE 10-23 '!$A$4:$E$3180,3,0)</f>
        <v>M2</v>
      </c>
      <c r="F313" s="1112">
        <v>1360.8</v>
      </c>
      <c r="G313" s="66"/>
      <c r="H313" s="1220"/>
      <c r="I313" s="66"/>
      <c r="J313" s="66"/>
      <c r="K313" s="66"/>
      <c r="L313" s="1222"/>
      <c r="M313" s="51"/>
      <c r="N313" s="52"/>
      <c r="O313" s="25"/>
      <c r="P313" s="25"/>
    </row>
    <row r="314" spans="1:16" ht="30" customHeight="1">
      <c r="A314" s="61"/>
      <c r="B314" s="62"/>
      <c r="C314" s="63"/>
      <c r="D314" s="1219" t="s">
        <v>10906</v>
      </c>
      <c r="E314" s="65"/>
      <c r="F314" s="66"/>
      <c r="G314" s="66"/>
      <c r="H314" s="1220"/>
      <c r="I314" s="66"/>
      <c r="J314" s="66"/>
      <c r="K314" s="66"/>
      <c r="L314" s="1222"/>
      <c r="M314" s="51"/>
      <c r="N314" s="52"/>
      <c r="O314" s="25"/>
      <c r="P314" s="25"/>
    </row>
    <row r="315" spans="1:16" ht="30" customHeight="1">
      <c r="A315" s="61" t="s">
        <v>120</v>
      </c>
      <c r="B315" s="62" t="s">
        <v>26</v>
      </c>
      <c r="C315" s="63" t="s">
        <v>121</v>
      </c>
      <c r="D315" s="1219" t="str">
        <f>IFERROR(UPPER(IF(B315="CPU",VLOOKUP(C315,#REF!,2,0),IF(B315="SINAPI",VLOOKUP(C315,#REF!,2,0),IF(B315="EDIF",VLOOKUP(C315,#REF!,2,0),IF(B315="CDHU",VLOOKUP(C315,#REF!,2,0),IF(B315="FDE",VLOOKUP(C315,'FDE 10-23 '!$A$4:$E$3180,2,0),IF(B315="INFRA",VLOOKUP(C315,#REF!,2,0),""))))))),"")</f>
        <v>LAJE PRE-FABRICADA PAINEL ALVEOLAR CONCRETO PROTENDIDO H15-300KGF/M2</v>
      </c>
      <c r="E315" s="65" t="str">
        <f>VLOOKUP(C315,'FDE 10-23 '!$A$4:$E$3180,3,0)</f>
        <v>M2</v>
      </c>
      <c r="F315" s="1112">
        <v>794</v>
      </c>
      <c r="G315" s="66"/>
      <c r="H315" s="1220">
        <f>F313+F315+F317</f>
        <v>2445</v>
      </c>
      <c r="I315" s="66"/>
      <c r="J315" s="66"/>
      <c r="K315" s="66"/>
      <c r="L315" s="1222"/>
      <c r="M315" s="51"/>
      <c r="N315" s="52"/>
      <c r="O315" s="25"/>
      <c r="P315" s="25"/>
    </row>
    <row r="316" spans="1:16" ht="30" customHeight="1">
      <c r="A316" s="61"/>
      <c r="B316" s="62"/>
      <c r="C316" s="63"/>
      <c r="D316" s="1219" t="s">
        <v>10907</v>
      </c>
      <c r="E316" s="65"/>
      <c r="F316" s="1112"/>
      <c r="G316" s="66"/>
      <c r="H316" s="1220"/>
      <c r="I316" s="66"/>
      <c r="J316" s="66"/>
      <c r="K316" s="66"/>
      <c r="L316" s="1222"/>
      <c r="M316" s="51"/>
      <c r="N316" s="52"/>
      <c r="O316" s="25"/>
      <c r="P316" s="25"/>
    </row>
    <row r="317" spans="1:16" ht="30" customHeight="1">
      <c r="A317" s="61" t="s">
        <v>122</v>
      </c>
      <c r="B317" s="62" t="s">
        <v>26</v>
      </c>
      <c r="C317" s="63" t="s">
        <v>123</v>
      </c>
      <c r="D317" s="1219" t="str">
        <f>IFERROR(UPPER(IF(B317="CPU",VLOOKUP(C317,#REF!,2,0),IF(B317="SINAPI",VLOOKUP(C317,#REF!,2,0),IF(B317="EDIF",VLOOKUP(C317,#REF!,2,0),IF(B317="CDHU",VLOOKUP(C317,#REF!,2,0),IF(B317="FDE",VLOOKUP(C317,'FDE 10-23 '!$A$4:$E$3180,2,0),IF(B317="INFRA",VLOOKUP(C317,#REF!,2,0),""))))))),"")</f>
        <v>LAJE PRE-FABRICADA PAINEL ALVEOLAR CONCRETO PROTENDIDO H15-500KGF/M2</v>
      </c>
      <c r="E317" s="65" t="str">
        <f>VLOOKUP(C317,'FDE 10-23 '!$A$4:$E$3180,3,0)</f>
        <v>M2</v>
      </c>
      <c r="F317" s="1112">
        <v>290.2</v>
      </c>
      <c r="G317" s="66"/>
      <c r="H317" s="1220">
        <f>H315*0.1</f>
        <v>244.5</v>
      </c>
      <c r="I317" s="66"/>
      <c r="J317" s="66"/>
      <c r="K317" s="66"/>
      <c r="L317" s="1222"/>
      <c r="M317" s="51"/>
      <c r="N317" s="52"/>
      <c r="O317" s="25"/>
      <c r="P317" s="25"/>
    </row>
    <row r="318" spans="1:16" ht="30" customHeight="1">
      <c r="A318" s="61"/>
      <c r="B318" s="62"/>
      <c r="C318" s="63"/>
      <c r="D318" s="1219" t="s">
        <v>10907</v>
      </c>
      <c r="E318" s="65"/>
      <c r="F318" s="66"/>
      <c r="G318" s="66"/>
      <c r="H318" s="1220"/>
      <c r="I318" s="66"/>
      <c r="J318" s="66"/>
      <c r="K318" s="66"/>
      <c r="L318" s="1222"/>
      <c r="M318" s="51"/>
      <c r="N318" s="52"/>
      <c r="O318" s="25"/>
      <c r="P318" s="25"/>
    </row>
    <row r="319" spans="1:16" ht="30" customHeight="1">
      <c r="A319" s="61"/>
      <c r="B319" s="62"/>
      <c r="C319" s="63"/>
      <c r="D319" s="1219"/>
      <c r="E319" s="65"/>
      <c r="F319" s="66"/>
      <c r="G319" s="66"/>
      <c r="H319" s="1220"/>
      <c r="I319" s="66"/>
      <c r="J319" s="66"/>
      <c r="K319" s="66"/>
      <c r="L319" s="1222"/>
      <c r="M319" s="51"/>
      <c r="N319" s="52"/>
      <c r="O319" s="25"/>
      <c r="P319" s="25"/>
    </row>
    <row r="320" spans="1:16" ht="30" customHeight="1">
      <c r="A320" s="61" t="s">
        <v>124</v>
      </c>
      <c r="B320" s="62" t="s">
        <v>26</v>
      </c>
      <c r="C320" s="63" t="s">
        <v>125</v>
      </c>
      <c r="D320" s="1219" t="str">
        <f>IFERROR(UPPER(IF(B320="CPU",VLOOKUP(C320,#REF!,2,0),IF(B320="SINAPI",VLOOKUP(C320,#REF!,2,0),IF(B320="EDIF",VLOOKUP(C320,#REF!,2,0),IF(B320="CDHU",VLOOKUP(C320,#REF!,2,0),IF(B320="FDE",VLOOKUP(C320,'FDE 10-23 '!$A$4:$E$3180,2,0),IF(B320="INFRA",VLOOKUP(C320,#REF!,2,0),""))))))),"")</f>
        <v>FORNEC. E MONTAGEM DE VIGA PROTENDIDA PRÉ-MOLDADA DE CONCRETO</v>
      </c>
      <c r="E320" s="65" t="str">
        <f>VLOOKUP(C320,'FDE 10-23 '!$A$4:$E$3180,3,0)</f>
        <v>M3</v>
      </c>
      <c r="F320" s="1112">
        <f>SUM(F321:F328)</f>
        <v>75.599999999999994</v>
      </c>
      <c r="G320" s="66"/>
      <c r="H320" s="1220"/>
      <c r="I320" s="66"/>
      <c r="J320" s="66"/>
      <c r="K320" s="66"/>
      <c r="L320" s="1222"/>
      <c r="M320" s="51"/>
      <c r="N320" s="52"/>
      <c r="O320" s="25"/>
      <c r="P320" s="25"/>
    </row>
    <row r="321" spans="1:16" ht="30" customHeight="1">
      <c r="A321" s="61"/>
      <c r="B321" s="62"/>
      <c r="C321" s="63"/>
      <c r="D321" s="1219" t="s">
        <v>10908</v>
      </c>
      <c r="E321" s="65"/>
      <c r="F321" s="66">
        <f t="shared" ref="F321:F328" si="7">J321*K321</f>
        <v>29.259999999999998</v>
      </c>
      <c r="G321" s="66"/>
      <c r="H321" s="1220"/>
      <c r="I321" s="66"/>
      <c r="J321" s="66">
        <v>2.09</v>
      </c>
      <c r="K321" s="66">
        <v>14</v>
      </c>
      <c r="L321" s="1222"/>
      <c r="M321" s="51"/>
      <c r="N321" s="52"/>
      <c r="O321" s="25"/>
      <c r="P321" s="25"/>
    </row>
    <row r="322" spans="1:16" ht="30" customHeight="1">
      <c r="A322" s="61"/>
      <c r="B322" s="62"/>
      <c r="C322" s="63"/>
      <c r="D322" s="1219" t="s">
        <v>10908</v>
      </c>
      <c r="E322" s="65"/>
      <c r="F322" s="66">
        <f t="shared" si="7"/>
        <v>17.079999999999998</v>
      </c>
      <c r="G322" s="66"/>
      <c r="H322" s="1220"/>
      <c r="I322" s="66"/>
      <c r="J322" s="66">
        <v>2.44</v>
      </c>
      <c r="K322" s="66">
        <v>7</v>
      </c>
      <c r="L322" s="1222"/>
      <c r="M322" s="51"/>
      <c r="N322" s="52"/>
      <c r="O322" s="25"/>
      <c r="P322" s="25"/>
    </row>
    <row r="323" spans="1:16" ht="30" customHeight="1">
      <c r="A323" s="61"/>
      <c r="B323" s="62"/>
      <c r="C323" s="63"/>
      <c r="D323" s="1219" t="s">
        <v>10909</v>
      </c>
      <c r="E323" s="65"/>
      <c r="F323" s="66">
        <f t="shared" si="7"/>
        <v>7.32</v>
      </c>
      <c r="G323" s="66"/>
      <c r="H323" s="1220"/>
      <c r="I323" s="66"/>
      <c r="J323" s="66">
        <v>2.44</v>
      </c>
      <c r="K323" s="66">
        <v>3</v>
      </c>
      <c r="L323" s="1222"/>
      <c r="M323" s="51"/>
      <c r="N323" s="52"/>
      <c r="O323" s="25"/>
      <c r="P323" s="25"/>
    </row>
    <row r="324" spans="1:16" ht="30" customHeight="1">
      <c r="A324" s="61"/>
      <c r="B324" s="62"/>
      <c r="C324" s="63"/>
      <c r="D324" s="1219" t="s">
        <v>10910</v>
      </c>
      <c r="E324" s="65"/>
      <c r="F324" s="66">
        <f t="shared" si="7"/>
        <v>4.88</v>
      </c>
      <c r="G324" s="66"/>
      <c r="H324" s="1220"/>
      <c r="I324" s="66"/>
      <c r="J324" s="66">
        <v>2.44</v>
      </c>
      <c r="K324" s="66">
        <v>2</v>
      </c>
      <c r="L324" s="1222"/>
      <c r="M324" s="51"/>
      <c r="N324" s="52"/>
      <c r="O324" s="25"/>
      <c r="P324" s="25"/>
    </row>
    <row r="325" spans="1:16" ht="30" customHeight="1">
      <c r="A325" s="61"/>
      <c r="B325" s="62"/>
      <c r="C325" s="63"/>
      <c r="D325" s="1219" t="s">
        <v>10911</v>
      </c>
      <c r="E325" s="65"/>
      <c r="F325" s="66">
        <f t="shared" si="7"/>
        <v>7.32</v>
      </c>
      <c r="G325" s="66"/>
      <c r="H325" s="1220"/>
      <c r="I325" s="66"/>
      <c r="J325" s="66">
        <v>2.44</v>
      </c>
      <c r="K325" s="66">
        <v>3</v>
      </c>
      <c r="L325" s="1222"/>
      <c r="M325" s="51"/>
      <c r="N325" s="52"/>
      <c r="O325" s="25"/>
      <c r="P325" s="25"/>
    </row>
    <row r="326" spans="1:16" ht="30" customHeight="1">
      <c r="A326" s="61"/>
      <c r="B326" s="62"/>
      <c r="C326" s="63"/>
      <c r="D326" s="1219" t="s">
        <v>10912</v>
      </c>
      <c r="E326" s="65"/>
      <c r="F326" s="66">
        <f t="shared" si="7"/>
        <v>2.44</v>
      </c>
      <c r="G326" s="66"/>
      <c r="H326" s="1220"/>
      <c r="I326" s="66"/>
      <c r="J326" s="66">
        <v>2.44</v>
      </c>
      <c r="K326" s="66">
        <v>1</v>
      </c>
      <c r="L326" s="1222"/>
      <c r="M326" s="51"/>
      <c r="N326" s="52"/>
      <c r="O326" s="25"/>
      <c r="P326" s="25"/>
    </row>
    <row r="327" spans="1:16" ht="30" customHeight="1">
      <c r="A327" s="61"/>
      <c r="B327" s="62"/>
      <c r="C327" s="63"/>
      <c r="D327" s="1219" t="s">
        <v>10912</v>
      </c>
      <c r="E327" s="65"/>
      <c r="F327" s="66">
        <f t="shared" si="7"/>
        <v>4.8600000000000003</v>
      </c>
      <c r="G327" s="66"/>
      <c r="H327" s="1220"/>
      <c r="I327" s="66"/>
      <c r="J327" s="66">
        <v>2.4300000000000002</v>
      </c>
      <c r="K327" s="66">
        <v>2</v>
      </c>
      <c r="L327" s="1222"/>
      <c r="M327" s="51"/>
      <c r="N327" s="52"/>
      <c r="O327" s="25"/>
      <c r="P327" s="25"/>
    </row>
    <row r="328" spans="1:16" ht="30" customHeight="1">
      <c r="A328" s="61"/>
      <c r="B328" s="62"/>
      <c r="C328" s="63"/>
      <c r="D328" s="1219" t="s">
        <v>10912</v>
      </c>
      <c r="E328" s="65"/>
      <c r="F328" s="66">
        <f t="shared" si="7"/>
        <v>2.44</v>
      </c>
      <c r="G328" s="66"/>
      <c r="H328" s="1220"/>
      <c r="I328" s="66"/>
      <c r="J328" s="66">
        <v>2.44</v>
      </c>
      <c r="K328" s="66">
        <v>1</v>
      </c>
      <c r="L328" s="1222"/>
      <c r="M328" s="51"/>
      <c r="N328" s="52"/>
      <c r="O328" s="25"/>
      <c r="P328" s="25"/>
    </row>
    <row r="329" spans="1:16" ht="30" customHeight="1">
      <c r="A329" s="61"/>
      <c r="B329" s="62"/>
      <c r="C329" s="63"/>
      <c r="D329" s="1219"/>
      <c r="E329" s="65"/>
      <c r="F329" s="66"/>
      <c r="G329" s="66"/>
      <c r="H329" s="1220"/>
      <c r="I329" s="66"/>
      <c r="J329" s="66"/>
      <c r="K329" s="66"/>
      <c r="L329" s="1222"/>
      <c r="M329" s="51"/>
      <c r="N329" s="52"/>
      <c r="O329" s="25"/>
      <c r="P329" s="25"/>
    </row>
    <row r="330" spans="1:16" ht="30" customHeight="1">
      <c r="A330" s="61" t="s">
        <v>126</v>
      </c>
      <c r="B330" s="62" t="s">
        <v>26</v>
      </c>
      <c r="C330" s="63" t="s">
        <v>127</v>
      </c>
      <c r="D330" s="1219" t="str">
        <f>IFERROR(UPPER(IF(B330="CPU",VLOOKUP(C330,#REF!,2,0),IF(B330="SINAPI",VLOOKUP(C330,#REF!,2,0),IF(B330="EDIF",VLOOKUP(C330,#REF!,2,0),IF(B330="CDHU",VLOOKUP(C330,#REF!,2,0),IF(B330="FDE",VLOOKUP(C330,'FDE 10-23 '!$A$4:$E$3180,2,0),IF(B330="INFRA",VLOOKUP(C330,#REF!,2,0),""))))))),"")</f>
        <v>FORNECIMENTO E MONTAGEM DE ESTRUTURA PRE-MOLDADA DE CONCRETO</v>
      </c>
      <c r="E330" s="65" t="str">
        <f>VLOOKUP(C330,'FDE 10-23 '!$A$4:$E$3180,3,0)</f>
        <v>M3</v>
      </c>
      <c r="F330" s="1112">
        <f>SUM(F331:F384)</f>
        <v>206.65999999999997</v>
      </c>
      <c r="G330" s="66"/>
      <c r="H330" s="1220"/>
      <c r="I330" s="66"/>
      <c r="J330" s="66"/>
      <c r="K330" s="66"/>
      <c r="L330" s="1222"/>
      <c r="M330" s="51"/>
      <c r="N330" s="52"/>
      <c r="O330" s="25"/>
      <c r="P330" s="25"/>
    </row>
    <row r="331" spans="1:16" ht="30" customHeight="1">
      <c r="A331" s="61"/>
      <c r="B331" s="62"/>
      <c r="C331" s="63"/>
      <c r="D331" s="1219" t="s">
        <v>10865</v>
      </c>
      <c r="E331" s="65"/>
      <c r="F331" s="66">
        <f t="shared" ref="F331:F362" si="8">J331*K331</f>
        <v>36.799999999999997</v>
      </c>
      <c r="G331" s="66"/>
      <c r="H331" s="1220"/>
      <c r="I331" s="66"/>
      <c r="J331" s="66">
        <v>2.2999999999999998</v>
      </c>
      <c r="K331" s="66">
        <v>16</v>
      </c>
      <c r="L331" s="1222"/>
      <c r="M331" s="51"/>
      <c r="N331" s="52"/>
      <c r="O331" s="25"/>
      <c r="P331" s="25"/>
    </row>
    <row r="332" spans="1:16" ht="30" customHeight="1">
      <c r="A332" s="61"/>
      <c r="B332" s="62"/>
      <c r="C332" s="63"/>
      <c r="D332" s="1219" t="s">
        <v>10867</v>
      </c>
      <c r="E332" s="65"/>
      <c r="F332" s="66">
        <f t="shared" si="8"/>
        <v>3.12</v>
      </c>
      <c r="G332" s="66"/>
      <c r="H332" s="1220"/>
      <c r="I332" s="66"/>
      <c r="J332" s="66">
        <v>1.56</v>
      </c>
      <c r="K332" s="66">
        <v>2</v>
      </c>
      <c r="L332" s="1222"/>
      <c r="M332" s="51"/>
      <c r="N332" s="52"/>
      <c r="O332" s="25"/>
      <c r="P332" s="25"/>
    </row>
    <row r="333" spans="1:16" ht="30" customHeight="1">
      <c r="A333" s="61"/>
      <c r="B333" s="62"/>
      <c r="C333" s="63"/>
      <c r="D333" s="1219" t="s">
        <v>10867</v>
      </c>
      <c r="E333" s="65"/>
      <c r="F333" s="66">
        <f t="shared" si="8"/>
        <v>4.5999999999999996</v>
      </c>
      <c r="G333" s="66"/>
      <c r="H333" s="1220"/>
      <c r="I333" s="66"/>
      <c r="J333" s="66">
        <v>2.2999999999999998</v>
      </c>
      <c r="K333" s="66">
        <v>2</v>
      </c>
      <c r="L333" s="1222"/>
      <c r="M333" s="51"/>
      <c r="N333" s="52"/>
      <c r="O333" s="25"/>
      <c r="P333" s="25"/>
    </row>
    <row r="334" spans="1:16" ht="30" customHeight="1">
      <c r="A334" s="61"/>
      <c r="B334" s="62"/>
      <c r="C334" s="63"/>
      <c r="D334" s="1219" t="s">
        <v>10868</v>
      </c>
      <c r="E334" s="65"/>
      <c r="F334" s="66">
        <f t="shared" si="8"/>
        <v>9.08</v>
      </c>
      <c r="G334" s="66"/>
      <c r="H334" s="1220"/>
      <c r="I334" s="66"/>
      <c r="J334" s="66">
        <v>4.54</v>
      </c>
      <c r="K334" s="66">
        <v>2</v>
      </c>
      <c r="L334" s="1222"/>
      <c r="M334" s="51"/>
      <c r="N334" s="52"/>
      <c r="O334" s="25"/>
      <c r="P334" s="25"/>
    </row>
    <row r="335" spans="1:16" ht="30" customHeight="1">
      <c r="A335" s="61"/>
      <c r="B335" s="62"/>
      <c r="C335" s="63"/>
      <c r="D335" s="1219" t="s">
        <v>10869</v>
      </c>
      <c r="E335" s="65"/>
      <c r="F335" s="66">
        <f t="shared" si="8"/>
        <v>9.5399999999999991</v>
      </c>
      <c r="G335" s="66"/>
      <c r="H335" s="1220"/>
      <c r="I335" s="66"/>
      <c r="J335" s="66">
        <v>4.7699999999999996</v>
      </c>
      <c r="K335" s="66">
        <v>2</v>
      </c>
      <c r="L335" s="1222"/>
      <c r="M335" s="51"/>
      <c r="N335" s="52"/>
      <c r="O335" s="25"/>
      <c r="P335" s="25"/>
    </row>
    <row r="336" spans="1:16" ht="30" customHeight="1">
      <c r="A336" s="61"/>
      <c r="B336" s="62"/>
      <c r="C336" s="63"/>
      <c r="D336" s="1219" t="s">
        <v>10872</v>
      </c>
      <c r="E336" s="65"/>
      <c r="F336" s="66">
        <f t="shared" si="8"/>
        <v>7.1</v>
      </c>
      <c r="G336" s="66"/>
      <c r="H336" s="1220"/>
      <c r="I336" s="66"/>
      <c r="J336" s="66">
        <v>0.71</v>
      </c>
      <c r="K336" s="66">
        <v>10</v>
      </c>
      <c r="L336" s="1222"/>
      <c r="M336" s="51"/>
      <c r="N336" s="52"/>
      <c r="O336" s="25"/>
      <c r="P336" s="25"/>
    </row>
    <row r="337" spans="1:16" ht="30" customHeight="1">
      <c r="A337" s="61"/>
      <c r="B337" s="62"/>
      <c r="C337" s="63"/>
      <c r="D337" s="1219" t="s">
        <v>10913</v>
      </c>
      <c r="E337" s="65"/>
      <c r="F337" s="66">
        <f t="shared" si="8"/>
        <v>1.08</v>
      </c>
      <c r="G337" s="66"/>
      <c r="H337" s="1220"/>
      <c r="I337" s="66"/>
      <c r="J337" s="66">
        <v>0.54</v>
      </c>
      <c r="K337" s="66">
        <v>2</v>
      </c>
      <c r="L337" s="1222"/>
      <c r="M337" s="51"/>
      <c r="N337" s="52"/>
      <c r="O337" s="25"/>
      <c r="P337" s="25"/>
    </row>
    <row r="338" spans="1:16" ht="30.75" customHeight="1">
      <c r="A338" s="61"/>
      <c r="B338" s="62"/>
      <c r="C338" s="63"/>
      <c r="D338" s="1219" t="s">
        <v>10874</v>
      </c>
      <c r="E338" s="65"/>
      <c r="F338" s="66">
        <f t="shared" si="8"/>
        <v>0.64</v>
      </c>
      <c r="G338" s="66"/>
      <c r="H338" s="1220"/>
      <c r="I338" s="66"/>
      <c r="J338" s="66">
        <v>0.64</v>
      </c>
      <c r="K338" s="66">
        <v>1</v>
      </c>
      <c r="L338" s="1222"/>
      <c r="M338" s="51"/>
      <c r="N338" s="52"/>
      <c r="O338" s="25"/>
      <c r="P338" s="25"/>
    </row>
    <row r="339" spans="1:16" ht="30.75" customHeight="1">
      <c r="A339" s="61"/>
      <c r="B339" s="62"/>
      <c r="C339" s="63"/>
      <c r="D339" s="1219" t="s">
        <v>10874</v>
      </c>
      <c r="E339" s="65"/>
      <c r="F339" s="66">
        <f t="shared" si="8"/>
        <v>0.49</v>
      </c>
      <c r="G339" s="66"/>
      <c r="H339" s="1220"/>
      <c r="I339" s="66"/>
      <c r="J339" s="66">
        <v>0.49</v>
      </c>
      <c r="K339" s="66">
        <v>1</v>
      </c>
      <c r="L339" s="1222"/>
      <c r="M339" s="51"/>
      <c r="N339" s="52"/>
      <c r="O339" s="25"/>
      <c r="P339" s="25"/>
    </row>
    <row r="340" spans="1:16" ht="30.75" customHeight="1">
      <c r="A340" s="61"/>
      <c r="B340" s="62"/>
      <c r="C340" s="63"/>
      <c r="D340" s="1219" t="s">
        <v>10874</v>
      </c>
      <c r="E340" s="65"/>
      <c r="F340" s="66">
        <f t="shared" si="8"/>
        <v>2.06</v>
      </c>
      <c r="G340" s="66"/>
      <c r="H340" s="1220"/>
      <c r="I340" s="66"/>
      <c r="J340" s="66">
        <v>1.03</v>
      </c>
      <c r="K340" s="66">
        <v>2</v>
      </c>
      <c r="L340" s="1222"/>
      <c r="M340" s="51"/>
      <c r="N340" s="52"/>
      <c r="O340" s="25"/>
      <c r="P340" s="25"/>
    </row>
    <row r="341" spans="1:16" ht="30.75" customHeight="1">
      <c r="A341" s="61"/>
      <c r="B341" s="62"/>
      <c r="C341" s="63"/>
      <c r="D341" s="1219" t="s">
        <v>10874</v>
      </c>
      <c r="E341" s="65"/>
      <c r="F341" s="66">
        <f t="shared" si="8"/>
        <v>0.77</v>
      </c>
      <c r="G341" s="66"/>
      <c r="H341" s="1220"/>
      <c r="I341" s="66"/>
      <c r="J341" s="66">
        <v>0.77</v>
      </c>
      <c r="K341" s="66">
        <v>1</v>
      </c>
      <c r="L341" s="1222"/>
      <c r="M341" s="51"/>
      <c r="N341" s="52"/>
      <c r="O341" s="25"/>
      <c r="P341" s="25"/>
    </row>
    <row r="342" spans="1:16" ht="30.75" customHeight="1">
      <c r="A342" s="61"/>
      <c r="B342" s="62"/>
      <c r="C342" s="63"/>
      <c r="D342" s="1219" t="s">
        <v>10874</v>
      </c>
      <c r="E342" s="65"/>
      <c r="F342" s="66">
        <f t="shared" si="8"/>
        <v>1.83</v>
      </c>
      <c r="G342" s="66"/>
      <c r="H342" s="1220"/>
      <c r="I342" s="66"/>
      <c r="J342" s="66">
        <v>1.83</v>
      </c>
      <c r="K342" s="66">
        <v>1</v>
      </c>
      <c r="L342" s="1222"/>
      <c r="M342" s="51"/>
      <c r="N342" s="52"/>
      <c r="O342" s="25"/>
      <c r="P342" s="25"/>
    </row>
    <row r="343" spans="1:16" ht="30" customHeight="1">
      <c r="A343" s="61"/>
      <c r="B343" s="62"/>
      <c r="C343" s="63"/>
      <c r="D343" s="1219" t="s">
        <v>10875</v>
      </c>
      <c r="E343" s="65"/>
      <c r="F343" s="66">
        <f t="shared" si="8"/>
        <v>0.74</v>
      </c>
      <c r="G343" s="66"/>
      <c r="H343" s="1220"/>
      <c r="I343" s="66"/>
      <c r="J343" s="66">
        <v>0.74</v>
      </c>
      <c r="K343" s="66">
        <v>1</v>
      </c>
      <c r="L343" s="1222"/>
      <c r="M343" s="51"/>
      <c r="N343" s="52"/>
      <c r="O343" s="25"/>
      <c r="P343" s="25"/>
    </row>
    <row r="344" spans="1:16" ht="30" customHeight="1">
      <c r="A344" s="61"/>
      <c r="B344" s="62"/>
      <c r="C344" s="63"/>
      <c r="D344" s="1219" t="s">
        <v>10875</v>
      </c>
      <c r="E344" s="65"/>
      <c r="F344" s="66">
        <f t="shared" si="8"/>
        <v>2.96</v>
      </c>
      <c r="G344" s="66"/>
      <c r="H344" s="1220"/>
      <c r="I344" s="66"/>
      <c r="J344" s="66">
        <v>1.48</v>
      </c>
      <c r="K344" s="66">
        <v>2</v>
      </c>
      <c r="L344" s="1222"/>
      <c r="M344" s="51"/>
      <c r="N344" s="52"/>
      <c r="O344" s="25"/>
      <c r="P344" s="25"/>
    </row>
    <row r="345" spans="1:16" ht="30" customHeight="1">
      <c r="A345" s="61"/>
      <c r="B345" s="62"/>
      <c r="C345" s="63"/>
      <c r="D345" s="1219" t="s">
        <v>10875</v>
      </c>
      <c r="E345" s="65"/>
      <c r="F345" s="66">
        <f t="shared" si="8"/>
        <v>0.61</v>
      </c>
      <c r="G345" s="66"/>
      <c r="H345" s="1220"/>
      <c r="I345" s="66"/>
      <c r="J345" s="66">
        <v>0.61</v>
      </c>
      <c r="K345" s="66">
        <v>1</v>
      </c>
      <c r="L345" s="1222"/>
      <c r="M345" s="51"/>
      <c r="N345" s="52"/>
      <c r="O345" s="25"/>
      <c r="P345" s="25"/>
    </row>
    <row r="346" spans="1:16" ht="30" customHeight="1">
      <c r="A346" s="61"/>
      <c r="B346" s="62"/>
      <c r="C346" s="63"/>
      <c r="D346" s="1219" t="s">
        <v>10876</v>
      </c>
      <c r="E346" s="65"/>
      <c r="F346" s="66">
        <f t="shared" si="8"/>
        <v>3.04</v>
      </c>
      <c r="G346" s="66"/>
      <c r="H346" s="1220"/>
      <c r="I346" s="66"/>
      <c r="J346" s="66">
        <v>1.52</v>
      </c>
      <c r="K346" s="66">
        <v>2</v>
      </c>
      <c r="L346" s="1222"/>
      <c r="M346" s="51"/>
      <c r="N346" s="52"/>
      <c r="O346" s="25"/>
      <c r="P346" s="25"/>
    </row>
    <row r="347" spans="1:16" ht="30" customHeight="1">
      <c r="A347" s="61"/>
      <c r="B347" s="62"/>
      <c r="C347" s="63"/>
      <c r="D347" s="1219" t="s">
        <v>10876</v>
      </c>
      <c r="E347" s="65"/>
      <c r="F347" s="66">
        <f t="shared" si="8"/>
        <v>1.74</v>
      </c>
      <c r="G347" s="66"/>
      <c r="H347" s="1220"/>
      <c r="I347" s="66"/>
      <c r="J347" s="66">
        <v>1.74</v>
      </c>
      <c r="K347" s="66">
        <v>1</v>
      </c>
      <c r="L347" s="1222"/>
      <c r="M347" s="51"/>
      <c r="N347" s="52"/>
      <c r="O347" s="25"/>
      <c r="P347" s="25"/>
    </row>
    <row r="348" spans="1:16" ht="30" customHeight="1">
      <c r="A348" s="61"/>
      <c r="B348" s="62"/>
      <c r="C348" s="63"/>
      <c r="D348" s="1219" t="s">
        <v>10876</v>
      </c>
      <c r="E348" s="65"/>
      <c r="F348" s="66">
        <f t="shared" si="8"/>
        <v>0.27</v>
      </c>
      <c r="G348" s="66"/>
      <c r="H348" s="1220"/>
      <c r="I348" s="66"/>
      <c r="J348" s="66">
        <v>0.27</v>
      </c>
      <c r="K348" s="66">
        <v>1</v>
      </c>
      <c r="L348" s="1222"/>
      <c r="M348" s="51"/>
      <c r="N348" s="52"/>
      <c r="O348" s="25"/>
      <c r="P348" s="25"/>
    </row>
    <row r="349" spans="1:16" ht="30" customHeight="1">
      <c r="A349" s="61"/>
      <c r="B349" s="62"/>
      <c r="C349" s="63"/>
      <c r="D349" s="1219" t="s">
        <v>10877</v>
      </c>
      <c r="E349" s="65"/>
      <c r="F349" s="66">
        <f t="shared" si="8"/>
        <v>0.39</v>
      </c>
      <c r="G349" s="66"/>
      <c r="H349" s="1220"/>
      <c r="I349" s="66"/>
      <c r="J349" s="66">
        <v>0.39</v>
      </c>
      <c r="K349" s="66">
        <v>1</v>
      </c>
      <c r="L349" s="1222"/>
      <c r="M349" s="51"/>
      <c r="N349" s="52"/>
      <c r="O349" s="25"/>
      <c r="P349" s="25"/>
    </row>
    <row r="350" spans="1:16" ht="30" customHeight="1">
      <c r="A350" s="61"/>
      <c r="B350" s="62"/>
      <c r="C350" s="63"/>
      <c r="D350" s="1219" t="s">
        <v>10878</v>
      </c>
      <c r="E350" s="65"/>
      <c r="F350" s="66">
        <f t="shared" si="8"/>
        <v>2.92</v>
      </c>
      <c r="G350" s="66"/>
      <c r="H350" s="1220"/>
      <c r="I350" s="66"/>
      <c r="J350" s="66">
        <v>1.46</v>
      </c>
      <c r="K350" s="66">
        <v>2</v>
      </c>
      <c r="L350" s="1222"/>
      <c r="M350" s="51"/>
      <c r="N350" s="52"/>
      <c r="O350" s="25"/>
      <c r="P350" s="25"/>
    </row>
    <row r="351" spans="1:16" ht="30" customHeight="1">
      <c r="A351" s="61"/>
      <c r="B351" s="62"/>
      <c r="C351" s="63"/>
      <c r="D351" s="1219" t="s">
        <v>10879</v>
      </c>
      <c r="E351" s="65"/>
      <c r="F351" s="66">
        <f t="shared" si="8"/>
        <v>2.92</v>
      </c>
      <c r="G351" s="66"/>
      <c r="H351" s="1220"/>
      <c r="I351" s="66"/>
      <c r="J351" s="66">
        <v>1.46</v>
      </c>
      <c r="K351" s="66">
        <v>2</v>
      </c>
      <c r="L351" s="1222"/>
      <c r="M351" s="51"/>
      <c r="N351" s="52"/>
      <c r="O351" s="25"/>
      <c r="P351" s="25"/>
    </row>
    <row r="352" spans="1:16" ht="30" customHeight="1">
      <c r="A352" s="61"/>
      <c r="B352" s="62"/>
      <c r="C352" s="63"/>
      <c r="D352" s="1219" t="s">
        <v>10880</v>
      </c>
      <c r="E352" s="65"/>
      <c r="F352" s="66">
        <f t="shared" si="8"/>
        <v>4.29</v>
      </c>
      <c r="G352" s="66"/>
      <c r="H352" s="1220"/>
      <c r="I352" s="66"/>
      <c r="J352" s="66">
        <v>1.43</v>
      </c>
      <c r="K352" s="66">
        <v>3</v>
      </c>
      <c r="L352" s="1222"/>
      <c r="M352" s="51"/>
      <c r="N352" s="52"/>
      <c r="O352" s="25"/>
      <c r="P352" s="25"/>
    </row>
    <row r="353" spans="1:16" ht="30" customHeight="1">
      <c r="A353" s="61"/>
      <c r="B353" s="62"/>
      <c r="C353" s="63"/>
      <c r="D353" s="1219" t="s">
        <v>10881</v>
      </c>
      <c r="E353" s="65"/>
      <c r="F353" s="66">
        <f t="shared" si="8"/>
        <v>1.5</v>
      </c>
      <c r="G353" s="66"/>
      <c r="H353" s="1220"/>
      <c r="I353" s="66"/>
      <c r="J353" s="66">
        <v>1.5</v>
      </c>
      <c r="K353" s="66">
        <v>1</v>
      </c>
      <c r="L353" s="1222"/>
      <c r="M353" s="51"/>
      <c r="N353" s="52"/>
      <c r="O353" s="25"/>
      <c r="P353" s="25"/>
    </row>
    <row r="354" spans="1:16" ht="30" customHeight="1">
      <c r="A354" s="61"/>
      <c r="B354" s="62"/>
      <c r="C354" s="63"/>
      <c r="D354" s="1219" t="s">
        <v>10881</v>
      </c>
      <c r="E354" s="65"/>
      <c r="F354" s="66">
        <f t="shared" si="8"/>
        <v>0.49</v>
      </c>
      <c r="G354" s="66"/>
      <c r="H354" s="1220"/>
      <c r="I354" s="66"/>
      <c r="J354" s="66">
        <v>0.49</v>
      </c>
      <c r="K354" s="66">
        <v>1</v>
      </c>
      <c r="L354" s="1222"/>
      <c r="M354" s="51"/>
      <c r="N354" s="52"/>
      <c r="O354" s="25"/>
      <c r="P354" s="25"/>
    </row>
    <row r="355" spans="1:16" ht="30" customHeight="1">
      <c r="A355" s="61"/>
      <c r="B355" s="62"/>
      <c r="C355" s="63"/>
      <c r="D355" s="1219" t="s">
        <v>10882</v>
      </c>
      <c r="E355" s="65"/>
      <c r="F355" s="66">
        <f t="shared" si="8"/>
        <v>1.5</v>
      </c>
      <c r="G355" s="66"/>
      <c r="H355" s="1220"/>
      <c r="I355" s="66"/>
      <c r="J355" s="66">
        <v>1.5</v>
      </c>
      <c r="K355" s="66">
        <v>1</v>
      </c>
      <c r="L355" s="1222"/>
      <c r="M355" s="51"/>
      <c r="N355" s="52"/>
      <c r="O355" s="25"/>
      <c r="P355" s="25"/>
    </row>
    <row r="356" spans="1:16" ht="30" customHeight="1">
      <c r="A356" s="61"/>
      <c r="B356" s="62"/>
      <c r="C356" s="63"/>
      <c r="D356" s="1219" t="s">
        <v>10883</v>
      </c>
      <c r="E356" s="65"/>
      <c r="F356" s="66">
        <f t="shared" si="8"/>
        <v>1.46</v>
      </c>
      <c r="G356" s="66"/>
      <c r="H356" s="1220"/>
      <c r="I356" s="66"/>
      <c r="J356" s="66">
        <v>1.46</v>
      </c>
      <c r="K356" s="66">
        <v>1</v>
      </c>
      <c r="L356" s="1222"/>
      <c r="M356" s="51"/>
      <c r="N356" s="52"/>
      <c r="O356" s="25"/>
      <c r="P356" s="25"/>
    </row>
    <row r="357" spans="1:16" ht="30" customHeight="1">
      <c r="A357" s="61"/>
      <c r="B357" s="62"/>
      <c r="C357" s="63"/>
      <c r="D357" s="1219" t="s">
        <v>10884</v>
      </c>
      <c r="E357" s="65"/>
      <c r="F357" s="66">
        <f t="shared" si="8"/>
        <v>1.46</v>
      </c>
      <c r="G357" s="66"/>
      <c r="H357" s="1220"/>
      <c r="I357" s="66"/>
      <c r="J357" s="66">
        <v>1.46</v>
      </c>
      <c r="K357" s="66">
        <v>1</v>
      </c>
      <c r="L357" s="1222"/>
      <c r="M357" s="51"/>
      <c r="N357" s="52"/>
      <c r="O357" s="25"/>
      <c r="P357" s="25"/>
    </row>
    <row r="358" spans="1:16" ht="30" customHeight="1">
      <c r="A358" s="61"/>
      <c r="B358" s="62"/>
      <c r="C358" s="63"/>
      <c r="D358" s="1219" t="s">
        <v>10885</v>
      </c>
      <c r="E358" s="65"/>
      <c r="F358" s="66">
        <f t="shared" si="8"/>
        <v>1.46</v>
      </c>
      <c r="G358" s="66"/>
      <c r="H358" s="1220"/>
      <c r="I358" s="66"/>
      <c r="J358" s="66">
        <v>1.46</v>
      </c>
      <c r="K358" s="66">
        <v>1</v>
      </c>
      <c r="L358" s="1222"/>
      <c r="M358" s="51"/>
      <c r="N358" s="52"/>
      <c r="O358" s="25"/>
      <c r="P358" s="25"/>
    </row>
    <row r="359" spans="1:16" ht="30" customHeight="1">
      <c r="A359" s="61"/>
      <c r="B359" s="62"/>
      <c r="C359" s="63"/>
      <c r="D359" s="1219" t="s">
        <v>10886</v>
      </c>
      <c r="E359" s="65"/>
      <c r="F359" s="66">
        <f t="shared" si="8"/>
        <v>2.56</v>
      </c>
      <c r="G359" s="66"/>
      <c r="H359" s="1220"/>
      <c r="I359" s="66"/>
      <c r="J359" s="66">
        <v>1.28</v>
      </c>
      <c r="K359" s="66">
        <v>2</v>
      </c>
      <c r="L359" s="1222"/>
      <c r="M359" s="51"/>
      <c r="N359" s="52"/>
      <c r="O359" s="25"/>
      <c r="P359" s="25"/>
    </row>
    <row r="360" spans="1:16" ht="30" customHeight="1">
      <c r="A360" s="61"/>
      <c r="B360" s="62"/>
      <c r="C360" s="63"/>
      <c r="D360" s="1219" t="s">
        <v>10887</v>
      </c>
      <c r="E360" s="65"/>
      <c r="F360" s="66">
        <f t="shared" si="8"/>
        <v>4.5999999999999996</v>
      </c>
      <c r="G360" s="66"/>
      <c r="H360" s="1220"/>
      <c r="I360" s="66"/>
      <c r="J360" s="66">
        <v>1.1499999999999999</v>
      </c>
      <c r="K360" s="66">
        <v>4</v>
      </c>
      <c r="L360" s="1222"/>
      <c r="M360" s="51"/>
      <c r="N360" s="52"/>
      <c r="O360" s="25"/>
      <c r="P360" s="25"/>
    </row>
    <row r="361" spans="1:16" ht="30" customHeight="1">
      <c r="A361" s="61"/>
      <c r="B361" s="62"/>
      <c r="C361" s="63"/>
      <c r="D361" s="1219" t="s">
        <v>10887</v>
      </c>
      <c r="E361" s="65"/>
      <c r="F361" s="66">
        <f t="shared" si="8"/>
        <v>0.39</v>
      </c>
      <c r="G361" s="66"/>
      <c r="H361" s="1220"/>
      <c r="I361" s="66"/>
      <c r="J361" s="66">
        <v>0.39</v>
      </c>
      <c r="K361" s="66">
        <v>1</v>
      </c>
      <c r="L361" s="1222"/>
      <c r="M361" s="51"/>
      <c r="N361" s="52"/>
      <c r="O361" s="25"/>
      <c r="P361" s="25"/>
    </row>
    <row r="362" spans="1:16" ht="30" customHeight="1">
      <c r="A362" s="61"/>
      <c r="B362" s="62"/>
      <c r="C362" s="63"/>
      <c r="D362" s="1219" t="s">
        <v>10887</v>
      </c>
      <c r="E362" s="65"/>
      <c r="F362" s="66">
        <f t="shared" si="8"/>
        <v>0.45</v>
      </c>
      <c r="G362" s="66"/>
      <c r="H362" s="1220"/>
      <c r="I362" s="66"/>
      <c r="J362" s="66">
        <v>0.45</v>
      </c>
      <c r="K362" s="66">
        <v>1</v>
      </c>
      <c r="L362" s="1222"/>
      <c r="M362" s="51"/>
      <c r="N362" s="52"/>
      <c r="O362" s="25"/>
      <c r="P362" s="25"/>
    </row>
    <row r="363" spans="1:16" ht="30" customHeight="1">
      <c r="A363" s="61"/>
      <c r="B363" s="62"/>
      <c r="C363" s="63"/>
      <c r="D363" s="1219" t="s">
        <v>10888</v>
      </c>
      <c r="E363" s="65"/>
      <c r="F363" s="66">
        <f t="shared" ref="F363:F384" si="9">J363*K363</f>
        <v>4.0200000000000005</v>
      </c>
      <c r="G363" s="66"/>
      <c r="H363" s="1220"/>
      <c r="I363" s="66"/>
      <c r="J363" s="66">
        <v>1.34</v>
      </c>
      <c r="K363" s="66">
        <v>3</v>
      </c>
      <c r="L363" s="1222"/>
      <c r="M363" s="51"/>
      <c r="N363" s="52"/>
      <c r="O363" s="25"/>
      <c r="P363" s="25"/>
    </row>
    <row r="364" spans="1:16" ht="30" customHeight="1">
      <c r="A364" s="61"/>
      <c r="B364" s="62"/>
      <c r="C364" s="63"/>
      <c r="D364" s="1219" t="s">
        <v>10889</v>
      </c>
      <c r="E364" s="65"/>
      <c r="F364" s="66">
        <f t="shared" si="9"/>
        <v>0.57999999999999996</v>
      </c>
      <c r="G364" s="66"/>
      <c r="H364" s="1220"/>
      <c r="I364" s="66"/>
      <c r="J364" s="66">
        <v>0.57999999999999996</v>
      </c>
      <c r="K364" s="66">
        <v>1</v>
      </c>
      <c r="L364" s="1222"/>
      <c r="M364" s="51"/>
      <c r="N364" s="52"/>
      <c r="O364" s="25"/>
      <c r="P364" s="25"/>
    </row>
    <row r="365" spans="1:16" ht="30" customHeight="1">
      <c r="A365" s="61"/>
      <c r="B365" s="62"/>
      <c r="C365" s="63"/>
      <c r="D365" s="1219" t="s">
        <v>10889</v>
      </c>
      <c r="E365" s="65"/>
      <c r="F365" s="66">
        <f t="shared" si="9"/>
        <v>6.04</v>
      </c>
      <c r="G365" s="66"/>
      <c r="H365" s="1220"/>
      <c r="I365" s="66"/>
      <c r="J365" s="66">
        <v>6.04</v>
      </c>
      <c r="K365" s="66">
        <v>1</v>
      </c>
      <c r="L365" s="1222"/>
      <c r="M365" s="51"/>
      <c r="N365" s="52"/>
      <c r="O365" s="25"/>
      <c r="P365" s="25"/>
    </row>
    <row r="366" spans="1:16" ht="30" customHeight="1">
      <c r="A366" s="61"/>
      <c r="B366" s="62"/>
      <c r="C366" s="63"/>
      <c r="D366" s="1219" t="s">
        <v>10889</v>
      </c>
      <c r="E366" s="65"/>
      <c r="F366" s="66">
        <f t="shared" si="9"/>
        <v>3.37</v>
      </c>
      <c r="G366" s="66"/>
      <c r="H366" s="1220"/>
      <c r="I366" s="66"/>
      <c r="J366" s="66">
        <v>3.37</v>
      </c>
      <c r="K366" s="66">
        <v>1</v>
      </c>
      <c r="L366" s="1222"/>
      <c r="M366" s="51"/>
      <c r="N366" s="52"/>
      <c r="O366" s="25"/>
      <c r="P366" s="25"/>
    </row>
    <row r="367" spans="1:16" ht="30" customHeight="1">
      <c r="A367" s="61"/>
      <c r="B367" s="62"/>
      <c r="C367" s="63"/>
      <c r="D367" s="1219" t="s">
        <v>10889</v>
      </c>
      <c r="E367" s="65"/>
      <c r="F367" s="66">
        <f t="shared" si="9"/>
        <v>1.1499999999999999</v>
      </c>
      <c r="G367" s="66"/>
      <c r="H367" s="1220"/>
      <c r="I367" s="66"/>
      <c r="J367" s="66">
        <v>1.1499999999999999</v>
      </c>
      <c r="K367" s="66">
        <v>1</v>
      </c>
      <c r="L367" s="1222"/>
      <c r="M367" s="51"/>
      <c r="N367" s="52"/>
      <c r="O367" s="25"/>
      <c r="P367" s="25"/>
    </row>
    <row r="368" spans="1:16" ht="30" customHeight="1">
      <c r="A368" s="61"/>
      <c r="B368" s="62"/>
      <c r="C368" s="63"/>
      <c r="D368" s="1219" t="s">
        <v>10890</v>
      </c>
      <c r="E368" s="65"/>
      <c r="F368" s="66">
        <f t="shared" si="9"/>
        <v>4.8600000000000003</v>
      </c>
      <c r="G368" s="66"/>
      <c r="H368" s="1220"/>
      <c r="I368" s="66"/>
      <c r="J368" s="66">
        <v>2.4300000000000002</v>
      </c>
      <c r="K368" s="66">
        <v>2</v>
      </c>
      <c r="L368" s="1222"/>
      <c r="M368" s="51"/>
      <c r="N368" s="52"/>
      <c r="O368" s="25"/>
      <c r="P368" s="25"/>
    </row>
    <row r="369" spans="1:16" ht="30" customHeight="1">
      <c r="A369" s="61"/>
      <c r="B369" s="62"/>
      <c r="C369" s="63"/>
      <c r="D369" s="1219" t="s">
        <v>10890</v>
      </c>
      <c r="E369" s="65"/>
      <c r="F369" s="66">
        <f t="shared" si="9"/>
        <v>0.71</v>
      </c>
      <c r="G369" s="66"/>
      <c r="H369" s="1220"/>
      <c r="I369" s="66"/>
      <c r="J369" s="66">
        <v>0.71</v>
      </c>
      <c r="K369" s="66">
        <v>1</v>
      </c>
      <c r="L369" s="1222"/>
      <c r="M369" s="51"/>
      <c r="N369" s="52"/>
      <c r="O369" s="25"/>
      <c r="P369" s="25"/>
    </row>
    <row r="370" spans="1:16" ht="30" customHeight="1">
      <c r="A370" s="61"/>
      <c r="B370" s="62"/>
      <c r="C370" s="63"/>
      <c r="D370" s="1219" t="s">
        <v>10890</v>
      </c>
      <c r="E370" s="65"/>
      <c r="F370" s="66">
        <f t="shared" si="9"/>
        <v>0.73</v>
      </c>
      <c r="G370" s="66"/>
      <c r="H370" s="1220"/>
      <c r="I370" s="66"/>
      <c r="J370" s="66">
        <v>0.73</v>
      </c>
      <c r="K370" s="66">
        <v>1</v>
      </c>
      <c r="L370" s="1222"/>
      <c r="M370" s="51"/>
      <c r="N370" s="52"/>
      <c r="O370" s="25"/>
      <c r="P370" s="25"/>
    </row>
    <row r="371" spans="1:16" ht="30" customHeight="1">
      <c r="A371" s="61"/>
      <c r="B371" s="62"/>
      <c r="C371" s="63"/>
      <c r="D371" s="1219" t="s">
        <v>10890</v>
      </c>
      <c r="E371" s="65"/>
      <c r="F371" s="66">
        <f t="shared" si="9"/>
        <v>2.44</v>
      </c>
      <c r="G371" s="66"/>
      <c r="H371" s="1220"/>
      <c r="I371" s="66"/>
      <c r="J371" s="66">
        <v>2.44</v>
      </c>
      <c r="K371" s="66">
        <v>1</v>
      </c>
      <c r="L371" s="1222"/>
      <c r="M371" s="51"/>
      <c r="N371" s="52"/>
      <c r="O371" s="25"/>
      <c r="P371" s="25"/>
    </row>
    <row r="372" spans="1:16" ht="30" customHeight="1">
      <c r="A372" s="61"/>
      <c r="B372" s="62"/>
      <c r="C372" s="63"/>
      <c r="D372" s="1219" t="s">
        <v>10890</v>
      </c>
      <c r="E372" s="65"/>
      <c r="F372" s="66">
        <f t="shared" si="9"/>
        <v>2.44</v>
      </c>
      <c r="G372" s="66"/>
      <c r="H372" s="1220"/>
      <c r="I372" s="66"/>
      <c r="J372" s="66">
        <v>2.44</v>
      </c>
      <c r="K372" s="66">
        <v>1</v>
      </c>
      <c r="L372" s="1222"/>
      <c r="M372" s="51"/>
      <c r="N372" s="52"/>
      <c r="O372" s="25"/>
      <c r="P372" s="25"/>
    </row>
    <row r="373" spans="1:16" ht="30" customHeight="1">
      <c r="A373" s="61"/>
      <c r="B373" s="62"/>
      <c r="C373" s="63"/>
      <c r="D373" s="1219" t="s">
        <v>10914</v>
      </c>
      <c r="E373" s="65"/>
      <c r="F373" s="66">
        <f t="shared" si="9"/>
        <v>4.5999999999999996</v>
      </c>
      <c r="G373" s="66"/>
      <c r="H373" s="1220"/>
      <c r="I373" s="66"/>
      <c r="J373" s="66">
        <v>2.2999999999999998</v>
      </c>
      <c r="K373" s="66">
        <v>2</v>
      </c>
      <c r="L373" s="1222"/>
      <c r="M373" s="51"/>
      <c r="N373" s="52"/>
      <c r="O373" s="25"/>
      <c r="P373" s="25"/>
    </row>
    <row r="374" spans="1:16" ht="30" customHeight="1">
      <c r="A374" s="61"/>
      <c r="B374" s="62"/>
      <c r="C374" s="63"/>
      <c r="D374" s="1219" t="s">
        <v>10914</v>
      </c>
      <c r="E374" s="65"/>
      <c r="F374" s="66">
        <f t="shared" si="9"/>
        <v>6.66</v>
      </c>
      <c r="G374" s="66"/>
      <c r="H374" s="1220"/>
      <c r="I374" s="66"/>
      <c r="J374" s="66">
        <v>3.33</v>
      </c>
      <c r="K374" s="66">
        <v>2</v>
      </c>
      <c r="L374" s="1222"/>
      <c r="M374" s="51"/>
      <c r="N374" s="52"/>
      <c r="O374" s="25"/>
      <c r="P374" s="25"/>
    </row>
    <row r="375" spans="1:16" ht="30" customHeight="1">
      <c r="A375" s="61"/>
      <c r="B375" s="62"/>
      <c r="C375" s="63"/>
      <c r="D375" s="1219" t="s">
        <v>10914</v>
      </c>
      <c r="E375" s="65"/>
      <c r="F375" s="66">
        <f t="shared" si="9"/>
        <v>6.66</v>
      </c>
      <c r="G375" s="66"/>
      <c r="H375" s="1220"/>
      <c r="I375" s="66"/>
      <c r="J375" s="66">
        <v>3.33</v>
      </c>
      <c r="K375" s="66">
        <v>2</v>
      </c>
      <c r="L375" s="1222"/>
      <c r="M375" s="51"/>
      <c r="N375" s="52"/>
      <c r="O375" s="25"/>
      <c r="P375" s="25"/>
    </row>
    <row r="376" spans="1:16" ht="30" customHeight="1">
      <c r="A376" s="61"/>
      <c r="B376" s="62"/>
      <c r="C376" s="63"/>
      <c r="D376" s="1219" t="s">
        <v>10915</v>
      </c>
      <c r="E376" s="65"/>
      <c r="F376" s="66">
        <f t="shared" si="9"/>
        <v>4.5999999999999996</v>
      </c>
      <c r="G376" s="66"/>
      <c r="H376" s="1220"/>
      <c r="I376" s="66"/>
      <c r="J376" s="66">
        <v>2.2999999999999998</v>
      </c>
      <c r="K376" s="66">
        <v>2</v>
      </c>
      <c r="L376" s="1222"/>
      <c r="M376" s="51"/>
      <c r="N376" s="52"/>
      <c r="O376" s="25"/>
      <c r="P376" s="25"/>
    </row>
    <row r="377" spans="1:16" ht="30" customHeight="1">
      <c r="A377" s="61"/>
      <c r="B377" s="62"/>
      <c r="C377" s="63"/>
      <c r="D377" s="1219" t="s">
        <v>10915</v>
      </c>
      <c r="E377" s="65"/>
      <c r="F377" s="66">
        <f t="shared" si="9"/>
        <v>4.5999999999999996</v>
      </c>
      <c r="G377" s="66"/>
      <c r="H377" s="1220"/>
      <c r="I377" s="66"/>
      <c r="J377" s="66">
        <v>2.2999999999999998</v>
      </c>
      <c r="K377" s="66">
        <v>2</v>
      </c>
      <c r="L377" s="1222"/>
      <c r="M377" s="51"/>
      <c r="N377" s="52"/>
      <c r="O377" s="25"/>
      <c r="P377" s="25"/>
    </row>
    <row r="378" spans="1:16" ht="30" customHeight="1">
      <c r="A378" s="61"/>
      <c r="B378" s="62"/>
      <c r="C378" s="63"/>
      <c r="D378" s="1219" t="s">
        <v>10915</v>
      </c>
      <c r="E378" s="65"/>
      <c r="F378" s="66">
        <f t="shared" si="9"/>
        <v>4.5999999999999996</v>
      </c>
      <c r="G378" s="66"/>
      <c r="H378" s="1220"/>
      <c r="I378" s="66"/>
      <c r="J378" s="66">
        <v>2.2999999999999998</v>
      </c>
      <c r="K378" s="66">
        <v>2</v>
      </c>
      <c r="L378" s="1222"/>
      <c r="M378" s="51"/>
      <c r="N378" s="52"/>
      <c r="O378" s="25"/>
      <c r="P378" s="25"/>
    </row>
    <row r="379" spans="1:16" ht="30" customHeight="1">
      <c r="A379" s="61"/>
      <c r="B379" s="62"/>
      <c r="C379" s="63"/>
      <c r="D379" s="1219" t="s">
        <v>10916</v>
      </c>
      <c r="E379" s="65"/>
      <c r="F379" s="66">
        <f t="shared" si="9"/>
        <v>8.4</v>
      </c>
      <c r="G379" s="66"/>
      <c r="H379" s="1220"/>
      <c r="I379" s="66"/>
      <c r="J379" s="66">
        <v>1.05</v>
      </c>
      <c r="K379" s="66">
        <v>8</v>
      </c>
      <c r="L379" s="1222"/>
      <c r="M379" s="51"/>
      <c r="N379" s="52"/>
      <c r="O379" s="25"/>
      <c r="P379" s="25"/>
    </row>
    <row r="380" spans="1:16" ht="30" customHeight="1">
      <c r="A380" s="61"/>
      <c r="B380" s="62"/>
      <c r="C380" s="63"/>
      <c r="D380" s="1219" t="s">
        <v>10916</v>
      </c>
      <c r="E380" s="65"/>
      <c r="F380" s="66">
        <f t="shared" si="9"/>
        <v>6.44</v>
      </c>
      <c r="G380" s="66"/>
      <c r="H380" s="1220"/>
      <c r="I380" s="66"/>
      <c r="J380" s="66">
        <v>1.61</v>
      </c>
      <c r="K380" s="66">
        <v>4</v>
      </c>
      <c r="L380" s="1222"/>
      <c r="M380" s="51"/>
      <c r="N380" s="52"/>
      <c r="O380" s="25"/>
      <c r="P380" s="25"/>
    </row>
    <row r="381" spans="1:16" ht="30" customHeight="1">
      <c r="A381" s="61"/>
      <c r="B381" s="62"/>
      <c r="C381" s="63"/>
      <c r="D381" s="1219" t="s">
        <v>10917</v>
      </c>
      <c r="E381" s="65"/>
      <c r="F381" s="66">
        <f t="shared" si="9"/>
        <v>10.44</v>
      </c>
      <c r="G381" s="66"/>
      <c r="H381" s="1220"/>
      <c r="I381" s="66"/>
      <c r="J381" s="66">
        <v>1.74</v>
      </c>
      <c r="K381" s="66">
        <v>6</v>
      </c>
      <c r="L381" s="1222"/>
      <c r="M381" s="51"/>
      <c r="N381" s="52"/>
      <c r="O381" s="25"/>
      <c r="P381" s="25"/>
    </row>
    <row r="382" spans="1:16" ht="30" customHeight="1">
      <c r="A382" s="61"/>
      <c r="B382" s="62"/>
      <c r="C382" s="63"/>
      <c r="D382" s="1219" t="s">
        <v>10918</v>
      </c>
      <c r="E382" s="65"/>
      <c r="F382" s="66">
        <f t="shared" si="9"/>
        <v>3.74</v>
      </c>
      <c r="G382" s="66"/>
      <c r="H382" s="1220"/>
      <c r="I382" s="66"/>
      <c r="J382" s="66">
        <v>1.87</v>
      </c>
      <c r="K382" s="66">
        <v>2</v>
      </c>
      <c r="L382" s="1222"/>
      <c r="M382" s="51"/>
      <c r="N382" s="52"/>
      <c r="O382" s="25"/>
      <c r="P382" s="25"/>
    </row>
    <row r="383" spans="1:16" ht="30" customHeight="1">
      <c r="A383" s="61"/>
      <c r="B383" s="62"/>
      <c r="C383" s="63"/>
      <c r="D383" s="1219" t="s">
        <v>10919</v>
      </c>
      <c r="E383" s="65"/>
      <c r="F383" s="66">
        <f t="shared" si="9"/>
        <v>3.36</v>
      </c>
      <c r="G383" s="66"/>
      <c r="H383" s="1220"/>
      <c r="I383" s="66"/>
      <c r="J383" s="66">
        <v>1.68</v>
      </c>
      <c r="K383" s="66">
        <v>2</v>
      </c>
      <c r="L383" s="1222"/>
      <c r="M383" s="51"/>
      <c r="N383" s="52"/>
      <c r="O383" s="25"/>
      <c r="P383" s="25"/>
    </row>
    <row r="384" spans="1:16" ht="30" customHeight="1">
      <c r="A384" s="61"/>
      <c r="B384" s="62"/>
      <c r="C384" s="63"/>
      <c r="D384" s="1219" t="s">
        <v>10919</v>
      </c>
      <c r="E384" s="65"/>
      <c r="F384" s="66">
        <f t="shared" si="9"/>
        <v>3.36</v>
      </c>
      <c r="G384" s="66"/>
      <c r="H384" s="1220"/>
      <c r="I384" s="66"/>
      <c r="J384" s="66">
        <v>1.68</v>
      </c>
      <c r="K384" s="66">
        <v>2</v>
      </c>
      <c r="L384" s="1222"/>
      <c r="M384" s="51"/>
      <c r="N384" s="52"/>
      <c r="O384" s="25"/>
      <c r="P384" s="25"/>
    </row>
    <row r="385" spans="1:16" ht="30" customHeight="1">
      <c r="A385" s="61"/>
      <c r="B385" s="62"/>
      <c r="C385" s="63"/>
      <c r="D385" s="1219"/>
      <c r="E385" s="65"/>
      <c r="F385" s="66"/>
      <c r="G385" s="66"/>
      <c r="H385" s="1220"/>
      <c r="I385" s="66"/>
      <c r="J385" s="66"/>
      <c r="K385" s="66"/>
      <c r="L385" s="1222"/>
      <c r="M385" s="51"/>
      <c r="N385" s="52"/>
      <c r="O385" s="25"/>
      <c r="P385" s="25"/>
    </row>
    <row r="386" spans="1:16" ht="30" customHeight="1">
      <c r="A386" s="53" t="s">
        <v>128</v>
      </c>
      <c r="B386" s="54"/>
      <c r="C386" s="54" t="s">
        <v>129</v>
      </c>
      <c r="D386" s="1216" t="s">
        <v>130</v>
      </c>
      <c r="E386" s="56" t="str">
        <f>IFERROR(UPPER(IF(B386="CPU",VLOOKUP(C386,#REF!,3,0),IF(B386="SINAPI",VLOOKUP(C386,#REF!,3,0),IF(B386="EDIF",VLOOKUP(C386,#REF!,3,0),IF(B386="CDHU",VLOOKUP(C386,#REF!,3,0),IF(B386="FDE",VLOOKUP(C386,#REF!,3,0),IF(B386="INFRA",VLOOKUP(C386,#REF!,3,0),""))))))),"")</f>
        <v/>
      </c>
      <c r="F386" s="57"/>
      <c r="G386" s="57"/>
      <c r="H386" s="1217"/>
      <c r="I386" s="1217"/>
      <c r="J386" s="1217"/>
      <c r="K386" s="1217"/>
      <c r="L386" s="1218"/>
      <c r="M386" s="51"/>
      <c r="N386" s="52"/>
      <c r="O386" s="25"/>
      <c r="P386" s="25"/>
    </row>
    <row r="387" spans="1:16" ht="30" customHeight="1">
      <c r="A387" s="61" t="s">
        <v>131</v>
      </c>
      <c r="B387" s="62" t="s">
        <v>26</v>
      </c>
      <c r="C387" s="63" t="s">
        <v>132</v>
      </c>
      <c r="D387" s="1219" t="str">
        <f>IFERROR(UPPER(IF(B387="CPU",VLOOKUP(C387,#REF!,2,0),IF(B387="SINAPI",VLOOKUP(C387,#REF!,2,0),IF(B387="EDIF",VLOOKUP(C387,#REF!,2,0),IF(B387="CDHU",VLOOKUP(C387,#REF!,2,0),IF(B387="FDE",VLOOKUP(C387,'FDE 10-23 '!$A$4:$E$3180,2,0),IF(B387="INFRA",VLOOKUP(C387,#REF!,2,0),""))))))),"")</f>
        <v>FORNECIMENTO E MONTAGEM DE ESTRUTURA METALICA COM AÇO NAO PATINAVE (ASTM A36/A570)</v>
      </c>
      <c r="E387" s="65" t="str">
        <f>VLOOKUP(C387,'FDE 10-23 '!$A$4:$E$3180,3,0)</f>
        <v>KG</v>
      </c>
      <c r="F387" s="1112">
        <v>4852</v>
      </c>
      <c r="G387" s="66"/>
      <c r="H387" s="1220"/>
      <c r="I387" s="66"/>
      <c r="J387" s="66"/>
      <c r="K387" s="66"/>
      <c r="L387" s="1222"/>
      <c r="M387" s="51"/>
      <c r="N387" s="52"/>
      <c r="O387" s="25"/>
      <c r="P387" s="25"/>
    </row>
    <row r="388" spans="1:16" ht="30" customHeight="1">
      <c r="A388" s="61"/>
      <c r="B388" s="62"/>
      <c r="C388" s="63"/>
      <c r="D388" s="1219" t="s">
        <v>10920</v>
      </c>
      <c r="E388" s="65"/>
      <c r="F388" s="66"/>
      <c r="G388" s="66"/>
      <c r="H388" s="1220"/>
      <c r="I388" s="66"/>
      <c r="J388" s="66"/>
      <c r="K388" s="66"/>
      <c r="L388" s="1222"/>
      <c r="M388" s="51"/>
      <c r="N388" s="52"/>
      <c r="O388" s="25"/>
      <c r="P388" s="25"/>
    </row>
    <row r="389" spans="1:16" ht="30" customHeight="1">
      <c r="A389" s="61"/>
      <c r="B389" s="62"/>
      <c r="C389" s="63"/>
      <c r="D389" s="1219"/>
      <c r="E389" s="65"/>
      <c r="F389" s="66"/>
      <c r="G389" s="66"/>
      <c r="H389" s="1220"/>
      <c r="I389" s="66"/>
      <c r="J389" s="66"/>
      <c r="K389" s="66"/>
      <c r="L389" s="1222"/>
      <c r="M389" s="51"/>
      <c r="N389" s="52"/>
      <c r="O389" s="25"/>
      <c r="P389" s="25"/>
    </row>
    <row r="390" spans="1:16" ht="30" customHeight="1">
      <c r="A390" s="43">
        <v>4</v>
      </c>
      <c r="B390" s="44"/>
      <c r="C390" s="44" t="s">
        <v>133</v>
      </c>
      <c r="D390" s="1213" t="s">
        <v>134</v>
      </c>
      <c r="E390" s="46" t="str">
        <f>IFERROR(UPPER(IF(B390="CPU",VLOOKUP(C390,#REF!,3,0),IF(B390="SINAPI",VLOOKUP(C390,#REF!,3,0),IF(B390="EDIF",VLOOKUP(C390,#REF!,3,0),IF(B390="CDHU",VLOOKUP(C390,#REF!,3,0),IF(B390="FDE",VLOOKUP(C390,#REF!,3,0),IF(B390="INFRA",VLOOKUP(C390,#REF!,3,0),""))))))),"")</f>
        <v/>
      </c>
      <c r="F390" s="47"/>
      <c r="G390" s="47"/>
      <c r="H390" s="1214"/>
      <c r="I390" s="1214"/>
      <c r="J390" s="1214"/>
      <c r="K390" s="1214"/>
      <c r="L390" s="1215"/>
      <c r="M390" s="51"/>
      <c r="N390" s="52"/>
      <c r="O390" s="25"/>
      <c r="P390" s="25"/>
    </row>
    <row r="391" spans="1:16" ht="30" customHeight="1">
      <c r="A391" s="53" t="s">
        <v>135</v>
      </c>
      <c r="B391" s="54"/>
      <c r="C391" s="54" t="s">
        <v>136</v>
      </c>
      <c r="D391" s="1216" t="s">
        <v>137</v>
      </c>
      <c r="E391" s="56" t="str">
        <f>IFERROR(UPPER(IF(B391="CPU",VLOOKUP(C391,#REF!,3,0),IF(B391="SINAPI",VLOOKUP(C391,#REF!,3,0),IF(B391="EDIF",VLOOKUP(C391,#REF!,3,0),IF(B391="CDHU",VLOOKUP(C391,#REF!,3,0),IF(B391="FDE",VLOOKUP(C391,#REF!,3,0),IF(B391="INFRA",VLOOKUP(C391,#REF!,3,0),""))))))),"")</f>
        <v/>
      </c>
      <c r="F391" s="57"/>
      <c r="G391" s="57"/>
      <c r="H391" s="1217"/>
      <c r="I391" s="1217"/>
      <c r="J391" s="1217"/>
      <c r="K391" s="1217"/>
      <c r="L391" s="1218"/>
      <c r="M391" s="51"/>
      <c r="N391" s="52"/>
      <c r="O391" s="25"/>
      <c r="P391" s="25"/>
    </row>
    <row r="392" spans="1:16" ht="30" customHeight="1">
      <c r="A392" s="61" t="s">
        <v>138</v>
      </c>
      <c r="B392" s="62" t="s">
        <v>26</v>
      </c>
      <c r="C392" s="63" t="s">
        <v>139</v>
      </c>
      <c r="D392" s="1219" t="str">
        <f>IFERROR(UPPER(IF(B392="CPU",VLOOKUP(C392,#REF!,2,0),IF(B392="SINAPI",VLOOKUP(C392,#REF!,2,0),IF(B392="EDIF",VLOOKUP(C392,#REF!,2,0),IF(B392="CDHU",VLOOKUP(C392,#REF!,2,0),IF(B392="FDE",VLOOKUP(C392,'FDE 10-23 '!$A$4:$E$3180,2,0),IF(B392="INFRA",VLOOKUP(C392,#REF!,2,0),""))))))),"")</f>
        <v>ALVENARIA DE BLOCO DE CONCRETO 14X19X39 CM CLASSE C</v>
      </c>
      <c r="E392" s="65" t="str">
        <f>VLOOKUP(C392,'FDE 10-23 '!$A$4:$E$3180,3,0)</f>
        <v>M2</v>
      </c>
      <c r="F392" s="1112">
        <v>268.73</v>
      </c>
      <c r="G392" s="66"/>
      <c r="H392" s="1220"/>
      <c r="I392" s="66"/>
      <c r="J392" s="66"/>
      <c r="K392" s="66"/>
      <c r="L392" s="1222"/>
      <c r="M392" s="51"/>
      <c r="N392" s="52"/>
      <c r="O392" s="25"/>
      <c r="P392" s="25"/>
    </row>
    <row r="393" spans="1:16" ht="30" customHeight="1">
      <c r="A393" s="61"/>
      <c r="B393" s="62"/>
      <c r="C393" s="63"/>
      <c r="D393" s="1219" t="s">
        <v>10921</v>
      </c>
      <c r="E393" s="65"/>
      <c r="F393" s="88"/>
      <c r="G393" s="66"/>
      <c r="H393" s="1220"/>
      <c r="I393" s="66"/>
      <c r="J393" s="66"/>
      <c r="K393" s="66"/>
      <c r="L393" s="1222"/>
      <c r="M393" s="51"/>
      <c r="N393" s="52"/>
      <c r="O393" s="25"/>
      <c r="P393" s="25"/>
    </row>
    <row r="394" spans="1:16" ht="30" customHeight="1">
      <c r="A394" s="61"/>
      <c r="B394" s="62"/>
      <c r="C394" s="63"/>
      <c r="D394" s="1219"/>
      <c r="E394" s="65"/>
      <c r="F394" s="88"/>
      <c r="G394" s="66"/>
      <c r="H394" s="1220"/>
      <c r="I394" s="66"/>
      <c r="J394" s="66"/>
      <c r="K394" s="66"/>
      <c r="L394" s="1222"/>
      <c r="M394" s="51"/>
      <c r="N394" s="52"/>
      <c r="O394" s="25"/>
      <c r="P394" s="25"/>
    </row>
    <row r="395" spans="1:16" ht="30" customHeight="1">
      <c r="A395" s="61" t="s">
        <v>140</v>
      </c>
      <c r="B395" s="62" t="s">
        <v>26</v>
      </c>
      <c r="C395" s="63" t="s">
        <v>141</v>
      </c>
      <c r="D395" s="1219" t="str">
        <f>IFERROR(UPPER(IF(B395="CPU",VLOOKUP(C395,#REF!,2,0),IF(B395="SINAPI",VLOOKUP(C395,#REF!,2,0),IF(B395="EDIF",VLOOKUP(C395,#REF!,2,0),IF(B395="CDHU",VLOOKUP(C395,#REF!,2,0),IF(B395="FDE",VLOOKUP(C395,'FDE 10-23 '!$A$4:$E$3180,2,0),IF(B395="INFRA",VLOOKUP(C395,#REF!,2,0),""))))))),"")</f>
        <v>ALVENARIA DE BLOCO DE CONCRETO 19X19X39 CM CLASSE C</v>
      </c>
      <c r="E395" s="65" t="str">
        <f>VLOOKUP(C395,'FDE 10-23 '!$A$4:$E$3180,3,0)</f>
        <v>M2</v>
      </c>
      <c r="F395" s="1112">
        <f>SUM(F397:F511)</f>
        <v>1743.9197999999999</v>
      </c>
      <c r="G395" s="88">
        <v>1743.8</v>
      </c>
      <c r="H395" s="1220">
        <f>G395-F395</f>
        <v>-0.11979999999994106</v>
      </c>
      <c r="I395" s="66"/>
      <c r="J395" s="66"/>
      <c r="K395" s="66"/>
      <c r="L395" s="1222"/>
      <c r="M395" s="51"/>
      <c r="N395" s="52"/>
      <c r="O395" s="25"/>
      <c r="P395" s="25"/>
    </row>
    <row r="396" spans="1:16" ht="30" customHeight="1">
      <c r="A396" s="61"/>
      <c r="B396" s="62"/>
      <c r="C396" s="63"/>
      <c r="D396" s="1219" t="s">
        <v>10922</v>
      </c>
      <c r="E396" s="65"/>
      <c r="F396" s="1112"/>
      <c r="G396" s="88"/>
      <c r="H396" s="1220"/>
      <c r="I396" s="66"/>
      <c r="J396" s="66"/>
      <c r="K396" s="66"/>
      <c r="L396" s="1222"/>
      <c r="M396" s="51"/>
      <c r="N396" s="52"/>
      <c r="O396" s="25"/>
      <c r="P396" s="25"/>
    </row>
    <row r="397" spans="1:16" ht="30" customHeight="1">
      <c r="A397" s="61"/>
      <c r="B397" s="62"/>
      <c r="C397" s="63"/>
      <c r="D397" s="1219" t="s">
        <v>10923</v>
      </c>
      <c r="E397" s="65"/>
      <c r="F397" s="66">
        <f t="shared" ref="F397:F430" si="10">G397*I397</f>
        <v>116.02800000000002</v>
      </c>
      <c r="G397" s="66">
        <v>2.2000000000000002</v>
      </c>
      <c r="H397" s="1220"/>
      <c r="I397" s="66">
        <f>5.07+6.9+6.9+5.07+7.2*4</f>
        <v>52.74</v>
      </c>
      <c r="J397" s="66"/>
      <c r="K397" s="66"/>
      <c r="L397" s="1222"/>
      <c r="M397" s="51"/>
      <c r="N397" s="52"/>
      <c r="O397" s="25"/>
      <c r="P397" s="25"/>
    </row>
    <row r="398" spans="1:16" ht="30" customHeight="1">
      <c r="A398" s="61"/>
      <c r="B398" s="62"/>
      <c r="C398" s="63"/>
      <c r="D398" s="1219" t="s">
        <v>10924</v>
      </c>
      <c r="E398" s="65"/>
      <c r="F398" s="66">
        <f t="shared" si="10"/>
        <v>152.28</v>
      </c>
      <c r="G398" s="66">
        <v>7.05</v>
      </c>
      <c r="H398" s="1220"/>
      <c r="I398" s="66">
        <f>10.8*2</f>
        <v>21.6</v>
      </c>
      <c r="J398" s="66"/>
      <c r="K398" s="66"/>
      <c r="L398" s="1222"/>
      <c r="M398" s="51"/>
      <c r="N398" s="52"/>
      <c r="O398" s="25"/>
      <c r="P398" s="25"/>
    </row>
    <row r="399" spans="1:16" ht="30" customHeight="1">
      <c r="A399" s="61"/>
      <c r="B399" s="62"/>
      <c r="C399" s="63"/>
      <c r="D399" s="1219" t="s">
        <v>10925</v>
      </c>
      <c r="E399" s="65"/>
      <c r="F399" s="66">
        <f t="shared" si="10"/>
        <v>47.34</v>
      </c>
      <c r="G399" s="66">
        <v>0.9</v>
      </c>
      <c r="H399" s="1220"/>
      <c r="I399" s="66">
        <v>52.6</v>
      </c>
      <c r="J399" s="66"/>
      <c r="K399" s="66"/>
      <c r="L399" s="1222"/>
      <c r="M399" s="51"/>
      <c r="N399" s="52"/>
      <c r="O399" s="25"/>
      <c r="P399" s="25"/>
    </row>
    <row r="400" spans="1:16" ht="30" customHeight="1">
      <c r="A400" s="61"/>
      <c r="B400" s="62"/>
      <c r="C400" s="63"/>
      <c r="D400" s="1219" t="s">
        <v>10926</v>
      </c>
      <c r="E400" s="65"/>
      <c r="F400" s="66">
        <f t="shared" si="10"/>
        <v>96.6</v>
      </c>
      <c r="G400" s="66">
        <v>2.2999999999999998</v>
      </c>
      <c r="H400" s="1220"/>
      <c r="I400" s="66">
        <v>42</v>
      </c>
      <c r="J400" s="66"/>
      <c r="K400" s="66"/>
      <c r="L400" s="1222"/>
      <c r="M400" s="51"/>
      <c r="N400" s="52"/>
      <c r="O400" s="25"/>
      <c r="P400" s="25"/>
    </row>
    <row r="401" spans="1:16" ht="30" customHeight="1">
      <c r="A401" s="61"/>
      <c r="B401" s="62"/>
      <c r="C401" s="63"/>
      <c r="D401" s="1219" t="s">
        <v>10927</v>
      </c>
      <c r="E401" s="65"/>
      <c r="F401" s="66">
        <f t="shared" si="10"/>
        <v>9.5399999999999991</v>
      </c>
      <c r="G401" s="66">
        <v>0.9</v>
      </c>
      <c r="H401" s="1220"/>
      <c r="I401" s="66">
        <v>10.6</v>
      </c>
      <c r="J401" s="66"/>
      <c r="K401" s="66"/>
      <c r="L401" s="1222"/>
      <c r="M401" s="51"/>
      <c r="N401" s="52"/>
      <c r="O401" s="25"/>
      <c r="P401" s="25"/>
    </row>
    <row r="402" spans="1:16" ht="30" customHeight="1">
      <c r="A402" s="61"/>
      <c r="B402" s="62"/>
      <c r="C402" s="63"/>
      <c r="D402" s="1219" t="s">
        <v>10928</v>
      </c>
      <c r="E402" s="65"/>
      <c r="F402" s="66">
        <f t="shared" si="10"/>
        <v>3.06</v>
      </c>
      <c r="G402" s="66">
        <v>0.9</v>
      </c>
      <c r="H402" s="1220"/>
      <c r="I402" s="66">
        <v>3.4</v>
      </c>
      <c r="J402" s="66"/>
      <c r="K402" s="66"/>
      <c r="L402" s="1222"/>
      <c r="M402" s="51"/>
      <c r="N402" s="52"/>
      <c r="O402" s="25"/>
      <c r="P402" s="25"/>
    </row>
    <row r="403" spans="1:16" ht="30" customHeight="1">
      <c r="A403" s="61"/>
      <c r="B403" s="62"/>
      <c r="C403" s="63"/>
      <c r="D403" s="1219" t="s">
        <v>10929</v>
      </c>
      <c r="E403" s="65"/>
      <c r="F403" s="66">
        <f t="shared" si="10"/>
        <v>7.8199999999999994</v>
      </c>
      <c r="G403" s="66">
        <v>2.2999999999999998</v>
      </c>
      <c r="H403" s="1220"/>
      <c r="I403" s="66">
        <v>3.4</v>
      </c>
      <c r="J403" s="66"/>
      <c r="K403" s="66"/>
      <c r="L403" s="1222"/>
      <c r="M403" s="51"/>
      <c r="N403" s="52"/>
      <c r="O403" s="25"/>
      <c r="P403" s="25"/>
    </row>
    <row r="404" spans="1:16" ht="30" customHeight="1">
      <c r="A404" s="61"/>
      <c r="B404" s="62"/>
      <c r="C404" s="63"/>
      <c r="D404" s="1219" t="s">
        <v>10930</v>
      </c>
      <c r="E404" s="65"/>
      <c r="F404" s="66">
        <f t="shared" si="10"/>
        <v>20.193999999999996</v>
      </c>
      <c r="G404" s="66">
        <v>2.2999999999999998</v>
      </c>
      <c r="H404" s="1220"/>
      <c r="I404" s="66">
        <v>8.7799999999999994</v>
      </c>
      <c r="J404" s="66"/>
      <c r="K404" s="66"/>
      <c r="L404" s="1222"/>
      <c r="M404" s="51"/>
      <c r="N404" s="52"/>
      <c r="O404" s="25"/>
      <c r="P404" s="25"/>
    </row>
    <row r="405" spans="1:16" ht="30" customHeight="1">
      <c r="A405" s="61"/>
      <c r="B405" s="62"/>
      <c r="C405" s="63"/>
      <c r="D405" s="1219" t="s">
        <v>10931</v>
      </c>
      <c r="E405" s="65"/>
      <c r="F405" s="66">
        <f t="shared" si="10"/>
        <v>16.099999999999998</v>
      </c>
      <c r="G405" s="66">
        <v>2.2999999999999998</v>
      </c>
      <c r="H405" s="1220"/>
      <c r="I405" s="66">
        <v>7</v>
      </c>
      <c r="J405" s="66"/>
      <c r="K405" s="66"/>
      <c r="L405" s="1222"/>
      <c r="M405" s="51"/>
      <c r="N405" s="52"/>
      <c r="O405" s="25"/>
      <c r="P405" s="25"/>
    </row>
    <row r="406" spans="1:16" ht="30" customHeight="1">
      <c r="A406" s="61"/>
      <c r="B406" s="62"/>
      <c r="C406" s="63"/>
      <c r="D406" s="1219" t="s">
        <v>10932</v>
      </c>
      <c r="E406" s="65"/>
      <c r="F406" s="66">
        <f t="shared" si="10"/>
        <v>16.099999999999998</v>
      </c>
      <c r="G406" s="66">
        <v>2.2999999999999998</v>
      </c>
      <c r="H406" s="1220"/>
      <c r="I406" s="66">
        <v>7</v>
      </c>
      <c r="J406" s="66"/>
      <c r="K406" s="66"/>
      <c r="L406" s="1222"/>
      <c r="M406" s="51"/>
      <c r="N406" s="52"/>
      <c r="O406" s="25"/>
      <c r="P406" s="25"/>
    </row>
    <row r="407" spans="1:16" ht="30" customHeight="1">
      <c r="A407" s="61"/>
      <c r="B407" s="62"/>
      <c r="C407" s="63"/>
      <c r="D407" s="1219" t="s">
        <v>10933</v>
      </c>
      <c r="E407" s="65"/>
      <c r="F407" s="66">
        <f t="shared" si="10"/>
        <v>16.099999999999998</v>
      </c>
      <c r="G407" s="66">
        <v>2.2999999999999998</v>
      </c>
      <c r="H407" s="1220"/>
      <c r="I407" s="66">
        <v>7</v>
      </c>
      <c r="J407" s="66"/>
      <c r="K407" s="66"/>
      <c r="L407" s="1222"/>
      <c r="M407" s="51"/>
      <c r="N407" s="52"/>
      <c r="O407" s="25"/>
      <c r="P407" s="25"/>
    </row>
    <row r="408" spans="1:16" ht="30" customHeight="1">
      <c r="A408" s="61"/>
      <c r="B408" s="62"/>
      <c r="C408" s="63"/>
      <c r="D408" s="1219" t="s">
        <v>10934</v>
      </c>
      <c r="E408" s="65"/>
      <c r="F408" s="66">
        <f t="shared" si="10"/>
        <v>16.099999999999998</v>
      </c>
      <c r="G408" s="66">
        <v>2.2999999999999998</v>
      </c>
      <c r="H408" s="1220"/>
      <c r="I408" s="66">
        <v>7</v>
      </c>
      <c r="J408" s="66"/>
      <c r="K408" s="66"/>
      <c r="L408" s="1222"/>
      <c r="M408" s="51"/>
      <c r="N408" s="52"/>
      <c r="O408" s="25"/>
      <c r="P408" s="25"/>
    </row>
    <row r="409" spans="1:16" ht="30" customHeight="1">
      <c r="A409" s="61"/>
      <c r="B409" s="62"/>
      <c r="C409" s="63"/>
      <c r="D409" s="1219" t="s">
        <v>10935</v>
      </c>
      <c r="E409" s="65"/>
      <c r="F409" s="66">
        <f t="shared" si="10"/>
        <v>16.099999999999998</v>
      </c>
      <c r="G409" s="66">
        <v>2.2999999999999998</v>
      </c>
      <c r="H409" s="1220"/>
      <c r="I409" s="66">
        <v>7</v>
      </c>
      <c r="J409" s="66"/>
      <c r="K409" s="66"/>
      <c r="L409" s="1222"/>
      <c r="M409" s="51"/>
      <c r="N409" s="52"/>
      <c r="O409" s="25"/>
      <c r="P409" s="25"/>
    </row>
    <row r="410" spans="1:16" ht="30" customHeight="1">
      <c r="A410" s="61"/>
      <c r="B410" s="62"/>
      <c r="C410" s="63"/>
      <c r="D410" s="1219" t="s">
        <v>10936</v>
      </c>
      <c r="E410" s="65"/>
      <c r="F410" s="66">
        <f t="shared" si="10"/>
        <v>16.099999999999998</v>
      </c>
      <c r="G410" s="66">
        <v>2.2999999999999998</v>
      </c>
      <c r="H410" s="1220"/>
      <c r="I410" s="66">
        <v>7</v>
      </c>
      <c r="J410" s="66"/>
      <c r="K410" s="66"/>
      <c r="L410" s="1222"/>
      <c r="M410" s="51"/>
      <c r="N410" s="52"/>
      <c r="O410" s="25"/>
      <c r="P410" s="25"/>
    </row>
    <row r="411" spans="1:16" ht="30" customHeight="1">
      <c r="A411" s="61"/>
      <c r="B411" s="62"/>
      <c r="C411" s="63"/>
      <c r="D411" s="1219" t="s">
        <v>10937</v>
      </c>
      <c r="E411" s="65"/>
      <c r="F411" s="66">
        <f t="shared" si="10"/>
        <v>16.099999999999998</v>
      </c>
      <c r="G411" s="66">
        <v>2.2999999999999998</v>
      </c>
      <c r="H411" s="1220"/>
      <c r="I411" s="66">
        <v>7</v>
      </c>
      <c r="J411" s="66"/>
      <c r="K411" s="66"/>
      <c r="L411" s="1222"/>
      <c r="M411" s="51"/>
      <c r="N411" s="52"/>
      <c r="O411" s="25"/>
      <c r="P411" s="25"/>
    </row>
    <row r="412" spans="1:16" ht="30" customHeight="1">
      <c r="A412" s="61"/>
      <c r="B412" s="62"/>
      <c r="C412" s="63"/>
      <c r="D412" s="1219" t="s">
        <v>10938</v>
      </c>
      <c r="E412" s="65"/>
      <c r="F412" s="66">
        <f t="shared" si="10"/>
        <v>20.722999999999999</v>
      </c>
      <c r="G412" s="66">
        <v>2.2999999999999998</v>
      </c>
      <c r="H412" s="1220"/>
      <c r="I412" s="66">
        <v>9.01</v>
      </c>
      <c r="J412" s="66"/>
      <c r="K412" s="66"/>
      <c r="L412" s="1222"/>
      <c r="M412" s="51"/>
      <c r="N412" s="52"/>
      <c r="O412" s="25"/>
      <c r="P412" s="25"/>
    </row>
    <row r="413" spans="1:16" ht="30" customHeight="1">
      <c r="A413" s="61"/>
      <c r="B413" s="62"/>
      <c r="C413" s="63"/>
      <c r="D413" s="1219" t="s">
        <v>10939</v>
      </c>
      <c r="E413" s="65"/>
      <c r="F413" s="66">
        <f t="shared" si="10"/>
        <v>9.2519999999999989</v>
      </c>
      <c r="G413" s="66">
        <v>0.9</v>
      </c>
      <c r="H413" s="1220"/>
      <c r="I413" s="66">
        <v>10.28</v>
      </c>
      <c r="J413" s="66"/>
      <c r="K413" s="66"/>
      <c r="L413" s="1222"/>
      <c r="M413" s="51"/>
      <c r="N413" s="52"/>
      <c r="O413" s="25"/>
      <c r="P413" s="25"/>
    </row>
    <row r="414" spans="1:16" ht="30" customHeight="1">
      <c r="A414" s="61"/>
      <c r="B414" s="62"/>
      <c r="C414" s="63"/>
      <c r="D414" s="1219" t="s">
        <v>10940</v>
      </c>
      <c r="E414" s="65"/>
      <c r="F414" s="66">
        <f t="shared" si="10"/>
        <v>16.099999999999998</v>
      </c>
      <c r="G414" s="66">
        <v>2.2999999999999998</v>
      </c>
      <c r="H414" s="1220"/>
      <c r="I414" s="66">
        <v>7</v>
      </c>
      <c r="J414" s="66"/>
      <c r="K414" s="66"/>
      <c r="L414" s="1222"/>
      <c r="M414" s="51"/>
      <c r="N414" s="52"/>
      <c r="O414" s="25"/>
      <c r="P414" s="25"/>
    </row>
    <row r="415" spans="1:16" ht="30" customHeight="1">
      <c r="A415" s="61"/>
      <c r="B415" s="62"/>
      <c r="C415" s="63"/>
      <c r="D415" s="1219" t="s">
        <v>10941</v>
      </c>
      <c r="E415" s="65"/>
      <c r="F415" s="66">
        <f t="shared" si="10"/>
        <v>20.193999999999996</v>
      </c>
      <c r="G415" s="66">
        <v>2.2999999999999998</v>
      </c>
      <c r="H415" s="1220"/>
      <c r="I415" s="66">
        <v>8.7799999999999994</v>
      </c>
      <c r="J415" s="66"/>
      <c r="K415" s="66"/>
      <c r="L415" s="1222"/>
      <c r="M415" s="51"/>
      <c r="N415" s="52"/>
      <c r="O415" s="25"/>
      <c r="P415" s="25"/>
    </row>
    <row r="416" spans="1:16" ht="30" customHeight="1">
      <c r="A416" s="61"/>
      <c r="B416" s="62"/>
      <c r="C416" s="63"/>
      <c r="D416" s="1219" t="s">
        <v>10942</v>
      </c>
      <c r="E416" s="65"/>
      <c r="F416" s="66">
        <f t="shared" si="10"/>
        <v>16.099999999999998</v>
      </c>
      <c r="G416" s="66">
        <v>2.2999999999999998</v>
      </c>
      <c r="H416" s="1220"/>
      <c r="I416" s="66">
        <v>7</v>
      </c>
      <c r="J416" s="66"/>
      <c r="K416" s="66"/>
      <c r="L416" s="1222"/>
      <c r="M416" s="51"/>
      <c r="N416" s="52"/>
      <c r="O416" s="25"/>
      <c r="P416" s="25"/>
    </row>
    <row r="417" spans="1:16" ht="30" customHeight="1">
      <c r="A417" s="61"/>
      <c r="B417" s="62"/>
      <c r="C417" s="63"/>
      <c r="D417" s="1219" t="s">
        <v>10943</v>
      </c>
      <c r="E417" s="65"/>
      <c r="F417" s="66">
        <f t="shared" si="10"/>
        <v>16.099999999999998</v>
      </c>
      <c r="G417" s="66">
        <v>2.2999999999999998</v>
      </c>
      <c r="H417" s="1220"/>
      <c r="I417" s="66">
        <v>7</v>
      </c>
      <c r="J417" s="66"/>
      <c r="K417" s="66"/>
      <c r="L417" s="1222"/>
      <c r="M417" s="51"/>
      <c r="N417" s="52"/>
      <c r="O417" s="25"/>
      <c r="P417" s="25"/>
    </row>
    <row r="418" spans="1:16" ht="30" customHeight="1">
      <c r="A418" s="61"/>
      <c r="B418" s="62"/>
      <c r="C418" s="63"/>
      <c r="D418" s="1219" t="s">
        <v>10944</v>
      </c>
      <c r="E418" s="65"/>
      <c r="F418" s="66">
        <f t="shared" si="10"/>
        <v>32.199999999999996</v>
      </c>
      <c r="G418" s="66">
        <v>2.2999999999999998</v>
      </c>
      <c r="H418" s="1220"/>
      <c r="I418" s="66">
        <v>14</v>
      </c>
      <c r="J418" s="66"/>
      <c r="K418" s="66"/>
      <c r="L418" s="1222"/>
      <c r="M418" s="51"/>
      <c r="N418" s="52"/>
      <c r="O418" s="25"/>
      <c r="P418" s="25"/>
    </row>
    <row r="419" spans="1:16" ht="30" customHeight="1">
      <c r="A419" s="61"/>
      <c r="B419" s="62"/>
      <c r="C419" s="63"/>
      <c r="D419" s="1219" t="s">
        <v>10945</v>
      </c>
      <c r="E419" s="65"/>
      <c r="F419" s="66">
        <f t="shared" si="10"/>
        <v>12.6</v>
      </c>
      <c r="G419" s="66">
        <v>0.9</v>
      </c>
      <c r="H419" s="1220"/>
      <c r="I419" s="66">
        <v>14</v>
      </c>
      <c r="J419" s="66"/>
      <c r="K419" s="66"/>
      <c r="L419" s="1222"/>
      <c r="M419" s="51"/>
      <c r="N419" s="52"/>
      <c r="O419" s="25"/>
      <c r="P419" s="25"/>
    </row>
    <row r="420" spans="1:16" ht="30" customHeight="1">
      <c r="A420" s="61"/>
      <c r="B420" s="62"/>
      <c r="C420" s="63"/>
      <c r="D420" s="1219" t="s">
        <v>10946</v>
      </c>
      <c r="E420" s="65"/>
      <c r="F420" s="66">
        <f t="shared" si="10"/>
        <v>16.099999999999998</v>
      </c>
      <c r="G420" s="66">
        <v>2.2999999999999998</v>
      </c>
      <c r="H420" s="1220"/>
      <c r="I420" s="66">
        <v>7</v>
      </c>
      <c r="J420" s="66"/>
      <c r="K420" s="66"/>
      <c r="L420" s="1222"/>
      <c r="M420" s="51"/>
      <c r="N420" s="52"/>
      <c r="O420" s="25"/>
      <c r="P420" s="25"/>
    </row>
    <row r="421" spans="1:16" ht="30" customHeight="1">
      <c r="A421" s="61"/>
      <c r="B421" s="62"/>
      <c r="C421" s="63"/>
      <c r="D421" s="1219" t="s">
        <v>10947</v>
      </c>
      <c r="E421" s="65"/>
      <c r="F421" s="66">
        <f t="shared" si="10"/>
        <v>6.3</v>
      </c>
      <c r="G421" s="66">
        <v>0.9</v>
      </c>
      <c r="H421" s="1220"/>
      <c r="I421" s="66">
        <v>7</v>
      </c>
      <c r="J421" s="66"/>
      <c r="K421" s="66"/>
      <c r="L421" s="1222"/>
      <c r="M421" s="51"/>
      <c r="N421" s="52"/>
      <c r="O421" s="25"/>
      <c r="P421" s="25"/>
    </row>
    <row r="422" spans="1:16" ht="30" customHeight="1">
      <c r="A422" s="61"/>
      <c r="B422" s="62"/>
      <c r="C422" s="63"/>
      <c r="D422" s="1219" t="s">
        <v>10948</v>
      </c>
      <c r="E422" s="65"/>
      <c r="F422" s="66">
        <f t="shared" si="10"/>
        <v>16.099999999999998</v>
      </c>
      <c r="G422" s="66">
        <v>2.2999999999999998</v>
      </c>
      <c r="H422" s="1220"/>
      <c r="I422" s="66">
        <v>7</v>
      </c>
      <c r="J422" s="66"/>
      <c r="K422" s="66"/>
      <c r="L422" s="1222"/>
      <c r="M422" s="51"/>
      <c r="N422" s="52"/>
      <c r="O422" s="25"/>
      <c r="P422" s="25"/>
    </row>
    <row r="423" spans="1:16" ht="30" customHeight="1">
      <c r="A423" s="61"/>
      <c r="B423" s="62"/>
      <c r="C423" s="63"/>
      <c r="D423" s="1219" t="s">
        <v>10949</v>
      </c>
      <c r="E423" s="65"/>
      <c r="F423" s="66">
        <f t="shared" si="10"/>
        <v>18.813999999999997</v>
      </c>
      <c r="G423" s="66">
        <v>2.2999999999999998</v>
      </c>
      <c r="H423" s="1220"/>
      <c r="I423" s="66">
        <v>8.18</v>
      </c>
      <c r="J423" s="66"/>
      <c r="K423" s="66"/>
      <c r="L423" s="1222"/>
      <c r="M423" s="51"/>
      <c r="N423" s="52"/>
      <c r="O423" s="25"/>
      <c r="P423" s="25"/>
    </row>
    <row r="424" spans="1:16" ht="30" customHeight="1">
      <c r="A424" s="61"/>
      <c r="B424" s="62"/>
      <c r="C424" s="63"/>
      <c r="D424" s="1219" t="s">
        <v>10950</v>
      </c>
      <c r="E424" s="65"/>
      <c r="F424" s="66">
        <f t="shared" si="10"/>
        <v>18.813999999999997</v>
      </c>
      <c r="G424" s="66">
        <v>2.2999999999999998</v>
      </c>
      <c r="H424" s="1220"/>
      <c r="I424" s="66">
        <v>8.18</v>
      </c>
      <c r="J424" s="66"/>
      <c r="K424" s="66"/>
      <c r="L424" s="1222"/>
      <c r="M424" s="51"/>
      <c r="N424" s="52"/>
      <c r="O424" s="25"/>
      <c r="P424" s="25"/>
    </row>
    <row r="425" spans="1:16" ht="30" customHeight="1">
      <c r="A425" s="61"/>
      <c r="B425" s="62"/>
      <c r="C425" s="63"/>
      <c r="D425" s="1219" t="s">
        <v>10951</v>
      </c>
      <c r="E425" s="65"/>
      <c r="F425" s="66">
        <f t="shared" si="10"/>
        <v>22.954000000000001</v>
      </c>
      <c r="G425" s="66">
        <v>2.2999999999999998</v>
      </c>
      <c r="H425" s="1220"/>
      <c r="I425" s="66">
        <f>8.18+1.8</f>
        <v>9.98</v>
      </c>
      <c r="J425" s="66"/>
      <c r="K425" s="66"/>
      <c r="L425" s="1222"/>
      <c r="M425" s="51"/>
      <c r="N425" s="52"/>
      <c r="O425" s="25"/>
      <c r="P425" s="25"/>
    </row>
    <row r="426" spans="1:16" ht="30" customHeight="1">
      <c r="A426" s="61"/>
      <c r="B426" s="62"/>
      <c r="C426" s="63"/>
      <c r="D426" s="1219" t="s">
        <v>10952</v>
      </c>
      <c r="E426" s="65"/>
      <c r="F426" s="66">
        <f t="shared" si="10"/>
        <v>6.3249999999999993</v>
      </c>
      <c r="G426" s="66">
        <v>2.2999999999999998</v>
      </c>
      <c r="H426" s="1220"/>
      <c r="I426" s="66">
        <v>2.75</v>
      </c>
      <c r="J426" s="66"/>
      <c r="K426" s="66"/>
      <c r="L426" s="1222"/>
      <c r="M426" s="51"/>
      <c r="N426" s="52"/>
      <c r="O426" s="25"/>
      <c r="P426" s="25"/>
    </row>
    <row r="427" spans="1:16" ht="30" customHeight="1">
      <c r="A427" s="61"/>
      <c r="B427" s="62"/>
      <c r="C427" s="63"/>
      <c r="D427" s="1219" t="s">
        <v>10953</v>
      </c>
      <c r="E427" s="65"/>
      <c r="F427" s="66">
        <f t="shared" si="10"/>
        <v>2.4750000000000001</v>
      </c>
      <c r="G427" s="66">
        <v>0.9</v>
      </c>
      <c r="H427" s="1220"/>
      <c r="I427" s="66">
        <v>2.75</v>
      </c>
      <c r="J427" s="66"/>
      <c r="K427" s="66"/>
      <c r="L427" s="1222"/>
      <c r="M427" s="51"/>
      <c r="N427" s="52"/>
      <c r="O427" s="25"/>
      <c r="P427" s="25"/>
    </row>
    <row r="428" spans="1:16" ht="30" customHeight="1">
      <c r="A428" s="61"/>
      <c r="B428" s="62"/>
      <c r="C428" s="63"/>
      <c r="D428" s="1219" t="s">
        <v>10954</v>
      </c>
      <c r="E428" s="65"/>
      <c r="F428" s="66">
        <f t="shared" si="10"/>
        <v>9.2519999999999989</v>
      </c>
      <c r="G428" s="66">
        <v>0.9</v>
      </c>
      <c r="H428" s="1220"/>
      <c r="I428" s="66">
        <v>10.28</v>
      </c>
      <c r="J428" s="66"/>
      <c r="K428" s="66"/>
      <c r="L428" s="1222"/>
      <c r="M428" s="51"/>
      <c r="N428" s="52"/>
      <c r="O428" s="25"/>
      <c r="P428" s="25"/>
    </row>
    <row r="429" spans="1:16" ht="30" customHeight="1">
      <c r="A429" s="61"/>
      <c r="B429" s="62"/>
      <c r="C429" s="63"/>
      <c r="D429" s="1219" t="s">
        <v>10955</v>
      </c>
      <c r="E429" s="65"/>
      <c r="F429" s="66">
        <f t="shared" si="10"/>
        <v>16.169</v>
      </c>
      <c r="G429" s="66">
        <v>2.2999999999999998</v>
      </c>
      <c r="H429" s="1220"/>
      <c r="I429" s="66">
        <v>7.03</v>
      </c>
      <c r="J429" s="66"/>
      <c r="K429" s="66"/>
      <c r="L429" s="1222"/>
      <c r="M429" s="51"/>
      <c r="N429" s="52"/>
      <c r="O429" s="25"/>
      <c r="P429" s="25"/>
    </row>
    <row r="430" spans="1:16" ht="30" customHeight="1">
      <c r="A430" s="61"/>
      <c r="B430" s="62"/>
      <c r="C430" s="63"/>
      <c r="D430" s="1219" t="s">
        <v>10956</v>
      </c>
      <c r="E430" s="65"/>
      <c r="F430" s="66">
        <f t="shared" si="10"/>
        <v>18.347799999999999</v>
      </c>
      <c r="G430" s="66">
        <v>4.6100000000000003</v>
      </c>
      <c r="H430" s="1220"/>
      <c r="I430" s="66">
        <v>3.98</v>
      </c>
      <c r="J430" s="66"/>
      <c r="K430" s="66"/>
      <c r="L430" s="1222"/>
      <c r="M430" s="51"/>
      <c r="N430" s="52"/>
      <c r="O430" s="25"/>
      <c r="P430" s="25"/>
    </row>
    <row r="431" spans="1:16" ht="30" customHeight="1">
      <c r="A431" s="61"/>
      <c r="B431" s="62"/>
      <c r="C431" s="63"/>
      <c r="D431" s="1219" t="s">
        <v>10957</v>
      </c>
      <c r="E431" s="65"/>
      <c r="F431" s="66"/>
      <c r="G431" s="66"/>
      <c r="H431" s="1220"/>
      <c r="I431" s="66"/>
      <c r="J431" s="66"/>
      <c r="K431" s="66"/>
      <c r="L431" s="1222"/>
      <c r="M431" s="51"/>
      <c r="N431" s="52"/>
      <c r="O431" s="25"/>
      <c r="P431" s="25"/>
    </row>
    <row r="432" spans="1:16" ht="30" customHeight="1">
      <c r="A432" s="61"/>
      <c r="B432" s="62"/>
      <c r="C432" s="63"/>
      <c r="D432" s="1219" t="s">
        <v>10958</v>
      </c>
      <c r="E432" s="65"/>
      <c r="F432" s="66">
        <f t="shared" ref="F432:F463" si="11">G432*I432</f>
        <v>9.7979999999999983</v>
      </c>
      <c r="G432" s="66">
        <v>2.2999999999999998</v>
      </c>
      <c r="H432" s="1220"/>
      <c r="I432" s="66">
        <v>4.26</v>
      </c>
      <c r="J432" s="66"/>
      <c r="K432" s="66"/>
      <c r="L432" s="1222"/>
      <c r="M432" s="51"/>
      <c r="N432" s="52"/>
      <c r="O432" s="25"/>
      <c r="P432" s="25"/>
    </row>
    <row r="433" spans="1:16" ht="30" customHeight="1">
      <c r="A433" s="61"/>
      <c r="B433" s="62"/>
      <c r="C433" s="63"/>
      <c r="D433" s="1219"/>
      <c r="E433" s="65"/>
      <c r="F433" s="66">
        <f t="shared" si="11"/>
        <v>12.78</v>
      </c>
      <c r="G433" s="66">
        <v>3</v>
      </c>
      <c r="H433" s="1220"/>
      <c r="I433" s="66">
        <v>4.26</v>
      </c>
      <c r="J433" s="66"/>
      <c r="K433" s="66"/>
      <c r="L433" s="1222"/>
      <c r="M433" s="51"/>
      <c r="N433" s="52"/>
      <c r="O433" s="25"/>
      <c r="P433" s="25"/>
    </row>
    <row r="434" spans="1:16" ht="30" customHeight="1">
      <c r="A434" s="61"/>
      <c r="B434" s="62"/>
      <c r="C434" s="63"/>
      <c r="D434" s="1219"/>
      <c r="E434" s="65"/>
      <c r="F434" s="66">
        <f t="shared" si="11"/>
        <v>7.7279999999999989</v>
      </c>
      <c r="G434" s="66">
        <v>2.2999999999999998</v>
      </c>
      <c r="H434" s="1220"/>
      <c r="I434" s="66">
        <v>3.36</v>
      </c>
      <c r="J434" s="66"/>
      <c r="K434" s="66"/>
      <c r="L434" s="1222"/>
      <c r="M434" s="51"/>
      <c r="N434" s="52"/>
      <c r="O434" s="25"/>
      <c r="P434" s="25"/>
    </row>
    <row r="435" spans="1:16" ht="30" customHeight="1">
      <c r="A435" s="61"/>
      <c r="B435" s="62"/>
      <c r="C435" s="63"/>
      <c r="D435" s="1219"/>
      <c r="E435" s="65"/>
      <c r="F435" s="66">
        <f t="shared" si="11"/>
        <v>7.7279999999999989</v>
      </c>
      <c r="G435" s="66">
        <v>2.2999999999999998</v>
      </c>
      <c r="H435" s="1220"/>
      <c r="I435" s="66">
        <v>3.36</v>
      </c>
      <c r="J435" s="66"/>
      <c r="K435" s="66"/>
      <c r="L435" s="1222"/>
      <c r="M435" s="51"/>
      <c r="N435" s="52"/>
      <c r="O435" s="25"/>
      <c r="P435" s="25"/>
    </row>
    <row r="436" spans="1:16" ht="30" customHeight="1">
      <c r="A436" s="61"/>
      <c r="B436" s="62"/>
      <c r="C436" s="63"/>
      <c r="D436" s="1219" t="s">
        <v>10959</v>
      </c>
      <c r="E436" s="65"/>
      <c r="F436" s="66">
        <f t="shared" si="11"/>
        <v>9.7979999999999983</v>
      </c>
      <c r="G436" s="66">
        <v>2.2999999999999998</v>
      </c>
      <c r="H436" s="1220"/>
      <c r="I436" s="66">
        <v>4.26</v>
      </c>
      <c r="J436" s="66"/>
      <c r="K436" s="66"/>
      <c r="L436" s="1222"/>
      <c r="M436" s="51"/>
      <c r="N436" s="52"/>
      <c r="O436" s="25"/>
      <c r="P436" s="25"/>
    </row>
    <row r="437" spans="1:16" ht="30" customHeight="1">
      <c r="A437" s="61"/>
      <c r="B437" s="62"/>
      <c r="C437" s="63"/>
      <c r="D437" s="1219"/>
      <c r="E437" s="65"/>
      <c r="F437" s="66">
        <f t="shared" si="11"/>
        <v>7.7279999999999989</v>
      </c>
      <c r="G437" s="66">
        <v>2.2999999999999998</v>
      </c>
      <c r="H437" s="1220"/>
      <c r="I437" s="66">
        <v>3.36</v>
      </c>
      <c r="J437" s="66"/>
      <c r="K437" s="66"/>
      <c r="L437" s="1222"/>
      <c r="M437" s="51"/>
      <c r="N437" s="52"/>
      <c r="O437" s="25"/>
      <c r="P437" s="25"/>
    </row>
    <row r="438" spans="1:16" ht="30" customHeight="1">
      <c r="A438" s="61"/>
      <c r="B438" s="62"/>
      <c r="C438" s="63"/>
      <c r="D438" s="1219"/>
      <c r="E438" s="65"/>
      <c r="F438" s="66">
        <f t="shared" si="11"/>
        <v>7.7279999999999989</v>
      </c>
      <c r="G438" s="66">
        <v>2.2999999999999998</v>
      </c>
      <c r="H438" s="1220"/>
      <c r="I438" s="66">
        <v>3.36</v>
      </c>
      <c r="J438" s="66"/>
      <c r="K438" s="66"/>
      <c r="L438" s="1222"/>
      <c r="M438" s="51"/>
      <c r="N438" s="52"/>
      <c r="O438" s="25"/>
      <c r="P438" s="25"/>
    </row>
    <row r="439" spans="1:16" ht="30" customHeight="1">
      <c r="A439" s="61"/>
      <c r="B439" s="62"/>
      <c r="C439" s="63"/>
      <c r="D439" s="1219" t="s">
        <v>10960</v>
      </c>
      <c r="E439" s="65"/>
      <c r="F439" s="66">
        <f t="shared" si="11"/>
        <v>5.6579999999999995</v>
      </c>
      <c r="G439" s="66">
        <v>2.2999999999999998</v>
      </c>
      <c r="H439" s="1220"/>
      <c r="I439" s="66">
        <v>2.46</v>
      </c>
      <c r="J439" s="66"/>
      <c r="K439" s="66"/>
      <c r="L439" s="1222"/>
      <c r="M439" s="51"/>
      <c r="N439" s="52"/>
      <c r="O439" s="25"/>
      <c r="P439" s="25"/>
    </row>
    <row r="440" spans="1:16" ht="30" customHeight="1">
      <c r="A440" s="61"/>
      <c r="B440" s="62"/>
      <c r="C440" s="63"/>
      <c r="D440" s="1219"/>
      <c r="E440" s="65"/>
      <c r="F440" s="66">
        <f t="shared" si="11"/>
        <v>7.38</v>
      </c>
      <c r="G440" s="66">
        <v>3</v>
      </c>
      <c r="H440" s="1220"/>
      <c r="I440" s="66">
        <v>2.46</v>
      </c>
      <c r="J440" s="66"/>
      <c r="K440" s="66"/>
      <c r="L440" s="1222"/>
      <c r="M440" s="51"/>
      <c r="N440" s="52"/>
      <c r="O440" s="25"/>
      <c r="P440" s="25"/>
    </row>
    <row r="441" spans="1:16" ht="30" customHeight="1">
      <c r="A441" s="61"/>
      <c r="B441" s="62"/>
      <c r="C441" s="63"/>
      <c r="D441" s="1219"/>
      <c r="E441" s="65"/>
      <c r="F441" s="66">
        <f t="shared" si="11"/>
        <v>2.6880000000000002</v>
      </c>
      <c r="G441" s="66">
        <v>0.8</v>
      </c>
      <c r="H441" s="1220"/>
      <c r="I441" s="66">
        <v>3.36</v>
      </c>
      <c r="J441" s="66"/>
      <c r="K441" s="66"/>
      <c r="L441" s="1222"/>
      <c r="M441" s="51"/>
      <c r="N441" s="52"/>
      <c r="O441" s="25"/>
      <c r="P441" s="25"/>
    </row>
    <row r="442" spans="1:16" ht="30" customHeight="1">
      <c r="A442" s="61"/>
      <c r="B442" s="62"/>
      <c r="C442" s="63"/>
      <c r="D442" s="1219" t="s">
        <v>10961</v>
      </c>
      <c r="E442" s="65"/>
      <c r="F442" s="66">
        <f t="shared" si="11"/>
        <v>5.6579999999999995</v>
      </c>
      <c r="G442" s="66">
        <v>2.2999999999999998</v>
      </c>
      <c r="H442" s="1220"/>
      <c r="I442" s="66">
        <v>2.46</v>
      </c>
      <c r="J442" s="66"/>
      <c r="K442" s="66"/>
      <c r="L442" s="1222"/>
      <c r="M442" s="51"/>
      <c r="N442" s="52"/>
      <c r="O442" s="25"/>
      <c r="P442" s="25"/>
    </row>
    <row r="443" spans="1:16" ht="30" customHeight="1">
      <c r="A443" s="61"/>
      <c r="B443" s="62"/>
      <c r="C443" s="63"/>
      <c r="D443" s="1219"/>
      <c r="E443" s="65"/>
      <c r="F443" s="66">
        <f t="shared" si="11"/>
        <v>7.7279999999999989</v>
      </c>
      <c r="G443" s="66">
        <v>2.2999999999999998</v>
      </c>
      <c r="H443" s="1220"/>
      <c r="I443" s="66">
        <v>3.36</v>
      </c>
      <c r="J443" s="66"/>
      <c r="K443" s="66"/>
      <c r="L443" s="1222"/>
      <c r="M443" s="51"/>
      <c r="N443" s="52"/>
      <c r="O443" s="25"/>
      <c r="P443" s="25"/>
    </row>
    <row r="444" spans="1:16" ht="30" customHeight="1">
      <c r="A444" s="61"/>
      <c r="B444" s="62"/>
      <c r="C444" s="63"/>
      <c r="D444" s="1219" t="s">
        <v>10962</v>
      </c>
      <c r="E444" s="65"/>
      <c r="F444" s="66">
        <f t="shared" si="11"/>
        <v>6.4409999999999998</v>
      </c>
      <c r="G444" s="66">
        <v>1.9</v>
      </c>
      <c r="H444" s="1220"/>
      <c r="I444" s="66">
        <v>3.39</v>
      </c>
      <c r="J444" s="66"/>
      <c r="K444" s="66"/>
      <c r="L444" s="1222"/>
      <c r="M444" s="51"/>
      <c r="N444" s="52"/>
      <c r="O444" s="25"/>
      <c r="P444" s="25"/>
    </row>
    <row r="445" spans="1:16" ht="30" customHeight="1">
      <c r="A445" s="61"/>
      <c r="B445" s="62"/>
      <c r="C445" s="63"/>
      <c r="D445" s="1219"/>
      <c r="E445" s="65"/>
      <c r="F445" s="66">
        <f t="shared" si="11"/>
        <v>12.78</v>
      </c>
      <c r="G445" s="66">
        <v>3</v>
      </c>
      <c r="H445" s="1220"/>
      <c r="I445" s="66">
        <v>4.26</v>
      </c>
      <c r="J445" s="66"/>
      <c r="K445" s="66"/>
      <c r="L445" s="1222"/>
      <c r="M445" s="51"/>
      <c r="N445" s="52"/>
      <c r="O445" s="25"/>
      <c r="P445" s="25"/>
    </row>
    <row r="446" spans="1:16" ht="30" customHeight="1">
      <c r="A446" s="61"/>
      <c r="B446" s="62"/>
      <c r="C446" s="63"/>
      <c r="D446" s="1219"/>
      <c r="E446" s="65"/>
      <c r="F446" s="66">
        <f t="shared" si="11"/>
        <v>5.22</v>
      </c>
      <c r="G446" s="66">
        <v>3</v>
      </c>
      <c r="H446" s="1220"/>
      <c r="I446" s="66">
        <v>1.74</v>
      </c>
      <c r="J446" s="66"/>
      <c r="K446" s="66"/>
      <c r="L446" s="1222"/>
      <c r="M446" s="51"/>
      <c r="N446" s="52"/>
      <c r="O446" s="25"/>
      <c r="P446" s="25"/>
    </row>
    <row r="447" spans="1:16" ht="30" customHeight="1">
      <c r="A447" s="61"/>
      <c r="B447" s="62"/>
      <c r="C447" s="63"/>
      <c r="D447" s="1219"/>
      <c r="E447" s="65"/>
      <c r="F447" s="66">
        <f t="shared" si="11"/>
        <v>8.1000000000000014</v>
      </c>
      <c r="G447" s="66">
        <v>3</v>
      </c>
      <c r="H447" s="1220"/>
      <c r="I447" s="66">
        <v>2.7</v>
      </c>
      <c r="J447" s="66"/>
      <c r="K447" s="66"/>
      <c r="L447" s="1222"/>
      <c r="M447" s="51"/>
      <c r="N447" s="52"/>
      <c r="O447" s="25"/>
      <c r="P447" s="25"/>
    </row>
    <row r="448" spans="1:16" ht="30" customHeight="1">
      <c r="A448" s="61"/>
      <c r="B448" s="62"/>
      <c r="C448" s="63"/>
      <c r="D448" s="1219"/>
      <c r="E448" s="65"/>
      <c r="F448" s="66">
        <f t="shared" si="11"/>
        <v>3.7949999999999995</v>
      </c>
      <c r="G448" s="66">
        <v>2.2999999999999998</v>
      </c>
      <c r="H448" s="1220"/>
      <c r="I448" s="66">
        <v>1.65</v>
      </c>
      <c r="J448" s="66"/>
      <c r="K448" s="66"/>
      <c r="L448" s="1222"/>
      <c r="M448" s="51"/>
      <c r="N448" s="52"/>
      <c r="O448" s="25"/>
      <c r="P448" s="25"/>
    </row>
    <row r="449" spans="1:16" ht="30" customHeight="1">
      <c r="A449" s="61"/>
      <c r="B449" s="62"/>
      <c r="C449" s="63"/>
      <c r="D449" s="1219"/>
      <c r="E449" s="65"/>
      <c r="F449" s="66">
        <f t="shared" si="11"/>
        <v>1.2349999999999999</v>
      </c>
      <c r="G449" s="66">
        <v>1.9</v>
      </c>
      <c r="H449" s="1220"/>
      <c r="I449" s="66">
        <v>0.65</v>
      </c>
      <c r="J449" s="66"/>
      <c r="K449" s="66"/>
      <c r="L449" s="1222"/>
      <c r="M449" s="51"/>
      <c r="N449" s="52"/>
      <c r="O449" s="25"/>
      <c r="P449" s="25"/>
    </row>
    <row r="450" spans="1:16" ht="30" customHeight="1">
      <c r="A450" s="61"/>
      <c r="B450" s="62"/>
      <c r="C450" s="63"/>
      <c r="D450" s="1219" t="s">
        <v>10963</v>
      </c>
      <c r="E450" s="65"/>
      <c r="F450" s="66">
        <f t="shared" si="11"/>
        <v>3.7949999999999995</v>
      </c>
      <c r="G450" s="66">
        <v>2.2999999999999998</v>
      </c>
      <c r="H450" s="1220"/>
      <c r="I450" s="66">
        <v>1.65</v>
      </c>
      <c r="J450" s="66"/>
      <c r="K450" s="66"/>
      <c r="L450" s="1222"/>
      <c r="M450" s="51"/>
      <c r="N450" s="52"/>
      <c r="O450" s="25"/>
      <c r="P450" s="25"/>
    </row>
    <row r="451" spans="1:16" ht="30" customHeight="1">
      <c r="A451" s="61"/>
      <c r="B451" s="62"/>
      <c r="C451" s="63"/>
      <c r="D451" s="1219"/>
      <c r="E451" s="65"/>
      <c r="F451" s="66">
        <f t="shared" si="11"/>
        <v>8.0939999999999994</v>
      </c>
      <c r="G451" s="66">
        <v>1.9</v>
      </c>
      <c r="H451" s="1220"/>
      <c r="I451" s="66">
        <v>4.26</v>
      </c>
      <c r="J451" s="66"/>
      <c r="K451" s="66"/>
      <c r="L451" s="1222"/>
      <c r="M451" s="51"/>
      <c r="N451" s="52"/>
      <c r="O451" s="25"/>
      <c r="P451" s="25"/>
    </row>
    <row r="452" spans="1:16" ht="30" customHeight="1">
      <c r="A452" s="61"/>
      <c r="B452" s="62"/>
      <c r="C452" s="63"/>
      <c r="D452" s="1219"/>
      <c r="E452" s="65"/>
      <c r="F452" s="66">
        <f t="shared" si="11"/>
        <v>4.6739999999999995</v>
      </c>
      <c r="G452" s="66">
        <v>1.9</v>
      </c>
      <c r="H452" s="1220"/>
      <c r="I452" s="66">
        <v>2.46</v>
      </c>
      <c r="J452" s="66"/>
      <c r="K452" s="66"/>
      <c r="L452" s="1222"/>
      <c r="M452" s="51"/>
      <c r="N452" s="52"/>
      <c r="O452" s="25"/>
      <c r="P452" s="25"/>
    </row>
    <row r="453" spans="1:16" ht="30" customHeight="1">
      <c r="A453" s="61"/>
      <c r="B453" s="62"/>
      <c r="C453" s="63"/>
      <c r="D453" s="1219"/>
      <c r="E453" s="65"/>
      <c r="F453" s="66">
        <f t="shared" si="11"/>
        <v>6.4409999999999998</v>
      </c>
      <c r="G453" s="66">
        <v>1.9</v>
      </c>
      <c r="H453" s="1220"/>
      <c r="I453" s="66">
        <v>3.39</v>
      </c>
      <c r="J453" s="66"/>
      <c r="K453" s="66"/>
      <c r="L453" s="1222"/>
      <c r="M453" s="51"/>
      <c r="N453" s="52"/>
      <c r="O453" s="25"/>
      <c r="P453" s="25"/>
    </row>
    <row r="454" spans="1:16" ht="30" customHeight="1">
      <c r="A454" s="61"/>
      <c r="B454" s="62"/>
      <c r="C454" s="63"/>
      <c r="D454" s="1219"/>
      <c r="E454" s="65"/>
      <c r="F454" s="66">
        <f t="shared" si="11"/>
        <v>1.2349999999999999</v>
      </c>
      <c r="G454" s="66">
        <v>1.9</v>
      </c>
      <c r="H454" s="1220"/>
      <c r="I454" s="66">
        <v>0.65</v>
      </c>
      <c r="J454" s="66"/>
      <c r="K454" s="66"/>
      <c r="L454" s="1222"/>
      <c r="M454" s="51"/>
      <c r="N454" s="52"/>
      <c r="O454" s="25"/>
      <c r="P454" s="25"/>
    </row>
    <row r="455" spans="1:16" ht="30" customHeight="1">
      <c r="A455" s="61"/>
      <c r="B455" s="62"/>
      <c r="C455" s="63"/>
      <c r="D455" s="1219"/>
      <c r="E455" s="65"/>
      <c r="F455" s="66">
        <f t="shared" si="11"/>
        <v>5.22</v>
      </c>
      <c r="G455" s="66">
        <v>3</v>
      </c>
      <c r="H455" s="1220"/>
      <c r="I455" s="66">
        <v>1.74</v>
      </c>
      <c r="J455" s="66"/>
      <c r="K455" s="66"/>
      <c r="L455" s="1222"/>
      <c r="M455" s="51"/>
      <c r="N455" s="52"/>
      <c r="O455" s="25"/>
      <c r="P455" s="25"/>
    </row>
    <row r="456" spans="1:16" ht="30" customHeight="1">
      <c r="A456" s="61"/>
      <c r="B456" s="62"/>
      <c r="C456" s="63"/>
      <c r="D456" s="1219"/>
      <c r="E456" s="65"/>
      <c r="F456" s="66">
        <f t="shared" si="11"/>
        <v>7.38</v>
      </c>
      <c r="G456" s="66">
        <v>3</v>
      </c>
      <c r="H456" s="1220"/>
      <c r="I456" s="66">
        <v>2.46</v>
      </c>
      <c r="J456" s="66"/>
      <c r="K456" s="66"/>
      <c r="L456" s="1222"/>
      <c r="M456" s="51"/>
      <c r="N456" s="52"/>
      <c r="O456" s="25"/>
      <c r="P456" s="25"/>
    </row>
    <row r="457" spans="1:16" ht="30" customHeight="1">
      <c r="A457" s="61"/>
      <c r="B457" s="62"/>
      <c r="C457" s="63"/>
      <c r="D457" s="1219" t="s">
        <v>10964</v>
      </c>
      <c r="E457" s="65"/>
      <c r="F457" s="66">
        <f t="shared" si="11"/>
        <v>5.0999999999999996</v>
      </c>
      <c r="G457" s="66">
        <v>3</v>
      </c>
      <c r="H457" s="1220"/>
      <c r="I457" s="66">
        <v>1.7</v>
      </c>
      <c r="J457" s="66"/>
      <c r="K457" s="66"/>
      <c r="L457" s="1222"/>
      <c r="M457" s="51"/>
      <c r="N457" s="52"/>
      <c r="O457" s="25"/>
      <c r="P457" s="25"/>
    </row>
    <row r="458" spans="1:16" ht="30" customHeight="1">
      <c r="A458" s="61"/>
      <c r="B458" s="62"/>
      <c r="C458" s="63"/>
      <c r="D458" s="1219"/>
      <c r="E458" s="65"/>
      <c r="F458" s="66">
        <f t="shared" si="11"/>
        <v>3.4499999999999997</v>
      </c>
      <c r="G458" s="66">
        <v>2.2999999999999998</v>
      </c>
      <c r="H458" s="1220"/>
      <c r="I458" s="66">
        <v>1.5</v>
      </c>
      <c r="J458" s="66"/>
      <c r="K458" s="66"/>
      <c r="L458" s="1222"/>
      <c r="M458" s="51"/>
      <c r="N458" s="52"/>
      <c r="O458" s="25"/>
      <c r="P458" s="25"/>
    </row>
    <row r="459" spans="1:16" ht="30" customHeight="1">
      <c r="A459" s="61"/>
      <c r="B459" s="62"/>
      <c r="C459" s="63"/>
      <c r="D459" s="1219" t="s">
        <v>10965</v>
      </c>
      <c r="E459" s="65"/>
      <c r="F459" s="66">
        <f t="shared" si="11"/>
        <v>3.4499999999999997</v>
      </c>
      <c r="G459" s="66">
        <v>2.2999999999999998</v>
      </c>
      <c r="H459" s="1220"/>
      <c r="I459" s="66">
        <v>1.5</v>
      </c>
      <c r="J459" s="66"/>
      <c r="K459" s="66"/>
      <c r="L459" s="1222"/>
      <c r="M459" s="51"/>
      <c r="N459" s="52"/>
      <c r="O459" s="25"/>
      <c r="P459" s="25"/>
    </row>
    <row r="460" spans="1:16" ht="30" customHeight="1">
      <c r="A460" s="61"/>
      <c r="B460" s="62"/>
      <c r="C460" s="63"/>
      <c r="D460" s="1219" t="s">
        <v>10966</v>
      </c>
      <c r="E460" s="65"/>
      <c r="F460" s="66">
        <f t="shared" si="11"/>
        <v>0</v>
      </c>
      <c r="G460" s="66"/>
      <c r="H460" s="1220"/>
      <c r="I460" s="66"/>
      <c r="J460" s="66"/>
      <c r="K460" s="66"/>
      <c r="L460" s="1221" t="s">
        <v>10967</v>
      </c>
      <c r="M460" s="51"/>
      <c r="N460" s="52"/>
      <c r="O460" s="25"/>
      <c r="P460" s="25"/>
    </row>
    <row r="461" spans="1:16" ht="30" customHeight="1">
      <c r="A461" s="61"/>
      <c r="B461" s="62"/>
      <c r="C461" s="63"/>
      <c r="D461" s="1219" t="s">
        <v>10968</v>
      </c>
      <c r="E461" s="65"/>
      <c r="F461" s="66">
        <f t="shared" si="11"/>
        <v>9.8899999999999988</v>
      </c>
      <c r="G461" s="66">
        <v>2.2999999999999998</v>
      </c>
      <c r="H461" s="1220"/>
      <c r="I461" s="66">
        <v>4.3</v>
      </c>
      <c r="J461" s="66"/>
      <c r="K461" s="66"/>
      <c r="L461" s="1222"/>
      <c r="M461" s="51"/>
      <c r="N461" s="52"/>
      <c r="O461" s="25"/>
      <c r="P461" s="25"/>
    </row>
    <row r="462" spans="1:16" ht="30" customHeight="1">
      <c r="A462" s="61"/>
      <c r="B462" s="62"/>
      <c r="C462" s="63"/>
      <c r="D462" s="1219"/>
      <c r="E462" s="65"/>
      <c r="F462" s="66">
        <f t="shared" si="11"/>
        <v>12.899999999999999</v>
      </c>
      <c r="G462" s="66">
        <v>3</v>
      </c>
      <c r="H462" s="1220"/>
      <c r="I462" s="66">
        <v>4.3</v>
      </c>
      <c r="J462" s="66"/>
      <c r="K462" s="66"/>
      <c r="L462" s="1222"/>
      <c r="M462" s="51"/>
      <c r="N462" s="52"/>
      <c r="O462" s="25"/>
      <c r="P462" s="25"/>
    </row>
    <row r="463" spans="1:16" ht="30" customHeight="1">
      <c r="A463" s="61"/>
      <c r="B463" s="62"/>
      <c r="C463" s="63"/>
      <c r="D463" s="1219"/>
      <c r="E463" s="65"/>
      <c r="F463" s="66">
        <f t="shared" si="11"/>
        <v>16.007999999999999</v>
      </c>
      <c r="G463" s="66">
        <v>2.2999999999999998</v>
      </c>
      <c r="H463" s="1220"/>
      <c r="I463" s="66">
        <v>6.96</v>
      </c>
      <c r="J463" s="66"/>
      <c r="K463" s="66"/>
      <c r="L463" s="1222"/>
      <c r="M463" s="51"/>
      <c r="N463" s="52"/>
      <c r="O463" s="25"/>
      <c r="P463" s="25"/>
    </row>
    <row r="464" spans="1:16" ht="30" customHeight="1">
      <c r="A464" s="61"/>
      <c r="B464" s="62"/>
      <c r="C464" s="63"/>
      <c r="D464" s="1219"/>
      <c r="E464" s="65"/>
      <c r="F464" s="66">
        <f t="shared" ref="F464:F495" si="12">G464*I464</f>
        <v>20.88</v>
      </c>
      <c r="G464" s="66">
        <v>3</v>
      </c>
      <c r="H464" s="1220"/>
      <c r="I464" s="66">
        <v>6.96</v>
      </c>
      <c r="J464" s="66"/>
      <c r="K464" s="66"/>
      <c r="L464" s="1222"/>
      <c r="M464" s="51"/>
      <c r="N464" s="52"/>
      <c r="O464" s="25"/>
      <c r="P464" s="25"/>
    </row>
    <row r="465" spans="1:16" ht="30" customHeight="1">
      <c r="A465" s="61"/>
      <c r="B465" s="62"/>
      <c r="C465" s="63"/>
      <c r="D465" s="1219" t="s">
        <v>10969</v>
      </c>
      <c r="E465" s="65"/>
      <c r="F465" s="66">
        <f t="shared" si="12"/>
        <v>5.6349999999999998</v>
      </c>
      <c r="G465" s="66">
        <v>2.2999999999999998</v>
      </c>
      <c r="H465" s="1220"/>
      <c r="I465" s="66">
        <v>2.4500000000000002</v>
      </c>
      <c r="J465" s="66"/>
      <c r="K465" s="66"/>
      <c r="L465" s="1222"/>
      <c r="M465" s="51"/>
      <c r="N465" s="52"/>
      <c r="O465" s="25"/>
      <c r="P465" s="25"/>
    </row>
    <row r="466" spans="1:16" ht="30" customHeight="1">
      <c r="A466" s="61"/>
      <c r="B466" s="62"/>
      <c r="C466" s="63"/>
      <c r="D466" s="1219"/>
      <c r="E466" s="65"/>
      <c r="F466" s="66">
        <f t="shared" si="12"/>
        <v>7.3500000000000005</v>
      </c>
      <c r="G466" s="66">
        <v>3</v>
      </c>
      <c r="H466" s="1220"/>
      <c r="I466" s="66">
        <v>2.4500000000000002</v>
      </c>
      <c r="J466" s="66"/>
      <c r="K466" s="66"/>
      <c r="L466" s="1222"/>
      <c r="M466" s="51"/>
      <c r="N466" s="52"/>
      <c r="O466" s="25"/>
      <c r="P466" s="25"/>
    </row>
    <row r="467" spans="1:16" ht="30" customHeight="1">
      <c r="A467" s="61"/>
      <c r="B467" s="62"/>
      <c r="C467" s="63"/>
      <c r="D467" s="1219" t="s">
        <v>10970</v>
      </c>
      <c r="E467" s="65"/>
      <c r="F467" s="66">
        <f t="shared" si="12"/>
        <v>4.6500000000000004</v>
      </c>
      <c r="G467" s="66">
        <v>3</v>
      </c>
      <c r="H467" s="1220"/>
      <c r="I467" s="66">
        <v>1.55</v>
      </c>
      <c r="J467" s="66"/>
      <c r="K467" s="66"/>
      <c r="L467" s="1222"/>
      <c r="M467" s="51"/>
      <c r="N467" s="52"/>
      <c r="O467" s="25"/>
      <c r="P467" s="25"/>
    </row>
    <row r="468" spans="1:16" ht="30" customHeight="1">
      <c r="A468" s="61"/>
      <c r="B468" s="62"/>
      <c r="C468" s="63"/>
      <c r="D468" s="1219"/>
      <c r="E468" s="65"/>
      <c r="F468" s="66">
        <f t="shared" si="12"/>
        <v>4.6500000000000004</v>
      </c>
      <c r="G468" s="66">
        <v>3</v>
      </c>
      <c r="H468" s="1220"/>
      <c r="I468" s="66">
        <v>1.55</v>
      </c>
      <c r="J468" s="66"/>
      <c r="K468" s="66"/>
      <c r="L468" s="1222"/>
      <c r="M468" s="51"/>
      <c r="N468" s="52"/>
      <c r="O468" s="25"/>
      <c r="P468" s="25"/>
    </row>
    <row r="469" spans="1:16" ht="30" customHeight="1">
      <c r="A469" s="61"/>
      <c r="B469" s="62"/>
      <c r="C469" s="63"/>
      <c r="D469" s="1219"/>
      <c r="E469" s="65"/>
      <c r="F469" s="66">
        <f t="shared" si="12"/>
        <v>7.3500000000000005</v>
      </c>
      <c r="G469" s="66">
        <v>3</v>
      </c>
      <c r="H469" s="1220"/>
      <c r="I469" s="66">
        <v>2.4500000000000002</v>
      </c>
      <c r="J469" s="66"/>
      <c r="K469" s="66"/>
      <c r="L469" s="1222"/>
      <c r="M469" s="51"/>
      <c r="N469" s="52"/>
      <c r="O469" s="25"/>
      <c r="P469" s="25"/>
    </row>
    <row r="470" spans="1:16" ht="30" customHeight="1">
      <c r="A470" s="61"/>
      <c r="B470" s="62"/>
      <c r="C470" s="63"/>
      <c r="D470" s="1219" t="s">
        <v>10971</v>
      </c>
      <c r="E470" s="65"/>
      <c r="F470" s="66">
        <f t="shared" si="12"/>
        <v>3.5879999999999996</v>
      </c>
      <c r="G470" s="66">
        <v>2.2999999999999998</v>
      </c>
      <c r="H470" s="1220"/>
      <c r="I470" s="66">
        <v>1.56</v>
      </c>
      <c r="J470" s="66"/>
      <c r="K470" s="66"/>
      <c r="L470" s="1222"/>
      <c r="M470" s="51"/>
      <c r="N470" s="52"/>
      <c r="O470" s="25"/>
      <c r="P470" s="25"/>
    </row>
    <row r="471" spans="1:16" ht="30" customHeight="1">
      <c r="A471" s="61"/>
      <c r="B471" s="62"/>
      <c r="C471" s="63"/>
      <c r="D471" s="1219"/>
      <c r="E471" s="65"/>
      <c r="F471" s="66">
        <f t="shared" si="12"/>
        <v>4.68</v>
      </c>
      <c r="G471" s="66">
        <v>3</v>
      </c>
      <c r="H471" s="1220"/>
      <c r="I471" s="66">
        <v>1.56</v>
      </c>
      <c r="J471" s="66"/>
      <c r="K471" s="66"/>
      <c r="L471" s="1222"/>
      <c r="M471" s="51"/>
      <c r="N471" s="52"/>
      <c r="O471" s="25"/>
      <c r="P471" s="25"/>
    </row>
    <row r="472" spans="1:16" ht="30" customHeight="1">
      <c r="A472" s="61"/>
      <c r="B472" s="62"/>
      <c r="C472" s="63"/>
      <c r="D472" s="1219"/>
      <c r="E472" s="65"/>
      <c r="F472" s="66">
        <f t="shared" si="12"/>
        <v>10.08</v>
      </c>
      <c r="G472" s="66">
        <v>3</v>
      </c>
      <c r="H472" s="1220"/>
      <c r="I472" s="66">
        <v>3.36</v>
      </c>
      <c r="J472" s="66"/>
      <c r="K472" s="66"/>
      <c r="L472" s="1222"/>
      <c r="M472" s="51"/>
      <c r="N472" s="52"/>
      <c r="O472" s="25"/>
      <c r="P472" s="25"/>
    </row>
    <row r="473" spans="1:16" ht="30" customHeight="1">
      <c r="A473" s="61"/>
      <c r="B473" s="62"/>
      <c r="C473" s="63"/>
      <c r="D473" s="1219" t="s">
        <v>10971</v>
      </c>
      <c r="E473" s="65"/>
      <c r="F473" s="66">
        <f t="shared" si="12"/>
        <v>3.5879999999999996</v>
      </c>
      <c r="G473" s="66">
        <v>2.2999999999999998</v>
      </c>
      <c r="H473" s="1220"/>
      <c r="I473" s="66">
        <v>1.56</v>
      </c>
      <c r="J473" s="66"/>
      <c r="K473" s="66"/>
      <c r="L473" s="1222"/>
      <c r="M473" s="51"/>
      <c r="N473" s="52"/>
      <c r="O473" s="25"/>
      <c r="P473" s="25"/>
    </row>
    <row r="474" spans="1:16" ht="30" customHeight="1">
      <c r="A474" s="61"/>
      <c r="B474" s="62"/>
      <c r="C474" s="63"/>
      <c r="D474" s="1219"/>
      <c r="E474" s="65"/>
      <c r="F474" s="66">
        <f t="shared" si="12"/>
        <v>4.68</v>
      </c>
      <c r="G474" s="66">
        <v>3</v>
      </c>
      <c r="H474" s="1220"/>
      <c r="I474" s="66">
        <v>1.56</v>
      </c>
      <c r="J474" s="66"/>
      <c r="K474" s="66"/>
      <c r="L474" s="1222"/>
      <c r="M474" s="51"/>
      <c r="N474" s="52"/>
      <c r="O474" s="25"/>
      <c r="P474" s="25"/>
    </row>
    <row r="475" spans="1:16" ht="30" customHeight="1">
      <c r="A475" s="61"/>
      <c r="B475" s="62"/>
      <c r="C475" s="63"/>
      <c r="D475" s="1219"/>
      <c r="E475" s="65"/>
      <c r="F475" s="66">
        <f t="shared" si="12"/>
        <v>10.08</v>
      </c>
      <c r="G475" s="66">
        <v>3</v>
      </c>
      <c r="H475" s="1220"/>
      <c r="I475" s="66">
        <v>3.36</v>
      </c>
      <c r="J475" s="66"/>
      <c r="K475" s="66"/>
      <c r="L475" s="1222"/>
      <c r="M475" s="51"/>
      <c r="N475" s="52"/>
      <c r="O475" s="25"/>
      <c r="P475" s="25"/>
    </row>
    <row r="476" spans="1:16" ht="30" customHeight="1">
      <c r="A476" s="61"/>
      <c r="B476" s="62"/>
      <c r="C476" s="63"/>
      <c r="D476" s="1219" t="s">
        <v>10972</v>
      </c>
      <c r="E476" s="65"/>
      <c r="F476" s="66">
        <f t="shared" si="12"/>
        <v>10.379999999999999</v>
      </c>
      <c r="G476" s="66">
        <v>3</v>
      </c>
      <c r="H476" s="1220"/>
      <c r="I476" s="66">
        <v>3.46</v>
      </c>
      <c r="J476" s="66"/>
      <c r="K476" s="66"/>
      <c r="L476" s="1222"/>
      <c r="M476" s="51"/>
      <c r="N476" s="52"/>
      <c r="O476" s="25"/>
      <c r="P476" s="25"/>
    </row>
    <row r="477" spans="1:16" ht="30" customHeight="1">
      <c r="A477" s="61"/>
      <c r="B477" s="62"/>
      <c r="C477" s="63"/>
      <c r="D477" s="1219" t="s">
        <v>10973</v>
      </c>
      <c r="E477" s="65"/>
      <c r="F477" s="66">
        <f t="shared" si="12"/>
        <v>10.08</v>
      </c>
      <c r="G477" s="66">
        <v>3</v>
      </c>
      <c r="H477" s="1220"/>
      <c r="I477" s="66">
        <v>3.36</v>
      </c>
      <c r="J477" s="66"/>
      <c r="K477" s="66"/>
      <c r="L477" s="1222"/>
      <c r="M477" s="51"/>
      <c r="N477" s="52"/>
      <c r="O477" s="25"/>
      <c r="P477" s="25"/>
    </row>
    <row r="478" spans="1:16" ht="30" customHeight="1">
      <c r="A478" s="61"/>
      <c r="B478" s="62"/>
      <c r="C478" s="63"/>
      <c r="D478" s="1219"/>
      <c r="E478" s="65"/>
      <c r="F478" s="66">
        <f t="shared" si="12"/>
        <v>5.7039999999999997</v>
      </c>
      <c r="G478" s="66">
        <v>2.2999999999999998</v>
      </c>
      <c r="H478" s="1220"/>
      <c r="I478" s="66">
        <v>2.48</v>
      </c>
      <c r="J478" s="66"/>
      <c r="K478" s="66"/>
      <c r="L478" s="1222"/>
      <c r="M478" s="51"/>
      <c r="N478" s="52"/>
      <c r="O478" s="25"/>
      <c r="P478" s="25"/>
    </row>
    <row r="479" spans="1:16" ht="30" customHeight="1">
      <c r="A479" s="61"/>
      <c r="B479" s="62"/>
      <c r="C479" s="63"/>
      <c r="D479" s="1219" t="s">
        <v>10974</v>
      </c>
      <c r="E479" s="65"/>
      <c r="F479" s="66">
        <f t="shared" si="12"/>
        <v>3.6799999999999997</v>
      </c>
      <c r="G479" s="66">
        <v>2.2999999999999998</v>
      </c>
      <c r="H479" s="1220"/>
      <c r="I479" s="66">
        <v>1.6</v>
      </c>
      <c r="J479" s="66"/>
      <c r="K479" s="66"/>
      <c r="L479" s="1222"/>
      <c r="M479" s="51"/>
      <c r="N479" s="52"/>
      <c r="O479" s="25"/>
      <c r="P479" s="25"/>
    </row>
    <row r="480" spans="1:16" ht="30" customHeight="1">
      <c r="A480" s="61"/>
      <c r="B480" s="62"/>
      <c r="C480" s="63"/>
      <c r="D480" s="1219"/>
      <c r="E480" s="65"/>
      <c r="F480" s="66">
        <f t="shared" si="12"/>
        <v>12.84</v>
      </c>
      <c r="G480" s="66">
        <v>3</v>
      </c>
      <c r="H480" s="1220"/>
      <c r="I480" s="66">
        <v>4.28</v>
      </c>
      <c r="J480" s="66"/>
      <c r="K480" s="66"/>
      <c r="L480" s="1222"/>
      <c r="M480" s="51"/>
      <c r="N480" s="52"/>
      <c r="O480" s="25"/>
      <c r="P480" s="25"/>
    </row>
    <row r="481" spans="1:16" ht="30" customHeight="1">
      <c r="A481" s="61"/>
      <c r="B481" s="62"/>
      <c r="C481" s="63"/>
      <c r="D481" s="1219" t="s">
        <v>10975</v>
      </c>
      <c r="E481" s="65"/>
      <c r="F481" s="66">
        <f t="shared" si="12"/>
        <v>3.5879999999999996</v>
      </c>
      <c r="G481" s="66">
        <v>2.2999999999999998</v>
      </c>
      <c r="H481" s="1220"/>
      <c r="I481" s="66">
        <v>1.56</v>
      </c>
      <c r="J481" s="66"/>
      <c r="K481" s="66"/>
      <c r="L481" s="1222"/>
      <c r="M481" s="51"/>
      <c r="N481" s="52"/>
      <c r="O481" s="25"/>
      <c r="P481" s="25"/>
    </row>
    <row r="482" spans="1:16" ht="30" customHeight="1">
      <c r="A482" s="61"/>
      <c r="B482" s="62"/>
      <c r="C482" s="63"/>
      <c r="D482" s="1219" t="s">
        <v>10976</v>
      </c>
      <c r="E482" s="65"/>
      <c r="F482" s="66">
        <f t="shared" si="12"/>
        <v>6.2100000000000009</v>
      </c>
      <c r="G482" s="66">
        <v>0.9</v>
      </c>
      <c r="H482" s="1220"/>
      <c r="I482" s="66">
        <v>6.9</v>
      </c>
      <c r="J482" s="66"/>
      <c r="K482" s="66"/>
      <c r="L482" s="1222"/>
      <c r="M482" s="51"/>
      <c r="N482" s="52"/>
      <c r="O482" s="25"/>
      <c r="P482" s="25"/>
    </row>
    <row r="483" spans="1:16" ht="30" customHeight="1">
      <c r="A483" s="61"/>
      <c r="B483" s="62"/>
      <c r="C483" s="63"/>
      <c r="D483" s="1219"/>
      <c r="E483" s="65"/>
      <c r="F483" s="66">
        <f t="shared" si="12"/>
        <v>15.87</v>
      </c>
      <c r="G483" s="66">
        <v>2.2999999999999998</v>
      </c>
      <c r="H483" s="1220"/>
      <c r="I483" s="66">
        <v>6.9</v>
      </c>
      <c r="J483" s="66"/>
      <c r="K483" s="66"/>
      <c r="L483" s="1222"/>
      <c r="M483" s="51"/>
      <c r="N483" s="52"/>
      <c r="O483" s="25"/>
      <c r="P483" s="25"/>
    </row>
    <row r="484" spans="1:16" ht="30" customHeight="1">
      <c r="A484" s="61"/>
      <c r="B484" s="62"/>
      <c r="C484" s="63"/>
      <c r="D484" s="1219"/>
      <c r="E484" s="65"/>
      <c r="F484" s="66">
        <f t="shared" si="12"/>
        <v>16.099999999999998</v>
      </c>
      <c r="G484" s="66">
        <v>2.2999999999999998</v>
      </c>
      <c r="H484" s="1220"/>
      <c r="I484" s="66">
        <v>7</v>
      </c>
      <c r="J484" s="66"/>
      <c r="K484" s="66"/>
      <c r="L484" s="1222"/>
      <c r="M484" s="51"/>
      <c r="N484" s="52"/>
      <c r="O484" s="25"/>
      <c r="P484" s="25"/>
    </row>
    <row r="485" spans="1:16" ht="27" customHeight="1">
      <c r="A485" s="61"/>
      <c r="B485" s="62"/>
      <c r="C485" s="63"/>
      <c r="D485" s="1219" t="s">
        <v>1260</v>
      </c>
      <c r="E485" s="65"/>
      <c r="F485" s="66">
        <f t="shared" si="12"/>
        <v>21</v>
      </c>
      <c r="G485" s="66">
        <v>3</v>
      </c>
      <c r="H485" s="1220"/>
      <c r="I485" s="66">
        <v>7</v>
      </c>
      <c r="J485" s="66"/>
      <c r="K485" s="66"/>
      <c r="L485" s="1222"/>
      <c r="M485" s="51"/>
      <c r="N485" s="52"/>
      <c r="O485" s="25"/>
      <c r="P485" s="25"/>
    </row>
    <row r="486" spans="1:16" ht="27" customHeight="1">
      <c r="A486" s="61"/>
      <c r="B486" s="62"/>
      <c r="C486" s="63"/>
      <c r="D486" s="1219"/>
      <c r="E486" s="65"/>
      <c r="F486" s="66">
        <f t="shared" si="12"/>
        <v>15.48</v>
      </c>
      <c r="G486" s="66">
        <v>3</v>
      </c>
      <c r="H486" s="1220"/>
      <c r="I486" s="66">
        <v>5.16</v>
      </c>
      <c r="J486" s="66"/>
      <c r="K486" s="66"/>
      <c r="L486" s="1222"/>
      <c r="M486" s="51"/>
      <c r="N486" s="52"/>
      <c r="O486" s="25"/>
      <c r="P486" s="25"/>
    </row>
    <row r="487" spans="1:16" ht="27" customHeight="1">
      <c r="A487" s="61"/>
      <c r="B487" s="62"/>
      <c r="C487" s="63"/>
      <c r="D487" s="1219"/>
      <c r="E487" s="65"/>
      <c r="F487" s="66">
        <f t="shared" si="12"/>
        <v>21</v>
      </c>
      <c r="G487" s="66">
        <v>3</v>
      </c>
      <c r="H487" s="1220"/>
      <c r="I487" s="66">
        <v>7</v>
      </c>
      <c r="J487" s="66"/>
      <c r="K487" s="66"/>
      <c r="L487" s="1222"/>
      <c r="M487" s="51"/>
      <c r="N487" s="52"/>
      <c r="O487" s="25"/>
      <c r="P487" s="25"/>
    </row>
    <row r="488" spans="1:16" ht="27" customHeight="1">
      <c r="A488" s="61"/>
      <c r="B488" s="62"/>
      <c r="C488" s="63"/>
      <c r="D488" s="1219" t="s">
        <v>10977</v>
      </c>
      <c r="E488" s="65"/>
      <c r="F488" s="66">
        <f t="shared" si="12"/>
        <v>3.5879999999999996</v>
      </c>
      <c r="G488" s="66">
        <v>2.2999999999999998</v>
      </c>
      <c r="H488" s="1220"/>
      <c r="I488" s="66">
        <v>1.56</v>
      </c>
      <c r="J488" s="66"/>
      <c r="K488" s="66"/>
      <c r="L488" s="1222"/>
      <c r="M488" s="51"/>
      <c r="N488" s="52"/>
      <c r="O488" s="25"/>
      <c r="P488" s="25"/>
    </row>
    <row r="489" spans="1:16" ht="30" customHeight="1">
      <c r="A489" s="61"/>
      <c r="B489" s="62"/>
      <c r="C489" s="63"/>
      <c r="D489" s="1219"/>
      <c r="E489" s="65"/>
      <c r="F489" s="66">
        <f t="shared" si="12"/>
        <v>3.5879999999999996</v>
      </c>
      <c r="G489" s="66">
        <v>2.2999999999999998</v>
      </c>
      <c r="H489" s="1220"/>
      <c r="I489" s="66">
        <v>1.56</v>
      </c>
      <c r="J489" s="66"/>
      <c r="K489" s="66"/>
      <c r="L489" s="1222"/>
      <c r="M489" s="51"/>
      <c r="N489" s="52"/>
      <c r="O489" s="25"/>
      <c r="P489" s="25"/>
    </row>
    <row r="490" spans="1:16" ht="30" customHeight="1">
      <c r="A490" s="61"/>
      <c r="B490" s="62"/>
      <c r="C490" s="63"/>
      <c r="D490" s="1219"/>
      <c r="E490" s="65"/>
      <c r="F490" s="66">
        <f t="shared" si="12"/>
        <v>10.02</v>
      </c>
      <c r="G490" s="66">
        <v>3</v>
      </c>
      <c r="H490" s="1220"/>
      <c r="I490" s="66">
        <v>3.34</v>
      </c>
      <c r="J490" s="66"/>
      <c r="K490" s="66"/>
      <c r="L490" s="1222"/>
      <c r="M490" s="51"/>
      <c r="N490" s="52"/>
      <c r="O490" s="25"/>
      <c r="P490" s="25"/>
    </row>
    <row r="491" spans="1:16" ht="30" customHeight="1">
      <c r="A491" s="61"/>
      <c r="B491" s="62"/>
      <c r="C491" s="63"/>
      <c r="D491" s="1219" t="s">
        <v>10977</v>
      </c>
      <c r="E491" s="65"/>
      <c r="F491" s="66">
        <f t="shared" si="12"/>
        <v>3.5879999999999996</v>
      </c>
      <c r="G491" s="66">
        <v>2.2999999999999998</v>
      </c>
      <c r="H491" s="1220"/>
      <c r="I491" s="66">
        <v>1.56</v>
      </c>
      <c r="J491" s="66"/>
      <c r="K491" s="66"/>
      <c r="L491" s="1222"/>
      <c r="M491" s="51"/>
      <c r="N491" s="52"/>
      <c r="O491" s="25"/>
      <c r="P491" s="25"/>
    </row>
    <row r="492" spans="1:16" ht="30" customHeight="1">
      <c r="A492" s="61"/>
      <c r="B492" s="62"/>
      <c r="C492" s="63"/>
      <c r="D492" s="1219"/>
      <c r="E492" s="65"/>
      <c r="F492" s="66">
        <f t="shared" si="12"/>
        <v>3.5879999999999996</v>
      </c>
      <c r="G492" s="66">
        <v>2.2999999999999998</v>
      </c>
      <c r="H492" s="1220"/>
      <c r="I492" s="66">
        <v>1.56</v>
      </c>
      <c r="J492" s="66"/>
      <c r="K492" s="66"/>
      <c r="L492" s="1222"/>
      <c r="M492" s="51"/>
      <c r="N492" s="52"/>
      <c r="O492" s="25"/>
      <c r="P492" s="25"/>
    </row>
    <row r="493" spans="1:16" ht="30" customHeight="1">
      <c r="A493" s="61"/>
      <c r="B493" s="62"/>
      <c r="C493" s="63"/>
      <c r="D493" s="1219"/>
      <c r="E493" s="65"/>
      <c r="F493" s="66">
        <f t="shared" si="12"/>
        <v>10.02</v>
      </c>
      <c r="G493" s="66">
        <v>3</v>
      </c>
      <c r="H493" s="1220"/>
      <c r="I493" s="66">
        <v>3.34</v>
      </c>
      <c r="J493" s="66"/>
      <c r="K493" s="66"/>
      <c r="L493" s="1222"/>
      <c r="M493" s="51"/>
      <c r="N493" s="52"/>
      <c r="O493" s="25"/>
      <c r="P493" s="25"/>
    </row>
    <row r="494" spans="1:16" ht="30" customHeight="1">
      <c r="A494" s="61"/>
      <c r="B494" s="62"/>
      <c r="C494" s="63"/>
      <c r="D494" s="1219" t="s">
        <v>10978</v>
      </c>
      <c r="E494" s="65"/>
      <c r="F494" s="66">
        <f t="shared" si="12"/>
        <v>7.8199999999999994</v>
      </c>
      <c r="G494" s="66">
        <v>2.2999999999999998</v>
      </c>
      <c r="H494" s="1220"/>
      <c r="I494" s="66">
        <v>3.4</v>
      </c>
      <c r="J494" s="66"/>
      <c r="K494" s="66"/>
      <c r="L494" s="1222"/>
      <c r="M494" s="51"/>
      <c r="N494" s="52"/>
      <c r="O494" s="25"/>
      <c r="P494" s="25"/>
    </row>
    <row r="495" spans="1:16" ht="30" customHeight="1">
      <c r="A495" s="61"/>
      <c r="B495" s="62"/>
      <c r="C495" s="63"/>
      <c r="D495" s="1219"/>
      <c r="E495" s="65"/>
      <c r="F495" s="66">
        <f t="shared" si="12"/>
        <v>10.199999999999999</v>
      </c>
      <c r="G495" s="66">
        <v>3</v>
      </c>
      <c r="H495" s="1220"/>
      <c r="I495" s="66">
        <v>3.4</v>
      </c>
      <c r="J495" s="66"/>
      <c r="K495" s="66"/>
      <c r="L495" s="1222"/>
      <c r="M495" s="51"/>
      <c r="N495" s="52"/>
      <c r="O495" s="25"/>
      <c r="P495" s="25"/>
    </row>
    <row r="496" spans="1:16" ht="30" customHeight="1">
      <c r="A496" s="61"/>
      <c r="B496" s="62"/>
      <c r="C496" s="63"/>
      <c r="D496" s="1219"/>
      <c r="E496" s="65"/>
      <c r="F496" s="66">
        <f t="shared" ref="F496:F527" si="13">G496*I496</f>
        <v>10.199999999999999</v>
      </c>
      <c r="G496" s="66">
        <v>3</v>
      </c>
      <c r="H496" s="1220"/>
      <c r="I496" s="66">
        <v>3.4</v>
      </c>
      <c r="J496" s="66"/>
      <c r="K496" s="66"/>
      <c r="L496" s="1222"/>
      <c r="M496" s="51"/>
      <c r="N496" s="52"/>
      <c r="O496" s="25"/>
      <c r="P496" s="25"/>
    </row>
    <row r="497" spans="1:16" ht="30" customHeight="1">
      <c r="A497" s="61"/>
      <c r="B497" s="62"/>
      <c r="C497" s="63"/>
      <c r="D497" s="1219" t="s">
        <v>1261</v>
      </c>
      <c r="E497" s="65"/>
      <c r="F497" s="66">
        <f t="shared" si="13"/>
        <v>20.216999999999995</v>
      </c>
      <c r="G497" s="66">
        <v>2.2999999999999998</v>
      </c>
      <c r="H497" s="1220"/>
      <c r="I497" s="66">
        <v>8.7899999999999991</v>
      </c>
      <c r="J497" s="66"/>
      <c r="K497" s="66"/>
      <c r="L497" s="1222"/>
      <c r="M497" s="51"/>
      <c r="N497" s="52"/>
      <c r="O497" s="25"/>
      <c r="P497" s="25"/>
    </row>
    <row r="498" spans="1:16" ht="30" customHeight="1">
      <c r="A498" s="61"/>
      <c r="B498" s="62"/>
      <c r="C498" s="63"/>
      <c r="D498" s="1219"/>
      <c r="E498" s="65"/>
      <c r="F498" s="66">
        <f t="shared" si="13"/>
        <v>7.9109999999999996</v>
      </c>
      <c r="G498" s="66">
        <v>0.9</v>
      </c>
      <c r="H498" s="1220"/>
      <c r="I498" s="66">
        <v>8.7899999999999991</v>
      </c>
      <c r="J498" s="66"/>
      <c r="K498" s="66"/>
      <c r="L498" s="1222"/>
      <c r="M498" s="51"/>
      <c r="N498" s="52"/>
      <c r="O498" s="25"/>
      <c r="P498" s="25"/>
    </row>
    <row r="499" spans="1:16" ht="30" customHeight="1">
      <c r="A499" s="61"/>
      <c r="B499" s="62"/>
      <c r="C499" s="63"/>
      <c r="D499" s="1219"/>
      <c r="E499" s="65"/>
      <c r="F499" s="66">
        <f t="shared" si="13"/>
        <v>21</v>
      </c>
      <c r="G499" s="66">
        <v>3</v>
      </c>
      <c r="H499" s="1220"/>
      <c r="I499" s="66">
        <v>7</v>
      </c>
      <c r="J499" s="66"/>
      <c r="K499" s="66"/>
      <c r="L499" s="1222"/>
      <c r="M499" s="51"/>
      <c r="N499" s="52"/>
      <c r="O499" s="25"/>
      <c r="P499" s="25"/>
    </row>
    <row r="500" spans="1:16" ht="30" customHeight="1">
      <c r="A500" s="61"/>
      <c r="B500" s="62"/>
      <c r="C500" s="63"/>
      <c r="D500" s="1219" t="s">
        <v>1257</v>
      </c>
      <c r="E500" s="65"/>
      <c r="F500" s="66">
        <f t="shared" si="13"/>
        <v>26.369999999999997</v>
      </c>
      <c r="G500" s="66">
        <v>3</v>
      </c>
      <c r="H500" s="1220"/>
      <c r="I500" s="66">
        <v>8.7899999999999991</v>
      </c>
      <c r="J500" s="66"/>
      <c r="K500" s="66"/>
      <c r="L500" s="1222"/>
      <c r="M500" s="51"/>
      <c r="N500" s="52"/>
      <c r="O500" s="25"/>
      <c r="P500" s="25"/>
    </row>
    <row r="501" spans="1:16" ht="30" customHeight="1">
      <c r="A501" s="61"/>
      <c r="B501" s="62"/>
      <c r="C501" s="63"/>
      <c r="D501" s="1219"/>
      <c r="E501" s="65"/>
      <c r="F501" s="66">
        <f t="shared" si="13"/>
        <v>6.3249999999999993</v>
      </c>
      <c r="G501" s="66">
        <v>2.2999999999999998</v>
      </c>
      <c r="H501" s="1220"/>
      <c r="I501" s="66">
        <v>2.75</v>
      </c>
      <c r="J501" s="66"/>
      <c r="K501" s="66"/>
      <c r="L501" s="1222"/>
      <c r="M501" s="51"/>
      <c r="N501" s="52"/>
      <c r="O501" s="25"/>
      <c r="P501" s="25"/>
    </row>
    <row r="502" spans="1:16" ht="30" customHeight="1">
      <c r="A502" s="61"/>
      <c r="B502" s="62"/>
      <c r="C502" s="63"/>
      <c r="D502" s="1219"/>
      <c r="E502" s="65"/>
      <c r="F502" s="66">
        <f t="shared" si="13"/>
        <v>6.3249999999999993</v>
      </c>
      <c r="G502" s="66">
        <v>2.2999999999999998</v>
      </c>
      <c r="H502" s="1220"/>
      <c r="I502" s="66">
        <v>2.75</v>
      </c>
      <c r="J502" s="66"/>
      <c r="K502" s="66"/>
      <c r="L502" s="1222"/>
      <c r="M502" s="51"/>
      <c r="N502" s="52"/>
      <c r="O502" s="25"/>
      <c r="P502" s="25"/>
    </row>
    <row r="503" spans="1:16" ht="30" customHeight="1">
      <c r="A503" s="61"/>
      <c r="B503" s="62"/>
      <c r="C503" s="63"/>
      <c r="D503" s="1219" t="s">
        <v>10979</v>
      </c>
      <c r="E503" s="65"/>
      <c r="F503" s="66">
        <f t="shared" si="13"/>
        <v>20.216999999999995</v>
      </c>
      <c r="G503" s="66">
        <v>2.2999999999999998</v>
      </c>
      <c r="H503" s="1220"/>
      <c r="I503" s="66">
        <v>8.7899999999999991</v>
      </c>
      <c r="J503" s="66"/>
      <c r="K503" s="66"/>
      <c r="L503" s="1222"/>
      <c r="M503" s="51"/>
      <c r="N503" s="52"/>
      <c r="O503" s="25"/>
      <c r="P503" s="25"/>
    </row>
    <row r="504" spans="1:16" ht="30" customHeight="1">
      <c r="A504" s="61"/>
      <c r="B504" s="62"/>
      <c r="C504" s="63"/>
      <c r="D504" s="1219"/>
      <c r="E504" s="65"/>
      <c r="F504" s="66">
        <f t="shared" si="13"/>
        <v>16.099999999999998</v>
      </c>
      <c r="G504" s="66">
        <v>2.2999999999999998</v>
      </c>
      <c r="H504" s="1220"/>
      <c r="I504" s="66">
        <v>7</v>
      </c>
      <c r="J504" s="66"/>
      <c r="K504" s="66"/>
      <c r="L504" s="1222"/>
      <c r="M504" s="51"/>
      <c r="N504" s="52"/>
      <c r="O504" s="25"/>
      <c r="P504" s="25"/>
    </row>
    <row r="505" spans="1:16" ht="30" customHeight="1">
      <c r="A505" s="61"/>
      <c r="B505" s="62"/>
      <c r="C505" s="63"/>
      <c r="D505" s="1219"/>
      <c r="E505" s="65"/>
      <c r="F505" s="66">
        <f t="shared" si="13"/>
        <v>16.099999999999998</v>
      </c>
      <c r="G505" s="66">
        <v>2.2999999999999998</v>
      </c>
      <c r="H505" s="1220"/>
      <c r="I505" s="66">
        <v>7</v>
      </c>
      <c r="J505" s="66"/>
      <c r="K505" s="66"/>
      <c r="L505" s="1222"/>
      <c r="M505" s="51"/>
      <c r="N505" s="52"/>
      <c r="O505" s="25"/>
      <c r="P505" s="25"/>
    </row>
    <row r="506" spans="1:16" ht="30" customHeight="1">
      <c r="A506" s="61"/>
      <c r="B506" s="62"/>
      <c r="C506" s="63"/>
      <c r="D506" s="1219"/>
      <c r="E506" s="65"/>
      <c r="F506" s="66">
        <f t="shared" si="13"/>
        <v>6.3</v>
      </c>
      <c r="G506" s="66">
        <v>0.9</v>
      </c>
      <c r="H506" s="1220"/>
      <c r="I506" s="66">
        <v>7</v>
      </c>
      <c r="J506" s="66"/>
      <c r="K506" s="66"/>
      <c r="L506" s="1222"/>
      <c r="M506" s="51"/>
      <c r="N506" s="52"/>
      <c r="O506" s="25"/>
      <c r="P506" s="25"/>
    </row>
    <row r="507" spans="1:16" ht="30" customHeight="1">
      <c r="A507" s="61"/>
      <c r="B507" s="62"/>
      <c r="C507" s="63"/>
      <c r="D507" s="1219" t="s">
        <v>10980</v>
      </c>
      <c r="E507" s="65"/>
      <c r="F507" s="66">
        <f t="shared" si="13"/>
        <v>210.60000000000002</v>
      </c>
      <c r="G507" s="66">
        <v>1.5</v>
      </c>
      <c r="H507" s="1220"/>
      <c r="I507" s="66">
        <v>140.4</v>
      </c>
      <c r="J507" s="66"/>
      <c r="K507" s="66"/>
      <c r="L507" s="1222"/>
      <c r="M507" s="51"/>
      <c r="N507" s="52"/>
      <c r="O507" s="25"/>
      <c r="P507" s="25"/>
    </row>
    <row r="508" spans="1:16" ht="30" customHeight="1">
      <c r="A508" s="61"/>
      <c r="B508" s="62"/>
      <c r="C508" s="63"/>
      <c r="D508" s="1219"/>
      <c r="E508" s="65"/>
      <c r="F508" s="66">
        <f t="shared" si="13"/>
        <v>6.75</v>
      </c>
      <c r="G508" s="66">
        <v>1.5</v>
      </c>
      <c r="H508" s="1220"/>
      <c r="I508" s="66">
        <v>4.5</v>
      </c>
      <c r="J508" s="66"/>
      <c r="K508" s="66"/>
      <c r="L508" s="1222"/>
      <c r="M508" s="51"/>
      <c r="N508" s="52"/>
      <c r="O508" s="25"/>
      <c r="P508" s="25"/>
    </row>
    <row r="509" spans="1:16" ht="30" customHeight="1">
      <c r="A509" s="61"/>
      <c r="B509" s="62"/>
      <c r="C509" s="63"/>
      <c r="D509" s="1219" t="s">
        <v>10981</v>
      </c>
      <c r="E509" s="65"/>
      <c r="F509" s="66">
        <f t="shared" si="13"/>
        <v>8.6479999999999997</v>
      </c>
      <c r="G509" s="66">
        <v>2.2999999999999998</v>
      </c>
      <c r="H509" s="1220"/>
      <c r="I509" s="66">
        <v>3.76</v>
      </c>
      <c r="J509" s="66"/>
      <c r="K509" s="66"/>
      <c r="L509" s="1222"/>
      <c r="M509" s="51"/>
      <c r="N509" s="52"/>
      <c r="O509" s="25"/>
      <c r="P509" s="25"/>
    </row>
    <row r="510" spans="1:16" ht="30" customHeight="1">
      <c r="A510" s="61"/>
      <c r="B510" s="62"/>
      <c r="C510" s="63"/>
      <c r="D510" s="1219"/>
      <c r="E510" s="65"/>
      <c r="F510" s="66">
        <f t="shared" si="13"/>
        <v>0.752</v>
      </c>
      <c r="G510" s="66">
        <v>0.2</v>
      </c>
      <c r="H510" s="1220"/>
      <c r="I510" s="66">
        <v>3.76</v>
      </c>
      <c r="J510" s="66"/>
      <c r="K510" s="66"/>
      <c r="L510" s="1222"/>
      <c r="M510" s="51"/>
      <c r="N510" s="52"/>
      <c r="O510" s="25"/>
      <c r="P510" s="25"/>
    </row>
    <row r="511" spans="1:16" ht="30" customHeight="1">
      <c r="A511" s="61"/>
      <c r="B511" s="62"/>
      <c r="C511" s="63"/>
      <c r="D511" s="1219"/>
      <c r="E511" s="65"/>
      <c r="F511" s="66">
        <f t="shared" si="13"/>
        <v>0.45999999999999996</v>
      </c>
      <c r="G511" s="66">
        <v>2.2999999999999998</v>
      </c>
      <c r="H511" s="1220"/>
      <c r="I511" s="66">
        <v>0.2</v>
      </c>
      <c r="J511" s="66"/>
      <c r="K511" s="66"/>
      <c r="L511" s="1222"/>
      <c r="M511" s="51"/>
      <c r="N511" s="52"/>
      <c r="O511" s="25"/>
      <c r="P511" s="25"/>
    </row>
    <row r="512" spans="1:16" ht="30" customHeight="1">
      <c r="A512" s="61"/>
      <c r="B512" s="62"/>
      <c r="C512" s="63"/>
      <c r="D512" s="1219"/>
      <c r="E512" s="65"/>
      <c r="F512" s="88"/>
      <c r="G512" s="66"/>
      <c r="H512" s="1220"/>
      <c r="I512" s="66"/>
      <c r="J512" s="66"/>
      <c r="K512" s="66"/>
      <c r="L512" s="1222"/>
      <c r="M512" s="51"/>
      <c r="N512" s="52"/>
      <c r="O512" s="25"/>
      <c r="P512" s="25"/>
    </row>
    <row r="513" spans="1:16" ht="30" customHeight="1">
      <c r="A513" s="61" t="s">
        <v>142</v>
      </c>
      <c r="B513" s="62" t="s">
        <v>26</v>
      </c>
      <c r="C513" s="63" t="s">
        <v>143</v>
      </c>
      <c r="D513" s="1219" t="str">
        <f>IFERROR(UPPER(IF(B513="CPU",VLOOKUP(C513,#REF!,2,0),IF(B513="SINAPI",VLOOKUP(C513,#REF!,2,0),IF(B513="EDIF",VLOOKUP(C513,#REF!,2,0),IF(B513="CDHU",VLOOKUP(C513,#REF!,2,0),IF(B513="FDE",VLOOKUP(C513,'FDE 10-23 '!$A$4:$E$3180,2,0),IF(B513="INFRA",VLOOKUP(C513,#REF!,2,0),""))))))),"")</f>
        <v>CONCRETO GROUT, PREPARADO NO LOCAL, LANÇADO E ADENSADO</v>
      </c>
      <c r="E513" s="65" t="str">
        <f>VLOOKUP(C513,'FDE 10-23 '!$A$4:$E$3180,3,0)</f>
        <v>M3</v>
      </c>
      <c r="F513" s="1112">
        <v>7</v>
      </c>
      <c r="G513" s="66"/>
      <c r="H513" s="1220"/>
      <c r="I513" s="66"/>
      <c r="J513" s="66"/>
      <c r="K513" s="66"/>
      <c r="L513" s="1222"/>
      <c r="M513" s="51"/>
      <c r="N513" s="52"/>
      <c r="O513" s="25"/>
      <c r="P513" s="25"/>
    </row>
    <row r="514" spans="1:16" ht="30" customHeight="1">
      <c r="A514" s="61"/>
      <c r="B514" s="62"/>
      <c r="C514" s="63"/>
      <c r="D514" s="1219" t="s">
        <v>10982</v>
      </c>
      <c r="E514" s="65"/>
      <c r="F514" s="1112"/>
      <c r="G514" s="66"/>
      <c r="H514" s="1220"/>
      <c r="I514" s="66"/>
      <c r="J514" s="66"/>
      <c r="K514" s="66"/>
      <c r="L514" s="1222"/>
      <c r="M514" s="51"/>
      <c r="N514" s="52"/>
      <c r="O514" s="25"/>
      <c r="P514" s="25"/>
    </row>
    <row r="515" spans="1:16" ht="30" customHeight="1">
      <c r="A515" s="61" t="s">
        <v>144</v>
      </c>
      <c r="B515" s="62" t="s">
        <v>26</v>
      </c>
      <c r="C515" s="63" t="s">
        <v>145</v>
      </c>
      <c r="D515" s="1219" t="str">
        <f>IFERROR(UPPER(IF(B515="CPU",VLOOKUP(C515,#REF!,2,0),IF(B515="SINAPI",VLOOKUP(C515,#REF!,2,0),IF(B515="EDIF",VLOOKUP(C515,#REF!,2,0),IF(B515="CDHU",VLOOKUP(C515,#REF!,2,0),IF(B515="FDE",VLOOKUP(C515,'FDE 10-23 '!$A$4:$E$3180,2,0),IF(B515="INFRA",VLOOKUP(C515,#REF!,2,0),""))))))),"")</f>
        <v>ARMADURA CA 50 PARA PAREDE AUTO-PORTANTE</v>
      </c>
      <c r="E515" s="65" t="str">
        <f>VLOOKUP(C515,'FDE 10-23 '!$A$4:$E$3180,3,0)</f>
        <v>KG</v>
      </c>
      <c r="F515" s="1112">
        <v>446</v>
      </c>
      <c r="G515" s="66"/>
      <c r="H515" s="1220"/>
      <c r="I515" s="66"/>
      <c r="J515" s="66"/>
      <c r="K515" s="66"/>
      <c r="L515" s="1222"/>
      <c r="M515" s="51"/>
      <c r="N515" s="52"/>
      <c r="O515" s="25"/>
      <c r="P515" s="25"/>
    </row>
    <row r="516" spans="1:16" ht="30" customHeight="1">
      <c r="A516" s="61"/>
      <c r="B516" s="62"/>
      <c r="C516" s="63"/>
      <c r="D516" s="1219" t="s">
        <v>10982</v>
      </c>
      <c r="E516" s="65"/>
      <c r="F516" s="88"/>
      <c r="G516" s="66"/>
      <c r="H516" s="1220"/>
      <c r="I516" s="66"/>
      <c r="J516" s="66"/>
      <c r="K516" s="66"/>
      <c r="L516" s="1222"/>
      <c r="M516" s="51"/>
      <c r="N516" s="52"/>
      <c r="O516" s="25"/>
      <c r="P516" s="25"/>
    </row>
    <row r="517" spans="1:16" ht="30" customHeight="1">
      <c r="A517" s="61" t="s">
        <v>146</v>
      </c>
      <c r="B517" s="62" t="s">
        <v>26</v>
      </c>
      <c r="C517" s="63" t="s">
        <v>147</v>
      </c>
      <c r="D517" s="1219" t="str">
        <f>IFERROR(UPPER(IF(B517="CPU",VLOOKUP(C517,#REF!,2,0),IF(B517="SINAPI",VLOOKUP(C517,#REF!,2,0),IF(B517="EDIF",VLOOKUP(C517,#REF!,2,0),IF(B517="CDHU",VLOOKUP(C517,#REF!,2,0),IF(B517="FDE",VLOOKUP(C517,'FDE 10-23 '!$A$4:$E$3180,2,0),IF(B517="INFRA",VLOOKUP(C517,#REF!,2,0),""))))))),"")</f>
        <v>ALVENARIA AUTO-PORTANTE: BLOCO CONCRETO ESTRUTURAL DE 19X19X19CM CLASSE B</v>
      </c>
      <c r="E517" s="65" t="str">
        <f>VLOOKUP(C517,'FDE 10-23 '!$A$4:$E$3180,3,0)</f>
        <v>M2</v>
      </c>
      <c r="F517" s="1112">
        <v>16.8</v>
      </c>
      <c r="G517" s="66"/>
      <c r="H517" s="1220"/>
      <c r="I517" s="66"/>
      <c r="J517" s="66"/>
      <c r="K517" s="66"/>
      <c r="L517" s="1222"/>
      <c r="M517" s="51"/>
      <c r="N517" s="52"/>
      <c r="O517" s="25"/>
      <c r="P517" s="25"/>
    </row>
    <row r="518" spans="1:16" ht="30" customHeight="1">
      <c r="A518" s="61"/>
      <c r="B518" s="62"/>
      <c r="C518" s="63"/>
      <c r="D518" s="1219" t="s">
        <v>10983</v>
      </c>
      <c r="E518" s="65"/>
      <c r="F518" s="88"/>
      <c r="G518" s="66"/>
      <c r="H518" s="1220"/>
      <c r="I518" s="66"/>
      <c r="J518" s="66"/>
      <c r="K518" s="66"/>
      <c r="L518" s="1222"/>
      <c r="M518" s="51"/>
      <c r="N518" s="52"/>
      <c r="O518" s="25"/>
      <c r="P518" s="25"/>
    </row>
    <row r="519" spans="1:16" ht="30" customHeight="1">
      <c r="A519" s="61" t="s">
        <v>148</v>
      </c>
      <c r="B519" s="62" t="s">
        <v>26</v>
      </c>
      <c r="C519" s="63" t="s">
        <v>149</v>
      </c>
      <c r="D519" s="1219" t="str">
        <f>IFERROR(UPPER(IF(B519="CPU",VLOOKUP(C519,#REF!,2,0),IF(B519="SINAPI",VLOOKUP(C519,#REF!,2,0),IF(B519="EDIF",VLOOKUP(C519,#REF!,2,0),IF(B519="CDHU",VLOOKUP(C519,#REF!,2,0),IF(B519="FDE",VLOOKUP(C519,'FDE 10-23 '!$A$4:$E$3180,2,0),IF(B519="INFRA",VLOOKUP(C519,#REF!,2,0),""))))))),"")</f>
        <v>ALVENARIA DE CONCRETO CELULAR - BLOCOS E=10CM</v>
      </c>
      <c r="E519" s="65" t="str">
        <f>VLOOKUP(C519,'FDE 10-23 '!$A$4:$E$3180,3,0)</f>
        <v>M2</v>
      </c>
      <c r="F519" s="1112">
        <v>10.73</v>
      </c>
      <c r="G519" s="66"/>
      <c r="H519" s="1220"/>
      <c r="I519" s="66"/>
      <c r="J519" s="66"/>
      <c r="K519" s="66"/>
      <c r="L519" s="1222"/>
      <c r="M519" s="51"/>
      <c r="N519" s="52"/>
      <c r="O519" s="25"/>
      <c r="P519" s="25"/>
    </row>
    <row r="520" spans="1:16" ht="30" customHeight="1">
      <c r="A520" s="61"/>
      <c r="B520" s="62"/>
      <c r="C520" s="63"/>
      <c r="D520" s="1219" t="s">
        <v>10984</v>
      </c>
      <c r="E520" s="65"/>
      <c r="F520" s="1112"/>
      <c r="G520" s="66"/>
      <c r="H520" s="1220"/>
      <c r="I520" s="66"/>
      <c r="J520" s="66"/>
      <c r="K520" s="66"/>
      <c r="L520" s="1222"/>
      <c r="M520" s="51"/>
      <c r="N520" s="52"/>
      <c r="O520" s="25"/>
      <c r="P520" s="25"/>
    </row>
    <row r="521" spans="1:16" ht="30" customHeight="1">
      <c r="A521" s="53" t="s">
        <v>150</v>
      </c>
      <c r="B521" s="54"/>
      <c r="C521" s="54" t="s">
        <v>151</v>
      </c>
      <c r="D521" s="1216" t="s">
        <v>152</v>
      </c>
      <c r="E521" s="56" t="str">
        <f>IFERROR(UPPER(IF(B521="CPU",VLOOKUP(C521,#REF!,3,0),IF(B521="SINAPI",VLOOKUP(C521,#REF!,3,0),IF(B521="EDIF",VLOOKUP(C521,#REF!,3,0),IF(B521="CDHU",VLOOKUP(C521,#REF!,3,0),IF(B521="FDE",VLOOKUP(C521,#REF!,3,0),IF(B521="INFRA",VLOOKUP(C521,#REF!,3,0),""))))))),"")</f>
        <v/>
      </c>
      <c r="F521" s="1232"/>
      <c r="G521" s="57"/>
      <c r="H521" s="1217"/>
      <c r="I521" s="1217"/>
      <c r="J521" s="1217"/>
      <c r="K521" s="1217"/>
      <c r="L521" s="1218"/>
      <c r="M521" s="51"/>
      <c r="N521" s="52"/>
      <c r="O521" s="25"/>
      <c r="P521" s="25"/>
    </row>
    <row r="522" spans="1:16" ht="30" customHeight="1">
      <c r="A522" s="61" t="s">
        <v>153</v>
      </c>
      <c r="B522" s="62" t="s">
        <v>26</v>
      </c>
      <c r="C522" s="63" t="s">
        <v>154</v>
      </c>
      <c r="D522" s="1219" t="str">
        <f>IFERROR(UPPER(IF(B522="CPU",VLOOKUP(C522,#REF!,2,0),IF(B522="SINAPI",VLOOKUP(C522,#REF!,2,0),IF(B522="EDIF",VLOOKUP(C522,#REF!,2,0),IF(B522="CDHU",VLOOKUP(C522,#REF!,2,0),IF(B522="FDE",VLOOKUP(C522,'FDE 10-23 '!$A$4:$E$3180,2,0),IF(B522="INFRA",VLOOKUP(C522,#REF!,2,0),""))))))),"")</f>
        <v>DV-01 DIVISORIA DE GRANILITE - LATERAL ABERTA</v>
      </c>
      <c r="E522" s="65" t="str">
        <f>VLOOKUP(C522,'FDE 10-23 '!$A$4:$E$3180,3,0)</f>
        <v>M</v>
      </c>
      <c r="F522" s="1112">
        <v>15.2</v>
      </c>
      <c r="G522" s="66"/>
      <c r="H522" s="1220"/>
      <c r="I522" s="66"/>
      <c r="J522" s="66"/>
      <c r="K522" s="66"/>
      <c r="L522" s="1222"/>
      <c r="M522" s="51"/>
      <c r="N522" s="52"/>
      <c r="O522" s="25"/>
      <c r="P522" s="25"/>
    </row>
    <row r="523" spans="1:16" ht="30" customHeight="1">
      <c r="A523" s="61"/>
      <c r="B523" s="62"/>
      <c r="C523" s="63"/>
      <c r="D523" s="1219" t="s">
        <v>10985</v>
      </c>
      <c r="E523" s="65"/>
      <c r="F523" s="1112"/>
      <c r="G523" s="66"/>
      <c r="H523" s="1220"/>
      <c r="I523" s="66"/>
      <c r="J523" s="66"/>
      <c r="K523" s="66"/>
      <c r="L523" s="1222"/>
      <c r="M523" s="51"/>
      <c r="N523" s="52"/>
      <c r="O523" s="25"/>
      <c r="P523" s="25"/>
    </row>
    <row r="524" spans="1:16" ht="30" customHeight="1">
      <c r="A524" s="61" t="s">
        <v>155</v>
      </c>
      <c r="B524" s="62" t="s">
        <v>26</v>
      </c>
      <c r="C524" s="63" t="s">
        <v>156</v>
      </c>
      <c r="D524" s="1219" t="str">
        <f>IFERROR(UPPER(IF(B524="CPU",VLOOKUP(C524,#REF!,2,0),IF(B524="SINAPI",VLOOKUP(C524,#REF!,2,0),IF(B524="EDIF",VLOOKUP(C524,#REF!,2,0),IF(B524="CDHU",VLOOKUP(C524,#REF!,2,0),IF(B524="FDE",VLOOKUP(C524,'FDE 10-23 '!$A$4:$E$3180,2,0),IF(B524="INFRA",VLOOKUP(C524,#REF!,2,0),""))))))),"")</f>
        <v>DV-02 DIVISORIA DE GRANILITE - LATERAL FECHADA</v>
      </c>
      <c r="E524" s="65" t="str">
        <f>VLOOKUP(C524,'FDE 10-23 '!$A$4:$E$3180,3,0)</f>
        <v>M</v>
      </c>
      <c r="F524" s="1112">
        <v>13.8</v>
      </c>
      <c r="G524" s="66"/>
      <c r="H524" s="1220"/>
      <c r="I524" s="66"/>
      <c r="J524" s="66"/>
      <c r="K524" s="66"/>
      <c r="L524" s="1222"/>
      <c r="M524" s="51"/>
      <c r="N524" s="52"/>
      <c r="O524" s="25"/>
      <c r="P524" s="25"/>
    </row>
    <row r="525" spans="1:16" ht="30" customHeight="1">
      <c r="A525" s="61"/>
      <c r="B525" s="62"/>
      <c r="C525" s="63"/>
      <c r="D525" s="1219" t="s">
        <v>10985</v>
      </c>
      <c r="E525" s="65"/>
      <c r="F525" s="1112"/>
      <c r="G525" s="66"/>
      <c r="H525" s="1220"/>
      <c r="I525" s="66"/>
      <c r="J525" s="66"/>
      <c r="K525" s="66"/>
      <c r="L525" s="1222"/>
      <c r="M525" s="51"/>
      <c r="N525" s="52"/>
      <c r="O525" s="25"/>
      <c r="P525" s="25"/>
    </row>
    <row r="526" spans="1:16" ht="30" customHeight="1">
      <c r="A526" s="61" t="s">
        <v>157</v>
      </c>
      <c r="B526" s="62" t="s">
        <v>26</v>
      </c>
      <c r="C526" s="63" t="s">
        <v>158</v>
      </c>
      <c r="D526" s="1219" t="str">
        <f>IFERROR(UPPER(IF(B526="CPU",VLOOKUP(C526,#REF!,2,0),IF(B526="SINAPI",VLOOKUP(C526,#REF!,2,0),IF(B526="EDIF",VLOOKUP(C526,#REF!,2,0),IF(B526="CDHU",VLOOKUP(C526,#REF!,2,0),IF(B526="FDE",VLOOKUP(C526,'FDE 10-23 '!$A$4:$E$3180,2,0),IF(B526="INFRA",VLOOKUP(C526,#REF!,2,0),""))))))),"")</f>
        <v>DV-03 DIVISORIA DE GRANILITE - FRONTAL</v>
      </c>
      <c r="E526" s="65" t="str">
        <f>VLOOKUP(C526,'FDE 10-23 '!$A$4:$E$3180,3,0)</f>
        <v>M</v>
      </c>
      <c r="F526" s="1112">
        <v>6.9</v>
      </c>
      <c r="G526" s="66"/>
      <c r="H526" s="1220"/>
      <c r="I526" s="66"/>
      <c r="J526" s="66"/>
      <c r="K526" s="66"/>
      <c r="L526" s="1222"/>
      <c r="M526" s="51"/>
      <c r="N526" s="52"/>
      <c r="O526" s="25"/>
      <c r="P526" s="25"/>
    </row>
    <row r="527" spans="1:16" ht="30" customHeight="1">
      <c r="A527" s="61"/>
      <c r="B527" s="62"/>
      <c r="C527" s="63"/>
      <c r="D527" s="1219" t="s">
        <v>10985</v>
      </c>
      <c r="E527" s="65"/>
      <c r="F527" s="1112"/>
      <c r="G527" s="66"/>
      <c r="H527" s="1220"/>
      <c r="I527" s="66"/>
      <c r="J527" s="66"/>
      <c r="K527" s="66"/>
      <c r="L527" s="1222"/>
      <c r="M527" s="51"/>
      <c r="N527" s="52"/>
      <c r="O527" s="25"/>
      <c r="P527" s="25"/>
    </row>
    <row r="528" spans="1:16" ht="30" customHeight="1">
      <c r="A528" s="61" t="s">
        <v>159</v>
      </c>
      <c r="B528" s="62" t="s">
        <v>26</v>
      </c>
      <c r="C528" s="63" t="s">
        <v>160</v>
      </c>
      <c r="D528" s="1219" t="str">
        <f>IFERROR(UPPER(IF(B528="CPU",VLOOKUP(C528,#REF!,2,0),IF(B528="SINAPI",VLOOKUP(C528,#REF!,2,0),IF(B528="EDIF",VLOOKUP(C528,#REF!,2,0),IF(B528="CDHU",VLOOKUP(C528,#REF!,2,0),IF(B528="FDE",VLOOKUP(C528,'FDE 10-23 '!$A$4:$E$3180,2,0),IF(B528="INFRA",VLOOKUP(C528,#REF!,2,0),""))))))),"")</f>
        <v>DV-04 DIVISÓRIA DE GRANILITE - ANTEPARO</v>
      </c>
      <c r="E528" s="65" t="str">
        <f>VLOOKUP(C528,'FDE 10-23 '!$A$4:$E$3180,3,0)</f>
        <v>M</v>
      </c>
      <c r="F528" s="1112">
        <v>1.6</v>
      </c>
      <c r="G528" s="66"/>
      <c r="H528" s="1220"/>
      <c r="I528" s="66"/>
      <c r="J528" s="66"/>
      <c r="K528" s="66"/>
      <c r="L528" s="1222"/>
      <c r="M528" s="51"/>
      <c r="N528" s="52"/>
      <c r="O528" s="25"/>
      <c r="P528" s="25"/>
    </row>
    <row r="529" spans="1:16" ht="30" customHeight="1">
      <c r="A529" s="61"/>
      <c r="B529" s="62"/>
      <c r="C529" s="63"/>
      <c r="D529" s="1219" t="s">
        <v>10985</v>
      </c>
      <c r="E529" s="65"/>
      <c r="F529" s="1112"/>
      <c r="G529" s="66"/>
      <c r="H529" s="1220"/>
      <c r="I529" s="66"/>
      <c r="J529" s="66"/>
      <c r="K529" s="66"/>
      <c r="L529" s="1222"/>
      <c r="M529" s="51"/>
      <c r="N529" s="52"/>
      <c r="O529" s="25"/>
      <c r="P529" s="25"/>
    </row>
    <row r="530" spans="1:16" ht="30" customHeight="1">
      <c r="A530" s="61" t="s">
        <v>161</v>
      </c>
      <c r="B530" s="62" t="s">
        <v>26</v>
      </c>
      <c r="C530" s="63" t="s">
        <v>162</v>
      </c>
      <c r="D530" s="1219" t="str">
        <f>IFERROR(UPPER(IF(B530="CPU",VLOOKUP(C530,#REF!,2,0),IF(B530="SINAPI",VLOOKUP(C530,#REF!,2,0),IF(B530="EDIF",VLOOKUP(C530,#REF!,2,0),IF(B530="CDHU",VLOOKUP(C530,#REF!,2,0),IF(B530="FDE",VLOOKUP(C530,'FDE 10-23 '!$A$4:$E$3180,2,0),IF(B530="INFRA",VLOOKUP(C530,#REF!,2,0),""))))))),"")</f>
        <v>DIVISORIA CHAPA FIBRA MAD PRENS BP/PAINEL CEGO 1,20X2,11M E=35MM</v>
      </c>
      <c r="E530" s="65" t="str">
        <f>VLOOKUP(C530,'FDE 10-23 '!$A$4:$E$3180,3,0)</f>
        <v>M2</v>
      </c>
      <c r="F530" s="1112">
        <v>32.4</v>
      </c>
      <c r="G530" s="66"/>
      <c r="H530" s="1220"/>
      <c r="I530" s="66"/>
      <c r="J530" s="66"/>
      <c r="K530" s="66"/>
      <c r="L530" s="1222"/>
      <c r="M530" s="51"/>
      <c r="N530" s="52"/>
      <c r="O530" s="25"/>
      <c r="P530" s="25"/>
    </row>
    <row r="531" spans="1:16" ht="30" customHeight="1">
      <c r="A531" s="61"/>
      <c r="B531" s="62"/>
      <c r="C531" s="63"/>
      <c r="D531" s="1219" t="s">
        <v>10985</v>
      </c>
      <c r="E531" s="65"/>
      <c r="F531" s="88"/>
      <c r="G531" s="66"/>
      <c r="H531" s="1220"/>
      <c r="I531" s="66"/>
      <c r="J531" s="66"/>
      <c r="K531" s="66"/>
      <c r="L531" s="1222"/>
      <c r="M531" s="51"/>
      <c r="N531" s="52"/>
      <c r="O531" s="25"/>
      <c r="P531" s="25"/>
    </row>
    <row r="532" spans="1:16" ht="30" customHeight="1">
      <c r="A532" s="43">
        <v>5</v>
      </c>
      <c r="B532" s="44"/>
      <c r="C532" s="44" t="s">
        <v>163</v>
      </c>
      <c r="D532" s="1213" t="s">
        <v>164</v>
      </c>
      <c r="E532" s="46" t="str">
        <f>IFERROR(UPPER(IF(B532="CPU",VLOOKUP(C532,#REF!,3,0),IF(B532="SINAPI",VLOOKUP(C532,#REF!,3,0),IF(B532="EDIF",VLOOKUP(C532,#REF!,3,0),IF(B532="CDHU",VLOOKUP(C532,#REF!,3,0),IF(B532="FDE",VLOOKUP(C532,#REF!,3,0),IF(B532="INFRA",VLOOKUP(C532,#REF!,3,0),""))))))),"")</f>
        <v/>
      </c>
      <c r="F532" s="1233"/>
      <c r="G532" s="47"/>
      <c r="H532" s="1214"/>
      <c r="I532" s="1214"/>
      <c r="J532" s="1214"/>
      <c r="K532" s="1214"/>
      <c r="L532" s="1215"/>
      <c r="M532" s="51"/>
      <c r="N532" s="52"/>
      <c r="O532" s="25"/>
      <c r="P532" s="25"/>
    </row>
    <row r="533" spans="1:16" ht="30" customHeight="1">
      <c r="A533" s="53" t="s">
        <v>165</v>
      </c>
      <c r="B533" s="54"/>
      <c r="C533" s="54" t="s">
        <v>166</v>
      </c>
      <c r="D533" s="1216" t="s">
        <v>167</v>
      </c>
      <c r="E533" s="56" t="str">
        <f>IFERROR(UPPER(IF(B533="CPU",VLOOKUP(C533,#REF!,3,0),IF(B533="SINAPI",VLOOKUP(C533,#REF!,3,0),IF(B533="EDIF",VLOOKUP(C533,#REF!,3,0),IF(B533="CDHU",VLOOKUP(C533,#REF!,3,0),IF(B533="FDE",VLOOKUP(C533,#REF!,3,0),IF(B533="INFRA",VLOOKUP(C533,#REF!,3,0),""))))))),"")</f>
        <v/>
      </c>
      <c r="F533" s="1232"/>
      <c r="G533" s="57"/>
      <c r="H533" s="1217"/>
      <c r="I533" s="1217"/>
      <c r="J533" s="1217"/>
      <c r="K533" s="1217"/>
      <c r="L533" s="1218"/>
      <c r="M533" s="51"/>
      <c r="N533" s="52"/>
      <c r="O533" s="25"/>
      <c r="P533" s="25"/>
    </row>
    <row r="534" spans="1:16" ht="30" customHeight="1">
      <c r="A534" s="61" t="s">
        <v>168</v>
      </c>
      <c r="B534" s="62" t="s">
        <v>26</v>
      </c>
      <c r="C534" s="63" t="s">
        <v>169</v>
      </c>
      <c r="D534" s="1219" t="str">
        <f>IFERROR(UPPER(IF(B534="CPU",VLOOKUP(C534,#REF!,2,0),IF(B534="SINAPI",VLOOKUP(C534,#REF!,2,0),IF(B534="EDIF",VLOOKUP(C534,#REF!,2,0),IF(B534="CDHU",VLOOKUP(C534,#REF!,2,0),IF(B534="FDE",VLOOKUP(C534,'FDE 10-23 '!$A$4:$E$3180,2,0),IF(B534="INFRA",VLOOKUP(C534,#REF!,2,0),""))))))),"")</f>
        <v>PM-67 PORTA DE MADEIRA MACHO/FEMEA P/ PINT. BAT. MET. L=82CM</v>
      </c>
      <c r="E534" s="65" t="str">
        <f>VLOOKUP(C534,'FDE 10-23 '!$A$4:$E$3180,3,0)</f>
        <v>UN</v>
      </c>
      <c r="F534" s="1112">
        <v>2</v>
      </c>
      <c r="G534" s="66"/>
      <c r="H534" s="1220"/>
      <c r="I534" s="66"/>
      <c r="J534" s="66"/>
      <c r="K534" s="66"/>
      <c r="L534" s="1222"/>
      <c r="M534" s="51"/>
      <c r="N534" s="52"/>
      <c r="O534" s="25"/>
      <c r="P534" s="25"/>
    </row>
    <row r="535" spans="1:16" ht="30" customHeight="1">
      <c r="A535" s="61"/>
      <c r="B535" s="62"/>
      <c r="C535" s="63"/>
      <c r="D535" s="1219" t="s">
        <v>10986</v>
      </c>
      <c r="E535" s="65"/>
      <c r="F535" s="88"/>
      <c r="G535" s="66"/>
      <c r="H535" s="1220"/>
      <c r="I535" s="66"/>
      <c r="J535" s="66"/>
      <c r="K535" s="66"/>
      <c r="L535" s="1222"/>
      <c r="M535" s="51"/>
      <c r="N535" s="52"/>
      <c r="O535" s="25"/>
      <c r="P535" s="25"/>
    </row>
    <row r="536" spans="1:16" ht="30" customHeight="1">
      <c r="A536" s="61" t="s">
        <v>170</v>
      </c>
      <c r="B536" s="62" t="s">
        <v>26</v>
      </c>
      <c r="C536" s="63" t="s">
        <v>171</v>
      </c>
      <c r="D536" s="1219" t="str">
        <f>IFERROR(UPPER(IF(B536="CPU",VLOOKUP(C536,#REF!,2,0),IF(B536="SINAPI",VLOOKUP(C536,#REF!,2,0),IF(B536="EDIF",VLOOKUP(C536,#REF!,2,0),IF(B536="CDHU",VLOOKUP(C536,#REF!,2,0),IF(B536="FDE",VLOOKUP(C536,'FDE 10-23 '!$A$4:$E$3180,2,0),IF(B536="INFRA",VLOOKUP(C536,#REF!,2,0),""))))))),"")</f>
        <v>PM-68 PORTA DE MADEIRA MACHO/FEMEA P/ PINT. BAT. MET. L=92CM</v>
      </c>
      <c r="E536" s="65" t="str">
        <f>VLOOKUP(C536,'FDE 10-23 '!$A$4:$E$3180,3,0)</f>
        <v>UN</v>
      </c>
      <c r="F536" s="1112">
        <v>14</v>
      </c>
      <c r="G536" s="66"/>
      <c r="H536" s="1220"/>
      <c r="I536" s="66"/>
      <c r="J536" s="66"/>
      <c r="K536" s="66"/>
      <c r="L536" s="1222"/>
      <c r="M536" s="51"/>
      <c r="N536" s="52"/>
      <c r="O536" s="25"/>
      <c r="P536" s="25"/>
    </row>
    <row r="537" spans="1:16" ht="30" customHeight="1">
      <c r="A537" s="61"/>
      <c r="B537" s="62"/>
      <c r="C537" s="63"/>
      <c r="D537" s="1219" t="s">
        <v>10986</v>
      </c>
      <c r="E537" s="65"/>
      <c r="F537" s="1112"/>
      <c r="G537" s="66"/>
      <c r="H537" s="1220"/>
      <c r="I537" s="66"/>
      <c r="J537" s="66"/>
      <c r="K537" s="66"/>
      <c r="L537" s="1222"/>
      <c r="M537" s="51"/>
      <c r="N537" s="52"/>
      <c r="O537" s="25"/>
      <c r="P537" s="25"/>
    </row>
    <row r="538" spans="1:16" ht="30" customHeight="1">
      <c r="A538" s="61" t="s">
        <v>172</v>
      </c>
      <c r="B538" s="62" t="s">
        <v>26</v>
      </c>
      <c r="C538" s="63" t="s">
        <v>173</v>
      </c>
      <c r="D538" s="1219" t="str">
        <f>IFERROR(UPPER(IF(B538="CPU",VLOOKUP(C538,#REF!,2,0),IF(B538="SINAPI",VLOOKUP(C538,#REF!,2,0),IF(B538="EDIF",VLOOKUP(C538,#REF!,2,0),IF(B538="CDHU",VLOOKUP(C538,#REF!,2,0),IF(B538="FDE",VLOOKUP(C538,'FDE 10-23 '!$A$4:$E$3180,2,0),IF(B538="INFRA",VLOOKUP(C538,#REF!,2,0),""))))))),"")</f>
        <v>PORTAS PARA DIVISORIAS CHAPA FIBRA MAD PRENS BP COM FERRAGENS</v>
      </c>
      <c r="E538" s="65" t="str">
        <f>VLOOKUP(C538,'FDE 10-23 '!$A$4:$E$3180,3,0)</f>
        <v>UN</v>
      </c>
      <c r="F538" s="1112">
        <v>5</v>
      </c>
      <c r="G538" s="66"/>
      <c r="H538" s="1220"/>
      <c r="I538" s="66"/>
      <c r="J538" s="66"/>
      <c r="K538" s="66"/>
      <c r="L538" s="1222"/>
      <c r="M538" s="51"/>
      <c r="N538" s="52"/>
      <c r="O538" s="25"/>
      <c r="P538" s="25"/>
    </row>
    <row r="539" spans="1:16" ht="30" customHeight="1">
      <c r="A539" s="61"/>
      <c r="B539" s="62"/>
      <c r="C539" s="63"/>
      <c r="D539" s="1219" t="s">
        <v>10986</v>
      </c>
      <c r="E539" s="65"/>
      <c r="F539" s="88"/>
      <c r="G539" s="66"/>
      <c r="H539" s="1220"/>
      <c r="I539" s="66"/>
      <c r="J539" s="66"/>
      <c r="K539" s="66"/>
      <c r="L539" s="1222"/>
      <c r="M539" s="51"/>
      <c r="N539" s="52"/>
      <c r="O539" s="25"/>
      <c r="P539" s="25"/>
    </row>
    <row r="540" spans="1:16" ht="30" customHeight="1">
      <c r="A540" s="61" t="s">
        <v>174</v>
      </c>
      <c r="B540" s="62" t="s">
        <v>26</v>
      </c>
      <c r="C540" s="63" t="s">
        <v>175</v>
      </c>
      <c r="D540" s="1219" t="str">
        <f>IFERROR(UPPER(IF(B540="CPU",VLOOKUP(C540,#REF!,2,0),IF(B540="SINAPI",VLOOKUP(C540,#REF!,2,0),IF(B540="EDIF",VLOOKUP(C540,#REF!,2,0),IF(B540="CDHU",VLOOKUP(C540,#REF!,2,0),IF(B540="FDE",VLOOKUP(C540,'FDE 10-23 '!$A$4:$E$3180,2,0),IF(B540="INFRA",VLOOKUP(C540,#REF!,2,0),""))))))),"")</f>
        <v>PM-74 PORTA SARRAFEADO MACIÇO P/BOXES L=62CM-COMPLETA</v>
      </c>
      <c r="E540" s="65" t="str">
        <f>VLOOKUP(C540,'FDE 10-23 '!$A$4:$E$3180,3,0)</f>
        <v>UN</v>
      </c>
      <c r="F540" s="1112">
        <v>23</v>
      </c>
      <c r="G540" s="66"/>
      <c r="H540" s="1220"/>
      <c r="I540" s="66"/>
      <c r="J540" s="66"/>
      <c r="K540" s="66"/>
      <c r="L540" s="1222"/>
      <c r="M540" s="51"/>
      <c r="N540" s="52"/>
      <c r="O540" s="25"/>
      <c r="P540" s="25"/>
    </row>
    <row r="541" spans="1:16" ht="30" customHeight="1">
      <c r="A541" s="61"/>
      <c r="B541" s="62"/>
      <c r="C541" s="63"/>
      <c r="D541" s="1219" t="s">
        <v>10987</v>
      </c>
      <c r="E541" s="65"/>
      <c r="F541" s="1112"/>
      <c r="G541" s="66"/>
      <c r="H541" s="1220"/>
      <c r="I541" s="66"/>
      <c r="J541" s="66"/>
      <c r="K541" s="66"/>
      <c r="L541" s="1222"/>
      <c r="M541" s="51"/>
      <c r="N541" s="52"/>
      <c r="O541" s="25"/>
      <c r="P541" s="25"/>
    </row>
    <row r="542" spans="1:16" ht="30" customHeight="1">
      <c r="A542" s="61" t="s">
        <v>176</v>
      </c>
      <c r="B542" s="62" t="s">
        <v>26</v>
      </c>
      <c r="C542" s="63" t="s">
        <v>177</v>
      </c>
      <c r="D542" s="1219" t="str">
        <f>IFERROR(UPPER(IF(B542="CPU",VLOOKUP(C542,#REF!,2,0),IF(B542="SINAPI",VLOOKUP(C542,#REF!,2,0),IF(B542="EDIF",VLOOKUP(C542,#REF!,2,0),IF(B542="CDHU",VLOOKUP(C542,#REF!,2,0),IF(B542="FDE",VLOOKUP(C542,'FDE 10-23 '!$A$4:$E$3180,2,0),IF(B542="INFRA",VLOOKUP(C542,#REF!,2,0),""))))))),"")</f>
        <v>PM-72 PORTA DE MADEIRA SARRAFEADA P/ PINT. BAT. MET. L=92CM</v>
      </c>
      <c r="E542" s="65" t="str">
        <f>VLOOKUP(C542,'FDE 10-23 '!$A$4:$E$3180,3,0)</f>
        <v>UN</v>
      </c>
      <c r="F542" s="1112">
        <v>2</v>
      </c>
      <c r="G542" s="66"/>
      <c r="H542" s="1220"/>
      <c r="I542" s="66"/>
      <c r="J542" s="66"/>
      <c r="K542" s="66"/>
      <c r="L542" s="1222"/>
      <c r="M542" s="51"/>
      <c r="N542" s="52"/>
      <c r="O542" s="25"/>
      <c r="P542" s="25"/>
    </row>
    <row r="543" spans="1:16" ht="30" customHeight="1">
      <c r="A543" s="61"/>
      <c r="B543" s="62"/>
      <c r="C543" s="63"/>
      <c r="D543" s="1219" t="s">
        <v>10987</v>
      </c>
      <c r="E543" s="65"/>
      <c r="F543" s="88"/>
      <c r="G543" s="66"/>
      <c r="H543" s="1220"/>
      <c r="I543" s="66"/>
      <c r="J543" s="66"/>
      <c r="K543" s="66"/>
      <c r="L543" s="1222"/>
      <c r="M543" s="51"/>
      <c r="N543" s="52"/>
      <c r="O543" s="25"/>
      <c r="P543" s="25"/>
    </row>
    <row r="544" spans="1:16" ht="30" customHeight="1">
      <c r="A544" s="61" t="s">
        <v>178</v>
      </c>
      <c r="B544" s="62" t="s">
        <v>26</v>
      </c>
      <c r="C544" s="63" t="s">
        <v>179</v>
      </c>
      <c r="D544" s="1219" t="str">
        <f>IFERROR(UPPER(IF(B544="CPU",VLOOKUP(C544,#REF!,2,0),IF(B544="SINAPI",VLOOKUP(C544,#REF!,2,0),IF(B544="EDIF",VLOOKUP(C544,#REF!,2,0),IF(B544="CDHU",VLOOKUP(C544,#REF!,2,0),IF(B544="FDE",VLOOKUP(C544,'FDE 10-23 '!$A$4:$E$3180,2,0),IF(B544="INFRA",VLOOKUP(C544,#REF!,2,0),""))))))),"")</f>
        <v>PM-75 PORTA SARRAFEADA MACICA SANIT. ACESSIVEL BAT. MET.</v>
      </c>
      <c r="E544" s="65" t="str">
        <f>VLOOKUP(C544,'FDE 10-23 '!$A$4:$E$3180,3,0)</f>
        <v>UN</v>
      </c>
      <c r="F544" s="1112">
        <v>2</v>
      </c>
      <c r="G544" s="66"/>
      <c r="H544" s="1220"/>
      <c r="I544" s="66"/>
      <c r="J544" s="66"/>
      <c r="K544" s="66"/>
      <c r="L544" s="1222"/>
      <c r="M544" s="51"/>
      <c r="N544" s="52"/>
      <c r="O544" s="25"/>
      <c r="P544" s="25"/>
    </row>
    <row r="545" spans="1:16" ht="30" customHeight="1">
      <c r="A545" s="61"/>
      <c r="B545" s="62"/>
      <c r="C545" s="63"/>
      <c r="D545" s="1219" t="s">
        <v>10987</v>
      </c>
      <c r="E545" s="65"/>
      <c r="F545" s="88"/>
      <c r="G545" s="66"/>
      <c r="H545" s="1220"/>
      <c r="I545" s="66"/>
      <c r="J545" s="66"/>
      <c r="K545" s="66"/>
      <c r="L545" s="1222"/>
      <c r="M545" s="51"/>
      <c r="N545" s="52"/>
      <c r="O545" s="25"/>
      <c r="P545" s="25"/>
    </row>
    <row r="546" spans="1:16" ht="30" customHeight="1">
      <c r="A546" s="61" t="s">
        <v>180</v>
      </c>
      <c r="B546" s="62" t="s">
        <v>26</v>
      </c>
      <c r="C546" s="63" t="s">
        <v>181</v>
      </c>
      <c r="D546" s="1219" t="str">
        <f>IFERROR(UPPER(IF(B546="CPU",VLOOKUP(C546,#REF!,2,0),IF(B546="SINAPI",VLOOKUP(C546,#REF!,2,0),IF(B546="EDIF",VLOOKUP(C546,#REF!,2,0),IF(B546="CDHU",VLOOKUP(C546,#REF!,2,0),IF(B546="FDE",VLOOKUP(C546,'FDE 10-23 '!$A$4:$E$3180,2,0),IF(B546="INFRA",VLOOKUP(C546,#REF!,2,0),""))))))),"")</f>
        <v>PM-83 PORTA DE CORRER ACESSIVEL SARRAFEADA MACIÇA G1-C1 P/PINTURA L=101CM</v>
      </c>
      <c r="E546" s="65" t="str">
        <f>VLOOKUP(C546,'FDE 10-23 '!$A$4:$E$3180,3,0)</f>
        <v>UN</v>
      </c>
      <c r="F546" s="1112">
        <v>2</v>
      </c>
      <c r="G546" s="66"/>
      <c r="H546" s="1220"/>
      <c r="I546" s="66"/>
      <c r="J546" s="66"/>
      <c r="K546" s="66"/>
      <c r="L546" s="1222"/>
      <c r="M546" s="51"/>
      <c r="N546" s="52"/>
      <c r="O546" s="25"/>
      <c r="P546" s="25"/>
    </row>
    <row r="547" spans="1:16" ht="30" customHeight="1">
      <c r="A547" s="61"/>
      <c r="B547" s="62"/>
      <c r="C547" s="63"/>
      <c r="D547" s="1219" t="s">
        <v>10987</v>
      </c>
      <c r="E547" s="65"/>
      <c r="F547" s="88"/>
      <c r="G547" s="66"/>
      <c r="H547" s="1220"/>
      <c r="I547" s="66"/>
      <c r="J547" s="66"/>
      <c r="K547" s="66"/>
      <c r="L547" s="1222"/>
      <c r="M547" s="51"/>
      <c r="N547" s="52"/>
      <c r="O547" s="25"/>
      <c r="P547" s="25"/>
    </row>
    <row r="548" spans="1:16" ht="30" customHeight="1">
      <c r="A548" s="53" t="s">
        <v>182</v>
      </c>
      <c r="B548" s="54"/>
      <c r="C548" s="54" t="s">
        <v>183</v>
      </c>
      <c r="D548" s="1216" t="s">
        <v>184</v>
      </c>
      <c r="E548" s="56" t="str">
        <f>IFERROR(UPPER(IF(B548="CPU",VLOOKUP(C548,#REF!,3,0),IF(B548="SINAPI",VLOOKUP(C548,#REF!,3,0),IF(B548="EDIF",VLOOKUP(C548,#REF!,3,0),IF(B548="CDHU",VLOOKUP(C548,#REF!,3,0),IF(B548="FDE",VLOOKUP(C548,#REF!,3,0),IF(B548="INFRA",VLOOKUP(C548,#REF!,3,0),""))))))),"")</f>
        <v/>
      </c>
      <c r="F548" s="1232"/>
      <c r="G548" s="57"/>
      <c r="H548" s="1217"/>
      <c r="I548" s="1217"/>
      <c r="J548" s="1217"/>
      <c r="K548" s="1217"/>
      <c r="L548" s="1218"/>
      <c r="M548" s="51"/>
      <c r="N548" s="52"/>
      <c r="O548" s="25"/>
      <c r="P548" s="25"/>
    </row>
    <row r="549" spans="1:16" ht="30" customHeight="1">
      <c r="A549" s="61" t="s">
        <v>185</v>
      </c>
      <c r="B549" s="62" t="s">
        <v>26</v>
      </c>
      <c r="C549" s="63" t="s">
        <v>186</v>
      </c>
      <c r="D549" s="1219" t="str">
        <f>IFERROR(UPPER(IF(B549="CPU",VLOOKUP(C549,#REF!,2,0),IF(B549="SINAPI",VLOOKUP(C549,#REF!,2,0),IF(B549="EDIF",VLOOKUP(C549,#REF!,2,0),IF(B549="CDHU",VLOOKUP(C549,#REF!,2,0),IF(B549="FDE",VLOOKUP(C549,'FDE 10-23 '!$A$4:$E$3180,2,0),IF(B549="INFRA",VLOOKUP(C549,#REF!,2,0),""))))))),"")</f>
        <v>BS-05 BANCADA PARA COZINHA - GRANITO POLIDO 20MM</v>
      </c>
      <c r="E549" s="65" t="str">
        <f>VLOOKUP(C549,'FDE 10-23 '!$A$4:$E$3180,3,0)</f>
        <v>M</v>
      </c>
      <c r="F549" s="1112">
        <v>13.2</v>
      </c>
      <c r="G549" s="66"/>
      <c r="H549" s="1220"/>
      <c r="I549" s="66"/>
      <c r="J549" s="66"/>
      <c r="K549" s="66"/>
      <c r="L549" s="1222"/>
      <c r="M549" s="51"/>
      <c r="N549" s="52"/>
      <c r="O549" s="25"/>
      <c r="P549" s="25"/>
    </row>
    <row r="550" spans="1:16" ht="30" customHeight="1">
      <c r="A550" s="61" t="s">
        <v>187</v>
      </c>
      <c r="B550" s="62" t="s">
        <v>26</v>
      </c>
      <c r="C550" s="63" t="s">
        <v>188</v>
      </c>
      <c r="D550" s="1219" t="str">
        <f>IFERROR(UPPER(IF(B550="CPU",VLOOKUP(C550,#REF!,2,0),IF(B550="SINAPI",VLOOKUP(C550,#REF!,2,0),IF(B550="EDIF",VLOOKUP(C550,#REF!,2,0),IF(B550="CDHU",VLOOKUP(C550,#REF!,2,0),IF(B550="FDE",VLOOKUP(C550,'FDE 10-23 '!$A$4:$E$3180,2,0),IF(B550="INFRA",VLOOKUP(C550,#REF!,2,0),""))))))),"")</f>
        <v>BE-08 BANCADA ALUNOS / QUIMICA E BIOLOGIA (150CM)</v>
      </c>
      <c r="E550" s="65" t="str">
        <f>VLOOKUP(C550,'FDE 10-23 '!$A$4:$E$3180,3,0)</f>
        <v>UN</v>
      </c>
      <c r="F550" s="1112">
        <v>4</v>
      </c>
      <c r="G550" s="66"/>
      <c r="H550" s="1220"/>
      <c r="I550" s="66"/>
      <c r="J550" s="66"/>
      <c r="K550" s="66"/>
      <c r="L550" s="1222"/>
      <c r="M550" s="51"/>
      <c r="N550" s="52"/>
      <c r="O550" s="25"/>
      <c r="P550" s="25"/>
    </row>
    <row r="551" spans="1:16" ht="30" customHeight="1">
      <c r="A551" s="61" t="s">
        <v>189</v>
      </c>
      <c r="B551" s="62" t="s">
        <v>26</v>
      </c>
      <c r="C551" s="63" t="s">
        <v>190</v>
      </c>
      <c r="D551" s="1219" t="str">
        <f>IFERROR(UPPER(IF(B551="CPU",VLOOKUP(C551,#REF!,2,0),IF(B551="SINAPI",VLOOKUP(C551,#REF!,2,0),IF(B551="EDIF",VLOOKUP(C551,#REF!,2,0),IF(B551="CDHU",VLOOKUP(C551,#REF!,2,0),IF(B551="FDE",VLOOKUP(C551,'FDE 10-23 '!$A$4:$E$3180,2,0),IF(B551="INFRA",VLOOKUP(C551,#REF!,2,0),""))))))),"")</f>
        <v>BE-09 BANCADA ALUNOS / QUIMICA E BIOLOGIA (195CM)</v>
      </c>
      <c r="E551" s="65" t="str">
        <f>VLOOKUP(C551,'FDE 10-23 '!$A$4:$E$3180,3,0)</f>
        <v>UN</v>
      </c>
      <c r="F551" s="1112">
        <v>2</v>
      </c>
      <c r="G551" s="66"/>
      <c r="H551" s="1220"/>
      <c r="I551" s="66"/>
      <c r="J551" s="66"/>
      <c r="K551" s="66"/>
      <c r="L551" s="1222"/>
      <c r="M551" s="51"/>
      <c r="N551" s="52"/>
      <c r="O551" s="25"/>
      <c r="P551" s="25"/>
    </row>
    <row r="552" spans="1:16" ht="30" customHeight="1">
      <c r="A552" s="61" t="s">
        <v>191</v>
      </c>
      <c r="B552" s="62" t="s">
        <v>26</v>
      </c>
      <c r="C552" s="63" t="s">
        <v>192</v>
      </c>
      <c r="D552" s="1219" t="str">
        <f>IFERROR(UPPER(IF(B552="CPU",VLOOKUP(C552,#REF!,2,0),IF(B552="SINAPI",VLOOKUP(C552,#REF!,2,0),IF(B552="EDIF",VLOOKUP(C552,#REF!,2,0),IF(B552="CDHU",VLOOKUP(C552,#REF!,2,0),IF(B552="FDE",VLOOKUP(C552,'FDE 10-23 '!$A$4:$E$3180,2,0),IF(B552="INFRA",VLOOKUP(C552,#REF!,2,0),""))))))),"")</f>
        <v>BE-10 BANCADA ALUNOS / MATEMATICA E FISICA (280CM)</v>
      </c>
      <c r="E552" s="65" t="str">
        <f>VLOOKUP(C552,'FDE 10-23 '!$A$4:$E$3180,3,0)</f>
        <v>UN</v>
      </c>
      <c r="F552" s="1112">
        <v>4</v>
      </c>
      <c r="G552" s="66"/>
      <c r="H552" s="1220"/>
      <c r="I552" s="66"/>
      <c r="J552" s="66"/>
      <c r="K552" s="66"/>
      <c r="L552" s="1222"/>
      <c r="M552" s="51"/>
      <c r="N552" s="52"/>
      <c r="O552" s="25"/>
      <c r="P552" s="25"/>
    </row>
    <row r="553" spans="1:16" ht="30" customHeight="1">
      <c r="A553" s="61" t="s">
        <v>193</v>
      </c>
      <c r="B553" s="62" t="s">
        <v>26</v>
      </c>
      <c r="C553" s="63" t="s">
        <v>194</v>
      </c>
      <c r="D553" s="1219" t="str">
        <f>IFERROR(UPPER(IF(B553="CPU",VLOOKUP(C553,#REF!,2,0),IF(B553="SINAPI",VLOOKUP(C553,#REF!,2,0),IF(B553="EDIF",VLOOKUP(C553,#REF!,2,0),IF(B553="CDHU",VLOOKUP(C553,#REF!,2,0),IF(B553="FDE",VLOOKUP(C553,'FDE 10-23 '!$A$4:$E$3180,2,0),IF(B553="INFRA",VLOOKUP(C553,#REF!,2,0),""))))))),"")</f>
        <v>BE-14 BANCADA APOIO PARA CAPELA</v>
      </c>
      <c r="E553" s="65" t="str">
        <f>VLOOKUP(C553,'FDE 10-23 '!$A$4:$E$3180,3,0)</f>
        <v>UN</v>
      </c>
      <c r="F553" s="1112">
        <v>1</v>
      </c>
      <c r="G553" s="66"/>
      <c r="H553" s="1220"/>
      <c r="I553" s="66"/>
      <c r="J553" s="66"/>
      <c r="K553" s="66"/>
      <c r="L553" s="1222"/>
      <c r="M553" s="51"/>
      <c r="N553" s="52"/>
      <c r="O553" s="25"/>
      <c r="P553" s="25"/>
    </row>
    <row r="554" spans="1:16" ht="30" customHeight="1">
      <c r="A554" s="61" t="s">
        <v>195</v>
      </c>
      <c r="B554" s="62" t="s">
        <v>26</v>
      </c>
      <c r="C554" s="63" t="s">
        <v>196</v>
      </c>
      <c r="D554" s="1219" t="str">
        <f>IFERROR(UPPER(IF(B554="CPU",VLOOKUP(C554,#REF!,2,0),IF(B554="SINAPI",VLOOKUP(C554,#REF!,2,0),IF(B554="EDIF",VLOOKUP(C554,#REF!,2,0),IF(B554="CDHU",VLOOKUP(C554,#REF!,2,0),IF(B554="FDE",VLOOKUP(C554,'FDE 10-23 '!$A$4:$E$3180,2,0),IF(B554="INFRA",VLOOKUP(C554,#REF!,2,0),""))))))),"")</f>
        <v>BE-15 BANCADA LABORATORIO COM PRATELEIRA</v>
      </c>
      <c r="E554" s="65" t="str">
        <f>VLOOKUP(C554,'FDE 10-23 '!$A$4:$E$3180,3,0)</f>
        <v>M</v>
      </c>
      <c r="F554" s="1112">
        <v>12.7</v>
      </c>
      <c r="G554" s="66"/>
      <c r="H554" s="1220"/>
      <c r="I554" s="66"/>
      <c r="J554" s="66"/>
      <c r="K554" s="66"/>
      <c r="L554" s="1222"/>
      <c r="M554" s="51"/>
      <c r="N554" s="52"/>
      <c r="O554" s="25"/>
      <c r="P554" s="25"/>
    </row>
    <row r="555" spans="1:16" ht="30" customHeight="1">
      <c r="A555" s="61" t="s">
        <v>197</v>
      </c>
      <c r="B555" s="62" t="s">
        <v>26</v>
      </c>
      <c r="C555" s="63" t="s">
        <v>198</v>
      </c>
      <c r="D555" s="1219" t="str">
        <f>IFERROR(UPPER(IF(B555="CPU",VLOOKUP(C555,#REF!,2,0),IF(B555="SINAPI",VLOOKUP(C555,#REF!,2,0),IF(B555="EDIF",VLOOKUP(C555,#REF!,2,0),IF(B555="CDHU",VLOOKUP(C555,#REF!,2,0),IF(B555="FDE",VLOOKUP(C555,'FDE 10-23 '!$A$4:$E$3180,2,0),IF(B555="INFRA",VLOOKUP(C555,#REF!,2,0),""))))))),"")</f>
        <v>BE-16 BANCADA LABORATORIO 2 CUBAS 50X40X25CM (L=180CM)</v>
      </c>
      <c r="E555" s="65" t="str">
        <f>VLOOKUP(C555,'FDE 10-23 '!$A$4:$E$3180,3,0)</f>
        <v>UN</v>
      </c>
      <c r="F555" s="1112">
        <v>1</v>
      </c>
      <c r="G555" s="66"/>
      <c r="H555" s="1220"/>
      <c r="I555" s="66"/>
      <c r="J555" s="66"/>
      <c r="K555" s="66"/>
      <c r="L555" s="1222"/>
      <c r="M555" s="51"/>
      <c r="N555" s="52"/>
      <c r="O555" s="25"/>
      <c r="P555" s="25"/>
    </row>
    <row r="556" spans="1:16" ht="30" customHeight="1">
      <c r="A556" s="61" t="s">
        <v>199</v>
      </c>
      <c r="B556" s="62" t="s">
        <v>26</v>
      </c>
      <c r="C556" s="63" t="s">
        <v>200</v>
      </c>
      <c r="D556" s="1219" t="str">
        <f>IFERROR(UPPER(IF(B556="CPU",VLOOKUP(C556,#REF!,2,0),IF(B556="SINAPI",VLOOKUP(C556,#REF!,2,0),IF(B556="EDIF",VLOOKUP(C556,#REF!,2,0),IF(B556="CDHU",VLOOKUP(C556,#REF!,2,0),IF(B556="FDE",VLOOKUP(C556,'FDE 10-23 '!$A$4:$E$3180,2,0),IF(B556="INFRA",VLOOKUP(C556,#REF!,2,0),""))))))),"")</f>
        <v>PR-08 PRATELEIRA DE GRANITO</v>
      </c>
      <c r="E556" s="65" t="str">
        <f>VLOOKUP(C556,'FDE 10-23 '!$A$4:$E$3180,3,0)</f>
        <v>M</v>
      </c>
      <c r="F556" s="1112">
        <v>23.9</v>
      </c>
      <c r="G556" s="66"/>
      <c r="H556" s="1220"/>
      <c r="I556" s="66"/>
      <c r="J556" s="66"/>
      <c r="K556" s="66"/>
      <c r="L556" s="1222"/>
      <c r="M556" s="51"/>
      <c r="N556" s="52"/>
      <c r="O556" s="25"/>
      <c r="P556" s="25"/>
    </row>
    <row r="557" spans="1:16" ht="30" customHeight="1">
      <c r="A557" s="61" t="s">
        <v>201</v>
      </c>
      <c r="B557" s="62" t="s">
        <v>26</v>
      </c>
      <c r="C557" s="63" t="s">
        <v>202</v>
      </c>
      <c r="D557" s="1219" t="str">
        <f>IFERROR(UPPER(IF(B557="CPU",VLOOKUP(C557,#REF!,2,0),IF(B557="SINAPI",VLOOKUP(C557,#REF!,2,0),IF(B557="EDIF",VLOOKUP(C557,#REF!,2,0),IF(B557="CDHU",VLOOKUP(C557,#REF!,2,0),IF(B557="FDE",VLOOKUP(C557,'FDE 10-23 '!$A$4:$E$3180,2,0),IF(B557="INFRA",VLOOKUP(C557,#REF!,2,0),""))))))),"")</f>
        <v>PR-03 PRATELEIRA DE GRANILITE - L=30CM</v>
      </c>
      <c r="E557" s="65" t="str">
        <f>VLOOKUP(C557,'FDE 10-23 '!$A$4:$E$3180,3,0)</f>
        <v>M</v>
      </c>
      <c r="F557" s="1112">
        <v>4.3</v>
      </c>
      <c r="G557" s="66"/>
      <c r="H557" s="1220"/>
      <c r="I557" s="66"/>
      <c r="J557" s="66"/>
      <c r="K557" s="66"/>
      <c r="L557" s="1222"/>
      <c r="M557" s="51"/>
      <c r="N557" s="52"/>
      <c r="O557" s="25"/>
      <c r="P557" s="25"/>
    </row>
    <row r="558" spans="1:16" ht="30" customHeight="1">
      <c r="A558" s="61" t="s">
        <v>203</v>
      </c>
      <c r="B558" s="62" t="s">
        <v>26</v>
      </c>
      <c r="C558" s="63" t="s">
        <v>204</v>
      </c>
      <c r="D558" s="1219" t="str">
        <f>IFERROR(UPPER(IF(B558="CPU",VLOOKUP(C558,#REF!,2,0),IF(B558="SINAPI",VLOOKUP(C558,#REF!,2,0),IF(B558="EDIF",VLOOKUP(C558,#REF!,2,0),IF(B558="CDHU",VLOOKUP(C558,#REF!,2,0),IF(B558="FDE",VLOOKUP(C558,'FDE 10-23 '!$A$4:$E$3180,2,0),IF(B558="INFRA",VLOOKUP(C558,#REF!,2,0),""))))))),"")</f>
        <v>BE-18 BANCADA LABORATORIO 1 CUBA 60X50X30CM (L=180CM)</v>
      </c>
      <c r="E558" s="65" t="str">
        <f>VLOOKUP(C558,'FDE 10-23 '!$A$4:$E$3180,3,0)</f>
        <v>UN</v>
      </c>
      <c r="F558" s="1112">
        <v>1</v>
      </c>
      <c r="G558" s="66"/>
      <c r="H558" s="1220"/>
      <c r="I558" s="66"/>
      <c r="J558" s="66"/>
      <c r="K558" s="66"/>
      <c r="L558" s="1222"/>
      <c r="M558" s="51"/>
      <c r="N558" s="52"/>
      <c r="O558" s="25"/>
      <c r="P558" s="25"/>
    </row>
    <row r="559" spans="1:16" ht="30" customHeight="1">
      <c r="A559" s="61" t="s">
        <v>205</v>
      </c>
      <c r="B559" s="62" t="s">
        <v>26</v>
      </c>
      <c r="C559" s="63" t="s">
        <v>206</v>
      </c>
      <c r="D559" s="1219" t="str">
        <f>IFERROR(UPPER(IF(B559="CPU",VLOOKUP(C559,#REF!,2,0),IF(B559="SINAPI",VLOOKUP(C559,#REF!,2,0),IF(B559="EDIF",VLOOKUP(C559,#REF!,2,0),IF(B559="CDHU",VLOOKUP(C559,#REF!,2,0),IF(B559="FDE",VLOOKUP(C559,'FDE 10-23 '!$A$4:$E$3180,2,0),IF(B559="INFRA",VLOOKUP(C559,#REF!,2,0),""))))))),"")</f>
        <v>BE-19 BANCADA LABORATORIO SIMPLES</v>
      </c>
      <c r="E559" s="65" t="str">
        <f>VLOOKUP(C559,'FDE 10-23 '!$A$4:$E$3180,3,0)</f>
        <v>M</v>
      </c>
      <c r="F559" s="1112">
        <v>6.3</v>
      </c>
      <c r="G559" s="66"/>
      <c r="H559" s="1220"/>
      <c r="I559" s="66"/>
      <c r="J559" s="66"/>
      <c r="K559" s="66"/>
      <c r="L559" s="1222"/>
      <c r="M559" s="51"/>
      <c r="N559" s="52"/>
      <c r="O559" s="25"/>
      <c r="P559" s="25"/>
    </row>
    <row r="560" spans="1:16" ht="30" customHeight="1">
      <c r="A560" s="61" t="s">
        <v>207</v>
      </c>
      <c r="B560" s="62" t="s">
        <v>26</v>
      </c>
      <c r="C560" s="63" t="s">
        <v>208</v>
      </c>
      <c r="D560" s="1219" t="str">
        <f>IFERROR(UPPER(IF(B560="CPU",VLOOKUP(C560,#REF!,2,0),IF(B560="SINAPI",VLOOKUP(C560,#REF!,2,0),IF(B560="EDIF",VLOOKUP(C560,#REF!,2,0),IF(B560="CDHU",VLOOKUP(C560,#REF!,2,0),IF(B560="FDE",VLOOKUP(C560,'FDE 10-23 '!$A$4:$E$3180,2,0),IF(B560="INFRA",VLOOKUP(C560,#REF!,2,0),""))))))),"")</f>
        <v>PR-09 PRATELEIRA EM GRANILITE - L=55CM</v>
      </c>
      <c r="E560" s="65" t="str">
        <f>VLOOKUP(C560,'FDE 10-23 '!$A$4:$E$3180,3,0)</f>
        <v>M</v>
      </c>
      <c r="F560" s="1112">
        <v>13.7</v>
      </c>
      <c r="G560" s="66"/>
      <c r="H560" s="1220"/>
      <c r="I560" s="66"/>
      <c r="J560" s="66"/>
      <c r="K560" s="66"/>
      <c r="L560" s="1222"/>
      <c r="M560" s="51"/>
      <c r="N560" s="52"/>
      <c r="O560" s="25"/>
      <c r="P560" s="25"/>
    </row>
    <row r="561" spans="1:16" ht="30" customHeight="1">
      <c r="A561" s="61" t="s">
        <v>209</v>
      </c>
      <c r="B561" s="62" t="s">
        <v>26</v>
      </c>
      <c r="C561" s="63" t="s">
        <v>210</v>
      </c>
      <c r="D561" s="1219" t="str">
        <f>IFERROR(UPPER(IF(B561="CPU",VLOOKUP(C561,#REF!,2,0),IF(B561="SINAPI",VLOOKUP(C561,#REF!,2,0),IF(B561="EDIF",VLOOKUP(C561,#REF!,2,0),IF(B561="CDHU",VLOOKUP(C561,#REF!,2,0),IF(B561="FDE",VLOOKUP(C561,'FDE 10-23 '!$A$4:$E$3180,2,0),IF(B561="INFRA",VLOOKUP(C561,#REF!,2,0),""))))))),"")</f>
        <v>GS-03 GUICHE DE SECRETARIA/JANELA DE 2 FOLHAS</v>
      </c>
      <c r="E561" s="65" t="str">
        <f>VLOOKUP(C561,'FDE 10-23 '!$A$4:$E$3180,3,0)</f>
        <v>UN</v>
      </c>
      <c r="F561" s="1112">
        <v>1</v>
      </c>
      <c r="G561" s="66"/>
      <c r="H561" s="1220"/>
      <c r="I561" s="66"/>
      <c r="J561" s="66"/>
      <c r="K561" s="66"/>
      <c r="L561" s="1222"/>
      <c r="M561" s="51"/>
      <c r="N561" s="52"/>
      <c r="O561" s="25"/>
      <c r="P561" s="25"/>
    </row>
    <row r="562" spans="1:16" ht="30" customHeight="1">
      <c r="A562" s="61" t="s">
        <v>211</v>
      </c>
      <c r="B562" s="62" t="s">
        <v>26</v>
      </c>
      <c r="C562" s="63" t="s">
        <v>212</v>
      </c>
      <c r="D562" s="1219" t="str">
        <f>IFERROR(UPPER(IF(B562="CPU",VLOOKUP(C562,#REF!,2,0),IF(B562="SINAPI",VLOOKUP(C562,#REF!,2,0),IF(B562="EDIF",VLOOKUP(C562,#REF!,2,0),IF(B562="CDHU",VLOOKUP(C562,#REF!,2,0),IF(B562="FDE",VLOOKUP(C562,'FDE 10-23 '!$A$4:$E$3180,2,0),IF(B562="INFRA",VLOOKUP(C562,#REF!,2,0),""))))))),"")</f>
        <v>ET-05 ESTRADO DE POLIPROPILENO</v>
      </c>
      <c r="E562" s="65" t="str">
        <f>VLOOKUP(C562,'FDE 10-23 '!$A$4:$E$3180,3,0)</f>
        <v>M</v>
      </c>
      <c r="F562" s="1112">
        <v>5</v>
      </c>
      <c r="G562" s="66"/>
      <c r="H562" s="1220"/>
      <c r="I562" s="66"/>
      <c r="J562" s="66"/>
      <c r="K562" s="66"/>
      <c r="L562" s="1222"/>
      <c r="M562" s="51"/>
      <c r="N562" s="52"/>
      <c r="O562" s="25"/>
      <c r="P562" s="25"/>
    </row>
    <row r="563" spans="1:16" ht="30" customHeight="1">
      <c r="A563" s="61" t="s">
        <v>213</v>
      </c>
      <c r="B563" s="62" t="s">
        <v>26</v>
      </c>
      <c r="C563" s="63" t="s">
        <v>214</v>
      </c>
      <c r="D563" s="1219" t="str">
        <f>IFERROR(UPPER(IF(B563="CPU",VLOOKUP(C563,#REF!,2,0),IF(B563="SINAPI",VLOOKUP(C563,#REF!,2,0),IF(B563="EDIF",VLOOKUP(C563,#REF!,2,0),IF(B563="CDHU",VLOOKUP(C563,#REF!,2,0),IF(B563="FDE",VLOOKUP(C563,'FDE 10-23 '!$A$4:$E$3180,2,0),IF(B563="INFRA",VLOOKUP(C563,#REF!,2,0),""))))))),"")</f>
        <v>BA-13 BALCAO ATENDIMENTO - GRANITO</v>
      </c>
      <c r="E563" s="65" t="str">
        <f>VLOOKUP(C563,'FDE 10-23 '!$A$4:$E$3180,3,0)</f>
        <v>UN</v>
      </c>
      <c r="F563" s="1112">
        <v>1</v>
      </c>
      <c r="G563" s="66"/>
      <c r="H563" s="1220"/>
      <c r="I563" s="66"/>
      <c r="J563" s="66"/>
      <c r="K563" s="66"/>
      <c r="L563" s="1222"/>
      <c r="M563" s="51"/>
      <c r="N563" s="52"/>
      <c r="O563" s="25"/>
      <c r="P563" s="25"/>
    </row>
    <row r="564" spans="1:16" ht="30" customHeight="1">
      <c r="A564" s="61" t="s">
        <v>215</v>
      </c>
      <c r="B564" s="62" t="s">
        <v>26</v>
      </c>
      <c r="C564" s="63" t="s">
        <v>216</v>
      </c>
      <c r="D564" s="1219" t="str">
        <f>IFERROR(UPPER(IF(B564="CPU",VLOOKUP(C564,#REF!,2,0),IF(B564="SINAPI",VLOOKUP(C564,#REF!,2,0),IF(B564="EDIF",VLOOKUP(C564,#REF!,2,0),IF(B564="CDHU",VLOOKUP(C564,#REF!,2,0),IF(B564="FDE",VLOOKUP(C564,'FDE 10-23 '!$A$4:$E$3180,2,0),IF(B564="INFRA",VLOOKUP(C564,#REF!,2,0),""))))))),"")</f>
        <v>BA-10 BALCÃO DE DISTRIB.DE GRANITO (L=350CM)</v>
      </c>
      <c r="E564" s="65" t="str">
        <f>VLOOKUP(C564,'FDE 10-23 '!$A$4:$E$3180,3,0)</f>
        <v>UN</v>
      </c>
      <c r="F564" s="1112">
        <v>1</v>
      </c>
      <c r="G564" s="66"/>
      <c r="H564" s="1220"/>
      <c r="I564" s="66"/>
      <c r="J564" s="66"/>
      <c r="K564" s="66"/>
      <c r="L564" s="1222"/>
      <c r="M564" s="51"/>
      <c r="N564" s="52"/>
      <c r="O564" s="25"/>
      <c r="P564" s="25"/>
    </row>
    <row r="565" spans="1:16" ht="30" customHeight="1">
      <c r="A565" s="61" t="s">
        <v>217</v>
      </c>
      <c r="B565" s="62" t="s">
        <v>26</v>
      </c>
      <c r="C565" s="63" t="s">
        <v>218</v>
      </c>
      <c r="D565" s="1219" t="str">
        <f>IFERROR(UPPER(IF(B565="CPU",VLOOKUP(C565,#REF!,2,0),IF(B565="SINAPI",VLOOKUP(C565,#REF!,2,0),IF(B565="EDIF",VLOOKUP(C565,#REF!,2,0),IF(B565="CDHU",VLOOKUP(C565,#REF!,2,0),IF(B565="FDE",VLOOKUP(C565,'FDE 10-23 '!$A$4:$E$3180,2,0),IF(B565="INFRA",VLOOKUP(C565,#REF!,2,0),""))))))),"")</f>
        <v>BA-11 BALCÃO DE DEVOLUÇÃO DE GRANITO (L=70CM)</v>
      </c>
      <c r="E565" s="65" t="str">
        <f>VLOOKUP(C565,'FDE 10-23 '!$A$4:$E$3180,3,0)</f>
        <v>UN</v>
      </c>
      <c r="F565" s="1112">
        <v>1</v>
      </c>
      <c r="G565" s="66"/>
      <c r="H565" s="1220"/>
      <c r="I565" s="66"/>
      <c r="J565" s="66"/>
      <c r="K565" s="66"/>
      <c r="L565" s="1222"/>
      <c r="M565" s="51"/>
      <c r="N565" s="52"/>
      <c r="O565" s="25"/>
      <c r="P565" s="25"/>
    </row>
    <row r="566" spans="1:16" ht="30" customHeight="1">
      <c r="A566" s="61" t="s">
        <v>219</v>
      </c>
      <c r="B566" s="62" t="s">
        <v>26</v>
      </c>
      <c r="C566" s="63" t="s">
        <v>220</v>
      </c>
      <c r="D566" s="1219" t="str">
        <f>IFERROR(UPPER(IF(B566="CPU",VLOOKUP(C566,#REF!,2,0),IF(B566="SINAPI",VLOOKUP(C566,#REF!,2,0),IF(B566="EDIF",VLOOKUP(C566,#REF!,2,0),IF(B566="CDHU",VLOOKUP(C566,#REF!,2,0),IF(B566="FDE",VLOOKUP(C566,'FDE 10-23 '!$A$4:$E$3180,2,0),IF(B566="INFRA",VLOOKUP(C566,#REF!,2,0),""))))))),"")</f>
        <v>CC-01 CUBA INOX (60X50X30CM) INCLUSIVE VÁLVULA AMERICANA-GRANITO</v>
      </c>
      <c r="E566" s="65" t="str">
        <f>VLOOKUP(C566,'FDE 10-23 '!$A$4:$E$3180,3,0)</f>
        <v>UN</v>
      </c>
      <c r="F566" s="1112">
        <v>1</v>
      </c>
      <c r="G566" s="66"/>
      <c r="H566" s="1220"/>
      <c r="I566" s="66"/>
      <c r="J566" s="66"/>
      <c r="K566" s="66"/>
      <c r="L566" s="1222"/>
      <c r="M566" s="51"/>
      <c r="N566" s="52"/>
      <c r="O566" s="25"/>
      <c r="P566" s="25"/>
    </row>
    <row r="567" spans="1:16" ht="30" customHeight="1">
      <c r="A567" s="61" t="s">
        <v>221</v>
      </c>
      <c r="B567" s="62" t="s">
        <v>26</v>
      </c>
      <c r="C567" s="63" t="s">
        <v>222</v>
      </c>
      <c r="D567" s="1219" t="str">
        <f>IFERROR(UPPER(IF(B567="CPU",VLOOKUP(C567,#REF!,2,0),IF(B567="SINAPI",VLOOKUP(C567,#REF!,2,0),IF(B567="EDIF",VLOOKUP(C567,#REF!,2,0),IF(B567="CDHU",VLOOKUP(C567,#REF!,2,0),IF(B567="FDE",VLOOKUP(C567,'FDE 10-23 '!$A$4:$E$3180,2,0),IF(B567="INFRA",VLOOKUP(C567,#REF!,2,0),""))))))),"")</f>
        <v>CC-03 CUBA INOX (50X40X25CM) TORNEIRA DE PAREDE INCL.VÁLVULA AMERICANA-GRANITO</v>
      </c>
      <c r="E567" s="65" t="str">
        <f>VLOOKUP(C567,'FDE 10-23 '!$A$4:$E$3180,3,0)</f>
        <v>UN</v>
      </c>
      <c r="F567" s="1112">
        <v>3</v>
      </c>
      <c r="G567" s="66"/>
      <c r="H567" s="1220"/>
      <c r="I567" s="66"/>
      <c r="J567" s="66"/>
      <c r="K567" s="66"/>
      <c r="L567" s="1222"/>
      <c r="M567" s="51"/>
      <c r="N567" s="52"/>
      <c r="O567" s="25"/>
      <c r="P567" s="25"/>
    </row>
    <row r="568" spans="1:16" ht="30" customHeight="1">
      <c r="A568" s="61" t="s">
        <v>223</v>
      </c>
      <c r="B568" s="62" t="s">
        <v>26</v>
      </c>
      <c r="C568" s="63" t="s">
        <v>224</v>
      </c>
      <c r="D568" s="1219" t="str">
        <f>IFERROR(UPPER(IF(B568="CPU",VLOOKUP(C568,#REF!,2,0),IF(B568="SINAPI",VLOOKUP(C568,#REF!,2,0),IF(B568="EDIF",VLOOKUP(C568,#REF!,2,0),IF(B568="CDHU",VLOOKUP(C568,#REF!,2,0),IF(B568="FDE",VLOOKUP(C568,'FDE 10-23 '!$A$4:$E$3180,2,0),IF(B568="INFRA",VLOOKUP(C568,#REF!,2,0),""))))))),"")</f>
        <v>CC-04 CUBA DUPLA INOX (102X40X25CM) INCLUSIVE VÁLVULA AMERICANA-GRANITO</v>
      </c>
      <c r="E568" s="65" t="str">
        <f>VLOOKUP(C568,'FDE 10-23 '!$A$4:$E$3180,3,0)</f>
        <v>UN</v>
      </c>
      <c r="F568" s="1112">
        <v>1</v>
      </c>
      <c r="G568" s="66"/>
      <c r="H568" s="1220"/>
      <c r="I568" s="66"/>
      <c r="J568" s="66"/>
      <c r="K568" s="66"/>
      <c r="L568" s="1222"/>
      <c r="M568" s="51"/>
      <c r="N568" s="52"/>
      <c r="O568" s="25"/>
      <c r="P568" s="25"/>
    </row>
    <row r="569" spans="1:16" ht="30" customHeight="1">
      <c r="A569" s="61"/>
      <c r="B569" s="62"/>
      <c r="C569" s="63"/>
      <c r="D569" s="1219" t="s">
        <v>10986</v>
      </c>
      <c r="E569" s="65"/>
      <c r="F569" s="88"/>
      <c r="G569" s="66"/>
      <c r="H569" s="1220"/>
      <c r="I569" s="66"/>
      <c r="J569" s="66"/>
      <c r="K569" s="66"/>
      <c r="L569" s="1222"/>
      <c r="M569" s="51"/>
      <c r="N569" s="52"/>
      <c r="O569" s="25"/>
      <c r="P569" s="25"/>
    </row>
    <row r="570" spans="1:16" ht="30" customHeight="1">
      <c r="A570" s="61"/>
      <c r="B570" s="62"/>
      <c r="C570" s="63"/>
      <c r="D570" s="1219"/>
      <c r="E570" s="65"/>
      <c r="F570" s="88"/>
      <c r="G570" s="66"/>
      <c r="H570" s="1220"/>
      <c r="I570" s="66"/>
      <c r="J570" s="66"/>
      <c r="K570" s="66"/>
      <c r="L570" s="1222"/>
      <c r="M570" s="51"/>
      <c r="N570" s="52"/>
      <c r="O570" s="25"/>
      <c r="P570" s="25"/>
    </row>
    <row r="571" spans="1:16" ht="30" customHeight="1">
      <c r="A571" s="61"/>
      <c r="B571" s="62"/>
      <c r="C571" s="63"/>
      <c r="D571" s="1219"/>
      <c r="E571" s="65"/>
      <c r="F571" s="88"/>
      <c r="G571" s="66"/>
      <c r="H571" s="1220"/>
      <c r="I571" s="66"/>
      <c r="J571" s="66"/>
      <c r="K571" s="66"/>
      <c r="L571" s="1222"/>
      <c r="M571" s="51"/>
      <c r="N571" s="52"/>
      <c r="O571" s="25"/>
      <c r="P571" s="25"/>
    </row>
    <row r="572" spans="1:16" ht="30" customHeight="1">
      <c r="A572" s="43">
        <v>6</v>
      </c>
      <c r="B572" s="44"/>
      <c r="C572" s="44" t="s">
        <v>225</v>
      </c>
      <c r="D572" s="1213" t="s">
        <v>226</v>
      </c>
      <c r="E572" s="46" t="str">
        <f>IFERROR(UPPER(IF(B572="CPU",VLOOKUP(C572,#REF!,3,0),IF(B572="SINAPI",VLOOKUP(C572,#REF!,3,0),IF(B572="EDIF",VLOOKUP(C572,#REF!,3,0),IF(B572="CDHU",VLOOKUP(C572,#REF!,3,0),IF(B572="FDE",VLOOKUP(C572,#REF!,3,0),IF(B572="INFRA",VLOOKUP(C572,#REF!,3,0),""))))))),"")</f>
        <v/>
      </c>
      <c r="F572" s="1233"/>
      <c r="G572" s="47"/>
      <c r="H572" s="1214"/>
      <c r="I572" s="1214"/>
      <c r="J572" s="1214"/>
      <c r="K572" s="1214"/>
      <c r="L572" s="1215"/>
      <c r="M572" s="51"/>
      <c r="N572" s="52"/>
      <c r="O572" s="25"/>
      <c r="P572" s="25"/>
    </row>
    <row r="573" spans="1:16" ht="30" customHeight="1">
      <c r="A573" s="53" t="s">
        <v>227</v>
      </c>
      <c r="B573" s="54"/>
      <c r="C573" s="54" t="s">
        <v>228</v>
      </c>
      <c r="D573" s="1216" t="s">
        <v>229</v>
      </c>
      <c r="E573" s="56" t="str">
        <f>IFERROR(UPPER(IF(B573="CPU",VLOOKUP(C573,#REF!,3,0),IF(B573="SINAPI",VLOOKUP(C573,#REF!,3,0),IF(B573="EDIF",VLOOKUP(C573,#REF!,3,0),IF(B573="CDHU",VLOOKUP(C573,#REF!,3,0),IF(B573="FDE",VLOOKUP(C573,#REF!,3,0),IF(B573="INFRA",VLOOKUP(C573,#REF!,3,0),""))))))),"")</f>
        <v/>
      </c>
      <c r="F573" s="1232"/>
      <c r="G573" s="57"/>
      <c r="H573" s="1217"/>
      <c r="I573" s="1217"/>
      <c r="J573" s="1217"/>
      <c r="K573" s="1217"/>
      <c r="L573" s="1218"/>
      <c r="M573" s="51"/>
      <c r="N573" s="52"/>
      <c r="O573" s="25"/>
      <c r="P573" s="25"/>
    </row>
    <row r="574" spans="1:16" ht="30" customHeight="1">
      <c r="A574" s="61" t="s">
        <v>230</v>
      </c>
      <c r="B574" s="62" t="s">
        <v>26</v>
      </c>
      <c r="C574" s="63" t="s">
        <v>231</v>
      </c>
      <c r="D574" s="1219" t="str">
        <f>IFERROR(UPPER(IF(B574="CPU",VLOOKUP(C574,#REF!,2,0),IF(B574="SINAPI",VLOOKUP(C574,#REF!,2,0),IF(B574="EDIF",VLOOKUP(C574,#REF!,2,0),IF(B574="CDHU",VLOOKUP(C574,#REF!,2,0),IF(B574="FDE",VLOOKUP(C574,'FDE 10-23 '!$A$4:$E$3180,2,0),IF(B574="INFRA",VLOOKUP(C574,#REF!,2,0),""))))))),"")</f>
        <v>EF-01 ESQUADRIA DE FERRO 90X60CM</v>
      </c>
      <c r="E574" s="65" t="str">
        <f>VLOOKUP(C574,'FDE 10-23 '!$A$4:$E$3180,3,0)</f>
        <v>UN</v>
      </c>
      <c r="F574" s="1112">
        <v>2</v>
      </c>
      <c r="G574" s="66"/>
      <c r="H574" s="1220"/>
      <c r="I574" s="66"/>
      <c r="J574" s="66"/>
      <c r="K574" s="66"/>
      <c r="L574" s="1222"/>
      <c r="M574" s="51"/>
      <c r="N574" s="52"/>
      <c r="O574" s="25"/>
      <c r="P574" s="25"/>
    </row>
    <row r="575" spans="1:16" ht="30" customHeight="1">
      <c r="A575" s="61"/>
      <c r="B575" s="62"/>
      <c r="C575" s="63"/>
      <c r="D575" s="1219" t="s">
        <v>10988</v>
      </c>
      <c r="E575" s="65"/>
      <c r="F575" s="66">
        <v>1</v>
      </c>
      <c r="G575" s="66"/>
      <c r="H575" s="1220"/>
      <c r="I575" s="66"/>
      <c r="J575" s="66"/>
      <c r="K575" s="66"/>
      <c r="L575" s="1222"/>
      <c r="M575" s="51"/>
      <c r="N575" s="52"/>
      <c r="O575" s="25"/>
      <c r="P575" s="25"/>
    </row>
    <row r="576" spans="1:16" ht="30" customHeight="1">
      <c r="A576" s="61"/>
      <c r="B576" s="62"/>
      <c r="C576" s="63"/>
      <c r="D576" s="1219" t="s">
        <v>1236</v>
      </c>
      <c r="E576" s="65"/>
      <c r="F576" s="66">
        <v>1</v>
      </c>
      <c r="G576" s="66"/>
      <c r="H576" s="1220"/>
      <c r="I576" s="66"/>
      <c r="J576" s="66"/>
      <c r="K576" s="66"/>
      <c r="L576" s="1222"/>
      <c r="M576" s="51"/>
      <c r="N576" s="52"/>
      <c r="O576" s="25"/>
      <c r="P576" s="25"/>
    </row>
    <row r="577" spans="1:16" ht="30" customHeight="1">
      <c r="A577" s="61"/>
      <c r="B577" s="62"/>
      <c r="C577" s="63"/>
      <c r="D577" s="1219"/>
      <c r="E577" s="65"/>
      <c r="F577" s="88"/>
      <c r="G577" s="66"/>
      <c r="H577" s="1220"/>
      <c r="I577" s="66"/>
      <c r="J577" s="66"/>
      <c r="K577" s="66"/>
      <c r="L577" s="1222"/>
      <c r="M577" s="51"/>
      <c r="N577" s="52"/>
      <c r="O577" s="25"/>
      <c r="P577" s="25"/>
    </row>
    <row r="578" spans="1:16" ht="30" customHeight="1">
      <c r="A578" s="61" t="s">
        <v>232</v>
      </c>
      <c r="B578" s="62" t="s">
        <v>26</v>
      </c>
      <c r="C578" s="63" t="s">
        <v>233</v>
      </c>
      <c r="D578" s="1219" t="str">
        <f>IFERROR(UPPER(IF(B578="CPU",VLOOKUP(C578,#REF!,2,0),IF(B578="SINAPI",VLOOKUP(C578,#REF!,2,0),IF(B578="EDIF",VLOOKUP(C578,#REF!,2,0),IF(B578="CDHU",VLOOKUP(C578,#REF!,2,0),IF(B578="FDE",VLOOKUP(C578,'FDE 10-23 '!$A$4:$E$3180,2,0),IF(B578="INFRA",VLOOKUP(C578,#REF!,2,0),""))))))),"")</f>
        <v>EF-02 ESQUADRIA DE FERRO 90X120CM</v>
      </c>
      <c r="E578" s="65" t="str">
        <f>VLOOKUP(C578,'FDE 10-23 '!$A$4:$E$3180,3,0)</f>
        <v>UN</v>
      </c>
      <c r="F578" s="1112">
        <v>2</v>
      </c>
      <c r="G578" s="66"/>
      <c r="H578" s="1220"/>
      <c r="I578" s="66"/>
      <c r="J578" s="66"/>
      <c r="K578" s="66"/>
      <c r="L578" s="1222"/>
      <c r="M578" s="51"/>
      <c r="N578" s="52"/>
      <c r="O578" s="25"/>
      <c r="P578" s="25"/>
    </row>
    <row r="579" spans="1:16" ht="30" customHeight="1">
      <c r="A579" s="61"/>
      <c r="B579" s="62"/>
      <c r="C579" s="63"/>
      <c r="D579" s="1219" t="s">
        <v>6507</v>
      </c>
      <c r="E579" s="65"/>
      <c r="F579" s="66">
        <v>2</v>
      </c>
      <c r="G579" s="66"/>
      <c r="H579" s="1220"/>
      <c r="I579" s="66"/>
      <c r="J579" s="66"/>
      <c r="K579" s="66"/>
      <c r="L579" s="1222"/>
      <c r="M579" s="51"/>
      <c r="N579" s="52"/>
      <c r="O579" s="25"/>
      <c r="P579" s="25"/>
    </row>
    <row r="580" spans="1:16" ht="30" customHeight="1">
      <c r="A580" s="61"/>
      <c r="B580" s="62"/>
      <c r="C580" s="63"/>
      <c r="D580" s="1219"/>
      <c r="E580" s="65"/>
      <c r="F580" s="88"/>
      <c r="G580" s="66"/>
      <c r="H580" s="1220"/>
      <c r="I580" s="66"/>
      <c r="J580" s="66"/>
      <c r="K580" s="66"/>
      <c r="L580" s="1222"/>
      <c r="M580" s="51"/>
      <c r="N580" s="52"/>
      <c r="O580" s="25"/>
      <c r="P580" s="25"/>
    </row>
    <row r="581" spans="1:16" ht="30" customHeight="1">
      <c r="A581" s="61" t="s">
        <v>234</v>
      </c>
      <c r="B581" s="62" t="s">
        <v>26</v>
      </c>
      <c r="C581" s="63" t="s">
        <v>235</v>
      </c>
      <c r="D581" s="1219" t="str">
        <f>IFERROR(UPPER(IF(B581="CPU",VLOOKUP(C581,#REF!,2,0),IF(B581="SINAPI",VLOOKUP(C581,#REF!,2,0),IF(B581="EDIF",VLOOKUP(C581,#REF!,2,0),IF(B581="CDHU",VLOOKUP(C581,#REF!,2,0),IF(B581="FDE",VLOOKUP(C581,'FDE 10-23 '!$A$4:$E$3180,2,0),IF(B581="INFRA",VLOOKUP(C581,#REF!,2,0),""))))))),"")</f>
        <v>EF-03 ESQUADRIA DE FERRO 90X150CM</v>
      </c>
      <c r="E581" s="65" t="str">
        <f>VLOOKUP(C581,'FDE 10-23 '!$A$4:$E$3180,3,0)</f>
        <v>UN</v>
      </c>
      <c r="F581" s="1112">
        <v>9</v>
      </c>
      <c r="G581" s="66"/>
      <c r="H581" s="1220"/>
      <c r="I581" s="66"/>
      <c r="J581" s="66"/>
      <c r="K581" s="66"/>
      <c r="L581" s="1222"/>
      <c r="M581" s="51"/>
      <c r="N581" s="52"/>
      <c r="O581" s="25"/>
      <c r="P581" s="25"/>
    </row>
    <row r="582" spans="1:16" ht="30" customHeight="1">
      <c r="A582" s="61"/>
      <c r="B582" s="62"/>
      <c r="C582" s="63"/>
      <c r="D582" s="1219" t="s">
        <v>10989</v>
      </c>
      <c r="E582" s="65"/>
      <c r="F582" s="66">
        <v>3</v>
      </c>
      <c r="G582" s="66"/>
      <c r="H582" s="1220"/>
      <c r="I582" s="66"/>
      <c r="J582" s="66"/>
      <c r="K582" s="66"/>
      <c r="L582" s="1222"/>
      <c r="M582" s="51"/>
      <c r="N582" s="52"/>
      <c r="O582" s="25"/>
      <c r="P582" s="25"/>
    </row>
    <row r="583" spans="1:16" ht="30" customHeight="1">
      <c r="A583" s="61"/>
      <c r="B583" s="62"/>
      <c r="C583" s="63"/>
      <c r="D583" s="1219" t="s">
        <v>10990</v>
      </c>
      <c r="E583" s="65"/>
      <c r="F583" s="66">
        <v>1</v>
      </c>
      <c r="G583" s="66"/>
      <c r="H583" s="1220"/>
      <c r="I583" s="66"/>
      <c r="J583" s="66"/>
      <c r="K583" s="66"/>
      <c r="L583" s="1222"/>
      <c r="M583" s="51"/>
      <c r="N583" s="52"/>
      <c r="O583" s="25"/>
      <c r="P583" s="25"/>
    </row>
    <row r="584" spans="1:16" ht="30" customHeight="1">
      <c r="A584" s="61"/>
      <c r="B584" s="62"/>
      <c r="C584" s="63"/>
      <c r="D584" s="1219" t="s">
        <v>10991</v>
      </c>
      <c r="E584" s="65"/>
      <c r="F584" s="66">
        <v>2</v>
      </c>
      <c r="G584" s="66"/>
      <c r="H584" s="1220"/>
      <c r="I584" s="66"/>
      <c r="J584" s="66"/>
      <c r="K584" s="66"/>
      <c r="L584" s="1222"/>
      <c r="M584" s="51"/>
      <c r="N584" s="52"/>
      <c r="O584" s="25"/>
      <c r="P584" s="25"/>
    </row>
    <row r="585" spans="1:16" ht="30" customHeight="1">
      <c r="A585" s="61"/>
      <c r="B585" s="62"/>
      <c r="C585" s="63"/>
      <c r="D585" s="1219"/>
      <c r="E585" s="65"/>
      <c r="F585" s="88"/>
      <c r="G585" s="66"/>
      <c r="H585" s="1220"/>
      <c r="I585" s="66"/>
      <c r="J585" s="66"/>
      <c r="K585" s="66"/>
      <c r="L585" s="1222"/>
      <c r="M585" s="51"/>
      <c r="N585" s="52"/>
      <c r="O585" s="25"/>
      <c r="P585" s="25"/>
    </row>
    <row r="586" spans="1:16" ht="30" customHeight="1">
      <c r="A586" s="61" t="s">
        <v>236</v>
      </c>
      <c r="B586" s="62" t="s">
        <v>26</v>
      </c>
      <c r="C586" s="63" t="s">
        <v>237</v>
      </c>
      <c r="D586" s="1219" t="str">
        <f>IFERROR(UPPER(IF(B586="CPU",VLOOKUP(C586,#REF!,2,0),IF(B586="SINAPI",VLOOKUP(C586,#REF!,2,0),IF(B586="EDIF",VLOOKUP(C586,#REF!,2,0),IF(B586="CDHU",VLOOKUP(C586,#REF!,2,0),IF(B586="FDE",VLOOKUP(C586,'FDE 10-23 '!$A$4:$E$3180,2,0),IF(B586="INFRA",VLOOKUP(C586,#REF!,2,0),""))))))),"")</f>
        <v>EF-04 ESQUADRIA DE FERRO 180X60CM</v>
      </c>
      <c r="E586" s="65" t="str">
        <f>VLOOKUP(C586,'FDE 10-23 '!$A$4:$E$3180,3,0)</f>
        <v>UN</v>
      </c>
      <c r="F586" s="1112">
        <f>SUM(F587:F607)</f>
        <v>65</v>
      </c>
      <c r="G586" s="88">
        <v>64</v>
      </c>
      <c r="H586" s="1220"/>
      <c r="I586" s="66"/>
      <c r="J586" s="66"/>
      <c r="K586" s="66"/>
      <c r="L586" s="1222"/>
      <c r="M586" s="51"/>
      <c r="N586" s="52"/>
      <c r="O586" s="25"/>
      <c r="P586" s="25"/>
    </row>
    <row r="587" spans="1:16" ht="30" customHeight="1">
      <c r="A587" s="61"/>
      <c r="B587" s="62"/>
      <c r="C587" s="63"/>
      <c r="D587" s="1219" t="s">
        <v>10992</v>
      </c>
      <c r="E587" s="65"/>
      <c r="F587" s="66">
        <v>4</v>
      </c>
      <c r="G587" s="66"/>
      <c r="H587" s="1220"/>
      <c r="I587" s="66"/>
      <c r="J587" s="66"/>
      <c r="K587" s="66"/>
      <c r="L587" s="1222"/>
      <c r="M587" s="51"/>
      <c r="N587" s="52"/>
      <c r="O587" s="25"/>
      <c r="P587" s="25"/>
    </row>
    <row r="588" spans="1:16" ht="30" customHeight="1">
      <c r="A588" s="61"/>
      <c r="B588" s="62"/>
      <c r="C588" s="63"/>
      <c r="D588" s="1219" t="s">
        <v>10993</v>
      </c>
      <c r="E588" s="65"/>
      <c r="F588" s="66">
        <v>4</v>
      </c>
      <c r="G588" s="66"/>
      <c r="H588" s="1220"/>
      <c r="I588" s="66"/>
      <c r="J588" s="66"/>
      <c r="K588" s="66"/>
      <c r="L588" s="1222"/>
      <c r="M588" s="51"/>
      <c r="N588" s="52"/>
      <c r="O588" s="25"/>
      <c r="P588" s="25"/>
    </row>
    <row r="589" spans="1:16" ht="30" customHeight="1">
      <c r="A589" s="61"/>
      <c r="B589" s="62"/>
      <c r="C589" s="63"/>
      <c r="D589" s="1219" t="s">
        <v>10994</v>
      </c>
      <c r="E589" s="65"/>
      <c r="F589" s="66">
        <v>4</v>
      </c>
      <c r="G589" s="66"/>
      <c r="H589" s="1220"/>
      <c r="I589" s="66"/>
      <c r="J589" s="66"/>
      <c r="K589" s="66"/>
      <c r="L589" s="1222"/>
      <c r="M589" s="51"/>
      <c r="N589" s="52"/>
      <c r="O589" s="25"/>
      <c r="P589" s="25"/>
    </row>
    <row r="590" spans="1:16" ht="30" customHeight="1">
      <c r="A590" s="61"/>
      <c r="B590" s="62"/>
      <c r="C590" s="63"/>
      <c r="D590" s="1219" t="s">
        <v>10995</v>
      </c>
      <c r="E590" s="65"/>
      <c r="F590" s="66">
        <v>4</v>
      </c>
      <c r="G590" s="66"/>
      <c r="H590" s="1220"/>
      <c r="I590" s="66"/>
      <c r="J590" s="66"/>
      <c r="K590" s="66"/>
      <c r="L590" s="1222"/>
      <c r="M590" s="51"/>
      <c r="N590" s="52"/>
      <c r="O590" s="25"/>
      <c r="P590" s="25"/>
    </row>
    <row r="591" spans="1:16" ht="30" customHeight="1">
      <c r="A591" s="61"/>
      <c r="B591" s="62"/>
      <c r="C591" s="63"/>
      <c r="D591" s="1219" t="s">
        <v>10996</v>
      </c>
      <c r="E591" s="65"/>
      <c r="F591" s="66">
        <v>4</v>
      </c>
      <c r="G591" s="66"/>
      <c r="H591" s="1220"/>
      <c r="I591" s="66"/>
      <c r="J591" s="66"/>
      <c r="K591" s="66"/>
      <c r="L591" s="1222"/>
      <c r="M591" s="51"/>
      <c r="N591" s="52"/>
      <c r="O591" s="25"/>
      <c r="P591" s="25"/>
    </row>
    <row r="592" spans="1:16" ht="30" customHeight="1">
      <c r="A592" s="61"/>
      <c r="B592" s="62"/>
      <c r="C592" s="63"/>
      <c r="D592" s="1219" t="s">
        <v>10997</v>
      </c>
      <c r="E592" s="65"/>
      <c r="F592" s="66">
        <v>4</v>
      </c>
      <c r="G592" s="66"/>
      <c r="H592" s="1220"/>
      <c r="I592" s="66"/>
      <c r="J592" s="66"/>
      <c r="K592" s="66"/>
      <c r="L592" s="1222"/>
      <c r="M592" s="51"/>
      <c r="N592" s="52"/>
      <c r="O592" s="25"/>
      <c r="P592" s="25"/>
    </row>
    <row r="593" spans="1:16" ht="30" customHeight="1">
      <c r="A593" s="61"/>
      <c r="B593" s="62"/>
      <c r="C593" s="63"/>
      <c r="D593" s="1219" t="s">
        <v>10998</v>
      </c>
      <c r="E593" s="65"/>
      <c r="F593" s="66">
        <v>4</v>
      </c>
      <c r="G593" s="66"/>
      <c r="H593" s="1220"/>
      <c r="I593" s="66"/>
      <c r="J593" s="66"/>
      <c r="K593" s="66"/>
      <c r="L593" s="1222"/>
      <c r="M593" s="51"/>
      <c r="N593" s="52"/>
      <c r="O593" s="25"/>
      <c r="P593" s="25"/>
    </row>
    <row r="594" spans="1:16" ht="30" customHeight="1">
      <c r="A594" s="61"/>
      <c r="B594" s="62"/>
      <c r="C594" s="63"/>
      <c r="D594" s="1219" t="s">
        <v>10999</v>
      </c>
      <c r="E594" s="65"/>
      <c r="F594" s="66">
        <v>4</v>
      </c>
      <c r="G594" s="66"/>
      <c r="H594" s="1220"/>
      <c r="I594" s="66"/>
      <c r="J594" s="66"/>
      <c r="K594" s="66"/>
      <c r="L594" s="1222"/>
      <c r="M594" s="51"/>
      <c r="N594" s="52"/>
      <c r="O594" s="25"/>
      <c r="P594" s="25"/>
    </row>
    <row r="595" spans="1:16" ht="30" customHeight="1">
      <c r="A595" s="61"/>
      <c r="B595" s="62"/>
      <c r="C595" s="63"/>
      <c r="D595" s="1219" t="s">
        <v>11000</v>
      </c>
      <c r="E595" s="65"/>
      <c r="F595" s="66">
        <v>1</v>
      </c>
      <c r="G595" s="66"/>
      <c r="H595" s="1220"/>
      <c r="I595" s="66"/>
      <c r="J595" s="66"/>
      <c r="K595" s="66"/>
      <c r="L595" s="1222"/>
      <c r="M595" s="51"/>
      <c r="N595" s="52"/>
      <c r="O595" s="25"/>
      <c r="P595" s="25"/>
    </row>
    <row r="596" spans="1:16" ht="30" customHeight="1">
      <c r="A596" s="61"/>
      <c r="B596" s="62"/>
      <c r="C596" s="63"/>
      <c r="D596" s="1219" t="s">
        <v>11001</v>
      </c>
      <c r="E596" s="65"/>
      <c r="F596" s="66">
        <v>2</v>
      </c>
      <c r="G596" s="66"/>
      <c r="H596" s="1220"/>
      <c r="I596" s="66"/>
      <c r="J596" s="66"/>
      <c r="K596" s="66"/>
      <c r="L596" s="1222"/>
      <c r="M596" s="51"/>
      <c r="N596" s="52"/>
      <c r="O596" s="25"/>
      <c r="P596" s="25"/>
    </row>
    <row r="597" spans="1:16" ht="30" customHeight="1">
      <c r="A597" s="61"/>
      <c r="B597" s="62"/>
      <c r="C597" s="63"/>
      <c r="D597" s="1219" t="s">
        <v>11002</v>
      </c>
      <c r="E597" s="65"/>
      <c r="F597" s="66">
        <v>4</v>
      </c>
      <c r="G597" s="66"/>
      <c r="H597" s="1220"/>
      <c r="I597" s="66"/>
      <c r="J597" s="66"/>
      <c r="K597" s="66"/>
      <c r="L597" s="1222"/>
      <c r="M597" s="51"/>
      <c r="N597" s="52"/>
      <c r="O597" s="25"/>
      <c r="P597" s="25"/>
    </row>
    <row r="598" spans="1:16" ht="30" customHeight="1">
      <c r="A598" s="61"/>
      <c r="B598" s="62"/>
      <c r="C598" s="63"/>
      <c r="D598" s="1219" t="s">
        <v>11003</v>
      </c>
      <c r="E598" s="65"/>
      <c r="F598" s="66">
        <v>4</v>
      </c>
      <c r="G598" s="66"/>
      <c r="H598" s="1220"/>
      <c r="I598" s="66"/>
      <c r="J598" s="66"/>
      <c r="K598" s="66"/>
      <c r="L598" s="1222"/>
      <c r="M598" s="51"/>
      <c r="N598" s="52"/>
      <c r="O598" s="25"/>
      <c r="P598" s="25"/>
    </row>
    <row r="599" spans="1:16" ht="30" customHeight="1">
      <c r="A599" s="61"/>
      <c r="B599" s="62"/>
      <c r="C599" s="63"/>
      <c r="D599" s="1219" t="s">
        <v>11004</v>
      </c>
      <c r="E599" s="65"/>
      <c r="F599" s="66">
        <v>4</v>
      </c>
      <c r="G599" s="66"/>
      <c r="H599" s="1220"/>
      <c r="I599" s="66"/>
      <c r="J599" s="66"/>
      <c r="K599" s="66"/>
      <c r="L599" s="1222"/>
      <c r="M599" s="51"/>
      <c r="N599" s="52"/>
      <c r="O599" s="25"/>
      <c r="P599" s="25"/>
    </row>
    <row r="600" spans="1:16" ht="30" customHeight="1">
      <c r="A600" s="61"/>
      <c r="B600" s="62"/>
      <c r="C600" s="63"/>
      <c r="D600" s="1219" t="s">
        <v>11005</v>
      </c>
      <c r="E600" s="65"/>
      <c r="F600" s="66">
        <v>6</v>
      </c>
      <c r="G600" s="66"/>
      <c r="H600" s="1220"/>
      <c r="I600" s="66"/>
      <c r="J600" s="66"/>
      <c r="K600" s="66"/>
      <c r="L600" s="1222"/>
      <c r="M600" s="51"/>
      <c r="N600" s="52"/>
      <c r="O600" s="25"/>
      <c r="P600" s="25"/>
    </row>
    <row r="601" spans="1:16" ht="30" customHeight="1">
      <c r="A601" s="61"/>
      <c r="B601" s="62"/>
      <c r="C601" s="63"/>
      <c r="D601" s="1219" t="s">
        <v>11006</v>
      </c>
      <c r="E601" s="65"/>
      <c r="F601" s="66">
        <v>2</v>
      </c>
      <c r="G601" s="66"/>
      <c r="H601" s="1220"/>
      <c r="I601" s="66"/>
      <c r="J601" s="66"/>
      <c r="K601" s="66"/>
      <c r="L601" s="1222"/>
      <c r="M601" s="51"/>
      <c r="N601" s="52"/>
      <c r="O601" s="25"/>
      <c r="P601" s="25"/>
    </row>
    <row r="602" spans="1:16" ht="30" customHeight="1">
      <c r="A602" s="61"/>
      <c r="B602" s="62"/>
      <c r="C602" s="63"/>
      <c r="D602" s="1219" t="s">
        <v>1239</v>
      </c>
      <c r="E602" s="65"/>
      <c r="F602" s="66">
        <v>2</v>
      </c>
      <c r="G602" s="66"/>
      <c r="H602" s="1220"/>
      <c r="I602" s="66"/>
      <c r="J602" s="66"/>
      <c r="K602" s="66"/>
      <c r="L602" s="1222"/>
      <c r="M602" s="51"/>
      <c r="N602" s="52"/>
      <c r="O602" s="25"/>
      <c r="P602" s="25"/>
    </row>
    <row r="603" spans="1:16" ht="30" customHeight="1">
      <c r="A603" s="61"/>
      <c r="B603" s="62"/>
      <c r="C603" s="63"/>
      <c r="D603" s="1219" t="s">
        <v>11007</v>
      </c>
      <c r="E603" s="65"/>
      <c r="F603" s="66">
        <v>2</v>
      </c>
      <c r="G603" s="66"/>
      <c r="H603" s="1220"/>
      <c r="I603" s="66"/>
      <c r="J603" s="66"/>
      <c r="K603" s="66"/>
      <c r="L603" s="1222"/>
      <c r="M603" s="51"/>
      <c r="N603" s="52"/>
      <c r="O603" s="25"/>
      <c r="P603" s="25"/>
    </row>
    <row r="604" spans="1:16" ht="30" customHeight="1">
      <c r="A604" s="61"/>
      <c r="B604" s="62"/>
      <c r="C604" s="63"/>
      <c r="D604" s="1219" t="s">
        <v>11008</v>
      </c>
      <c r="E604" s="65"/>
      <c r="F604" s="66">
        <v>1</v>
      </c>
      <c r="G604" s="66"/>
      <c r="H604" s="1220"/>
      <c r="I604" s="66"/>
      <c r="J604" s="66"/>
      <c r="K604" s="66"/>
      <c r="L604" s="1222"/>
      <c r="M604" s="51"/>
      <c r="N604" s="52"/>
      <c r="O604" s="25"/>
      <c r="P604" s="25"/>
    </row>
    <row r="605" spans="1:16" ht="30" customHeight="1">
      <c r="A605" s="61"/>
      <c r="B605" s="62"/>
      <c r="C605" s="63"/>
      <c r="D605" s="1219" t="s">
        <v>10974</v>
      </c>
      <c r="E605" s="65"/>
      <c r="F605" s="66">
        <v>1</v>
      </c>
      <c r="G605" s="66"/>
      <c r="H605" s="1220"/>
      <c r="I605" s="66"/>
      <c r="J605" s="66"/>
      <c r="K605" s="66"/>
      <c r="L605" s="1222"/>
      <c r="M605" s="51"/>
      <c r="N605" s="52"/>
      <c r="O605" s="25"/>
      <c r="P605" s="25"/>
    </row>
    <row r="606" spans="1:16" ht="30" customHeight="1">
      <c r="A606" s="61"/>
      <c r="B606" s="62"/>
      <c r="C606" s="63"/>
      <c r="D606" s="1219" t="s">
        <v>1232</v>
      </c>
      <c r="E606" s="65"/>
      <c r="F606" s="66">
        <v>2</v>
      </c>
      <c r="G606" s="66"/>
      <c r="H606" s="1220"/>
      <c r="I606" s="66"/>
      <c r="J606" s="66"/>
      <c r="K606" s="66"/>
      <c r="L606" s="1222"/>
      <c r="M606" s="51"/>
      <c r="N606" s="52"/>
      <c r="O606" s="25"/>
      <c r="P606" s="25"/>
    </row>
    <row r="607" spans="1:16" ht="30" customHeight="1">
      <c r="A607" s="61"/>
      <c r="B607" s="62"/>
      <c r="C607" s="63"/>
      <c r="D607" s="1219" t="s">
        <v>11009</v>
      </c>
      <c r="E607" s="65"/>
      <c r="F607" s="66">
        <v>2</v>
      </c>
      <c r="G607" s="66"/>
      <c r="H607" s="1220"/>
      <c r="I607" s="66"/>
      <c r="J607" s="66"/>
      <c r="K607" s="66"/>
      <c r="L607" s="1222"/>
      <c r="M607" s="51"/>
      <c r="N607" s="52"/>
      <c r="O607" s="25"/>
      <c r="P607" s="25"/>
    </row>
    <row r="608" spans="1:16" ht="30" customHeight="1">
      <c r="A608" s="61"/>
      <c r="B608" s="62"/>
      <c r="C608" s="63"/>
      <c r="D608" s="1219"/>
      <c r="E608" s="65"/>
      <c r="F608" s="88"/>
      <c r="G608" s="66"/>
      <c r="H608" s="1220"/>
      <c r="I608" s="66"/>
      <c r="J608" s="66"/>
      <c r="K608" s="66"/>
      <c r="L608" s="1222"/>
      <c r="M608" s="51"/>
      <c r="N608" s="52"/>
      <c r="O608" s="25"/>
      <c r="P608" s="25"/>
    </row>
    <row r="609" spans="1:16" ht="30" customHeight="1">
      <c r="A609" s="61" t="s">
        <v>238</v>
      </c>
      <c r="B609" s="62" t="s">
        <v>26</v>
      </c>
      <c r="C609" s="63" t="s">
        <v>239</v>
      </c>
      <c r="D609" s="1219" t="str">
        <f>IFERROR(UPPER(IF(B609="CPU",VLOOKUP(C609,#REF!,2,0),IF(B609="SINAPI",VLOOKUP(C609,#REF!,2,0),IF(B609="EDIF",VLOOKUP(C609,#REF!,2,0),IF(B609="CDHU",VLOOKUP(C609,#REF!,2,0),IF(B609="FDE",VLOOKUP(C609,'FDE 10-23 '!$A$4:$E$3180,2,0),IF(B609="INFRA",VLOOKUP(C609,#REF!,2,0),""))))))),"")</f>
        <v>EF-05 ESQUADRIA DE FERRO 180X120CM</v>
      </c>
      <c r="E609" s="65" t="str">
        <f>VLOOKUP(C609,'FDE 10-23 '!$A$4:$E$3180,3,0)</f>
        <v>UN</v>
      </c>
      <c r="F609" s="1112">
        <v>7</v>
      </c>
      <c r="G609" s="66"/>
      <c r="H609" s="1220"/>
      <c r="I609" s="66"/>
      <c r="J609" s="66"/>
      <c r="K609" s="66"/>
      <c r="L609" s="1222"/>
      <c r="M609" s="51"/>
      <c r="N609" s="52"/>
      <c r="O609" s="25"/>
      <c r="P609" s="25"/>
    </row>
    <row r="610" spans="1:16" ht="30" customHeight="1">
      <c r="A610" s="61"/>
      <c r="B610" s="62"/>
      <c r="C610" s="63"/>
      <c r="D610" s="1219" t="s">
        <v>6507</v>
      </c>
      <c r="E610" s="65"/>
      <c r="F610" s="66">
        <v>3</v>
      </c>
      <c r="G610" s="66"/>
      <c r="H610" s="1220"/>
      <c r="I610" s="66"/>
      <c r="J610" s="66"/>
      <c r="K610" s="66"/>
      <c r="L610" s="1222"/>
      <c r="M610" s="51"/>
      <c r="N610" s="52"/>
      <c r="O610" s="25"/>
      <c r="P610" s="25"/>
    </row>
    <row r="611" spans="1:16" ht="30" customHeight="1">
      <c r="A611" s="61"/>
      <c r="B611" s="62"/>
      <c r="C611" s="63"/>
      <c r="D611" s="1219" t="s">
        <v>1239</v>
      </c>
      <c r="E611" s="65"/>
      <c r="F611" s="66">
        <v>4</v>
      </c>
      <c r="G611" s="66"/>
      <c r="H611" s="1220"/>
      <c r="I611" s="66"/>
      <c r="J611" s="66"/>
      <c r="K611" s="66"/>
      <c r="L611" s="1222"/>
      <c r="M611" s="51"/>
      <c r="N611" s="52"/>
      <c r="O611" s="25"/>
      <c r="P611" s="25"/>
    </row>
    <row r="612" spans="1:16" ht="30" customHeight="1">
      <c r="A612" s="61"/>
      <c r="B612" s="62"/>
      <c r="C612" s="63"/>
      <c r="D612" s="1219"/>
      <c r="E612" s="65"/>
      <c r="F612" s="88"/>
      <c r="G612" s="66"/>
      <c r="H612" s="1220"/>
      <c r="I612" s="66"/>
      <c r="J612" s="66"/>
      <c r="K612" s="66"/>
      <c r="L612" s="1222"/>
      <c r="M612" s="51"/>
      <c r="N612" s="52"/>
      <c r="O612" s="25"/>
      <c r="P612" s="25"/>
    </row>
    <row r="613" spans="1:16" ht="30" customHeight="1">
      <c r="A613" s="61" t="s">
        <v>240</v>
      </c>
      <c r="B613" s="62" t="s">
        <v>26</v>
      </c>
      <c r="C613" s="63" t="s">
        <v>241</v>
      </c>
      <c r="D613" s="1219" t="str">
        <f>IFERROR(UPPER(IF(B613="CPU",VLOOKUP(C613,#REF!,2,0),IF(B613="SINAPI",VLOOKUP(C613,#REF!,2,0),IF(B613="EDIF",VLOOKUP(C613,#REF!,2,0),IF(B613="CDHU",VLOOKUP(C613,#REF!,2,0),IF(B613="FDE",VLOOKUP(C613,'FDE 10-23 '!$A$4:$E$3180,2,0),IF(B613="INFRA",VLOOKUP(C613,#REF!,2,0),""))))))),"")</f>
        <v>EF-06 ESQUADRIA DE FERRO 180X150CM</v>
      </c>
      <c r="E613" s="65" t="str">
        <f>VLOOKUP(C613,'FDE 10-23 '!$A$4:$E$3180,3,0)</f>
        <v>UN</v>
      </c>
      <c r="F613" s="1112">
        <v>22</v>
      </c>
      <c r="G613" s="66"/>
      <c r="H613" s="1220"/>
      <c r="I613" s="66"/>
      <c r="J613" s="66"/>
      <c r="K613" s="66"/>
      <c r="L613" s="1222"/>
      <c r="M613" s="51"/>
      <c r="N613" s="52"/>
      <c r="O613" s="25"/>
      <c r="P613" s="25"/>
    </row>
    <row r="614" spans="1:16" ht="30" customHeight="1">
      <c r="A614" s="61"/>
      <c r="B614" s="62"/>
      <c r="C614" s="63"/>
      <c r="D614" s="1219" t="s">
        <v>11010</v>
      </c>
      <c r="E614" s="65"/>
      <c r="F614" s="66">
        <v>2</v>
      </c>
      <c r="G614" s="66"/>
      <c r="H614" s="1220"/>
      <c r="I614" s="66"/>
      <c r="J614" s="66"/>
      <c r="K614" s="66"/>
      <c r="L614" s="1222"/>
      <c r="M614" s="51"/>
      <c r="N614" s="52"/>
      <c r="O614" s="25"/>
      <c r="P614" s="25"/>
    </row>
    <row r="615" spans="1:16" ht="30" customHeight="1">
      <c r="A615" s="61"/>
      <c r="B615" s="62"/>
      <c r="C615" s="63"/>
      <c r="D615" s="1219" t="s">
        <v>11011</v>
      </c>
      <c r="E615" s="65"/>
      <c r="F615" s="66">
        <v>6</v>
      </c>
      <c r="G615" s="66"/>
      <c r="H615" s="1220"/>
      <c r="I615" s="66"/>
      <c r="J615" s="66"/>
      <c r="K615" s="66"/>
      <c r="L615" s="1222"/>
      <c r="M615" s="51"/>
      <c r="N615" s="52"/>
      <c r="O615" s="25"/>
      <c r="P615" s="25"/>
    </row>
    <row r="616" spans="1:16" ht="30" customHeight="1">
      <c r="A616" s="61"/>
      <c r="B616" s="62"/>
      <c r="C616" s="63"/>
      <c r="D616" s="1219" t="s">
        <v>11012</v>
      </c>
      <c r="E616" s="65"/>
      <c r="F616" s="66">
        <v>6</v>
      </c>
      <c r="G616" s="66"/>
      <c r="H616" s="1220"/>
      <c r="I616" s="66"/>
      <c r="J616" s="66"/>
      <c r="K616" s="66"/>
      <c r="L616" s="1222"/>
      <c r="M616" s="51"/>
      <c r="N616" s="52"/>
      <c r="O616" s="25"/>
      <c r="P616" s="25"/>
    </row>
    <row r="617" spans="1:16" ht="30" customHeight="1">
      <c r="A617" s="61"/>
      <c r="B617" s="62"/>
      <c r="C617" s="63"/>
      <c r="D617" s="1219" t="s">
        <v>1237</v>
      </c>
      <c r="E617" s="65"/>
      <c r="F617" s="66">
        <v>3</v>
      </c>
      <c r="G617" s="66"/>
      <c r="H617" s="1220"/>
      <c r="I617" s="66"/>
      <c r="J617" s="66"/>
      <c r="K617" s="66"/>
      <c r="L617" s="1222"/>
      <c r="M617" s="51"/>
      <c r="N617" s="52"/>
      <c r="O617" s="25"/>
      <c r="P617" s="25"/>
    </row>
    <row r="618" spans="1:16" ht="30" customHeight="1">
      <c r="A618" s="61"/>
      <c r="B618" s="62"/>
      <c r="C618" s="63"/>
      <c r="D618" s="1219" t="s">
        <v>1191</v>
      </c>
      <c r="E618" s="65"/>
      <c r="F618" s="66">
        <v>5</v>
      </c>
      <c r="G618" s="66"/>
      <c r="H618" s="1220"/>
      <c r="I618" s="66"/>
      <c r="J618" s="66"/>
      <c r="K618" s="66"/>
      <c r="L618" s="1222"/>
      <c r="M618" s="51"/>
      <c r="N618" s="52"/>
      <c r="O618" s="25"/>
      <c r="P618" s="25"/>
    </row>
    <row r="619" spans="1:16" ht="30" customHeight="1">
      <c r="A619" s="61"/>
      <c r="B619" s="62"/>
      <c r="C619" s="63"/>
      <c r="D619" s="1219"/>
      <c r="E619" s="65"/>
      <c r="F619" s="88"/>
      <c r="G619" s="66"/>
      <c r="H619" s="1220"/>
      <c r="I619" s="66"/>
      <c r="J619" s="66"/>
      <c r="K619" s="66"/>
      <c r="L619" s="1222"/>
      <c r="M619" s="51"/>
      <c r="N619" s="52"/>
      <c r="O619" s="25"/>
      <c r="P619" s="25"/>
    </row>
    <row r="620" spans="1:16" ht="30" customHeight="1">
      <c r="A620" s="61"/>
      <c r="B620" s="62"/>
      <c r="C620" s="63"/>
      <c r="D620" s="1219"/>
      <c r="E620" s="65"/>
      <c r="F620" s="88"/>
      <c r="G620" s="66"/>
      <c r="H620" s="1220"/>
      <c r="I620" s="66"/>
      <c r="J620" s="66"/>
      <c r="K620" s="66"/>
      <c r="L620" s="1222"/>
      <c r="M620" s="51"/>
      <c r="N620" s="52"/>
      <c r="O620" s="25"/>
      <c r="P620" s="25"/>
    </row>
    <row r="621" spans="1:16" ht="30" customHeight="1">
      <c r="A621" s="61" t="s">
        <v>242</v>
      </c>
      <c r="B621" s="62" t="s">
        <v>26</v>
      </c>
      <c r="C621" s="63" t="s">
        <v>243</v>
      </c>
      <c r="D621" s="1219" t="str">
        <f>IFERROR(UPPER(IF(B621="CPU",VLOOKUP(C621,#REF!,2,0),IF(B621="SINAPI",VLOOKUP(C621,#REF!,2,0),IF(B621="EDIF",VLOOKUP(C621,#REF!,2,0),IF(B621="CDHU",VLOOKUP(C621,#REF!,2,0),IF(B621="FDE",VLOOKUP(C621,'FDE 10-23 '!$A$4:$E$3180,2,0),IF(B621="INFRA",VLOOKUP(C621,#REF!,2,0),""))))))),"")</f>
        <v>EF-17 ESQUADRIA DE FERRO FIXA L=180CM</v>
      </c>
      <c r="E621" s="65" t="str">
        <f>VLOOKUP(C621,'FDE 10-23 '!$A$4:$E$3180,3,0)</f>
        <v>UN</v>
      </c>
      <c r="F621" s="1112">
        <f>SUM(F622:F623)</f>
        <v>15</v>
      </c>
      <c r="G621" s="88">
        <v>16</v>
      </c>
      <c r="H621" s="1220"/>
      <c r="I621" s="66"/>
      <c r="J621" s="66"/>
      <c r="K621" s="66"/>
      <c r="L621" s="1222"/>
      <c r="M621" s="51"/>
      <c r="N621" s="52"/>
      <c r="O621" s="25"/>
      <c r="P621" s="25"/>
    </row>
    <row r="622" spans="1:16" ht="30" customHeight="1">
      <c r="A622" s="61"/>
      <c r="B622" s="62"/>
      <c r="C622" s="63"/>
      <c r="D622" s="1219" t="s">
        <v>11013</v>
      </c>
      <c r="E622" s="65"/>
      <c r="F622" s="66">
        <v>14</v>
      </c>
      <c r="G622" s="66"/>
      <c r="H622" s="1220"/>
      <c r="I622" s="66"/>
      <c r="J622" s="66"/>
      <c r="K622" s="66"/>
      <c r="L622" s="1222"/>
      <c r="M622" s="51"/>
      <c r="N622" s="52"/>
      <c r="O622" s="25"/>
      <c r="P622" s="25"/>
    </row>
    <row r="623" spans="1:16" ht="30" customHeight="1">
      <c r="A623" s="61"/>
      <c r="B623" s="62"/>
      <c r="C623" s="63"/>
      <c r="D623" s="1219" t="s">
        <v>11014</v>
      </c>
      <c r="E623" s="65"/>
      <c r="F623" s="66">
        <v>1</v>
      </c>
      <c r="G623" s="66"/>
      <c r="H623" s="1220"/>
      <c r="I623" s="66"/>
      <c r="J623" s="66"/>
      <c r="K623" s="66"/>
      <c r="L623" s="1222"/>
      <c r="M623" s="51"/>
      <c r="N623" s="52"/>
      <c r="O623" s="25"/>
      <c r="P623" s="25"/>
    </row>
    <row r="624" spans="1:16" ht="30" customHeight="1">
      <c r="A624" s="61"/>
      <c r="B624" s="62"/>
      <c r="C624" s="63"/>
      <c r="D624" s="1219"/>
      <c r="E624" s="65"/>
      <c r="F624" s="88"/>
      <c r="G624" s="66"/>
      <c r="H624" s="1220"/>
      <c r="I624" s="66"/>
      <c r="J624" s="66"/>
      <c r="K624" s="66"/>
      <c r="L624" s="1222"/>
      <c r="M624" s="51"/>
      <c r="N624" s="52"/>
      <c r="O624" s="25"/>
      <c r="P624" s="25"/>
    </row>
    <row r="625" spans="1:16" ht="30" customHeight="1">
      <c r="A625" s="61" t="s">
        <v>244</v>
      </c>
      <c r="B625" s="62" t="s">
        <v>26</v>
      </c>
      <c r="C625" s="63" t="s">
        <v>245</v>
      </c>
      <c r="D625" s="1219" t="str">
        <f>IFERROR(UPPER(IF(B625="CPU",VLOOKUP(C625,#REF!,2,0),IF(B625="SINAPI",VLOOKUP(C625,#REF!,2,0),IF(B625="EDIF",VLOOKUP(C625,#REF!,2,0),IF(B625="CDHU",VLOOKUP(C625,#REF!,2,0),IF(B625="FDE",VLOOKUP(C625,'FDE 10-23 '!$A$4:$E$3180,2,0),IF(B625="INFRA",VLOOKUP(C625,#REF!,2,0),""))))))),"")</f>
        <v>EF-20 ESQUADRIA DE FERRO 180X180CM</v>
      </c>
      <c r="E625" s="65" t="str">
        <f>VLOOKUP(C625,'FDE 10-23 '!$A$4:$E$3180,3,0)</f>
        <v>UN</v>
      </c>
      <c r="F625" s="1112">
        <v>1</v>
      </c>
      <c r="G625" s="66"/>
      <c r="H625" s="1220"/>
      <c r="I625" s="66"/>
      <c r="J625" s="66"/>
      <c r="K625" s="66"/>
      <c r="L625" s="1222"/>
      <c r="M625" s="51"/>
      <c r="N625" s="52"/>
      <c r="O625" s="25"/>
      <c r="P625" s="25"/>
    </row>
    <row r="626" spans="1:16" ht="30" customHeight="1">
      <c r="A626" s="61"/>
      <c r="B626" s="62"/>
      <c r="C626" s="63"/>
      <c r="D626" s="1219" t="s">
        <v>11015</v>
      </c>
      <c r="E626" s="65"/>
      <c r="F626" s="66">
        <v>1</v>
      </c>
      <c r="G626" s="66"/>
      <c r="H626" s="1220"/>
      <c r="I626" s="66"/>
      <c r="J626" s="66"/>
      <c r="K626" s="66"/>
      <c r="L626" s="1222"/>
      <c r="M626" s="51"/>
      <c r="N626" s="52"/>
      <c r="O626" s="25"/>
      <c r="P626" s="25"/>
    </row>
    <row r="627" spans="1:16" ht="30" customHeight="1">
      <c r="A627" s="61"/>
      <c r="B627" s="62"/>
      <c r="C627" s="63"/>
      <c r="D627" s="1219"/>
      <c r="E627" s="65"/>
      <c r="F627" s="88"/>
      <c r="G627" s="66"/>
      <c r="H627" s="1220"/>
      <c r="I627" s="66"/>
      <c r="J627" s="66"/>
      <c r="K627" s="66"/>
      <c r="L627" s="1222"/>
      <c r="M627" s="51"/>
      <c r="N627" s="52"/>
      <c r="O627" s="25"/>
      <c r="P627" s="25"/>
    </row>
    <row r="628" spans="1:16" ht="30" customHeight="1">
      <c r="A628" s="61" t="s">
        <v>246</v>
      </c>
      <c r="B628" s="62" t="s">
        <v>26</v>
      </c>
      <c r="C628" s="63" t="s">
        <v>247</v>
      </c>
      <c r="D628" s="1219" t="str">
        <f>IFERROR(UPPER(IF(B628="CPU",VLOOKUP(C628,#REF!,2,0),IF(B628="SINAPI",VLOOKUP(C628,#REF!,2,0),IF(B628="EDIF",VLOOKUP(C628,#REF!,2,0),IF(B628="CDHU",VLOOKUP(C628,#REF!,2,0),IF(B628="FDE",VLOOKUP(C628,'FDE 10-23 '!$A$4:$E$3180,2,0),IF(B628="INFRA",VLOOKUP(C628,#REF!,2,0),""))))))),"")</f>
        <v>EF-21 ESQUADRIA DE FERRO 180X210CM</v>
      </c>
      <c r="E628" s="65" t="str">
        <f>VLOOKUP(C628,'FDE 10-23 '!$A$4:$E$3180,3,0)</f>
        <v>UN</v>
      </c>
      <c r="F628" s="1112">
        <f>SUM(F629:F641)</f>
        <v>57</v>
      </c>
      <c r="G628" s="88"/>
      <c r="H628" s="1220"/>
      <c r="I628" s="66"/>
      <c r="J628" s="66"/>
      <c r="K628" s="66"/>
      <c r="L628" s="1222"/>
      <c r="M628" s="51"/>
      <c r="N628" s="52"/>
      <c r="O628" s="25"/>
      <c r="P628" s="25"/>
    </row>
    <row r="629" spans="1:16" ht="30" customHeight="1">
      <c r="A629" s="61"/>
      <c r="B629" s="62"/>
      <c r="C629" s="63"/>
      <c r="D629" s="1219" t="s">
        <v>10992</v>
      </c>
      <c r="E629" s="65"/>
      <c r="F629" s="66">
        <v>4</v>
      </c>
      <c r="G629" s="66"/>
      <c r="H629" s="1220"/>
      <c r="I629" s="66"/>
      <c r="J629" s="66"/>
      <c r="K629" s="66"/>
      <c r="L629" s="1222"/>
      <c r="M629" s="51"/>
      <c r="N629" s="52"/>
      <c r="O629" s="25"/>
      <c r="P629" s="25"/>
    </row>
    <row r="630" spans="1:16" ht="30" customHeight="1">
      <c r="A630" s="61"/>
      <c r="B630" s="62"/>
      <c r="C630" s="63"/>
      <c r="D630" s="1219" t="s">
        <v>10993</v>
      </c>
      <c r="E630" s="65"/>
      <c r="F630" s="66">
        <v>4</v>
      </c>
      <c r="G630" s="66"/>
      <c r="H630" s="1220"/>
      <c r="I630" s="66"/>
      <c r="J630" s="66"/>
      <c r="K630" s="66"/>
      <c r="L630" s="1222"/>
      <c r="M630" s="51"/>
      <c r="N630" s="52"/>
      <c r="O630" s="25"/>
      <c r="P630" s="25"/>
    </row>
    <row r="631" spans="1:16" ht="30" customHeight="1">
      <c r="A631" s="61"/>
      <c r="B631" s="62"/>
      <c r="C631" s="63"/>
      <c r="D631" s="1219" t="s">
        <v>10994</v>
      </c>
      <c r="E631" s="65"/>
      <c r="F631" s="66">
        <v>4</v>
      </c>
      <c r="G631" s="66"/>
      <c r="H631" s="1220"/>
      <c r="I631" s="66"/>
      <c r="J631" s="66"/>
      <c r="K631" s="66"/>
      <c r="L631" s="1222"/>
      <c r="M631" s="51"/>
      <c r="N631" s="52"/>
      <c r="O631" s="25"/>
      <c r="P631" s="25"/>
    </row>
    <row r="632" spans="1:16" ht="30" customHeight="1">
      <c r="A632" s="61"/>
      <c r="B632" s="62"/>
      <c r="C632" s="63"/>
      <c r="D632" s="1219" t="s">
        <v>10995</v>
      </c>
      <c r="E632" s="65"/>
      <c r="F632" s="66">
        <v>4</v>
      </c>
      <c r="G632" s="66"/>
      <c r="H632" s="1220"/>
      <c r="I632" s="66"/>
      <c r="J632" s="66"/>
      <c r="K632" s="66"/>
      <c r="L632" s="1222"/>
      <c r="M632" s="51"/>
      <c r="N632" s="52"/>
      <c r="O632" s="25"/>
      <c r="P632" s="25"/>
    </row>
    <row r="633" spans="1:16" ht="30" customHeight="1">
      <c r="A633" s="61"/>
      <c r="B633" s="62"/>
      <c r="C633" s="63"/>
      <c r="D633" s="1219" t="s">
        <v>10996</v>
      </c>
      <c r="E633" s="65"/>
      <c r="F633" s="66">
        <v>4</v>
      </c>
      <c r="G633" s="66"/>
      <c r="H633" s="1220"/>
      <c r="I633" s="66"/>
      <c r="J633" s="66"/>
      <c r="K633" s="66"/>
      <c r="L633" s="1222"/>
      <c r="M633" s="51"/>
      <c r="N633" s="52"/>
      <c r="O633" s="25"/>
      <c r="P633" s="25"/>
    </row>
    <row r="634" spans="1:16" ht="30" customHeight="1">
      <c r="A634" s="61"/>
      <c r="B634" s="62"/>
      <c r="C634" s="63"/>
      <c r="D634" s="1219" t="s">
        <v>10997</v>
      </c>
      <c r="E634" s="65"/>
      <c r="F634" s="66">
        <v>4</v>
      </c>
      <c r="G634" s="66"/>
      <c r="H634" s="1220"/>
      <c r="I634" s="66"/>
      <c r="J634" s="66"/>
      <c r="K634" s="66"/>
      <c r="L634" s="1222"/>
      <c r="M634" s="51"/>
      <c r="N634" s="52"/>
      <c r="O634" s="25"/>
      <c r="P634" s="25"/>
    </row>
    <row r="635" spans="1:16" ht="30" customHeight="1">
      <c r="A635" s="61"/>
      <c r="B635" s="62"/>
      <c r="C635" s="63"/>
      <c r="D635" s="1219" t="s">
        <v>10998</v>
      </c>
      <c r="E635" s="65"/>
      <c r="F635" s="66">
        <v>4</v>
      </c>
      <c r="G635" s="66"/>
      <c r="H635" s="1220"/>
      <c r="I635" s="66"/>
      <c r="J635" s="66"/>
      <c r="K635" s="66"/>
      <c r="L635" s="1222"/>
      <c r="M635" s="51"/>
      <c r="N635" s="52"/>
      <c r="O635" s="25"/>
      <c r="P635" s="25"/>
    </row>
    <row r="636" spans="1:16" ht="30" customHeight="1">
      <c r="A636" s="61"/>
      <c r="B636" s="62"/>
      <c r="C636" s="63"/>
      <c r="D636" s="1219" t="s">
        <v>10999</v>
      </c>
      <c r="E636" s="65"/>
      <c r="F636" s="66">
        <v>4</v>
      </c>
      <c r="G636" s="66"/>
      <c r="H636" s="1220"/>
      <c r="I636" s="66"/>
      <c r="J636" s="66"/>
      <c r="K636" s="66"/>
      <c r="L636" s="1222"/>
      <c r="M636" s="51"/>
      <c r="N636" s="52"/>
      <c r="O636" s="25"/>
      <c r="P636" s="25"/>
    </row>
    <row r="637" spans="1:16" ht="30" customHeight="1">
      <c r="A637" s="61"/>
      <c r="B637" s="62"/>
      <c r="C637" s="63"/>
      <c r="D637" s="1219" t="s">
        <v>11016</v>
      </c>
      <c r="E637" s="65"/>
      <c r="F637" s="66">
        <v>11</v>
      </c>
      <c r="G637" s="66"/>
      <c r="H637" s="1220"/>
      <c r="I637" s="66"/>
      <c r="J637" s="66"/>
      <c r="K637" s="66"/>
      <c r="L637" s="1222"/>
      <c r="M637" s="51"/>
      <c r="N637" s="52"/>
      <c r="O637" s="25"/>
      <c r="P637" s="25"/>
    </row>
    <row r="638" spans="1:16" ht="30" customHeight="1">
      <c r="A638" s="61"/>
      <c r="B638" s="62"/>
      <c r="C638" s="63"/>
      <c r="D638" s="1219" t="s">
        <v>11001</v>
      </c>
      <c r="E638" s="65"/>
      <c r="F638" s="66">
        <v>2</v>
      </c>
      <c r="G638" s="66"/>
      <c r="H638" s="1220"/>
      <c r="I638" s="66"/>
      <c r="J638" s="66"/>
      <c r="K638" s="66"/>
      <c r="L638" s="1222"/>
      <c r="M638" s="51"/>
      <c r="N638" s="52"/>
      <c r="O638" s="25"/>
      <c r="P638" s="25"/>
    </row>
    <row r="639" spans="1:16" ht="30" customHeight="1">
      <c r="A639" s="61"/>
      <c r="B639" s="62"/>
      <c r="C639" s="63"/>
      <c r="D639" s="1219" t="s">
        <v>11002</v>
      </c>
      <c r="E639" s="65"/>
      <c r="F639" s="66">
        <v>4</v>
      </c>
      <c r="G639" s="66"/>
      <c r="H639" s="1220"/>
      <c r="I639" s="66"/>
      <c r="J639" s="66"/>
      <c r="K639" s="66"/>
      <c r="L639" s="1222"/>
      <c r="M639" s="51"/>
      <c r="N639" s="52"/>
      <c r="O639" s="25"/>
      <c r="P639" s="25"/>
    </row>
    <row r="640" spans="1:16" ht="30" customHeight="1">
      <c r="A640" s="61"/>
      <c r="B640" s="62"/>
      <c r="C640" s="63"/>
      <c r="D640" s="1219" t="s">
        <v>11003</v>
      </c>
      <c r="E640" s="65"/>
      <c r="F640" s="66">
        <v>4</v>
      </c>
      <c r="G640" s="66"/>
      <c r="H640" s="1220"/>
      <c r="I640" s="66"/>
      <c r="J640" s="66"/>
      <c r="K640" s="66"/>
      <c r="L640" s="1222"/>
      <c r="M640" s="51"/>
      <c r="N640" s="52"/>
      <c r="O640" s="25"/>
      <c r="P640" s="25"/>
    </row>
    <row r="641" spans="1:16" ht="30" customHeight="1">
      <c r="A641" s="61"/>
      <c r="B641" s="62"/>
      <c r="C641" s="63"/>
      <c r="D641" s="1219" t="s">
        <v>11004</v>
      </c>
      <c r="E641" s="65"/>
      <c r="F641" s="66">
        <v>4</v>
      </c>
      <c r="G641" s="66"/>
      <c r="H641" s="1220"/>
      <c r="I641" s="66"/>
      <c r="J641" s="66"/>
      <c r="K641" s="66"/>
      <c r="L641" s="1222"/>
      <c r="M641" s="51"/>
      <c r="N641" s="52"/>
      <c r="O641" s="25"/>
      <c r="P641" s="25"/>
    </row>
    <row r="642" spans="1:16" ht="30" customHeight="1">
      <c r="A642" s="61"/>
      <c r="B642" s="62"/>
      <c r="C642" s="63"/>
      <c r="D642" s="1219"/>
      <c r="E642" s="65"/>
      <c r="F642" s="88"/>
      <c r="G642" s="66"/>
      <c r="H642" s="1220"/>
      <c r="I642" s="66"/>
      <c r="J642" s="66"/>
      <c r="K642" s="66"/>
      <c r="L642" s="1222"/>
      <c r="M642" s="51"/>
      <c r="N642" s="52"/>
      <c r="O642" s="25"/>
      <c r="P642" s="25"/>
    </row>
    <row r="643" spans="1:16" ht="30" customHeight="1">
      <c r="A643" s="61"/>
      <c r="B643" s="62"/>
      <c r="C643" s="63"/>
      <c r="D643" s="1219"/>
      <c r="E643" s="65"/>
      <c r="F643" s="88"/>
      <c r="G643" s="66"/>
      <c r="H643" s="1220"/>
      <c r="I643" s="66"/>
      <c r="J643" s="66"/>
      <c r="K643" s="66"/>
      <c r="L643" s="1222"/>
      <c r="M643" s="51"/>
      <c r="N643" s="52"/>
      <c r="O643" s="25"/>
      <c r="P643" s="25"/>
    </row>
    <row r="644" spans="1:16" ht="30" customHeight="1">
      <c r="A644" s="61" t="s">
        <v>248</v>
      </c>
      <c r="B644" s="62" t="s">
        <v>26</v>
      </c>
      <c r="C644" s="63" t="s">
        <v>249</v>
      </c>
      <c r="D644" s="1219" t="str">
        <f>IFERROR(UPPER(IF(B644="CPU",VLOOKUP(C644,#REF!,2,0),IF(B644="SINAPI",VLOOKUP(C644,#REF!,2,0),IF(B644="EDIF",VLOOKUP(C644,#REF!,2,0),IF(B644="CDHU",VLOOKUP(C644,#REF!,2,0),IF(B644="FDE",VLOOKUP(C644,'FDE 10-23 '!$A$4:$E$3180,2,0),IF(B644="INFRA",VLOOKUP(C644,#REF!,2,0),""))))))),"")</f>
        <v>CAIXILHOS DE FERRO -BASCULANTES</v>
      </c>
      <c r="E644" s="65" t="str">
        <f>VLOOKUP(C644,'FDE 10-23 '!$A$4:$E$3180,3,0)</f>
        <v>M2</v>
      </c>
      <c r="F644" s="1112">
        <v>1.89</v>
      </c>
      <c r="G644" s="66"/>
      <c r="H644" s="1220"/>
      <c r="I644" s="66"/>
      <c r="J644" s="66"/>
      <c r="K644" s="66"/>
      <c r="L644" s="1222"/>
      <c r="M644" s="51"/>
      <c r="N644" s="52"/>
      <c r="O644" s="25"/>
      <c r="P644" s="25"/>
    </row>
    <row r="645" spans="1:16" ht="30" customHeight="1">
      <c r="A645" s="61"/>
      <c r="B645" s="62"/>
      <c r="C645" s="63"/>
      <c r="D645" s="1219" t="s">
        <v>11017</v>
      </c>
      <c r="E645" s="65"/>
      <c r="F645" s="88"/>
      <c r="G645" s="66"/>
      <c r="H645" s="1220"/>
      <c r="I645" s="66"/>
      <c r="J645" s="66"/>
      <c r="K645" s="66"/>
      <c r="L645" s="1222"/>
      <c r="M645" s="51"/>
      <c r="N645" s="52"/>
      <c r="O645" s="25"/>
      <c r="P645" s="25"/>
    </row>
    <row r="646" spans="1:16" ht="30" customHeight="1">
      <c r="A646" s="61"/>
      <c r="B646" s="62"/>
      <c r="C646" s="63"/>
      <c r="D646" s="1219"/>
      <c r="E646" s="65"/>
      <c r="F646" s="88"/>
      <c r="G646" s="66"/>
      <c r="H646" s="1220"/>
      <c r="I646" s="66"/>
      <c r="J646" s="66"/>
      <c r="K646" s="66"/>
      <c r="L646" s="1222"/>
      <c r="M646" s="51"/>
      <c r="N646" s="52"/>
      <c r="O646" s="25"/>
      <c r="P646" s="25"/>
    </row>
    <row r="647" spans="1:16" ht="30" customHeight="1">
      <c r="A647" s="61" t="s">
        <v>250</v>
      </c>
      <c r="B647" s="62" t="s">
        <v>26</v>
      </c>
      <c r="C647" s="63" t="s">
        <v>251</v>
      </c>
      <c r="D647" s="1219" t="str">
        <f>IFERROR(UPPER(IF(B647="CPU",VLOOKUP(C647,#REF!,2,0),IF(B647="SINAPI",VLOOKUP(C647,#REF!,2,0),IF(B647="EDIF",VLOOKUP(C647,#REF!,2,0),IF(B647="CDHU",VLOOKUP(C647,#REF!,2,0),IF(B647="FDE",VLOOKUP(C647,'FDE 10-23 '!$A$4:$E$3180,2,0),IF(B647="INFRA",VLOOKUP(C647,#REF!,2,0),""))))))),"")</f>
        <v>EF-24 ESQ FERRO VENEZIANA DA CAIXA DO ELEVADOR (0.80X0.40M)</v>
      </c>
      <c r="E647" s="65" t="str">
        <f>VLOOKUP(C647,'FDE 10-23 '!$A$4:$E$3180,3,0)</f>
        <v>UN</v>
      </c>
      <c r="F647" s="1112">
        <v>0</v>
      </c>
      <c r="G647" s="66">
        <v>1</v>
      </c>
      <c r="H647" s="1220"/>
      <c r="I647" s="66"/>
      <c r="J647" s="66"/>
      <c r="K647" s="66"/>
      <c r="L647" s="1222"/>
      <c r="M647" s="51"/>
      <c r="N647" s="52"/>
      <c r="O647" s="25"/>
      <c r="P647" s="25"/>
    </row>
    <row r="648" spans="1:16" ht="30" customHeight="1">
      <c r="A648" s="61"/>
      <c r="B648" s="62"/>
      <c r="C648" s="63"/>
      <c r="D648" s="1219" t="s">
        <v>11018</v>
      </c>
      <c r="E648" s="65"/>
      <c r="F648" s="88"/>
      <c r="G648" s="66"/>
      <c r="H648" s="1220"/>
      <c r="I648" s="66"/>
      <c r="J648" s="66"/>
      <c r="K648" s="66"/>
      <c r="L648" s="1222"/>
      <c r="M648" s="51"/>
      <c r="N648" s="52"/>
      <c r="O648" s="25"/>
      <c r="P648" s="25"/>
    </row>
    <row r="649" spans="1:16" ht="30" customHeight="1">
      <c r="A649" s="53" t="s">
        <v>252</v>
      </c>
      <c r="B649" s="54"/>
      <c r="C649" s="54" t="s">
        <v>253</v>
      </c>
      <c r="D649" s="1216" t="s">
        <v>254</v>
      </c>
      <c r="E649" s="56" t="str">
        <f>IFERROR(UPPER(IF(B649="CPU",VLOOKUP(C649,#REF!,3,0),IF(B649="SINAPI",VLOOKUP(C649,#REF!,3,0),IF(B649="EDIF",VLOOKUP(C649,#REF!,3,0),IF(B649="CDHU",VLOOKUP(C649,#REF!,3,0),IF(B649="FDE",VLOOKUP(C649,#REF!,3,0),IF(B649="INFRA",VLOOKUP(C649,#REF!,3,0),""))))))),"")</f>
        <v/>
      </c>
      <c r="F649" s="1232"/>
      <c r="G649" s="57"/>
      <c r="H649" s="1217"/>
      <c r="I649" s="1217"/>
      <c r="J649" s="1217"/>
      <c r="K649" s="1217"/>
      <c r="L649" s="1218"/>
      <c r="M649" s="51"/>
      <c r="N649" s="52"/>
      <c r="O649" s="25"/>
      <c r="P649" s="25"/>
    </row>
    <row r="650" spans="1:16" ht="30" customHeight="1">
      <c r="A650" s="61" t="s">
        <v>255</v>
      </c>
      <c r="B650" s="62" t="s">
        <v>26</v>
      </c>
      <c r="C650" s="63" t="s">
        <v>256</v>
      </c>
      <c r="D650" s="1219" t="str">
        <f>IFERROR(UPPER(IF(B650="CPU",VLOOKUP(C650,#REF!,2,0),IF(B650="SINAPI",VLOOKUP(C650,#REF!,2,0),IF(B650="EDIF",VLOOKUP(C650,#REF!,2,0),IF(B650="CDHU",VLOOKUP(C650,#REF!,2,0),IF(B650="FDE",VLOOKUP(C650,'FDE 10-23 '!$A$4:$E$3180,2,0),IF(B650="INFRA",VLOOKUP(C650,#REF!,2,0),""))))))),"")</f>
        <v>PF-11 PORTA/JANELA DE FERRO 180X260CM</v>
      </c>
      <c r="E650" s="65" t="str">
        <f>VLOOKUP(C650,'FDE 10-23 '!$A$4:$E$3180,3,0)</f>
        <v>UN</v>
      </c>
      <c r="F650" s="1112">
        <v>4</v>
      </c>
      <c r="G650" s="66"/>
      <c r="H650" s="1220"/>
      <c r="I650" s="66"/>
      <c r="J650" s="66"/>
      <c r="K650" s="66"/>
      <c r="L650" s="1222"/>
      <c r="M650" s="51"/>
      <c r="N650" s="52"/>
      <c r="O650" s="25"/>
      <c r="P650" s="25"/>
    </row>
    <row r="651" spans="1:16" ht="30" customHeight="1">
      <c r="A651" s="61"/>
      <c r="B651" s="62"/>
      <c r="C651" s="63"/>
      <c r="D651" s="1219" t="s">
        <v>11019</v>
      </c>
      <c r="E651" s="65"/>
      <c r="F651" s="66">
        <v>4</v>
      </c>
      <c r="G651" s="66"/>
      <c r="H651" s="1220"/>
      <c r="I651" s="66"/>
      <c r="J651" s="66"/>
      <c r="K651" s="66"/>
      <c r="L651" s="1222"/>
      <c r="M651" s="51"/>
      <c r="N651" s="52"/>
      <c r="O651" s="25"/>
      <c r="P651" s="25"/>
    </row>
    <row r="652" spans="1:16" ht="30" customHeight="1">
      <c r="A652" s="61"/>
      <c r="B652" s="62"/>
      <c r="C652" s="63"/>
      <c r="D652" s="1219"/>
      <c r="E652" s="65"/>
      <c r="F652" s="88"/>
      <c r="G652" s="66"/>
      <c r="H652" s="1220"/>
      <c r="I652" s="66"/>
      <c r="J652" s="66"/>
      <c r="K652" s="66"/>
      <c r="L652" s="1222"/>
      <c r="M652" s="51"/>
      <c r="N652" s="52"/>
      <c r="O652" s="25"/>
      <c r="P652" s="25"/>
    </row>
    <row r="653" spans="1:16" ht="30" customHeight="1">
      <c r="A653" s="61" t="s">
        <v>257</v>
      </c>
      <c r="B653" s="62" t="s">
        <v>26</v>
      </c>
      <c r="C653" s="63" t="s">
        <v>258</v>
      </c>
      <c r="D653" s="1219" t="str">
        <f>IFERROR(UPPER(IF(B653="CPU",VLOOKUP(C653,#REF!,2,0),IF(B653="SINAPI",VLOOKUP(C653,#REF!,2,0),IF(B653="EDIF",VLOOKUP(C653,#REF!,2,0),IF(B653="CDHU",VLOOKUP(C653,#REF!,2,0),IF(B653="FDE",VLOOKUP(C653,'FDE 10-23 '!$A$4:$E$3180,2,0),IF(B653="INFRA",VLOOKUP(C653,#REF!,2,0),""))))))),"")</f>
        <v>PF-15 PORTA EM CHAPA DE FERRO (L=82 CM)</v>
      </c>
      <c r="E653" s="65" t="str">
        <f>VLOOKUP(C653,'FDE 10-23 '!$A$4:$E$3180,3,0)</f>
        <v>UN</v>
      </c>
      <c r="F653" s="1112">
        <v>6</v>
      </c>
      <c r="G653" s="66"/>
      <c r="H653" s="1220"/>
      <c r="I653" s="66"/>
      <c r="J653" s="66"/>
      <c r="K653" s="66"/>
      <c r="L653" s="1222"/>
      <c r="M653" s="51"/>
      <c r="N653" s="52"/>
      <c r="O653" s="25"/>
      <c r="P653" s="25"/>
    </row>
    <row r="654" spans="1:16" ht="30" customHeight="1">
      <c r="A654" s="61"/>
      <c r="B654" s="62"/>
      <c r="C654" s="63"/>
      <c r="D654" s="1219" t="s">
        <v>11020</v>
      </c>
      <c r="E654" s="65"/>
      <c r="F654" s="66">
        <v>1</v>
      </c>
      <c r="G654" s="66"/>
      <c r="H654" s="1220"/>
      <c r="I654" s="66"/>
      <c r="J654" s="66"/>
      <c r="K654" s="66"/>
      <c r="L654" s="1222"/>
      <c r="M654" s="51"/>
      <c r="N654" s="52"/>
      <c r="O654" s="25"/>
      <c r="P654" s="25"/>
    </row>
    <row r="655" spans="1:16" ht="30" customHeight="1">
      <c r="A655" s="61"/>
      <c r="B655" s="62"/>
      <c r="C655" s="63"/>
      <c r="D655" s="1219" t="s">
        <v>11021</v>
      </c>
      <c r="E655" s="65"/>
      <c r="F655" s="66">
        <v>1</v>
      </c>
      <c r="G655" s="66"/>
      <c r="H655" s="1220"/>
      <c r="I655" s="66"/>
      <c r="J655" s="66"/>
      <c r="K655" s="66"/>
      <c r="L655" s="1222"/>
      <c r="M655" s="51"/>
      <c r="N655" s="52"/>
      <c r="O655" s="25"/>
      <c r="P655" s="25"/>
    </row>
    <row r="656" spans="1:16" ht="30" customHeight="1">
      <c r="A656" s="61"/>
      <c r="B656" s="62"/>
      <c r="C656" s="63"/>
      <c r="D656" s="1219" t="s">
        <v>11022</v>
      </c>
      <c r="E656" s="65"/>
      <c r="F656" s="66">
        <v>1</v>
      </c>
      <c r="G656" s="66"/>
      <c r="H656" s="1220"/>
      <c r="I656" s="66"/>
      <c r="J656" s="66"/>
      <c r="K656" s="66"/>
      <c r="L656" s="1222"/>
      <c r="M656" s="51"/>
      <c r="N656" s="52"/>
      <c r="O656" s="25"/>
      <c r="P656" s="25"/>
    </row>
    <row r="657" spans="1:16" ht="30" customHeight="1">
      <c r="A657" s="61"/>
      <c r="B657" s="62"/>
      <c r="C657" s="63"/>
      <c r="D657" s="1219" t="s">
        <v>11022</v>
      </c>
      <c r="E657" s="65"/>
      <c r="F657" s="66">
        <v>1</v>
      </c>
      <c r="G657" s="66"/>
      <c r="H657" s="1220"/>
      <c r="I657" s="66"/>
      <c r="J657" s="66"/>
      <c r="K657" s="66"/>
      <c r="L657" s="1222"/>
      <c r="M657" s="51"/>
      <c r="N657" s="52"/>
      <c r="O657" s="25"/>
      <c r="P657" s="25"/>
    </row>
    <row r="658" spans="1:16" ht="30" customHeight="1">
      <c r="A658" s="61"/>
      <c r="B658" s="62"/>
      <c r="C658" s="63"/>
      <c r="D658" s="1219" t="s">
        <v>11023</v>
      </c>
      <c r="E658" s="65"/>
      <c r="F658" s="66">
        <v>1</v>
      </c>
      <c r="G658" s="66"/>
      <c r="H658" s="1220"/>
      <c r="I658" s="66"/>
      <c r="J658" s="66"/>
      <c r="K658" s="66"/>
      <c r="L658" s="1222"/>
      <c r="M658" s="51"/>
      <c r="N658" s="52"/>
      <c r="O658" s="25"/>
      <c r="P658" s="25"/>
    </row>
    <row r="659" spans="1:16" ht="30" customHeight="1">
      <c r="A659" s="61"/>
      <c r="B659" s="62"/>
      <c r="C659" s="63"/>
      <c r="D659" s="1219" t="s">
        <v>10975</v>
      </c>
      <c r="E659" s="65"/>
      <c r="F659" s="66">
        <v>1</v>
      </c>
      <c r="G659" s="66"/>
      <c r="H659" s="1220"/>
      <c r="I659" s="66"/>
      <c r="J659" s="66"/>
      <c r="K659" s="66"/>
      <c r="L659" s="1222"/>
      <c r="M659" s="51"/>
      <c r="N659" s="52"/>
      <c r="O659" s="25"/>
      <c r="P659" s="25"/>
    </row>
    <row r="660" spans="1:16" ht="30" customHeight="1">
      <c r="A660" s="61"/>
      <c r="B660" s="62"/>
      <c r="C660" s="63"/>
      <c r="D660" s="1219"/>
      <c r="E660" s="65"/>
      <c r="F660" s="88"/>
      <c r="G660" s="66"/>
      <c r="H660" s="1220"/>
      <c r="I660" s="66"/>
      <c r="J660" s="66"/>
      <c r="K660" s="66"/>
      <c r="L660" s="1222"/>
      <c r="M660" s="51"/>
      <c r="N660" s="52"/>
      <c r="O660" s="25"/>
      <c r="P660" s="25"/>
    </row>
    <row r="661" spans="1:16" ht="30" customHeight="1">
      <c r="A661" s="61" t="s">
        <v>259</v>
      </c>
      <c r="B661" s="62" t="s">
        <v>26</v>
      </c>
      <c r="C661" s="63" t="s">
        <v>260</v>
      </c>
      <c r="D661" s="1219" t="str">
        <f>IFERROR(UPPER(IF(B661="CPU",VLOOKUP(C661,#REF!,2,0),IF(B661="SINAPI",VLOOKUP(C661,#REF!,2,0),IF(B661="EDIF",VLOOKUP(C661,#REF!,2,0),IF(B661="CDHU",VLOOKUP(C661,#REF!,2,0),IF(B661="FDE",VLOOKUP(C661,'FDE 10-23 '!$A$4:$E$3180,2,0),IF(B661="INFRA",VLOOKUP(C661,#REF!,2,0),""))))))),"")</f>
        <v>PF-16 PORTA EM CHAPA DE FERRO (L=92 CM)</v>
      </c>
      <c r="E661" s="65" t="str">
        <f>VLOOKUP(C661,'FDE 10-23 '!$A$4:$E$3180,3,0)</f>
        <v>UN</v>
      </c>
      <c r="F661" s="1112">
        <v>5</v>
      </c>
      <c r="G661" s="66"/>
      <c r="H661" s="1220"/>
      <c r="I661" s="66"/>
      <c r="J661" s="66"/>
      <c r="K661" s="66"/>
      <c r="L661" s="1222"/>
      <c r="M661" s="51"/>
      <c r="N661" s="52"/>
      <c r="O661" s="25"/>
      <c r="P661" s="25"/>
    </row>
    <row r="662" spans="1:16" ht="30" customHeight="1">
      <c r="A662" s="61"/>
      <c r="B662" s="62"/>
      <c r="C662" s="63"/>
      <c r="D662" s="1219" t="s">
        <v>11004</v>
      </c>
      <c r="E662" s="65"/>
      <c r="F662" s="66">
        <v>1</v>
      </c>
      <c r="G662" s="66"/>
      <c r="H662" s="1220"/>
      <c r="I662" s="66"/>
      <c r="J662" s="66"/>
      <c r="K662" s="66"/>
      <c r="L662" s="1222"/>
      <c r="M662" s="51"/>
      <c r="N662" s="52"/>
      <c r="O662" s="25"/>
      <c r="P662" s="25"/>
    </row>
    <row r="663" spans="1:16" ht="30" customHeight="1">
      <c r="A663" s="61"/>
      <c r="B663" s="62"/>
      <c r="C663" s="63"/>
      <c r="D663" s="1219" t="s">
        <v>11024</v>
      </c>
      <c r="E663" s="65"/>
      <c r="F663" s="66">
        <v>1</v>
      </c>
      <c r="G663" s="66"/>
      <c r="H663" s="1220"/>
      <c r="I663" s="66"/>
      <c r="J663" s="66"/>
      <c r="K663" s="66"/>
      <c r="L663" s="1222"/>
      <c r="M663" s="51"/>
      <c r="N663" s="52"/>
      <c r="O663" s="25"/>
      <c r="P663" s="25"/>
    </row>
    <row r="664" spans="1:16" ht="30" customHeight="1">
      <c r="A664" s="61"/>
      <c r="B664" s="62"/>
      <c r="C664" s="63"/>
      <c r="D664" s="1219" t="s">
        <v>11012</v>
      </c>
      <c r="E664" s="65"/>
      <c r="F664" s="66">
        <v>1</v>
      </c>
      <c r="G664" s="66"/>
      <c r="H664" s="1220"/>
      <c r="I664" s="66"/>
      <c r="J664" s="66"/>
      <c r="K664" s="66"/>
      <c r="L664" s="1222"/>
      <c r="M664" s="51"/>
      <c r="N664" s="52"/>
      <c r="O664" s="25"/>
      <c r="P664" s="25"/>
    </row>
    <row r="665" spans="1:16" ht="30" customHeight="1">
      <c r="A665" s="61"/>
      <c r="B665" s="62"/>
      <c r="C665" s="63"/>
      <c r="D665" s="1219" t="s">
        <v>11025</v>
      </c>
      <c r="E665" s="65"/>
      <c r="F665" s="66">
        <v>1</v>
      </c>
      <c r="G665" s="66"/>
      <c r="H665" s="1220"/>
      <c r="I665" s="66"/>
      <c r="J665" s="66"/>
      <c r="K665" s="66"/>
      <c r="L665" s="1222"/>
      <c r="M665" s="51"/>
      <c r="N665" s="52"/>
      <c r="O665" s="25"/>
      <c r="P665" s="25"/>
    </row>
    <row r="666" spans="1:16" ht="30" customHeight="1">
      <c r="A666" s="61"/>
      <c r="B666" s="62"/>
      <c r="C666" s="63"/>
      <c r="D666" s="1219" t="s">
        <v>11026</v>
      </c>
      <c r="E666" s="65"/>
      <c r="F666" s="66">
        <v>1</v>
      </c>
      <c r="G666" s="66"/>
      <c r="H666" s="1220"/>
      <c r="I666" s="66"/>
      <c r="J666" s="66"/>
      <c r="K666" s="66"/>
      <c r="L666" s="1222"/>
      <c r="M666" s="51"/>
      <c r="N666" s="52"/>
      <c r="O666" s="25"/>
      <c r="P666" s="25"/>
    </row>
    <row r="667" spans="1:16" ht="30" customHeight="1">
      <c r="A667" s="61"/>
      <c r="B667" s="62"/>
      <c r="C667" s="63"/>
      <c r="D667" s="1219"/>
      <c r="E667" s="65"/>
      <c r="F667" s="88"/>
      <c r="G667" s="66"/>
      <c r="H667" s="1220"/>
      <c r="I667" s="66"/>
      <c r="J667" s="66"/>
      <c r="K667" s="66"/>
      <c r="L667" s="1222"/>
      <c r="M667" s="51"/>
      <c r="N667" s="52"/>
      <c r="O667" s="25"/>
      <c r="P667" s="25"/>
    </row>
    <row r="668" spans="1:16" ht="30" customHeight="1">
      <c r="A668" s="61"/>
      <c r="B668" s="62"/>
      <c r="C668" s="63"/>
      <c r="D668" s="1219"/>
      <c r="E668" s="65"/>
      <c r="F668" s="88"/>
      <c r="G668" s="66"/>
      <c r="H668" s="1220"/>
      <c r="I668" s="66"/>
      <c r="J668" s="66"/>
      <c r="K668" s="66"/>
      <c r="L668" s="1222"/>
      <c r="M668" s="51"/>
      <c r="N668" s="52"/>
      <c r="O668" s="25"/>
      <c r="P668" s="25"/>
    </row>
    <row r="669" spans="1:16" ht="30" customHeight="1">
      <c r="A669" s="61"/>
      <c r="B669" s="62"/>
      <c r="C669" s="63"/>
      <c r="D669" s="1219"/>
      <c r="E669" s="65"/>
      <c r="F669" s="88"/>
      <c r="G669" s="66"/>
      <c r="H669" s="1220"/>
      <c r="I669" s="66"/>
      <c r="J669" s="66"/>
      <c r="K669" s="66"/>
      <c r="L669" s="1222"/>
      <c r="M669" s="51"/>
      <c r="N669" s="52"/>
      <c r="O669" s="25"/>
      <c r="P669" s="25"/>
    </row>
    <row r="670" spans="1:16" ht="30" customHeight="1">
      <c r="A670" s="61" t="s">
        <v>261</v>
      </c>
      <c r="B670" s="62" t="s">
        <v>26</v>
      </c>
      <c r="C670" s="63" t="s">
        <v>262</v>
      </c>
      <c r="D670" s="1219" t="str">
        <f>IFERROR(UPPER(IF(B670="CPU",VLOOKUP(C670,#REF!,2,0),IF(B670="SINAPI",VLOOKUP(C670,#REF!,2,0),IF(B670="EDIF",VLOOKUP(C670,#REF!,2,0),IF(B670="CDHU",VLOOKUP(C670,#REF!,2,0),IF(B670="FDE",VLOOKUP(C670,'FDE 10-23 '!$A$4:$E$3180,2,0),IF(B670="INFRA",VLOOKUP(C670,#REF!,2,0),""))))))),"")</f>
        <v>PF-19 PORTA DE FERRO P/ RESERVATORIO - GALVANIZADA</v>
      </c>
      <c r="E670" s="65" t="str">
        <f>VLOOKUP(C670,'FDE 10-23 '!$A$4:$E$3180,3,0)</f>
        <v>UN</v>
      </c>
      <c r="F670" s="1112">
        <v>4</v>
      </c>
      <c r="G670" s="66"/>
      <c r="H670" s="1220"/>
      <c r="I670" s="66"/>
      <c r="J670" s="66"/>
      <c r="K670" s="66"/>
      <c r="L670" s="1222"/>
      <c r="M670" s="51"/>
      <c r="N670" s="52"/>
      <c r="O670" s="25"/>
      <c r="P670" s="25"/>
    </row>
    <row r="671" spans="1:16" ht="30" customHeight="1">
      <c r="A671" s="61"/>
      <c r="B671" s="62"/>
      <c r="C671" s="63"/>
      <c r="D671" s="1219" t="s">
        <v>11027</v>
      </c>
      <c r="E671" s="65"/>
      <c r="F671" s="88"/>
      <c r="G671" s="66"/>
      <c r="H671" s="1220"/>
      <c r="I671" s="66"/>
      <c r="J671" s="66"/>
      <c r="K671" s="66"/>
      <c r="L671" s="1222"/>
      <c r="M671" s="51"/>
      <c r="N671" s="52"/>
      <c r="O671" s="25"/>
      <c r="P671" s="25"/>
    </row>
    <row r="672" spans="1:16" ht="30" customHeight="1">
      <c r="A672" s="61"/>
      <c r="B672" s="62"/>
      <c r="C672" s="63"/>
      <c r="D672" s="1219"/>
      <c r="E672" s="65"/>
      <c r="F672" s="88"/>
      <c r="G672" s="66"/>
      <c r="H672" s="1220"/>
      <c r="I672" s="66"/>
      <c r="J672" s="66"/>
      <c r="K672" s="66"/>
      <c r="L672" s="1222"/>
      <c r="M672" s="51"/>
      <c r="N672" s="52"/>
      <c r="O672" s="25"/>
      <c r="P672" s="25"/>
    </row>
    <row r="673" spans="1:16" ht="30" customHeight="1">
      <c r="A673" s="61"/>
      <c r="B673" s="62"/>
      <c r="C673" s="63"/>
      <c r="D673" s="1219"/>
      <c r="E673" s="65"/>
      <c r="F673" s="88"/>
      <c r="G673" s="66"/>
      <c r="H673" s="1220"/>
      <c r="I673" s="66"/>
      <c r="J673" s="66"/>
      <c r="K673" s="66"/>
      <c r="L673" s="1222"/>
      <c r="M673" s="51"/>
      <c r="N673" s="52"/>
      <c r="O673" s="25"/>
      <c r="P673" s="25"/>
    </row>
    <row r="674" spans="1:16" ht="30" customHeight="1">
      <c r="A674" s="61" t="s">
        <v>263</v>
      </c>
      <c r="B674" s="62" t="s">
        <v>26</v>
      </c>
      <c r="C674" s="63" t="s">
        <v>264</v>
      </c>
      <c r="D674" s="1219" t="str">
        <f>IFERROR(UPPER(IF(B674="CPU",VLOOKUP(C674,#REF!,2,0),IF(B674="SINAPI",VLOOKUP(C674,#REF!,2,0),IF(B674="EDIF",VLOOKUP(C674,#REF!,2,0),IF(B674="CDHU",VLOOKUP(C674,#REF!,2,0),IF(B674="FDE",VLOOKUP(C674,'FDE 10-23 '!$A$4:$E$3180,2,0),IF(B674="INFRA",VLOOKUP(C674,#REF!,2,0),""))))))),"")</f>
        <v>PF-20 PORTA DE FERRO COM BANDEIRA CHAPA PERFURADA  L=180CM</v>
      </c>
      <c r="E674" s="65" t="str">
        <f>VLOOKUP(C674,'FDE 10-23 '!$A$4:$E$3180,3,0)</f>
        <v>UN</v>
      </c>
      <c r="F674" s="1112">
        <v>3</v>
      </c>
      <c r="G674" s="66"/>
      <c r="H674" s="1220"/>
      <c r="I674" s="66"/>
      <c r="J674" s="66"/>
      <c r="K674" s="66"/>
      <c r="L674" s="1222"/>
      <c r="M674" s="51"/>
      <c r="N674" s="52"/>
      <c r="O674" s="25"/>
      <c r="P674" s="25"/>
    </row>
    <row r="675" spans="1:16" ht="30" customHeight="1">
      <c r="A675" s="61"/>
      <c r="B675" s="62"/>
      <c r="C675" s="63"/>
      <c r="D675" s="1219" t="s">
        <v>11013</v>
      </c>
      <c r="E675" s="65"/>
      <c r="F675" s="66">
        <v>2</v>
      </c>
      <c r="G675" s="66"/>
      <c r="H675" s="1220"/>
      <c r="I675" s="66"/>
      <c r="J675" s="66"/>
      <c r="K675" s="66"/>
      <c r="L675" s="1222"/>
      <c r="M675" s="51"/>
      <c r="N675" s="52"/>
      <c r="O675" s="25"/>
      <c r="P675" s="25"/>
    </row>
    <row r="676" spans="1:16" ht="30" customHeight="1">
      <c r="A676" s="61"/>
      <c r="B676" s="62"/>
      <c r="C676" s="63"/>
      <c r="D676" s="1219" t="s">
        <v>11028</v>
      </c>
      <c r="E676" s="65"/>
      <c r="F676" s="66">
        <v>1</v>
      </c>
      <c r="G676" s="66"/>
      <c r="H676" s="1220"/>
      <c r="I676" s="66"/>
      <c r="J676" s="66"/>
      <c r="K676" s="66"/>
      <c r="L676" s="1222"/>
      <c r="M676" s="51"/>
      <c r="N676" s="52"/>
      <c r="O676" s="25"/>
      <c r="P676" s="25"/>
    </row>
    <row r="677" spans="1:16" ht="30" customHeight="1">
      <c r="A677" s="61"/>
      <c r="B677" s="62"/>
      <c r="C677" s="63"/>
      <c r="D677" s="1219"/>
      <c r="E677" s="65"/>
      <c r="F677" s="88"/>
      <c r="G677" s="66"/>
      <c r="H677" s="1220"/>
      <c r="I677" s="66"/>
      <c r="J677" s="66"/>
      <c r="K677" s="66"/>
      <c r="L677" s="1222"/>
      <c r="M677" s="51"/>
      <c r="N677" s="52"/>
      <c r="O677" s="25"/>
      <c r="P677" s="25"/>
    </row>
    <row r="678" spans="1:16" ht="30" customHeight="1">
      <c r="A678" s="61" t="s">
        <v>265</v>
      </c>
      <c r="B678" s="62" t="s">
        <v>26</v>
      </c>
      <c r="C678" s="63" t="s">
        <v>266</v>
      </c>
      <c r="D678" s="1219" t="str">
        <f>IFERROR(UPPER(IF(B678="CPU",VLOOKUP(C678,#REF!,2,0),IF(B678="SINAPI",VLOOKUP(C678,#REF!,2,0),IF(B678="EDIF",VLOOKUP(C678,#REF!,2,0),IF(B678="CDHU",VLOOKUP(C678,#REF!,2,0),IF(B678="FDE",VLOOKUP(C678,'FDE 10-23 '!$A$4:$E$3180,2,0),IF(B678="INFRA",VLOOKUP(C678,#REF!,2,0),""))))))),"")</f>
        <v>PF-27 PORTA DE FERRO 90X215CM</v>
      </c>
      <c r="E678" s="65" t="str">
        <f>VLOOKUP(C678,'FDE 10-23 '!$A$4:$E$3180,3,0)</f>
        <v>UN</v>
      </c>
      <c r="F678" s="1112">
        <v>1</v>
      </c>
      <c r="G678" s="66"/>
      <c r="H678" s="1220"/>
      <c r="I678" s="66"/>
      <c r="J678" s="66"/>
      <c r="K678" s="66"/>
      <c r="L678" s="1222"/>
      <c r="M678" s="51"/>
      <c r="N678" s="52"/>
      <c r="O678" s="25"/>
      <c r="P678" s="25"/>
    </row>
    <row r="679" spans="1:16" ht="30" customHeight="1">
      <c r="A679" s="61"/>
      <c r="B679" s="62"/>
      <c r="C679" s="63"/>
      <c r="D679" s="1219" t="s">
        <v>11016</v>
      </c>
      <c r="E679" s="65"/>
      <c r="F679" s="66">
        <v>1</v>
      </c>
      <c r="G679" s="66"/>
      <c r="H679" s="1220"/>
      <c r="I679" s="66"/>
      <c r="J679" s="66"/>
      <c r="K679" s="66"/>
      <c r="L679" s="1222"/>
      <c r="M679" s="51"/>
      <c r="N679" s="52"/>
      <c r="O679" s="25"/>
      <c r="P679" s="25"/>
    </row>
    <row r="680" spans="1:16" ht="30" customHeight="1">
      <c r="A680" s="61"/>
      <c r="B680" s="62"/>
      <c r="C680" s="63"/>
      <c r="D680" s="1219"/>
      <c r="E680" s="65"/>
      <c r="F680" s="88"/>
      <c r="G680" s="66"/>
      <c r="H680" s="1220"/>
      <c r="I680" s="66"/>
      <c r="J680" s="66"/>
      <c r="K680" s="66"/>
      <c r="L680" s="1222"/>
      <c r="M680" s="51"/>
      <c r="N680" s="52"/>
      <c r="O680" s="25"/>
      <c r="P680" s="25"/>
    </row>
    <row r="681" spans="1:16" ht="30" customHeight="1">
      <c r="A681" s="61"/>
      <c r="B681" s="62"/>
      <c r="C681" s="63"/>
      <c r="D681" s="1219"/>
      <c r="E681" s="65"/>
      <c r="F681" s="88"/>
      <c r="G681" s="66"/>
      <c r="H681" s="1220"/>
      <c r="I681" s="66"/>
      <c r="J681" s="66"/>
      <c r="K681" s="66"/>
      <c r="L681" s="1222"/>
      <c r="M681" s="51"/>
      <c r="N681" s="52"/>
      <c r="O681" s="25"/>
      <c r="P681" s="25"/>
    </row>
    <row r="682" spans="1:16" ht="30" customHeight="1">
      <c r="A682" s="61" t="s">
        <v>267</v>
      </c>
      <c r="B682" s="62" t="s">
        <v>26</v>
      </c>
      <c r="C682" s="63" t="s">
        <v>268</v>
      </c>
      <c r="D682" s="1219" t="str">
        <f>IFERROR(UPPER(IF(B682="CPU",VLOOKUP(C682,#REF!,2,0),IF(B682="SINAPI",VLOOKUP(C682,#REF!,2,0),IF(B682="EDIF",VLOOKUP(C682,#REF!,2,0),IF(B682="CDHU",VLOOKUP(C682,#REF!,2,0),IF(B682="FDE",VLOOKUP(C682,'FDE 10-23 '!$A$4:$E$3180,2,0),IF(B682="INFRA",VLOOKUP(C682,#REF!,2,0),""))))))),"")</f>
        <v>PF-30 PORTA EM CHAPA DE AÇO C/VENT.PERM (L=140CM)</v>
      </c>
      <c r="E682" s="65" t="str">
        <f>VLOOKUP(C682,'FDE 10-23 '!$A$4:$E$3180,3,0)</f>
        <v>UN</v>
      </c>
      <c r="F682" s="1112">
        <v>1</v>
      </c>
      <c r="G682" s="66"/>
      <c r="H682" s="1220"/>
      <c r="I682" s="66"/>
      <c r="J682" s="66"/>
      <c r="K682" s="66"/>
      <c r="L682" s="1222"/>
      <c r="M682" s="51"/>
      <c r="N682" s="52"/>
      <c r="O682" s="25"/>
      <c r="P682" s="25"/>
    </row>
    <row r="683" spans="1:16" ht="30" customHeight="1">
      <c r="A683" s="61"/>
      <c r="B683" s="62"/>
      <c r="C683" s="63"/>
      <c r="D683" s="1219" t="s">
        <v>6507</v>
      </c>
      <c r="E683" s="65"/>
      <c r="F683" s="66">
        <v>1</v>
      </c>
      <c r="G683" s="66"/>
      <c r="H683" s="1220"/>
      <c r="I683" s="66"/>
      <c r="J683" s="66"/>
      <c r="K683" s="66"/>
      <c r="L683" s="1222"/>
      <c r="M683" s="51"/>
      <c r="N683" s="52"/>
      <c r="O683" s="25"/>
      <c r="P683" s="25"/>
    </row>
    <row r="684" spans="1:16" ht="30" customHeight="1">
      <c r="A684" s="61"/>
      <c r="B684" s="62"/>
      <c r="C684" s="63"/>
      <c r="D684" s="1219"/>
      <c r="E684" s="65"/>
      <c r="F684" s="88"/>
      <c r="G684" s="66"/>
      <c r="H684" s="1220"/>
      <c r="I684" s="66"/>
      <c r="J684" s="66"/>
      <c r="K684" s="66"/>
      <c r="L684" s="1222"/>
      <c r="M684" s="51"/>
      <c r="N684" s="52"/>
      <c r="O684" s="25"/>
      <c r="P684" s="25"/>
    </row>
    <row r="685" spans="1:16" ht="30" customHeight="1">
      <c r="A685" s="61"/>
      <c r="B685" s="62"/>
      <c r="C685" s="63"/>
      <c r="D685" s="1219"/>
      <c r="E685" s="65"/>
      <c r="F685" s="88"/>
      <c r="G685" s="66"/>
      <c r="H685" s="1220"/>
      <c r="I685" s="66"/>
      <c r="J685" s="66"/>
      <c r="K685" s="66"/>
      <c r="L685" s="1222"/>
      <c r="M685" s="51"/>
      <c r="N685" s="52"/>
      <c r="O685" s="25"/>
      <c r="P685" s="25"/>
    </row>
    <row r="686" spans="1:16" ht="30" customHeight="1">
      <c r="A686" s="61" t="s">
        <v>269</v>
      </c>
      <c r="B686" s="62" t="s">
        <v>26</v>
      </c>
      <c r="C686" s="63" t="s">
        <v>270</v>
      </c>
      <c r="D686" s="1219" t="str">
        <f>IFERROR(UPPER(IF(B686="CPU",VLOOKUP(C686,#REF!,2,0),IF(B686="SINAPI",VLOOKUP(C686,#REF!,2,0),IF(B686="EDIF",VLOOKUP(C686,#REF!,2,0),IF(B686="CDHU",VLOOKUP(C686,#REF!,2,0),IF(B686="FDE",VLOOKUP(C686,'FDE 10-23 '!$A$4:$E$3180,2,0),IF(B686="INFRA",VLOOKUP(C686,#REF!,2,0),""))))))),"")</f>
        <v>PF-32 PORTA EM CHAPA DE AÇO 82X210CM C/VENTILAÇÃO</v>
      </c>
      <c r="E686" s="65" t="str">
        <f>VLOOKUP(C686,'FDE 10-23 '!$A$4:$E$3180,3,0)</f>
        <v>UN</v>
      </c>
      <c r="F686" s="1112">
        <v>3</v>
      </c>
      <c r="G686" s="66"/>
      <c r="H686" s="1220"/>
      <c r="I686" s="66"/>
      <c r="J686" s="66"/>
      <c r="K686" s="66"/>
      <c r="L686" s="1222"/>
      <c r="M686" s="51"/>
      <c r="N686" s="52"/>
      <c r="O686" s="25"/>
      <c r="P686" s="25"/>
    </row>
    <row r="687" spans="1:16" ht="30" customHeight="1">
      <c r="A687" s="61"/>
      <c r="B687" s="62"/>
      <c r="C687" s="63"/>
      <c r="D687" s="1219" t="s">
        <v>10991</v>
      </c>
      <c r="E687" s="65"/>
      <c r="F687" s="66">
        <v>1</v>
      </c>
      <c r="G687" s="66"/>
      <c r="H687" s="1220"/>
      <c r="I687" s="66"/>
      <c r="J687" s="66"/>
      <c r="K687" s="66"/>
      <c r="L687" s="1222"/>
      <c r="M687" s="51"/>
      <c r="N687" s="52"/>
      <c r="O687" s="25"/>
      <c r="P687" s="25"/>
    </row>
    <row r="688" spans="1:16" ht="30" customHeight="1">
      <c r="A688" s="61"/>
      <c r="B688" s="62"/>
      <c r="C688" s="63"/>
      <c r="D688" s="1219" t="s">
        <v>1238</v>
      </c>
      <c r="E688" s="65"/>
      <c r="F688" s="66">
        <v>1</v>
      </c>
      <c r="G688" s="66"/>
      <c r="H688" s="1220"/>
      <c r="I688" s="66"/>
      <c r="J688" s="66"/>
      <c r="K688" s="66"/>
      <c r="L688" s="1222"/>
      <c r="M688" s="51"/>
      <c r="N688" s="52"/>
      <c r="O688" s="25"/>
      <c r="P688" s="25"/>
    </row>
    <row r="689" spans="1:16" ht="30" customHeight="1">
      <c r="A689" s="61"/>
      <c r="B689" s="62"/>
      <c r="C689" s="63"/>
      <c r="D689" s="1219" t="s">
        <v>11029</v>
      </c>
      <c r="E689" s="65"/>
      <c r="F689" s="66">
        <v>1</v>
      </c>
      <c r="G689" s="66"/>
      <c r="H689" s="1220"/>
      <c r="I689" s="66"/>
      <c r="J689" s="66"/>
      <c r="K689" s="66"/>
      <c r="L689" s="1222"/>
      <c r="M689" s="51"/>
      <c r="N689" s="52"/>
      <c r="O689" s="25"/>
      <c r="P689" s="25"/>
    </row>
    <row r="690" spans="1:16" ht="30" customHeight="1">
      <c r="A690" s="61"/>
      <c r="B690" s="62"/>
      <c r="C690" s="63"/>
      <c r="D690" s="1219" t="s">
        <v>11030</v>
      </c>
      <c r="E690" s="65"/>
      <c r="F690" s="88"/>
      <c r="G690" s="66"/>
      <c r="H690" s="1220"/>
      <c r="I690" s="66"/>
      <c r="J690" s="66"/>
      <c r="K690" s="66"/>
      <c r="L690" s="1222"/>
      <c r="M690" s="51"/>
      <c r="N690" s="52"/>
      <c r="O690" s="25"/>
      <c r="P690" s="25"/>
    </row>
    <row r="691" spans="1:16" ht="30" customHeight="1">
      <c r="A691" s="61"/>
      <c r="B691" s="62"/>
      <c r="C691" s="63"/>
      <c r="D691" s="1219"/>
      <c r="E691" s="65"/>
      <c r="F691" s="88"/>
      <c r="G691" s="66"/>
      <c r="H691" s="1220"/>
      <c r="I691" s="66"/>
      <c r="J691" s="66"/>
      <c r="K691" s="66"/>
      <c r="L691" s="1222"/>
      <c r="M691" s="51"/>
      <c r="N691" s="52"/>
      <c r="O691" s="25"/>
      <c r="P691" s="25"/>
    </row>
    <row r="692" spans="1:16" ht="30" customHeight="1">
      <c r="A692" s="61" t="s">
        <v>271</v>
      </c>
      <c r="B692" s="62" t="s">
        <v>26</v>
      </c>
      <c r="C692" s="63" t="s">
        <v>272</v>
      </c>
      <c r="D692" s="1219" t="str">
        <f>IFERROR(UPPER(IF(B692="CPU",VLOOKUP(C692,#REF!,2,0),IF(B692="SINAPI",VLOOKUP(C692,#REF!,2,0),IF(B692="EDIF",VLOOKUP(C692,#REF!,2,0),IF(B692="CDHU",VLOOKUP(C692,#REF!,2,0),IF(B692="FDE",VLOOKUP(C692,'FDE 10-23 '!$A$4:$E$3180,2,0),IF(B692="INFRA",VLOOKUP(C692,#REF!,2,0),""))))))),"")</f>
        <v>PT-39 PORTAO EM GRADIL ELETROFUNDIDO (165X230CM)</v>
      </c>
      <c r="E692" s="65" t="str">
        <f>VLOOKUP(C692,'FDE 10-23 '!$A$4:$E$3180,3,0)</f>
        <v>UN</v>
      </c>
      <c r="F692" s="1112">
        <v>9</v>
      </c>
      <c r="G692" s="66"/>
      <c r="H692" s="1220"/>
      <c r="I692" s="66"/>
      <c r="J692" s="66"/>
      <c r="K692" s="66"/>
      <c r="L692" s="1222"/>
      <c r="M692" s="51"/>
      <c r="N692" s="52"/>
      <c r="O692" s="25"/>
      <c r="P692" s="25"/>
    </row>
    <row r="693" spans="1:16" ht="30" customHeight="1">
      <c r="A693" s="61"/>
      <c r="B693" s="62"/>
      <c r="C693" s="63"/>
      <c r="D693" s="1219" t="s">
        <v>11031</v>
      </c>
      <c r="E693" s="65"/>
      <c r="F693" s="66">
        <v>4</v>
      </c>
      <c r="G693" s="66"/>
      <c r="H693" s="1220"/>
      <c r="I693" s="66"/>
      <c r="J693" s="66"/>
      <c r="K693" s="66"/>
      <c r="L693" s="1222"/>
      <c r="M693" s="51"/>
      <c r="N693" s="52"/>
      <c r="O693" s="25"/>
      <c r="P693" s="25"/>
    </row>
    <row r="694" spans="1:16" ht="30" customHeight="1">
      <c r="A694" s="61"/>
      <c r="B694" s="62"/>
      <c r="C694" s="63"/>
      <c r="D694" s="1219" t="s">
        <v>11032</v>
      </c>
      <c r="E694" s="65"/>
      <c r="F694" s="66">
        <v>2</v>
      </c>
      <c r="G694" s="66"/>
      <c r="H694" s="1220"/>
      <c r="I694" s="66"/>
      <c r="J694" s="66"/>
      <c r="K694" s="66"/>
      <c r="L694" s="1222"/>
      <c r="M694" s="51"/>
      <c r="N694" s="52"/>
      <c r="O694" s="25"/>
      <c r="P694" s="25"/>
    </row>
    <row r="695" spans="1:16" ht="30" customHeight="1">
      <c r="A695" s="61"/>
      <c r="B695" s="62"/>
      <c r="C695" s="63"/>
      <c r="D695" s="1219" t="s">
        <v>10853</v>
      </c>
      <c r="E695" s="65"/>
      <c r="F695" s="66">
        <v>2</v>
      </c>
      <c r="G695" s="66"/>
      <c r="H695" s="1220"/>
      <c r="I695" s="66"/>
      <c r="J695" s="66"/>
      <c r="K695" s="66"/>
      <c r="L695" s="1222"/>
      <c r="M695" s="51"/>
      <c r="N695" s="52"/>
      <c r="O695" s="25"/>
      <c r="P695" s="25"/>
    </row>
    <row r="696" spans="1:16" ht="30" customHeight="1">
      <c r="A696" s="61"/>
      <c r="B696" s="62"/>
      <c r="C696" s="63"/>
      <c r="D696" s="1219" t="s">
        <v>11033</v>
      </c>
      <c r="E696" s="65"/>
      <c r="F696" s="66">
        <v>1</v>
      </c>
      <c r="G696" s="66"/>
      <c r="H696" s="1220"/>
      <c r="I696" s="66"/>
      <c r="J696" s="66"/>
      <c r="K696" s="66"/>
      <c r="L696" s="1222"/>
      <c r="M696" s="51"/>
      <c r="N696" s="52"/>
      <c r="O696" s="25"/>
      <c r="P696" s="25"/>
    </row>
    <row r="697" spans="1:16" ht="30" customHeight="1">
      <c r="A697" s="61"/>
      <c r="B697" s="62"/>
      <c r="C697" s="63"/>
      <c r="D697" s="1219"/>
      <c r="E697" s="65"/>
      <c r="F697" s="88"/>
      <c r="G697" s="66"/>
      <c r="H697" s="1220"/>
      <c r="I697" s="66"/>
      <c r="J697" s="66"/>
      <c r="K697" s="66"/>
      <c r="L697" s="1222"/>
      <c r="M697" s="51"/>
      <c r="N697" s="52"/>
      <c r="O697" s="25"/>
      <c r="P697" s="25"/>
    </row>
    <row r="698" spans="1:16" ht="30" customHeight="1">
      <c r="A698" s="61" t="s">
        <v>273</v>
      </c>
      <c r="B698" s="62" t="s">
        <v>26</v>
      </c>
      <c r="C698" s="63" t="s">
        <v>274</v>
      </c>
      <c r="D698" s="1219" t="str">
        <f>IFERROR(UPPER(IF(B698="CPU",VLOOKUP(C698,#REF!,2,0),IF(B698="SINAPI",VLOOKUP(C698,#REF!,2,0),IF(B698="EDIF",VLOOKUP(C698,#REF!,2,0),IF(B698="CDHU",VLOOKUP(C698,#REF!,2,0),IF(B698="FDE",VLOOKUP(C698,'FDE 10-23 '!$A$4:$E$3180,2,0),IF(B698="INFRA",VLOOKUP(C698,#REF!,2,0),""))))))),"")</f>
        <v>ME-02 MONTANTE ESTRUTURAL VERTICAL P/ESQUADRIAS EM VÃO DE 7,20M</v>
      </c>
      <c r="E698" s="65" t="str">
        <f>VLOOKUP(C698,'FDE 10-23 '!$A$4:$E$3180,3,0)</f>
        <v>M</v>
      </c>
      <c r="F698" s="1112">
        <v>114.8</v>
      </c>
      <c r="G698" s="66"/>
      <c r="H698" s="1220"/>
      <c r="I698" s="66"/>
      <c r="J698" s="66"/>
      <c r="K698" s="66"/>
      <c r="L698" s="1222"/>
      <c r="M698" s="51"/>
      <c r="N698" s="52"/>
      <c r="O698" s="25"/>
      <c r="P698" s="25"/>
    </row>
    <row r="699" spans="1:16" ht="30" customHeight="1">
      <c r="A699" s="61"/>
      <c r="B699" s="62"/>
      <c r="C699" s="63"/>
      <c r="D699" s="1219" t="s">
        <v>11017</v>
      </c>
      <c r="E699" s="65"/>
      <c r="F699" s="88"/>
      <c r="G699" s="66"/>
      <c r="H699" s="1220"/>
      <c r="I699" s="66"/>
      <c r="J699" s="66"/>
      <c r="K699" s="66"/>
      <c r="L699" s="1222"/>
      <c r="M699" s="51"/>
      <c r="N699" s="52"/>
      <c r="O699" s="25"/>
      <c r="P699" s="25"/>
    </row>
    <row r="700" spans="1:16" ht="30" customHeight="1">
      <c r="A700" s="61"/>
      <c r="B700" s="62"/>
      <c r="C700" s="63"/>
      <c r="D700" s="1219"/>
      <c r="E700" s="65"/>
      <c r="F700" s="88"/>
      <c r="G700" s="66"/>
      <c r="H700" s="1220"/>
      <c r="I700" s="66"/>
      <c r="J700" s="66"/>
      <c r="K700" s="66"/>
      <c r="L700" s="1222"/>
      <c r="M700" s="51"/>
      <c r="N700" s="52"/>
      <c r="O700" s="25"/>
      <c r="P700" s="25"/>
    </row>
    <row r="701" spans="1:16" ht="30" customHeight="1">
      <c r="A701" s="53" t="s">
        <v>275</v>
      </c>
      <c r="B701" s="54"/>
      <c r="C701" s="54" t="s">
        <v>276</v>
      </c>
      <c r="D701" s="1216" t="s">
        <v>277</v>
      </c>
      <c r="E701" s="56" t="str">
        <f>IFERROR(UPPER(IF(B701="CPU",VLOOKUP(C701,#REF!,3,0),IF(B701="SINAPI",VLOOKUP(C701,#REF!,3,0),IF(B701="EDIF",VLOOKUP(C701,#REF!,3,0),IF(B701="CDHU",VLOOKUP(C701,#REF!,3,0),IF(B701="FDE",VLOOKUP(C701,#REF!,3,0),IF(B701="INFRA",VLOOKUP(C701,#REF!,3,0),""))))))),"")</f>
        <v/>
      </c>
      <c r="F701" s="1232"/>
      <c r="G701" s="57"/>
      <c r="H701" s="1217"/>
      <c r="I701" s="1217"/>
      <c r="J701" s="1217"/>
      <c r="K701" s="1217"/>
      <c r="L701" s="1218"/>
      <c r="M701" s="51"/>
      <c r="N701" s="52"/>
      <c r="O701" s="25"/>
      <c r="P701" s="25"/>
    </row>
    <row r="702" spans="1:16" ht="30" customHeight="1">
      <c r="A702" s="61" t="s">
        <v>278</v>
      </c>
      <c r="B702" s="62" t="s">
        <v>26</v>
      </c>
      <c r="C702" s="63" t="s">
        <v>279</v>
      </c>
      <c r="D702" s="1219" t="str">
        <f>IFERROR(UPPER(IF(B702="CPU",VLOOKUP(C702,#REF!,2,0),IF(B702="SINAPI",VLOOKUP(C702,#REF!,2,0),IF(B702="EDIF",VLOOKUP(C702,#REF!,2,0),IF(B702="CDHU",VLOOKUP(C702,#REF!,2,0),IF(B702="FDE",VLOOKUP(C702,'FDE 10-23 '!$A$4:$E$3180,2,0),IF(B702="INFRA",VLOOKUP(C702,#REF!,2,0),""))))))),"")</f>
        <v>TI-01 TAMPA DE INSPECAO - ACO</v>
      </c>
      <c r="E702" s="65" t="str">
        <f>VLOOKUP(C702,'FDE 10-23 '!$A$4:$E$3180,3,0)</f>
        <v>UN</v>
      </c>
      <c r="F702" s="1112">
        <v>3</v>
      </c>
      <c r="G702" s="66"/>
      <c r="H702" s="1220"/>
      <c r="I702" s="66"/>
      <c r="J702" s="66"/>
      <c r="K702" s="66"/>
      <c r="L702" s="1222"/>
      <c r="M702" s="51"/>
      <c r="N702" s="52"/>
      <c r="O702" s="25"/>
      <c r="P702" s="25"/>
    </row>
    <row r="703" spans="1:16" ht="30" customHeight="1">
      <c r="A703" s="61" t="s">
        <v>280</v>
      </c>
      <c r="B703" s="62" t="s">
        <v>26</v>
      </c>
      <c r="C703" s="63" t="s">
        <v>281</v>
      </c>
      <c r="D703" s="1219" t="str">
        <f>IFERROR(UPPER(IF(B703="CPU",VLOOKUP(C703,#REF!,2,0),IF(B703="SINAPI",VLOOKUP(C703,#REF!,2,0),IF(B703="EDIF",VLOOKUP(C703,#REF!,2,0),IF(B703="CDHU",VLOOKUP(C703,#REF!,2,0),IF(B703="FDE",VLOOKUP(C703,'FDE 10-23 '!$A$4:$E$3180,2,0),IF(B703="INFRA",VLOOKUP(C703,#REF!,2,0),""))))))),"")</f>
        <v>BP-02 BARRA ANTIPANICO DUPLA</v>
      </c>
      <c r="E703" s="65" t="str">
        <f>VLOOKUP(C703,'FDE 10-23 '!$A$4:$E$3180,3,0)</f>
        <v>UN</v>
      </c>
      <c r="F703" s="1112">
        <v>2</v>
      </c>
      <c r="G703" s="66"/>
      <c r="H703" s="1220"/>
      <c r="I703" s="66"/>
      <c r="J703" s="66"/>
      <c r="K703" s="66"/>
      <c r="L703" s="1222"/>
      <c r="M703" s="51"/>
      <c r="N703" s="52"/>
      <c r="O703" s="25"/>
      <c r="P703" s="25"/>
    </row>
    <row r="704" spans="1:16" ht="30" customHeight="1">
      <c r="A704" s="61" t="s">
        <v>282</v>
      </c>
      <c r="B704" s="62" t="s">
        <v>26</v>
      </c>
      <c r="C704" s="63" t="s">
        <v>283</v>
      </c>
      <c r="D704" s="1219" t="str">
        <f>IFERROR(UPPER(IF(B704="CPU",VLOOKUP(C704,#REF!,2,0),IF(B704="SINAPI",VLOOKUP(C704,#REF!,2,0),IF(B704="EDIF",VLOOKUP(C704,#REF!,2,0),IF(B704="CDHU",VLOOKUP(C704,#REF!,2,0),IF(B704="FDE",VLOOKUP(C704,'FDE 10-23 '!$A$4:$E$3180,2,0),IF(B704="INFRA",VLOOKUP(C704,#REF!,2,0),""))))))),"")</f>
        <v>TP-03 TELA DE PROTEÇÃO ARAME GALVANIZADO ONDULADO  - REQUADRO DE FERRO</v>
      </c>
      <c r="E704" s="65" t="str">
        <f>VLOOKUP(C704,'FDE 10-23 '!$A$4:$E$3180,3,0)</f>
        <v>M2</v>
      </c>
      <c r="F704" s="1112">
        <v>13.85</v>
      </c>
      <c r="G704" s="66"/>
      <c r="H704" s="1220"/>
      <c r="I704" s="66"/>
      <c r="J704" s="66"/>
      <c r="K704" s="66"/>
      <c r="L704" s="1222"/>
      <c r="M704" s="51"/>
      <c r="N704" s="52"/>
      <c r="O704" s="25"/>
      <c r="P704" s="25"/>
    </row>
    <row r="705" spans="1:16" ht="30" customHeight="1">
      <c r="A705" s="61" t="s">
        <v>284</v>
      </c>
      <c r="B705" s="62" t="s">
        <v>26</v>
      </c>
      <c r="C705" s="63" t="s">
        <v>285</v>
      </c>
      <c r="D705" s="1219" t="str">
        <f>IFERROR(UPPER(IF(B705="CPU",VLOOKUP(C705,#REF!,2,0),IF(B705="SINAPI",VLOOKUP(C705,#REF!,2,0),IF(B705="EDIF",VLOOKUP(C705,#REF!,2,0),IF(B705="CDHU",VLOOKUP(C705,#REF!,2,0),IF(B705="FDE",VLOOKUP(C705,'FDE 10-23 '!$A$4:$E$3180,2,0),IF(B705="INFRA",VLOOKUP(C705,#REF!,2,0),""))))))),"")</f>
        <v>EM-05 ESCADA MARINHEIRO (GALVANIZADA)</v>
      </c>
      <c r="E705" s="65" t="str">
        <f>VLOOKUP(C705,'FDE 10-23 '!$A$4:$E$3180,3,0)</f>
        <v>M</v>
      </c>
      <c r="F705" s="1112">
        <v>8</v>
      </c>
      <c r="G705" s="66"/>
      <c r="H705" s="1220"/>
      <c r="I705" s="66"/>
      <c r="J705" s="66"/>
      <c r="K705" s="66"/>
      <c r="L705" s="1222"/>
      <c r="M705" s="51"/>
      <c r="N705" s="52"/>
      <c r="O705" s="25"/>
      <c r="P705" s="25"/>
    </row>
    <row r="706" spans="1:16" ht="30" customHeight="1">
      <c r="A706" s="61" t="s">
        <v>286</v>
      </c>
      <c r="B706" s="62" t="s">
        <v>26</v>
      </c>
      <c r="C706" s="63" t="s">
        <v>287</v>
      </c>
      <c r="D706" s="1219" t="str">
        <f>IFERROR(UPPER(IF(B706="CPU",VLOOKUP(C706,#REF!,2,0),IF(B706="SINAPI",VLOOKUP(C706,#REF!,2,0),IF(B706="EDIF",VLOOKUP(C706,#REF!,2,0),IF(B706="CDHU",VLOOKUP(C706,#REF!,2,0),IF(B706="FDE",VLOOKUP(C706,'FDE 10-23 '!$A$4:$E$3180,2,0),IF(B706="INFRA",VLOOKUP(C706,#REF!,2,0),""))))))),"")</f>
        <v>EM-06 ESCADA DE MARINHEIRO C/GUARDA CORPO GALVANIZADA</v>
      </c>
      <c r="E706" s="65" t="str">
        <f>VLOOKUP(C706,'FDE 10-23 '!$A$4:$E$3180,3,0)</f>
        <v>M</v>
      </c>
      <c r="F706" s="1112">
        <v>18</v>
      </c>
      <c r="G706" s="66"/>
      <c r="H706" s="1220"/>
      <c r="I706" s="66"/>
      <c r="J706" s="66"/>
      <c r="K706" s="66"/>
      <c r="L706" s="1222"/>
      <c r="M706" s="51"/>
      <c r="N706" s="52"/>
      <c r="O706" s="25"/>
      <c r="P706" s="25"/>
    </row>
    <row r="707" spans="1:16" ht="30" customHeight="1">
      <c r="A707" s="61" t="s">
        <v>288</v>
      </c>
      <c r="B707" s="62" t="s">
        <v>26</v>
      </c>
      <c r="C707" s="63" t="s">
        <v>289</v>
      </c>
      <c r="D707" s="1219" t="str">
        <f>IFERROR(UPPER(IF(B707="CPU",VLOOKUP(C707,#REF!,2,0),IF(B707="SINAPI",VLOOKUP(C707,#REF!,2,0),IF(B707="EDIF",VLOOKUP(C707,#REF!,2,0),IF(B707="CDHU",VLOOKUP(C707,#REF!,2,0),IF(B707="FDE",VLOOKUP(C707,'FDE 10-23 '!$A$4:$E$3180,2,0),IF(B707="INFRA",VLOOKUP(C707,#REF!,2,0),""))))))),"")</f>
        <v>TP-12 TELA DE PROTECAO REMOVIVEL</v>
      </c>
      <c r="E707" s="65" t="str">
        <f>VLOOKUP(C707,'FDE 10-23 '!$A$4:$E$3180,3,0)</f>
        <v>M2</v>
      </c>
      <c r="F707" s="1112">
        <v>86.86</v>
      </c>
      <c r="G707" s="66"/>
      <c r="H707" s="1220"/>
      <c r="I707" s="66"/>
      <c r="J707" s="66"/>
      <c r="K707" s="66"/>
      <c r="L707" s="1222"/>
      <c r="M707" s="51"/>
      <c r="N707" s="52"/>
      <c r="O707" s="25"/>
      <c r="P707" s="25"/>
    </row>
    <row r="708" spans="1:16" ht="30" customHeight="1">
      <c r="A708" s="61" t="s">
        <v>290</v>
      </c>
      <c r="B708" s="62" t="s">
        <v>26</v>
      </c>
      <c r="C708" s="63" t="s">
        <v>291</v>
      </c>
      <c r="D708" s="1219" t="str">
        <f>IFERROR(UPPER(IF(B708="CPU",VLOOKUP(C708,#REF!,2,0),IF(B708="SINAPI",VLOOKUP(C708,#REF!,2,0),IF(B708="EDIF",VLOOKUP(C708,#REF!,2,0),IF(B708="CDHU",VLOOKUP(C708,#REF!,2,0),IF(B708="FDE",VLOOKUP(C708,'FDE 10-23 '!$A$4:$E$3180,2,0),IF(B708="INFRA",VLOOKUP(C708,#REF!,2,0),""))))))),"")</f>
        <v>CO-34 CORRIMÃO DUPLO AÇO GALVANIZADO COM PINTURA ESMALTE.</v>
      </c>
      <c r="E708" s="65" t="str">
        <f>VLOOKUP(C708,'FDE 10-23 '!$A$4:$E$3180,3,0)</f>
        <v>M</v>
      </c>
      <c r="F708" s="1112">
        <v>157.69999999999999</v>
      </c>
      <c r="G708" s="66"/>
      <c r="H708" s="1220"/>
      <c r="I708" s="66"/>
      <c r="J708" s="66"/>
      <c r="K708" s="66"/>
      <c r="L708" s="1222"/>
      <c r="M708" s="51"/>
      <c r="N708" s="52"/>
      <c r="O708" s="25"/>
      <c r="P708" s="25"/>
    </row>
    <row r="709" spans="1:16" ht="30" customHeight="1">
      <c r="A709" s="61" t="s">
        <v>292</v>
      </c>
      <c r="B709" s="62" t="s">
        <v>26</v>
      </c>
      <c r="C709" s="63" t="s">
        <v>293</v>
      </c>
      <c r="D709" s="1219" t="str">
        <f>IFERROR(UPPER(IF(B709="CPU",VLOOKUP(C709,#REF!,2,0),IF(B709="SINAPI",VLOOKUP(C709,#REF!,2,0),IF(B709="EDIF",VLOOKUP(C709,#REF!,2,0),IF(B709="CDHU",VLOOKUP(C709,#REF!,2,0),IF(B709="FDE",VLOOKUP(C709,'FDE 10-23 '!$A$4:$E$3180,2,0),IF(B709="INFRA",VLOOKUP(C709,#REF!,2,0),""))))))),"")</f>
        <v>CO-40 GUARDA-CORPO TUBULAR H=15CM SOBRE ALVENARIA AÇO GALVANIZADO COM PINTURA ESMALTE</v>
      </c>
      <c r="E709" s="65" t="str">
        <f>VLOOKUP(C709,'FDE 10-23 '!$A$4:$E$3180,3,0)</f>
        <v>M</v>
      </c>
      <c r="F709" s="1112">
        <v>79.099999999999994</v>
      </c>
      <c r="G709" s="66"/>
      <c r="H709" s="1220"/>
      <c r="I709" s="66"/>
      <c r="J709" s="66"/>
      <c r="K709" s="66"/>
      <c r="L709" s="1222"/>
      <c r="M709" s="51"/>
      <c r="N709" s="52"/>
      <c r="O709" s="25"/>
      <c r="P709" s="25"/>
    </row>
    <row r="710" spans="1:16" ht="30" customHeight="1">
      <c r="A710" s="61"/>
      <c r="B710" s="62"/>
      <c r="C710" s="63"/>
      <c r="D710" s="1219" t="s">
        <v>11017</v>
      </c>
      <c r="E710" s="65"/>
      <c r="F710" s="88"/>
      <c r="G710" s="66"/>
      <c r="H710" s="1220"/>
      <c r="I710" s="66"/>
      <c r="J710" s="66"/>
      <c r="K710" s="66"/>
      <c r="L710" s="1222"/>
      <c r="M710" s="51"/>
      <c r="N710" s="52"/>
      <c r="O710" s="25"/>
      <c r="P710" s="25"/>
    </row>
    <row r="711" spans="1:16" ht="30" customHeight="1">
      <c r="A711" s="43">
        <v>7</v>
      </c>
      <c r="B711" s="44"/>
      <c r="C711" s="44" t="s">
        <v>294</v>
      </c>
      <c r="D711" s="1213" t="s">
        <v>295</v>
      </c>
      <c r="E711" s="46" t="str">
        <f>IFERROR(UPPER(IF(B711="CPU",VLOOKUP(C711,#REF!,3,0),IF(B711="SINAPI",VLOOKUP(C711,#REF!,3,0),IF(B711="EDIF",VLOOKUP(C711,#REF!,3,0),IF(B711="CDHU",VLOOKUP(C711,#REF!,3,0),IF(B711="FDE",VLOOKUP(C711,#REF!,3,0),IF(B711="INFRA",VLOOKUP(C711,#REF!,3,0),""))))))),"")</f>
        <v/>
      </c>
      <c r="F711" s="1233"/>
      <c r="G711" s="47"/>
      <c r="H711" s="1214"/>
      <c r="I711" s="1214"/>
      <c r="J711" s="1214"/>
      <c r="K711" s="1214"/>
      <c r="L711" s="1215"/>
      <c r="M711" s="51"/>
      <c r="N711" s="52"/>
      <c r="O711" s="25"/>
      <c r="P711" s="25"/>
    </row>
    <row r="712" spans="1:16" ht="30" customHeight="1">
      <c r="A712" s="53" t="s">
        <v>296</v>
      </c>
      <c r="B712" s="54"/>
      <c r="C712" s="54" t="s">
        <v>297</v>
      </c>
      <c r="D712" s="1216" t="s">
        <v>298</v>
      </c>
      <c r="E712" s="56" t="str">
        <f>IFERROR(UPPER(IF(B712="CPU",VLOOKUP(C712,#REF!,3,0),IF(B712="SINAPI",VLOOKUP(C712,#REF!,3,0),IF(B712="EDIF",VLOOKUP(C712,#REF!,3,0),IF(B712="CDHU",VLOOKUP(C712,#REF!,3,0),IF(B712="FDE",VLOOKUP(C712,#REF!,3,0),IF(B712="INFRA",VLOOKUP(C712,#REF!,3,0),""))))))),"")</f>
        <v/>
      </c>
      <c r="F712" s="1232"/>
      <c r="G712" s="57"/>
      <c r="H712" s="1217"/>
      <c r="I712" s="1217"/>
      <c r="J712" s="1217"/>
      <c r="K712" s="1217"/>
      <c r="L712" s="1218"/>
      <c r="M712" s="51"/>
      <c r="N712" s="52"/>
      <c r="O712" s="25"/>
      <c r="P712" s="25"/>
    </row>
    <row r="713" spans="1:16" ht="30" customHeight="1">
      <c r="A713" s="61" t="s">
        <v>299</v>
      </c>
      <c r="B713" s="62" t="s">
        <v>26</v>
      </c>
      <c r="C713" s="63" t="s">
        <v>300</v>
      </c>
      <c r="D713" s="1219" t="str">
        <f>IFERROR(UPPER(IF(B713="CPU",VLOOKUP(C713,#REF!,2,0),IF(B713="SINAPI",VLOOKUP(C713,#REF!,2,0),IF(B713="EDIF",VLOOKUP(C713,#REF!,2,0),IF(B713="CDHU",VLOOKUP(C713,#REF!,2,0),IF(B713="FDE",VLOOKUP(C713,'FDE 10-23 '!$A$4:$E$3180,2,0),IF(B713="INFRA",VLOOKUP(C713,#REF!,2,0),""))))))),"")</f>
        <v>FORNECIMENTO E MONTAGEM DE ESTRUTURA METALICA COM AÇO NAO PATINAVE (ASTM A36/A570)</v>
      </c>
      <c r="E713" s="65" t="str">
        <f>VLOOKUP(C713,'FDE 10-23 '!$A$4:$E$3180,3,0)</f>
        <v>KG</v>
      </c>
      <c r="F713" s="1112">
        <v>29802</v>
      </c>
      <c r="G713" s="66"/>
      <c r="H713" s="1220"/>
      <c r="I713" s="66"/>
      <c r="J713" s="66"/>
      <c r="K713" s="66"/>
      <c r="L713" s="1222"/>
      <c r="M713" s="51"/>
      <c r="N713" s="52"/>
      <c r="O713" s="25"/>
      <c r="P713" s="25"/>
    </row>
    <row r="714" spans="1:16" ht="30" customHeight="1">
      <c r="A714" s="61"/>
      <c r="B714" s="62"/>
      <c r="C714" s="63"/>
      <c r="D714" s="1219" t="s">
        <v>11034</v>
      </c>
      <c r="E714" s="65"/>
      <c r="F714" s="66">
        <f>7245.7+724.7</f>
        <v>7970.4</v>
      </c>
      <c r="G714" s="66"/>
      <c r="H714" s="1220"/>
      <c r="I714" s="66"/>
      <c r="J714" s="66"/>
      <c r="K714" s="66"/>
      <c r="L714" s="1222"/>
      <c r="M714" s="51"/>
      <c r="N714" s="52"/>
      <c r="O714" s="25"/>
      <c r="P714" s="25"/>
    </row>
    <row r="715" spans="1:16" ht="30" customHeight="1">
      <c r="A715" s="61"/>
      <c r="B715" s="62"/>
      <c r="C715" s="63"/>
      <c r="D715" s="1219" t="s">
        <v>11035</v>
      </c>
      <c r="E715" s="65"/>
      <c r="F715" s="66">
        <f>2535.1+88.6</f>
        <v>2623.7</v>
      </c>
      <c r="G715" s="66"/>
      <c r="H715" s="1220"/>
      <c r="I715" s="66"/>
      <c r="J715" s="66"/>
      <c r="K715" s="66"/>
      <c r="L715" s="1222"/>
      <c r="M715" s="51"/>
      <c r="N715" s="52"/>
      <c r="O715" s="25"/>
      <c r="P715" s="25"/>
    </row>
    <row r="716" spans="1:16" ht="30" customHeight="1">
      <c r="A716" s="61"/>
      <c r="B716" s="62"/>
      <c r="C716" s="63"/>
      <c r="D716" s="1219" t="s">
        <v>11036</v>
      </c>
      <c r="E716" s="65"/>
      <c r="F716" s="66" t="s">
        <v>11037</v>
      </c>
      <c r="G716" s="66"/>
      <c r="H716" s="1220"/>
      <c r="I716" s="66"/>
      <c r="J716" s="66"/>
      <c r="K716" s="66"/>
      <c r="L716" s="1222"/>
      <c r="M716" s="51"/>
      <c r="N716" s="52"/>
      <c r="O716" s="25"/>
      <c r="P716" s="25"/>
    </row>
    <row r="717" spans="1:16" ht="30" customHeight="1">
      <c r="A717" s="61"/>
      <c r="B717" s="62"/>
      <c r="C717" s="63"/>
      <c r="D717" s="1219"/>
      <c r="E717" s="65"/>
      <c r="F717" s="88"/>
      <c r="G717" s="66"/>
      <c r="H717" s="1220"/>
      <c r="I717" s="66"/>
      <c r="J717" s="66"/>
      <c r="K717" s="66"/>
      <c r="L717" s="1222"/>
      <c r="M717" s="51"/>
      <c r="N717" s="52"/>
      <c r="O717" s="25"/>
      <c r="P717" s="25"/>
    </row>
    <row r="718" spans="1:16" ht="30" customHeight="1">
      <c r="A718" s="61"/>
      <c r="B718" s="62"/>
      <c r="C718" s="63"/>
      <c r="D718" s="1219"/>
      <c r="E718" s="65"/>
      <c r="F718" s="88"/>
      <c r="G718" s="66"/>
      <c r="H718" s="1220"/>
      <c r="I718" s="66"/>
      <c r="J718" s="66"/>
      <c r="K718" s="66"/>
      <c r="L718" s="1222"/>
      <c r="M718" s="51"/>
      <c r="N718" s="52"/>
      <c r="O718" s="25"/>
      <c r="P718" s="25"/>
    </row>
    <row r="719" spans="1:16" ht="30" customHeight="1">
      <c r="A719" s="53" t="s">
        <v>301</v>
      </c>
      <c r="B719" s="54"/>
      <c r="C719" s="54" t="s">
        <v>302</v>
      </c>
      <c r="D719" s="1216" t="s">
        <v>295</v>
      </c>
      <c r="E719" s="56" t="str">
        <f>IFERROR(UPPER(IF(B719="CPU",VLOOKUP(C719,#REF!,3,0),IF(B719="SINAPI",VLOOKUP(C719,#REF!,3,0),IF(B719="EDIF",VLOOKUP(C719,#REF!,3,0),IF(B719="CDHU",VLOOKUP(C719,#REF!,3,0),IF(B719="FDE",VLOOKUP(C719,#REF!,3,0),IF(B719="INFRA",VLOOKUP(C719,#REF!,3,0),""))))))),"")</f>
        <v/>
      </c>
      <c r="F719" s="1232"/>
      <c r="G719" s="57"/>
      <c r="H719" s="1217"/>
      <c r="I719" s="1217"/>
      <c r="J719" s="1217"/>
      <c r="K719" s="1217"/>
      <c r="L719" s="1218"/>
      <c r="M719" s="51"/>
      <c r="N719" s="52"/>
      <c r="O719" s="25"/>
      <c r="P719" s="25"/>
    </row>
    <row r="720" spans="1:16" ht="30" customHeight="1">
      <c r="A720" s="61" t="s">
        <v>303</v>
      </c>
      <c r="B720" s="62" t="s">
        <v>26</v>
      </c>
      <c r="C720" s="63" t="s">
        <v>304</v>
      </c>
      <c r="D720" s="1219" t="str">
        <f>IFERROR(UPPER(IF(B720="CPU",VLOOKUP(C720,#REF!,2,0),IF(B720="SINAPI",VLOOKUP(C720,#REF!,2,0),IF(B720="EDIF",VLOOKUP(C720,#REF!,2,0),IF(B720="CDHU",VLOOKUP(C720,#REF!,2,0),IF(B720="FDE",VLOOKUP(C720,'FDE 10-23 '!$A$4:$E$3180,2,0),IF(B720="INFRA",VLOOKUP(C720,#REF!,2,0),""))))))),"")</f>
        <v>TELHA DE POLIESTER (PERFIL DA TRAPEZOIDAL ACO H ATE 40MM) - E=1,2MM</v>
      </c>
      <c r="E720" s="65" t="str">
        <f>VLOOKUP(C720,'FDE 10-23 '!$A$4:$E$3180,3,0)</f>
        <v>M2</v>
      </c>
      <c r="F720" s="1112">
        <v>111.73</v>
      </c>
      <c r="G720" s="66"/>
      <c r="H720" s="1220"/>
      <c r="I720" s="66"/>
      <c r="J720" s="66"/>
      <c r="K720" s="66"/>
      <c r="L720" s="1222"/>
      <c r="M720" s="51"/>
      <c r="N720" s="52"/>
      <c r="O720" s="25"/>
      <c r="P720" s="25"/>
    </row>
    <row r="721" spans="1:16" ht="30" customHeight="1">
      <c r="A721" s="61" t="s">
        <v>305</v>
      </c>
      <c r="B721" s="62" t="s">
        <v>26</v>
      </c>
      <c r="C721" s="63" t="s">
        <v>306</v>
      </c>
      <c r="D721" s="1219" t="str">
        <f>IFERROR(UPPER(IF(B721="CPU",VLOOKUP(C721,#REF!,2,0),IF(B721="SINAPI",VLOOKUP(C721,#REF!,2,0),IF(B721="EDIF",VLOOKUP(C721,#REF!,2,0),IF(B721="CDHU",VLOOKUP(C721,#REF!,2,0),IF(B721="FDE",VLOOKUP(C721,'FDE 10-23 '!$A$4:$E$3180,2,0),IF(B721="INFRA",VLOOKUP(C721,#REF!,2,0),""))))))),"")</f>
        <v>TELHA GALVALUME / ACO GALV ACABAMENTO.NATURAL TRAPEZ H=40MM
.E=0,65MM</v>
      </c>
      <c r="E721" s="65" t="str">
        <f>VLOOKUP(C721,'FDE 10-23 '!$A$4:$E$3180,3,0)</f>
        <v>M2</v>
      </c>
      <c r="F721" s="1112">
        <v>1496.6</v>
      </c>
      <c r="G721" s="66"/>
      <c r="H721" s="1220"/>
      <c r="I721" s="66"/>
      <c r="J721" s="66"/>
      <c r="K721" s="66"/>
      <c r="L721" s="1222"/>
      <c r="M721" s="51"/>
      <c r="N721" s="52"/>
      <c r="O721" s="25"/>
      <c r="P721" s="25"/>
    </row>
    <row r="722" spans="1:16" ht="30" customHeight="1">
      <c r="A722" s="61" t="s">
        <v>307</v>
      </c>
      <c r="B722" s="62" t="s">
        <v>26</v>
      </c>
      <c r="C722" s="63" t="s">
        <v>308</v>
      </c>
      <c r="D722" s="1219" t="str">
        <f>IFERROR(UPPER(IF(B722="CPU",VLOOKUP(C722,#REF!,2,0),IF(B722="SINAPI",VLOOKUP(C722,#REF!,2,0),IF(B722="EDIF",VLOOKUP(C722,#REF!,2,0),IF(B722="CDHU",VLOOKUP(C722,#REF!,2,0),IF(B722="FDE",VLOOKUP(C722,'FDE 10-23 '!$A$4:$E$3180,2,0),IF(B722="INFRA",VLOOKUP(C722,#REF!,2,0),""))))))),"")</f>
        <v>TELHA GALVALUME / ACO GALV SANDUICHE  E=50MM (PUR) / (PIR) SUPERIOR TRAPEZ H=40MM / INFERIOR PLANO  E= 0,50MM  COM PINT FACES APARENTES</v>
      </c>
      <c r="E722" s="65" t="str">
        <f>VLOOKUP(C722,'FDE 10-23 '!$A$4:$E$3180,3,0)</f>
        <v>M2</v>
      </c>
      <c r="F722" s="1112">
        <v>607.82000000000005</v>
      </c>
      <c r="G722" s="66"/>
      <c r="H722" s="1220"/>
      <c r="I722" s="66"/>
      <c r="J722" s="66"/>
      <c r="K722" s="66"/>
      <c r="L722" s="1222"/>
      <c r="M722" s="51"/>
      <c r="N722" s="52"/>
      <c r="O722" s="25"/>
      <c r="P722" s="25"/>
    </row>
    <row r="723" spans="1:16" ht="30" customHeight="1">
      <c r="A723" s="53" t="s">
        <v>309</v>
      </c>
      <c r="B723" s="54"/>
      <c r="C723" s="54" t="s">
        <v>310</v>
      </c>
      <c r="D723" s="1216" t="s">
        <v>311</v>
      </c>
      <c r="E723" s="56" t="str">
        <f>IFERROR(UPPER(IF(B723="CPU",VLOOKUP(C723,#REF!,3,0),IF(B723="SINAPI",VLOOKUP(C723,#REF!,3,0),IF(B723="EDIF",VLOOKUP(C723,#REF!,3,0),IF(B723="CDHU",VLOOKUP(C723,#REF!,3,0),IF(B723="FDE",VLOOKUP(C723,#REF!,3,0),IF(B723="INFRA",VLOOKUP(C723,#REF!,3,0),""))))))),"")</f>
        <v/>
      </c>
      <c r="F723" s="1232"/>
      <c r="G723" s="57"/>
      <c r="H723" s="1217"/>
      <c r="I723" s="1217"/>
      <c r="J723" s="1217"/>
      <c r="K723" s="1217"/>
      <c r="L723" s="1218"/>
      <c r="M723" s="51"/>
      <c r="N723" s="52"/>
      <c r="O723" s="25"/>
      <c r="P723" s="25"/>
    </row>
    <row r="724" spans="1:16" ht="30" customHeight="1">
      <c r="A724" s="61" t="s">
        <v>312</v>
      </c>
      <c r="B724" s="62" t="s">
        <v>26</v>
      </c>
      <c r="C724" s="63" t="s">
        <v>313</v>
      </c>
      <c r="D724" s="1219" t="str">
        <f>IFERROR(UPPER(IF(B724="CPU",VLOOKUP(C724,#REF!,2,0),IF(B724="SINAPI",VLOOKUP(C724,#REF!,2,0),IF(B724="EDIF",VLOOKUP(C724,#REF!,2,0),IF(B724="CDHU",VLOOKUP(C724,#REF!,2,0),IF(B724="FDE",VLOOKUP(C724,'FDE 10-23 '!$A$4:$E$3180,2,0),IF(B724="INFRA",VLOOKUP(C724,#REF!,2,0),""))))))),"")</f>
        <v>CUMEEIRA ACO GALV PINT PO/COIL-COATING PERFIL TRAPEZ H=100MM  E=0,65MM</v>
      </c>
      <c r="E724" s="65" t="str">
        <f>VLOOKUP(C724,'FDE 10-23 '!$A$4:$E$3180,3,0)</f>
        <v>M</v>
      </c>
      <c r="F724" s="1112">
        <v>28.8</v>
      </c>
      <c r="G724" s="66"/>
      <c r="H724" s="1220"/>
      <c r="I724" s="66"/>
      <c r="J724" s="66"/>
      <c r="K724" s="66"/>
      <c r="L724" s="1222"/>
      <c r="M724" s="51"/>
      <c r="N724" s="52"/>
      <c r="O724" s="25"/>
      <c r="P724" s="25"/>
    </row>
    <row r="725" spans="1:16" ht="30" customHeight="1">
      <c r="A725" s="61" t="s">
        <v>314</v>
      </c>
      <c r="B725" s="62" t="s">
        <v>26</v>
      </c>
      <c r="C725" s="63" t="s">
        <v>315</v>
      </c>
      <c r="D725" s="1219" t="str">
        <f>IFERROR(UPPER(IF(B725="CPU",VLOOKUP(C725,#REF!,2,0),IF(B725="SINAPI",VLOOKUP(C725,#REF!,2,0),IF(B725="EDIF",VLOOKUP(C725,#REF!,2,0),IF(B725="CDHU",VLOOKUP(C725,#REF!,2,0),IF(B725="FDE",VLOOKUP(C725,'FDE 10-23 '!$A$4:$E$3180,2,0),IF(B725="INFRA",VLOOKUP(C725,#REF!,2,0),""))))))),"")</f>
        <v>CUMEEIRA DE ACO GALV NATURAL PERFIL TRAP E=0,5MM H=100MM</v>
      </c>
      <c r="E725" s="65" t="str">
        <f>VLOOKUP(C725,'FDE 10-23 '!$A$4:$E$3180,3,0)</f>
        <v>M</v>
      </c>
      <c r="F725" s="1112">
        <v>64.8</v>
      </c>
      <c r="G725" s="66"/>
      <c r="H725" s="1220"/>
      <c r="I725" s="66"/>
      <c r="J725" s="66"/>
      <c r="K725" s="66"/>
      <c r="L725" s="1222"/>
      <c r="M725" s="51"/>
      <c r="N725" s="52"/>
      <c r="O725" s="25"/>
      <c r="P725" s="25"/>
    </row>
    <row r="726" spans="1:16" ht="30" customHeight="1">
      <c r="A726" s="53" t="s">
        <v>316</v>
      </c>
      <c r="B726" s="54"/>
      <c r="C726" s="54" t="s">
        <v>317</v>
      </c>
      <c r="D726" s="1216" t="s">
        <v>318</v>
      </c>
      <c r="E726" s="56" t="str">
        <f>IFERROR(UPPER(IF(B726="CPU",VLOOKUP(C726,#REF!,3,0),IF(B726="SINAPI",VLOOKUP(C726,#REF!,3,0),IF(B726="EDIF",VLOOKUP(C726,#REF!,3,0),IF(B726="CDHU",VLOOKUP(C726,#REF!,3,0),IF(B726="FDE",VLOOKUP(C726,#REF!,3,0),IF(B726="INFRA",VLOOKUP(C726,#REF!,3,0),""))))))),"")</f>
        <v/>
      </c>
      <c r="F726" s="1232"/>
      <c r="G726" s="57"/>
      <c r="H726" s="1217"/>
      <c r="I726" s="1217"/>
      <c r="J726" s="1217"/>
      <c r="K726" s="1217"/>
      <c r="L726" s="1218"/>
      <c r="M726" s="51"/>
      <c r="N726" s="52"/>
      <c r="O726" s="25"/>
      <c r="P726" s="25"/>
    </row>
    <row r="727" spans="1:16" ht="30" customHeight="1">
      <c r="A727" s="61" t="s">
        <v>319</v>
      </c>
      <c r="B727" s="62" t="s">
        <v>26</v>
      </c>
      <c r="C727" s="63" t="s">
        <v>320</v>
      </c>
      <c r="D727" s="1219" t="str">
        <f>IFERROR(UPPER(IF(B727="CPU",VLOOKUP(C727,#REF!,2,0),IF(B727="SINAPI",VLOOKUP(C727,#REF!,2,0),IF(B727="EDIF",VLOOKUP(C727,#REF!,2,0),IF(B727="CDHU",VLOOKUP(C727,#REF!,2,0),IF(B727="FDE",VLOOKUP(C727,'FDE 10-23 '!$A$4:$E$3180,2,0),IF(B727="INFRA",VLOOKUP(C727,#REF!,2,0),""))))))),"")</f>
        <v>FECHAMENTO TELHA PERF GALVALUME / ACO GALV
TRAPEZ H=40MM E=0,65MM PINT PO 2 FACES  Ø FURO ATE 3,17MM AREA PERFURADA ATÉ 40%</v>
      </c>
      <c r="E727" s="65" t="str">
        <f>VLOOKUP(C727,'FDE 10-23 '!$A$4:$E$3180,3,0)</f>
        <v>M2</v>
      </c>
      <c r="F727" s="1112">
        <v>368.2</v>
      </c>
      <c r="G727" s="66"/>
      <c r="H727" s="1220"/>
      <c r="I727" s="66"/>
      <c r="J727" s="66"/>
      <c r="K727" s="66"/>
      <c r="L727" s="1222"/>
      <c r="M727" s="51"/>
      <c r="N727" s="52"/>
      <c r="O727" s="25"/>
      <c r="P727" s="25"/>
    </row>
    <row r="728" spans="1:16" ht="30" customHeight="1">
      <c r="A728" s="61" t="s">
        <v>321</v>
      </c>
      <c r="B728" s="62" t="s">
        <v>26</v>
      </c>
      <c r="C728" s="63" t="s">
        <v>322</v>
      </c>
      <c r="D728" s="1219" t="str">
        <f>IFERROR(UPPER(IF(B728="CPU",VLOOKUP(C728,#REF!,2,0),IF(B728="SINAPI",VLOOKUP(C728,#REF!,2,0),IF(B728="EDIF",VLOOKUP(C728,#REF!,2,0),IF(B728="CDHU",VLOOKUP(C728,#REF!,2,0),IF(B728="FDE",VLOOKUP(C728,'FDE 10-23 '!$A$4:$E$3180,2,0),IF(B728="INFRA",VLOOKUP(C728,#REF!,2,0),""))))))),"")</f>
        <v>FECHAMENTO TELHA PERF GALVALUME / ACO GALV TRAPEZ H=35MM E=0,65MM PINT PO 2 FACES  Ø FURO ATE 3,17MM AREA PERFURADA ATÉ 40%</v>
      </c>
      <c r="E728" s="65" t="str">
        <f>VLOOKUP(C728,'FDE 10-23 '!$A$4:$E$3180,3,0)</f>
        <v>M2</v>
      </c>
      <c r="F728" s="1112">
        <v>221.34</v>
      </c>
      <c r="G728" s="66"/>
      <c r="H728" s="1220"/>
      <c r="I728" s="66"/>
      <c r="J728" s="66"/>
      <c r="K728" s="66"/>
      <c r="L728" s="1222"/>
      <c r="M728" s="51"/>
      <c r="N728" s="52"/>
      <c r="O728" s="25"/>
      <c r="P728" s="25"/>
    </row>
    <row r="729" spans="1:16" ht="30" customHeight="1">
      <c r="A729" s="43">
        <v>8</v>
      </c>
      <c r="B729" s="44"/>
      <c r="C729" s="44" t="s">
        <v>323</v>
      </c>
      <c r="D729" s="1213" t="s">
        <v>324</v>
      </c>
      <c r="E729" s="46" t="str">
        <f>IFERROR(UPPER(IF(B729="CPU",VLOOKUP(C729,#REF!,3,0),IF(B729="SINAPI",VLOOKUP(C729,#REF!,3,0),IF(B729="EDIF",VLOOKUP(C729,#REF!,3,0),IF(B729="CDHU",VLOOKUP(C729,#REF!,3,0),IF(B729="FDE",VLOOKUP(C729,#REF!,3,0),IF(B729="INFRA",VLOOKUP(C729,#REF!,3,0),""))))))),"")</f>
        <v/>
      </c>
      <c r="F729" s="1233"/>
      <c r="G729" s="47"/>
      <c r="H729" s="1214"/>
      <c r="I729" s="1214"/>
      <c r="J729" s="1214"/>
      <c r="K729" s="1214"/>
      <c r="L729" s="1215"/>
      <c r="M729" s="51"/>
      <c r="N729" s="52"/>
      <c r="O729" s="25"/>
      <c r="P729" s="25"/>
    </row>
    <row r="730" spans="1:16" ht="30" customHeight="1">
      <c r="A730" s="53" t="s">
        <v>325</v>
      </c>
      <c r="B730" s="54"/>
      <c r="C730" s="54" t="s">
        <v>326</v>
      </c>
      <c r="D730" s="1216" t="s">
        <v>327</v>
      </c>
      <c r="E730" s="56" t="str">
        <f>IFERROR(UPPER(IF(B730="CPU",VLOOKUP(C730,#REF!,3,0),IF(B730="SINAPI",VLOOKUP(C730,#REF!,3,0),IF(B730="EDIF",VLOOKUP(C730,#REF!,3,0),IF(B730="CDHU",VLOOKUP(C730,#REF!,3,0),IF(B730="FDE",VLOOKUP(C730,#REF!,3,0),IF(B730="INFRA",VLOOKUP(C730,#REF!,3,0),""))))))),"")</f>
        <v/>
      </c>
      <c r="F730" s="1232"/>
      <c r="G730" s="57"/>
      <c r="H730" s="1217"/>
      <c r="I730" s="1217"/>
      <c r="J730" s="1217"/>
      <c r="K730" s="1217"/>
      <c r="L730" s="1218"/>
      <c r="M730" s="51"/>
      <c r="N730" s="52"/>
      <c r="O730" s="25"/>
      <c r="P730" s="25"/>
    </row>
    <row r="731" spans="1:16" ht="30" customHeight="1">
      <c r="A731" s="61" t="s">
        <v>328</v>
      </c>
      <c r="B731" s="62" t="s">
        <v>26</v>
      </c>
      <c r="C731" s="63" t="s">
        <v>329</v>
      </c>
      <c r="D731" s="1219" t="str">
        <f>IFERROR(UPPER(IF(B731="CPU",VLOOKUP(C731,#REF!,2,0),IF(B731="SINAPI",VLOOKUP(C731,#REF!,2,0),IF(B731="EDIF",VLOOKUP(C731,#REF!,2,0),IF(B731="CDHU",VLOOKUP(C731,#REF!,2,0),IF(B731="FDE",VLOOKUP(C731,'FDE 10-23 '!$A$4:$E$3180,2,0),IF(B731="INFRA",VLOOKUP(C731,#REF!,2,0),""))))))),"")</f>
        <v>AC-05 ABRIGO E CAVALETE DE 1" COMPLETO 85X65X30CM</v>
      </c>
      <c r="E731" s="65" t="str">
        <f>VLOOKUP(C731,'FDE 10-23 '!$A$4:$E$3180,3,0)</f>
        <v>UN</v>
      </c>
      <c r="F731" s="1112">
        <v>1</v>
      </c>
      <c r="G731" s="66"/>
      <c r="H731" s="1220"/>
      <c r="I731" s="66"/>
      <c r="J731" s="66"/>
      <c r="K731" s="66"/>
      <c r="L731" s="1222"/>
      <c r="M731" s="51"/>
      <c r="N731" s="52"/>
      <c r="O731" s="25"/>
      <c r="P731" s="25"/>
    </row>
    <row r="732" spans="1:16" ht="30" customHeight="1">
      <c r="A732" s="53" t="s">
        <v>330</v>
      </c>
      <c r="B732" s="54"/>
      <c r="C732" s="54" t="s">
        <v>331</v>
      </c>
      <c r="D732" s="1216" t="s">
        <v>332</v>
      </c>
      <c r="E732" s="56" t="str">
        <f>IFERROR(UPPER(IF(B732="CPU",VLOOKUP(C732,#REF!,3,0),IF(B732="SINAPI",VLOOKUP(C732,#REF!,3,0),IF(B732="EDIF",VLOOKUP(C732,#REF!,3,0),IF(B732="CDHU",VLOOKUP(C732,#REF!,3,0),IF(B732="FDE",VLOOKUP(C732,#REF!,3,0),IF(B732="INFRA",VLOOKUP(C732,#REF!,3,0),""))))))),"")</f>
        <v/>
      </c>
      <c r="F732" s="1232"/>
      <c r="G732" s="57"/>
      <c r="H732" s="1217"/>
      <c r="I732" s="1217"/>
      <c r="J732" s="1217"/>
      <c r="K732" s="1217"/>
      <c r="L732" s="1218"/>
      <c r="M732" s="51"/>
      <c r="N732" s="52"/>
      <c r="O732" s="25"/>
      <c r="P732" s="25"/>
    </row>
    <row r="733" spans="1:16" ht="30" customHeight="1">
      <c r="A733" s="61" t="s">
        <v>333</v>
      </c>
      <c r="B733" s="62" t="s">
        <v>26</v>
      </c>
      <c r="C733" s="63" t="s">
        <v>334</v>
      </c>
      <c r="D733" s="1219" t="str">
        <f>IFERROR(UPPER(IF(B733="CPU",VLOOKUP(C733,#REF!,2,0),IF(B733="SINAPI",VLOOKUP(C733,#REF!,2,0),IF(B733="EDIF",VLOOKUP(C733,#REF!,2,0),IF(B733="CDHU",VLOOKUP(C733,#REF!,2,0),IF(B733="FDE",VLOOKUP(C733,'FDE 10-23 '!$A$4:$E$3180,2,0),IF(B733="INFRA",VLOOKUP(C733,#REF!,2,0),""))))))),"")</f>
        <v>AG-06 ABRIGO PARA GAS COM 6 CILINDROS DE 45 KG</v>
      </c>
      <c r="E733" s="65" t="str">
        <f>VLOOKUP(C733,'FDE 10-23 '!$A$4:$E$3180,3,0)</f>
        <v>UN</v>
      </c>
      <c r="F733" s="1112">
        <f>1-0.126</f>
        <v>0.874</v>
      </c>
      <c r="G733" s="66"/>
      <c r="H733" s="1220"/>
      <c r="I733" s="66"/>
      <c r="J733" s="66"/>
      <c r="K733" s="66"/>
      <c r="L733" s="1229" t="s">
        <v>11038</v>
      </c>
      <c r="M733" s="51"/>
      <c r="N733" s="52"/>
      <c r="O733" s="25"/>
      <c r="P733" s="25"/>
    </row>
    <row r="734" spans="1:16" ht="30" customHeight="1">
      <c r="A734" s="61" t="s">
        <v>335</v>
      </c>
      <c r="B734" s="62" t="s">
        <v>26</v>
      </c>
      <c r="C734" s="63" t="s">
        <v>336</v>
      </c>
      <c r="D734" s="1219" t="str">
        <f>IFERROR(UPPER(IF(B734="CPU",VLOOKUP(C734,#REF!,2,0),IF(B734="SINAPI",VLOOKUP(C734,#REF!,2,0),IF(B734="EDIF",VLOOKUP(C734,#REF!,2,0),IF(B734="CDHU",VLOOKUP(C734,#REF!,2,0),IF(B734="FDE",VLOOKUP(C734,'FDE 10-23 '!$A$4:$E$3180,2,0),IF(B734="INFRA",VLOOKUP(C734,#REF!,2,0),""))))))),"")</f>
        <v>PROTECAO ANTICORROSIVA PARA RAMAIS SOB A TERRA</v>
      </c>
      <c r="E734" s="65" t="str">
        <f>VLOOKUP(C734,'FDE 10-23 '!$A$4:$E$3180,3,0)</f>
        <v>M</v>
      </c>
      <c r="F734" s="1112">
        <v>76</v>
      </c>
      <c r="G734" s="66"/>
      <c r="H734" s="1220"/>
      <c r="I734" s="66"/>
      <c r="J734" s="66"/>
      <c r="K734" s="66"/>
      <c r="L734" s="1222"/>
      <c r="M734" s="51"/>
      <c r="N734" s="52"/>
      <c r="O734" s="25"/>
      <c r="P734" s="25"/>
    </row>
    <row r="735" spans="1:16" ht="30" customHeight="1">
      <c r="A735" s="61" t="s">
        <v>337</v>
      </c>
      <c r="B735" s="62" t="s">
        <v>26</v>
      </c>
      <c r="C735" s="63" t="s">
        <v>338</v>
      </c>
      <c r="D735" s="1219" t="str">
        <f>IFERROR(UPPER(IF(B735="CPU",VLOOKUP(C735,#REF!,2,0),IF(B735="SINAPI",VLOOKUP(C735,#REF!,2,0),IF(B735="EDIF",VLOOKUP(C735,#REF!,2,0),IF(B735="CDHU",VLOOKUP(C735,#REF!,2,0),IF(B735="FDE",VLOOKUP(C735,'FDE 10-23 '!$A$4:$E$3180,2,0),IF(B735="INFRA",VLOOKUP(C735,#REF!,2,0),""))))))),"")</f>
        <v>VG-01 VALVULA E REGULADOR DE PRESSAO DE GAS</v>
      </c>
      <c r="E735" s="65" t="str">
        <f>VLOOKUP(C735,'FDE 10-23 '!$A$4:$E$3180,3,0)</f>
        <v>UN</v>
      </c>
      <c r="F735" s="1112">
        <v>1</v>
      </c>
      <c r="G735" s="66"/>
      <c r="H735" s="1220"/>
      <c r="I735" s="66"/>
      <c r="J735" s="66"/>
      <c r="K735" s="66"/>
      <c r="L735" s="1222"/>
      <c r="M735" s="51"/>
      <c r="N735" s="52"/>
      <c r="O735" s="25"/>
      <c r="P735" s="25"/>
    </row>
    <row r="736" spans="1:16" ht="30" customHeight="1">
      <c r="A736" s="61" t="s">
        <v>339</v>
      </c>
      <c r="B736" s="62" t="s">
        <v>26</v>
      </c>
      <c r="C736" s="63" t="s">
        <v>340</v>
      </c>
      <c r="D736" s="1219" t="str">
        <f>IFERROR(UPPER(IF(B736="CPU",VLOOKUP(C736,#REF!,2,0),IF(B736="SINAPI",VLOOKUP(C736,#REF!,2,0),IF(B736="EDIF",VLOOKUP(C736,#REF!,2,0),IF(B736="CDHU",VLOOKUP(C736,#REF!,2,0),IF(B736="FDE",VLOOKUP(C736,'FDE 10-23 '!$A$4:$E$3180,2,0),IF(B736="INFRA",VLOOKUP(C736,#REF!,2,0),""))))))),"")</f>
        <v>TUBO ACO GALV NBR5590-CLASSE PESADA DN 25MM (1") INCL CONEXOES</v>
      </c>
      <c r="E736" s="65" t="str">
        <f>VLOOKUP(C736,'FDE 10-23 '!$A$4:$E$3180,3,0)</f>
        <v>M</v>
      </c>
      <c r="F736" s="1112">
        <v>76</v>
      </c>
      <c r="G736" s="66"/>
      <c r="H736" s="1220"/>
      <c r="I736" s="66"/>
      <c r="J736" s="66"/>
      <c r="K736" s="66"/>
      <c r="L736" s="1222"/>
      <c r="M736" s="51"/>
      <c r="N736" s="52"/>
      <c r="O736" s="25"/>
      <c r="P736" s="25"/>
    </row>
    <row r="737" spans="1:16" ht="30" customHeight="1">
      <c r="A737" s="61"/>
      <c r="B737" s="62"/>
      <c r="C737" s="63"/>
      <c r="D737" s="1219" t="s">
        <v>11039</v>
      </c>
      <c r="E737" s="65"/>
      <c r="F737" s="88"/>
      <c r="G737" s="66"/>
      <c r="H737" s="1220"/>
      <c r="I737" s="66"/>
      <c r="J737" s="66"/>
      <c r="K737" s="66"/>
      <c r="L737" s="1222"/>
      <c r="M737" s="51"/>
      <c r="N737" s="52"/>
      <c r="O737" s="25"/>
      <c r="P737" s="25"/>
    </row>
    <row r="738" spans="1:16" ht="30" customHeight="1">
      <c r="A738" s="53" t="s">
        <v>341</v>
      </c>
      <c r="B738" s="54"/>
      <c r="C738" s="54" t="s">
        <v>342</v>
      </c>
      <c r="D738" s="1216" t="s">
        <v>343</v>
      </c>
      <c r="E738" s="56" t="str">
        <f>IFERROR(UPPER(IF(B738="CPU",VLOOKUP(C738,#REF!,3,0),IF(B738="SINAPI",VLOOKUP(C738,#REF!,3,0),IF(B738="EDIF",VLOOKUP(C738,#REF!,3,0),IF(B738="CDHU",VLOOKUP(C738,#REF!,3,0),IF(B738="FDE",VLOOKUP(C738,#REF!,3,0),IF(B738="INFRA",VLOOKUP(C738,#REF!,3,0),""))))))),"")</f>
        <v/>
      </c>
      <c r="F738" s="1232"/>
      <c r="G738" s="57"/>
      <c r="H738" s="1217"/>
      <c r="I738" s="1217"/>
      <c r="J738" s="1217"/>
      <c r="K738" s="1217"/>
      <c r="L738" s="1218"/>
      <c r="M738" s="51"/>
      <c r="N738" s="52"/>
      <c r="O738" s="25"/>
      <c r="P738" s="25"/>
    </row>
    <row r="739" spans="1:16" ht="30" customHeight="1">
      <c r="A739" s="61" t="s">
        <v>344</v>
      </c>
      <c r="B739" s="62" t="s">
        <v>26</v>
      </c>
      <c r="C739" s="63" t="s">
        <v>345</v>
      </c>
      <c r="D739" s="1219" t="str">
        <f>IFERROR(UPPER(IF(B739="CPU",VLOOKUP(C739,#REF!,2,0),IF(B739="SINAPI",VLOOKUP(C739,#REF!,2,0),IF(B739="EDIF",VLOOKUP(C739,#REF!,2,0),IF(B739="CDHU",VLOOKUP(C739,#REF!,2,0),IF(B739="FDE",VLOOKUP(C739,'FDE 10-23 '!$A$4:$E$3180,2,0),IF(B739="INFRA",VLOOKUP(C739,#REF!,2,0),""))))))),"")</f>
        <v>TUBO ACO GALVANIZ NBR5580-CL MEDIA, DN20MM (3/4") - INCL CONEXOES</v>
      </c>
      <c r="E739" s="65" t="str">
        <f>VLOOKUP(C739,'FDE 10-23 '!$A$4:$E$3180,3,0)</f>
        <v>M</v>
      </c>
      <c r="F739" s="1112">
        <v>20</v>
      </c>
      <c r="G739" s="66"/>
      <c r="H739" s="1220"/>
      <c r="I739" s="66"/>
      <c r="J739" s="66"/>
      <c r="K739" s="66"/>
      <c r="L739" s="1222"/>
      <c r="M739" s="51"/>
      <c r="N739" s="52"/>
      <c r="O739" s="25"/>
      <c r="P739" s="25"/>
    </row>
    <row r="740" spans="1:16" ht="30" customHeight="1">
      <c r="A740" s="61" t="s">
        <v>346</v>
      </c>
      <c r="B740" s="62" t="s">
        <v>26</v>
      </c>
      <c r="C740" s="63" t="s">
        <v>347</v>
      </c>
      <c r="D740" s="1219" t="str">
        <f>IFERROR(UPPER(IF(B740="CPU",VLOOKUP(C740,#REF!,2,0),IF(B740="SINAPI",VLOOKUP(C740,#REF!,2,0),IF(B740="EDIF",VLOOKUP(C740,#REF!,2,0),IF(B740="CDHU",VLOOKUP(C740,#REF!,2,0),IF(B740="FDE",VLOOKUP(C740,'FDE 10-23 '!$A$4:$E$3180,2,0),IF(B740="INFRA",VLOOKUP(C740,#REF!,2,0),""))))))),"")</f>
        <v>TUBO ACO GALVANIZ NBR5580-CL MEDIA, DN25MM (1") - INCL. CONEXOES</v>
      </c>
      <c r="E740" s="65" t="str">
        <f>VLOOKUP(C740,'FDE 10-23 '!$A$4:$E$3180,3,0)</f>
        <v>M</v>
      </c>
      <c r="F740" s="1112">
        <v>5.2</v>
      </c>
      <c r="G740" s="66"/>
      <c r="H740" s="1220"/>
      <c r="I740" s="66"/>
      <c r="J740" s="66"/>
      <c r="K740" s="66"/>
      <c r="L740" s="1222"/>
      <c r="M740" s="51"/>
      <c r="N740" s="52"/>
      <c r="O740" s="25"/>
      <c r="P740" s="25"/>
    </row>
    <row r="741" spans="1:16" ht="30" customHeight="1">
      <c r="A741" s="61" t="s">
        <v>348</v>
      </c>
      <c r="B741" s="62" t="s">
        <v>26</v>
      </c>
      <c r="C741" s="63" t="s">
        <v>349</v>
      </c>
      <c r="D741" s="1219" t="str">
        <f>IFERROR(UPPER(IF(B741="CPU",VLOOKUP(C741,#REF!,2,0),IF(B741="SINAPI",VLOOKUP(C741,#REF!,2,0),IF(B741="EDIF",VLOOKUP(C741,#REF!,2,0),IF(B741="CDHU",VLOOKUP(C741,#REF!,2,0),IF(B741="FDE",VLOOKUP(C741,'FDE 10-23 '!$A$4:$E$3180,2,0),IF(B741="INFRA",VLOOKUP(C741,#REF!,2,0),""))))))),"")</f>
        <v>TUBO PVC RÍGIDO JUNTA SOLDÁVEL DE 25 INCL CONEXÕES</v>
      </c>
      <c r="E741" s="65" t="str">
        <f>VLOOKUP(C741,'FDE 10-23 '!$A$4:$E$3180,3,0)</f>
        <v>M</v>
      </c>
      <c r="F741" s="1112">
        <v>220.5</v>
      </c>
      <c r="G741" s="66"/>
      <c r="H741" s="1220"/>
      <c r="I741" s="66"/>
      <c r="J741" s="66"/>
      <c r="K741" s="66"/>
      <c r="L741" s="1222"/>
      <c r="M741" s="51"/>
      <c r="N741" s="52"/>
      <c r="O741" s="25"/>
      <c r="P741" s="25"/>
    </row>
    <row r="742" spans="1:16" ht="30" customHeight="1">
      <c r="A742" s="61" t="s">
        <v>350</v>
      </c>
      <c r="B742" s="62" t="s">
        <v>26</v>
      </c>
      <c r="C742" s="63" t="s">
        <v>351</v>
      </c>
      <c r="D742" s="1219" t="str">
        <f>IFERROR(UPPER(IF(B742="CPU",VLOOKUP(C742,#REF!,2,0),IF(B742="SINAPI",VLOOKUP(C742,#REF!,2,0),IF(B742="EDIF",VLOOKUP(C742,#REF!,2,0),IF(B742="CDHU",VLOOKUP(C742,#REF!,2,0),IF(B742="FDE",VLOOKUP(C742,'FDE 10-23 '!$A$4:$E$3180,2,0),IF(B742="INFRA",VLOOKUP(C742,#REF!,2,0),""))))))),"")</f>
        <v>TUBO PVC RÍGIDO JUNTA SOLDÁVEL DE 32 INCL CONEXÕES</v>
      </c>
      <c r="E742" s="65" t="str">
        <f>VLOOKUP(C742,'FDE 10-23 '!$A$4:$E$3180,3,0)</f>
        <v>M</v>
      </c>
      <c r="F742" s="1112">
        <v>116.5</v>
      </c>
      <c r="G742" s="66"/>
      <c r="H742" s="1220"/>
      <c r="I742" s="66"/>
      <c r="J742" s="66"/>
      <c r="K742" s="66"/>
      <c r="L742" s="1222"/>
      <c r="M742" s="51"/>
      <c r="N742" s="52"/>
      <c r="O742" s="25"/>
      <c r="P742" s="25"/>
    </row>
    <row r="743" spans="1:16" ht="30" customHeight="1">
      <c r="A743" s="61" t="s">
        <v>352</v>
      </c>
      <c r="B743" s="62" t="s">
        <v>26</v>
      </c>
      <c r="C743" s="63" t="s">
        <v>353</v>
      </c>
      <c r="D743" s="1219" t="str">
        <f>IFERROR(UPPER(IF(B743="CPU",VLOOKUP(C743,#REF!,2,0),IF(B743="SINAPI",VLOOKUP(C743,#REF!,2,0),IF(B743="EDIF",VLOOKUP(C743,#REF!,2,0),IF(B743="CDHU",VLOOKUP(C743,#REF!,2,0),IF(B743="FDE",VLOOKUP(C743,'FDE 10-23 '!$A$4:$E$3180,2,0),IF(B743="INFRA",VLOOKUP(C743,#REF!,2,0),""))))))),"")</f>
        <v>TUBO PVC RÍGIDO JUNTA SOLDÁVEL DE 40 INCL CONEXÕES</v>
      </c>
      <c r="E743" s="65" t="str">
        <f>VLOOKUP(C743,'FDE 10-23 '!$A$4:$E$3180,3,0)</f>
        <v>M</v>
      </c>
      <c r="F743" s="1112">
        <v>44</v>
      </c>
      <c r="G743" s="66"/>
      <c r="H743" s="1220"/>
      <c r="I743" s="66"/>
      <c r="J743" s="66"/>
      <c r="K743" s="66"/>
      <c r="L743" s="1222"/>
      <c r="M743" s="51"/>
      <c r="N743" s="52"/>
      <c r="O743" s="25"/>
      <c r="P743" s="25"/>
    </row>
    <row r="744" spans="1:16" ht="30" customHeight="1">
      <c r="A744" s="61" t="s">
        <v>354</v>
      </c>
      <c r="B744" s="62" t="s">
        <v>26</v>
      </c>
      <c r="C744" s="63" t="s">
        <v>355</v>
      </c>
      <c r="D744" s="1219" t="str">
        <f>IFERROR(UPPER(IF(B744="CPU",VLOOKUP(C744,#REF!,2,0),IF(B744="SINAPI",VLOOKUP(C744,#REF!,2,0),IF(B744="EDIF",VLOOKUP(C744,#REF!,2,0),IF(B744="CDHU",VLOOKUP(C744,#REF!,2,0),IF(B744="FDE",VLOOKUP(C744,'FDE 10-23 '!$A$4:$E$3180,2,0),IF(B744="INFRA",VLOOKUP(C744,#REF!,2,0),""))))))),"")</f>
        <v>TUBO PVC RÍGIDO JUNTA SOLDÁVEL DE 50 INCL CONEXÕES</v>
      </c>
      <c r="E744" s="65" t="str">
        <f>VLOOKUP(C744,'FDE 10-23 '!$A$4:$E$3180,3,0)</f>
        <v>M</v>
      </c>
      <c r="F744" s="1112">
        <v>79.5</v>
      </c>
      <c r="G744" s="66"/>
      <c r="H744" s="1220"/>
      <c r="I744" s="66"/>
      <c r="J744" s="66"/>
      <c r="K744" s="66"/>
      <c r="L744" s="1222"/>
      <c r="M744" s="51"/>
      <c r="N744" s="52"/>
      <c r="O744" s="25"/>
      <c r="P744" s="25"/>
    </row>
    <row r="745" spans="1:16" ht="30" customHeight="1">
      <c r="A745" s="61" t="s">
        <v>356</v>
      </c>
      <c r="B745" s="62" t="s">
        <v>26</v>
      </c>
      <c r="C745" s="63" t="s">
        <v>357</v>
      </c>
      <c r="D745" s="1219" t="str">
        <f>IFERROR(UPPER(IF(B745="CPU",VLOOKUP(C745,#REF!,2,0),IF(B745="SINAPI",VLOOKUP(C745,#REF!,2,0),IF(B745="EDIF",VLOOKUP(C745,#REF!,2,0),IF(B745="CDHU",VLOOKUP(C745,#REF!,2,0),IF(B745="FDE",VLOOKUP(C745,'FDE 10-23 '!$A$4:$E$3180,2,0),IF(B745="INFRA",VLOOKUP(C745,#REF!,2,0),""))))))),"")</f>
        <v>TUBO PVC RÍGIDO JUNTA SOLDÁVEL DE 60 INCL CONEXÕES</v>
      </c>
      <c r="E745" s="65" t="str">
        <f>VLOOKUP(C745,'FDE 10-23 '!$A$4:$E$3180,3,0)</f>
        <v>M</v>
      </c>
      <c r="F745" s="1112">
        <v>84.5</v>
      </c>
      <c r="G745" s="66"/>
      <c r="H745" s="1220"/>
      <c r="I745" s="66"/>
      <c r="J745" s="66"/>
      <c r="K745" s="66"/>
      <c r="L745" s="1222"/>
      <c r="M745" s="51"/>
      <c r="N745" s="52"/>
      <c r="O745" s="25"/>
      <c r="P745" s="25"/>
    </row>
    <row r="746" spans="1:16" ht="30" customHeight="1">
      <c r="A746" s="61" t="s">
        <v>358</v>
      </c>
      <c r="B746" s="62" t="s">
        <v>26</v>
      </c>
      <c r="C746" s="63" t="s">
        <v>359</v>
      </c>
      <c r="D746" s="1219" t="str">
        <f>IFERROR(UPPER(IF(B746="CPU",VLOOKUP(C746,#REF!,2,0),IF(B746="SINAPI",VLOOKUP(C746,#REF!,2,0),IF(B746="EDIF",VLOOKUP(C746,#REF!,2,0),IF(B746="CDHU",VLOOKUP(C746,#REF!,2,0),IF(B746="FDE",VLOOKUP(C746,'FDE 10-23 '!$A$4:$E$3180,2,0),IF(B746="INFRA",VLOOKUP(C746,#REF!,2,0),""))))))),"")</f>
        <v>TUBO PVC RÍGIDO JUNTA SOLDÁVEL DE 75 INCL CONEXÕES</v>
      </c>
      <c r="E746" s="65" t="str">
        <f>VLOOKUP(C746,'FDE 10-23 '!$A$4:$E$3180,3,0)</f>
        <v>M</v>
      </c>
      <c r="F746" s="1112">
        <v>42.5</v>
      </c>
      <c r="G746" s="66"/>
      <c r="H746" s="1220"/>
      <c r="I746" s="66"/>
      <c r="J746" s="66"/>
      <c r="K746" s="66"/>
      <c r="L746" s="1222"/>
      <c r="M746" s="51"/>
      <c r="N746" s="52"/>
      <c r="O746" s="25"/>
      <c r="P746" s="25"/>
    </row>
    <row r="747" spans="1:16" ht="30" customHeight="1">
      <c r="A747" s="61" t="s">
        <v>360</v>
      </c>
      <c r="B747" s="62" t="s">
        <v>26</v>
      </c>
      <c r="C747" s="63" t="s">
        <v>361</v>
      </c>
      <c r="D747" s="1219" t="str">
        <f>IFERROR(UPPER(IF(B747="CPU",VLOOKUP(C747,#REF!,2,0),IF(B747="SINAPI",VLOOKUP(C747,#REF!,2,0),IF(B747="EDIF",VLOOKUP(C747,#REF!,2,0),IF(B747="CDHU",VLOOKUP(C747,#REF!,2,0),IF(B747="FDE",VLOOKUP(C747,'FDE 10-23 '!$A$4:$E$3180,2,0),IF(B747="INFRA",VLOOKUP(C747,#REF!,2,0),""))))))),"")</f>
        <v>TUBO PVC RÍGIDO JUNTA SOLDÁVEL DE 85 INCL CONEXÕES</v>
      </c>
      <c r="E747" s="65" t="str">
        <f>VLOOKUP(C747,'FDE 10-23 '!$A$4:$E$3180,3,0)</f>
        <v>M</v>
      </c>
      <c r="F747" s="1112">
        <v>37</v>
      </c>
      <c r="G747" s="66"/>
      <c r="H747" s="1220"/>
      <c r="I747" s="66"/>
      <c r="J747" s="66"/>
      <c r="K747" s="66"/>
      <c r="L747" s="1222"/>
      <c r="M747" s="51"/>
      <c r="N747" s="52"/>
      <c r="O747" s="25"/>
      <c r="P747" s="25"/>
    </row>
    <row r="748" spans="1:16" ht="30" customHeight="1">
      <c r="A748" s="61" t="s">
        <v>362</v>
      </c>
      <c r="B748" s="62" t="s">
        <v>26</v>
      </c>
      <c r="C748" s="63" t="s">
        <v>363</v>
      </c>
      <c r="D748" s="1219" t="str">
        <f>IFERROR(UPPER(IF(B748="CPU",VLOOKUP(C748,#REF!,2,0),IF(B748="SINAPI",VLOOKUP(C748,#REF!,2,0),IF(B748="EDIF",VLOOKUP(C748,#REF!,2,0),IF(B748="CDHU",VLOOKUP(C748,#REF!,2,0),IF(B748="FDE",VLOOKUP(C748,'FDE 10-23 '!$A$4:$E$3180,2,0),IF(B748="INFRA",VLOOKUP(C748,#REF!,2,0),""))))))),"")</f>
        <v>SERVICOS EM REDE DE AGUA FRIA</v>
      </c>
      <c r="E748" s="65" t="str">
        <f>VLOOKUP(C748,'FDE 10-23 '!$A$4:$E$3180,3,0)</f>
        <v>MV</v>
      </c>
      <c r="F748" s="1112">
        <v>14.19</v>
      </c>
      <c r="G748" s="66"/>
      <c r="H748" s="1220"/>
      <c r="I748" s="66"/>
      <c r="J748" s="66"/>
      <c r="K748" s="66"/>
      <c r="L748" s="1222"/>
      <c r="M748" s="51"/>
      <c r="N748" s="52"/>
      <c r="O748" s="25"/>
      <c r="P748" s="25"/>
    </row>
    <row r="749" spans="1:16" ht="30" customHeight="1">
      <c r="A749" s="53" t="s">
        <v>364</v>
      </c>
      <c r="B749" s="54"/>
      <c r="C749" s="54" t="s">
        <v>365</v>
      </c>
      <c r="D749" s="1216" t="s">
        <v>366</v>
      </c>
      <c r="E749" s="56" t="str">
        <f>IFERROR(UPPER(IF(B749="CPU",VLOOKUP(C749,#REF!,3,0),IF(B749="SINAPI",VLOOKUP(C749,#REF!,3,0),IF(B749="EDIF",VLOOKUP(C749,#REF!,3,0),IF(B749="CDHU",VLOOKUP(C749,#REF!,3,0),IF(B749="FDE",VLOOKUP(C749,#REF!,3,0),IF(B749="INFRA",VLOOKUP(C749,#REF!,3,0),""))))))),"")</f>
        <v/>
      </c>
      <c r="F749" s="1234"/>
      <c r="G749" s="57"/>
      <c r="H749" s="1217"/>
      <c r="I749" s="1217"/>
      <c r="J749" s="1217"/>
      <c r="K749" s="1217"/>
      <c r="L749" s="1218"/>
      <c r="M749" s="51"/>
      <c r="N749" s="52"/>
      <c r="O749" s="25"/>
      <c r="P749" s="25"/>
    </row>
    <row r="750" spans="1:16" ht="30" customHeight="1">
      <c r="A750" s="61" t="s">
        <v>367</v>
      </c>
      <c r="B750" s="62" t="s">
        <v>26</v>
      </c>
      <c r="C750" s="63" t="s">
        <v>368</v>
      </c>
      <c r="D750" s="1219" t="str">
        <f>IFERROR(UPPER(IF(B750="CPU",VLOOKUP(C750,#REF!,2,0),IF(B750="SINAPI",VLOOKUP(C750,#REF!,2,0),IF(B750="EDIF",VLOOKUP(C750,#REF!,2,0),IF(B750="CDHU",VLOOKUP(C750,#REF!,2,0),IF(B750="FDE",VLOOKUP(C750,'FDE 10-23 '!$A$4:$E$3180,2,0),IF(B750="INFRA",VLOOKUP(C750,#REF!,2,0),""))))))),"")</f>
        <v>REGISTRO DE GAVETA BRUTO DN 40MM 1 1/2"</v>
      </c>
      <c r="E750" s="65" t="str">
        <f>VLOOKUP(C750,'FDE 10-23 '!$A$4:$E$3180,3,0)</f>
        <v>UN</v>
      </c>
      <c r="F750" s="1112">
        <v>7</v>
      </c>
      <c r="G750" s="66"/>
      <c r="H750" s="1220"/>
      <c r="I750" s="66"/>
      <c r="J750" s="66"/>
      <c r="K750" s="66"/>
      <c r="L750" s="1222"/>
      <c r="M750" s="51"/>
      <c r="N750" s="52"/>
      <c r="O750" s="25"/>
      <c r="P750" s="25"/>
    </row>
    <row r="751" spans="1:16" ht="30" customHeight="1">
      <c r="A751" s="61" t="s">
        <v>369</v>
      </c>
      <c r="B751" s="62" t="s">
        <v>26</v>
      </c>
      <c r="C751" s="63" t="s">
        <v>370</v>
      </c>
      <c r="D751" s="1219" t="str">
        <f>IFERROR(UPPER(IF(B751="CPU",VLOOKUP(C751,#REF!,2,0),IF(B751="SINAPI",VLOOKUP(C751,#REF!,2,0),IF(B751="EDIF",VLOOKUP(C751,#REF!,2,0),IF(B751="CDHU",VLOOKUP(C751,#REF!,2,0),IF(B751="FDE",VLOOKUP(C751,'FDE 10-23 '!$A$4:$E$3180,2,0),IF(B751="INFRA",VLOOKUP(C751,#REF!,2,0),""))))))),"")</f>
        <v>REGISTRO DE GAVETA BRUTO DN 50MM (2")</v>
      </c>
      <c r="E751" s="65" t="str">
        <f>VLOOKUP(C751,'FDE 10-23 '!$A$4:$E$3180,3,0)</f>
        <v>UN</v>
      </c>
      <c r="F751" s="1112">
        <v>4</v>
      </c>
      <c r="G751" s="66"/>
      <c r="H751" s="1220"/>
      <c r="I751" s="66"/>
      <c r="J751" s="66"/>
      <c r="K751" s="66"/>
      <c r="L751" s="1222"/>
      <c r="M751" s="51"/>
      <c r="N751" s="52"/>
      <c r="O751" s="25"/>
      <c r="P751" s="25"/>
    </row>
    <row r="752" spans="1:16" ht="30" customHeight="1">
      <c r="A752" s="61" t="s">
        <v>371</v>
      </c>
      <c r="B752" s="62" t="s">
        <v>26</v>
      </c>
      <c r="C752" s="63" t="s">
        <v>372</v>
      </c>
      <c r="D752" s="1219" t="str">
        <f>IFERROR(UPPER(IF(B752="CPU",VLOOKUP(C752,#REF!,2,0),IF(B752="SINAPI",VLOOKUP(C752,#REF!,2,0),IF(B752="EDIF",VLOOKUP(C752,#REF!,2,0),IF(B752="CDHU",VLOOKUP(C752,#REF!,2,0),IF(B752="FDE",VLOOKUP(C752,'FDE 10-23 '!$A$4:$E$3180,2,0),IF(B752="INFRA",VLOOKUP(C752,#REF!,2,0),""))))))),"")</f>
        <v>REGISTRO DE GAVETA COM CANOPLA CROMADA DN 20MM (3/4")</v>
      </c>
      <c r="E752" s="65" t="str">
        <f>VLOOKUP(C752,'FDE 10-23 '!$A$4:$E$3180,3,0)</f>
        <v>UN</v>
      </c>
      <c r="F752" s="1112">
        <v>23</v>
      </c>
      <c r="G752" s="66"/>
      <c r="H752" s="1220"/>
      <c r="I752" s="66"/>
      <c r="J752" s="66"/>
      <c r="K752" s="66"/>
      <c r="L752" s="1222"/>
      <c r="M752" s="51"/>
      <c r="N752" s="52"/>
      <c r="O752" s="25"/>
      <c r="P752" s="25"/>
    </row>
    <row r="753" spans="1:16" ht="30" customHeight="1">
      <c r="A753" s="61" t="s">
        <v>373</v>
      </c>
      <c r="B753" s="62" t="s">
        <v>26</v>
      </c>
      <c r="C753" s="63" t="s">
        <v>374</v>
      </c>
      <c r="D753" s="1219" t="str">
        <f>IFERROR(UPPER(IF(B753="CPU",VLOOKUP(C753,#REF!,2,0),IF(B753="SINAPI",VLOOKUP(C753,#REF!,2,0),IF(B753="EDIF",VLOOKUP(C753,#REF!,2,0),IF(B753="CDHU",VLOOKUP(C753,#REF!,2,0),IF(B753="FDE",VLOOKUP(C753,'FDE 10-23 '!$A$4:$E$3180,2,0),IF(B753="INFRA",VLOOKUP(C753,#REF!,2,0),""))))))),"")</f>
        <v>REGISTRO DE GAVETA COM CANOPLA CROMADA DN 25MM (1")</v>
      </c>
      <c r="E753" s="65" t="str">
        <f>VLOOKUP(C753,'FDE 10-23 '!$A$4:$E$3180,3,0)</f>
        <v>UN</v>
      </c>
      <c r="F753" s="1112">
        <v>4</v>
      </c>
      <c r="G753" s="66"/>
      <c r="H753" s="1220"/>
      <c r="I753" s="66"/>
      <c r="J753" s="66"/>
      <c r="K753" s="66"/>
      <c r="L753" s="1222"/>
      <c r="M753" s="51"/>
      <c r="N753" s="52"/>
      <c r="O753" s="25"/>
      <c r="P753" s="25"/>
    </row>
    <row r="754" spans="1:16" ht="30" customHeight="1">
      <c r="A754" s="61" t="s">
        <v>375</v>
      </c>
      <c r="B754" s="62" t="s">
        <v>26</v>
      </c>
      <c r="C754" s="63" t="s">
        <v>376</v>
      </c>
      <c r="D754" s="1219" t="str">
        <f>IFERROR(UPPER(IF(B754="CPU",VLOOKUP(C754,#REF!,2,0),IF(B754="SINAPI",VLOOKUP(C754,#REF!,2,0),IF(B754="EDIF",VLOOKUP(C754,#REF!,2,0),IF(B754="CDHU",VLOOKUP(C754,#REF!,2,0),IF(B754="FDE",VLOOKUP(C754,'FDE 10-23 '!$A$4:$E$3180,2,0),IF(B754="INFRA",VLOOKUP(C754,#REF!,2,0),""))))))),"")</f>
        <v>REGISTRO DE PRESSAO C/ CANOPLA CROMADA DN 20MM (3/4")</v>
      </c>
      <c r="E754" s="65" t="str">
        <f>VLOOKUP(C754,'FDE 10-23 '!$A$4:$E$3180,3,0)</f>
        <v>UN</v>
      </c>
      <c r="F754" s="1112">
        <v>12</v>
      </c>
      <c r="G754" s="66"/>
      <c r="H754" s="1220"/>
      <c r="I754" s="66"/>
      <c r="J754" s="66"/>
      <c r="K754" s="66"/>
      <c r="L754" s="1222"/>
      <c r="M754" s="51"/>
      <c r="N754" s="52"/>
      <c r="O754" s="25"/>
      <c r="P754" s="25"/>
    </row>
    <row r="755" spans="1:16" ht="30" customHeight="1">
      <c r="A755" s="61" t="s">
        <v>377</v>
      </c>
      <c r="B755" s="62" t="s">
        <v>26</v>
      </c>
      <c r="C755" s="63" t="s">
        <v>378</v>
      </c>
      <c r="D755" s="1219" t="str">
        <f>IFERROR(UPPER(IF(B755="CPU",VLOOKUP(C755,#REF!,2,0),IF(B755="SINAPI",VLOOKUP(C755,#REF!,2,0),IF(B755="EDIF",VLOOKUP(C755,#REF!,2,0),IF(B755="CDHU",VLOOKUP(C755,#REF!,2,0),IF(B755="FDE",VLOOKUP(C755,'FDE 10-23 '!$A$4:$E$3180,2,0),IF(B755="INFRA",VLOOKUP(C755,#REF!,2,0),""))))))),"")</f>
        <v>VALVULA DE DESCARGA C/ REG INCORP DN=40MM(1 1/2) ACAB ANTIVANDALISMO</v>
      </c>
      <c r="E755" s="65" t="str">
        <f>VLOOKUP(C755,'FDE 10-23 '!$A$4:$E$3180,3,0)</f>
        <v>UN</v>
      </c>
      <c r="F755" s="1112">
        <v>7</v>
      </c>
      <c r="G755" s="66"/>
      <c r="H755" s="1220"/>
      <c r="I755" s="66"/>
      <c r="J755" s="66"/>
      <c r="K755" s="66"/>
      <c r="L755" s="1222"/>
      <c r="M755" s="51"/>
      <c r="N755" s="52"/>
      <c r="O755" s="25"/>
      <c r="P755" s="25"/>
    </row>
    <row r="756" spans="1:16" ht="30" customHeight="1">
      <c r="A756" s="61" t="s">
        <v>379</v>
      </c>
      <c r="B756" s="62" t="s">
        <v>26</v>
      </c>
      <c r="C756" s="63" t="s">
        <v>380</v>
      </c>
      <c r="D756" s="1219" t="str">
        <f>IFERROR(UPPER(IF(B756="CPU",VLOOKUP(C756,#REF!,2,0),IF(B756="SINAPI",VLOOKUP(C756,#REF!,2,0),IF(B756="EDIF",VLOOKUP(C756,#REF!,2,0),IF(B756="CDHU",VLOOKUP(C756,#REF!,2,0),IF(B756="FDE",VLOOKUP(C756,'FDE 10-23 '!$A$4:$E$3180,2,0),IF(B756="INFRA",VLOOKUP(C756,#REF!,2,0),""))))))),"")</f>
        <v>VALVULA DE DESCARGA C/ACIONAMENTO DUPLO FLUXO REGISTRO E ACABAM. DN 40MM 1 1/2"</v>
      </c>
      <c r="E756" s="65" t="str">
        <f>VLOOKUP(C756,'FDE 10-23 '!$A$4:$E$3180,3,0)</f>
        <v>UN</v>
      </c>
      <c r="F756" s="1112">
        <v>12</v>
      </c>
      <c r="G756" s="66"/>
      <c r="H756" s="1220"/>
      <c r="I756" s="66"/>
      <c r="J756" s="66"/>
      <c r="K756" s="66"/>
      <c r="L756" s="1222"/>
      <c r="M756" s="51"/>
      <c r="N756" s="52"/>
      <c r="O756" s="25"/>
      <c r="P756" s="25"/>
    </row>
    <row r="757" spans="1:16" ht="30" customHeight="1">
      <c r="A757" s="61" t="s">
        <v>381</v>
      </c>
      <c r="B757" s="62" t="s">
        <v>26</v>
      </c>
      <c r="C757" s="63" t="s">
        <v>382</v>
      </c>
      <c r="D757" s="1219" t="str">
        <f>IFERROR(UPPER(IF(B757="CPU",VLOOKUP(C757,#REF!,2,0),IF(B757="SINAPI",VLOOKUP(C757,#REF!,2,0),IF(B757="EDIF",VLOOKUP(C757,#REF!,2,0),IF(B757="CDHU",VLOOKUP(C757,#REF!,2,0),IF(B757="FDE",VLOOKUP(C757,'FDE 10-23 '!$A$4:$E$3180,2,0),IF(B757="INFRA",VLOOKUP(C757,#REF!,2,0),""))))))),"")</f>
        <v>SERVICOS EM REDE DE AGUA FRIA</v>
      </c>
      <c r="E757" s="65" t="str">
        <f>VLOOKUP(C757,'FDE 10-23 '!$A$4:$E$3180,3,0)</f>
        <v>MV</v>
      </c>
      <c r="F757" s="1112">
        <v>100</v>
      </c>
      <c r="G757" s="66"/>
      <c r="H757" s="1220"/>
      <c r="I757" s="66"/>
      <c r="J757" s="66"/>
      <c r="K757" s="66"/>
      <c r="L757" s="1222"/>
      <c r="M757" s="51"/>
      <c r="N757" s="52"/>
      <c r="O757" s="25"/>
      <c r="P757" s="25"/>
    </row>
    <row r="758" spans="1:16" ht="30" customHeight="1">
      <c r="A758" s="53" t="s">
        <v>383</v>
      </c>
      <c r="B758" s="54"/>
      <c r="C758" s="54" t="s">
        <v>384</v>
      </c>
      <c r="D758" s="1216" t="s">
        <v>385</v>
      </c>
      <c r="E758" s="56" t="str">
        <f>IFERROR(UPPER(IF(B758="CPU",VLOOKUP(C758,#REF!,3,0),IF(B758="SINAPI",VLOOKUP(C758,#REF!,3,0),IF(B758="EDIF",VLOOKUP(C758,#REF!,3,0),IF(B758="CDHU",VLOOKUP(C758,#REF!,3,0),IF(B758="FDE",VLOOKUP(C758,#REF!,3,0),IF(B758="INFRA",VLOOKUP(C758,#REF!,3,0),""))))))),"")</f>
        <v/>
      </c>
      <c r="F758" s="1232"/>
      <c r="G758" s="57"/>
      <c r="H758" s="1217"/>
      <c r="I758" s="1217"/>
      <c r="J758" s="1217"/>
      <c r="K758" s="1217"/>
      <c r="L758" s="1218"/>
      <c r="M758" s="51"/>
      <c r="N758" s="52"/>
      <c r="O758" s="25"/>
      <c r="P758" s="25"/>
    </row>
    <row r="759" spans="1:16" ht="30" customHeight="1">
      <c r="A759" s="61" t="s">
        <v>386</v>
      </c>
      <c r="B759" s="62" t="s">
        <v>26</v>
      </c>
      <c r="C759" s="63" t="s">
        <v>387</v>
      </c>
      <c r="D759" s="1219" t="str">
        <f>IFERROR(UPPER(IF(B759="CPU",VLOOKUP(C759,#REF!,2,0),IF(B759="SINAPI",VLOOKUP(C759,#REF!,2,0),IF(B759="EDIF",VLOOKUP(C759,#REF!,2,0),IF(B759="CDHU",VLOOKUP(C759,#REF!,2,0),IF(B759="FDE",VLOOKUP(C759,'FDE 10-23 '!$A$4:$E$3180,2,0),IF(B759="INFRA",VLOOKUP(C759,#REF!,2,0),""))))))),"")</f>
        <v>TUBO ACO GALVANIZ NBR5580-CL MEDIA, DN65MM (2 1/2")- INCL CONEXOES</v>
      </c>
      <c r="E759" s="65" t="str">
        <f>VLOOKUP(C759,'FDE 10-23 '!$A$4:$E$3180,3,0)</f>
        <v>M</v>
      </c>
      <c r="F759" s="1112">
        <v>141.5</v>
      </c>
      <c r="G759" s="66"/>
      <c r="H759" s="1220"/>
      <c r="I759" s="66"/>
      <c r="J759" s="66"/>
      <c r="K759" s="66"/>
      <c r="L759" s="1222"/>
      <c r="M759" s="51"/>
      <c r="N759" s="52"/>
      <c r="O759" s="25"/>
      <c r="P759" s="25"/>
    </row>
    <row r="760" spans="1:16" ht="30" customHeight="1">
      <c r="A760" s="61" t="s">
        <v>388</v>
      </c>
      <c r="B760" s="62" t="s">
        <v>26</v>
      </c>
      <c r="C760" s="63" t="s">
        <v>389</v>
      </c>
      <c r="D760" s="1219" t="str">
        <f>IFERROR(UPPER(IF(B760="CPU",VLOOKUP(C760,#REF!,2,0),IF(B760="SINAPI",VLOOKUP(C760,#REF!,2,0),IF(B760="EDIF",VLOOKUP(C760,#REF!,2,0),IF(B760="CDHU",VLOOKUP(C760,#REF!,2,0),IF(B760="FDE",VLOOKUP(C760,'FDE 10-23 '!$A$4:$E$3180,2,0),IF(B760="INFRA",VLOOKUP(C760,#REF!,2,0),""))))))),"")</f>
        <v>TUBO ACO GALVANIZ NBR5580-CL MEDIA, DN80MM (3")-INCL CONEXOES</v>
      </c>
      <c r="E760" s="65" t="str">
        <f>VLOOKUP(C760,'FDE 10-23 '!$A$4:$E$3180,3,0)</f>
        <v>M</v>
      </c>
      <c r="F760" s="1112">
        <v>5</v>
      </c>
      <c r="G760" s="66"/>
      <c r="H760" s="1220"/>
      <c r="I760" s="66"/>
      <c r="J760" s="66"/>
      <c r="K760" s="66"/>
      <c r="L760" s="1222"/>
      <c r="M760" s="51"/>
      <c r="N760" s="52"/>
      <c r="O760" s="25"/>
      <c r="P760" s="25"/>
    </row>
    <row r="761" spans="1:16" ht="30" customHeight="1">
      <c r="A761" s="61" t="s">
        <v>390</v>
      </c>
      <c r="B761" s="62" t="s">
        <v>26</v>
      </c>
      <c r="C761" s="63" t="s">
        <v>391</v>
      </c>
      <c r="D761" s="1219" t="str">
        <f>IFERROR(UPPER(IF(B761="CPU",VLOOKUP(C761,#REF!,2,0),IF(B761="SINAPI",VLOOKUP(C761,#REF!,2,0),IF(B761="EDIF",VLOOKUP(C761,#REF!,2,0),IF(B761="CDHU",VLOOKUP(C761,#REF!,2,0),IF(B761="FDE",VLOOKUP(C761,'FDE 10-23 '!$A$4:$E$3180,2,0),IF(B761="INFRA",VLOOKUP(C761,#REF!,2,0),""))))))),"")</f>
        <v>PROTECAO ANTI CORROSIVA PARA RAMAIS SOB A TERRA</v>
      </c>
      <c r="E761" s="65" t="str">
        <f>VLOOKUP(C761,'FDE 10-23 '!$A$4:$E$3180,3,0)</f>
        <v>M</v>
      </c>
      <c r="F761" s="1112">
        <v>129.5</v>
      </c>
      <c r="G761" s="66"/>
      <c r="H761" s="1220"/>
      <c r="I761" s="66"/>
      <c r="J761" s="66"/>
      <c r="K761" s="66"/>
      <c r="L761" s="1222"/>
      <c r="M761" s="51"/>
      <c r="N761" s="52"/>
      <c r="O761" s="25"/>
      <c r="P761" s="25"/>
    </row>
    <row r="762" spans="1:16" ht="30" customHeight="1">
      <c r="A762" s="61"/>
      <c r="B762" s="62"/>
      <c r="C762" s="63"/>
      <c r="D762" s="1219" t="s">
        <v>11040</v>
      </c>
      <c r="E762" s="65"/>
      <c r="F762" s="88"/>
      <c r="G762" s="66"/>
      <c r="H762" s="1220"/>
      <c r="I762" s="66"/>
      <c r="J762" s="66"/>
      <c r="K762" s="66"/>
      <c r="L762" s="1222"/>
      <c r="M762" s="51"/>
      <c r="N762" s="52"/>
      <c r="O762" s="25"/>
      <c r="P762" s="25"/>
    </row>
    <row r="763" spans="1:16" ht="30" customHeight="1">
      <c r="A763" s="53" t="s">
        <v>392</v>
      </c>
      <c r="B763" s="54"/>
      <c r="C763" s="54" t="s">
        <v>393</v>
      </c>
      <c r="D763" s="1216" t="s">
        <v>394</v>
      </c>
      <c r="E763" s="56" t="str">
        <f>IFERROR(UPPER(IF(B763="CPU",VLOOKUP(C763,#REF!,3,0),IF(B763="SINAPI",VLOOKUP(C763,#REF!,3,0),IF(B763="EDIF",VLOOKUP(C763,#REF!,3,0),IF(B763="CDHU",VLOOKUP(C763,#REF!,3,0),IF(B763="FDE",VLOOKUP(C763,#REF!,3,0),IF(B763="INFRA",VLOOKUP(C763,#REF!,3,0),""))))))),"")</f>
        <v/>
      </c>
      <c r="F763" s="1232"/>
      <c r="G763" s="57"/>
      <c r="H763" s="1217"/>
      <c r="I763" s="1217"/>
      <c r="J763" s="1217"/>
      <c r="K763" s="1217"/>
      <c r="L763" s="1218"/>
      <c r="M763" s="51"/>
      <c r="N763" s="52"/>
      <c r="O763" s="25"/>
      <c r="P763" s="25"/>
    </row>
    <row r="764" spans="1:16" ht="30" customHeight="1">
      <c r="A764" s="61" t="s">
        <v>395</v>
      </c>
      <c r="B764" s="62" t="s">
        <v>26</v>
      </c>
      <c r="C764" s="63" t="s">
        <v>396</v>
      </c>
      <c r="D764" s="1219" t="str">
        <f>IFERROR(UPPER(IF(B764="CPU",VLOOKUP(C764,#REF!,2,0),IF(B764="SINAPI",VLOOKUP(C764,#REF!,2,0),IF(B764="EDIF",VLOOKUP(C764,#REF!,2,0),IF(B764="CDHU",VLOOKUP(C764,#REF!,2,0),IF(B764="FDE",VLOOKUP(C764,'FDE 10-23 '!$A$4:$E$3180,2,0),IF(B764="INFRA",VLOOKUP(C764,#REF!,2,0),""))))))),"")</f>
        <v>REGISTRO DE GAVETA BRUTO DN 65MM (2 1/2")</v>
      </c>
      <c r="E764" s="65" t="str">
        <f>VLOOKUP(C764,'FDE 10-23 '!$A$4:$E$3180,3,0)</f>
        <v>UN</v>
      </c>
      <c r="F764" s="1112">
        <v>1</v>
      </c>
      <c r="G764" s="66"/>
      <c r="H764" s="1220"/>
      <c r="I764" s="66"/>
      <c r="J764" s="66"/>
      <c r="K764" s="66"/>
      <c r="L764" s="1222"/>
      <c r="M764" s="51"/>
      <c r="N764" s="52"/>
      <c r="O764" s="25"/>
      <c r="P764" s="25"/>
    </row>
    <row r="765" spans="1:16" ht="30" customHeight="1">
      <c r="A765" s="61" t="s">
        <v>397</v>
      </c>
      <c r="B765" s="62" t="s">
        <v>26</v>
      </c>
      <c r="C765" s="63" t="s">
        <v>398</v>
      </c>
      <c r="D765" s="1219" t="str">
        <f>IFERROR(UPPER(IF(B765="CPU",VLOOKUP(C765,#REF!,2,0),IF(B765="SINAPI",VLOOKUP(C765,#REF!,2,0),IF(B765="EDIF",VLOOKUP(C765,#REF!,2,0),IF(B765="CDHU",VLOOKUP(C765,#REF!,2,0),IF(B765="FDE",VLOOKUP(C765,'FDE 10-23 '!$A$4:$E$3180,2,0),IF(B765="INFRA",VLOOKUP(C765,#REF!,2,0),""))))))),"")</f>
        <v>REGISTRO DE GAVETA BRUTO DN 80MM (3")</v>
      </c>
      <c r="E765" s="65" t="str">
        <f>VLOOKUP(C765,'FDE 10-23 '!$A$4:$E$3180,3,0)</f>
        <v>UN</v>
      </c>
      <c r="F765" s="1112">
        <v>2</v>
      </c>
      <c r="G765" s="66"/>
      <c r="H765" s="1220"/>
      <c r="I765" s="66"/>
      <c r="J765" s="66"/>
      <c r="K765" s="66"/>
      <c r="L765" s="1222"/>
      <c r="M765" s="51"/>
      <c r="N765" s="52"/>
      <c r="O765" s="25"/>
      <c r="P765" s="25"/>
    </row>
    <row r="766" spans="1:16" ht="30" customHeight="1">
      <c r="A766" s="61" t="s">
        <v>399</v>
      </c>
      <c r="B766" s="62" t="s">
        <v>26</v>
      </c>
      <c r="C766" s="63" t="s">
        <v>400</v>
      </c>
      <c r="D766" s="1219" t="str">
        <f>IFERROR(UPPER(IF(B766="CPU",VLOOKUP(C766,#REF!,2,0),IF(B766="SINAPI",VLOOKUP(C766,#REF!,2,0),IF(B766="EDIF",VLOOKUP(C766,#REF!,2,0),IF(B766="CDHU",VLOOKUP(C766,#REF!,2,0),IF(B766="FDE",VLOOKUP(C766,'FDE 10-23 '!$A$4:$E$3180,2,0),IF(B766="INFRA",VLOOKUP(C766,#REF!,2,0),""))))))),"")</f>
        <v>REGISTRO DE RECALQUE NO PASSEIO (RR-01)</v>
      </c>
      <c r="E766" s="65" t="str">
        <f>VLOOKUP(C766,'FDE 10-23 '!$A$4:$E$3180,3,0)</f>
        <v>UN</v>
      </c>
      <c r="F766" s="1112">
        <v>1</v>
      </c>
      <c r="G766" s="66"/>
      <c r="H766" s="1220"/>
      <c r="I766" s="66"/>
      <c r="J766" s="66"/>
      <c r="K766" s="66"/>
      <c r="L766" s="1222"/>
      <c r="M766" s="51"/>
      <c r="N766" s="52"/>
      <c r="O766" s="25"/>
      <c r="P766" s="25"/>
    </row>
    <row r="767" spans="1:16" ht="30" customHeight="1">
      <c r="A767" s="61" t="s">
        <v>401</v>
      </c>
      <c r="B767" s="62" t="s">
        <v>26</v>
      </c>
      <c r="C767" s="63" t="s">
        <v>402</v>
      </c>
      <c r="D767" s="1219" t="str">
        <f>IFERROR(UPPER(IF(B767="CPU",VLOOKUP(C767,#REF!,2,0),IF(B767="SINAPI",VLOOKUP(C767,#REF!,2,0),IF(B767="EDIF",VLOOKUP(C767,#REF!,2,0),IF(B767="CDHU",VLOOKUP(C767,#REF!,2,0),IF(B767="FDE",VLOOKUP(C767,'FDE 10-23 '!$A$4:$E$3180,2,0),IF(B767="INFRA",VLOOKUP(C767,#REF!,2,0),""))))))),"")</f>
        <v>AH-04 ABRIGO PARA HIDRANTE COM MANGUEIRA 1 1/2"  E ESGUICHO REGULAVEL</v>
      </c>
      <c r="E767" s="65" t="str">
        <f>VLOOKUP(C767,'FDE 10-23 '!$A$4:$E$3180,3,0)</f>
        <v>UN</v>
      </c>
      <c r="F767" s="1112">
        <v>4</v>
      </c>
      <c r="G767" s="66"/>
      <c r="H767" s="1220"/>
      <c r="I767" s="66"/>
      <c r="J767" s="66"/>
      <c r="K767" s="66"/>
      <c r="L767" s="1222"/>
      <c r="M767" s="51"/>
      <c r="N767" s="52"/>
      <c r="O767" s="25"/>
      <c r="P767" s="25"/>
    </row>
    <row r="768" spans="1:16" ht="30" customHeight="1">
      <c r="A768" s="61" t="s">
        <v>403</v>
      </c>
      <c r="B768" s="62" t="s">
        <v>26</v>
      </c>
      <c r="C768" s="63" t="s">
        <v>404</v>
      </c>
      <c r="D768" s="1219" t="str">
        <f>IFERROR(UPPER(IF(B768="CPU",VLOOKUP(C768,#REF!,2,0),IF(B768="SINAPI",VLOOKUP(C768,#REF!,2,0),IF(B768="EDIF",VLOOKUP(C768,#REF!,2,0),IF(B768="CDHU",VLOOKUP(C768,#REF!,2,0),IF(B768="FDE",VLOOKUP(C768,'FDE 10-23 '!$A$4:$E$3180,2,0),IF(B768="INFRA",VLOOKUP(C768,#REF!,2,0),""))))))),"")</f>
        <v>VALVULA RETENCAO HORIZ BRONZE DE 2 1/2"</v>
      </c>
      <c r="E768" s="65" t="str">
        <f>VLOOKUP(C768,'FDE 10-23 '!$A$4:$E$3180,3,0)</f>
        <v>UN</v>
      </c>
      <c r="F768" s="1112">
        <v>2</v>
      </c>
      <c r="G768" s="66"/>
      <c r="H768" s="1220"/>
      <c r="I768" s="66"/>
      <c r="J768" s="66"/>
      <c r="K768" s="66"/>
      <c r="L768" s="1222"/>
      <c r="M768" s="51"/>
      <c r="N768" s="52"/>
      <c r="O768" s="25"/>
      <c r="P768" s="25"/>
    </row>
    <row r="769" spans="1:16" ht="30" customHeight="1">
      <c r="A769" s="61" t="s">
        <v>405</v>
      </c>
      <c r="B769" s="62" t="s">
        <v>26</v>
      </c>
      <c r="C769" s="63" t="s">
        <v>406</v>
      </c>
      <c r="D769" s="1219" t="str">
        <f>IFERROR(UPPER(IF(B769="CPU",VLOOKUP(C769,#REF!,2,0),IF(B769="SINAPI",VLOOKUP(C769,#REF!,2,0),IF(B769="EDIF",VLOOKUP(C769,#REF!,2,0),IF(B769="CDHU",VLOOKUP(C769,#REF!,2,0),IF(B769="FDE",VLOOKUP(C769,'FDE 10-23 '!$A$4:$E$3180,2,0),IF(B769="INFRA",VLOOKUP(C769,#REF!,2,0),""))))))),"")</f>
        <v>EXTINTORES MANUAIS DE CO2 COM CAPACIDADE DE 6 KG</v>
      </c>
      <c r="E769" s="65" t="str">
        <f>VLOOKUP(C769,'FDE 10-23 '!$A$4:$E$3180,3,0)</f>
        <v>UN</v>
      </c>
      <c r="F769" s="1112">
        <v>2</v>
      </c>
      <c r="G769" s="66"/>
      <c r="H769" s="1220"/>
      <c r="I769" s="66"/>
      <c r="J769" s="66"/>
      <c r="K769" s="66"/>
      <c r="L769" s="1222"/>
      <c r="M769" s="51"/>
      <c r="N769" s="52"/>
      <c r="O769" s="25"/>
      <c r="P769" s="25"/>
    </row>
    <row r="770" spans="1:16" ht="30" customHeight="1">
      <c r="A770" s="61" t="s">
        <v>407</v>
      </c>
      <c r="B770" s="62" t="s">
        <v>26</v>
      </c>
      <c r="C770" s="63" t="s">
        <v>408</v>
      </c>
      <c r="D770" s="1219" t="str">
        <f>IFERROR(UPPER(IF(B770="CPU",VLOOKUP(C770,#REF!,2,0),IF(B770="SINAPI",VLOOKUP(C770,#REF!,2,0),IF(B770="EDIF",VLOOKUP(C770,#REF!,2,0),IF(B770="CDHU",VLOOKUP(C770,#REF!,2,0),IF(B770="FDE",VLOOKUP(C770,'FDE 10-23 '!$A$4:$E$3180,2,0),IF(B770="INFRA",VLOOKUP(C770,#REF!,2,0),""))))))),"")</f>
        <v>EXTINTORES MANUAIS PO QUIMICO SECO COM CAPACIDADE DE 4 KG</v>
      </c>
      <c r="E770" s="65" t="str">
        <f>VLOOKUP(C770,'FDE 10-23 '!$A$4:$E$3180,3,0)</f>
        <v>UN</v>
      </c>
      <c r="F770" s="1112">
        <v>4</v>
      </c>
      <c r="G770" s="66"/>
      <c r="H770" s="1220"/>
      <c r="I770" s="66"/>
      <c r="J770" s="66"/>
      <c r="K770" s="66"/>
      <c r="L770" s="1222"/>
      <c r="M770" s="51"/>
      <c r="N770" s="52"/>
      <c r="O770" s="25"/>
      <c r="P770" s="25"/>
    </row>
    <row r="771" spans="1:16" ht="30" customHeight="1">
      <c r="A771" s="61" t="s">
        <v>409</v>
      </c>
      <c r="B771" s="62" t="s">
        <v>26</v>
      </c>
      <c r="C771" s="63" t="s">
        <v>410</v>
      </c>
      <c r="D771" s="1219" t="str">
        <f>IFERROR(UPPER(IF(B771="CPU",VLOOKUP(C771,#REF!,2,0),IF(B771="SINAPI",VLOOKUP(C771,#REF!,2,0),IF(B771="EDIF",VLOOKUP(C771,#REF!,2,0),IF(B771="CDHU",VLOOKUP(C771,#REF!,2,0),IF(B771="FDE",VLOOKUP(C771,'FDE 10-23 '!$A$4:$E$3180,2,0),IF(B771="INFRA",VLOOKUP(C771,#REF!,2,0),""))))))),"")</f>
        <v>EXTINTOR MANUAL PO QUIMICO SECO C/ CAPACIDADE DE 12KG</v>
      </c>
      <c r="E771" s="65" t="str">
        <f>VLOOKUP(C771,'FDE 10-23 '!$A$4:$E$3180,3,0)</f>
        <v>UN</v>
      </c>
      <c r="F771" s="1112">
        <v>1</v>
      </c>
      <c r="G771" s="66"/>
      <c r="H771" s="1220"/>
      <c r="I771" s="66"/>
      <c r="J771" s="66"/>
      <c r="K771" s="66"/>
      <c r="L771" s="1222"/>
      <c r="M771" s="51"/>
      <c r="N771" s="52"/>
      <c r="O771" s="25"/>
      <c r="P771" s="25"/>
    </row>
    <row r="772" spans="1:16" ht="30" customHeight="1">
      <c r="A772" s="61" t="s">
        <v>411</v>
      </c>
      <c r="B772" s="62" t="s">
        <v>26</v>
      </c>
      <c r="C772" s="63" t="s">
        <v>412</v>
      </c>
      <c r="D772" s="1219" t="str">
        <f>IFERROR(UPPER(IF(B772="CPU",VLOOKUP(C772,#REF!,2,0),IF(B772="SINAPI",VLOOKUP(C772,#REF!,2,0),IF(B772="EDIF",VLOOKUP(C772,#REF!,2,0),IF(B772="CDHU",VLOOKUP(C772,#REF!,2,0),IF(B772="FDE",VLOOKUP(C772,'FDE 10-23 '!$A$4:$E$3180,2,0),IF(B772="INFRA",VLOOKUP(C772,#REF!,2,0),""))))))),"")</f>
        <v>EXTINTORES MANUAIS DE AGUA PRESSURIZADA CAP DE 10 L</v>
      </c>
      <c r="E772" s="65" t="str">
        <f>VLOOKUP(C772,'FDE 10-23 '!$A$4:$E$3180,3,0)</f>
        <v>UN</v>
      </c>
      <c r="F772" s="1112">
        <v>1</v>
      </c>
      <c r="G772" s="66"/>
      <c r="H772" s="1220"/>
      <c r="I772" s="66"/>
      <c r="J772" s="66"/>
      <c r="K772" s="66"/>
      <c r="L772" s="1222"/>
      <c r="M772" s="51"/>
      <c r="N772" s="52"/>
      <c r="O772" s="25"/>
      <c r="P772" s="25"/>
    </row>
    <row r="773" spans="1:16" ht="30" customHeight="1">
      <c r="A773" s="61" t="s">
        <v>413</v>
      </c>
      <c r="B773" s="62" t="s">
        <v>26</v>
      </c>
      <c r="C773" s="63" t="s">
        <v>414</v>
      </c>
      <c r="D773" s="1219" t="str">
        <f>IFERROR(UPPER(IF(B773="CPU",VLOOKUP(C773,#REF!,2,0),IF(B773="SINAPI",VLOOKUP(C773,#REF!,2,0),IF(B773="EDIF",VLOOKUP(C773,#REF!,2,0),IF(B773="CDHU",VLOOKUP(C773,#REF!,2,0),IF(B773="FDE",VLOOKUP(C773,'FDE 10-23 '!$A$4:$E$3180,2,0),IF(B773="INFRA",VLOOKUP(C773,#REF!,2,0),""))))))),"")</f>
        <v>PRESSOSTATO (VALVULA DE FLUXO) COM SENSOR DIAFRAGMA.</v>
      </c>
      <c r="E773" s="65" t="str">
        <f>VLOOKUP(C773,'FDE 10-23 '!$A$4:$E$3180,3,0)</f>
        <v>UN</v>
      </c>
      <c r="F773" s="1112">
        <v>1</v>
      </c>
      <c r="G773" s="66"/>
      <c r="H773" s="1220"/>
      <c r="I773" s="66"/>
      <c r="J773" s="66"/>
      <c r="K773" s="66"/>
      <c r="L773" s="1222"/>
      <c r="M773" s="51"/>
      <c r="N773" s="52"/>
      <c r="O773" s="25"/>
      <c r="P773" s="25"/>
    </row>
    <row r="774" spans="1:16" ht="30" customHeight="1">
      <c r="A774" s="61" t="s">
        <v>415</v>
      </c>
      <c r="B774" s="62" t="s">
        <v>26</v>
      </c>
      <c r="C774" s="63" t="s">
        <v>416</v>
      </c>
      <c r="D774" s="1219" t="str">
        <f>IFERROR(UPPER(IF(B774="CPU",VLOOKUP(C774,#REF!,2,0),IF(B774="SINAPI",VLOOKUP(C774,#REF!,2,0),IF(B774="EDIF",VLOOKUP(C774,#REF!,2,0),IF(B774="CDHU",VLOOKUP(C774,#REF!,2,0),IF(B774="FDE",VLOOKUP(C774,'FDE 10-23 '!$A$4:$E$3180,2,0),IF(B774="INFRA",VLOOKUP(C774,#REF!,2,0),""))))))),"")</f>
        <v>CONJ MOTOR-BOMBA (CENTRIFUGA) 5 HP (31200 L/H -20 MCA)</v>
      </c>
      <c r="E774" s="65" t="str">
        <f>VLOOKUP(C774,'FDE 10-23 '!$A$4:$E$3180,3,0)</f>
        <v>UN</v>
      </c>
      <c r="F774" s="1112">
        <v>1</v>
      </c>
      <c r="G774" s="66"/>
      <c r="H774" s="1220"/>
      <c r="I774" s="66"/>
      <c r="J774" s="66"/>
      <c r="K774" s="66"/>
      <c r="L774" s="1222"/>
      <c r="M774" s="51"/>
      <c r="N774" s="52"/>
      <c r="O774" s="25"/>
      <c r="P774" s="25"/>
    </row>
    <row r="775" spans="1:16" ht="30" customHeight="1">
      <c r="A775" s="61"/>
      <c r="B775" s="62"/>
      <c r="C775" s="63"/>
      <c r="D775" s="1219" t="s">
        <v>11040</v>
      </c>
      <c r="E775" s="65"/>
      <c r="F775" s="1112"/>
      <c r="G775" s="66"/>
      <c r="H775" s="1220"/>
      <c r="I775" s="66"/>
      <c r="J775" s="66"/>
      <c r="K775" s="66"/>
      <c r="L775" s="1222"/>
      <c r="M775" s="51"/>
      <c r="N775" s="52"/>
      <c r="O775" s="25"/>
      <c r="P775" s="25"/>
    </row>
    <row r="776" spans="1:16" ht="30" customHeight="1">
      <c r="A776" s="53" t="s">
        <v>417</v>
      </c>
      <c r="B776" s="54"/>
      <c r="C776" s="54" t="s">
        <v>418</v>
      </c>
      <c r="D776" s="1216" t="s">
        <v>419</v>
      </c>
      <c r="E776" s="56" t="str">
        <f>IFERROR(UPPER(IF(B776="CPU",VLOOKUP(C776,#REF!,3,0),IF(B776="SINAPI",VLOOKUP(C776,#REF!,3,0),IF(B776="EDIF",VLOOKUP(C776,#REF!,3,0),IF(B776="CDHU",VLOOKUP(C776,#REF!,3,0),IF(B776="FDE",VLOOKUP(C776,#REF!,3,0),IF(B776="INFRA",VLOOKUP(C776,#REF!,3,0),""))))))),"")</f>
        <v/>
      </c>
      <c r="F776" s="1232"/>
      <c r="G776" s="57"/>
      <c r="H776" s="1217"/>
      <c r="I776" s="1217"/>
      <c r="J776" s="1217"/>
      <c r="K776" s="1217"/>
      <c r="L776" s="1218"/>
      <c r="M776" s="51"/>
      <c r="N776" s="52"/>
      <c r="O776" s="25"/>
      <c r="P776" s="25"/>
    </row>
    <row r="777" spans="1:16" ht="30" customHeight="1">
      <c r="A777" s="61" t="s">
        <v>420</v>
      </c>
      <c r="B777" s="62" t="s">
        <v>26</v>
      </c>
      <c r="C777" s="63" t="s">
        <v>421</v>
      </c>
      <c r="D777" s="1219" t="str">
        <f>IFERROR(UPPER(IF(B777="CPU",VLOOKUP(C777,#REF!,2,0),IF(B777="SINAPI",VLOOKUP(C777,#REF!,2,0),IF(B777="EDIF",VLOOKUP(C777,#REF!,2,0),IF(B777="CDHU",VLOOKUP(C777,#REF!,2,0),IF(B777="FDE",VLOOKUP(C777,'FDE 10-23 '!$A$4:$E$3180,2,0),IF(B777="INFRA",VLOOKUP(C777,#REF!,2,0),""))))))),"")</f>
        <v>TUBO DE FERRO FUNDIDO DN 50MM (2") - INCLUSIVE CONEXOES -  DESC</v>
      </c>
      <c r="E777" s="65" t="str">
        <f>VLOOKUP(C777,'FDE 10-23 '!$A$4:$E$3180,3,0)</f>
        <v>M</v>
      </c>
      <c r="F777" s="1112">
        <v>17.05</v>
      </c>
      <c r="G777" s="66"/>
      <c r="H777" s="1220"/>
      <c r="I777" s="66"/>
      <c r="J777" s="66"/>
      <c r="K777" s="66"/>
      <c r="L777" s="1222"/>
      <c r="M777" s="51"/>
      <c r="N777" s="52"/>
      <c r="O777" s="25"/>
      <c r="P777" s="25"/>
    </row>
    <row r="778" spans="1:16" ht="30" customHeight="1">
      <c r="A778" s="61" t="s">
        <v>422</v>
      </c>
      <c r="B778" s="62" t="s">
        <v>26</v>
      </c>
      <c r="C778" s="63" t="s">
        <v>423</v>
      </c>
      <c r="D778" s="1219" t="str">
        <f>IFERROR(UPPER(IF(B778="CPU",VLOOKUP(C778,#REF!,2,0),IF(B778="SINAPI",VLOOKUP(C778,#REF!,2,0),IF(B778="EDIF",VLOOKUP(C778,#REF!,2,0),IF(B778="CDHU",VLOOKUP(C778,#REF!,2,0),IF(B778="FDE",VLOOKUP(C778,'FDE 10-23 '!$A$4:$E$3180,2,0),IF(B778="INFRA",VLOOKUP(C778,#REF!,2,0),""))))))),"")</f>
        <v>TUBO DE FERRO FUNDIDO DN 75MM (3") - INCLUSIVE CONEXOES -  DESC</v>
      </c>
      <c r="E778" s="65" t="str">
        <f>VLOOKUP(C778,'FDE 10-23 '!$A$4:$E$3180,3,0)</f>
        <v>M</v>
      </c>
      <c r="F778" s="1112">
        <v>22.5</v>
      </c>
      <c r="G778" s="66"/>
      <c r="H778" s="1220"/>
      <c r="I778" s="66"/>
      <c r="J778" s="66"/>
      <c r="K778" s="66"/>
      <c r="L778" s="1222"/>
      <c r="M778" s="51"/>
      <c r="N778" s="52"/>
      <c r="O778" s="25"/>
      <c r="P778" s="25"/>
    </row>
    <row r="779" spans="1:16" ht="30" customHeight="1">
      <c r="A779" s="61" t="s">
        <v>424</v>
      </c>
      <c r="B779" s="62" t="s">
        <v>26</v>
      </c>
      <c r="C779" s="63" t="s">
        <v>425</v>
      </c>
      <c r="D779" s="1219" t="str">
        <f>IFERROR(UPPER(IF(B779="CPU",VLOOKUP(C779,#REF!,2,0),IF(B779="SINAPI",VLOOKUP(C779,#REF!,2,0),IF(B779="EDIF",VLOOKUP(C779,#REF!,2,0),IF(B779="CDHU",VLOOKUP(C779,#REF!,2,0),IF(B779="FDE",VLOOKUP(C779,'FDE 10-23 '!$A$4:$E$3180,2,0),IF(B779="INFRA",VLOOKUP(C779,#REF!,2,0),""))))))),"")</f>
        <v>TUBO DE FERRO FUNDIDO DN 100MM (4") - INCLUSIVE CONEXOES -  DESC</v>
      </c>
      <c r="E779" s="65" t="str">
        <f>VLOOKUP(C779,'FDE 10-23 '!$A$4:$E$3180,3,0)</f>
        <v>M</v>
      </c>
      <c r="F779" s="1112">
        <v>13</v>
      </c>
      <c r="G779" s="66"/>
      <c r="H779" s="1220"/>
      <c r="I779" s="66"/>
      <c r="J779" s="66"/>
      <c r="K779" s="66"/>
      <c r="L779" s="1222"/>
      <c r="M779" s="51"/>
      <c r="N779" s="52"/>
      <c r="O779" s="25"/>
      <c r="P779" s="25"/>
    </row>
    <row r="780" spans="1:16" ht="30" customHeight="1">
      <c r="A780" s="61" t="s">
        <v>426</v>
      </c>
      <c r="B780" s="62" t="s">
        <v>26</v>
      </c>
      <c r="C780" s="63" t="s">
        <v>427</v>
      </c>
      <c r="D780" s="1219" t="str">
        <f>IFERROR(UPPER(IF(B780="CPU",VLOOKUP(C780,#REF!,2,0),IF(B780="SINAPI",VLOOKUP(C780,#REF!,2,0),IF(B780="EDIF",VLOOKUP(C780,#REF!,2,0),IF(B780="CDHU",VLOOKUP(C780,#REF!,2,0),IF(B780="FDE",VLOOKUP(C780,'FDE 10-23 '!$A$4:$E$3180,2,0),IF(B780="INFRA",VLOOKUP(C780,#REF!,2,0),""))))))),"")</f>
        <v>TUBO PVC NORMAL "SN" JUNTA SOLDÁVEL/ELÁSTICA DN 40 INCL CONEXÕES</v>
      </c>
      <c r="E780" s="65" t="str">
        <f>VLOOKUP(C780,'FDE 10-23 '!$A$4:$E$3180,3,0)</f>
        <v>M</v>
      </c>
      <c r="F780" s="1112">
        <v>75.5</v>
      </c>
      <c r="G780" s="66"/>
      <c r="H780" s="1220"/>
      <c r="I780" s="66"/>
      <c r="J780" s="66"/>
      <c r="K780" s="66"/>
      <c r="L780" s="1222"/>
      <c r="M780" s="51"/>
      <c r="N780" s="52"/>
      <c r="O780" s="25"/>
      <c r="P780" s="25"/>
    </row>
    <row r="781" spans="1:16" ht="30" customHeight="1">
      <c r="A781" s="61" t="s">
        <v>428</v>
      </c>
      <c r="B781" s="62" t="s">
        <v>26</v>
      </c>
      <c r="C781" s="63" t="s">
        <v>429</v>
      </c>
      <c r="D781" s="1219" t="str">
        <f>IFERROR(UPPER(IF(B781="CPU",VLOOKUP(C781,#REF!,2,0),IF(B781="SINAPI",VLOOKUP(C781,#REF!,2,0),IF(B781="EDIF",VLOOKUP(C781,#REF!,2,0),IF(B781="CDHU",VLOOKUP(C781,#REF!,2,0),IF(B781="FDE",VLOOKUP(C781,'FDE 10-23 '!$A$4:$E$3180,2,0),IF(B781="INFRA",VLOOKUP(C781,#REF!,2,0),""))))))),"")</f>
        <v>TUBO PVC NORMAL "SN" JUNTA ELÁSTICA DN 50 INCL CONEXÕES</v>
      </c>
      <c r="E781" s="65" t="str">
        <f>VLOOKUP(C781,'FDE 10-23 '!$A$4:$E$3180,3,0)</f>
        <v>M</v>
      </c>
      <c r="F781" s="1112">
        <v>69</v>
      </c>
      <c r="G781" s="66"/>
      <c r="H781" s="1220"/>
      <c r="I781" s="66"/>
      <c r="J781" s="66"/>
      <c r="K781" s="66"/>
      <c r="L781" s="1222"/>
      <c r="M781" s="51"/>
      <c r="N781" s="52"/>
      <c r="O781" s="25"/>
      <c r="P781" s="25"/>
    </row>
    <row r="782" spans="1:16" ht="30" customHeight="1">
      <c r="A782" s="61" t="s">
        <v>430</v>
      </c>
      <c r="B782" s="62" t="s">
        <v>26</v>
      </c>
      <c r="C782" s="63" t="s">
        <v>431</v>
      </c>
      <c r="D782" s="1219" t="str">
        <f>IFERROR(UPPER(IF(B782="CPU",VLOOKUP(C782,#REF!,2,0),IF(B782="SINAPI",VLOOKUP(C782,#REF!,2,0),IF(B782="EDIF",VLOOKUP(C782,#REF!,2,0),IF(B782="CDHU",VLOOKUP(C782,#REF!,2,0),IF(B782="FDE",VLOOKUP(C782,'FDE 10-23 '!$A$4:$E$3180,2,0),IF(B782="INFRA",VLOOKUP(C782,#REF!,2,0),""))))))),"")</f>
        <v>TUBO PVC NORMAL "SN" JUNTA ELÁSTICA DN 75 INCL CONEXÕES</v>
      </c>
      <c r="E782" s="65" t="str">
        <f>VLOOKUP(C782,'FDE 10-23 '!$A$4:$E$3180,3,0)</f>
        <v>M</v>
      </c>
      <c r="F782" s="1112">
        <v>112</v>
      </c>
      <c r="G782" s="66"/>
      <c r="H782" s="1220"/>
      <c r="I782" s="66"/>
      <c r="J782" s="66"/>
      <c r="K782" s="66"/>
      <c r="L782" s="1222"/>
      <c r="M782" s="51"/>
      <c r="N782" s="52"/>
      <c r="O782" s="25"/>
      <c r="P782" s="25"/>
    </row>
    <row r="783" spans="1:16" ht="30" customHeight="1">
      <c r="A783" s="61" t="s">
        <v>432</v>
      </c>
      <c r="B783" s="62" t="s">
        <v>26</v>
      </c>
      <c r="C783" s="63" t="s">
        <v>433</v>
      </c>
      <c r="D783" s="1219" t="str">
        <f>IFERROR(UPPER(IF(B783="CPU",VLOOKUP(C783,#REF!,2,0),IF(B783="SINAPI",VLOOKUP(C783,#REF!,2,0),IF(B783="EDIF",VLOOKUP(C783,#REF!,2,0),IF(B783="CDHU",VLOOKUP(C783,#REF!,2,0),IF(B783="FDE",VLOOKUP(C783,'FDE 10-23 '!$A$4:$E$3180,2,0),IF(B783="INFRA",VLOOKUP(C783,#REF!,2,0),""))))))),"")</f>
        <v>TUBO PVC NORMAL "SN" JUNTA ELÁSTICA DN 100 INCL CONEXÕES</v>
      </c>
      <c r="E783" s="65" t="str">
        <f>VLOOKUP(C783,'FDE 10-23 '!$A$4:$E$3180,3,0)</f>
        <v>M</v>
      </c>
      <c r="F783" s="1112">
        <v>87</v>
      </c>
      <c r="G783" s="66"/>
      <c r="H783" s="1220"/>
      <c r="I783" s="66"/>
      <c r="J783" s="66"/>
      <c r="K783" s="66"/>
      <c r="L783" s="1222"/>
      <c r="M783" s="51"/>
      <c r="N783" s="52"/>
      <c r="O783" s="25"/>
      <c r="P783" s="25"/>
    </row>
    <row r="784" spans="1:16" ht="30" customHeight="1">
      <c r="A784" s="61" t="s">
        <v>434</v>
      </c>
      <c r="B784" s="62" t="s">
        <v>26</v>
      </c>
      <c r="C784" s="63" t="s">
        <v>435</v>
      </c>
      <c r="D784" s="1219" t="str">
        <f>IFERROR(UPPER(IF(B784="CPU",VLOOKUP(C784,#REF!,2,0),IF(B784="SINAPI",VLOOKUP(C784,#REF!,2,0),IF(B784="EDIF",VLOOKUP(C784,#REF!,2,0),IF(B784="CDHU",VLOOKUP(C784,#REF!,2,0),IF(B784="FDE",VLOOKUP(C784,'FDE 10-23 '!$A$4:$E$3180,2,0),IF(B784="INFRA",VLOOKUP(C784,#REF!,2,0),""))))))),"")</f>
        <v>TUBO PVC NORMAL "SN" JUNTA ELÁSTICA DN 150 INCL CONEXÕES</v>
      </c>
      <c r="E784" s="65" t="str">
        <f>VLOOKUP(C784,'FDE 10-23 '!$A$4:$E$3180,3,0)</f>
        <v>M</v>
      </c>
      <c r="F784" s="1112">
        <v>142</v>
      </c>
      <c r="G784" s="66"/>
      <c r="H784" s="1220"/>
      <c r="I784" s="66"/>
      <c r="J784" s="66"/>
      <c r="K784" s="66"/>
      <c r="L784" s="1222"/>
      <c r="M784" s="51"/>
      <c r="N784" s="52"/>
      <c r="O784" s="25"/>
      <c r="P784" s="25"/>
    </row>
    <row r="785" spans="1:16" ht="30" customHeight="1">
      <c r="A785" s="61" t="s">
        <v>436</v>
      </c>
      <c r="B785" s="62" t="s">
        <v>26</v>
      </c>
      <c r="C785" s="63" t="s">
        <v>437</v>
      </c>
      <c r="D785" s="1219" t="str">
        <f>IFERROR(UPPER(IF(B785="CPU",VLOOKUP(C785,#REF!,2,0),IF(B785="SINAPI",VLOOKUP(C785,#REF!,2,0),IF(B785="EDIF",VLOOKUP(C785,#REF!,2,0),IF(B785="CDHU",VLOOKUP(C785,#REF!,2,0),IF(B785="FDE",VLOOKUP(C785,'FDE 10-23 '!$A$4:$E$3180,2,0),IF(B785="INFRA",VLOOKUP(C785,#REF!,2,0),""))))))),"")</f>
        <v>SERVICOS EM REDE DE ESGOTO</v>
      </c>
      <c r="E785" s="65" t="str">
        <f>VLOOKUP(C785,'FDE 10-23 '!$A$4:$E$3180,3,0)</f>
        <v>MV</v>
      </c>
      <c r="F785" s="1112">
        <v>94.9</v>
      </c>
      <c r="G785" s="66"/>
      <c r="H785" s="1220"/>
      <c r="I785" s="66"/>
      <c r="J785" s="66"/>
      <c r="K785" s="66"/>
      <c r="L785" s="1222"/>
      <c r="M785" s="51"/>
      <c r="N785" s="52"/>
      <c r="O785" s="25"/>
      <c r="P785" s="25"/>
    </row>
    <row r="786" spans="1:16" ht="30" customHeight="1">
      <c r="A786" s="53" t="s">
        <v>438</v>
      </c>
      <c r="B786" s="54"/>
      <c r="C786" s="54" t="s">
        <v>439</v>
      </c>
      <c r="D786" s="1216" t="s">
        <v>440</v>
      </c>
      <c r="E786" s="56" t="str">
        <f>IFERROR(UPPER(IF(B786="CPU",VLOOKUP(C786,#REF!,3,0),IF(B786="SINAPI",VLOOKUP(C786,#REF!,3,0),IF(B786="EDIF",VLOOKUP(C786,#REF!,3,0),IF(B786="CDHU",VLOOKUP(C786,#REF!,3,0),IF(B786="FDE",VLOOKUP(C786,#REF!,3,0),IF(B786="INFRA",VLOOKUP(C786,#REF!,3,0),""))))))),"")</f>
        <v/>
      </c>
      <c r="F786" s="1234"/>
      <c r="G786" s="57"/>
      <c r="H786" s="1217"/>
      <c r="I786" s="1217"/>
      <c r="J786" s="1217"/>
      <c r="K786" s="1217"/>
      <c r="L786" s="1218"/>
      <c r="M786" s="51"/>
      <c r="N786" s="52"/>
      <c r="O786" s="25"/>
      <c r="P786" s="25"/>
    </row>
    <row r="787" spans="1:16" ht="30" customHeight="1">
      <c r="A787" s="61" t="s">
        <v>441</v>
      </c>
      <c r="B787" s="62" t="s">
        <v>26</v>
      </c>
      <c r="C787" s="63" t="s">
        <v>442</v>
      </c>
      <c r="D787" s="1219" t="str">
        <f>IFERROR(UPPER(IF(B787="CPU",VLOOKUP(C787,#REF!,2,0),IF(B787="SINAPI",VLOOKUP(C787,#REF!,2,0),IF(B787="EDIF",VLOOKUP(C787,#REF!,2,0),IF(B787="CDHU",VLOOKUP(C787,#REF!,2,0),IF(B787="FDE",VLOOKUP(C787,'FDE 10-23 '!$A$4:$E$3180,2,0),IF(B787="INFRA",VLOOKUP(C787,#REF!,2,0),""))))))),"")</f>
        <v>RALO SIFONADO DE F.FUNDIDO DN 150 MM C/GRELHA PVC CROMADO</v>
      </c>
      <c r="E787" s="65" t="str">
        <f>VLOOKUP(C787,'FDE 10-23 '!$A$4:$E$3180,3,0)</f>
        <v>UN</v>
      </c>
      <c r="F787" s="1112">
        <v>26</v>
      </c>
      <c r="G787" s="66"/>
      <c r="H787" s="1220"/>
      <c r="I787" s="66"/>
      <c r="J787" s="66"/>
      <c r="K787" s="66"/>
      <c r="L787" s="1222"/>
      <c r="M787" s="51"/>
      <c r="N787" s="52"/>
      <c r="O787" s="25"/>
      <c r="P787" s="25"/>
    </row>
    <row r="788" spans="1:16" ht="30" customHeight="1">
      <c r="A788" s="61" t="s">
        <v>443</v>
      </c>
      <c r="B788" s="62" t="s">
        <v>26</v>
      </c>
      <c r="C788" s="63" t="s">
        <v>444</v>
      </c>
      <c r="D788" s="1219" t="str">
        <f>IFERROR(UPPER(IF(B788="CPU",VLOOKUP(C788,#REF!,2,0),IF(B788="SINAPI",VLOOKUP(C788,#REF!,2,0),IF(B788="EDIF",VLOOKUP(C788,#REF!,2,0),IF(B788="CDHU",VLOOKUP(C788,#REF!,2,0),IF(B788="FDE",VLOOKUP(C788,'FDE 10-23 '!$A$4:$E$3180,2,0),IF(B788="INFRA",VLOOKUP(C788,#REF!,2,0),""))))))),"")</f>
        <v>SERVICOS EM REDE DE ESGOTO</v>
      </c>
      <c r="E788" s="65" t="str">
        <f>VLOOKUP(C788,'FDE 10-23 '!$A$4:$E$3180,3,0)</f>
        <v>MV</v>
      </c>
      <c r="F788" s="1112">
        <v>2.16</v>
      </c>
      <c r="G788" s="66"/>
      <c r="H788" s="1220"/>
      <c r="I788" s="66"/>
      <c r="J788" s="66"/>
      <c r="K788" s="66"/>
      <c r="L788" s="1222"/>
      <c r="M788" s="51"/>
      <c r="N788" s="52"/>
      <c r="O788" s="25"/>
      <c r="P788" s="25"/>
    </row>
    <row r="789" spans="1:16" ht="30" customHeight="1">
      <c r="A789" s="53" t="s">
        <v>445</v>
      </c>
      <c r="B789" s="54"/>
      <c r="C789" s="54" t="s">
        <v>446</v>
      </c>
      <c r="D789" s="1216" t="s">
        <v>447</v>
      </c>
      <c r="E789" s="56" t="str">
        <f>IFERROR(UPPER(IF(B789="CPU",VLOOKUP(C789,#REF!,3,0),IF(B789="SINAPI",VLOOKUP(C789,#REF!,3,0),IF(B789="EDIF",VLOOKUP(C789,#REF!,3,0),IF(B789="CDHU",VLOOKUP(C789,#REF!,3,0),IF(B789="FDE",VLOOKUP(C789,#REF!,3,0),IF(B789="INFRA",VLOOKUP(C789,#REF!,3,0),""))))))),"")</f>
        <v/>
      </c>
      <c r="F789" s="1234"/>
      <c r="G789" s="57"/>
      <c r="H789" s="1217"/>
      <c r="I789" s="1217"/>
      <c r="J789" s="1217"/>
      <c r="K789" s="1217"/>
      <c r="L789" s="1218"/>
      <c r="M789" s="51"/>
      <c r="N789" s="52"/>
      <c r="O789" s="25"/>
      <c r="P789" s="25"/>
    </row>
    <row r="790" spans="1:16" ht="30" customHeight="1">
      <c r="A790" s="61" t="s">
        <v>448</v>
      </c>
      <c r="B790" s="62" t="s">
        <v>26</v>
      </c>
      <c r="C790" s="63" t="s">
        <v>449</v>
      </c>
      <c r="D790" s="1219" t="str">
        <f>IFERROR(UPPER(IF(B790="CPU",VLOOKUP(C790,#REF!,2,0),IF(B790="SINAPI",VLOOKUP(C790,#REF!,2,0),IF(B790="EDIF",VLOOKUP(C790,#REF!,2,0),IF(B790="CDHU",VLOOKUP(C790,#REF!,2,0),IF(B790="FDE",VLOOKUP(C790,'FDE 10-23 '!$A$4:$E$3180,2,0),IF(B790="INFRA",VLOOKUP(C790,#REF!,2,0),""))))))),"")</f>
        <v>TUBO DE FERRO FUNDIDO DN 100MM (4") - INCLUSIVE CONEXOES</v>
      </c>
      <c r="E790" s="65" t="str">
        <f>VLOOKUP(C790,'FDE 10-23 '!$A$4:$E$3180,3,0)</f>
        <v>M</v>
      </c>
      <c r="F790" s="1112">
        <v>127</v>
      </c>
      <c r="G790" s="66"/>
      <c r="H790" s="1220"/>
      <c r="I790" s="66"/>
      <c r="J790" s="66"/>
      <c r="K790" s="66"/>
      <c r="L790" s="1222"/>
      <c r="M790" s="51"/>
      <c r="N790" s="52"/>
      <c r="O790" s="25"/>
      <c r="P790" s="25"/>
    </row>
    <row r="791" spans="1:16" ht="30" customHeight="1">
      <c r="A791" s="61" t="s">
        <v>450</v>
      </c>
      <c r="B791" s="62" t="s">
        <v>26</v>
      </c>
      <c r="C791" s="63" t="s">
        <v>451</v>
      </c>
      <c r="D791" s="1219" t="str">
        <f>IFERROR(UPPER(IF(B791="CPU",VLOOKUP(C791,#REF!,2,0),IF(B791="SINAPI",VLOOKUP(C791,#REF!,2,0),IF(B791="EDIF",VLOOKUP(C791,#REF!,2,0),IF(B791="CDHU",VLOOKUP(C791,#REF!,2,0),IF(B791="FDE",VLOOKUP(C791,'FDE 10-23 '!$A$4:$E$3180,2,0),IF(B791="INFRA",VLOOKUP(C791,#REF!,2,0),""))))))),"")</f>
        <v>TUBO DE FERRO FUNDIDO DN 150MM (6") - INCLUSIVE CONEXOES</v>
      </c>
      <c r="E791" s="65" t="str">
        <f>VLOOKUP(C791,'FDE 10-23 '!$A$4:$E$3180,3,0)</f>
        <v>M</v>
      </c>
      <c r="F791" s="1112">
        <v>7</v>
      </c>
      <c r="G791" s="66"/>
      <c r="H791" s="1220"/>
      <c r="I791" s="66"/>
      <c r="J791" s="66"/>
      <c r="K791" s="66"/>
      <c r="L791" s="1222"/>
      <c r="M791" s="51"/>
      <c r="N791" s="52"/>
      <c r="O791" s="25"/>
      <c r="P791" s="25"/>
    </row>
    <row r="792" spans="1:16" ht="30" customHeight="1">
      <c r="A792" s="61" t="s">
        <v>452</v>
      </c>
      <c r="B792" s="62" t="s">
        <v>26</v>
      </c>
      <c r="C792" s="63" t="s">
        <v>453</v>
      </c>
      <c r="D792" s="1219" t="str">
        <f>IFERROR(UPPER(IF(B792="CPU",VLOOKUP(C792,#REF!,2,0),IF(B792="SINAPI",VLOOKUP(C792,#REF!,2,0),IF(B792="EDIF",VLOOKUP(C792,#REF!,2,0),IF(B792="CDHU",VLOOKUP(C792,#REF!,2,0),IF(B792="FDE",VLOOKUP(C792,'FDE 10-23 '!$A$4:$E$3180,2,0),IF(B792="INFRA",VLOOKUP(C792,#REF!,2,0),""))))))),"")</f>
        <v>TUBO DE PVC REFORÇADO "SR" JUNTA ELÁSTICA DN 50 INCL CONEXÕES</v>
      </c>
      <c r="E792" s="65" t="str">
        <f>VLOOKUP(C792,'FDE 10-23 '!$A$4:$E$3180,3,0)</f>
        <v>M</v>
      </c>
      <c r="F792" s="1112">
        <v>17</v>
      </c>
      <c r="G792" s="66"/>
      <c r="H792" s="1220"/>
      <c r="I792" s="66"/>
      <c r="J792" s="66"/>
      <c r="K792" s="66"/>
      <c r="L792" s="1222"/>
      <c r="M792" s="51"/>
      <c r="N792" s="52"/>
      <c r="O792" s="25"/>
      <c r="P792" s="25"/>
    </row>
    <row r="793" spans="1:16" ht="30" customHeight="1">
      <c r="A793" s="61" t="s">
        <v>454</v>
      </c>
      <c r="B793" s="62" t="s">
        <v>26</v>
      </c>
      <c r="C793" s="63" t="s">
        <v>455</v>
      </c>
      <c r="D793" s="1219" t="str">
        <f>IFERROR(UPPER(IF(B793="CPU",VLOOKUP(C793,#REF!,2,0),IF(B793="SINAPI",VLOOKUP(C793,#REF!,2,0),IF(B793="EDIF",VLOOKUP(C793,#REF!,2,0),IF(B793="CDHU",VLOOKUP(C793,#REF!,2,0),IF(B793="FDE",VLOOKUP(C793,'FDE 10-23 '!$A$4:$E$3180,2,0),IF(B793="INFRA",VLOOKUP(C793,#REF!,2,0),""))))))),"")</f>
        <v>TUBO DE PVC REFORÇADO "SR" JUNTA ELÁSTICA DN 100 INCL CONEXÕES</v>
      </c>
      <c r="E793" s="65" t="str">
        <f>VLOOKUP(C793,'FDE 10-23 '!$A$4:$E$3180,3,0)</f>
        <v>M</v>
      </c>
      <c r="F793" s="1112">
        <v>91</v>
      </c>
      <c r="G793" s="66"/>
      <c r="H793" s="1220"/>
      <c r="I793" s="66"/>
      <c r="J793" s="66"/>
      <c r="K793" s="66"/>
      <c r="L793" s="1222"/>
      <c r="M793" s="51"/>
      <c r="N793" s="52"/>
      <c r="O793" s="25"/>
      <c r="P793" s="25"/>
    </row>
    <row r="794" spans="1:16" ht="30" customHeight="1">
      <c r="A794" s="53" t="s">
        <v>456</v>
      </c>
      <c r="B794" s="54"/>
      <c r="C794" s="54" t="s">
        <v>457</v>
      </c>
      <c r="D794" s="1216" t="s">
        <v>458</v>
      </c>
      <c r="E794" s="56" t="str">
        <f>IFERROR(UPPER(IF(B794="CPU",VLOOKUP(C794,#REF!,3,0),IF(B794="SINAPI",VLOOKUP(C794,#REF!,3,0),IF(B794="EDIF",VLOOKUP(C794,#REF!,3,0),IF(B794="CDHU",VLOOKUP(C794,#REF!,3,0),IF(B794="FDE",VLOOKUP(C794,#REF!,3,0),IF(B794="INFRA",VLOOKUP(C794,#REF!,3,0),""))))))),"")</f>
        <v/>
      </c>
      <c r="F794" s="1234"/>
      <c r="G794" s="57"/>
      <c r="H794" s="1217"/>
      <c r="I794" s="1217"/>
      <c r="J794" s="1217"/>
      <c r="K794" s="1217"/>
      <c r="L794" s="1218"/>
      <c r="M794" s="51"/>
      <c r="N794" s="52"/>
      <c r="O794" s="25"/>
      <c r="P794" s="25"/>
    </row>
    <row r="795" spans="1:16" ht="30" customHeight="1">
      <c r="A795" s="61" t="s">
        <v>459</v>
      </c>
      <c r="B795" s="62" t="s">
        <v>26</v>
      </c>
      <c r="C795" s="63" t="s">
        <v>460</v>
      </c>
      <c r="D795" s="1219" t="str">
        <f>IFERROR(UPPER(IF(B795="CPU",VLOOKUP(C795,#REF!,2,0),IF(B795="SINAPI",VLOOKUP(C795,#REF!,2,0),IF(B795="EDIF",VLOOKUP(C795,#REF!,2,0),IF(B795="CDHU",VLOOKUP(C795,#REF!,2,0),IF(B795="FDE",VLOOKUP(C795,'FDE 10-23 '!$A$4:$E$3180,2,0),IF(B795="INFRA",VLOOKUP(C795,#REF!,2,0),""))))))),"")</f>
        <v>RUFO EM CHAPA GALVANIZADA N 24 - CORTE 0,25 M</v>
      </c>
      <c r="E795" s="65" t="str">
        <f>VLOOKUP(C795,'FDE 10-23 '!$A$4:$E$3180,3,0)</f>
        <v>M</v>
      </c>
      <c r="F795" s="1112">
        <v>81</v>
      </c>
      <c r="G795" s="66"/>
      <c r="H795" s="1220"/>
      <c r="I795" s="66"/>
      <c r="J795" s="66"/>
      <c r="K795" s="66"/>
      <c r="L795" s="1222"/>
      <c r="M795" s="51"/>
      <c r="N795" s="52"/>
      <c r="O795" s="25"/>
      <c r="P795" s="25"/>
    </row>
    <row r="796" spans="1:16" ht="30" customHeight="1">
      <c r="A796" s="61" t="s">
        <v>461</v>
      </c>
      <c r="B796" s="62" t="s">
        <v>26</v>
      </c>
      <c r="C796" s="63" t="s">
        <v>462</v>
      </c>
      <c r="D796" s="1219" t="str">
        <f>IFERROR(UPPER(IF(B796="CPU",VLOOKUP(C796,#REF!,2,0),IF(B796="SINAPI",VLOOKUP(C796,#REF!,2,0),IF(B796="EDIF",VLOOKUP(C796,#REF!,2,0),IF(B796="CDHU",VLOOKUP(C796,#REF!,2,0),IF(B796="FDE",VLOOKUP(C796,'FDE 10-23 '!$A$4:$E$3180,2,0),IF(B796="INFRA",VLOOKUP(C796,#REF!,2,0),""))))))),"")</f>
        <v>RUFO EM CHAPA GALVANIZADA N 24 - CORTE 0,33 M</v>
      </c>
      <c r="E796" s="65" t="str">
        <f>VLOOKUP(C796,'FDE 10-23 '!$A$4:$E$3180,3,0)</f>
        <v>M</v>
      </c>
      <c r="F796" s="1112">
        <v>100.8</v>
      </c>
      <c r="G796" s="66"/>
      <c r="H796" s="1220"/>
      <c r="I796" s="66"/>
      <c r="J796" s="66"/>
      <c r="K796" s="66"/>
      <c r="L796" s="1222"/>
      <c r="M796" s="51"/>
      <c r="N796" s="52"/>
      <c r="O796" s="25"/>
      <c r="P796" s="25"/>
    </row>
    <row r="797" spans="1:16" ht="30" customHeight="1">
      <c r="A797" s="61" t="s">
        <v>463</v>
      </c>
      <c r="B797" s="62" t="s">
        <v>26</v>
      </c>
      <c r="C797" s="63" t="s">
        <v>464</v>
      </c>
      <c r="D797" s="1219" t="str">
        <f>IFERROR(UPPER(IF(B797="CPU",VLOOKUP(C797,#REF!,2,0),IF(B797="SINAPI",VLOOKUP(C797,#REF!,2,0),IF(B797="EDIF",VLOOKUP(C797,#REF!,2,0),IF(B797="CDHU",VLOOKUP(C797,#REF!,2,0),IF(B797="FDE",VLOOKUP(C797,'FDE 10-23 '!$A$4:$E$3180,2,0),IF(B797="INFRA",VLOOKUP(C797,#REF!,2,0),""))))))),"")</f>
        <v>RUFO EM CHAPA GALVANIZADA N 24 - CORTE 0,50 M</v>
      </c>
      <c r="E797" s="65" t="str">
        <f>VLOOKUP(C797,'FDE 10-23 '!$A$4:$E$3180,3,0)</f>
        <v>M</v>
      </c>
      <c r="F797" s="1112">
        <v>9.6</v>
      </c>
      <c r="G797" s="66"/>
      <c r="H797" s="1220"/>
      <c r="I797" s="66"/>
      <c r="J797" s="66"/>
      <c r="K797" s="66"/>
      <c r="L797" s="1222"/>
      <c r="M797" s="51"/>
      <c r="N797" s="52"/>
      <c r="O797" s="25"/>
      <c r="P797" s="25"/>
    </row>
    <row r="798" spans="1:16" ht="30" customHeight="1">
      <c r="A798" s="61" t="s">
        <v>465</v>
      </c>
      <c r="B798" s="62" t="s">
        <v>26</v>
      </c>
      <c r="C798" s="63" t="s">
        <v>466</v>
      </c>
      <c r="D798" s="1219" t="str">
        <f>IFERROR(UPPER(IF(B798="CPU",VLOOKUP(C798,#REF!,2,0),IF(B798="SINAPI",VLOOKUP(C798,#REF!,2,0),IF(B798="EDIF",VLOOKUP(C798,#REF!,2,0),IF(B798="CDHU",VLOOKUP(C798,#REF!,2,0),IF(B798="FDE",VLOOKUP(C798,'FDE 10-23 '!$A$4:$E$3180,2,0),IF(B798="INFRA",VLOOKUP(C798,#REF!,2,0),""))))))),"")</f>
        <v>GRELHA HEMISFERICA DE FERRO FUNDIDO DN 100MM (4")</v>
      </c>
      <c r="E798" s="65" t="str">
        <f>VLOOKUP(C798,'FDE 10-23 '!$A$4:$E$3180,3,0)</f>
        <v>UN</v>
      </c>
      <c r="F798" s="1112">
        <v>26</v>
      </c>
      <c r="G798" s="66"/>
      <c r="H798" s="1220"/>
      <c r="I798" s="66"/>
      <c r="J798" s="66"/>
      <c r="K798" s="66"/>
      <c r="L798" s="1222"/>
      <c r="M798" s="51"/>
      <c r="N798" s="52"/>
      <c r="O798" s="25"/>
      <c r="P798" s="25"/>
    </row>
    <row r="799" spans="1:16" ht="30" customHeight="1">
      <c r="A799" s="61" t="s">
        <v>467</v>
      </c>
      <c r="B799" s="62" t="s">
        <v>26</v>
      </c>
      <c r="C799" s="63" t="s">
        <v>468</v>
      </c>
      <c r="D799" s="1219" t="str">
        <f>IFERROR(UPPER(IF(B799="CPU",VLOOKUP(C799,#REF!,2,0),IF(B799="SINAPI",VLOOKUP(C799,#REF!,2,0),IF(B799="EDIF",VLOOKUP(C799,#REF!,2,0),IF(B799="CDHU",VLOOKUP(C799,#REF!,2,0),IF(B799="FDE",VLOOKUP(C799,'FDE 10-23 '!$A$4:$E$3180,2,0),IF(B799="INFRA",VLOOKUP(C799,#REF!,2,0),""))))))),"")</f>
        <v>SERVICOS EM REDE DE AGUAS PLUVIAIS</v>
      </c>
      <c r="E799" s="65" t="str">
        <f>VLOOKUP(C799,'FDE 10-23 '!$A$4:$E$3180,3,0)</f>
        <v>MV</v>
      </c>
      <c r="F799" s="1112">
        <v>38.28</v>
      </c>
      <c r="G799" s="66"/>
      <c r="H799" s="1220"/>
      <c r="I799" s="66"/>
      <c r="J799" s="66"/>
      <c r="K799" s="66"/>
      <c r="L799" s="1222"/>
      <c r="M799" s="51"/>
      <c r="N799" s="52"/>
      <c r="O799" s="25"/>
      <c r="P799" s="25"/>
    </row>
    <row r="800" spans="1:16" ht="30" customHeight="1">
      <c r="A800" s="53" t="s">
        <v>469</v>
      </c>
      <c r="B800" s="54"/>
      <c r="C800" s="54" t="s">
        <v>470</v>
      </c>
      <c r="D800" s="1216" t="s">
        <v>471</v>
      </c>
      <c r="E800" s="56" t="str">
        <f>IFERROR(UPPER(IF(B800="CPU",VLOOKUP(C800,#REF!,3,0),IF(B800="SINAPI",VLOOKUP(C800,#REF!,3,0),IF(B800="EDIF",VLOOKUP(C800,#REF!,3,0),IF(B800="CDHU",VLOOKUP(C800,#REF!,3,0),IF(B800="FDE",VLOOKUP(C800,#REF!,3,0),IF(B800="INFRA",VLOOKUP(C800,#REF!,3,0),""))))))),"")</f>
        <v/>
      </c>
      <c r="F800" s="1234"/>
      <c r="G800" s="57"/>
      <c r="H800" s="1217"/>
      <c r="I800" s="1217"/>
      <c r="J800" s="1217"/>
      <c r="K800" s="1217"/>
      <c r="L800" s="1218"/>
      <c r="M800" s="51"/>
      <c r="N800" s="52"/>
      <c r="O800" s="25"/>
      <c r="P800" s="25"/>
    </row>
    <row r="801" spans="1:16" ht="30" customHeight="1">
      <c r="A801" s="61" t="s">
        <v>472</v>
      </c>
      <c r="B801" s="62" t="s">
        <v>26</v>
      </c>
      <c r="C801" s="63" t="s">
        <v>473</v>
      </c>
      <c r="D801" s="1219" t="str">
        <f>IFERROR(UPPER(IF(B801="CPU",VLOOKUP(C801,#REF!,2,0),IF(B801="SINAPI",VLOOKUP(C801,#REF!,2,0),IF(B801="EDIF",VLOOKUP(C801,#REF!,2,0),IF(B801="CDHU",VLOOKUP(C801,#REF!,2,0),IF(B801="FDE",VLOOKUP(C801,'FDE 10-23 '!$A$4:$E$3180,2,0),IF(B801="INFRA",VLOOKUP(C801,#REF!,2,0),""))))))),"")</f>
        <v>TUBO ACO GALVANIZ NBR5580-CL MEDIA, DN25MM (1") - INCL CONEXOES</v>
      </c>
      <c r="E801" s="65" t="str">
        <f>VLOOKUP(C801,'FDE 10-23 '!$A$4:$E$3180,3,0)</f>
        <v>M</v>
      </c>
      <c r="F801" s="1112">
        <v>7</v>
      </c>
      <c r="G801" s="66"/>
      <c r="H801" s="1220"/>
      <c r="I801" s="66"/>
      <c r="J801" s="66"/>
      <c r="K801" s="66"/>
      <c r="L801" s="1222"/>
      <c r="M801" s="51"/>
      <c r="N801" s="52"/>
      <c r="O801" s="25"/>
      <c r="P801" s="25"/>
    </row>
    <row r="802" spans="1:16" ht="30" customHeight="1">
      <c r="A802" s="61" t="s">
        <v>474</v>
      </c>
      <c r="B802" s="62" t="s">
        <v>26</v>
      </c>
      <c r="C802" s="63" t="s">
        <v>475</v>
      </c>
      <c r="D802" s="1219" t="str">
        <f>IFERROR(UPPER(IF(B802="CPU",VLOOKUP(C802,#REF!,2,0),IF(B802="SINAPI",VLOOKUP(C802,#REF!,2,0),IF(B802="EDIF",VLOOKUP(C802,#REF!,2,0),IF(B802="CDHU",VLOOKUP(C802,#REF!,2,0),IF(B802="FDE",VLOOKUP(C802,'FDE 10-23 '!$A$4:$E$3180,2,0),IF(B802="INFRA",VLOOKUP(C802,#REF!,2,0),""))))))),"")</f>
        <v>TUBO ACO GALVANIZ NBR5580-CL MEDIA, DN32MM (1 1/4")-INCL CONEXOES</v>
      </c>
      <c r="E802" s="65" t="str">
        <f>VLOOKUP(C802,'FDE 10-23 '!$A$4:$E$3180,3,0)</f>
        <v>M</v>
      </c>
      <c r="F802" s="1112">
        <v>37</v>
      </c>
      <c r="G802" s="66"/>
      <c r="H802" s="1220"/>
      <c r="I802" s="66"/>
      <c r="J802" s="66"/>
      <c r="K802" s="66"/>
      <c r="L802" s="1222"/>
      <c r="M802" s="51"/>
      <c r="N802" s="52"/>
      <c r="O802" s="25"/>
      <c r="P802" s="25"/>
    </row>
    <row r="803" spans="1:16" ht="30" customHeight="1">
      <c r="A803" s="61" t="s">
        <v>476</v>
      </c>
      <c r="B803" s="62" t="s">
        <v>26</v>
      </c>
      <c r="C803" s="63" t="s">
        <v>477</v>
      </c>
      <c r="D803" s="1219" t="str">
        <f>IFERROR(UPPER(IF(B803="CPU",VLOOKUP(C803,#REF!,2,0),IF(B803="SINAPI",VLOOKUP(C803,#REF!,2,0),IF(B803="EDIF",VLOOKUP(C803,#REF!,2,0),IF(B803="CDHU",VLOOKUP(C803,#REF!,2,0),IF(B803="FDE",VLOOKUP(C803,'FDE 10-23 '!$A$4:$E$3180,2,0),IF(B803="INFRA",VLOOKUP(C803,#REF!,2,0),""))))))),"")</f>
        <v>TUBO ACO GALVANIZ NBR5580-CL MEDIA, DN40MM (1 1/2") - INCL CONEXOES</v>
      </c>
      <c r="E803" s="65" t="str">
        <f>VLOOKUP(C803,'FDE 10-23 '!$A$4:$E$3180,3,0)</f>
        <v>M</v>
      </c>
      <c r="F803" s="1112">
        <v>68</v>
      </c>
      <c r="G803" s="66"/>
      <c r="H803" s="1220"/>
      <c r="I803" s="66"/>
      <c r="J803" s="66"/>
      <c r="K803" s="66"/>
      <c r="L803" s="1222"/>
      <c r="M803" s="51"/>
      <c r="N803" s="52"/>
      <c r="O803" s="25"/>
      <c r="P803" s="25"/>
    </row>
    <row r="804" spans="1:16" ht="30" customHeight="1">
      <c r="A804" s="61" t="s">
        <v>478</v>
      </c>
      <c r="B804" s="62" t="s">
        <v>26</v>
      </c>
      <c r="C804" s="63" t="s">
        <v>479</v>
      </c>
      <c r="D804" s="1219" t="str">
        <f>IFERROR(UPPER(IF(B804="CPU",VLOOKUP(C804,#REF!,2,0),IF(B804="SINAPI",VLOOKUP(C804,#REF!,2,0),IF(B804="EDIF",VLOOKUP(C804,#REF!,2,0),IF(B804="CDHU",VLOOKUP(C804,#REF!,2,0),IF(B804="FDE",VLOOKUP(C804,'FDE 10-23 '!$A$4:$E$3180,2,0),IF(B804="INFRA",VLOOKUP(C804,#REF!,2,0),""))))))),"")</f>
        <v>TUBO ACO GALVANIZ NBR5580-CL MEDIA, DN50MM (2") - INCL CONEXOES</v>
      </c>
      <c r="E804" s="65" t="str">
        <f>VLOOKUP(C804,'FDE 10-23 '!$A$4:$E$3180,3,0)</f>
        <v>M</v>
      </c>
      <c r="F804" s="1112">
        <v>14</v>
      </c>
      <c r="G804" s="66"/>
      <c r="H804" s="1220"/>
      <c r="I804" s="66"/>
      <c r="J804" s="66"/>
      <c r="K804" s="66"/>
      <c r="L804" s="1222"/>
      <c r="M804" s="51"/>
      <c r="N804" s="52"/>
      <c r="O804" s="25"/>
      <c r="P804" s="25"/>
    </row>
    <row r="805" spans="1:16" ht="30" customHeight="1">
      <c r="A805" s="61" t="s">
        <v>480</v>
      </c>
      <c r="B805" s="62" t="s">
        <v>26</v>
      </c>
      <c r="C805" s="63" t="s">
        <v>481</v>
      </c>
      <c r="D805" s="1219" t="str">
        <f>IFERROR(UPPER(IF(B805="CPU",VLOOKUP(C805,#REF!,2,0),IF(B805="SINAPI",VLOOKUP(C805,#REF!,2,0),IF(B805="EDIF",VLOOKUP(C805,#REF!,2,0),IF(B805="CDHU",VLOOKUP(C805,#REF!,2,0),IF(B805="FDE",VLOOKUP(C805,'FDE 10-23 '!$A$4:$E$3180,2,0),IF(B805="INFRA",VLOOKUP(C805,#REF!,2,0),""))))))),"")</f>
        <v>TUBO ACO GALVANIZ NBR5580-CL MEDIA, DN80MM (3")-INCL CONEXOES</v>
      </c>
      <c r="E805" s="65" t="str">
        <f>VLOOKUP(C805,'FDE 10-23 '!$A$4:$E$3180,3,0)</f>
        <v>M</v>
      </c>
      <c r="F805" s="1112">
        <v>29</v>
      </c>
      <c r="G805" s="66"/>
      <c r="H805" s="1220"/>
      <c r="I805" s="66"/>
      <c r="J805" s="66"/>
      <c r="K805" s="66"/>
      <c r="L805" s="1222"/>
      <c r="M805" s="51"/>
      <c r="N805" s="52"/>
      <c r="O805" s="25"/>
      <c r="P805" s="25"/>
    </row>
    <row r="806" spans="1:16" ht="30" customHeight="1">
      <c r="A806" s="61" t="s">
        <v>482</v>
      </c>
      <c r="B806" s="62" t="s">
        <v>26</v>
      </c>
      <c r="C806" s="63" t="s">
        <v>483</v>
      </c>
      <c r="D806" s="1219" t="str">
        <f>IFERROR(UPPER(IF(B806="CPU",VLOOKUP(C806,#REF!,2,0),IF(B806="SINAPI",VLOOKUP(C806,#REF!,2,0),IF(B806="EDIF",VLOOKUP(C806,#REF!,2,0),IF(B806="CDHU",VLOOKUP(C806,#REF!,2,0),IF(B806="FDE",VLOOKUP(C806,'FDE 10-23 '!$A$4:$E$3180,2,0),IF(B806="INFRA",VLOOKUP(C806,#REF!,2,0),""))))))),"")</f>
        <v>TUBO ACO GALVANIZ NBR5580-CL MEDIA, DN100MM (4")-INCL CONEXOES</v>
      </c>
      <c r="E806" s="65" t="str">
        <f>VLOOKUP(C806,'FDE 10-23 '!$A$4:$E$3180,3,0)</f>
        <v>M</v>
      </c>
      <c r="F806" s="1112">
        <v>2</v>
      </c>
      <c r="G806" s="66"/>
      <c r="H806" s="1220"/>
      <c r="I806" s="66"/>
      <c r="J806" s="66"/>
      <c r="K806" s="66"/>
      <c r="L806" s="1222"/>
      <c r="M806" s="51"/>
      <c r="N806" s="52"/>
      <c r="O806" s="25"/>
      <c r="P806" s="25"/>
    </row>
    <row r="807" spans="1:16" ht="30" customHeight="1">
      <c r="A807" s="53" t="s">
        <v>484</v>
      </c>
      <c r="B807" s="54"/>
      <c r="C807" s="54" t="s">
        <v>485</v>
      </c>
      <c r="D807" s="1216" t="s">
        <v>486</v>
      </c>
      <c r="E807" s="56" t="str">
        <f>IFERROR(UPPER(IF(B807="CPU",VLOOKUP(C807,#REF!,3,0),IF(B807="SINAPI",VLOOKUP(C807,#REF!,3,0),IF(B807="EDIF",VLOOKUP(C807,#REF!,3,0),IF(B807="CDHU",VLOOKUP(C807,#REF!,3,0),IF(B807="FDE",VLOOKUP(C807,#REF!,3,0),IF(B807="INFRA",VLOOKUP(C807,#REF!,3,0),""))))))),"")</f>
        <v/>
      </c>
      <c r="F807" s="1234"/>
      <c r="G807" s="57"/>
      <c r="H807" s="1217"/>
      <c r="I807" s="1217"/>
      <c r="J807" s="1217"/>
      <c r="K807" s="1217"/>
      <c r="L807" s="1218"/>
      <c r="M807" s="51"/>
      <c r="N807" s="52"/>
      <c r="O807" s="25"/>
      <c r="P807" s="25"/>
    </row>
    <row r="808" spans="1:16" ht="30" customHeight="1">
      <c r="A808" s="61" t="s">
        <v>487</v>
      </c>
      <c r="B808" s="62" t="s">
        <v>26</v>
      </c>
      <c r="C808" s="63" t="s">
        <v>488</v>
      </c>
      <c r="D808" s="1219" t="str">
        <f>IFERROR(UPPER(IF(B808="CPU",VLOOKUP(C808,#REF!,2,0),IF(B808="SINAPI",VLOOKUP(C808,#REF!,2,0),IF(B808="EDIF",VLOOKUP(C808,#REF!,2,0),IF(B808="CDHU",VLOOKUP(C808,#REF!,2,0),IF(B808="FDE",VLOOKUP(C808,'FDE 10-23 '!$A$4:$E$3180,2,0),IF(B808="INFRA",VLOOKUP(C808,#REF!,2,0),""))))))),"")</f>
        <v>REGISTRO DE GAVETA BRUTO DN 25MM (1")</v>
      </c>
      <c r="E808" s="65" t="str">
        <f>VLOOKUP(C808,'FDE 10-23 '!$A$4:$E$3180,3,0)</f>
        <v>UN</v>
      </c>
      <c r="F808" s="1112">
        <v>2</v>
      </c>
      <c r="G808" s="66"/>
      <c r="H808" s="1220"/>
      <c r="I808" s="66"/>
      <c r="J808" s="66"/>
      <c r="K808" s="66"/>
      <c r="L808" s="1222"/>
      <c r="M808" s="51"/>
      <c r="N808" s="52"/>
      <c r="O808" s="25"/>
      <c r="P808" s="25"/>
    </row>
    <row r="809" spans="1:16" ht="30" customHeight="1">
      <c r="A809" s="61" t="s">
        <v>489</v>
      </c>
      <c r="B809" s="62" t="s">
        <v>26</v>
      </c>
      <c r="C809" s="63" t="s">
        <v>490</v>
      </c>
      <c r="D809" s="1219" t="str">
        <f>IFERROR(UPPER(IF(B809="CPU",VLOOKUP(C809,#REF!,2,0),IF(B809="SINAPI",VLOOKUP(C809,#REF!,2,0),IF(B809="EDIF",VLOOKUP(C809,#REF!,2,0),IF(B809="CDHU",VLOOKUP(C809,#REF!,2,0),IF(B809="FDE",VLOOKUP(C809,'FDE 10-23 '!$A$4:$E$3180,2,0),IF(B809="INFRA",VLOOKUP(C809,#REF!,2,0),""))))))),"")</f>
        <v>REGISTRO DE GAVETA BRUTO DN 32MM (1 1/4")</v>
      </c>
      <c r="E809" s="65" t="str">
        <f>VLOOKUP(C809,'FDE 10-23 '!$A$4:$E$3180,3,0)</f>
        <v>UN</v>
      </c>
      <c r="F809" s="1112">
        <v>2</v>
      </c>
      <c r="G809" s="66"/>
      <c r="H809" s="1220"/>
      <c r="I809" s="66"/>
      <c r="J809" s="66"/>
      <c r="K809" s="66"/>
      <c r="L809" s="1222"/>
      <c r="M809" s="51"/>
      <c r="N809" s="52"/>
      <c r="O809" s="25"/>
      <c r="P809" s="25"/>
    </row>
    <row r="810" spans="1:16" ht="30" customHeight="1">
      <c r="A810" s="61" t="s">
        <v>491</v>
      </c>
      <c r="B810" s="62" t="s">
        <v>26</v>
      </c>
      <c r="C810" s="63" t="s">
        <v>492</v>
      </c>
      <c r="D810" s="1219" t="str">
        <f>IFERROR(UPPER(IF(B810="CPU",VLOOKUP(C810,#REF!,2,0),IF(B810="SINAPI",VLOOKUP(C810,#REF!,2,0),IF(B810="EDIF",VLOOKUP(C810,#REF!,2,0),IF(B810="CDHU",VLOOKUP(C810,#REF!,2,0),IF(B810="FDE",VLOOKUP(C810,'FDE 10-23 '!$A$4:$E$3180,2,0),IF(B810="INFRA",VLOOKUP(C810,#REF!,2,0),""))))))),"")</f>
        <v>REGISTRO DE GAVETA BRUTO DN 40MM (1.1/2")</v>
      </c>
      <c r="E810" s="65" t="str">
        <f>VLOOKUP(C810,'FDE 10-23 '!$A$4:$E$3180,3,0)</f>
        <v>UN</v>
      </c>
      <c r="F810" s="1112">
        <v>10</v>
      </c>
      <c r="G810" s="66"/>
      <c r="H810" s="1220"/>
      <c r="I810" s="66"/>
      <c r="J810" s="66"/>
      <c r="K810" s="66"/>
      <c r="L810" s="1222"/>
      <c r="M810" s="51"/>
      <c r="N810" s="52"/>
      <c r="O810" s="25"/>
      <c r="P810" s="25"/>
    </row>
    <row r="811" spans="1:16" ht="30" customHeight="1">
      <c r="A811" s="61" t="s">
        <v>493</v>
      </c>
      <c r="B811" s="62" t="s">
        <v>26</v>
      </c>
      <c r="C811" s="63" t="s">
        <v>494</v>
      </c>
      <c r="D811" s="1219" t="str">
        <f>IFERROR(UPPER(IF(B811="CPU",VLOOKUP(C811,#REF!,2,0),IF(B811="SINAPI",VLOOKUP(C811,#REF!,2,0),IF(B811="EDIF",VLOOKUP(C811,#REF!,2,0),IF(B811="CDHU",VLOOKUP(C811,#REF!,2,0),IF(B811="FDE",VLOOKUP(C811,'FDE 10-23 '!$A$4:$E$3180,2,0),IF(B811="INFRA",VLOOKUP(C811,#REF!,2,0),""))))))),"")</f>
        <v>REGISTRO DE GAVETA BRUTO DN 50MM (2")</v>
      </c>
      <c r="E811" s="65" t="str">
        <f>VLOOKUP(C811,'FDE 10-23 '!$A$4:$E$3180,3,0)</f>
        <v>UN</v>
      </c>
      <c r="F811" s="1112">
        <v>1</v>
      </c>
      <c r="G811" s="66"/>
      <c r="H811" s="1220"/>
      <c r="I811" s="66"/>
      <c r="J811" s="66"/>
      <c r="K811" s="66"/>
      <c r="L811" s="1222"/>
      <c r="M811" s="51"/>
      <c r="N811" s="52"/>
      <c r="O811" s="25"/>
      <c r="P811" s="25"/>
    </row>
    <row r="812" spans="1:16" ht="30" customHeight="1">
      <c r="A812" s="61" t="s">
        <v>495</v>
      </c>
      <c r="B812" s="62" t="s">
        <v>26</v>
      </c>
      <c r="C812" s="63" t="s">
        <v>496</v>
      </c>
      <c r="D812" s="1219" t="str">
        <f>IFERROR(UPPER(IF(B812="CPU",VLOOKUP(C812,#REF!,2,0),IF(B812="SINAPI",VLOOKUP(C812,#REF!,2,0),IF(B812="EDIF",VLOOKUP(C812,#REF!,2,0),IF(B812="CDHU",VLOOKUP(C812,#REF!,2,0),IF(B812="FDE",VLOOKUP(C812,'FDE 10-23 '!$A$4:$E$3180,2,0),IF(B812="INFRA",VLOOKUP(C812,#REF!,2,0),""))))))),"")</f>
        <v>REGISTRO DE GAVETA BRUTO DN 80MM (3")</v>
      </c>
      <c r="E812" s="65" t="str">
        <f>VLOOKUP(C812,'FDE 10-23 '!$A$4:$E$3180,3,0)</f>
        <v>UN</v>
      </c>
      <c r="F812" s="1112">
        <v>4</v>
      </c>
      <c r="G812" s="66"/>
      <c r="H812" s="1220"/>
      <c r="I812" s="66"/>
      <c r="J812" s="66"/>
      <c r="K812" s="66"/>
      <c r="L812" s="1222"/>
      <c r="M812" s="51"/>
      <c r="N812" s="52"/>
      <c r="O812" s="25"/>
      <c r="P812" s="25"/>
    </row>
    <row r="813" spans="1:16" ht="30" customHeight="1">
      <c r="A813" s="61" t="s">
        <v>497</v>
      </c>
      <c r="B813" s="62" t="s">
        <v>26</v>
      </c>
      <c r="C813" s="63" t="s">
        <v>498</v>
      </c>
      <c r="D813" s="1219" t="str">
        <f>IFERROR(UPPER(IF(B813="CPU",VLOOKUP(C813,#REF!,2,0),IF(B813="SINAPI",VLOOKUP(C813,#REF!,2,0),IF(B813="EDIF",VLOOKUP(C813,#REF!,2,0),IF(B813="CDHU",VLOOKUP(C813,#REF!,2,0),IF(B813="FDE",VLOOKUP(C813,'FDE 10-23 '!$A$4:$E$3180,2,0),IF(B813="INFRA",VLOOKUP(C813,#REF!,2,0),""))))))),"")</f>
        <v>VALVULA DE RETENCAO HORIZONTAL DE BRONZE DE 1"</v>
      </c>
      <c r="E813" s="65" t="str">
        <f>VLOOKUP(C813,'FDE 10-23 '!$A$4:$E$3180,3,0)</f>
        <v>UN</v>
      </c>
      <c r="F813" s="1112">
        <v>1</v>
      </c>
      <c r="G813" s="66"/>
      <c r="H813" s="1220"/>
      <c r="I813" s="66"/>
      <c r="J813" s="66"/>
      <c r="K813" s="66"/>
      <c r="L813" s="1222"/>
      <c r="M813" s="51"/>
      <c r="N813" s="52"/>
      <c r="O813" s="25"/>
      <c r="P813" s="25"/>
    </row>
    <row r="814" spans="1:16" ht="30" customHeight="1">
      <c r="A814" s="61" t="s">
        <v>499</v>
      </c>
      <c r="B814" s="62" t="s">
        <v>26</v>
      </c>
      <c r="C814" s="63" t="s">
        <v>500</v>
      </c>
      <c r="D814" s="1219" t="str">
        <f>IFERROR(UPPER(IF(B814="CPU",VLOOKUP(C814,#REF!,2,0),IF(B814="SINAPI",VLOOKUP(C814,#REF!,2,0),IF(B814="EDIF",VLOOKUP(C814,#REF!,2,0),IF(B814="CDHU",VLOOKUP(C814,#REF!,2,0),IF(B814="FDE",VLOOKUP(C814,'FDE 10-23 '!$A$4:$E$3180,2,0),IF(B814="INFRA",VLOOKUP(C814,#REF!,2,0),""))))))),"")</f>
        <v>VALVULA DE RETENCAO HORIZONTAL DE BRONZE DE 1.1/2"</v>
      </c>
      <c r="E814" s="65" t="str">
        <f>VLOOKUP(C814,'FDE 10-23 '!$A$4:$E$3180,3,0)</f>
        <v>UN</v>
      </c>
      <c r="F814" s="1112">
        <v>1</v>
      </c>
      <c r="G814" s="66"/>
      <c r="H814" s="1220"/>
      <c r="I814" s="66"/>
      <c r="J814" s="66"/>
      <c r="K814" s="66"/>
      <c r="L814" s="1222"/>
      <c r="M814" s="51"/>
      <c r="N814" s="52"/>
      <c r="O814" s="25"/>
      <c r="P814" s="25"/>
    </row>
    <row r="815" spans="1:16" ht="30" customHeight="1">
      <c r="A815" s="61" t="s">
        <v>501</v>
      </c>
      <c r="B815" s="62" t="s">
        <v>26</v>
      </c>
      <c r="C815" s="63" t="s">
        <v>502</v>
      </c>
      <c r="D815" s="1219" t="str">
        <f>IFERROR(UPPER(IF(B815="CPU",VLOOKUP(C815,#REF!,2,0),IF(B815="SINAPI",VLOOKUP(C815,#REF!,2,0),IF(B815="EDIF",VLOOKUP(C815,#REF!,2,0),IF(B815="CDHU",VLOOKUP(C815,#REF!,2,0),IF(B815="FDE",VLOOKUP(C815,'FDE 10-23 '!$A$4:$E$3180,2,0),IF(B815="INFRA",VLOOKUP(C815,#REF!,2,0),""))))))),"")</f>
        <v>VALVULA DE RETENCAO VERTICAL DE BRONZE DE 1.1/2"</v>
      </c>
      <c r="E815" s="65" t="str">
        <f>VLOOKUP(C815,'FDE 10-23 '!$A$4:$E$3180,3,0)</f>
        <v>UN</v>
      </c>
      <c r="F815" s="1112">
        <v>2</v>
      </c>
      <c r="G815" s="66"/>
      <c r="H815" s="1220"/>
      <c r="I815" s="66"/>
      <c r="J815" s="66"/>
      <c r="K815" s="66"/>
      <c r="L815" s="1222"/>
      <c r="M815" s="51"/>
      <c r="N815" s="52"/>
      <c r="O815" s="25"/>
      <c r="P815" s="25"/>
    </row>
    <row r="816" spans="1:16" ht="30" customHeight="1">
      <c r="A816" s="61" t="s">
        <v>503</v>
      </c>
      <c r="B816" s="62" t="s">
        <v>26</v>
      </c>
      <c r="C816" s="63" t="s">
        <v>504</v>
      </c>
      <c r="D816" s="1219" t="str">
        <f>IFERROR(UPPER(IF(B816="CPU",VLOOKUP(C816,#REF!,2,0),IF(B816="SINAPI",VLOOKUP(C816,#REF!,2,0),IF(B816="EDIF",VLOOKUP(C816,#REF!,2,0),IF(B816="CDHU",VLOOKUP(C816,#REF!,2,0),IF(B816="FDE",VLOOKUP(C816,'FDE 10-23 '!$A$4:$E$3180,2,0),IF(B816="INFRA",VLOOKUP(C816,#REF!,2,0),""))))))),"")</f>
        <v>VALVULA DE RETENCAO VERTICAL DE BRONZE DE 3"</v>
      </c>
      <c r="E816" s="65" t="str">
        <f>VLOOKUP(C816,'FDE 10-23 '!$A$4:$E$3180,3,0)</f>
        <v>UN</v>
      </c>
      <c r="F816" s="1112">
        <v>2</v>
      </c>
      <c r="G816" s="66"/>
      <c r="H816" s="1220"/>
      <c r="I816" s="66"/>
      <c r="J816" s="66"/>
      <c r="K816" s="66"/>
      <c r="L816" s="1222"/>
      <c r="M816" s="51"/>
      <c r="N816" s="52"/>
      <c r="O816" s="25"/>
      <c r="P816" s="25"/>
    </row>
    <row r="817" spans="1:16" ht="30" customHeight="1">
      <c r="A817" s="61" t="s">
        <v>505</v>
      </c>
      <c r="B817" s="62" t="s">
        <v>26</v>
      </c>
      <c r="C817" s="63" t="s">
        <v>506</v>
      </c>
      <c r="D817" s="1219" t="str">
        <f>IFERROR(UPPER(IF(B817="CPU",VLOOKUP(C817,#REF!,2,0),IF(B817="SINAPI",VLOOKUP(C817,#REF!,2,0),IF(B817="EDIF",VLOOKUP(C817,#REF!,2,0),IF(B817="CDHU",VLOOKUP(C817,#REF!,2,0),IF(B817="FDE",VLOOKUP(C817,'FDE 10-23 '!$A$4:$E$3180,2,0),IF(B817="INFRA",VLOOKUP(C817,#REF!,2,0),""))))))),"")</f>
        <v>VALVULA DE RETENCAO DE PE COM CRIVO DE BRONZE DE 1.1/2"</v>
      </c>
      <c r="E817" s="65" t="str">
        <f>VLOOKUP(C817,'FDE 10-23 '!$A$4:$E$3180,3,0)</f>
        <v>UN</v>
      </c>
      <c r="F817" s="1112">
        <v>1</v>
      </c>
      <c r="G817" s="66"/>
      <c r="H817" s="1220"/>
      <c r="I817" s="66"/>
      <c r="J817" s="66"/>
      <c r="K817" s="66"/>
      <c r="L817" s="1222"/>
      <c r="M817" s="51"/>
      <c r="N817" s="52"/>
      <c r="O817" s="25"/>
      <c r="P817" s="25"/>
    </row>
    <row r="818" spans="1:16" ht="30" customHeight="1">
      <c r="A818" s="61" t="s">
        <v>507</v>
      </c>
      <c r="B818" s="62" t="s">
        <v>26</v>
      </c>
      <c r="C818" s="63" t="s">
        <v>508</v>
      </c>
      <c r="D818" s="1219" t="str">
        <f>IFERROR(UPPER(IF(B818="CPU",VLOOKUP(C818,#REF!,2,0),IF(B818="SINAPI",VLOOKUP(C818,#REF!,2,0),IF(B818="EDIF",VLOOKUP(C818,#REF!,2,0),IF(B818="CDHU",VLOOKUP(C818,#REF!,2,0),IF(B818="FDE",VLOOKUP(C818,'FDE 10-23 '!$A$4:$E$3180,2,0),IF(B818="INFRA",VLOOKUP(C818,#REF!,2,0),""))))))),"")</f>
        <v>TORNEIRA DE BOIA EM LATAO (BOIA PLAST) DN 25MM (1")</v>
      </c>
      <c r="E818" s="65" t="str">
        <f>VLOOKUP(C818,'FDE 10-23 '!$A$4:$E$3180,3,0)</f>
        <v>UN</v>
      </c>
      <c r="F818" s="1112">
        <v>1</v>
      </c>
      <c r="G818" s="66"/>
      <c r="H818" s="1220"/>
      <c r="I818" s="66"/>
      <c r="J818" s="66"/>
      <c r="K818" s="66"/>
      <c r="L818" s="1222"/>
      <c r="M818" s="51"/>
      <c r="N818" s="52"/>
      <c r="O818" s="25"/>
      <c r="P818" s="25"/>
    </row>
    <row r="819" spans="1:16" ht="30" customHeight="1">
      <c r="A819" s="61" t="s">
        <v>509</v>
      </c>
      <c r="B819" s="62" t="s">
        <v>26</v>
      </c>
      <c r="C819" s="63" t="s">
        <v>510</v>
      </c>
      <c r="D819" s="1219" t="str">
        <f>IFERROR(UPPER(IF(B819="CPU",VLOOKUP(C819,#REF!,2,0),IF(B819="SINAPI",VLOOKUP(C819,#REF!,2,0),IF(B819="EDIF",VLOOKUP(C819,#REF!,2,0),IF(B819="CDHU",VLOOKUP(C819,#REF!,2,0),IF(B819="FDE",VLOOKUP(C819,'FDE 10-23 '!$A$4:$E$3180,2,0),IF(B819="INFRA",VLOOKUP(C819,#REF!,2,0),""))))))),"")</f>
        <v>CONJ MOTOR-BOMBA(CENTRIFUGA)1,5 HP(10000 L/H-20 MCA)</v>
      </c>
      <c r="E819" s="65" t="str">
        <f>VLOOKUP(C819,'FDE 10-23 '!$A$4:$E$3180,3,0)</f>
        <v>UN</v>
      </c>
      <c r="F819" s="1112">
        <v>2</v>
      </c>
      <c r="G819" s="66"/>
      <c r="H819" s="1220"/>
      <c r="I819" s="66"/>
      <c r="J819" s="66"/>
      <c r="K819" s="66"/>
      <c r="L819" s="1222"/>
      <c r="M819" s="51"/>
      <c r="N819" s="52"/>
      <c r="O819" s="25"/>
      <c r="P819" s="25"/>
    </row>
    <row r="820" spans="1:16" ht="30" customHeight="1">
      <c r="A820" s="61" t="s">
        <v>511</v>
      </c>
      <c r="B820" s="62" t="s">
        <v>26</v>
      </c>
      <c r="C820" s="63" t="s">
        <v>512</v>
      </c>
      <c r="D820" s="1219" t="str">
        <f>IFERROR(UPPER(IF(B820="CPU",VLOOKUP(C820,#REF!,2,0),IF(B820="SINAPI",VLOOKUP(C820,#REF!,2,0),IF(B820="EDIF",VLOOKUP(C820,#REF!,2,0),IF(B820="CDHU",VLOOKUP(C820,#REF!,2,0),IF(B820="FDE",VLOOKUP(C820,'FDE 10-23 '!$A$4:$E$3180,2,0),IF(B820="INFRA",VLOOKUP(C820,#REF!,2,0),""))))))),"")</f>
        <v>CONJ MOTOR-BOMBA (CENTRIFUGA) 2 HP (13900 L/H-20 MCA)</v>
      </c>
      <c r="E820" s="65" t="str">
        <f>VLOOKUP(C820,'FDE 10-23 '!$A$4:$E$3180,3,0)</f>
        <v>UN</v>
      </c>
      <c r="F820" s="1112">
        <v>2</v>
      </c>
      <c r="G820" s="66"/>
      <c r="H820" s="1220"/>
      <c r="I820" s="66"/>
      <c r="J820" s="66"/>
      <c r="K820" s="66"/>
      <c r="L820" s="1222"/>
      <c r="M820" s="51"/>
      <c r="N820" s="52"/>
      <c r="O820" s="25"/>
      <c r="P820" s="25"/>
    </row>
    <row r="821" spans="1:16" ht="30" customHeight="1">
      <c r="A821" s="61" t="s">
        <v>513</v>
      </c>
      <c r="B821" s="62" t="s">
        <v>26</v>
      </c>
      <c r="C821" s="63" t="s">
        <v>514</v>
      </c>
      <c r="D821" s="1219" t="str">
        <f>IFERROR(UPPER(IF(B821="CPU",VLOOKUP(C821,#REF!,2,0),IF(B821="SINAPI",VLOOKUP(C821,#REF!,2,0),IF(B821="EDIF",VLOOKUP(C821,#REF!,2,0),IF(B821="CDHU",VLOOKUP(C821,#REF!,2,0),IF(B821="FDE",VLOOKUP(C821,'FDE 10-23 '!$A$4:$E$3180,2,0),IF(B821="INFRA",VLOOKUP(C821,#REF!,2,0),""))))))),"")</f>
        <v>ANEIS PRE-MOLDADOS EM CONCRETO ARMADO P/ RESERVATORIO D'AGUA D=2,50M</v>
      </c>
      <c r="E821" s="65" t="str">
        <f>VLOOKUP(C821,'FDE 10-23 '!$A$4:$E$3180,3,0)</f>
        <v>M</v>
      </c>
      <c r="F821" s="1112">
        <v>19</v>
      </c>
      <c r="G821" s="66"/>
      <c r="H821" s="1220"/>
      <c r="I821" s="66"/>
      <c r="J821" s="66"/>
      <c r="K821" s="66"/>
      <c r="L821" s="1222"/>
      <c r="M821" s="51"/>
      <c r="N821" s="52"/>
      <c r="O821" s="25"/>
      <c r="P821" s="25"/>
    </row>
    <row r="822" spans="1:16" ht="30" customHeight="1">
      <c r="A822" s="61" t="s">
        <v>515</v>
      </c>
      <c r="B822" s="62" t="s">
        <v>26</v>
      </c>
      <c r="C822" s="63" t="s">
        <v>516</v>
      </c>
      <c r="D822" s="1219" t="str">
        <f>IFERROR(UPPER(IF(B822="CPU",VLOOKUP(C822,#REF!,2,0),IF(B822="SINAPI",VLOOKUP(C822,#REF!,2,0),IF(B822="EDIF",VLOOKUP(C822,#REF!,2,0),IF(B822="CDHU",VLOOKUP(C822,#REF!,2,0),IF(B822="FDE",VLOOKUP(C822,'FDE 10-23 '!$A$4:$E$3180,2,0),IF(B822="INFRA",VLOOKUP(C822,#REF!,2,0),""))))))),"")</f>
        <v>LAJE PRE-MOLDADA D=2,50M E=8CM P/ RESERVATORIO</v>
      </c>
      <c r="E822" s="65" t="str">
        <f>VLOOKUP(C822,'FDE 10-23 '!$A$4:$E$3180,3,0)</f>
        <v>UN</v>
      </c>
      <c r="F822" s="1112">
        <v>4</v>
      </c>
      <c r="G822" s="66"/>
      <c r="H822" s="1220"/>
      <c r="I822" s="66"/>
      <c r="J822" s="66"/>
      <c r="K822" s="66"/>
      <c r="L822" s="1222"/>
      <c r="M822" s="51"/>
      <c r="N822" s="52"/>
      <c r="O822" s="25"/>
      <c r="P822" s="25"/>
    </row>
    <row r="823" spans="1:16" ht="30" customHeight="1">
      <c r="A823" s="61" t="s">
        <v>517</v>
      </c>
      <c r="B823" s="62" t="s">
        <v>26</v>
      </c>
      <c r="C823" s="63" t="s">
        <v>518</v>
      </c>
      <c r="D823" s="1219" t="str">
        <f>IFERROR(UPPER(IF(B823="CPU",VLOOKUP(C823,#REF!,2,0),IF(B823="SINAPI",VLOOKUP(C823,#REF!,2,0),IF(B823="EDIF",VLOOKUP(C823,#REF!,2,0),IF(B823="CDHU",VLOOKUP(C823,#REF!,2,0),IF(B823="FDE",VLOOKUP(C823,'FDE 10-23 '!$A$4:$E$3180,2,0),IF(B823="INFRA",VLOOKUP(C823,#REF!,2,0),""))))))),"")</f>
        <v>LAJE PRE-MOLDADA D=2,50M E=15CM P/ RESERVATORIO</v>
      </c>
      <c r="E823" s="65" t="str">
        <f>VLOOKUP(C823,'FDE 10-23 '!$A$4:$E$3180,3,0)</f>
        <v>UN</v>
      </c>
      <c r="F823" s="1112">
        <v>3</v>
      </c>
      <c r="G823" s="66"/>
      <c r="H823" s="1220"/>
      <c r="I823" s="66"/>
      <c r="J823" s="66"/>
      <c r="K823" s="66"/>
      <c r="L823" s="1222"/>
      <c r="M823" s="51"/>
      <c r="N823" s="52"/>
      <c r="O823" s="25"/>
      <c r="P823" s="25"/>
    </row>
    <row r="824" spans="1:16" ht="30" customHeight="1">
      <c r="A824" s="61" t="s">
        <v>519</v>
      </c>
      <c r="B824" s="62" t="s">
        <v>26</v>
      </c>
      <c r="C824" s="63" t="s">
        <v>520</v>
      </c>
      <c r="D824" s="1219" t="str">
        <f>IFERROR(UPPER(IF(B824="CPU",VLOOKUP(C824,#REF!,2,0),IF(B824="SINAPI",VLOOKUP(C824,#REF!,2,0),IF(B824="EDIF",VLOOKUP(C824,#REF!,2,0),IF(B824="CDHU",VLOOKUP(C824,#REF!,2,0),IF(B824="FDE",VLOOKUP(C824,'FDE 10-23 '!$A$4:$E$3180,2,0),IF(B824="INFRA",VLOOKUP(C824,#REF!,2,0),""))))))),"")</f>
        <v>SERVICOS RESERVATORIOS</v>
      </c>
      <c r="E824" s="65" t="str">
        <f>VLOOKUP(C824,'FDE 10-23 '!$A$4:$E$3180,3,0)</f>
        <v>MV</v>
      </c>
      <c r="F824" s="1112">
        <v>3.48</v>
      </c>
      <c r="G824" s="66"/>
      <c r="H824" s="1220"/>
      <c r="I824" s="66"/>
      <c r="J824" s="66"/>
      <c r="K824" s="66"/>
      <c r="L824" s="1222"/>
      <c r="M824" s="51"/>
      <c r="N824" s="52"/>
      <c r="O824" s="25"/>
      <c r="P824" s="25"/>
    </row>
    <row r="825" spans="1:16" ht="30" customHeight="1">
      <c r="A825" s="53" t="s">
        <v>521</v>
      </c>
      <c r="B825" s="54"/>
      <c r="C825" s="54" t="s">
        <v>522</v>
      </c>
      <c r="D825" s="1216" t="s">
        <v>523</v>
      </c>
      <c r="E825" s="56" t="str">
        <f>IFERROR(UPPER(IF(B825="CPU",VLOOKUP(C825,#REF!,3,0),IF(B825="SINAPI",VLOOKUP(C825,#REF!,3,0),IF(B825="EDIF",VLOOKUP(C825,#REF!,3,0),IF(B825="CDHU",VLOOKUP(C825,#REF!,3,0),IF(B825="FDE",VLOOKUP(C825,#REF!,3,0),IF(B825="INFRA",VLOOKUP(C825,#REF!,3,0),""))))))),"")</f>
        <v/>
      </c>
      <c r="F825" s="1232"/>
      <c r="G825" s="57"/>
      <c r="H825" s="1217"/>
      <c r="I825" s="1217"/>
      <c r="J825" s="1217"/>
      <c r="K825" s="1217"/>
      <c r="L825" s="1218"/>
      <c r="M825" s="51"/>
      <c r="N825" s="52"/>
      <c r="O825" s="25"/>
      <c r="P825" s="25"/>
    </row>
    <row r="826" spans="1:16" ht="30" customHeight="1">
      <c r="A826" s="61" t="s">
        <v>524</v>
      </c>
      <c r="B826" s="62" t="s">
        <v>26</v>
      </c>
      <c r="C826" s="63" t="s">
        <v>525</v>
      </c>
      <c r="D826" s="1219" t="str">
        <f>IFERROR(UPPER(IF(B826="CPU",VLOOKUP(C826,#REF!,2,0),IF(B826="SINAPI",VLOOKUP(C826,#REF!,2,0),IF(B826="EDIF",VLOOKUP(C826,#REF!,2,0),IF(B826="CDHU",VLOOKUP(C826,#REF!,2,0),IF(B826="FDE",VLOOKUP(C826,'FDE 10-23 '!$A$4:$E$3180,2,0),IF(B826="INFRA",VLOOKUP(C826,#REF!,2,0),""))))))),"")</f>
        <v>LT-04 LAVATORIO /BEBEDOURO COLETIVO COM TORNEIRA ANTIVANDALISMO</v>
      </c>
      <c r="E826" s="65" t="str">
        <f>VLOOKUP(C826,'FDE 10-23 '!$A$4:$E$3180,3,0)</f>
        <v>M</v>
      </c>
      <c r="F826" s="1112">
        <v>2.5</v>
      </c>
      <c r="G826" s="66"/>
      <c r="H826" s="1220"/>
      <c r="I826" s="66"/>
      <c r="J826" s="66"/>
      <c r="K826" s="66"/>
      <c r="L826" s="1222"/>
      <c r="M826" s="51"/>
      <c r="N826" s="52"/>
      <c r="O826" s="25"/>
      <c r="P826" s="25"/>
    </row>
    <row r="827" spans="1:16" ht="30" customHeight="1">
      <c r="A827" s="61" t="s">
        <v>526</v>
      </c>
      <c r="B827" s="62" t="s">
        <v>26</v>
      </c>
      <c r="C827" s="63" t="s">
        <v>527</v>
      </c>
      <c r="D827" s="1219" t="str">
        <f>IFERROR(UPPER(IF(B827="CPU",VLOOKUP(C827,#REF!,2,0),IF(B827="SINAPI",VLOOKUP(C827,#REF!,2,0),IF(B827="EDIF",VLOOKUP(C827,#REF!,2,0),IF(B827="CDHU",VLOOKUP(C827,#REF!,2,0),IF(B827="FDE",VLOOKUP(C827,'FDE 10-23 '!$A$4:$E$3180,2,0),IF(B827="INFRA",VLOOKUP(C827,#REF!,2,0),""))))))),"")</f>
        <v>BB-01 BEBEDOURO COLETIVO</v>
      </c>
      <c r="E827" s="65" t="str">
        <f>VLOOKUP(C827,'FDE 10-23 '!$A$4:$E$3180,3,0)</f>
        <v>M</v>
      </c>
      <c r="F827" s="1112">
        <v>2.2999999999999998</v>
      </c>
      <c r="G827" s="66"/>
      <c r="H827" s="1220"/>
      <c r="I827" s="66"/>
      <c r="J827" s="66"/>
      <c r="K827" s="66"/>
      <c r="L827" s="1222"/>
      <c r="M827" s="51"/>
      <c r="N827" s="52"/>
      <c r="O827" s="25"/>
      <c r="P827" s="25"/>
    </row>
    <row r="828" spans="1:16" ht="30" customHeight="1">
      <c r="A828" s="61" t="s">
        <v>528</v>
      </c>
      <c r="B828" s="62" t="s">
        <v>26</v>
      </c>
      <c r="C828" s="63" t="s">
        <v>529</v>
      </c>
      <c r="D828" s="1219" t="str">
        <f>IFERROR(UPPER(IF(B828="CPU",VLOOKUP(C828,#REF!,2,0),IF(B828="SINAPI",VLOOKUP(C828,#REF!,2,0),IF(B828="EDIF",VLOOKUP(C828,#REF!,2,0),IF(B828="CDHU",VLOOKUP(C828,#REF!,2,0),IF(B828="FDE",VLOOKUP(C828,'FDE 10-23 '!$A$4:$E$3180,2,0),IF(B828="INFRA",VLOOKUP(C828,#REF!,2,0),""))))))),"")</f>
        <v>LT-06 LAVATÓRIO COLETIVO COM TORNEIRA ANTIVANDALISMO</v>
      </c>
      <c r="E828" s="65" t="str">
        <f>VLOOKUP(C828,'FDE 10-23 '!$A$4:$E$3180,3,0)</f>
        <v>M</v>
      </c>
      <c r="F828" s="1112">
        <v>8.8000000000000007</v>
      </c>
      <c r="G828" s="66"/>
      <c r="H828" s="1220"/>
      <c r="I828" s="66"/>
      <c r="J828" s="66"/>
      <c r="K828" s="66"/>
      <c r="L828" s="1222"/>
      <c r="M828" s="51"/>
      <c r="N828" s="52"/>
      <c r="O828" s="25"/>
      <c r="P828" s="25"/>
    </row>
    <row r="829" spans="1:16" ht="30" customHeight="1">
      <c r="A829" s="61" t="s">
        <v>530</v>
      </c>
      <c r="B829" s="62" t="s">
        <v>26</v>
      </c>
      <c r="C829" s="63" t="s">
        <v>531</v>
      </c>
      <c r="D829" s="1219" t="str">
        <f>IFERROR(UPPER(IF(B829="CPU",VLOOKUP(C829,#REF!,2,0),IF(B829="SINAPI",VLOOKUP(C829,#REF!,2,0),IF(B829="EDIF",VLOOKUP(C829,#REF!,2,0),IF(B829="CDHU",VLOOKUP(C829,#REF!,2,0),IF(B829="FDE",VLOOKUP(C829,'FDE 10-23 '!$A$4:$E$3180,2,0),IF(B829="INFRA",VLOOKUP(C829,#REF!,2,0),""))))))),"")</f>
        <v>LT-07 LAVATÓRIO COLETIVO COM TORNEIRA DE MESA- SANIT.ADMINISTRAÇÃO</v>
      </c>
      <c r="E829" s="65" t="str">
        <f>VLOOKUP(C829,'FDE 10-23 '!$A$4:$E$3180,3,0)</f>
        <v>M</v>
      </c>
      <c r="F829" s="1112">
        <v>4.3</v>
      </c>
      <c r="G829" s="66"/>
      <c r="H829" s="1220"/>
      <c r="I829" s="66"/>
      <c r="J829" s="66"/>
      <c r="K829" s="66"/>
      <c r="L829" s="1222"/>
      <c r="M829" s="51"/>
      <c r="N829" s="52"/>
      <c r="O829" s="25"/>
      <c r="P829" s="25"/>
    </row>
    <row r="830" spans="1:16" ht="30" customHeight="1">
      <c r="A830" s="61" t="s">
        <v>532</v>
      </c>
      <c r="B830" s="62" t="s">
        <v>26</v>
      </c>
      <c r="C830" s="63" t="s">
        <v>533</v>
      </c>
      <c r="D830" s="1219" t="str">
        <f>IFERROR(UPPER(IF(B830="CPU",VLOOKUP(C830,#REF!,2,0),IF(B830="SINAPI",VLOOKUP(C830,#REF!,2,0),IF(B830="EDIF",VLOOKUP(C830,#REF!,2,0),IF(B830="CDHU",VLOOKUP(C830,#REF!,2,0),IF(B830="FDE",VLOOKUP(C830,'FDE 10-23 '!$A$4:$E$3180,2,0),IF(B830="INFRA",VLOOKUP(C830,#REF!,2,0),""))))))),"")</f>
        <v>MT-04 MICTORIO COLETIVO</v>
      </c>
      <c r="E830" s="65" t="str">
        <f>VLOOKUP(C830,'FDE 10-23 '!$A$4:$E$3180,3,0)</f>
        <v>M</v>
      </c>
      <c r="F830" s="1112">
        <v>4.3</v>
      </c>
      <c r="G830" s="66"/>
      <c r="H830" s="1220"/>
      <c r="I830" s="66"/>
      <c r="J830" s="66"/>
      <c r="K830" s="66"/>
      <c r="L830" s="1222"/>
      <c r="M830" s="51"/>
      <c r="N830" s="52"/>
      <c r="O830" s="25"/>
      <c r="P830" s="25"/>
    </row>
    <row r="831" spans="1:16" ht="30" customHeight="1">
      <c r="A831" s="61"/>
      <c r="B831" s="62"/>
      <c r="C831" s="63"/>
      <c r="D831" s="1219" t="s">
        <v>11017</v>
      </c>
      <c r="E831" s="65"/>
      <c r="F831" s="1112"/>
      <c r="G831" s="66"/>
      <c r="H831" s="1220"/>
      <c r="I831" s="66"/>
      <c r="J831" s="66"/>
      <c r="K831" s="66"/>
      <c r="L831" s="1222"/>
      <c r="M831" s="51"/>
      <c r="N831" s="52"/>
      <c r="O831" s="25"/>
      <c r="P831" s="25"/>
    </row>
    <row r="832" spans="1:16" ht="30" customHeight="1">
      <c r="A832" s="53" t="s">
        <v>534</v>
      </c>
      <c r="B832" s="54"/>
      <c r="C832" s="54" t="s">
        <v>535</v>
      </c>
      <c r="D832" s="1216" t="s">
        <v>536</v>
      </c>
      <c r="E832" s="56" t="str">
        <f>IFERROR(UPPER(IF(B832="CPU",VLOOKUP(C832,#REF!,3,0),IF(B832="SINAPI",VLOOKUP(C832,#REF!,3,0),IF(B832="EDIF",VLOOKUP(C832,#REF!,3,0),IF(B832="CDHU",VLOOKUP(C832,#REF!,3,0),IF(B832="FDE",VLOOKUP(C832,#REF!,3,0),IF(B832="INFRA",VLOOKUP(C832,#REF!,3,0),""))))))),"")</f>
        <v/>
      </c>
      <c r="F832" s="1232"/>
      <c r="G832" s="57"/>
      <c r="H832" s="1217"/>
      <c r="I832" s="1217"/>
      <c r="J832" s="1217"/>
      <c r="K832" s="1217"/>
      <c r="L832" s="1218"/>
      <c r="M832" s="51"/>
      <c r="N832" s="52"/>
      <c r="O832" s="25"/>
      <c r="P832" s="25"/>
    </row>
    <row r="833" spans="1:16" ht="30" customHeight="1">
      <c r="A833" s="61" t="s">
        <v>537</v>
      </c>
      <c r="B833" s="62" t="s">
        <v>26</v>
      </c>
      <c r="C833" s="63" t="s">
        <v>538</v>
      </c>
      <c r="D833" s="1219" t="str">
        <f>IFERROR(UPPER(IF(B833="CPU",VLOOKUP(C833,#REF!,2,0),IF(B833="SINAPI",VLOOKUP(C833,#REF!,2,0),IF(B833="EDIF",VLOOKUP(C833,#REF!,2,0),IF(B833="CDHU",VLOOKUP(C833,#REF!,2,0),IF(B833="FDE",VLOOKUP(C833,'FDE 10-23 '!$A$4:$E$3180,2,0),IF(B833="INFRA",VLOOKUP(C833,#REF!,2,0),""))))))),"")</f>
        <v>BACIA SIFONADA DE LOUCA BRANCA (VDR 6L) C/ ASSENTO</v>
      </c>
      <c r="E833" s="65" t="str">
        <f>VLOOKUP(C833,'FDE 10-23 '!$A$4:$E$3180,3,0)</f>
        <v>UN</v>
      </c>
      <c r="F833" s="1112">
        <v>17</v>
      </c>
      <c r="G833" s="66"/>
      <c r="H833" s="1220"/>
      <c r="I833" s="66"/>
      <c r="J833" s="66"/>
      <c r="K833" s="66"/>
      <c r="L833" s="1222"/>
      <c r="M833" s="51"/>
      <c r="N833" s="52"/>
      <c r="O833" s="25"/>
      <c r="P833" s="25"/>
    </row>
    <row r="834" spans="1:16" ht="30" customHeight="1">
      <c r="A834" s="61" t="s">
        <v>539</v>
      </c>
      <c r="B834" s="62" t="s">
        <v>26</v>
      </c>
      <c r="C834" s="63" t="s">
        <v>540</v>
      </c>
      <c r="D834" s="1219" t="str">
        <f>IFERROR(UPPER(IF(B834="CPU",VLOOKUP(C834,#REF!,2,0),IF(B834="SINAPI",VLOOKUP(C834,#REF!,2,0),IF(B834="EDIF",VLOOKUP(C834,#REF!,2,0),IF(B834="CDHU",VLOOKUP(C834,#REF!,2,0),IF(B834="FDE",VLOOKUP(C834,'FDE 10-23 '!$A$4:$E$3180,2,0),IF(B834="INFRA",VLOOKUP(C834,#REF!,2,0),""))))))),"")</f>
        <v>LAVATORIO DE LOUCA BRANCA SEM COLUNA C/ TORNEIRA DE FECHAM AUTOMATICO</v>
      </c>
      <c r="E834" s="65" t="str">
        <f>VLOOKUP(C834,'FDE 10-23 '!$A$4:$E$3180,3,0)</f>
        <v>UN</v>
      </c>
      <c r="F834" s="1112">
        <v>1</v>
      </c>
      <c r="G834" s="66"/>
      <c r="H834" s="1220"/>
      <c r="I834" s="66"/>
      <c r="J834" s="66"/>
      <c r="K834" s="66"/>
      <c r="L834" s="1222"/>
      <c r="M834" s="51"/>
      <c r="N834" s="52"/>
      <c r="O834" s="25"/>
      <c r="P834" s="25"/>
    </row>
    <row r="835" spans="1:16" ht="30" customHeight="1">
      <c r="A835" s="61" t="s">
        <v>541</v>
      </c>
      <c r="B835" s="62" t="s">
        <v>26</v>
      </c>
      <c r="C835" s="63" t="s">
        <v>542</v>
      </c>
      <c r="D835" s="1219" t="str">
        <f>IFERROR(UPPER(IF(B835="CPU",VLOOKUP(C835,#REF!,2,0),IF(B835="SINAPI",VLOOKUP(C835,#REF!,2,0),IF(B835="EDIF",VLOOKUP(C835,#REF!,2,0),IF(B835="CDHU",VLOOKUP(C835,#REF!,2,0),IF(B835="FDE",VLOOKUP(C835,'FDE 10-23 '!$A$4:$E$3180,2,0),IF(B835="INFRA",VLOOKUP(C835,#REF!,2,0),""))))))),"")</f>
        <v>TANQUE DE LOUCA BRANCA,PEQUENO C/COLUNA</v>
      </c>
      <c r="E835" s="65" t="str">
        <f>VLOOKUP(C835,'FDE 10-23 '!$A$4:$E$3180,3,0)</f>
        <v>UN</v>
      </c>
      <c r="F835" s="1112">
        <v>1</v>
      </c>
      <c r="G835" s="66"/>
      <c r="H835" s="1220"/>
      <c r="I835" s="66"/>
      <c r="J835" s="66"/>
      <c r="K835" s="66"/>
      <c r="L835" s="1222"/>
      <c r="M835" s="51"/>
      <c r="N835" s="52"/>
      <c r="O835" s="25"/>
      <c r="P835" s="25"/>
    </row>
    <row r="836" spans="1:16" ht="30" customHeight="1">
      <c r="A836" s="61" t="s">
        <v>543</v>
      </c>
      <c r="B836" s="62" t="s">
        <v>26</v>
      </c>
      <c r="C836" s="63" t="s">
        <v>544</v>
      </c>
      <c r="D836" s="1219" t="str">
        <f>IFERROR(UPPER(IF(B836="CPU",VLOOKUP(C836,#REF!,2,0),IF(B836="SINAPI",VLOOKUP(C836,#REF!,2,0),IF(B836="EDIF",VLOOKUP(C836,#REF!,2,0),IF(B836="CDHU",VLOOKUP(C836,#REF!,2,0),IF(B836="FDE",VLOOKUP(C836,'FDE 10-23 '!$A$4:$E$3180,2,0),IF(B836="INFRA",VLOOKUP(C836,#REF!,2,0),""))))))),"")</f>
        <v>SABONETEIRA DE LOUCA BRANCA DE 15X15 CM</v>
      </c>
      <c r="E836" s="65" t="str">
        <f>VLOOKUP(C836,'FDE 10-23 '!$A$4:$E$3180,3,0)</f>
        <v>UN</v>
      </c>
      <c r="F836" s="1112">
        <v>6</v>
      </c>
      <c r="G836" s="66"/>
      <c r="H836" s="1220"/>
      <c r="I836" s="66"/>
      <c r="J836" s="66"/>
      <c r="K836" s="66"/>
      <c r="L836" s="1222"/>
      <c r="M836" s="51"/>
      <c r="N836" s="52"/>
      <c r="O836" s="25"/>
      <c r="P836" s="25"/>
    </row>
    <row r="837" spans="1:16" ht="30" customHeight="1">
      <c r="A837" s="61" t="s">
        <v>545</v>
      </c>
      <c r="B837" s="62" t="s">
        <v>26</v>
      </c>
      <c r="C837" s="63" t="s">
        <v>546</v>
      </c>
      <c r="D837" s="1219" t="str">
        <f>IFERROR(UPPER(IF(B837="CPU",VLOOKUP(C837,#REF!,2,0),IF(B837="SINAPI",VLOOKUP(C837,#REF!,2,0),IF(B837="EDIF",VLOOKUP(C837,#REF!,2,0),IF(B837="CDHU",VLOOKUP(C837,#REF!,2,0),IF(B837="FDE",VLOOKUP(C837,'FDE 10-23 '!$A$4:$E$3180,2,0),IF(B837="INFRA",VLOOKUP(C837,#REF!,2,0),""))))))),"")</f>
        <v>PAPELEIRA DE LOUCA BRANCA DE 15X15CM</v>
      </c>
      <c r="E837" s="65" t="str">
        <f>VLOOKUP(C837,'FDE 10-23 '!$A$4:$E$3180,3,0)</f>
        <v>UN</v>
      </c>
      <c r="F837" s="1112">
        <v>17</v>
      </c>
      <c r="G837" s="66"/>
      <c r="H837" s="1220"/>
      <c r="I837" s="66"/>
      <c r="J837" s="66"/>
      <c r="K837" s="66"/>
      <c r="L837" s="1222"/>
      <c r="M837" s="51"/>
      <c r="N837" s="52"/>
      <c r="O837" s="25"/>
      <c r="P837" s="25"/>
    </row>
    <row r="838" spans="1:16" ht="30" customHeight="1">
      <c r="A838" s="61" t="s">
        <v>547</v>
      </c>
      <c r="B838" s="62" t="s">
        <v>26</v>
      </c>
      <c r="C838" s="63" t="s">
        <v>548</v>
      </c>
      <c r="D838" s="1219" t="str">
        <f>IFERROR(UPPER(IF(B838="CPU",VLOOKUP(C838,#REF!,2,0),IF(B838="SINAPI",VLOOKUP(C838,#REF!,2,0),IF(B838="EDIF",VLOOKUP(C838,#REF!,2,0),IF(B838="CDHU",VLOOKUP(C838,#REF!,2,0),IF(B838="FDE",VLOOKUP(C838,'FDE 10-23 '!$A$4:$E$3180,2,0),IF(B838="INFRA",VLOOKUP(C838,#REF!,2,0),""))))))),"")</f>
        <v>CABIDE DE LOUCA BRANCA COM 2 GANCHOS</v>
      </c>
      <c r="E838" s="65" t="str">
        <f>VLOOKUP(C838,'FDE 10-23 '!$A$4:$E$3180,3,0)</f>
        <v>UN</v>
      </c>
      <c r="F838" s="1112">
        <v>6</v>
      </c>
      <c r="G838" s="66"/>
      <c r="H838" s="1220"/>
      <c r="I838" s="66"/>
      <c r="J838" s="66"/>
      <c r="K838" s="66"/>
      <c r="L838" s="1222"/>
      <c r="M838" s="51"/>
      <c r="N838" s="52"/>
      <c r="O838" s="25"/>
      <c r="P838" s="25"/>
    </row>
    <row r="839" spans="1:16" ht="30" customHeight="1">
      <c r="A839" s="61" t="s">
        <v>549</v>
      </c>
      <c r="B839" s="62" t="s">
        <v>26</v>
      </c>
      <c r="C839" s="63" t="s">
        <v>550</v>
      </c>
      <c r="D839" s="1219" t="str">
        <f>IFERROR(UPPER(IF(B839="CPU",VLOOKUP(C839,#REF!,2,0),IF(B839="SINAPI",VLOOKUP(C839,#REF!,2,0),IF(B839="EDIF",VLOOKUP(C839,#REF!,2,0),IF(B839="CDHU",VLOOKUP(C839,#REF!,2,0),IF(B839="FDE",VLOOKUP(C839,'FDE 10-23 '!$A$4:$E$3180,2,0),IF(B839="INFRA",VLOOKUP(C839,#REF!,2,0),""))))))),"")</f>
        <v>VA-01 VARAL/TOALHEIRO</v>
      </c>
      <c r="E839" s="65" t="str">
        <f>VLOOKUP(C839,'FDE 10-23 '!$A$4:$E$3180,3,0)</f>
        <v>UN</v>
      </c>
      <c r="F839" s="1112">
        <v>2</v>
      </c>
      <c r="G839" s="66"/>
      <c r="H839" s="1220"/>
      <c r="I839" s="66"/>
      <c r="J839" s="66"/>
      <c r="K839" s="66"/>
      <c r="L839" s="1222"/>
      <c r="M839" s="51"/>
      <c r="N839" s="52"/>
      <c r="O839" s="25"/>
      <c r="P839" s="25"/>
    </row>
    <row r="840" spans="1:16" ht="30" customHeight="1">
      <c r="A840" s="61" t="s">
        <v>551</v>
      </c>
      <c r="B840" s="62" t="s">
        <v>26</v>
      </c>
      <c r="C840" s="63" t="s">
        <v>552</v>
      </c>
      <c r="D840" s="1219" t="str">
        <f>IFERROR(UPPER(IF(B840="CPU",VLOOKUP(C840,#REF!,2,0),IF(B840="SINAPI",VLOOKUP(C840,#REF!,2,0),IF(B840="EDIF",VLOOKUP(C840,#REF!,2,0),IF(B840="CDHU",VLOOKUP(C840,#REF!,2,0),IF(B840="FDE",VLOOKUP(C840,'FDE 10-23 '!$A$4:$E$3180,2,0),IF(B840="INFRA",VLOOKUP(C840,#REF!,2,0),""))))))),"")</f>
        <v>BR-01 BACIA P/ SANITARIO ACESSIVEL</v>
      </c>
      <c r="E840" s="65" t="str">
        <f>VLOOKUP(C840,'FDE 10-23 '!$A$4:$E$3180,3,0)</f>
        <v>CJ</v>
      </c>
      <c r="F840" s="1112">
        <v>1</v>
      </c>
      <c r="G840" s="66"/>
      <c r="H840" s="1220"/>
      <c r="I840" s="66"/>
      <c r="J840" s="66"/>
      <c r="K840" s="66"/>
      <c r="L840" s="1222"/>
      <c r="M840" s="51"/>
      <c r="N840" s="52"/>
      <c r="O840" s="25"/>
      <c r="P840" s="25"/>
    </row>
    <row r="841" spans="1:16" ht="30" customHeight="1">
      <c r="A841" s="61" t="s">
        <v>553</v>
      </c>
      <c r="B841" s="62" t="s">
        <v>26</v>
      </c>
      <c r="C841" s="63" t="s">
        <v>554</v>
      </c>
      <c r="D841" s="1219" t="str">
        <f>IFERROR(UPPER(IF(B841="CPU",VLOOKUP(C841,#REF!,2,0),IF(B841="SINAPI",VLOOKUP(C841,#REF!,2,0),IF(B841="EDIF",VLOOKUP(C841,#REF!,2,0),IF(B841="CDHU",VLOOKUP(C841,#REF!,2,0),IF(B841="FDE",VLOOKUP(C841,'FDE 10-23 '!$A$4:$E$3180,2,0),IF(B841="INFRA",VLOOKUP(C841,#REF!,2,0),""))))))),"")</f>
        <v>BR-02 LAVATORIO  PARA SANITARIO ACESSIVEL</v>
      </c>
      <c r="E841" s="65" t="str">
        <f>VLOOKUP(C841,'FDE 10-23 '!$A$4:$E$3180,3,0)</f>
        <v>CJ</v>
      </c>
      <c r="F841" s="1112">
        <v>1</v>
      </c>
      <c r="G841" s="66"/>
      <c r="H841" s="1220"/>
      <c r="I841" s="66"/>
      <c r="J841" s="66"/>
      <c r="K841" s="66"/>
      <c r="L841" s="1222"/>
      <c r="M841" s="51"/>
      <c r="N841" s="52"/>
      <c r="O841" s="25"/>
      <c r="P841" s="25"/>
    </row>
    <row r="842" spans="1:16" ht="30" customHeight="1">
      <c r="A842" s="61" t="s">
        <v>555</v>
      </c>
      <c r="B842" s="62" t="s">
        <v>26</v>
      </c>
      <c r="C842" s="63" t="s">
        <v>556</v>
      </c>
      <c r="D842" s="1219" t="str">
        <f>IFERROR(UPPER(IF(B842="CPU",VLOOKUP(C842,#REF!,2,0),IF(B842="SINAPI",VLOOKUP(C842,#REF!,2,0),IF(B842="EDIF",VLOOKUP(C842,#REF!,2,0),IF(B842="CDHU",VLOOKUP(C842,#REF!,2,0),IF(B842="FDE",VLOOKUP(C842,'FDE 10-23 '!$A$4:$E$3180,2,0),IF(B842="INFRA",VLOOKUP(C842,#REF!,2,0),""))))))),"")</f>
        <v>BR-03  CONJUNTO LAVATORIO E BACIA ACESSIVEIS</v>
      </c>
      <c r="E842" s="65" t="str">
        <f>VLOOKUP(C842,'FDE 10-23 '!$A$4:$E$3180,3,0)</f>
        <v>CJ</v>
      </c>
      <c r="F842" s="1112">
        <v>2</v>
      </c>
      <c r="G842" s="66"/>
      <c r="H842" s="1220"/>
      <c r="I842" s="66"/>
      <c r="J842" s="66"/>
      <c r="K842" s="66"/>
      <c r="L842" s="1222"/>
      <c r="M842" s="51"/>
      <c r="N842" s="52"/>
      <c r="O842" s="25"/>
      <c r="P842" s="25"/>
    </row>
    <row r="843" spans="1:16" ht="30" customHeight="1">
      <c r="A843" s="61" t="s">
        <v>557</v>
      </c>
      <c r="B843" s="62" t="s">
        <v>26</v>
      </c>
      <c r="C843" s="63" t="s">
        <v>558</v>
      </c>
      <c r="D843" s="1219" t="str">
        <f>IFERROR(UPPER(IF(B843="CPU",VLOOKUP(C843,#REF!,2,0),IF(B843="SINAPI",VLOOKUP(C843,#REF!,2,0),IF(B843="EDIF",VLOOKUP(C843,#REF!,2,0),IF(B843="CDHU",VLOOKUP(C843,#REF!,2,0),IF(B843="FDE",VLOOKUP(C843,'FDE 10-23 '!$A$4:$E$3180,2,0),IF(B843="INFRA",VLOOKUP(C843,#REF!,2,0),""))))))),"")</f>
        <v>BR-04 BARRA DE APOIO COM FIXAÇÃO LATERAL</v>
      </c>
      <c r="E843" s="65" t="str">
        <f>VLOOKUP(C843,'FDE 10-23 '!$A$4:$E$3180,3,0)</f>
        <v>UN</v>
      </c>
      <c r="F843" s="1112">
        <v>4</v>
      </c>
      <c r="G843" s="66"/>
      <c r="H843" s="1220"/>
      <c r="I843" s="66"/>
      <c r="J843" s="66"/>
      <c r="K843" s="66"/>
      <c r="L843" s="1222"/>
      <c r="M843" s="51"/>
      <c r="N843" s="52"/>
      <c r="O843" s="25"/>
      <c r="P843" s="25"/>
    </row>
    <row r="844" spans="1:16" ht="30" customHeight="1">
      <c r="A844" s="61" t="s">
        <v>559</v>
      </c>
      <c r="B844" s="62" t="s">
        <v>26</v>
      </c>
      <c r="C844" s="63" t="s">
        <v>560</v>
      </c>
      <c r="D844" s="1219" t="str">
        <f>IFERROR(UPPER(IF(B844="CPU",VLOOKUP(C844,#REF!,2,0),IF(B844="SINAPI",VLOOKUP(C844,#REF!,2,0),IF(B844="EDIF",VLOOKUP(C844,#REF!,2,0),IF(B844="CDHU",VLOOKUP(C844,#REF!,2,0),IF(B844="FDE",VLOOKUP(C844,'FDE 10-23 '!$A$4:$E$3180,2,0),IF(B844="INFRA",VLOOKUP(C844,#REF!,2,0),""))))))),"")</f>
        <v>BR-05 TROCADOR ACESSÍVEL</v>
      </c>
      <c r="E844" s="65" t="str">
        <f>VLOOKUP(C844,'FDE 10-23 '!$A$4:$E$3180,3,0)</f>
        <v>UN</v>
      </c>
      <c r="F844" s="1112">
        <v>3</v>
      </c>
      <c r="G844" s="66"/>
      <c r="H844" s="1220"/>
      <c r="I844" s="66"/>
      <c r="J844" s="66"/>
      <c r="K844" s="66"/>
      <c r="L844" s="1222"/>
      <c r="M844" s="51"/>
      <c r="N844" s="52"/>
      <c r="O844" s="25"/>
      <c r="P844" s="25"/>
    </row>
    <row r="845" spans="1:16" ht="30" customHeight="1">
      <c r="A845" s="61" t="s">
        <v>561</v>
      </c>
      <c r="B845" s="62" t="s">
        <v>26</v>
      </c>
      <c r="C845" s="63" t="s">
        <v>562</v>
      </c>
      <c r="D845" s="1219" t="str">
        <f>IFERROR(UPPER(IF(B845="CPU",VLOOKUP(C845,#REF!,2,0),IF(B845="SINAPI",VLOOKUP(C845,#REF!,2,0),IF(B845="EDIF",VLOOKUP(C845,#REF!,2,0),IF(B845="CDHU",VLOOKUP(C845,#REF!,2,0),IF(B845="FDE",VLOOKUP(C845,'FDE 10-23 '!$A$4:$E$3180,2,0),IF(B845="INFRA",VLOOKUP(C845,#REF!,2,0),""))))))),"")</f>
        <v>BR-06 CHUVEIRO ACESSIVEL</v>
      </c>
      <c r="E845" s="65" t="str">
        <f>VLOOKUP(C845,'FDE 10-23 '!$A$4:$E$3180,3,0)</f>
        <v>CJ</v>
      </c>
      <c r="F845" s="1112">
        <v>1</v>
      </c>
      <c r="G845" s="66"/>
      <c r="H845" s="1220"/>
      <c r="I845" s="66"/>
      <c r="J845" s="66"/>
      <c r="K845" s="66"/>
      <c r="L845" s="1222"/>
      <c r="M845" s="51"/>
      <c r="N845" s="52"/>
      <c r="O845" s="25"/>
      <c r="P845" s="25"/>
    </row>
    <row r="846" spans="1:16" ht="30" customHeight="1">
      <c r="A846" s="61"/>
      <c r="B846" s="62"/>
      <c r="C846" s="63"/>
      <c r="D846" s="1219" t="s">
        <v>11017</v>
      </c>
      <c r="E846" s="65"/>
      <c r="F846" s="88"/>
      <c r="G846" s="66"/>
      <c r="H846" s="1220"/>
      <c r="I846" s="66"/>
      <c r="J846" s="66"/>
      <c r="K846" s="66"/>
      <c r="L846" s="1222"/>
      <c r="M846" s="51"/>
      <c r="N846" s="52"/>
      <c r="O846" s="25"/>
      <c r="P846" s="25"/>
    </row>
    <row r="847" spans="1:16" ht="30" customHeight="1">
      <c r="A847" s="53" t="s">
        <v>563</v>
      </c>
      <c r="B847" s="54"/>
      <c r="C847" s="54" t="s">
        <v>564</v>
      </c>
      <c r="D847" s="1216" t="s">
        <v>565</v>
      </c>
      <c r="E847" s="56" t="str">
        <f>IFERROR(UPPER(IF(B847="CPU",VLOOKUP(C847,#REF!,3,0),IF(B847="SINAPI",VLOOKUP(C847,#REF!,3,0),IF(B847="EDIF",VLOOKUP(C847,#REF!,3,0),IF(B847="CDHU",VLOOKUP(C847,#REF!,3,0),IF(B847="FDE",VLOOKUP(C847,#REF!,3,0),IF(B847="INFRA",VLOOKUP(C847,#REF!,3,0),""))))))),"")</f>
        <v/>
      </c>
      <c r="F847" s="1232"/>
      <c r="G847" s="57"/>
      <c r="H847" s="1217"/>
      <c r="I847" s="1217"/>
      <c r="J847" s="1217"/>
      <c r="K847" s="1217"/>
      <c r="L847" s="1218"/>
      <c r="M847" s="51"/>
      <c r="N847" s="52"/>
      <c r="O847" s="25"/>
      <c r="P847" s="25"/>
    </row>
    <row r="848" spans="1:16" ht="30" customHeight="1">
      <c r="A848" s="61" t="s">
        <v>566</v>
      </c>
      <c r="B848" s="62" t="s">
        <v>26</v>
      </c>
      <c r="C848" s="63" t="s">
        <v>567</v>
      </c>
      <c r="D848" s="1219" t="str">
        <f>IFERROR(UPPER(IF(B848="CPU",VLOOKUP(C848,#REF!,2,0),IF(B848="SINAPI",VLOOKUP(C848,#REF!,2,0),IF(B848="EDIF",VLOOKUP(C848,#REF!,2,0),IF(B848="CDHU",VLOOKUP(C848,#REF!,2,0),IF(B848="FDE",VLOOKUP(C848,'FDE 10-23 '!$A$4:$E$3180,2,0),IF(B848="INFRA",VLOOKUP(C848,#REF!,2,0),""))))))),"")</f>
        <v>CHUVEIRO ANTIVANDALISMO</v>
      </c>
      <c r="E848" s="65" t="str">
        <f>VLOOKUP(C848,'FDE 10-23 '!$A$4:$E$3180,3,0)</f>
        <v>UN</v>
      </c>
      <c r="F848" s="1112">
        <v>6</v>
      </c>
      <c r="G848" s="66"/>
      <c r="H848" s="1220"/>
      <c r="I848" s="66"/>
      <c r="J848" s="66"/>
      <c r="K848" s="66"/>
      <c r="L848" s="1222"/>
      <c r="M848" s="51"/>
      <c r="N848" s="52"/>
      <c r="O848" s="25"/>
      <c r="P848" s="25"/>
    </row>
    <row r="849" spans="1:16" ht="30" customHeight="1">
      <c r="A849" s="61" t="s">
        <v>568</v>
      </c>
      <c r="B849" s="62" t="s">
        <v>26</v>
      </c>
      <c r="C849" s="63" t="s">
        <v>569</v>
      </c>
      <c r="D849" s="1219" t="str">
        <f>IFERROR(UPPER(IF(B849="CPU",VLOOKUP(C849,#REF!,2,0),IF(B849="SINAPI",VLOOKUP(C849,#REF!,2,0),IF(B849="EDIF",VLOOKUP(C849,#REF!,2,0),IF(B849="CDHU",VLOOKUP(C849,#REF!,2,0),IF(B849="FDE",VLOOKUP(C849,'FDE 10-23 '!$A$4:$E$3180,2,0),IF(B849="INFRA",VLOOKUP(C849,#REF!,2,0),""))))))),"")</f>
        <v>FT-02 FILTRO PARA AGUA POTAVEL</v>
      </c>
      <c r="E849" s="65" t="str">
        <f>VLOOKUP(C849,'FDE 10-23 '!$A$4:$E$3180,3,0)</f>
        <v>UN</v>
      </c>
      <c r="F849" s="1112">
        <v>5</v>
      </c>
      <c r="G849" s="66"/>
      <c r="H849" s="1220"/>
      <c r="I849" s="66"/>
      <c r="J849" s="66"/>
      <c r="K849" s="66"/>
      <c r="L849" s="1222"/>
      <c r="M849" s="51"/>
      <c r="N849" s="52"/>
      <c r="O849" s="25"/>
      <c r="P849" s="25"/>
    </row>
    <row r="850" spans="1:16" ht="30" customHeight="1">
      <c r="A850" s="61" t="s">
        <v>570</v>
      </c>
      <c r="B850" s="62" t="s">
        <v>26</v>
      </c>
      <c r="C850" s="63" t="s">
        <v>571</v>
      </c>
      <c r="D850" s="1219" t="str">
        <f>IFERROR(UPPER(IF(B850="CPU",VLOOKUP(C850,#REF!,2,0),IF(B850="SINAPI",VLOOKUP(C850,#REF!,2,0),IF(B850="EDIF",VLOOKUP(C850,#REF!,2,0),IF(B850="CDHU",VLOOKUP(C850,#REF!,2,0),IF(B850="FDE",VLOOKUP(C850,'FDE 10-23 '!$A$4:$E$3180,2,0),IF(B850="INFRA",VLOOKUP(C850,#REF!,2,0),""))))))),"")</f>
        <v>TORNEIRA DE LAVAGEM COM CANOPLA DE 1/2"</v>
      </c>
      <c r="E850" s="65" t="str">
        <f>VLOOKUP(C850,'FDE 10-23 '!$A$4:$E$3180,3,0)</f>
        <v>UN</v>
      </c>
      <c r="F850" s="1112">
        <v>6</v>
      </c>
      <c r="G850" s="66"/>
      <c r="H850" s="1220"/>
      <c r="I850" s="66"/>
      <c r="J850" s="66"/>
      <c r="K850" s="66"/>
      <c r="L850" s="1222"/>
      <c r="M850" s="51"/>
      <c r="N850" s="52"/>
      <c r="O850" s="25"/>
      <c r="P850" s="25"/>
    </row>
    <row r="851" spans="1:16" ht="30" customHeight="1">
      <c r="A851" s="61" t="s">
        <v>572</v>
      </c>
      <c r="B851" s="62" t="s">
        <v>26</v>
      </c>
      <c r="C851" s="63" t="s">
        <v>573</v>
      </c>
      <c r="D851" s="1219" t="str">
        <f>IFERROR(UPPER(IF(B851="CPU",VLOOKUP(C851,#REF!,2,0),IF(B851="SINAPI",VLOOKUP(C851,#REF!,2,0),IF(B851="EDIF",VLOOKUP(C851,#REF!,2,0),IF(B851="CDHU",VLOOKUP(C851,#REF!,2,0),IF(B851="FDE",VLOOKUP(C851,'FDE 10-23 '!$A$4:$E$3180,2,0),IF(B851="INFRA",VLOOKUP(C851,#REF!,2,0),""))))))),"")</f>
        <v>TJ-03 TORNEIRA DE JARDIM</v>
      </c>
      <c r="E851" s="65" t="str">
        <f>VLOOKUP(C851,'FDE 10-23 '!$A$4:$E$3180,3,0)</f>
        <v>UN</v>
      </c>
      <c r="F851" s="1112">
        <v>1</v>
      </c>
      <c r="G851" s="66"/>
      <c r="H851" s="1220"/>
      <c r="I851" s="66"/>
      <c r="J851" s="66"/>
      <c r="K851" s="66"/>
      <c r="L851" s="1222"/>
      <c r="M851" s="51"/>
      <c r="N851" s="52"/>
      <c r="O851" s="25"/>
      <c r="P851" s="25"/>
    </row>
    <row r="852" spans="1:16" ht="30" customHeight="1">
      <c r="A852" s="61"/>
      <c r="B852" s="62"/>
      <c r="C852" s="63"/>
      <c r="D852" s="1219" t="s">
        <v>11017</v>
      </c>
      <c r="E852" s="65"/>
      <c r="F852" s="88"/>
      <c r="G852" s="66"/>
      <c r="H852" s="1220"/>
      <c r="I852" s="66"/>
      <c r="J852" s="66"/>
      <c r="K852" s="66"/>
      <c r="L852" s="1222"/>
      <c r="M852" s="51"/>
      <c r="N852" s="52"/>
      <c r="O852" s="25"/>
      <c r="P852" s="25"/>
    </row>
    <row r="853" spans="1:16" ht="30" customHeight="1">
      <c r="A853" s="43">
        <v>9</v>
      </c>
      <c r="B853" s="44"/>
      <c r="C853" s="44" t="s">
        <v>574</v>
      </c>
      <c r="D853" s="1213" t="s">
        <v>575</v>
      </c>
      <c r="E853" s="46" t="str">
        <f>IFERROR(UPPER(IF(B853="CPU",VLOOKUP(C853,#REF!,3,0),IF(B853="SINAPI",VLOOKUP(C853,#REF!,3,0),IF(B853="EDIF",VLOOKUP(C853,#REF!,3,0),IF(B853="CDHU",VLOOKUP(C853,#REF!,3,0),IF(B853="FDE",VLOOKUP(C853,#REF!,3,0),IF(B853="INFRA",VLOOKUP(C853,#REF!,3,0),""))))))),"")</f>
        <v/>
      </c>
      <c r="F853" s="1233"/>
      <c r="G853" s="47"/>
      <c r="H853" s="1214"/>
      <c r="I853" s="1214"/>
      <c r="J853" s="1214"/>
      <c r="K853" s="1214"/>
      <c r="L853" s="1215"/>
      <c r="M853" s="51"/>
      <c r="N853" s="52"/>
      <c r="O853" s="25"/>
      <c r="P853" s="25"/>
    </row>
    <row r="854" spans="1:16" ht="30" customHeight="1">
      <c r="A854" s="53" t="s">
        <v>576</v>
      </c>
      <c r="B854" s="54"/>
      <c r="C854" s="54" t="s">
        <v>577</v>
      </c>
      <c r="D854" s="1216" t="s">
        <v>578</v>
      </c>
      <c r="E854" s="56" t="str">
        <f>IFERROR(UPPER(IF(B854="CPU",VLOOKUP(C854,#REF!,3,0),IF(B854="SINAPI",VLOOKUP(C854,#REF!,3,0),IF(B854="EDIF",VLOOKUP(C854,#REF!,3,0),IF(B854="CDHU",VLOOKUP(C854,#REF!,3,0),IF(B854="FDE",VLOOKUP(C854,#REF!,3,0),IF(B854="INFRA",VLOOKUP(C854,#REF!,3,0),""))))))),"")</f>
        <v/>
      </c>
      <c r="F854" s="1232"/>
      <c r="G854" s="57"/>
      <c r="H854" s="1217"/>
      <c r="I854" s="1217"/>
      <c r="J854" s="1217"/>
      <c r="K854" s="1217"/>
      <c r="L854" s="1218"/>
      <c r="M854" s="51"/>
      <c r="N854" s="52"/>
      <c r="O854" s="25"/>
      <c r="P854" s="25"/>
    </row>
    <row r="855" spans="1:16" ht="30" customHeight="1">
      <c r="A855" s="61" t="s">
        <v>579</v>
      </c>
      <c r="B855" s="62" t="s">
        <v>26</v>
      </c>
      <c r="C855" s="63" t="s">
        <v>580</v>
      </c>
      <c r="D855" s="1219" t="str">
        <f>IFERROR(UPPER(IF(B855="CPU",VLOOKUP(C855,#REF!,2,0),IF(B855="SINAPI",VLOOKUP(C855,#REF!,2,0),IF(B855="EDIF",VLOOKUP(C855,#REF!,2,0),IF(B855="CDHU",VLOOKUP(C855,#REF!,2,0),IF(B855="FDE",VLOOKUP(C855,'FDE 10-23 '!$A$4:$E$3180,2,0),IF(B855="INFRA",VLOOKUP(C855,#REF!,2,0),""))))))),"")</f>
        <v>AT-01 ENTRADA AEREA PARA TELEFONE</v>
      </c>
      <c r="E855" s="65" t="str">
        <f>VLOOKUP(C855,'FDE 10-23 '!$A$4:$E$3180,3,0)</f>
        <v>UN</v>
      </c>
      <c r="F855" s="1112">
        <f>1-0.109</f>
        <v>0.89100000000000001</v>
      </c>
      <c r="G855" s="66"/>
      <c r="H855" s="1220"/>
      <c r="I855" s="66"/>
      <c r="J855" s="66"/>
      <c r="K855" s="66"/>
      <c r="L855" s="1229" t="s">
        <v>11038</v>
      </c>
      <c r="M855" s="51"/>
      <c r="N855" s="52"/>
      <c r="O855" s="25"/>
      <c r="P855" s="25"/>
    </row>
    <row r="856" spans="1:16" ht="30" customHeight="1">
      <c r="A856" s="61" t="s">
        <v>581</v>
      </c>
      <c r="B856" s="62" t="s">
        <v>26</v>
      </c>
      <c r="C856" s="63" t="s">
        <v>582</v>
      </c>
      <c r="D856" s="1219" t="str">
        <f>IFERROR(UPPER(IF(B856="CPU",VLOOKUP(C856,#REF!,2,0),IF(B856="SINAPI",VLOOKUP(C856,#REF!,2,0),IF(B856="EDIF",VLOOKUP(C856,#REF!,2,0),IF(B856="CDHU",VLOOKUP(C856,#REF!,2,0),IF(B856="FDE",VLOOKUP(C856,'FDE 10-23 '!$A$4:$E$3180,2,0),IF(B856="INFRA",VLOOKUP(C856,#REF!,2,0),""))))))),"")</f>
        <v>DPS - DISPOSITIVO PROTECAO CONTRA SURTOS (ENERGIA)</v>
      </c>
      <c r="E856" s="65" t="str">
        <f>VLOOKUP(C856,'FDE 10-23 '!$A$4:$E$3180,3,0)</f>
        <v>UN</v>
      </c>
      <c r="F856" s="1112">
        <v>4</v>
      </c>
      <c r="G856" s="66"/>
      <c r="H856" s="1220"/>
      <c r="I856" s="66"/>
      <c r="J856" s="66"/>
      <c r="K856" s="66"/>
      <c r="L856" s="1222"/>
      <c r="M856" s="51"/>
      <c r="N856" s="52"/>
      <c r="O856" s="25"/>
      <c r="P856" s="25"/>
    </row>
    <row r="857" spans="1:16" ht="30" customHeight="1">
      <c r="A857" s="61" t="s">
        <v>583</v>
      </c>
      <c r="B857" s="62" t="s">
        <v>26</v>
      </c>
      <c r="C857" s="63" t="s">
        <v>584</v>
      </c>
      <c r="D857" s="1219" t="str">
        <f>IFERROR(UPPER(IF(B857="CPU",VLOOKUP(C857,#REF!,2,0),IF(B857="SINAPI",VLOOKUP(C857,#REF!,2,0),IF(B857="EDIF",VLOOKUP(C857,#REF!,2,0),IF(B857="CDHU",VLOOKUP(C857,#REF!,2,0),IF(B857="FDE",VLOOKUP(C857,'FDE 10-23 '!$A$4:$E$3180,2,0),IF(B857="INFRA",VLOOKUP(C857,#REF!,2,0),""))))))),"")</f>
        <v>AE-21 ABRIGO E ENTRADA DE ENERGIA (CAIXA M OU H): AES ELETROP/BANDEIRANTE/ELEKTRO/CPFL</v>
      </c>
      <c r="E857" s="65" t="str">
        <f>VLOOKUP(C857,'FDE 10-23 '!$A$4:$E$3180,3,0)</f>
        <v>UN</v>
      </c>
      <c r="F857" s="1112">
        <f>1-0.23</f>
        <v>0.77</v>
      </c>
      <c r="G857" s="66"/>
      <c r="H857" s="1220"/>
      <c r="I857" s="66"/>
      <c r="J857" s="66"/>
      <c r="K857" s="66"/>
      <c r="L857" s="1229" t="s">
        <v>11038</v>
      </c>
      <c r="M857" s="51"/>
      <c r="N857" s="52"/>
      <c r="O857" s="25"/>
      <c r="P857" s="25"/>
    </row>
    <row r="858" spans="1:16" ht="30" customHeight="1">
      <c r="A858" s="61" t="s">
        <v>585</v>
      </c>
      <c r="B858" s="62" t="s">
        <v>26</v>
      </c>
      <c r="C858" s="63" t="s">
        <v>586</v>
      </c>
      <c r="D858" s="1219" t="str">
        <f>IFERROR(UPPER(IF(B858="CPU",VLOOKUP(C858,#REF!,2,0),IF(B858="SINAPI",VLOOKUP(C858,#REF!,2,0),IF(B858="EDIF",VLOOKUP(C858,#REF!,2,0),IF(B858="CDHU",VLOOKUP(C858,#REF!,2,0),IF(B858="FDE",VLOOKUP(C858,'FDE 10-23 '!$A$4:$E$3180,2,0),IF(B858="INFRA",VLOOKUP(C858,#REF!,2,0),""))))))),"")</f>
        <v>CONJ 4 CABOS P/ ENTRADA ENERGIA SECCAO 95MM2 C/ ELETRODUTOS</v>
      </c>
      <c r="E858" s="65" t="str">
        <f>VLOOKUP(C858,'FDE 10-23 '!$A$4:$E$3180,3,0)</f>
        <v>UN</v>
      </c>
      <c r="F858" s="1112">
        <v>1</v>
      </c>
      <c r="G858" s="66"/>
      <c r="H858" s="1220"/>
      <c r="I858" s="66"/>
      <c r="J858" s="66"/>
      <c r="K858" s="66"/>
      <c r="L858" s="1222"/>
      <c r="M858" s="51"/>
      <c r="N858" s="52"/>
      <c r="O858" s="25"/>
      <c r="P858" s="25"/>
    </row>
    <row r="859" spans="1:16" ht="30" customHeight="1">
      <c r="A859" s="61" t="s">
        <v>587</v>
      </c>
      <c r="B859" s="62" t="s">
        <v>26</v>
      </c>
      <c r="C859" s="63" t="s">
        <v>588</v>
      </c>
      <c r="D859" s="1219" t="str">
        <f>IFERROR(UPPER(IF(B859="CPU",VLOOKUP(C859,#REF!,2,0),IF(B859="SINAPI",VLOOKUP(C859,#REF!,2,0),IF(B859="EDIF",VLOOKUP(C859,#REF!,2,0),IF(B859="CDHU",VLOOKUP(C859,#REF!,2,0),IF(B859="FDE",VLOOKUP(C859,'FDE 10-23 '!$A$4:$E$3180,2,0),IF(B859="INFRA",VLOOKUP(C859,#REF!,2,0),""))))))),"")</f>
        <v>DISJUNTOR TRIPOLAR TERMOMAGNETICO 3X10A A 3X50A</v>
      </c>
      <c r="E859" s="65" t="str">
        <f>VLOOKUP(C859,'FDE 10-23 '!$A$4:$E$3180,3,0)</f>
        <v>UN</v>
      </c>
      <c r="F859" s="1112">
        <v>1</v>
      </c>
      <c r="G859" s="66"/>
      <c r="H859" s="1220"/>
      <c r="I859" s="66"/>
      <c r="J859" s="66"/>
      <c r="K859" s="66"/>
      <c r="L859" s="1222"/>
      <c r="M859" s="51"/>
      <c r="N859" s="52"/>
      <c r="O859" s="25"/>
      <c r="P859" s="25"/>
    </row>
    <row r="860" spans="1:16" ht="30" customHeight="1">
      <c r="A860" s="61" t="s">
        <v>589</v>
      </c>
      <c r="B860" s="62" t="s">
        <v>26</v>
      </c>
      <c r="C860" s="63" t="s">
        <v>590</v>
      </c>
      <c r="D860" s="1219" t="str">
        <f>IFERROR(UPPER(IF(B860="CPU",VLOOKUP(C860,#REF!,2,0),IF(B860="SINAPI",VLOOKUP(C860,#REF!,2,0),IF(B860="EDIF",VLOOKUP(C860,#REF!,2,0),IF(B860="CDHU",VLOOKUP(C860,#REF!,2,0),IF(B860="FDE",VLOOKUP(C860,'FDE 10-23 '!$A$4:$E$3180,2,0),IF(B860="INFRA",VLOOKUP(C860,#REF!,2,0),""))))))),"")</f>
        <v>DISJUNTOR TRIPOLAR TERMOMAGNETICO 3X125A A 3X225A</v>
      </c>
      <c r="E860" s="65" t="str">
        <f>VLOOKUP(C860,'FDE 10-23 '!$A$4:$E$3180,3,0)</f>
        <v>UN</v>
      </c>
      <c r="F860" s="1112">
        <v>1</v>
      </c>
      <c r="G860" s="66"/>
      <c r="H860" s="1220"/>
      <c r="I860" s="66"/>
      <c r="J860" s="66"/>
      <c r="K860" s="66"/>
      <c r="L860" s="1222"/>
      <c r="M860" s="51"/>
      <c r="N860" s="52"/>
      <c r="O860" s="25"/>
      <c r="P860" s="25"/>
    </row>
    <row r="861" spans="1:16" ht="30" customHeight="1">
      <c r="A861" s="61" t="s">
        <v>591</v>
      </c>
      <c r="B861" s="62" t="s">
        <v>26</v>
      </c>
      <c r="C861" s="63" t="s">
        <v>592</v>
      </c>
      <c r="D861" s="1219" t="str">
        <f>IFERROR(UPPER(IF(B861="CPU",VLOOKUP(C861,#REF!,2,0),IF(B861="SINAPI",VLOOKUP(C861,#REF!,2,0),IF(B861="EDIF",VLOOKUP(C861,#REF!,2,0),IF(B861="CDHU",VLOOKUP(C861,#REF!,2,0),IF(B861="FDE",VLOOKUP(C861,'FDE 10-23 '!$A$4:$E$3180,2,0),IF(B861="INFRA",VLOOKUP(C861,#REF!,2,0),""))))))),"")</f>
        <v>CONJUNTO PARA ENTRADA DE TELEFONE  NA ENTRADA DE ENERGIA</v>
      </c>
      <c r="E861" s="65" t="str">
        <f>VLOOKUP(C861,'FDE 10-23 '!$A$4:$E$3180,3,0)</f>
        <v>UN</v>
      </c>
      <c r="F861" s="1112">
        <v>1</v>
      </c>
      <c r="G861" s="66"/>
      <c r="H861" s="1220"/>
      <c r="I861" s="66"/>
      <c r="J861" s="66"/>
      <c r="K861" s="66"/>
      <c r="L861" s="1222"/>
      <c r="M861" s="51"/>
      <c r="N861" s="52"/>
      <c r="O861" s="25"/>
      <c r="P861" s="25"/>
    </row>
    <row r="862" spans="1:16" ht="42" customHeight="1">
      <c r="A862" s="61"/>
      <c r="B862" s="62"/>
      <c r="C862" s="63"/>
      <c r="D862" s="1219" t="s">
        <v>11041</v>
      </c>
      <c r="E862" s="65"/>
      <c r="F862" s="1112"/>
      <c r="G862" s="66"/>
      <c r="H862" s="1220"/>
      <c r="I862" s="66"/>
      <c r="J862" s="66"/>
      <c r="K862" s="66"/>
      <c r="L862" s="1222"/>
      <c r="M862" s="51"/>
      <c r="N862" s="52"/>
      <c r="O862" s="25"/>
      <c r="P862" s="25"/>
    </row>
    <row r="863" spans="1:16" ht="30" customHeight="1">
      <c r="A863" s="53" t="s">
        <v>593</v>
      </c>
      <c r="B863" s="54"/>
      <c r="C863" s="54" t="s">
        <v>594</v>
      </c>
      <c r="D863" s="1216" t="s">
        <v>595</v>
      </c>
      <c r="E863" s="56" t="str">
        <f>IFERROR(UPPER(IF(B863="CPU",VLOOKUP(C863,#REF!,3,0),IF(B863="SINAPI",VLOOKUP(C863,#REF!,3,0),IF(B863="EDIF",VLOOKUP(C863,#REF!,3,0),IF(B863="CDHU",VLOOKUP(C863,#REF!,3,0),IF(B863="FDE",VLOOKUP(C863,#REF!,3,0),IF(B863="INFRA",VLOOKUP(C863,#REF!,3,0),""))))))),"")</f>
        <v/>
      </c>
      <c r="F863" s="1232"/>
      <c r="G863" s="57"/>
      <c r="H863" s="1217"/>
      <c r="I863" s="1217"/>
      <c r="J863" s="1217"/>
      <c r="K863" s="1217"/>
      <c r="L863" s="1218"/>
      <c r="M863" s="51"/>
      <c r="N863" s="52"/>
      <c r="O863" s="25"/>
      <c r="P863" s="25"/>
    </row>
    <row r="864" spans="1:16" ht="30" customHeight="1">
      <c r="A864" s="61" t="s">
        <v>596</v>
      </c>
      <c r="B864" s="62" t="s">
        <v>26</v>
      </c>
      <c r="C864" s="63" t="s">
        <v>597</v>
      </c>
      <c r="D864" s="1219" t="str">
        <f>IFERROR(UPPER(IF(B864="CPU",VLOOKUP(C864,#REF!,2,0),IF(B864="SINAPI",VLOOKUP(C864,#REF!,2,0),IF(B864="EDIF",VLOOKUP(C864,#REF!,2,0),IF(B864="CDHU",VLOOKUP(C864,#REF!,2,0),IF(B864="FDE",VLOOKUP(C864,'FDE 10-23 '!$A$4:$E$3180,2,0),IF(B864="INFRA",VLOOKUP(C864,#REF!,2,0),""))))))),"")</f>
        <v>CABO DE 50 MM2 - 750 V DE ISOLACAO</v>
      </c>
      <c r="E864" s="65" t="str">
        <f>VLOOKUP(C864,'FDE 10-23 '!$A$4:$E$3180,3,0)</f>
        <v>M</v>
      </c>
      <c r="F864" s="1112">
        <v>45</v>
      </c>
      <c r="G864" s="66"/>
      <c r="H864" s="1220"/>
      <c r="I864" s="66"/>
      <c r="J864" s="66"/>
      <c r="K864" s="66"/>
      <c r="L864" s="1222"/>
      <c r="M864" s="51"/>
      <c r="N864" s="52"/>
      <c r="O864" s="25"/>
      <c r="P864" s="25"/>
    </row>
    <row r="865" spans="1:16" ht="30" customHeight="1">
      <c r="A865" s="61" t="s">
        <v>598</v>
      </c>
      <c r="B865" s="62" t="s">
        <v>26</v>
      </c>
      <c r="C865" s="63" t="s">
        <v>599</v>
      </c>
      <c r="D865" s="1219" t="str">
        <f>IFERROR(UPPER(IF(B865="CPU",VLOOKUP(C865,#REF!,2,0),IF(B865="SINAPI",VLOOKUP(C865,#REF!,2,0),IF(B865="EDIF",VLOOKUP(C865,#REF!,2,0),IF(B865="CDHU",VLOOKUP(C865,#REF!,2,0),IF(B865="FDE",VLOOKUP(C865,'FDE 10-23 '!$A$4:$E$3180,2,0),IF(B865="INFRA",VLOOKUP(C865,#REF!,2,0),""))))))),"")</f>
        <v>CABO DE 95 MM2 - 750 V DE ISOLACAO</v>
      </c>
      <c r="E865" s="65" t="str">
        <f>VLOOKUP(C865,'FDE 10-23 '!$A$4:$E$3180,3,0)</f>
        <v>M</v>
      </c>
      <c r="F865" s="1112">
        <v>180</v>
      </c>
      <c r="G865" s="66"/>
      <c r="H865" s="1220"/>
      <c r="I865" s="66"/>
      <c r="J865" s="66"/>
      <c r="K865" s="66"/>
      <c r="L865" s="1222"/>
      <c r="M865" s="51"/>
      <c r="N865" s="52"/>
      <c r="O865" s="25"/>
      <c r="P865" s="25"/>
    </row>
    <row r="866" spans="1:16" ht="30" customHeight="1">
      <c r="A866" s="61" t="s">
        <v>600</v>
      </c>
      <c r="B866" s="62" t="s">
        <v>26</v>
      </c>
      <c r="C866" s="63" t="s">
        <v>601</v>
      </c>
      <c r="D866" s="1219" t="str">
        <f>IFERROR(UPPER(IF(B866="CPU",VLOOKUP(C866,#REF!,2,0),IF(B866="SINAPI",VLOOKUP(C866,#REF!,2,0),IF(B866="EDIF",VLOOKUP(C866,#REF!,2,0),IF(B866="CDHU",VLOOKUP(C866,#REF!,2,0),IF(B866="FDE",VLOOKUP(C866,'FDE 10-23 '!$A$4:$E$3180,2,0),IF(B866="INFRA",VLOOKUP(C866,#REF!,2,0),""))))))),"")</f>
        <v>CABO DE 10 MM2 - 750V DE ISOLAÇÃO</v>
      </c>
      <c r="E866" s="65" t="str">
        <f>VLOOKUP(C866,'FDE 10-23 '!$A$4:$E$3180,3,0)</f>
        <v>M</v>
      </c>
      <c r="F866" s="1112">
        <v>8</v>
      </c>
      <c r="G866" s="66"/>
      <c r="H866" s="1220"/>
      <c r="I866" s="66"/>
      <c r="J866" s="66"/>
      <c r="K866" s="66"/>
      <c r="L866" s="1222"/>
      <c r="M866" s="51"/>
      <c r="N866" s="52"/>
      <c r="O866" s="25"/>
      <c r="P866" s="25"/>
    </row>
    <row r="867" spans="1:16" ht="30" customHeight="1">
      <c r="A867" s="61" t="s">
        <v>602</v>
      </c>
      <c r="B867" s="62" t="s">
        <v>26</v>
      </c>
      <c r="C867" s="63" t="s">
        <v>603</v>
      </c>
      <c r="D867" s="1219" t="str">
        <f>IFERROR(UPPER(IF(B867="CPU",VLOOKUP(C867,#REF!,2,0),IF(B867="SINAPI",VLOOKUP(C867,#REF!,2,0),IF(B867="EDIF",VLOOKUP(C867,#REF!,2,0),IF(B867="CDHU",VLOOKUP(C867,#REF!,2,0),IF(B867="FDE",VLOOKUP(C867,'FDE 10-23 '!$A$4:$E$3180,2,0),IF(B867="INFRA",VLOOKUP(C867,#REF!,2,0),""))))))),"")</f>
        <v>ELETRODUTO DE PVC RIGIDO ROSCAVEL DE 25MM - INCL CONEXOES</v>
      </c>
      <c r="E867" s="65" t="str">
        <f>VLOOKUP(C867,'FDE 10-23 '!$A$4:$E$3180,3,0)</f>
        <v>M</v>
      </c>
      <c r="F867" s="1112">
        <v>14</v>
      </c>
      <c r="G867" s="66"/>
      <c r="H867" s="1220"/>
      <c r="I867" s="66"/>
      <c r="J867" s="66"/>
      <c r="K867" s="66"/>
      <c r="L867" s="1222"/>
      <c r="M867" s="51"/>
      <c r="N867" s="52"/>
      <c r="O867" s="25"/>
      <c r="P867" s="25"/>
    </row>
    <row r="868" spans="1:16" ht="30" customHeight="1">
      <c r="A868" s="61" t="s">
        <v>604</v>
      </c>
      <c r="B868" s="62" t="s">
        <v>26</v>
      </c>
      <c r="C868" s="63" t="s">
        <v>605</v>
      </c>
      <c r="D868" s="1219" t="str">
        <f>IFERROR(UPPER(IF(B868="CPU",VLOOKUP(C868,#REF!,2,0),IF(B868="SINAPI",VLOOKUP(C868,#REF!,2,0),IF(B868="EDIF",VLOOKUP(C868,#REF!,2,0),IF(B868="CDHU",VLOOKUP(C868,#REF!,2,0),IF(B868="FDE",VLOOKUP(C868,'FDE 10-23 '!$A$4:$E$3180,2,0),IF(B868="INFRA",VLOOKUP(C868,#REF!,2,0),""))))))),"")</f>
        <v>ELETRODUTO DE PVC RIGIDO ROSCAVEL DE 32MM - INCL CONEXOES</v>
      </c>
      <c r="E868" s="65" t="str">
        <f>VLOOKUP(C868,'FDE 10-23 '!$A$4:$E$3180,3,0)</f>
        <v>M</v>
      </c>
      <c r="F868" s="1112">
        <v>5</v>
      </c>
      <c r="G868" s="66"/>
      <c r="H868" s="1220"/>
      <c r="I868" s="66"/>
      <c r="J868" s="66"/>
      <c r="K868" s="66"/>
      <c r="L868" s="1222"/>
      <c r="M868" s="51"/>
      <c r="N868" s="52"/>
      <c r="O868" s="25"/>
      <c r="P868" s="25"/>
    </row>
    <row r="869" spans="1:16" ht="30" customHeight="1">
      <c r="A869" s="61" t="s">
        <v>606</v>
      </c>
      <c r="B869" s="62" t="s">
        <v>26</v>
      </c>
      <c r="C869" s="63" t="s">
        <v>607</v>
      </c>
      <c r="D869" s="1219" t="str">
        <f>IFERROR(UPPER(IF(B869="CPU",VLOOKUP(C869,#REF!,2,0),IF(B869="SINAPI",VLOOKUP(C869,#REF!,2,0),IF(B869="EDIF",VLOOKUP(C869,#REF!,2,0),IF(B869="CDHU",VLOOKUP(C869,#REF!,2,0),IF(B869="FDE",VLOOKUP(C869,'FDE 10-23 '!$A$4:$E$3180,2,0),IF(B869="INFRA",VLOOKUP(C869,#REF!,2,0),""))))))),"")</f>
        <v>ELETRODUTO DE PVC RIGIDO ROSCAVEL DE 40MM - INCL CONEXOES</v>
      </c>
      <c r="E869" s="65" t="str">
        <f>VLOOKUP(C869,'FDE 10-23 '!$A$4:$E$3180,3,0)</f>
        <v>M</v>
      </c>
      <c r="F869" s="1112">
        <v>2</v>
      </c>
      <c r="G869" s="66"/>
      <c r="H869" s="1220"/>
      <c r="I869" s="66"/>
      <c r="J869" s="66"/>
      <c r="K869" s="66"/>
      <c r="L869" s="1222"/>
      <c r="M869" s="51"/>
      <c r="N869" s="52"/>
      <c r="O869" s="25"/>
      <c r="P869" s="25"/>
    </row>
    <row r="870" spans="1:16" ht="30" customHeight="1">
      <c r="A870" s="61" t="s">
        <v>608</v>
      </c>
      <c r="B870" s="62" t="s">
        <v>26</v>
      </c>
      <c r="C870" s="63" t="s">
        <v>609</v>
      </c>
      <c r="D870" s="1219" t="str">
        <f>IFERROR(UPPER(IF(B870="CPU",VLOOKUP(C870,#REF!,2,0),IF(B870="SINAPI",VLOOKUP(C870,#REF!,2,0),IF(B870="EDIF",VLOOKUP(C870,#REF!,2,0),IF(B870="CDHU",VLOOKUP(C870,#REF!,2,0),IF(B870="FDE",VLOOKUP(C870,'FDE 10-23 '!$A$4:$E$3180,2,0),IF(B870="INFRA",VLOOKUP(C870,#REF!,2,0),""))))))),"")</f>
        <v>ELETRODUTO DE PVC RIGIDO ROSCAVEL DE 50MM - INCL CONEXOES</v>
      </c>
      <c r="E870" s="65" t="str">
        <f>VLOOKUP(C870,'FDE 10-23 '!$A$4:$E$3180,3,0)</f>
        <v>M</v>
      </c>
      <c r="F870" s="1112">
        <v>8</v>
      </c>
      <c r="G870" s="66"/>
      <c r="H870" s="1220"/>
      <c r="I870" s="66"/>
      <c r="J870" s="66"/>
      <c r="K870" s="66"/>
      <c r="L870" s="1222"/>
      <c r="M870" s="51"/>
      <c r="N870" s="52"/>
      <c r="O870" s="25"/>
      <c r="P870" s="25"/>
    </row>
    <row r="871" spans="1:16" ht="30" customHeight="1">
      <c r="A871" s="61" t="s">
        <v>610</v>
      </c>
      <c r="B871" s="62" t="s">
        <v>26</v>
      </c>
      <c r="C871" s="63" t="s">
        <v>611</v>
      </c>
      <c r="D871" s="1219" t="str">
        <f>IFERROR(UPPER(IF(B871="CPU",VLOOKUP(C871,#REF!,2,0),IF(B871="SINAPI",VLOOKUP(C871,#REF!,2,0),IF(B871="EDIF",VLOOKUP(C871,#REF!,2,0),IF(B871="CDHU",VLOOKUP(C871,#REF!,2,0),IF(B871="FDE",VLOOKUP(C871,'FDE 10-23 '!$A$4:$E$3180,2,0),IF(B871="INFRA",VLOOKUP(C871,#REF!,2,0),""))))))),"")</f>
        <v>ELETRODUTO DE PVC RIGIDO ROSCAVEL DE 85MM - INCL CONEXOES</v>
      </c>
      <c r="E871" s="65" t="str">
        <f>VLOOKUP(C871,'FDE 10-23 '!$A$4:$E$3180,3,0)</f>
        <v>M</v>
      </c>
      <c r="F871" s="1112">
        <v>45</v>
      </c>
      <c r="G871" s="66"/>
      <c r="H871" s="1220"/>
      <c r="I871" s="66"/>
      <c r="J871" s="66"/>
      <c r="K871" s="66"/>
      <c r="L871" s="1222"/>
      <c r="M871" s="51"/>
      <c r="N871" s="52"/>
      <c r="O871" s="25"/>
      <c r="P871" s="25"/>
    </row>
    <row r="872" spans="1:16" ht="30" customHeight="1">
      <c r="A872" s="61"/>
      <c r="B872" s="62"/>
      <c r="C872" s="63"/>
      <c r="D872" s="1219" t="s">
        <v>11042</v>
      </c>
      <c r="E872" s="65"/>
      <c r="F872" s="88"/>
      <c r="G872" s="66"/>
      <c r="H872" s="1220"/>
      <c r="I872" s="66"/>
      <c r="J872" s="66"/>
      <c r="K872" s="66"/>
      <c r="L872" s="1222"/>
      <c r="M872" s="51"/>
      <c r="N872" s="52"/>
      <c r="O872" s="25"/>
      <c r="P872" s="25"/>
    </row>
    <row r="873" spans="1:16" ht="30" customHeight="1">
      <c r="A873" s="53" t="s">
        <v>612</v>
      </c>
      <c r="B873" s="54"/>
      <c r="C873" s="54" t="s">
        <v>613</v>
      </c>
      <c r="D873" s="1216" t="s">
        <v>614</v>
      </c>
      <c r="E873" s="56" t="str">
        <f>IFERROR(UPPER(IF(B873="CPU",VLOOKUP(C873,#REF!,3,0),IF(B873="SINAPI",VLOOKUP(C873,#REF!,3,0),IF(B873="EDIF",VLOOKUP(C873,#REF!,3,0),IF(B873="CDHU",VLOOKUP(C873,#REF!,3,0),IF(B873="FDE",VLOOKUP(C873,#REF!,3,0),IF(B873="INFRA",VLOOKUP(C873,#REF!,3,0),""))))))),"")</f>
        <v/>
      </c>
      <c r="F873" s="1232"/>
      <c r="G873" s="57"/>
      <c r="H873" s="1217"/>
      <c r="I873" s="1217"/>
      <c r="J873" s="1217"/>
      <c r="K873" s="1217"/>
      <c r="L873" s="1218"/>
      <c r="M873" s="51"/>
      <c r="N873" s="52"/>
      <c r="O873" s="25"/>
      <c r="P873" s="25"/>
    </row>
    <row r="874" spans="1:16" ht="30" customHeight="1">
      <c r="A874" s="61" t="s">
        <v>615</v>
      </c>
      <c r="B874" s="62" t="s">
        <v>26</v>
      </c>
      <c r="C874" s="63" t="s">
        <v>616</v>
      </c>
      <c r="D874" s="1219" t="str">
        <f>IFERROR(UPPER(IF(B874="CPU",VLOOKUP(C874,#REF!,2,0),IF(B874="SINAPI",VLOOKUP(C874,#REF!,2,0),IF(B874="EDIF",VLOOKUP(C874,#REF!,2,0),IF(B874="CDHU",VLOOKUP(C874,#REF!,2,0),IF(B874="FDE",VLOOKUP(C874,'FDE 10-23 '!$A$4:$E$3180,2,0),IF(B874="INFRA",VLOOKUP(C874,#REF!,2,0),""))))))),"")</f>
        <v>CAIXA EM CHAPA DE AÇO 16 COM PORTA E FECHO</v>
      </c>
      <c r="E874" s="65" t="str">
        <f>VLOOKUP(C874,'FDE 10-23 '!$A$4:$E$3180,3,0)</f>
        <v>M2</v>
      </c>
      <c r="F874" s="1112">
        <v>1.44</v>
      </c>
      <c r="G874" s="66"/>
      <c r="H874" s="1220"/>
      <c r="I874" s="66"/>
      <c r="J874" s="66"/>
      <c r="K874" s="66"/>
      <c r="L874" s="1222"/>
      <c r="M874" s="51"/>
      <c r="N874" s="52"/>
      <c r="O874" s="25"/>
      <c r="P874" s="25"/>
    </row>
    <row r="875" spans="1:16" ht="30" customHeight="1">
      <c r="A875" s="61" t="s">
        <v>617</v>
      </c>
      <c r="B875" s="62" t="s">
        <v>26</v>
      </c>
      <c r="C875" s="63" t="s">
        <v>618</v>
      </c>
      <c r="D875" s="1219" t="str">
        <f>IFERROR(UPPER(IF(B875="CPU",VLOOKUP(C875,#REF!,2,0),IF(B875="SINAPI",VLOOKUP(C875,#REF!,2,0),IF(B875="EDIF",VLOOKUP(C875,#REF!,2,0),IF(B875="CDHU",VLOOKUP(C875,#REF!,2,0),IF(B875="FDE",VLOOKUP(C875,'FDE 10-23 '!$A$4:$E$3180,2,0),IF(B875="INFRA",VLOOKUP(C875,#REF!,2,0),""))))))),"")</f>
        <v>QUADRO GERAL - DISJUNTOR TERMOMAGNETICO 3X10A A 3X50A</v>
      </c>
      <c r="E875" s="65" t="str">
        <f>VLOOKUP(C875,'FDE 10-23 '!$A$4:$E$3180,3,0)</f>
        <v>UN</v>
      </c>
      <c r="F875" s="1112">
        <v>25</v>
      </c>
      <c r="G875" s="66"/>
      <c r="H875" s="1220"/>
      <c r="I875" s="66"/>
      <c r="J875" s="66"/>
      <c r="K875" s="66"/>
      <c r="L875" s="1222"/>
      <c r="M875" s="51"/>
      <c r="N875" s="52"/>
      <c r="O875" s="25"/>
      <c r="P875" s="25"/>
    </row>
    <row r="876" spans="1:16" ht="30" customHeight="1">
      <c r="A876" s="61" t="s">
        <v>619</v>
      </c>
      <c r="B876" s="62" t="s">
        <v>26</v>
      </c>
      <c r="C876" s="63" t="s">
        <v>620</v>
      </c>
      <c r="D876" s="1219" t="str">
        <f>IFERROR(UPPER(IF(B876="CPU",VLOOKUP(C876,#REF!,2,0),IF(B876="SINAPI",VLOOKUP(C876,#REF!,2,0),IF(B876="EDIF",VLOOKUP(C876,#REF!,2,0),IF(B876="CDHU",VLOOKUP(C876,#REF!,2,0),IF(B876="FDE",VLOOKUP(C876,'FDE 10-23 '!$A$4:$E$3180,2,0),IF(B876="INFRA",VLOOKUP(C876,#REF!,2,0),""))))))),"")</f>
        <v>QUADRO GERAL - DISJUNTOR TERMOMAGNETICO 3X60A A 3X100A</v>
      </c>
      <c r="E876" s="65" t="str">
        <f>VLOOKUP(C876,'FDE 10-23 '!$A$4:$E$3180,3,0)</f>
        <v>UN</v>
      </c>
      <c r="F876" s="1112">
        <v>2</v>
      </c>
      <c r="G876" s="66"/>
      <c r="H876" s="1220"/>
      <c r="I876" s="66"/>
      <c r="J876" s="66"/>
      <c r="K876" s="66"/>
      <c r="L876" s="1222"/>
      <c r="M876" s="51"/>
      <c r="N876" s="52"/>
      <c r="O876" s="25"/>
      <c r="P876" s="25"/>
    </row>
    <row r="877" spans="1:16" ht="30" customHeight="1">
      <c r="A877" s="61" t="s">
        <v>621</v>
      </c>
      <c r="B877" s="62" t="s">
        <v>26</v>
      </c>
      <c r="C877" s="63" t="s">
        <v>622</v>
      </c>
      <c r="D877" s="1219" t="str">
        <f>IFERROR(UPPER(IF(B877="CPU",VLOOKUP(C877,#REF!,2,0),IF(B877="SINAPI",VLOOKUP(C877,#REF!,2,0),IF(B877="EDIF",VLOOKUP(C877,#REF!,2,0),IF(B877="CDHU",VLOOKUP(C877,#REF!,2,0),IF(B877="FDE",VLOOKUP(C877,'FDE 10-23 '!$A$4:$E$3180,2,0),IF(B877="INFRA",VLOOKUP(C877,#REF!,2,0),""))))))),"")</f>
        <v>QUADRO GERAL - DISJUNTOR TERMO MAGNETICO 3X200A</v>
      </c>
      <c r="E877" s="65" t="str">
        <f>VLOOKUP(C877,'FDE 10-23 '!$A$4:$E$3180,3,0)</f>
        <v>UN</v>
      </c>
      <c r="F877" s="1112">
        <v>2</v>
      </c>
      <c r="G877" s="66"/>
      <c r="H877" s="1220"/>
      <c r="I877" s="66"/>
      <c r="J877" s="66"/>
      <c r="K877" s="66"/>
      <c r="L877" s="1222"/>
      <c r="M877" s="51"/>
      <c r="N877" s="52"/>
      <c r="O877" s="25"/>
      <c r="P877" s="25"/>
    </row>
    <row r="878" spans="1:16" ht="30" customHeight="1">
      <c r="A878" s="61" t="s">
        <v>623</v>
      </c>
      <c r="B878" s="62" t="s">
        <v>26</v>
      </c>
      <c r="C878" s="63" t="s">
        <v>624</v>
      </c>
      <c r="D878" s="1219" t="str">
        <f>IFERROR(UPPER(IF(B878="CPU",VLOOKUP(C878,#REF!,2,0),IF(B878="SINAPI",VLOOKUP(C878,#REF!,2,0),IF(B878="EDIF",VLOOKUP(C878,#REF!,2,0),IF(B878="CDHU",VLOOKUP(C878,#REF!,2,0),IF(B878="FDE",VLOOKUP(C878,'FDE 10-23 '!$A$4:$E$3180,2,0),IF(B878="INFRA",VLOOKUP(C878,#REF!,2,0),""))))))),"")</f>
        <v>QUADRO GERAL-BARRAMENTO DE 60 A</v>
      </c>
      <c r="E878" s="65" t="str">
        <f>VLOOKUP(C878,'FDE 10-23 '!$A$4:$E$3180,3,0)</f>
        <v>M</v>
      </c>
      <c r="F878" s="1112">
        <v>8</v>
      </c>
      <c r="G878" s="66"/>
      <c r="H878" s="1220"/>
      <c r="I878" s="66"/>
      <c r="J878" s="66"/>
      <c r="K878" s="66"/>
      <c r="L878" s="1222"/>
      <c r="M878" s="51"/>
      <c r="N878" s="52"/>
      <c r="O878" s="25"/>
      <c r="P878" s="25"/>
    </row>
    <row r="879" spans="1:16" ht="30" customHeight="1">
      <c r="A879" s="61" t="s">
        <v>625</v>
      </c>
      <c r="B879" s="62" t="s">
        <v>26</v>
      </c>
      <c r="C879" s="63" t="s">
        <v>626</v>
      </c>
      <c r="D879" s="1219" t="str">
        <f>IFERROR(UPPER(IF(B879="CPU",VLOOKUP(C879,#REF!,2,0),IF(B879="SINAPI",VLOOKUP(C879,#REF!,2,0),IF(B879="EDIF",VLOOKUP(C879,#REF!,2,0),IF(B879="CDHU",VLOOKUP(C879,#REF!,2,0),IF(B879="FDE",VLOOKUP(C879,'FDE 10-23 '!$A$4:$E$3180,2,0),IF(B879="INFRA",VLOOKUP(C879,#REF!,2,0),""))))))),"")</f>
        <v>QUADRO GERAL-BARRAMENTO DE 100 A</v>
      </c>
      <c r="E879" s="65" t="str">
        <f>VLOOKUP(C879,'FDE 10-23 '!$A$4:$E$3180,3,0)</f>
        <v>M</v>
      </c>
      <c r="F879" s="1112">
        <v>5.5</v>
      </c>
      <c r="G879" s="66"/>
      <c r="H879" s="1220"/>
      <c r="I879" s="66"/>
      <c r="J879" s="66"/>
      <c r="K879" s="66"/>
      <c r="L879" s="1222"/>
      <c r="M879" s="51"/>
      <c r="N879" s="52"/>
      <c r="O879" s="25"/>
      <c r="P879" s="25"/>
    </row>
    <row r="880" spans="1:16" ht="30" customHeight="1">
      <c r="A880" s="61" t="s">
        <v>627</v>
      </c>
      <c r="B880" s="62" t="s">
        <v>26</v>
      </c>
      <c r="C880" s="63" t="s">
        <v>628</v>
      </c>
      <c r="D880" s="1219" t="str">
        <f>IFERROR(UPPER(IF(B880="CPU",VLOOKUP(C880,#REF!,2,0),IF(B880="SINAPI",VLOOKUP(C880,#REF!,2,0),IF(B880="EDIF",VLOOKUP(C880,#REF!,2,0),IF(B880="CDHU",VLOOKUP(C880,#REF!,2,0),IF(B880="FDE",VLOOKUP(C880,'FDE 10-23 '!$A$4:$E$3180,2,0),IF(B880="INFRA",VLOOKUP(C880,#REF!,2,0),""))))))),"")</f>
        <v>QUADRO GERAL-BARRAMENTO DE 200 A</v>
      </c>
      <c r="E880" s="65" t="str">
        <f>VLOOKUP(C880,'FDE 10-23 '!$A$4:$E$3180,3,0)</f>
        <v>M</v>
      </c>
      <c r="F880" s="1112">
        <v>3.6</v>
      </c>
      <c r="G880" s="66"/>
      <c r="H880" s="1220"/>
      <c r="I880" s="66"/>
      <c r="J880" s="66"/>
      <c r="K880" s="66"/>
      <c r="L880" s="1222"/>
      <c r="M880" s="51"/>
      <c r="N880" s="52"/>
      <c r="O880" s="25"/>
      <c r="P880" s="25"/>
    </row>
    <row r="881" spans="1:16" ht="30" customHeight="1">
      <c r="A881" s="61" t="s">
        <v>629</v>
      </c>
      <c r="B881" s="62" t="s">
        <v>26</v>
      </c>
      <c r="C881" s="63" t="s">
        <v>630</v>
      </c>
      <c r="D881" s="1219" t="str">
        <f>IFERROR(UPPER(IF(B881="CPU",VLOOKUP(C881,#REF!,2,0),IF(B881="SINAPI",VLOOKUP(C881,#REF!,2,0),IF(B881="EDIF",VLOOKUP(C881,#REF!,2,0),IF(B881="CDHU",VLOOKUP(C881,#REF!,2,0),IF(B881="FDE",VLOOKUP(C881,'FDE 10-23 '!$A$4:$E$3180,2,0),IF(B881="INFRA",VLOOKUP(C881,#REF!,2,0),""))))))),"")</f>
        <v>DISJUNTOR BIPOLAR TERMOMAGNETICO 2X10A A 2X50A</v>
      </c>
      <c r="E881" s="65" t="str">
        <f>VLOOKUP(C881,'FDE 10-23 '!$A$4:$E$3180,3,0)</f>
        <v>UN</v>
      </c>
      <c r="F881" s="1112">
        <v>1</v>
      </c>
      <c r="G881" s="66"/>
      <c r="H881" s="1220"/>
      <c r="I881" s="66"/>
      <c r="J881" s="66"/>
      <c r="K881" s="66"/>
      <c r="L881" s="1222"/>
      <c r="M881" s="51"/>
      <c r="N881" s="52"/>
      <c r="O881" s="25"/>
      <c r="P881" s="25"/>
    </row>
    <row r="882" spans="1:16" ht="30" customHeight="1">
      <c r="A882" s="61"/>
      <c r="B882" s="62"/>
      <c r="C882" s="63"/>
      <c r="D882" s="1219" t="s">
        <v>11042</v>
      </c>
      <c r="E882" s="65"/>
      <c r="F882" s="1112"/>
      <c r="G882" s="66"/>
      <c r="H882" s="1220"/>
      <c r="I882" s="66"/>
      <c r="J882" s="66"/>
      <c r="K882" s="66"/>
      <c r="L882" s="1222"/>
      <c r="M882" s="51"/>
      <c r="N882" s="52"/>
      <c r="O882" s="25"/>
      <c r="P882" s="25"/>
    </row>
    <row r="883" spans="1:16" ht="30" customHeight="1">
      <c r="A883" s="53" t="s">
        <v>631</v>
      </c>
      <c r="B883" s="54"/>
      <c r="C883" s="54" t="s">
        <v>632</v>
      </c>
      <c r="D883" s="1216" t="s">
        <v>633</v>
      </c>
      <c r="E883" s="56" t="str">
        <f>IFERROR(UPPER(IF(B883="CPU",VLOOKUP(C883,#REF!,3,0),IF(B883="SINAPI",VLOOKUP(C883,#REF!,3,0),IF(B883="EDIF",VLOOKUP(C883,#REF!,3,0),IF(B883="CDHU",VLOOKUP(C883,#REF!,3,0),IF(B883="FDE",VLOOKUP(C883,#REF!,3,0),IF(B883="INFRA",VLOOKUP(C883,#REF!,3,0),""))))))),"")</f>
        <v/>
      </c>
      <c r="F883" s="1232"/>
      <c r="G883" s="57"/>
      <c r="H883" s="1217"/>
      <c r="I883" s="1217"/>
      <c r="J883" s="1217"/>
      <c r="K883" s="1217"/>
      <c r="L883" s="1218"/>
      <c r="M883" s="51"/>
      <c r="N883" s="52"/>
      <c r="O883" s="25"/>
      <c r="P883" s="25"/>
    </row>
    <row r="884" spans="1:16" ht="30" customHeight="1">
      <c r="A884" s="61" t="s">
        <v>634</v>
      </c>
      <c r="B884" s="62" t="s">
        <v>26</v>
      </c>
      <c r="C884" s="63" t="s">
        <v>635</v>
      </c>
      <c r="D884" s="1219" t="str">
        <f>IFERROR(UPPER(IF(B884="CPU",VLOOKUP(C884,#REF!,2,0),IF(B884="SINAPI",VLOOKUP(C884,#REF!,2,0),IF(B884="EDIF",VLOOKUP(C884,#REF!,2,0),IF(B884="CDHU",VLOOKUP(C884,#REF!,2,0),IF(B884="FDE",VLOOKUP(C884,'FDE 10-23 '!$A$4:$E$3180,2,0),IF(B884="INFRA",VLOOKUP(C884,#REF!,2,0),""))))))),"")</f>
        <v>ELETROD ACO GALV QUENTE (NBR 5624) 20 MM (3/4") - INCL CONEXOES</v>
      </c>
      <c r="E884" s="65" t="str">
        <f>VLOOKUP(C884,'FDE 10-23 '!$A$4:$E$3180,3,0)</f>
        <v>M</v>
      </c>
      <c r="F884" s="1112">
        <v>71</v>
      </c>
      <c r="G884" s="66"/>
      <c r="H884" s="1220"/>
      <c r="I884" s="66"/>
      <c r="J884" s="66"/>
      <c r="K884" s="66"/>
      <c r="L884" s="1222"/>
      <c r="M884" s="51"/>
      <c r="N884" s="52"/>
      <c r="O884" s="25"/>
      <c r="P884" s="25"/>
    </row>
    <row r="885" spans="1:16" ht="30" customHeight="1">
      <c r="A885" s="61" t="s">
        <v>636</v>
      </c>
      <c r="B885" s="62" t="s">
        <v>26</v>
      </c>
      <c r="C885" s="63" t="s">
        <v>637</v>
      </c>
      <c r="D885" s="1219" t="str">
        <f>IFERROR(UPPER(IF(B885="CPU",VLOOKUP(C885,#REF!,2,0),IF(B885="SINAPI",VLOOKUP(C885,#REF!,2,0),IF(B885="EDIF",VLOOKUP(C885,#REF!,2,0),IF(B885="CDHU",VLOOKUP(C885,#REF!,2,0),IF(B885="FDE",VLOOKUP(C885,'FDE 10-23 '!$A$4:$E$3180,2,0),IF(B885="INFRA",VLOOKUP(C885,#REF!,2,0),""))))))),"")</f>
        <v>ELETROD ACO GALV QUENTE (NBR 5624) 25 MM (1") - INCL CONEXOES</v>
      </c>
      <c r="E885" s="65" t="str">
        <f>VLOOKUP(C885,'FDE 10-23 '!$A$4:$E$3180,3,0)</f>
        <v>M</v>
      </c>
      <c r="F885" s="1112">
        <v>290</v>
      </c>
      <c r="G885" s="66"/>
      <c r="H885" s="1220"/>
      <c r="I885" s="66"/>
      <c r="J885" s="66"/>
      <c r="K885" s="66"/>
      <c r="L885" s="1222"/>
      <c r="M885" s="51"/>
      <c r="N885" s="52"/>
      <c r="O885" s="25"/>
      <c r="P885" s="25"/>
    </row>
    <row r="886" spans="1:16" ht="30" customHeight="1">
      <c r="A886" s="61" t="s">
        <v>638</v>
      </c>
      <c r="B886" s="62" t="s">
        <v>26</v>
      </c>
      <c r="C886" s="63" t="s">
        <v>639</v>
      </c>
      <c r="D886" s="1219" t="str">
        <f>IFERROR(UPPER(IF(B886="CPU",VLOOKUP(C886,#REF!,2,0),IF(B886="SINAPI",VLOOKUP(C886,#REF!,2,0),IF(B886="EDIF",VLOOKUP(C886,#REF!,2,0),IF(B886="CDHU",VLOOKUP(C886,#REF!,2,0),IF(B886="FDE",VLOOKUP(C886,'FDE 10-23 '!$A$4:$E$3180,2,0),IF(B886="INFRA",VLOOKUP(C886,#REF!,2,0),""))))))),"")</f>
        <v>ELETROD ACO GALV QUENTE (NBR 5624) 32 MM (1 1/4") - INCL CONEXOES</v>
      </c>
      <c r="E886" s="65" t="str">
        <f>VLOOKUP(C886,'FDE 10-23 '!$A$4:$E$3180,3,0)</f>
        <v>M</v>
      </c>
      <c r="F886" s="1112">
        <v>118</v>
      </c>
      <c r="G886" s="66"/>
      <c r="H886" s="1220"/>
      <c r="I886" s="66"/>
      <c r="J886" s="66"/>
      <c r="K886" s="66"/>
      <c r="L886" s="1222"/>
      <c r="M886" s="51"/>
      <c r="N886" s="52"/>
      <c r="O886" s="25"/>
      <c r="P886" s="25"/>
    </row>
    <row r="887" spans="1:16" ht="30" customHeight="1">
      <c r="A887" s="61" t="s">
        <v>640</v>
      </c>
      <c r="B887" s="62" t="s">
        <v>26</v>
      </c>
      <c r="C887" s="63" t="s">
        <v>641</v>
      </c>
      <c r="D887" s="1219" t="str">
        <f>IFERROR(UPPER(IF(B887="CPU",VLOOKUP(C887,#REF!,2,0),IF(B887="SINAPI",VLOOKUP(C887,#REF!,2,0),IF(B887="EDIF",VLOOKUP(C887,#REF!,2,0),IF(B887="CDHU",VLOOKUP(C887,#REF!,2,0),IF(B887="FDE",VLOOKUP(C887,'FDE 10-23 '!$A$4:$E$3180,2,0),IF(B887="INFRA",VLOOKUP(C887,#REF!,2,0),""))))))),"")</f>
        <v>ELETROD ACO GALV QUENTE (NBR 5624) 40 MM (1 1/2") - INCL CONEXOES</v>
      </c>
      <c r="E887" s="65" t="str">
        <f>VLOOKUP(C887,'FDE 10-23 '!$A$4:$E$3180,3,0)</f>
        <v>M</v>
      </c>
      <c r="F887" s="1112">
        <v>75</v>
      </c>
      <c r="G887" s="66"/>
      <c r="H887" s="1220"/>
      <c r="I887" s="66"/>
      <c r="J887" s="66"/>
      <c r="K887" s="66"/>
      <c r="L887" s="1222"/>
      <c r="M887" s="51"/>
      <c r="N887" s="52"/>
      <c r="O887" s="25"/>
      <c r="P887" s="25"/>
    </row>
    <row r="888" spans="1:16" ht="30" customHeight="1">
      <c r="A888" s="61" t="s">
        <v>642</v>
      </c>
      <c r="B888" s="62" t="s">
        <v>26</v>
      </c>
      <c r="C888" s="63" t="s">
        <v>643</v>
      </c>
      <c r="D888" s="1219" t="str">
        <f>IFERROR(UPPER(IF(B888="CPU",VLOOKUP(C888,#REF!,2,0),IF(B888="SINAPI",VLOOKUP(C888,#REF!,2,0),IF(B888="EDIF",VLOOKUP(C888,#REF!,2,0),IF(B888="CDHU",VLOOKUP(C888,#REF!,2,0),IF(B888="FDE",VLOOKUP(C888,'FDE 10-23 '!$A$4:$E$3180,2,0),IF(B888="INFRA",VLOOKUP(C888,#REF!,2,0),""))))))),"")</f>
        <v>ELETROD ACO GALV QUENTE (NBR 5624) 50 MM (2") - INCL CONEXOES</v>
      </c>
      <c r="E888" s="65" t="str">
        <f>VLOOKUP(C888,'FDE 10-23 '!$A$4:$E$3180,3,0)</f>
        <v>M</v>
      </c>
      <c r="F888" s="1112">
        <v>6</v>
      </c>
      <c r="G888" s="66"/>
      <c r="H888" s="1220"/>
      <c r="I888" s="66"/>
      <c r="J888" s="66"/>
      <c r="K888" s="66"/>
      <c r="L888" s="1222"/>
      <c r="M888" s="51"/>
      <c r="N888" s="52"/>
      <c r="O888" s="25"/>
      <c r="P888" s="25"/>
    </row>
    <row r="889" spans="1:16" ht="30" customHeight="1">
      <c r="A889" s="61" t="s">
        <v>644</v>
      </c>
      <c r="B889" s="62" t="s">
        <v>26</v>
      </c>
      <c r="C889" s="63" t="s">
        <v>645</v>
      </c>
      <c r="D889" s="1219" t="str">
        <f>IFERROR(UPPER(IF(B889="CPU",VLOOKUP(C889,#REF!,2,0),IF(B889="SINAPI",VLOOKUP(C889,#REF!,2,0),IF(B889="EDIF",VLOOKUP(C889,#REF!,2,0),IF(B889="CDHU",VLOOKUP(C889,#REF!,2,0),IF(B889="FDE",VLOOKUP(C889,'FDE 10-23 '!$A$4:$E$3180,2,0),IF(B889="INFRA",VLOOKUP(C889,#REF!,2,0),""))))))),"")</f>
        <v>ELETRODUTO DE PVC RIGIDO ROSCAVEL DE 25MM - INCL CONEXOES</v>
      </c>
      <c r="E889" s="65" t="str">
        <f>VLOOKUP(C889,'FDE 10-23 '!$A$4:$E$3180,3,0)</f>
        <v>M</v>
      </c>
      <c r="F889" s="1112">
        <v>516</v>
      </c>
      <c r="G889" s="66"/>
      <c r="H889" s="1220"/>
      <c r="I889" s="66"/>
      <c r="J889" s="66"/>
      <c r="K889" s="66"/>
      <c r="L889" s="1222"/>
      <c r="M889" s="51"/>
      <c r="N889" s="52"/>
      <c r="O889" s="25"/>
      <c r="P889" s="25"/>
    </row>
    <row r="890" spans="1:16" ht="30" customHeight="1">
      <c r="A890" s="61" t="s">
        <v>646</v>
      </c>
      <c r="B890" s="62" t="s">
        <v>26</v>
      </c>
      <c r="C890" s="63" t="s">
        <v>647</v>
      </c>
      <c r="D890" s="1219" t="str">
        <f>IFERROR(UPPER(IF(B890="CPU",VLOOKUP(C890,#REF!,2,0),IF(B890="SINAPI",VLOOKUP(C890,#REF!,2,0),IF(B890="EDIF",VLOOKUP(C890,#REF!,2,0),IF(B890="CDHU",VLOOKUP(C890,#REF!,2,0),IF(B890="FDE",VLOOKUP(C890,'FDE 10-23 '!$A$4:$E$3180,2,0),IF(B890="INFRA",VLOOKUP(C890,#REF!,2,0),""))))))),"")</f>
        <v>ELETRODUTO DE PVC RIGIDO ROSCAVEL DE 32MM - INCL CONEXOES</v>
      </c>
      <c r="E890" s="65" t="str">
        <f>VLOOKUP(C890,'FDE 10-23 '!$A$4:$E$3180,3,0)</f>
        <v>M</v>
      </c>
      <c r="F890" s="1112">
        <v>512</v>
      </c>
      <c r="G890" s="66"/>
      <c r="H890" s="1220"/>
      <c r="I890" s="66"/>
      <c r="J890" s="66"/>
      <c r="K890" s="66"/>
      <c r="L890" s="1222"/>
      <c r="M890" s="51"/>
      <c r="N890" s="52"/>
      <c r="O890" s="25"/>
      <c r="P890" s="25"/>
    </row>
    <row r="891" spans="1:16" ht="30" customHeight="1">
      <c r="A891" s="61" t="s">
        <v>648</v>
      </c>
      <c r="B891" s="62" t="s">
        <v>26</v>
      </c>
      <c r="C891" s="63" t="s">
        <v>649</v>
      </c>
      <c r="D891" s="1219" t="str">
        <f>IFERROR(UPPER(IF(B891="CPU",VLOOKUP(C891,#REF!,2,0),IF(B891="SINAPI",VLOOKUP(C891,#REF!,2,0),IF(B891="EDIF",VLOOKUP(C891,#REF!,2,0),IF(B891="CDHU",VLOOKUP(C891,#REF!,2,0),IF(B891="FDE",VLOOKUP(C891,'FDE 10-23 '!$A$4:$E$3180,2,0),IF(B891="INFRA",VLOOKUP(C891,#REF!,2,0),""))))))),"")</f>
        <v>ELETRODUTO DE PVC RIGIDO ROSCAVEL DE 40MM - INCL CONEXOES</v>
      </c>
      <c r="E891" s="65" t="str">
        <f>VLOOKUP(C891,'FDE 10-23 '!$A$4:$E$3180,3,0)</f>
        <v>M</v>
      </c>
      <c r="F891" s="1112">
        <v>297</v>
      </c>
      <c r="G891" s="66"/>
      <c r="H891" s="1220"/>
      <c r="I891" s="66"/>
      <c r="J891" s="66"/>
      <c r="K891" s="66"/>
      <c r="L891" s="1222"/>
      <c r="M891" s="51"/>
      <c r="N891" s="52"/>
      <c r="O891" s="25"/>
      <c r="P891" s="25"/>
    </row>
    <row r="892" spans="1:16" ht="30" customHeight="1">
      <c r="A892" s="61" t="s">
        <v>650</v>
      </c>
      <c r="B892" s="62" t="s">
        <v>26</v>
      </c>
      <c r="C892" s="63" t="s">
        <v>651</v>
      </c>
      <c r="D892" s="1219" t="str">
        <f>IFERROR(UPPER(IF(B892="CPU",VLOOKUP(C892,#REF!,2,0),IF(B892="SINAPI",VLOOKUP(C892,#REF!,2,0),IF(B892="EDIF",VLOOKUP(C892,#REF!,2,0),IF(B892="CDHU",VLOOKUP(C892,#REF!,2,0),IF(B892="FDE",VLOOKUP(C892,'FDE 10-23 '!$A$4:$E$3180,2,0),IF(B892="INFRA",VLOOKUP(C892,#REF!,2,0),""))))))),"")</f>
        <v>ELETRODUTO DE PVC RIGIDO ROSCAVEL DE 50MM - INCL CONEXOES</v>
      </c>
      <c r="E892" s="65" t="str">
        <f>VLOOKUP(C892,'FDE 10-23 '!$A$4:$E$3180,3,0)</f>
        <v>M</v>
      </c>
      <c r="F892" s="1112">
        <v>45</v>
      </c>
      <c r="G892" s="66"/>
      <c r="H892" s="1220"/>
      <c r="I892" s="66"/>
      <c r="J892" s="66"/>
      <c r="K892" s="66"/>
      <c r="L892" s="1222"/>
      <c r="M892" s="51"/>
      <c r="N892" s="52"/>
      <c r="O892" s="25"/>
      <c r="P892" s="25"/>
    </row>
    <row r="893" spans="1:16" ht="30" customHeight="1">
      <c r="A893" s="61" t="s">
        <v>652</v>
      </c>
      <c r="B893" s="62" t="s">
        <v>26</v>
      </c>
      <c r="C893" s="63" t="s">
        <v>653</v>
      </c>
      <c r="D893" s="1219" t="str">
        <f>IFERROR(UPPER(IF(B893="CPU",VLOOKUP(C893,#REF!,2,0),IF(B893="SINAPI",VLOOKUP(C893,#REF!,2,0),IF(B893="EDIF",VLOOKUP(C893,#REF!,2,0),IF(B893="CDHU",VLOOKUP(C893,#REF!,2,0),IF(B893="FDE",VLOOKUP(C893,'FDE 10-23 '!$A$4:$E$3180,2,0),IF(B893="INFRA",VLOOKUP(C893,#REF!,2,0),""))))))),"")</f>
        <v>ENVELOPE DE CONCRETO PARA DUTOS</v>
      </c>
      <c r="E893" s="65" t="str">
        <f>VLOOKUP(C893,'FDE 10-23 '!$A$4:$E$3180,3,0)</f>
        <v>M</v>
      </c>
      <c r="F893" s="1112">
        <v>414</v>
      </c>
      <c r="G893" s="66"/>
      <c r="H893" s="1220"/>
      <c r="I893" s="66"/>
      <c r="J893" s="66"/>
      <c r="K893" s="66"/>
      <c r="L893" s="1222"/>
      <c r="M893" s="51"/>
      <c r="N893" s="52"/>
      <c r="O893" s="25"/>
      <c r="P893" s="25"/>
    </row>
    <row r="894" spans="1:16" ht="30" customHeight="1">
      <c r="A894" s="61" t="s">
        <v>654</v>
      </c>
      <c r="B894" s="62" t="s">
        <v>26</v>
      </c>
      <c r="C894" s="63" t="s">
        <v>655</v>
      </c>
      <c r="D894" s="1219" t="str">
        <f>IFERROR(UPPER(IF(B894="CPU",VLOOKUP(C894,#REF!,2,0),IF(B894="SINAPI",VLOOKUP(C894,#REF!,2,0),IF(B894="EDIF",VLOOKUP(C894,#REF!,2,0),IF(B894="CDHU",VLOOKUP(C894,#REF!,2,0),IF(B894="FDE",VLOOKUP(C894,'FDE 10-23 '!$A$4:$E$3180,2,0),IF(B894="INFRA",VLOOKUP(C894,#REF!,2,0),""))))))),"")</f>
        <v>QUADRO DISTRIBUICAO, DISJ. GERAL 30A P/ 4 A 8 DISJS.</v>
      </c>
      <c r="E894" s="65" t="str">
        <f>VLOOKUP(C894,'FDE 10-23 '!$A$4:$E$3180,3,0)</f>
        <v>UN</v>
      </c>
      <c r="F894" s="1112">
        <v>3</v>
      </c>
      <c r="G894" s="66"/>
      <c r="H894" s="1220"/>
      <c r="I894" s="66"/>
      <c r="J894" s="66"/>
      <c r="K894" s="66"/>
      <c r="L894" s="1222"/>
      <c r="M894" s="51"/>
      <c r="N894" s="52"/>
      <c r="O894" s="25"/>
      <c r="P894" s="25"/>
    </row>
    <row r="895" spans="1:16" ht="30" customHeight="1">
      <c r="A895" s="61" t="s">
        <v>656</v>
      </c>
      <c r="B895" s="62" t="s">
        <v>26</v>
      </c>
      <c r="C895" s="63" t="s">
        <v>657</v>
      </c>
      <c r="D895" s="1219" t="str">
        <f>IFERROR(UPPER(IF(B895="CPU",VLOOKUP(C895,#REF!,2,0),IF(B895="SINAPI",VLOOKUP(C895,#REF!,2,0),IF(B895="EDIF",VLOOKUP(C895,#REF!,2,0),IF(B895="CDHU",VLOOKUP(C895,#REF!,2,0),IF(B895="FDE",VLOOKUP(C895,'FDE 10-23 '!$A$4:$E$3180,2,0),IF(B895="INFRA",VLOOKUP(C895,#REF!,2,0),""))))))),"")</f>
        <v>QUADRO DISTRIBUICAO, DISJ. GERAL 50A P/ 10 A 12 DISJS.</v>
      </c>
      <c r="E895" s="65" t="str">
        <f>VLOOKUP(C895,'FDE 10-23 '!$A$4:$E$3180,3,0)</f>
        <v>UN</v>
      </c>
      <c r="F895" s="1112">
        <v>8</v>
      </c>
      <c r="G895" s="66"/>
      <c r="H895" s="1220"/>
      <c r="I895" s="66"/>
      <c r="J895" s="66"/>
      <c r="K895" s="66"/>
      <c r="L895" s="1222"/>
      <c r="M895" s="51"/>
      <c r="N895" s="52"/>
      <c r="O895" s="25"/>
      <c r="P895" s="25"/>
    </row>
    <row r="896" spans="1:16" ht="30" customHeight="1">
      <c r="A896" s="61" t="s">
        <v>658</v>
      </c>
      <c r="B896" s="62" t="s">
        <v>26</v>
      </c>
      <c r="C896" s="63" t="s">
        <v>659</v>
      </c>
      <c r="D896" s="1219" t="str">
        <f>IFERROR(UPPER(IF(B896="CPU",VLOOKUP(C896,#REF!,2,0),IF(B896="SINAPI",VLOOKUP(C896,#REF!,2,0),IF(B896="EDIF",VLOOKUP(C896,#REF!,2,0),IF(B896="CDHU",VLOOKUP(C896,#REF!,2,0),IF(B896="FDE",VLOOKUP(C896,'FDE 10-23 '!$A$4:$E$3180,2,0),IF(B896="INFRA",VLOOKUP(C896,#REF!,2,0),""))))))),"")</f>
        <v>QUADRO DISTRIBUICAO, DISJ. GERAL 60A P/ 14 A 20 DISJS.</v>
      </c>
      <c r="E896" s="65" t="str">
        <f>VLOOKUP(C896,'FDE 10-23 '!$A$4:$E$3180,3,0)</f>
        <v>UN</v>
      </c>
      <c r="F896" s="1112">
        <v>3</v>
      </c>
      <c r="G896" s="66"/>
      <c r="H896" s="1220"/>
      <c r="I896" s="66"/>
      <c r="J896" s="66"/>
      <c r="K896" s="66"/>
      <c r="L896" s="1222"/>
      <c r="M896" s="51"/>
      <c r="N896" s="52"/>
      <c r="O896" s="25"/>
      <c r="P896" s="25"/>
    </row>
    <row r="897" spans="1:16" ht="30" customHeight="1">
      <c r="A897" s="61" t="s">
        <v>660</v>
      </c>
      <c r="B897" s="62" t="s">
        <v>26</v>
      </c>
      <c r="C897" s="63" t="s">
        <v>661</v>
      </c>
      <c r="D897" s="1219" t="str">
        <f>IFERROR(UPPER(IF(B897="CPU",VLOOKUP(C897,#REF!,2,0),IF(B897="SINAPI",VLOOKUP(C897,#REF!,2,0),IF(B897="EDIF",VLOOKUP(C897,#REF!,2,0),IF(B897="CDHU",VLOOKUP(C897,#REF!,2,0),IF(B897="FDE",VLOOKUP(C897,'FDE 10-23 '!$A$4:$E$3180,2,0),IF(B897="INFRA",VLOOKUP(C897,#REF!,2,0),""))))))),"")</f>
        <v>INTERRUPTOR TIPO AUTOMÁTICO DE BÓIA</v>
      </c>
      <c r="E897" s="65" t="str">
        <f>VLOOKUP(C897,'FDE 10-23 '!$A$4:$E$3180,3,0)</f>
        <v>UN</v>
      </c>
      <c r="F897" s="1112">
        <v>3</v>
      </c>
      <c r="G897" s="66"/>
      <c r="H897" s="1220"/>
      <c r="I897" s="66"/>
      <c r="J897" s="66"/>
      <c r="K897" s="66"/>
      <c r="L897" s="1222"/>
      <c r="M897" s="51"/>
      <c r="N897" s="52"/>
      <c r="O897" s="25"/>
      <c r="P897" s="25"/>
    </row>
    <row r="898" spans="1:16" ht="30" customHeight="1">
      <c r="A898" s="61" t="s">
        <v>662</v>
      </c>
      <c r="B898" s="62" t="s">
        <v>26</v>
      </c>
      <c r="C898" s="63" t="s">
        <v>663</v>
      </c>
      <c r="D898" s="1219" t="str">
        <f>IFERROR(UPPER(IF(B898="CPU",VLOOKUP(C898,#REF!,2,0),IF(B898="SINAPI",VLOOKUP(C898,#REF!,2,0),IF(B898="EDIF",VLOOKUP(C898,#REF!,2,0),IF(B898="CDHU",VLOOKUP(C898,#REF!,2,0),IF(B898="FDE",VLOOKUP(C898,'FDE 10-23 '!$A$4:$E$3180,2,0),IF(B898="INFRA",VLOOKUP(C898,#REF!,2,0),""))))))),"")</f>
        <v>DISJUNTOR BIPOLAR TERMOMAGNETICO 2X10A A 2X50A</v>
      </c>
      <c r="E898" s="65" t="str">
        <f>VLOOKUP(C898,'FDE 10-23 '!$A$4:$E$3180,3,0)</f>
        <v>UN</v>
      </c>
      <c r="F898" s="1112">
        <v>45</v>
      </c>
      <c r="G898" s="66"/>
      <c r="H898" s="1220"/>
      <c r="I898" s="66"/>
      <c r="J898" s="66"/>
      <c r="K898" s="66"/>
      <c r="L898" s="1222"/>
      <c r="M898" s="51"/>
      <c r="N898" s="52"/>
      <c r="O898" s="25"/>
      <c r="P898" s="25"/>
    </row>
    <row r="899" spans="1:16" ht="30" customHeight="1">
      <c r="A899" s="61" t="s">
        <v>664</v>
      </c>
      <c r="B899" s="62" t="s">
        <v>26</v>
      </c>
      <c r="C899" s="63" t="s">
        <v>665</v>
      </c>
      <c r="D899" s="1219" t="str">
        <f>IFERROR(UPPER(IF(B899="CPU",VLOOKUP(C899,#REF!,2,0),IF(B899="SINAPI",VLOOKUP(C899,#REF!,2,0),IF(B899="EDIF",VLOOKUP(C899,#REF!,2,0),IF(B899="CDHU",VLOOKUP(C899,#REF!,2,0),IF(B899="FDE",VLOOKUP(C899,'FDE 10-23 '!$A$4:$E$3180,2,0),IF(B899="INFRA",VLOOKUP(C899,#REF!,2,0),""))))))),"")</f>
        <v>DISJUNTOR UNIPOLAR TERMOMAGNETICO 1X10A A 1X30A</v>
      </c>
      <c r="E899" s="65" t="str">
        <f>VLOOKUP(C899,'FDE 10-23 '!$A$4:$E$3180,3,0)</f>
        <v>UN</v>
      </c>
      <c r="F899" s="1112">
        <v>53</v>
      </c>
      <c r="G899" s="66"/>
      <c r="H899" s="1220"/>
      <c r="I899" s="66"/>
      <c r="J899" s="66"/>
      <c r="K899" s="66"/>
      <c r="L899" s="1222"/>
      <c r="M899" s="51"/>
      <c r="N899" s="52"/>
      <c r="O899" s="25"/>
      <c r="P899" s="25"/>
    </row>
    <row r="900" spans="1:16" ht="30" customHeight="1">
      <c r="A900" s="61" t="s">
        <v>666</v>
      </c>
      <c r="B900" s="62" t="s">
        <v>26</v>
      </c>
      <c r="C900" s="63" t="s">
        <v>667</v>
      </c>
      <c r="D900" s="1219" t="str">
        <f>IFERROR(UPPER(IF(B900="CPU",VLOOKUP(C900,#REF!,2,0),IF(B900="SINAPI",VLOOKUP(C900,#REF!,2,0),IF(B900="EDIF",VLOOKUP(C900,#REF!,2,0),IF(B900="CDHU",VLOOKUP(C900,#REF!,2,0),IF(B900="FDE",VLOOKUP(C900,'FDE 10-23 '!$A$4:$E$3180,2,0),IF(B900="INFRA",VLOOKUP(C900,#REF!,2,0),""))))))),"")</f>
        <v>DISJUNTOR TRIPOLAR TERMOMAGNETICO 3X10A A 3X50A</v>
      </c>
      <c r="E900" s="65" t="str">
        <f>VLOOKUP(C900,'FDE 10-23 '!$A$4:$E$3180,3,0)</f>
        <v>UN</v>
      </c>
      <c r="F900" s="1112">
        <v>16</v>
      </c>
      <c r="G900" s="66"/>
      <c r="H900" s="1220"/>
      <c r="I900" s="66"/>
      <c r="J900" s="66"/>
      <c r="K900" s="66"/>
      <c r="L900" s="1222"/>
      <c r="M900" s="51"/>
      <c r="N900" s="52"/>
      <c r="O900" s="25"/>
      <c r="P900" s="25"/>
    </row>
    <row r="901" spans="1:16" ht="30" customHeight="1">
      <c r="A901" s="61" t="s">
        <v>668</v>
      </c>
      <c r="B901" s="62" t="s">
        <v>26</v>
      </c>
      <c r="C901" s="63" t="s">
        <v>669</v>
      </c>
      <c r="D901" s="1219" t="str">
        <f>IFERROR(UPPER(IF(B901="CPU",VLOOKUP(C901,#REF!,2,0),IF(B901="SINAPI",VLOOKUP(C901,#REF!,2,0),IF(B901="EDIF",VLOOKUP(C901,#REF!,2,0),IF(B901="CDHU",VLOOKUP(C901,#REF!,2,0),IF(B901="FDE",VLOOKUP(C901,'FDE 10-23 '!$A$4:$E$3180,2,0),IF(B901="INFRA",VLOOKUP(C901,#REF!,2,0),""))))))),"")</f>
        <v>QUADRO COMANDO PARA CONJUNTO MOTOR BOMBA TRIFASICO DE 1 1/2 A 2 HP</v>
      </c>
      <c r="E901" s="65" t="str">
        <f>VLOOKUP(C901,'FDE 10-23 '!$A$4:$E$3180,3,0)</f>
        <v>UN</v>
      </c>
      <c r="F901" s="1112">
        <v>2</v>
      </c>
      <c r="G901" s="66"/>
      <c r="H901" s="1220"/>
      <c r="I901" s="66"/>
      <c r="J901" s="66"/>
      <c r="K901" s="66"/>
      <c r="L901" s="1222"/>
      <c r="M901" s="51"/>
      <c r="N901" s="52"/>
      <c r="O901" s="25"/>
      <c r="P901" s="25"/>
    </row>
    <row r="902" spans="1:16" ht="30" customHeight="1">
      <c r="A902" s="61" t="s">
        <v>670</v>
      </c>
      <c r="B902" s="62" t="s">
        <v>26</v>
      </c>
      <c r="C902" s="63" t="s">
        <v>671</v>
      </c>
      <c r="D902" s="1219" t="str">
        <f>IFERROR(UPPER(IF(B902="CPU",VLOOKUP(C902,#REF!,2,0),IF(B902="SINAPI",VLOOKUP(C902,#REF!,2,0),IF(B902="EDIF",VLOOKUP(C902,#REF!,2,0),IF(B902="CDHU",VLOOKUP(C902,#REF!,2,0),IF(B902="FDE",VLOOKUP(C902,'FDE 10-23 '!$A$4:$E$3180,2,0),IF(B902="INFRA",VLOOKUP(C902,#REF!,2,0),""))))))),"")</f>
        <v>QUADRO COMANDO PARA BOMBA DE INCENDIO TRIFASICO DE 5 HP</v>
      </c>
      <c r="E902" s="65" t="str">
        <f>VLOOKUP(C902,'FDE 10-23 '!$A$4:$E$3180,3,0)</f>
        <v>UN</v>
      </c>
      <c r="F902" s="1112">
        <v>1</v>
      </c>
      <c r="G902" s="66"/>
      <c r="H902" s="1220"/>
      <c r="I902" s="66"/>
      <c r="J902" s="66"/>
      <c r="K902" s="66"/>
      <c r="L902" s="1222"/>
      <c r="M902" s="51"/>
      <c r="N902" s="52"/>
      <c r="O902" s="25"/>
      <c r="P902" s="25"/>
    </row>
    <row r="903" spans="1:16" ht="30" customHeight="1">
      <c r="A903" s="61" t="s">
        <v>672</v>
      </c>
      <c r="B903" s="62" t="s">
        <v>26</v>
      </c>
      <c r="C903" s="63" t="s">
        <v>673</v>
      </c>
      <c r="D903" s="1219" t="str">
        <f>IFERROR(UPPER(IF(B903="CPU",VLOOKUP(C903,#REF!,2,0),IF(B903="SINAPI",VLOOKUP(C903,#REF!,2,0),IF(B903="EDIF",VLOOKUP(C903,#REF!,2,0),IF(B903="CDHU",VLOOKUP(C903,#REF!,2,0),IF(B903="FDE",VLOOKUP(C903,'FDE 10-23 '!$A$4:$E$3180,2,0),IF(B903="INFRA",VLOOKUP(C903,#REF!,2,0),""))))))),"")</f>
        <v>INTERRUPTOR AUTOMATICO DIFERENCIAL (DISPOSITIVO DR) 40A/30 MA</v>
      </c>
      <c r="E903" s="65" t="str">
        <f>VLOOKUP(C903,'FDE 10-23 '!$A$4:$E$3180,3,0)</f>
        <v>UN</v>
      </c>
      <c r="F903" s="1112">
        <v>3</v>
      </c>
      <c r="G903" s="66"/>
      <c r="H903" s="1220"/>
      <c r="I903" s="66"/>
      <c r="J903" s="66"/>
      <c r="K903" s="66"/>
      <c r="L903" s="1222"/>
      <c r="M903" s="51"/>
      <c r="N903" s="52"/>
      <c r="O903" s="25"/>
      <c r="P903" s="25"/>
    </row>
    <row r="904" spans="1:16" ht="30" customHeight="1">
      <c r="A904" s="61" t="s">
        <v>674</v>
      </c>
      <c r="B904" s="62" t="s">
        <v>26</v>
      </c>
      <c r="C904" s="63" t="s">
        <v>675</v>
      </c>
      <c r="D904" s="1219" t="str">
        <f>IFERROR(UPPER(IF(B904="CPU",VLOOKUP(C904,#REF!,2,0),IF(B904="SINAPI",VLOOKUP(C904,#REF!,2,0),IF(B904="EDIF",VLOOKUP(C904,#REF!,2,0),IF(B904="CDHU",VLOOKUP(C904,#REF!,2,0),IF(B904="FDE",VLOOKUP(C904,'FDE 10-23 '!$A$4:$E$3180,2,0),IF(B904="INFRA",VLOOKUP(C904,#REF!,2,0),""))))))),"")</f>
        <v>INTERRUPTOR AUTOMATICO DIFERENCIAL (DISPOSITIVO DR) 63A/30 MA</v>
      </c>
      <c r="E904" s="65" t="str">
        <f>VLOOKUP(C904,'FDE 10-23 '!$A$4:$E$3180,3,0)</f>
        <v>UN</v>
      </c>
      <c r="F904" s="1112">
        <v>3</v>
      </c>
      <c r="G904" s="66"/>
      <c r="H904" s="1220"/>
      <c r="I904" s="66"/>
      <c r="J904" s="66"/>
      <c r="K904" s="66"/>
      <c r="L904" s="1222"/>
      <c r="M904" s="51"/>
      <c r="N904" s="52"/>
      <c r="O904" s="25"/>
      <c r="P904" s="25"/>
    </row>
    <row r="905" spans="1:16" ht="30" customHeight="1">
      <c r="A905" s="61" t="s">
        <v>676</v>
      </c>
      <c r="B905" s="62" t="s">
        <v>26</v>
      </c>
      <c r="C905" s="63" t="s">
        <v>677</v>
      </c>
      <c r="D905" s="1219" t="str">
        <f>IFERROR(UPPER(IF(B905="CPU",VLOOKUP(C905,#REF!,2,0),IF(B905="SINAPI",VLOOKUP(C905,#REF!,2,0),IF(B905="EDIF",VLOOKUP(C905,#REF!,2,0),IF(B905="CDHU",VLOOKUP(C905,#REF!,2,0),IF(B905="FDE",VLOOKUP(C905,'FDE 10-23 '!$A$4:$E$3180,2,0),IF(B905="INFRA",VLOOKUP(C905,#REF!,2,0),""))))))),"")</f>
        <v>CENTRAL DE SISTEMA DE ALARME ATÉ 12 ENDEREÇOS</v>
      </c>
      <c r="E905" s="65" t="str">
        <f>VLOOKUP(C905,'FDE 10-23 '!$A$4:$E$3180,3,0)</f>
        <v>UN</v>
      </c>
      <c r="F905" s="1112">
        <v>2</v>
      </c>
      <c r="G905" s="66"/>
      <c r="H905" s="1220"/>
      <c r="I905" s="66"/>
      <c r="J905" s="66"/>
      <c r="K905" s="66"/>
      <c r="L905" s="1222"/>
      <c r="M905" s="51"/>
      <c r="N905" s="52"/>
      <c r="O905" s="25"/>
      <c r="P905" s="25"/>
    </row>
    <row r="906" spans="1:16" ht="30" customHeight="1">
      <c r="A906" s="61"/>
      <c r="B906" s="62"/>
      <c r="C906" s="63"/>
      <c r="D906" s="1219" t="s">
        <v>11042</v>
      </c>
      <c r="E906" s="65"/>
      <c r="F906" s="88"/>
      <c r="G906" s="66"/>
      <c r="H906" s="1220"/>
      <c r="I906" s="66"/>
      <c r="J906" s="66"/>
      <c r="K906" s="66"/>
      <c r="L906" s="1222"/>
      <c r="M906" s="51"/>
      <c r="N906" s="52"/>
      <c r="O906" s="25"/>
      <c r="P906" s="25"/>
    </row>
    <row r="907" spans="1:16" ht="30" customHeight="1">
      <c r="A907" s="53" t="s">
        <v>678</v>
      </c>
      <c r="B907" s="54"/>
      <c r="C907" s="54" t="s">
        <v>679</v>
      </c>
      <c r="D907" s="1216" t="s">
        <v>680</v>
      </c>
      <c r="E907" s="56" t="str">
        <f>IFERROR(UPPER(IF(B907="CPU",VLOOKUP(C907,#REF!,3,0),IF(B907="SINAPI",VLOOKUP(C907,#REF!,3,0),IF(B907="EDIF",VLOOKUP(C907,#REF!,3,0),IF(B907="CDHU",VLOOKUP(C907,#REF!,3,0),IF(B907="FDE",VLOOKUP(C907,#REF!,3,0),IF(B907="INFRA",VLOOKUP(C907,#REF!,3,0),""))))))),"")</f>
        <v/>
      </c>
      <c r="F907" s="1232"/>
      <c r="G907" s="57"/>
      <c r="H907" s="1217"/>
      <c r="I907" s="1217"/>
      <c r="J907" s="1217"/>
      <c r="K907" s="1217"/>
      <c r="L907" s="1218"/>
      <c r="M907" s="51"/>
      <c r="N907" s="52"/>
      <c r="O907" s="25"/>
      <c r="P907" s="25"/>
    </row>
    <row r="908" spans="1:16" ht="30" customHeight="1">
      <c r="A908" s="61" t="s">
        <v>681</v>
      </c>
      <c r="B908" s="62" t="s">
        <v>26</v>
      </c>
      <c r="C908" s="63" t="s">
        <v>682</v>
      </c>
      <c r="D908" s="1219" t="str">
        <f>IFERROR(UPPER(IF(B908="CPU",VLOOKUP(C908,#REF!,2,0),IF(B908="SINAPI",VLOOKUP(C908,#REF!,2,0),IF(B908="EDIF",VLOOKUP(C908,#REF!,2,0),IF(B908="CDHU",VLOOKUP(C908,#REF!,2,0),IF(B908="FDE",VLOOKUP(C908,'FDE 10-23 '!$A$4:$E$3180,2,0),IF(B908="INFRA",VLOOKUP(C908,#REF!,2,0),""))))))),"")</f>
        <v>CAIXA DE PASSAGEM ESTAMPADA COM TAMPA PLASTICA DE 4"X4"</v>
      </c>
      <c r="E908" s="65" t="str">
        <f>VLOOKUP(C908,'FDE 10-23 '!$A$4:$E$3180,3,0)</f>
        <v>UN</v>
      </c>
      <c r="F908" s="1112">
        <v>41</v>
      </c>
      <c r="G908" s="66"/>
      <c r="H908" s="1220"/>
      <c r="I908" s="66"/>
      <c r="J908" s="66"/>
      <c r="K908" s="66"/>
      <c r="L908" s="1222"/>
      <c r="M908" s="51"/>
      <c r="N908" s="52"/>
      <c r="O908" s="25"/>
      <c r="P908" s="25"/>
    </row>
    <row r="909" spans="1:16" ht="30" customHeight="1">
      <c r="A909" s="61" t="s">
        <v>683</v>
      </c>
      <c r="B909" s="62" t="s">
        <v>26</v>
      </c>
      <c r="C909" s="63" t="s">
        <v>684</v>
      </c>
      <c r="D909" s="1219" t="str">
        <f>IFERROR(UPPER(IF(B909="CPU",VLOOKUP(C909,#REF!,2,0),IF(B909="SINAPI",VLOOKUP(C909,#REF!,2,0),IF(B909="EDIF",VLOOKUP(C909,#REF!,2,0),IF(B909="CDHU",VLOOKUP(C909,#REF!,2,0),IF(B909="FDE",VLOOKUP(C909,'FDE 10-23 '!$A$4:$E$3180,2,0),IF(B909="INFRA",VLOOKUP(C909,#REF!,2,0),""))))))),"")</f>
        <v>CAIXA DE PASSAGEM CHAPA TAMPA PARAFUSADA DE 20X20X10 CM</v>
      </c>
      <c r="E909" s="65" t="str">
        <f>VLOOKUP(C909,'FDE 10-23 '!$A$4:$E$3180,3,0)</f>
        <v>UN</v>
      </c>
      <c r="F909" s="1112">
        <v>9</v>
      </c>
      <c r="G909" s="66"/>
      <c r="H909" s="1220"/>
      <c r="I909" s="66"/>
      <c r="J909" s="66"/>
      <c r="K909" s="66"/>
      <c r="L909" s="1222"/>
      <c r="M909" s="51"/>
      <c r="N909" s="52"/>
      <c r="O909" s="25"/>
      <c r="P909" s="25"/>
    </row>
    <row r="910" spans="1:16" ht="30" customHeight="1">
      <c r="A910" s="61" t="s">
        <v>685</v>
      </c>
      <c r="B910" s="62" t="s">
        <v>26</v>
      </c>
      <c r="C910" s="63" t="s">
        <v>686</v>
      </c>
      <c r="D910" s="1219" t="str">
        <f>IFERROR(UPPER(IF(B910="CPU",VLOOKUP(C910,#REF!,2,0),IF(B910="SINAPI",VLOOKUP(C910,#REF!,2,0),IF(B910="EDIF",VLOOKUP(C910,#REF!,2,0),IF(B910="CDHU",VLOOKUP(C910,#REF!,2,0),IF(B910="FDE",VLOOKUP(C910,'FDE 10-23 '!$A$4:$E$3180,2,0),IF(B910="INFRA",VLOOKUP(C910,#REF!,2,0),""))))))),"")</f>
        <v>CAIXA DE PASSAGEM CHAPA TAMPA PARAFUSADA DE 40X40X15 CM</v>
      </c>
      <c r="E910" s="65" t="str">
        <f>VLOOKUP(C910,'FDE 10-23 '!$A$4:$E$3180,3,0)</f>
        <v>UN</v>
      </c>
      <c r="F910" s="1112">
        <v>4</v>
      </c>
      <c r="G910" s="66"/>
      <c r="H910" s="1220"/>
      <c r="I910" s="66"/>
      <c r="J910" s="66"/>
      <c r="K910" s="66"/>
      <c r="L910" s="1222"/>
      <c r="M910" s="51"/>
      <c r="N910" s="52"/>
      <c r="O910" s="25"/>
      <c r="P910" s="25"/>
    </row>
    <row r="911" spans="1:16" ht="30" customHeight="1">
      <c r="A911" s="61" t="s">
        <v>687</v>
      </c>
      <c r="B911" s="62" t="s">
        <v>26</v>
      </c>
      <c r="C911" s="63" t="s">
        <v>688</v>
      </c>
      <c r="D911" s="1219" t="str">
        <f>IFERROR(UPPER(IF(B911="CPU",VLOOKUP(C911,#REF!,2,0),IF(B911="SINAPI",VLOOKUP(C911,#REF!,2,0),IF(B911="EDIF",VLOOKUP(C911,#REF!,2,0),IF(B911="CDHU",VLOOKUP(C911,#REF!,2,0),IF(B911="FDE",VLOOKUP(C911,'FDE 10-23 '!$A$4:$E$3180,2,0),IF(B911="INFRA",VLOOKUP(C911,#REF!,2,0),""))))))),"")</f>
        <v>CAIXA DE PASSAGEM EM ALVENARIA DE 0,40X0,40X0,40 M</v>
      </c>
      <c r="E911" s="65" t="str">
        <f>VLOOKUP(C911,'FDE 10-23 '!$A$4:$E$3180,3,0)</f>
        <v>UN</v>
      </c>
      <c r="F911" s="1112">
        <v>29</v>
      </c>
      <c r="G911" s="66"/>
      <c r="H911" s="1220"/>
      <c r="I911" s="66"/>
      <c r="J911" s="66"/>
      <c r="K911" s="66"/>
      <c r="L911" s="1222"/>
      <c r="M911" s="51"/>
      <c r="N911" s="52"/>
      <c r="O911" s="25"/>
      <c r="P911" s="25"/>
    </row>
    <row r="912" spans="1:16" ht="30" customHeight="1">
      <c r="A912" s="61" t="s">
        <v>689</v>
      </c>
      <c r="B912" s="62" t="s">
        <v>26</v>
      </c>
      <c r="C912" s="63" t="s">
        <v>690</v>
      </c>
      <c r="D912" s="1219" t="str">
        <f>IFERROR(UPPER(IF(B912="CPU",VLOOKUP(C912,#REF!,2,0),IF(B912="SINAPI",VLOOKUP(C912,#REF!,2,0),IF(B912="EDIF",VLOOKUP(C912,#REF!,2,0),IF(B912="CDHU",VLOOKUP(C912,#REF!,2,0),IF(B912="FDE",VLOOKUP(C912,'FDE 10-23 '!$A$4:$E$3180,2,0),IF(B912="INFRA",VLOOKUP(C912,#REF!,2,0),""))))))),"")</f>
        <v>CAIXA DE PASSAGEM A PROVA DE UMIDADE EM ALUMINIO 15X15X10CM</v>
      </c>
      <c r="E912" s="65" t="str">
        <f>VLOOKUP(C912,'FDE 10-23 '!$A$4:$E$3180,3,0)</f>
        <v>UN</v>
      </c>
      <c r="F912" s="1112">
        <v>2</v>
      </c>
      <c r="G912" s="66"/>
      <c r="H912" s="1220"/>
      <c r="I912" s="66"/>
      <c r="J912" s="66"/>
      <c r="K912" s="66"/>
      <c r="L912" s="1222"/>
      <c r="M912" s="51"/>
      <c r="N912" s="52"/>
      <c r="O912" s="25"/>
      <c r="P912" s="25"/>
    </row>
    <row r="913" spans="1:16" ht="30" customHeight="1">
      <c r="A913" s="61" t="s">
        <v>691</v>
      </c>
      <c r="B913" s="62" t="s">
        <v>26</v>
      </c>
      <c r="C913" s="63" t="s">
        <v>692</v>
      </c>
      <c r="D913" s="1219" t="str">
        <f>IFERROR(UPPER(IF(B913="CPU",VLOOKUP(C913,#REF!,2,0),IF(B913="SINAPI",VLOOKUP(C913,#REF!,2,0),IF(B913="EDIF",VLOOKUP(C913,#REF!,2,0),IF(B913="CDHU",VLOOKUP(C913,#REF!,2,0),IF(B913="FDE",VLOOKUP(C913,'FDE 10-23 '!$A$4:$E$3180,2,0),IF(B913="INFRA",VLOOKUP(C913,#REF!,2,0),""))))))),"")</f>
        <v>QUADRO EM CHAPA COM PORTA E FECHADURA (TELEBRAS) DE 40X40X12CM</v>
      </c>
      <c r="E913" s="65" t="str">
        <f>VLOOKUP(C913,'FDE 10-23 '!$A$4:$E$3180,3,0)</f>
        <v>UN</v>
      </c>
      <c r="F913" s="1112">
        <v>2</v>
      </c>
      <c r="G913" s="66"/>
      <c r="H913" s="1220"/>
      <c r="I913" s="66"/>
      <c r="J913" s="66"/>
      <c r="K913" s="66"/>
      <c r="L913" s="1222"/>
      <c r="M913" s="51"/>
      <c r="N913" s="52"/>
      <c r="O913" s="25"/>
      <c r="P913" s="25"/>
    </row>
    <row r="914" spans="1:16" ht="30" customHeight="1">
      <c r="A914" s="61"/>
      <c r="B914" s="62"/>
      <c r="C914" s="63"/>
      <c r="D914" s="1219" t="s">
        <v>11042</v>
      </c>
      <c r="E914" s="65"/>
      <c r="F914" s="88"/>
      <c r="G914" s="66"/>
      <c r="H914" s="1220"/>
      <c r="I914" s="66"/>
      <c r="J914" s="66"/>
      <c r="K914" s="66"/>
      <c r="L914" s="1222"/>
      <c r="M914" s="51"/>
      <c r="N914" s="52"/>
      <c r="O914" s="25"/>
      <c r="P914" s="25"/>
    </row>
    <row r="915" spans="1:16" ht="30" customHeight="1">
      <c r="A915" s="53" t="s">
        <v>693</v>
      </c>
      <c r="B915" s="54"/>
      <c r="C915" s="54" t="s">
        <v>694</v>
      </c>
      <c r="D915" s="1216" t="s">
        <v>695</v>
      </c>
      <c r="E915" s="56" t="str">
        <f>IFERROR(UPPER(IF(B915="CPU",VLOOKUP(C915,#REF!,3,0),IF(B915="SINAPI",VLOOKUP(C915,#REF!,3,0),IF(B915="EDIF",VLOOKUP(C915,#REF!,3,0),IF(B915="CDHU",VLOOKUP(C915,#REF!,3,0),IF(B915="FDE",VLOOKUP(C915,#REF!,3,0),IF(B915="INFRA",VLOOKUP(C915,#REF!,3,0),""))))))),"")</f>
        <v/>
      </c>
      <c r="F915" s="1232"/>
      <c r="G915" s="57"/>
      <c r="H915" s="1217"/>
      <c r="I915" s="1217"/>
      <c r="J915" s="1217"/>
      <c r="K915" s="1217"/>
      <c r="L915" s="1218"/>
      <c r="M915" s="51"/>
      <c r="N915" s="52"/>
      <c r="O915" s="25"/>
      <c r="P915" s="25"/>
    </row>
    <row r="916" spans="1:16" ht="30" customHeight="1">
      <c r="A916" s="61" t="s">
        <v>696</v>
      </c>
      <c r="B916" s="62" t="s">
        <v>26</v>
      </c>
      <c r="C916" s="63" t="s">
        <v>697</v>
      </c>
      <c r="D916" s="1219" t="str">
        <f>IFERROR(UPPER(IF(B916="CPU",VLOOKUP(C916,#REF!,2,0),IF(B916="SINAPI",VLOOKUP(C916,#REF!,2,0),IF(B916="EDIF",VLOOKUP(C916,#REF!,2,0),IF(B916="CDHU",VLOOKUP(C916,#REF!,2,0),IF(B916="FDE",VLOOKUP(C916,'FDE 10-23 '!$A$4:$E$3180,2,0),IF(B916="INFRA",VLOOKUP(C916,#REF!,2,0),""))))))),"")</f>
        <v>FIO DE 1,50 MM2 - 750 V DE ISOLACAO</v>
      </c>
      <c r="E916" s="65" t="str">
        <f>VLOOKUP(C916,'FDE 10-23 '!$A$4:$E$3180,3,0)</f>
        <v>M</v>
      </c>
      <c r="F916" s="1112">
        <v>453</v>
      </c>
      <c r="G916" s="66"/>
      <c r="H916" s="1220"/>
      <c r="I916" s="66"/>
      <c r="J916" s="66"/>
      <c r="K916" s="66"/>
      <c r="L916" s="1222"/>
      <c r="M916" s="51"/>
      <c r="N916" s="52"/>
      <c r="O916" s="25"/>
      <c r="P916" s="25"/>
    </row>
    <row r="917" spans="1:16" ht="30" customHeight="1">
      <c r="A917" s="61" t="s">
        <v>698</v>
      </c>
      <c r="B917" s="62" t="s">
        <v>26</v>
      </c>
      <c r="C917" s="63" t="s">
        <v>699</v>
      </c>
      <c r="D917" s="1219" t="str">
        <f>IFERROR(UPPER(IF(B917="CPU",VLOOKUP(C917,#REF!,2,0),IF(B917="SINAPI",VLOOKUP(C917,#REF!,2,0),IF(B917="EDIF",VLOOKUP(C917,#REF!,2,0),IF(B917="CDHU",VLOOKUP(C917,#REF!,2,0),IF(B917="FDE",VLOOKUP(C917,'FDE 10-23 '!$A$4:$E$3180,2,0),IF(B917="INFRA",VLOOKUP(C917,#REF!,2,0),""))))))),"")</f>
        <v>FIO DE 2,50 MM2 - 750 V DE ISOLACAO</v>
      </c>
      <c r="E917" s="65" t="str">
        <f>VLOOKUP(C917,'FDE 10-23 '!$A$4:$E$3180,3,0)</f>
        <v>M</v>
      </c>
      <c r="F917" s="1112">
        <v>12600</v>
      </c>
      <c r="G917" s="66"/>
      <c r="H917" s="1220"/>
      <c r="I917" s="66"/>
      <c r="J917" s="66"/>
      <c r="K917" s="66"/>
      <c r="L917" s="1222"/>
      <c r="M917" s="51"/>
      <c r="N917" s="52"/>
      <c r="O917" s="25"/>
      <c r="P917" s="25"/>
    </row>
    <row r="918" spans="1:16" ht="30" customHeight="1">
      <c r="A918" s="61" t="s">
        <v>700</v>
      </c>
      <c r="B918" s="62" t="s">
        <v>26</v>
      </c>
      <c r="C918" s="63" t="s">
        <v>701</v>
      </c>
      <c r="D918" s="1219" t="str">
        <f>IFERROR(UPPER(IF(B918="CPU",VLOOKUP(C918,#REF!,2,0),IF(B918="SINAPI",VLOOKUP(C918,#REF!,2,0),IF(B918="EDIF",VLOOKUP(C918,#REF!,2,0),IF(B918="CDHU",VLOOKUP(C918,#REF!,2,0),IF(B918="FDE",VLOOKUP(C918,'FDE 10-23 '!$A$4:$E$3180,2,0),IF(B918="INFRA",VLOOKUP(C918,#REF!,2,0),""))))))),"")</f>
        <v>FIO DE 6 MM2 - 750 V DE ISOLACAO</v>
      </c>
      <c r="E918" s="65" t="str">
        <f>VLOOKUP(C918,'FDE 10-23 '!$A$4:$E$3180,3,0)</f>
        <v>M</v>
      </c>
      <c r="F918" s="1112">
        <v>3670</v>
      </c>
      <c r="G918" s="66"/>
      <c r="H918" s="1220"/>
      <c r="I918" s="66"/>
      <c r="J918" s="66"/>
      <c r="K918" s="66"/>
      <c r="L918" s="1222"/>
      <c r="M918" s="51"/>
      <c r="N918" s="52"/>
      <c r="O918" s="25"/>
      <c r="P918" s="25"/>
    </row>
    <row r="919" spans="1:16" ht="30" customHeight="1">
      <c r="A919" s="61" t="s">
        <v>702</v>
      </c>
      <c r="B919" s="62" t="s">
        <v>26</v>
      </c>
      <c r="C919" s="63" t="s">
        <v>703</v>
      </c>
      <c r="D919" s="1219" t="str">
        <f>IFERROR(UPPER(IF(B919="CPU",VLOOKUP(C919,#REF!,2,0),IF(B919="SINAPI",VLOOKUP(C919,#REF!,2,0),IF(B919="EDIF",VLOOKUP(C919,#REF!,2,0),IF(B919="CDHU",VLOOKUP(C919,#REF!,2,0),IF(B919="FDE",VLOOKUP(C919,'FDE 10-23 '!$A$4:$E$3180,2,0),IF(B919="INFRA",VLOOKUP(C919,#REF!,2,0),""))))))),"")</f>
        <v>CABO DE 10 MM2 - 750 V DE ISOLACAO</v>
      </c>
      <c r="E919" s="65" t="str">
        <f>VLOOKUP(C919,'FDE 10-23 '!$A$4:$E$3180,3,0)</f>
        <v>M</v>
      </c>
      <c r="F919" s="1112">
        <v>1708</v>
      </c>
      <c r="G919" s="66"/>
      <c r="H919" s="1220"/>
      <c r="I919" s="66"/>
      <c r="J919" s="66"/>
      <c r="K919" s="66"/>
      <c r="L919" s="1222"/>
      <c r="M919" s="51"/>
      <c r="N919" s="52"/>
      <c r="O919" s="25"/>
      <c r="P919" s="25"/>
    </row>
    <row r="920" spans="1:16" ht="30" customHeight="1">
      <c r="A920" s="61" t="s">
        <v>704</v>
      </c>
      <c r="B920" s="62" t="s">
        <v>26</v>
      </c>
      <c r="C920" s="63" t="s">
        <v>705</v>
      </c>
      <c r="D920" s="1219" t="str">
        <f>IFERROR(UPPER(IF(B920="CPU",VLOOKUP(C920,#REF!,2,0),IF(B920="SINAPI",VLOOKUP(C920,#REF!,2,0),IF(B920="EDIF",VLOOKUP(C920,#REF!,2,0),IF(B920="CDHU",VLOOKUP(C920,#REF!,2,0),IF(B920="FDE",VLOOKUP(C920,'FDE 10-23 '!$A$4:$E$3180,2,0),IF(B920="INFRA",VLOOKUP(C920,#REF!,2,0),""))))))),"")</f>
        <v>CABO DE 16 MM2 - 750 V DE ISOLACAO</v>
      </c>
      <c r="E920" s="65" t="str">
        <f>VLOOKUP(C920,'FDE 10-23 '!$A$4:$E$3180,3,0)</f>
        <v>M</v>
      </c>
      <c r="F920" s="1112">
        <v>6</v>
      </c>
      <c r="G920" s="66"/>
      <c r="H920" s="1220"/>
      <c r="I920" s="66"/>
      <c r="J920" s="66"/>
      <c r="K920" s="66"/>
      <c r="L920" s="1222"/>
      <c r="M920" s="51"/>
      <c r="N920" s="52"/>
      <c r="O920" s="25"/>
      <c r="P920" s="25"/>
    </row>
    <row r="921" spans="1:16" ht="30" customHeight="1">
      <c r="A921" s="61" t="s">
        <v>706</v>
      </c>
      <c r="B921" s="62" t="s">
        <v>26</v>
      </c>
      <c r="C921" s="63" t="s">
        <v>707</v>
      </c>
      <c r="D921" s="1219" t="str">
        <f>IFERROR(UPPER(IF(B921="CPU",VLOOKUP(C921,#REF!,2,0),IF(B921="SINAPI",VLOOKUP(C921,#REF!,2,0),IF(B921="EDIF",VLOOKUP(C921,#REF!,2,0),IF(B921="CDHU",VLOOKUP(C921,#REF!,2,0),IF(B921="FDE",VLOOKUP(C921,'FDE 10-23 '!$A$4:$E$3180,2,0),IF(B921="INFRA",VLOOKUP(C921,#REF!,2,0),""))))))),"")</f>
        <v>CABO DE 25 MM2 - 750 V DE ISOLACAO</v>
      </c>
      <c r="E921" s="65" t="str">
        <f>VLOOKUP(C921,'FDE 10-23 '!$A$4:$E$3180,3,0)</f>
        <v>M</v>
      </c>
      <c r="F921" s="1112">
        <v>24</v>
      </c>
      <c r="G921" s="66"/>
      <c r="H921" s="1220"/>
      <c r="I921" s="66"/>
      <c r="J921" s="66"/>
      <c r="K921" s="66"/>
      <c r="L921" s="1222"/>
      <c r="M921" s="51"/>
      <c r="N921" s="52"/>
      <c r="O921" s="25"/>
      <c r="P921" s="25"/>
    </row>
    <row r="922" spans="1:16" ht="30" customHeight="1">
      <c r="A922" s="61"/>
      <c r="B922" s="62"/>
      <c r="C922" s="63"/>
      <c r="D922" s="1219" t="s">
        <v>11043</v>
      </c>
      <c r="E922" s="65"/>
      <c r="F922" s="66"/>
      <c r="G922" s="66"/>
      <c r="H922" s="1220"/>
      <c r="I922" s="66"/>
      <c r="J922" s="66"/>
      <c r="K922" s="66"/>
      <c r="L922" s="1222"/>
      <c r="M922" s="51"/>
      <c r="N922" s="52"/>
      <c r="O922" s="25"/>
      <c r="P922" s="25"/>
    </row>
    <row r="923" spans="1:16" ht="30" customHeight="1">
      <c r="A923" s="53" t="s">
        <v>708</v>
      </c>
      <c r="B923" s="54"/>
      <c r="C923" s="54" t="s">
        <v>709</v>
      </c>
      <c r="D923" s="1216" t="s">
        <v>710</v>
      </c>
      <c r="E923" s="56" t="str">
        <f>IFERROR(UPPER(IF(B923="CPU",VLOOKUP(C923,#REF!,3,0),IF(B923="SINAPI",VLOOKUP(C923,#REF!,3,0),IF(B923="EDIF",VLOOKUP(C923,#REF!,3,0),IF(B923="CDHU",VLOOKUP(C923,#REF!,3,0),IF(B923="FDE",VLOOKUP(C923,#REF!,3,0),IF(B923="INFRA",VLOOKUP(C923,#REF!,3,0),""))))))),"")</f>
        <v/>
      </c>
      <c r="F923" s="1232"/>
      <c r="G923" s="57"/>
      <c r="H923" s="1217"/>
      <c r="I923" s="1217"/>
      <c r="J923" s="1217"/>
      <c r="K923" s="1217"/>
      <c r="L923" s="1218"/>
      <c r="M923" s="51"/>
      <c r="N923" s="52"/>
      <c r="O923" s="25"/>
      <c r="P923" s="25"/>
    </row>
    <row r="924" spans="1:16" ht="30" customHeight="1">
      <c r="A924" s="61" t="s">
        <v>711</v>
      </c>
      <c r="B924" s="62" t="s">
        <v>26</v>
      </c>
      <c r="C924" s="63" t="s">
        <v>712</v>
      </c>
      <c r="D924" s="1219" t="str">
        <f>IFERROR(UPPER(IF(B924="CPU",VLOOKUP(C924,#REF!,2,0),IF(B924="SINAPI",VLOOKUP(C924,#REF!,2,0),IF(B924="EDIF",VLOOKUP(C924,#REF!,2,0),IF(B924="CDHU",VLOOKUP(C924,#REF!,2,0),IF(B924="FDE",VLOOKUP(C924,'FDE 10-23 '!$A$4:$E$3180,2,0),IF(B924="INFRA",VLOOKUP(C924,#REF!,2,0),""))))))),"")</f>
        <v>BOTOEIRA PARA ACIONAMENTO DA BOMBA DE INCENDIO</v>
      </c>
      <c r="E924" s="65" t="str">
        <f>VLOOKUP(C924,'FDE 10-23 '!$A$4:$E$3180,3,0)</f>
        <v>UN</v>
      </c>
      <c r="F924" s="1112">
        <v>2</v>
      </c>
      <c r="G924" s="66"/>
      <c r="H924" s="1220"/>
      <c r="I924" s="66"/>
      <c r="J924" s="66"/>
      <c r="K924" s="66"/>
      <c r="L924" s="1222"/>
      <c r="M924" s="51"/>
      <c r="N924" s="52"/>
      <c r="O924" s="25"/>
      <c r="P924" s="25"/>
    </row>
    <row r="925" spans="1:16" ht="30" customHeight="1">
      <c r="A925" s="61" t="s">
        <v>713</v>
      </c>
      <c r="B925" s="62" t="s">
        <v>26</v>
      </c>
      <c r="C925" s="63" t="s">
        <v>714</v>
      </c>
      <c r="D925" s="1219" t="str">
        <f>IFERROR(UPPER(IF(B925="CPU",VLOOKUP(C925,#REF!,2,0),IF(B925="SINAPI",VLOOKUP(C925,#REF!,2,0),IF(B925="EDIF",VLOOKUP(C925,#REF!,2,0),IF(B925="CDHU",VLOOKUP(C925,#REF!,2,0),IF(B925="FDE",VLOOKUP(C925,'FDE 10-23 '!$A$4:$E$3180,2,0),IF(B925="INFRA",VLOOKUP(C925,#REF!,2,0),""))))))),"")</f>
        <v>INTERRUPTOR 1 TECLA BIPOLAR SIMPLES CAIXA 4"X2"- ELETR PVC RIGIDO</v>
      </c>
      <c r="E925" s="65" t="str">
        <f>VLOOKUP(C925,'FDE 10-23 '!$A$4:$E$3180,3,0)</f>
        <v>UN</v>
      </c>
      <c r="F925" s="1112">
        <v>12</v>
      </c>
      <c r="G925" s="66"/>
      <c r="H925" s="1220"/>
      <c r="I925" s="66"/>
      <c r="J925" s="66"/>
      <c r="K925" s="66"/>
      <c r="L925" s="1222"/>
      <c r="M925" s="51"/>
      <c r="N925" s="52"/>
      <c r="O925" s="25"/>
      <c r="P925" s="25"/>
    </row>
    <row r="926" spans="1:16" ht="30" customHeight="1">
      <c r="A926" s="61" t="s">
        <v>715</v>
      </c>
      <c r="B926" s="62" t="s">
        <v>26</v>
      </c>
      <c r="C926" s="63" t="s">
        <v>716</v>
      </c>
      <c r="D926" s="1219" t="str">
        <f>IFERROR(UPPER(IF(B926="CPU",VLOOKUP(C926,#REF!,2,0),IF(B926="SINAPI",VLOOKUP(C926,#REF!,2,0),IF(B926="EDIF",VLOOKUP(C926,#REF!,2,0),IF(B926="CDHU",VLOOKUP(C926,#REF!,2,0),IF(B926="FDE",VLOOKUP(C926,'FDE 10-23 '!$A$4:$E$3180,2,0),IF(B926="INFRA",VLOOKUP(C926,#REF!,2,0),""))))))),"")</f>
        <v>2 INTERRUPTORES 1 TECLA BIPOLAR SIMPLES CAIXA 4"X4"-ELETR PVC RIGIDO</v>
      </c>
      <c r="E926" s="65" t="str">
        <f>VLOOKUP(C926,'FDE 10-23 '!$A$4:$E$3180,3,0)</f>
        <v>UN</v>
      </c>
      <c r="F926" s="1112">
        <v>10</v>
      </c>
      <c r="G926" s="66"/>
      <c r="H926" s="1220"/>
      <c r="I926" s="66"/>
      <c r="J926" s="66"/>
      <c r="K926" s="66"/>
      <c r="L926" s="1222"/>
      <c r="M926" s="51"/>
      <c r="N926" s="52"/>
      <c r="O926" s="25"/>
      <c r="P926" s="25"/>
    </row>
    <row r="927" spans="1:16" ht="30" customHeight="1">
      <c r="A927" s="61" t="s">
        <v>717</v>
      </c>
      <c r="B927" s="62" t="s">
        <v>26</v>
      </c>
      <c r="C927" s="63" t="s">
        <v>718</v>
      </c>
      <c r="D927" s="1219" t="str">
        <f>IFERROR(UPPER(IF(B927="CPU",VLOOKUP(C927,#REF!,2,0),IF(B927="SINAPI",VLOOKUP(C927,#REF!,2,0),IF(B927="EDIF",VLOOKUP(C927,#REF!,2,0),IF(B927="CDHU",VLOOKUP(C927,#REF!,2,0),IF(B927="FDE",VLOOKUP(C927,'FDE 10-23 '!$A$4:$E$3180,2,0),IF(B927="INFRA",VLOOKUP(C927,#REF!,2,0),""))))))),"")</f>
        <v>3 INTERRUPTORES DE 1 TECLA BIPOLAR EM CAIXA 4"X4"-ELETRODUTO DE PVC</v>
      </c>
      <c r="E927" s="65" t="str">
        <f>VLOOKUP(C927,'FDE 10-23 '!$A$4:$E$3180,3,0)</f>
        <v>UN</v>
      </c>
      <c r="F927" s="1112">
        <v>5</v>
      </c>
      <c r="G927" s="66"/>
      <c r="H927" s="1220"/>
      <c r="I927" s="66"/>
      <c r="J927" s="66"/>
      <c r="K927" s="66"/>
      <c r="L927" s="1222"/>
      <c r="M927" s="51"/>
      <c r="N927" s="52"/>
      <c r="O927" s="25"/>
      <c r="P927" s="25"/>
    </row>
    <row r="928" spans="1:16" ht="30" customHeight="1">
      <c r="A928" s="61" t="s">
        <v>719</v>
      </c>
      <c r="B928" s="62" t="s">
        <v>26</v>
      </c>
      <c r="C928" s="63" t="s">
        <v>720</v>
      </c>
      <c r="D928" s="1219" t="str">
        <f>IFERROR(UPPER(IF(B928="CPU",VLOOKUP(C928,#REF!,2,0),IF(B928="SINAPI",VLOOKUP(C928,#REF!,2,0),IF(B928="EDIF",VLOOKUP(C928,#REF!,2,0),IF(B928="CDHU",VLOOKUP(C928,#REF!,2,0),IF(B928="FDE",VLOOKUP(C928,'FDE 10-23 '!$A$4:$E$3180,2,0),IF(B928="INFRA",VLOOKUP(C928,#REF!,2,0),""))))))),"")</f>
        <v>INTERRUPTOR 1 TECLA SIMPLES/TOMADA 2P+T PADRÃO NBR 14136 CORRENTE 10A ELETROD.PVC RIGIDO</v>
      </c>
      <c r="E928" s="65" t="str">
        <f>VLOOKUP(C928,'FDE 10-23 '!$A$4:$E$3180,3,0)</f>
        <v>UN</v>
      </c>
      <c r="F928" s="1112">
        <v>2</v>
      </c>
      <c r="G928" s="66"/>
      <c r="H928" s="1220"/>
      <c r="I928" s="66"/>
      <c r="J928" s="66"/>
      <c r="K928" s="66"/>
      <c r="L928" s="1222"/>
      <c r="M928" s="51"/>
      <c r="N928" s="52"/>
      <c r="O928" s="25"/>
      <c r="P928" s="25"/>
    </row>
    <row r="929" spans="1:16" ht="30" customHeight="1">
      <c r="A929" s="61" t="s">
        <v>721</v>
      </c>
      <c r="B929" s="62" t="s">
        <v>26</v>
      </c>
      <c r="C929" s="63" t="s">
        <v>722</v>
      </c>
      <c r="D929" s="1219" t="str">
        <f>IFERROR(UPPER(IF(B929="CPU",VLOOKUP(C929,#REF!,2,0),IF(B929="SINAPI",VLOOKUP(C929,#REF!,2,0),IF(B929="EDIF",VLOOKUP(C929,#REF!,2,0),IF(B929="CDHU",VLOOKUP(C929,#REF!,2,0),IF(B929="FDE",VLOOKUP(C929,'FDE 10-23 '!$A$4:$E$3180,2,0),IF(B929="INFRA",VLOOKUP(C929,#REF!,2,0),""))))))),"")</f>
        <v>TOMADA 2P+T PADRAO NBR 14136 CORRENTE 10A-250V-ELETR. PVC RÍGIDO</v>
      </c>
      <c r="E929" s="65" t="str">
        <f>VLOOKUP(C929,'FDE 10-23 '!$A$4:$E$3180,3,0)</f>
        <v>UN</v>
      </c>
      <c r="F929" s="1112">
        <v>233</v>
      </c>
      <c r="G929" s="66"/>
      <c r="H929" s="1220"/>
      <c r="I929" s="66"/>
      <c r="J929" s="66"/>
      <c r="K929" s="66"/>
      <c r="L929" s="1222"/>
      <c r="M929" s="51"/>
      <c r="N929" s="52"/>
      <c r="O929" s="25"/>
      <c r="P929" s="25"/>
    </row>
    <row r="930" spans="1:16" ht="30" customHeight="1">
      <c r="A930" s="61" t="s">
        <v>723</v>
      </c>
      <c r="B930" s="62" t="s">
        <v>26</v>
      </c>
      <c r="C930" s="63" t="s">
        <v>724</v>
      </c>
      <c r="D930" s="1219" t="str">
        <f>IFERROR(UPPER(IF(B930="CPU",VLOOKUP(C930,#REF!,2,0),IF(B930="SINAPI",VLOOKUP(C930,#REF!,2,0),IF(B930="EDIF",VLOOKUP(C930,#REF!,2,0),IF(B930="CDHU",VLOOKUP(C930,#REF!,2,0),IF(B930="FDE",VLOOKUP(C930,'FDE 10-23 '!$A$4:$E$3180,2,0),IF(B930="INFRA",VLOOKUP(C930,#REF!,2,0),""))))))),"")</f>
        <v>PONTO SECO PARA TELEFONE-ELETRODUTO DE PVC</v>
      </c>
      <c r="E930" s="65" t="str">
        <f>VLOOKUP(C930,'FDE 10-23 '!$A$4:$E$3180,3,0)</f>
        <v>UN</v>
      </c>
      <c r="F930" s="1112">
        <v>6</v>
      </c>
      <c r="G930" s="66"/>
      <c r="H930" s="1220"/>
      <c r="I930" s="66"/>
      <c r="J930" s="66"/>
      <c r="K930" s="66"/>
      <c r="L930" s="1222"/>
      <c r="M930" s="51"/>
      <c r="N930" s="52"/>
      <c r="O930" s="25"/>
      <c r="P930" s="25"/>
    </row>
    <row r="931" spans="1:16" ht="30" customHeight="1">
      <c r="A931" s="61" t="s">
        <v>725</v>
      </c>
      <c r="B931" s="62" t="s">
        <v>26</v>
      </c>
      <c r="C931" s="63" t="s">
        <v>726</v>
      </c>
      <c r="D931" s="1219" t="str">
        <f>IFERROR(UPPER(IF(B931="CPU",VLOOKUP(C931,#REF!,2,0),IF(B931="SINAPI",VLOOKUP(C931,#REF!,2,0),IF(B931="EDIF",VLOOKUP(C931,#REF!,2,0),IF(B931="CDHU",VLOOKUP(C931,#REF!,2,0),IF(B931="FDE",VLOOKUP(C931,'FDE 10-23 '!$A$4:$E$3180,2,0),IF(B931="INFRA",VLOOKUP(C931,#REF!,2,0),""))))))),"")</f>
        <v>BOTAO PARA CIGARRA - ELETRODUTO DE PVC</v>
      </c>
      <c r="E931" s="65" t="str">
        <f>VLOOKUP(C931,'FDE 10-23 '!$A$4:$E$3180,3,0)</f>
        <v>UN</v>
      </c>
      <c r="F931" s="1112">
        <v>1</v>
      </c>
      <c r="G931" s="66"/>
      <c r="H931" s="1220"/>
      <c r="I931" s="66"/>
      <c r="J931" s="66"/>
      <c r="K931" s="66"/>
      <c r="L931" s="1222"/>
      <c r="M931" s="51"/>
      <c r="N931" s="52"/>
      <c r="O931" s="25"/>
      <c r="P931" s="25"/>
    </row>
    <row r="932" spans="1:16" ht="30" customHeight="1">
      <c r="A932" s="61" t="s">
        <v>727</v>
      </c>
      <c r="B932" s="62" t="s">
        <v>26</v>
      </c>
      <c r="C932" s="63" t="s">
        <v>728</v>
      </c>
      <c r="D932" s="1219" t="str">
        <f>IFERROR(UPPER(IF(B932="CPU",VLOOKUP(C932,#REF!,2,0),IF(B932="SINAPI",VLOOKUP(C932,#REF!,2,0),IF(B932="EDIF",VLOOKUP(C932,#REF!,2,0),IF(B932="CDHU",VLOOKUP(C932,#REF!,2,0),IF(B932="FDE",VLOOKUP(C932,'FDE 10-23 '!$A$4:$E$3180,2,0),IF(B932="INFRA",VLOOKUP(C932,#REF!,2,0),""))))))),"")</f>
        <v>CIGARRA PARA CHAMADA DE AULA - ELETRODUTO DE PVC</v>
      </c>
      <c r="E932" s="65" t="str">
        <f>VLOOKUP(C932,'FDE 10-23 '!$A$4:$E$3180,3,0)</f>
        <v>UN</v>
      </c>
      <c r="F932" s="1112">
        <v>3</v>
      </c>
      <c r="G932" s="66"/>
      <c r="H932" s="1220"/>
      <c r="I932" s="66"/>
      <c r="J932" s="66"/>
      <c r="K932" s="66"/>
      <c r="L932" s="1222"/>
      <c r="M932" s="51"/>
      <c r="N932" s="52"/>
      <c r="O932" s="25"/>
      <c r="P932" s="25"/>
    </row>
    <row r="933" spans="1:16" ht="30" customHeight="1">
      <c r="A933" s="61" t="s">
        <v>729</v>
      </c>
      <c r="B933" s="62" t="s">
        <v>26</v>
      </c>
      <c r="C933" s="63" t="s">
        <v>730</v>
      </c>
      <c r="D933" s="1219" t="str">
        <f>IFERROR(UPPER(IF(B933="CPU",VLOOKUP(C933,#REF!,2,0),IF(B933="SINAPI",VLOOKUP(C933,#REF!,2,0),IF(B933="EDIF",VLOOKUP(C933,#REF!,2,0),IF(B933="CDHU",VLOOKUP(C933,#REF!,2,0),IF(B933="FDE",VLOOKUP(C933,'FDE 10-23 '!$A$4:$E$3180,2,0),IF(B933="INFRA",VLOOKUP(C933,#REF!,2,0),""))))))),"")</f>
        <v>PONTO SECO P/INSTALACAO DE SOM/TV/ALARME/LOGICA - ELETRODUTO PVC</v>
      </c>
      <c r="E933" s="65" t="str">
        <f>VLOOKUP(C933,'FDE 10-23 '!$A$4:$E$3180,3,0)</f>
        <v>UN</v>
      </c>
      <c r="F933" s="1112">
        <v>93</v>
      </c>
      <c r="G933" s="66"/>
      <c r="H933" s="1220"/>
      <c r="I933" s="66"/>
      <c r="J933" s="66"/>
      <c r="K933" s="66"/>
      <c r="L933" s="1222"/>
      <c r="M933" s="51"/>
      <c r="N933" s="52"/>
      <c r="O933" s="25"/>
      <c r="P933" s="25"/>
    </row>
    <row r="934" spans="1:16" ht="30" customHeight="1">
      <c r="A934" s="61" t="s">
        <v>731</v>
      </c>
      <c r="B934" s="62" t="s">
        <v>26</v>
      </c>
      <c r="C934" s="63" t="s">
        <v>732</v>
      </c>
      <c r="D934" s="1219" t="str">
        <f>IFERROR(UPPER(IF(B934="CPU",VLOOKUP(C934,#REF!,2,0),IF(B934="SINAPI",VLOOKUP(C934,#REF!,2,0),IF(B934="EDIF",VLOOKUP(C934,#REF!,2,0),IF(B934="CDHU",VLOOKUP(C934,#REF!,2,0),IF(B934="FDE",VLOOKUP(C934,'FDE 10-23 '!$A$4:$E$3180,2,0),IF(B934="INFRA",VLOOKUP(C934,#REF!,2,0),""))))))),"")</f>
        <v>ACIONADOR DO ALARME DE INCENDIO</v>
      </c>
      <c r="E934" s="65" t="str">
        <f>VLOOKUP(C934,'FDE 10-23 '!$A$4:$E$3180,3,0)</f>
        <v>UN</v>
      </c>
      <c r="F934" s="1112">
        <v>4</v>
      </c>
      <c r="G934" s="66"/>
      <c r="H934" s="1220"/>
      <c r="I934" s="66"/>
      <c r="J934" s="66"/>
      <c r="K934" s="66"/>
      <c r="L934" s="1222"/>
      <c r="M934" s="51"/>
      <c r="N934" s="52"/>
      <c r="O934" s="25"/>
      <c r="P934" s="25"/>
    </row>
    <row r="935" spans="1:16" ht="30" customHeight="1">
      <c r="A935" s="61" t="s">
        <v>733</v>
      </c>
      <c r="B935" s="62" t="s">
        <v>26</v>
      </c>
      <c r="C935" s="63" t="s">
        <v>734</v>
      </c>
      <c r="D935" s="1219" t="str">
        <f>IFERROR(UPPER(IF(B935="CPU",VLOOKUP(C935,#REF!,2,0),IF(B935="SINAPI",VLOOKUP(C935,#REF!,2,0),IF(B935="EDIF",VLOOKUP(C935,#REF!,2,0),IF(B935="CDHU",VLOOKUP(C935,#REF!,2,0),IF(B935="FDE",VLOOKUP(C935,'FDE 10-23 '!$A$4:$E$3180,2,0),IF(B935="INFRA",VLOOKUP(C935,#REF!,2,0),""))))))),"")</f>
        <v>SIRENE PARA ALARME DE EMERGENCIA- ELETRODUTO DE PVC</v>
      </c>
      <c r="E935" s="65" t="str">
        <f>VLOOKUP(C935,'FDE 10-23 '!$A$4:$E$3180,3,0)</f>
        <v>UN</v>
      </c>
      <c r="F935" s="1112">
        <v>4</v>
      </c>
      <c r="G935" s="66"/>
      <c r="H935" s="1220"/>
      <c r="I935" s="66"/>
      <c r="J935" s="66"/>
      <c r="K935" s="66"/>
      <c r="L935" s="1222"/>
      <c r="M935" s="51"/>
      <c r="N935" s="52"/>
      <c r="O935" s="25"/>
      <c r="P935" s="25"/>
    </row>
    <row r="936" spans="1:16" ht="30" customHeight="1">
      <c r="A936" s="61"/>
      <c r="B936" s="62"/>
      <c r="C936" s="63"/>
      <c r="D936" s="1219" t="s">
        <v>11044</v>
      </c>
      <c r="E936" s="65"/>
      <c r="F936" s="88"/>
      <c r="G936" s="66"/>
      <c r="H936" s="1220"/>
      <c r="I936" s="66"/>
      <c r="J936" s="66"/>
      <c r="K936" s="66"/>
      <c r="L936" s="1222"/>
      <c r="M936" s="51"/>
      <c r="N936" s="52"/>
      <c r="O936" s="25"/>
      <c r="P936" s="25"/>
    </row>
    <row r="937" spans="1:16" ht="30" customHeight="1">
      <c r="A937" s="53" t="s">
        <v>735</v>
      </c>
      <c r="B937" s="54"/>
      <c r="C937" s="54" t="s">
        <v>736</v>
      </c>
      <c r="D937" s="1216" t="s">
        <v>737</v>
      </c>
      <c r="E937" s="56" t="str">
        <f>IFERROR(UPPER(IF(B937="CPU",VLOOKUP(C937,#REF!,3,0),IF(B937="SINAPI",VLOOKUP(C937,#REF!,3,0),IF(B937="EDIF",VLOOKUP(C937,#REF!,3,0),IF(B937="CDHU",VLOOKUP(C937,#REF!,3,0),IF(B937="FDE",VLOOKUP(C937,#REF!,3,0),IF(B937="INFRA",VLOOKUP(C937,#REF!,3,0),""))))))),"")</f>
        <v/>
      </c>
      <c r="F937" s="1232"/>
      <c r="G937" s="57"/>
      <c r="H937" s="1217"/>
      <c r="I937" s="1217"/>
      <c r="J937" s="1217"/>
      <c r="K937" s="1217"/>
      <c r="L937" s="1218"/>
      <c r="M937" s="51"/>
      <c r="N937" s="52"/>
      <c r="O937" s="25"/>
      <c r="P937" s="25"/>
    </row>
    <row r="938" spans="1:16" ht="30" customHeight="1">
      <c r="A938" s="61" t="s">
        <v>738</v>
      </c>
      <c r="B938" s="62" t="s">
        <v>26</v>
      </c>
      <c r="C938" s="63" t="s">
        <v>739</v>
      </c>
      <c r="D938" s="1219" t="str">
        <f>IFERROR(UPPER(IF(B938="CPU",VLOOKUP(C938,#REF!,2,0),IF(B938="SINAPI",VLOOKUP(C938,#REF!,2,0),IF(B938="EDIF",VLOOKUP(C938,#REF!,2,0),IF(B938="CDHU",VLOOKUP(C938,#REF!,2,0),IF(B938="FDE",VLOOKUP(C938,'FDE 10-23 '!$A$4:$E$3180,2,0),IF(B938="INFRA",VLOOKUP(C938,#REF!,2,0),""))))))),"")</f>
        <v>IL-42 LUMINARIA C/ DIFUSOR TRANSPARENTE P/ LAMPADA FLUOR (2X32W)</v>
      </c>
      <c r="E938" s="65" t="str">
        <f>VLOOKUP(C938,'FDE 10-23 '!$A$4:$E$3180,3,0)</f>
        <v>UN</v>
      </c>
      <c r="F938" s="1112">
        <v>23</v>
      </c>
      <c r="G938" s="66" t="s">
        <v>26</v>
      </c>
      <c r="H938" s="1220" t="s">
        <v>1152</v>
      </c>
      <c r="I938" s="1235" t="s">
        <v>8560</v>
      </c>
      <c r="J938" s="66"/>
      <c r="K938" s="66"/>
      <c r="L938" s="1222"/>
      <c r="M938" s="51"/>
      <c r="N938" s="52"/>
      <c r="O938" s="25"/>
      <c r="P938" s="25"/>
    </row>
    <row r="939" spans="1:16" ht="30" customHeight="1">
      <c r="A939" s="61" t="s">
        <v>740</v>
      </c>
      <c r="B939" s="62" t="s">
        <v>26</v>
      </c>
      <c r="C939" s="63" t="s">
        <v>741</v>
      </c>
      <c r="D939" s="1219" t="str">
        <f>IFERROR(UPPER(IF(B939="CPU",VLOOKUP(C939,#REF!,2,0),IF(B939="SINAPI",VLOOKUP(C939,#REF!,2,0),IF(B939="EDIF",VLOOKUP(C939,#REF!,2,0),IF(B939="CDHU",VLOOKUP(C939,#REF!,2,0),IF(B939="FDE",VLOOKUP(C939,'FDE 10-23 '!$A$4:$E$3180,2,0),IF(B939="INFRA",VLOOKUP(C939,#REF!,2,0),""))))))),"")</f>
        <v>IL-57 REFLETOR C/ GRADE P/ VAPOR MET 150W</v>
      </c>
      <c r="E939" s="65" t="str">
        <f>VLOOKUP(C939,'FDE 10-23 '!$A$4:$E$3180,3,0)</f>
        <v>UN</v>
      </c>
      <c r="F939" s="1112">
        <v>7</v>
      </c>
      <c r="G939" s="66" t="s">
        <v>26</v>
      </c>
      <c r="H939" s="1220" t="s">
        <v>1153</v>
      </c>
      <c r="I939" s="1236" t="s">
        <v>8628</v>
      </c>
      <c r="J939" s="66"/>
      <c r="K939" s="66"/>
      <c r="L939" s="1222"/>
      <c r="M939" s="51"/>
      <c r="N939" s="52"/>
      <c r="O939" s="25"/>
      <c r="P939" s="25"/>
    </row>
    <row r="940" spans="1:16" ht="30" customHeight="1">
      <c r="A940" s="61" t="s">
        <v>742</v>
      </c>
      <c r="B940" s="62" t="s">
        <v>26</v>
      </c>
      <c r="C940" s="63" t="s">
        <v>743</v>
      </c>
      <c r="D940" s="1219" t="str">
        <f>IFERROR(UPPER(IF(B940="CPU",VLOOKUP(C940,#REF!,2,0),IF(B940="SINAPI",VLOOKUP(C940,#REF!,2,0),IF(B940="EDIF",VLOOKUP(C940,#REF!,2,0),IF(B940="CDHU",VLOOKUP(C940,#REF!,2,0),IF(B940="FDE",VLOOKUP(C940,'FDE 10-23 '!$A$4:$E$3180,2,0),IF(B940="INFRA",VLOOKUP(C940,#REF!,2,0),""))))))),"")</f>
        <v>IL-58 ILUMINACAO P/ QUADRA DE ESP. COB. LAMP. VAPOR METALICO (1X250W)</v>
      </c>
      <c r="E940" s="65" t="str">
        <f>VLOOKUP(C940,'FDE 10-23 '!$A$4:$E$3180,3,0)</f>
        <v>UN</v>
      </c>
      <c r="F940" s="1112">
        <v>8</v>
      </c>
      <c r="G940" s="66" t="s">
        <v>26</v>
      </c>
      <c r="H940" s="1220" t="s">
        <v>1154</v>
      </c>
      <c r="I940" s="1235" t="s">
        <v>8547</v>
      </c>
      <c r="J940" s="66"/>
      <c r="K940" s="66"/>
      <c r="L940" s="1222"/>
      <c r="M940" s="51"/>
      <c r="N940" s="52"/>
      <c r="O940" s="25"/>
      <c r="P940" s="25"/>
    </row>
    <row r="941" spans="1:16" ht="30" customHeight="1">
      <c r="A941" s="61" t="s">
        <v>744</v>
      </c>
      <c r="B941" s="62" t="s">
        <v>26</v>
      </c>
      <c r="C941" s="63" t="s">
        <v>745</v>
      </c>
      <c r="D941" s="1219" t="str">
        <f>IFERROR(UPPER(IF(B941="CPU",VLOOKUP(C941,#REF!,2,0),IF(B941="SINAPI",VLOOKUP(C941,#REF!,2,0),IF(B941="EDIF",VLOOKUP(C941,#REF!,2,0),IF(B941="CDHU",VLOOKUP(C941,#REF!,2,0),IF(B941="FDE",VLOOKUP(C941,'FDE 10-23 '!$A$4:$E$3180,2,0),IF(B941="INFRA",VLOOKUP(C941,#REF!,2,0),""))))))),"")</f>
        <v>IL-05 ARANDELA BLINDADA</v>
      </c>
      <c r="E941" s="65" t="str">
        <f>VLOOKUP(C941,'FDE 10-23 '!$A$4:$E$3180,3,0)</f>
        <v>UN</v>
      </c>
      <c r="F941" s="1112">
        <v>1</v>
      </c>
      <c r="G941" s="66" t="s">
        <v>26</v>
      </c>
      <c r="H941" s="1220" t="s">
        <v>1155</v>
      </c>
      <c r="I941" s="1235" t="s">
        <v>8549</v>
      </c>
      <c r="J941" s="66"/>
      <c r="K941" s="66"/>
      <c r="L941" s="1222"/>
      <c r="M941" s="51"/>
      <c r="N941" s="52"/>
      <c r="O941" s="25"/>
      <c r="P941" s="25"/>
    </row>
    <row r="942" spans="1:16" ht="30" customHeight="1">
      <c r="A942" s="61" t="s">
        <v>746</v>
      </c>
      <c r="B942" s="62" t="s">
        <v>26</v>
      </c>
      <c r="C942" s="63" t="s">
        <v>747</v>
      </c>
      <c r="D942" s="1219" t="str">
        <f>IFERROR(UPPER(IF(B942="CPU",VLOOKUP(C942,#REF!,2,0),IF(B942="SINAPI",VLOOKUP(C942,#REF!,2,0),IF(B942="EDIF",VLOOKUP(C942,#REF!,2,0),IF(B942="CDHU",VLOOKUP(C942,#REF!,2,0),IF(B942="FDE",VLOOKUP(C942,'FDE 10-23 '!$A$4:$E$3180,2,0),IF(B942="INFRA",VLOOKUP(C942,#REF!,2,0),""))))))),"")</f>
        <v>IL-59 ILUMINAÇÃO P/PASSAGEM COBERTA E CIRCULAÇÕES</v>
      </c>
      <c r="E942" s="65" t="str">
        <f>VLOOKUP(C942,'FDE 10-23 '!$A$4:$E$3180,3,0)</f>
        <v>UN</v>
      </c>
      <c r="F942" s="1112">
        <v>4</v>
      </c>
      <c r="G942" s="66" t="s">
        <v>26</v>
      </c>
      <c r="H942" s="1220" t="s">
        <v>1156</v>
      </c>
      <c r="I942" s="1235" t="s">
        <v>8548</v>
      </c>
      <c r="J942" s="66"/>
      <c r="K942" s="66"/>
      <c r="L942" s="1222"/>
      <c r="M942" s="51"/>
      <c r="N942" s="52"/>
      <c r="O942" s="25"/>
      <c r="P942" s="25"/>
    </row>
    <row r="943" spans="1:16" ht="30" customHeight="1">
      <c r="A943" s="61" t="s">
        <v>748</v>
      </c>
      <c r="B943" s="62" t="s">
        <v>26</v>
      </c>
      <c r="C943" s="63" t="s">
        <v>749</v>
      </c>
      <c r="D943" s="1219" t="str">
        <f>IFERROR(UPPER(IF(B943="CPU",VLOOKUP(C943,#REF!,2,0),IF(B943="SINAPI",VLOOKUP(C943,#REF!,2,0),IF(B943="EDIF",VLOOKUP(C943,#REF!,2,0),IF(B943="CDHU",VLOOKUP(C943,#REF!,2,0),IF(B943="FDE",VLOOKUP(C943,'FDE 10-23 '!$A$4:$E$3180,2,0),IF(B943="INFRA",VLOOKUP(C943,#REF!,2,0),""))))))),"")</f>
        <v>IL-44 LUMINARIA PARA LAMPADA FLUORESCENTE (1X32W)</v>
      </c>
      <c r="E943" s="65" t="str">
        <f>VLOOKUP(C943,'FDE 10-23 '!$A$4:$E$3180,3,0)</f>
        <v>UN</v>
      </c>
      <c r="F943" s="1112">
        <v>4</v>
      </c>
      <c r="G943" s="66" t="s">
        <v>26</v>
      </c>
      <c r="H943" s="1220" t="s">
        <v>1157</v>
      </c>
      <c r="I943" s="1235" t="s">
        <v>8564</v>
      </c>
      <c r="J943" s="66"/>
      <c r="K943" s="66"/>
      <c r="L943" s="1222"/>
      <c r="M943" s="51"/>
      <c r="N943" s="52"/>
      <c r="O943" s="25"/>
      <c r="P943" s="25"/>
    </row>
    <row r="944" spans="1:16" ht="30" customHeight="1">
      <c r="A944" s="61" t="s">
        <v>750</v>
      </c>
      <c r="B944" s="62" t="s">
        <v>26</v>
      </c>
      <c r="C944" s="63" t="s">
        <v>751</v>
      </c>
      <c r="D944" s="1219" t="str">
        <f>IFERROR(UPPER(IF(B944="CPU",VLOOKUP(C944,#REF!,2,0),IF(B944="SINAPI",VLOOKUP(C944,#REF!,2,0),IF(B944="EDIF",VLOOKUP(C944,#REF!,2,0),IF(B944="CDHU",VLOOKUP(C944,#REF!,2,0),IF(B944="FDE",VLOOKUP(C944,'FDE 10-23 '!$A$4:$E$3180,2,0),IF(B944="INFRA",VLOOKUP(C944,#REF!,2,0),""))))))),"")</f>
        <v>IL-45 LUMINARIA PARA LAMPADA FLUORESCENTE (2X32W)</v>
      </c>
      <c r="E944" s="65" t="str">
        <f>VLOOKUP(C944,'FDE 10-23 '!$A$4:$E$3180,3,0)</f>
        <v>UN</v>
      </c>
      <c r="F944" s="1112">
        <v>51</v>
      </c>
      <c r="G944" s="66" t="s">
        <v>26</v>
      </c>
      <c r="H944" s="1220" t="s">
        <v>1158</v>
      </c>
      <c r="I944" s="1235" t="s">
        <v>8561</v>
      </c>
      <c r="J944" s="66"/>
      <c r="K944" s="66"/>
      <c r="L944" s="1222"/>
      <c r="M944" s="51"/>
      <c r="N944" s="52"/>
      <c r="O944" s="25"/>
      <c r="P944" s="25"/>
    </row>
    <row r="945" spans="1:16" ht="30" customHeight="1">
      <c r="A945" s="61" t="s">
        <v>752</v>
      </c>
      <c r="B945" s="62" t="s">
        <v>26</v>
      </c>
      <c r="C945" s="63" t="s">
        <v>753</v>
      </c>
      <c r="D945" s="1219" t="str">
        <f>IFERROR(UPPER(IF(B945="CPU",VLOOKUP(C945,#REF!,2,0),IF(B945="SINAPI",VLOOKUP(C945,#REF!,2,0),IF(B945="EDIF",VLOOKUP(C945,#REF!,2,0),IF(B945="CDHU",VLOOKUP(C945,#REF!,2,0),IF(B945="FDE",VLOOKUP(C945,'FDE 10-23 '!$A$4:$E$3180,2,0),IF(B945="INFRA",VLOOKUP(C945,#REF!,2,0),""))))))),"")</f>
        <v>IL-60 LUMINARIA DE SOBREPOR C/REFLETOR E ALETAS P/LAMP.FLUORESCENTE (2X32W)</v>
      </c>
      <c r="E945" s="65" t="str">
        <f>VLOOKUP(C945,'FDE 10-23 '!$A$4:$E$3180,3,0)</f>
        <v>UN</v>
      </c>
      <c r="F945" s="1112">
        <v>20</v>
      </c>
      <c r="G945" s="66" t="s">
        <v>26</v>
      </c>
      <c r="H945" s="1220" t="s">
        <v>1158</v>
      </c>
      <c r="I945" s="1235" t="s">
        <v>8561</v>
      </c>
      <c r="J945" s="66"/>
      <c r="K945" s="66"/>
      <c r="L945" s="1222"/>
      <c r="M945" s="51"/>
      <c r="N945" s="52"/>
      <c r="O945" s="25"/>
      <c r="P945" s="25"/>
    </row>
    <row r="946" spans="1:16" ht="30" customHeight="1">
      <c r="A946" s="61" t="s">
        <v>754</v>
      </c>
      <c r="B946" s="62" t="s">
        <v>26</v>
      </c>
      <c r="C946" s="63" t="s">
        <v>755</v>
      </c>
      <c r="D946" s="1219" t="str">
        <f>IFERROR(UPPER(IF(B946="CPU",VLOOKUP(C946,#REF!,2,0),IF(B946="SINAPI",VLOOKUP(C946,#REF!,2,0),IF(B946="EDIF",VLOOKUP(C946,#REF!,2,0),IF(B946="CDHU",VLOOKUP(C946,#REF!,2,0),IF(B946="FDE",VLOOKUP(C946,'FDE 10-23 '!$A$4:$E$3180,2,0),IF(B946="INFRA",VLOOKUP(C946,#REF!,2,0),""))))))),"")</f>
        <v>IL-61 LUMINARIA DE EMBUTIR C/ REFLETOR E ALETAS P/ LAMP. FLUORESCENTE (2X32W)</v>
      </c>
      <c r="E946" s="65" t="str">
        <f>VLOOKUP(C946,'FDE 10-23 '!$A$4:$E$3180,3,0)</f>
        <v>UN</v>
      </c>
      <c r="F946" s="1112">
        <v>48</v>
      </c>
      <c r="G946" s="66" t="s">
        <v>26</v>
      </c>
      <c r="H946" s="1220" t="s">
        <v>1159</v>
      </c>
      <c r="I946" s="1235" t="s">
        <v>8572</v>
      </c>
      <c r="J946" s="66"/>
      <c r="K946" s="66"/>
      <c r="L946" s="1222"/>
      <c r="M946" s="51"/>
      <c r="N946" s="52"/>
      <c r="O946" s="25"/>
      <c r="P946" s="25"/>
    </row>
    <row r="947" spans="1:16" ht="30" customHeight="1">
      <c r="A947" s="61" t="s">
        <v>756</v>
      </c>
      <c r="B947" s="62" t="s">
        <v>26</v>
      </c>
      <c r="C947" s="63" t="s">
        <v>757</v>
      </c>
      <c r="D947" s="1219" t="str">
        <f>IFERROR(UPPER(IF(B947="CPU",VLOOKUP(C947,#REF!,2,0),IF(B947="SINAPI",VLOOKUP(C947,#REF!,2,0),IF(B947="EDIF",VLOOKUP(C947,#REF!,2,0),IF(B947="CDHU",VLOOKUP(C947,#REF!,2,0),IF(B947="FDE",VLOOKUP(C947,'FDE 10-23 '!$A$4:$E$3180,2,0),IF(B947="INFRA",VLOOKUP(C947,#REF!,2,0),""))))))),"")</f>
        <v>IL-67 LUMINÁRIA DE EMBUTIR C/REFLETOR SEM ALETAS (2X32W)</v>
      </c>
      <c r="E947" s="65" t="str">
        <f>VLOOKUP(C947,'FDE 10-23 '!$A$4:$E$3180,3,0)</f>
        <v>UN</v>
      </c>
      <c r="F947" s="1112">
        <v>96</v>
      </c>
      <c r="G947" s="66" t="s">
        <v>26</v>
      </c>
      <c r="H947" s="1220" t="s">
        <v>1157</v>
      </c>
      <c r="I947" s="1235" t="s">
        <v>8572</v>
      </c>
      <c r="J947" s="66"/>
      <c r="K947" s="66"/>
      <c r="L947" s="1222"/>
      <c r="M947" s="51"/>
      <c r="N947" s="52"/>
      <c r="O947" s="25"/>
      <c r="P947" s="25"/>
    </row>
    <row r="948" spans="1:16" ht="30" customHeight="1">
      <c r="A948" s="61" t="s">
        <v>758</v>
      </c>
      <c r="B948" s="62" t="s">
        <v>26</v>
      </c>
      <c r="C948" s="63" t="s">
        <v>759</v>
      </c>
      <c r="D948" s="1219" t="str">
        <f>IFERROR(UPPER(IF(B948="CPU",VLOOKUP(C948,#REF!,2,0),IF(B948="SINAPI",VLOOKUP(C948,#REF!,2,0),IF(B948="EDIF",VLOOKUP(C948,#REF!,2,0),IF(B948="CDHU",VLOOKUP(C948,#REF!,2,0),IF(B948="FDE",VLOOKUP(C948,'FDE 10-23 '!$A$4:$E$3180,2,0),IF(B948="INFRA",VLOOKUP(C948,#REF!,2,0),""))))))),"")</f>
        <v>IL-74 LUMINARIA ABERTA C/REFLETOR P/LAMPADAS FLUOR. (2X28W)</v>
      </c>
      <c r="E948" s="65" t="str">
        <f>VLOOKUP(C948,'FDE 10-23 '!$A$4:$E$3180,3,0)</f>
        <v>UN</v>
      </c>
      <c r="F948" s="1112">
        <v>3</v>
      </c>
      <c r="G948" s="66"/>
      <c r="H948" s="1220" t="s">
        <v>761</v>
      </c>
      <c r="I948" s="1235" t="s">
        <v>8564</v>
      </c>
      <c r="J948" s="66"/>
      <c r="K948" s="66"/>
      <c r="L948" s="1222"/>
      <c r="M948" s="51"/>
      <c r="N948" s="52"/>
      <c r="O948" s="25"/>
      <c r="P948" s="25"/>
    </row>
    <row r="949" spans="1:16" ht="30" customHeight="1">
      <c r="A949" s="61" t="s">
        <v>760</v>
      </c>
      <c r="B949" s="62" t="s">
        <v>26</v>
      </c>
      <c r="C949" s="63" t="s">
        <v>761</v>
      </c>
      <c r="D949" s="1219" t="str">
        <f>IFERROR(UPPER(IF(B949="CPU",VLOOKUP(C949,#REF!,2,0),IF(B949="SINAPI",VLOOKUP(C949,#REF!,2,0),IF(B949="EDIF",VLOOKUP(C949,#REF!,2,0),IF(B949="CDHU",VLOOKUP(C949,#REF!,2,0),IF(B949="FDE",VLOOKUP(C949,'FDE 10-23 '!$A$4:$E$3180,2,0),IF(B949="INFRA",VLOOKUP(C949,#REF!,2,0),""))))))),"")</f>
        <v>IL-83 ILUMINAÇÃO AUTONOMA DE EMERGÊNCIA - LED</v>
      </c>
      <c r="E949" s="65" t="str">
        <f>VLOOKUP(C949,'FDE 10-23 '!$A$4:$E$3180,3,0)</f>
        <v>UN</v>
      </c>
      <c r="F949" s="1112">
        <v>19</v>
      </c>
      <c r="G949" s="66"/>
      <c r="H949" s="1220" t="s">
        <v>761</v>
      </c>
      <c r="I949" s="1235" t="s">
        <v>8623</v>
      </c>
      <c r="J949" s="66"/>
      <c r="K949" s="66"/>
      <c r="L949" s="1222"/>
      <c r="M949" s="51"/>
      <c r="N949" s="52"/>
      <c r="O949" s="25"/>
      <c r="P949" s="25"/>
    </row>
    <row r="950" spans="1:16" ht="30" customHeight="1">
      <c r="A950" s="61"/>
      <c r="B950" s="62"/>
      <c r="C950" s="63"/>
      <c r="D950" s="1219" t="s">
        <v>11045</v>
      </c>
      <c r="E950" s="1237" t="s">
        <v>11042</v>
      </c>
      <c r="F950" s="1112"/>
      <c r="G950" s="66"/>
      <c r="H950" s="1220"/>
      <c r="I950" s="66"/>
      <c r="J950" s="66"/>
      <c r="K950" s="66"/>
      <c r="L950" s="1222"/>
      <c r="M950" s="51"/>
      <c r="N950" s="52"/>
      <c r="O950" s="25"/>
      <c r="P950" s="25"/>
    </row>
    <row r="951" spans="1:16" ht="30" customHeight="1">
      <c r="A951" s="53" t="s">
        <v>762</v>
      </c>
      <c r="B951" s="54"/>
      <c r="C951" s="54" t="s">
        <v>763</v>
      </c>
      <c r="D951" s="1216" t="s">
        <v>764</v>
      </c>
      <c r="E951" s="56" t="str">
        <f>IFERROR(UPPER(IF(B951="CPU",VLOOKUP(C951,#REF!,3,0),IF(B951="SINAPI",VLOOKUP(C951,#REF!,3,0),IF(B951="EDIF",VLOOKUP(C951,#REF!,3,0),IF(B951="CDHU",VLOOKUP(C951,#REF!,3,0),IF(B951="FDE",VLOOKUP(C951,#REF!,3,0),IF(B951="INFRA",VLOOKUP(C951,#REF!,3,0),""))))))),"")</f>
        <v/>
      </c>
      <c r="F951" s="1232"/>
      <c r="G951" s="57"/>
      <c r="H951" s="1217"/>
      <c r="I951" s="1217"/>
      <c r="J951" s="1217"/>
      <c r="K951" s="1217"/>
      <c r="L951" s="1218"/>
      <c r="M951" s="51"/>
      <c r="N951" s="52"/>
      <c r="O951" s="25"/>
      <c r="P951" s="25"/>
    </row>
    <row r="952" spans="1:16" ht="30" customHeight="1">
      <c r="A952" s="61" t="s">
        <v>765</v>
      </c>
      <c r="B952" s="62" t="s">
        <v>26</v>
      </c>
      <c r="C952" s="63" t="s">
        <v>766</v>
      </c>
      <c r="D952" s="1219" t="str">
        <f>IFERROR(UPPER(IF(B952="CPU",VLOOKUP(C952,#REF!,2,0),IF(B952="SINAPI",VLOOKUP(C952,#REF!,2,0),IF(B952="EDIF",VLOOKUP(C952,#REF!,2,0),IF(B952="CDHU",VLOOKUP(C952,#REF!,2,0),IF(B952="FDE",VLOOKUP(C952,'FDE 10-23 '!$A$4:$E$3180,2,0),IF(B952="INFRA",VLOOKUP(C952,#REF!,2,0),""))))))),"")</f>
        <v>CENTRO DE LUZ EM CAIXA FM ELETRODUTO DE PVC</v>
      </c>
      <c r="E952" s="65" t="str">
        <f>VLOOKUP(C952,'FDE 10-23 '!$A$4:$E$3180,3,0)</f>
        <v>UN</v>
      </c>
      <c r="F952" s="1112">
        <v>15</v>
      </c>
      <c r="G952" s="66"/>
      <c r="H952" s="1220"/>
      <c r="I952" s="66"/>
      <c r="J952" s="66"/>
      <c r="K952" s="66"/>
      <c r="L952" s="1222"/>
      <c r="M952" s="51"/>
      <c r="N952" s="52"/>
      <c r="O952" s="25"/>
      <c r="P952" s="25"/>
    </row>
    <row r="953" spans="1:16" ht="30" customHeight="1">
      <c r="A953" s="61" t="s">
        <v>767</v>
      </c>
      <c r="B953" s="62" t="s">
        <v>26</v>
      </c>
      <c r="C953" s="63" t="s">
        <v>768</v>
      </c>
      <c r="D953" s="1219" t="str">
        <f>IFERROR(UPPER(IF(B953="CPU",VLOOKUP(C953,#REF!,2,0),IF(B953="SINAPI",VLOOKUP(C953,#REF!,2,0),IF(B953="EDIF",VLOOKUP(C953,#REF!,2,0),IF(B953="CDHU",VLOOKUP(C953,#REF!,2,0),IF(B953="FDE",VLOOKUP(C953,'FDE 10-23 '!$A$4:$E$3180,2,0),IF(B953="INFRA",VLOOKUP(C953,#REF!,2,0),""))))))),"")</f>
        <v>CENTRO DE LUZ EM CONDULETE-ELETRODUTO DE PVC</v>
      </c>
      <c r="E953" s="65" t="str">
        <f>VLOOKUP(C953,'FDE 10-23 '!$A$4:$E$3180,3,0)</f>
        <v>UN</v>
      </c>
      <c r="F953" s="1112">
        <v>283</v>
      </c>
      <c r="G953" s="66"/>
      <c r="H953" s="1220"/>
      <c r="I953" s="66"/>
      <c r="J953" s="66"/>
      <c r="K953" s="66"/>
      <c r="L953" s="1222"/>
      <c r="M953" s="51"/>
      <c r="N953" s="52"/>
      <c r="O953" s="25"/>
      <c r="P953" s="25"/>
    </row>
    <row r="954" spans="1:16" ht="30" customHeight="1">
      <c r="A954" s="61"/>
      <c r="B954" s="62"/>
      <c r="C954" s="63"/>
      <c r="D954" s="1219" t="s">
        <v>11042</v>
      </c>
      <c r="E954" s="65"/>
      <c r="F954" s="1112"/>
      <c r="G954" s="66"/>
      <c r="H954" s="1220"/>
      <c r="I954" s="66"/>
      <c r="J954" s="66"/>
      <c r="K954" s="66"/>
      <c r="L954" s="1222"/>
      <c r="M954" s="51"/>
      <c r="N954" s="52"/>
      <c r="O954" s="25"/>
      <c r="P954" s="25"/>
    </row>
    <row r="955" spans="1:16" ht="30" customHeight="1">
      <c r="A955" s="53" t="s">
        <v>769</v>
      </c>
      <c r="B955" s="54"/>
      <c r="C955" s="54" t="s">
        <v>770</v>
      </c>
      <c r="D955" s="1216" t="s">
        <v>771</v>
      </c>
      <c r="E955" s="56" t="str">
        <f>IFERROR(UPPER(IF(B955="CPU",VLOOKUP(C955,#REF!,3,0),IF(B955="SINAPI",VLOOKUP(C955,#REF!,3,0),IF(B955="EDIF",VLOOKUP(C955,#REF!,3,0),IF(B955="CDHU",VLOOKUP(C955,#REF!,3,0),IF(B955="FDE",VLOOKUP(C955,#REF!,3,0),IF(B955="INFRA",VLOOKUP(C955,#REF!,3,0),""))))))),"")</f>
        <v/>
      </c>
      <c r="F955" s="1234"/>
      <c r="G955" s="57"/>
      <c r="H955" s="1217"/>
      <c r="I955" s="1217"/>
      <c r="J955" s="1217"/>
      <c r="K955" s="1217"/>
      <c r="L955" s="1218"/>
      <c r="M955" s="51"/>
      <c r="N955" s="52"/>
      <c r="O955" s="25"/>
      <c r="P955" s="25"/>
    </row>
    <row r="956" spans="1:16" ht="30" customHeight="1">
      <c r="A956" s="61" t="s">
        <v>772</v>
      </c>
      <c r="B956" s="62" t="s">
        <v>26</v>
      </c>
      <c r="C956" s="63" t="s">
        <v>773</v>
      </c>
      <c r="D956" s="1219" t="str">
        <f>IFERROR(UPPER(IF(B956="CPU",VLOOKUP(C956,#REF!,2,0),IF(B956="SINAPI",VLOOKUP(C956,#REF!,2,0),IF(B956="EDIF",VLOOKUP(C956,#REF!,2,0),IF(B956="CDHU",VLOOKUP(C956,#REF!,2,0),IF(B956="FDE",VLOOKUP(C956,'FDE 10-23 '!$A$4:$E$3180,2,0),IF(B956="INFRA",VLOOKUP(C956,#REF!,2,0),""))))))),"")</f>
        <v>IL-06 LUZ DE OBSTACULO COM LAMPADA</v>
      </c>
      <c r="E956" s="65" t="str">
        <f>VLOOKUP(C956,'FDE 10-23 '!$A$4:$E$3180,3,0)</f>
        <v>UN</v>
      </c>
      <c r="F956" s="1112">
        <v>1</v>
      </c>
      <c r="G956" s="66"/>
      <c r="H956" s="1220"/>
      <c r="I956" s="66"/>
      <c r="J956" s="66"/>
      <c r="K956" s="66"/>
      <c r="L956" s="1222"/>
      <c r="M956" s="51"/>
      <c r="N956" s="52"/>
      <c r="O956" s="25"/>
      <c r="P956" s="25"/>
    </row>
    <row r="957" spans="1:16" ht="30" customHeight="1">
      <c r="A957" s="61" t="s">
        <v>774</v>
      </c>
      <c r="B957" s="62" t="s">
        <v>26</v>
      </c>
      <c r="C957" s="63" t="s">
        <v>775</v>
      </c>
      <c r="D957" s="1219" t="str">
        <f>IFERROR(UPPER(IF(B957="CPU",VLOOKUP(C957,#REF!,2,0),IF(B957="SINAPI",VLOOKUP(C957,#REF!,2,0),IF(B957="EDIF",VLOOKUP(C957,#REF!,2,0),IF(B957="CDHU",VLOOKUP(C957,#REF!,2,0),IF(B957="FDE",VLOOKUP(C957,'FDE 10-23 '!$A$4:$E$3180,2,0),IF(B957="INFRA",VLOOKUP(C957,#REF!,2,0),""))))))),"")</f>
        <v>IL-53 LUMINARIA P/ VAPOR DE SODIO 1X150W EM POSTE 6M</v>
      </c>
      <c r="E957" s="65" t="str">
        <f>VLOOKUP(C957,'FDE 10-23 '!$A$4:$E$3180,3,0)</f>
        <v>UN</v>
      </c>
      <c r="F957" s="1112">
        <v>6</v>
      </c>
      <c r="G957" s="66"/>
      <c r="H957" s="1220"/>
      <c r="I957" s="66"/>
      <c r="J957" s="66"/>
      <c r="K957" s="66"/>
      <c r="L957" s="1222"/>
      <c r="M957" s="51"/>
      <c r="N957" s="52"/>
      <c r="O957" s="25"/>
      <c r="P957" s="25"/>
    </row>
    <row r="958" spans="1:16" ht="30" customHeight="1">
      <c r="A958" s="61" t="s">
        <v>776</v>
      </c>
      <c r="B958" s="62" t="s">
        <v>26</v>
      </c>
      <c r="C958" s="63" t="s">
        <v>741</v>
      </c>
      <c r="D958" s="1219" t="str">
        <f>IFERROR(UPPER(IF(B958="CPU",VLOOKUP(C958,#REF!,2,0),IF(B958="SINAPI",VLOOKUP(C958,#REF!,2,0),IF(B958="EDIF",VLOOKUP(C958,#REF!,2,0),IF(B958="CDHU",VLOOKUP(C958,#REF!,2,0),IF(B958="FDE",VLOOKUP(C958,'FDE 10-23 '!$A$4:$E$3180,2,0),IF(B958="INFRA",VLOOKUP(C958,#REF!,2,0),""))))))),"")</f>
        <v>IL-57 REFLETOR C/ GRADE P/ VAPOR MET 150W</v>
      </c>
      <c r="E958" s="65" t="str">
        <f>VLOOKUP(C958,'FDE 10-23 '!$A$4:$E$3180,3,0)</f>
        <v>UN</v>
      </c>
      <c r="F958" s="1112">
        <v>8</v>
      </c>
      <c r="G958" s="66"/>
      <c r="H958" s="1220"/>
      <c r="I958" s="66"/>
      <c r="J958" s="66"/>
      <c r="K958" s="66"/>
      <c r="L958" s="1222"/>
      <c r="M958" s="51"/>
      <c r="N958" s="52"/>
      <c r="O958" s="25"/>
      <c r="P958" s="25"/>
    </row>
    <row r="959" spans="1:16" ht="30" customHeight="1">
      <c r="A959" s="61"/>
      <c r="B959" s="62"/>
      <c r="C959" s="63"/>
      <c r="D959" s="1219" t="s">
        <v>11045</v>
      </c>
      <c r="E959" s="65"/>
      <c r="F959" s="88"/>
      <c r="G959" s="66"/>
      <c r="H959" s="1220"/>
      <c r="I959" s="66"/>
      <c r="J959" s="66"/>
      <c r="K959" s="66"/>
      <c r="L959" s="1222"/>
      <c r="M959" s="51"/>
      <c r="N959" s="52"/>
      <c r="O959" s="25"/>
      <c r="P959" s="25"/>
    </row>
    <row r="960" spans="1:16" ht="30" customHeight="1">
      <c r="A960" s="53" t="s">
        <v>777</v>
      </c>
      <c r="B960" s="54"/>
      <c r="C960" s="54" t="s">
        <v>778</v>
      </c>
      <c r="D960" s="1216" t="s">
        <v>779</v>
      </c>
      <c r="E960" s="56" t="str">
        <f>IFERROR(UPPER(IF(B960="CPU",VLOOKUP(C960,#REF!,3,0),IF(B960="SINAPI",VLOOKUP(C960,#REF!,3,0),IF(B960="EDIF",VLOOKUP(C960,#REF!,3,0),IF(B960="CDHU",VLOOKUP(C960,#REF!,3,0),IF(B960="FDE",VLOOKUP(C960,#REF!,3,0),IF(B960="INFRA",VLOOKUP(C960,#REF!,3,0),""))))))),"")</f>
        <v/>
      </c>
      <c r="F960" s="1232"/>
      <c r="G960" s="57"/>
      <c r="H960" s="1217"/>
      <c r="I960" s="1217"/>
      <c r="J960" s="1217"/>
      <c r="K960" s="1217"/>
      <c r="L960" s="1218"/>
      <c r="M960" s="51"/>
      <c r="N960" s="52"/>
      <c r="O960" s="25"/>
      <c r="P960" s="25"/>
    </row>
    <row r="961" spans="1:16" ht="30" customHeight="1">
      <c r="A961" s="61" t="s">
        <v>780</v>
      </c>
      <c r="B961" s="62" t="s">
        <v>26</v>
      </c>
      <c r="C961" s="63" t="s">
        <v>781</v>
      </c>
      <c r="D961" s="1219" t="str">
        <f>IFERROR(UPPER(IF(B961="CPU",VLOOKUP(C961,#REF!,2,0),IF(B961="SINAPI",VLOOKUP(C961,#REF!,2,0),IF(B961="EDIF",VLOOKUP(C961,#REF!,2,0),IF(B961="CDHU",VLOOKUP(C961,#REF!,2,0),IF(B961="FDE",VLOOKUP(C961,'FDE 10-23 '!$A$4:$E$3180,2,0),IF(B961="INFRA",VLOOKUP(C961,#REF!,2,0),""))))))),"")</f>
        <v>EX-01 EXAUSTOR AXIAL DN 40CM</v>
      </c>
      <c r="E961" s="65" t="str">
        <f>VLOOKUP(C961,'FDE 10-23 '!$A$4:$E$3180,3,0)</f>
        <v>UN</v>
      </c>
      <c r="F961" s="1112">
        <v>1</v>
      </c>
      <c r="G961" s="66"/>
      <c r="H961" s="1220"/>
      <c r="I961" s="66"/>
      <c r="J961" s="66"/>
      <c r="K961" s="66"/>
      <c r="L961" s="1222"/>
      <c r="M961" s="51"/>
      <c r="N961" s="52"/>
      <c r="O961" s="25"/>
      <c r="P961" s="25"/>
    </row>
    <row r="962" spans="1:16" ht="30" customHeight="1">
      <c r="A962" s="61"/>
      <c r="B962" s="62"/>
      <c r="C962" s="63"/>
      <c r="D962" s="1219" t="s">
        <v>11042</v>
      </c>
      <c r="E962" s="65"/>
      <c r="F962" s="88"/>
      <c r="G962" s="66"/>
      <c r="H962" s="1220"/>
      <c r="I962" s="66"/>
      <c r="J962" s="66"/>
      <c r="K962" s="66"/>
      <c r="L962" s="1222"/>
      <c r="M962" s="51"/>
      <c r="N962" s="52"/>
      <c r="O962" s="25"/>
      <c r="P962" s="25"/>
    </row>
    <row r="963" spans="1:16" ht="30" customHeight="1">
      <c r="A963" s="53" t="s">
        <v>782</v>
      </c>
      <c r="B963" s="54"/>
      <c r="C963" s="54" t="s">
        <v>783</v>
      </c>
      <c r="D963" s="1216" t="s">
        <v>784</v>
      </c>
      <c r="E963" s="56" t="str">
        <f>IFERROR(UPPER(IF(B963="CPU",VLOOKUP(C963,#REF!,3,0),IF(B963="SINAPI",VLOOKUP(C963,#REF!,3,0),IF(B963="EDIF",VLOOKUP(C963,#REF!,3,0),IF(B963="CDHU",VLOOKUP(C963,#REF!,3,0),IF(B963="FDE",VLOOKUP(C963,#REF!,3,0),IF(B963="INFRA",VLOOKUP(C963,#REF!,3,0),""))))))),"")</f>
        <v/>
      </c>
      <c r="F963" s="1232"/>
      <c r="G963" s="57"/>
      <c r="H963" s="1217"/>
      <c r="I963" s="1217"/>
      <c r="J963" s="1217"/>
      <c r="K963" s="1217"/>
      <c r="L963" s="1218"/>
      <c r="M963" s="51"/>
      <c r="N963" s="52"/>
      <c r="O963" s="25"/>
      <c r="P963" s="25"/>
    </row>
    <row r="964" spans="1:16" ht="30" customHeight="1">
      <c r="A964" s="61" t="s">
        <v>785</v>
      </c>
      <c r="B964" s="62" t="s">
        <v>26</v>
      </c>
      <c r="C964" s="63" t="s">
        <v>786</v>
      </c>
      <c r="D964" s="1219" t="str">
        <f>IFERROR(UPPER(IF(B964="CPU",VLOOKUP(C964,#REF!,2,0),IF(B964="SINAPI",VLOOKUP(C964,#REF!,2,0),IF(B964="EDIF",VLOOKUP(C964,#REF!,2,0),IF(B964="CDHU",VLOOKUP(C964,#REF!,2,0),IF(B964="FDE",VLOOKUP(C964,'FDE 10-23 '!$A$4:$E$3180,2,0),IF(B964="INFRA",VLOOKUP(C964,#REF!,2,0),""))))))),"")</f>
        <v>PP-02 PARA RAIOS FRANKLIN COM MASTRO AÇO GALVANIZADO 02" X 3,00M</v>
      </c>
      <c r="E964" s="65" t="str">
        <f>VLOOKUP(C964,'FDE 10-23 '!$A$4:$E$3180,3,0)</f>
        <v>UN</v>
      </c>
      <c r="F964" s="1112">
        <v>1</v>
      </c>
      <c r="G964" s="66"/>
      <c r="H964" s="1220"/>
      <c r="I964" s="66"/>
      <c r="J964" s="66"/>
      <c r="K964" s="66"/>
      <c r="L964" s="1222"/>
      <c r="M964" s="51"/>
      <c r="N964" s="52"/>
      <c r="O964" s="25"/>
      <c r="P964" s="25"/>
    </row>
    <row r="965" spans="1:16" ht="30" customHeight="1">
      <c r="A965" s="61" t="s">
        <v>787</v>
      </c>
      <c r="B965" s="62" t="s">
        <v>26</v>
      </c>
      <c r="C965" s="63" t="s">
        <v>788</v>
      </c>
      <c r="D965" s="1219" t="str">
        <f>IFERROR(UPPER(IF(B965="CPU",VLOOKUP(C965,#REF!,2,0),IF(B965="SINAPI",VLOOKUP(C965,#REF!,2,0),IF(B965="EDIF",VLOOKUP(C965,#REF!,2,0),IF(B965="CDHU",VLOOKUP(C965,#REF!,2,0),IF(B965="FDE",VLOOKUP(C965,'FDE 10-23 '!$A$4:$E$3180,2,0),IF(B965="INFRA",VLOOKUP(C965,#REF!,2,0),""))))))),"")</f>
        <v>CORDOALHA DE AÇO GALV. A QUENTE 80MM2 (7/16") SOB A TERRA</v>
      </c>
      <c r="E965" s="65" t="str">
        <f>VLOOKUP(C965,'FDE 10-23 '!$A$4:$E$3180,3,0)</f>
        <v>M</v>
      </c>
      <c r="F965" s="1112">
        <v>366</v>
      </c>
      <c r="G965" s="66"/>
      <c r="H965" s="1220"/>
      <c r="I965" s="66"/>
      <c r="J965" s="66"/>
      <c r="K965" s="66"/>
      <c r="L965" s="1222"/>
      <c r="M965" s="51"/>
      <c r="N965" s="52"/>
      <c r="O965" s="25"/>
      <c r="P965" s="25"/>
    </row>
    <row r="966" spans="1:16" ht="30" customHeight="1">
      <c r="A966" s="61" t="s">
        <v>789</v>
      </c>
      <c r="B966" s="62" t="s">
        <v>26</v>
      </c>
      <c r="C966" s="63" t="s">
        <v>790</v>
      </c>
      <c r="D966" s="1219" t="str">
        <f>IFERROR(UPPER(IF(B966="CPU",VLOOKUP(C966,#REF!,2,0),IF(B966="SINAPI",VLOOKUP(C966,#REF!,2,0),IF(B966="EDIF",VLOOKUP(C966,#REF!,2,0),IF(B966="CDHU",VLOOKUP(C966,#REF!,2,0),IF(B966="FDE",VLOOKUP(C966,'FDE 10-23 '!$A$4:$E$3180,2,0),IF(B966="INFRA",VLOOKUP(C966,#REF!,2,0),""))))))),"")</f>
        <v>TERRA SIMPLES - 1 HASTE COM CAIXA DE INSPEÇÃO E TAMPA DE CONCRETO</v>
      </c>
      <c r="E966" s="65" t="str">
        <f>VLOOKUP(C966,'FDE 10-23 '!$A$4:$E$3180,3,0)</f>
        <v>UN</v>
      </c>
      <c r="F966" s="1112">
        <v>24</v>
      </c>
      <c r="G966" s="66"/>
      <c r="H966" s="1220"/>
      <c r="I966" s="66"/>
      <c r="J966" s="66"/>
      <c r="K966" s="66"/>
      <c r="L966" s="1222"/>
      <c r="M966" s="51"/>
      <c r="N966" s="52"/>
      <c r="O966" s="25"/>
      <c r="P966" s="25"/>
    </row>
    <row r="967" spans="1:16" ht="30" customHeight="1">
      <c r="A967" s="61" t="s">
        <v>791</v>
      </c>
      <c r="B967" s="62" t="s">
        <v>26</v>
      </c>
      <c r="C967" s="63" t="s">
        <v>792</v>
      </c>
      <c r="D967" s="1219" t="str">
        <f>IFERROR(UPPER(IF(B967="CPU",VLOOKUP(C967,#REF!,2,0),IF(B967="SINAPI",VLOOKUP(C967,#REF!,2,0),IF(B967="EDIF",VLOOKUP(C967,#REF!,2,0),IF(B967="CDHU",VLOOKUP(C967,#REF!,2,0),IF(B967="FDE",VLOOKUP(C967,'FDE 10-23 '!$A$4:$E$3180,2,0),IF(B967="INFRA",VLOOKUP(C967,#REF!,2,0),""))))))),"")</f>
        <v>CONEXAO EXOTERMICA CABO/CABO</v>
      </c>
      <c r="E967" s="65" t="str">
        <f>VLOOKUP(C967,'FDE 10-23 '!$A$4:$E$3180,3,0)</f>
        <v>UN</v>
      </c>
      <c r="F967" s="1112">
        <v>16</v>
      </c>
      <c r="G967" s="66"/>
      <c r="H967" s="1220"/>
      <c r="I967" s="66"/>
      <c r="J967" s="66"/>
      <c r="K967" s="66"/>
      <c r="L967" s="1222"/>
      <c r="M967" s="51"/>
      <c r="N967" s="52"/>
      <c r="O967" s="25"/>
      <c r="P967" s="25"/>
    </row>
    <row r="968" spans="1:16" ht="30" customHeight="1">
      <c r="A968" s="61" t="s">
        <v>793</v>
      </c>
      <c r="B968" s="62" t="s">
        <v>26</v>
      </c>
      <c r="C968" s="63" t="s">
        <v>794</v>
      </c>
      <c r="D968" s="1219" t="str">
        <f>IFERROR(UPPER(IF(B968="CPU",VLOOKUP(C968,#REF!,2,0),IF(B968="SINAPI",VLOOKUP(C968,#REF!,2,0),IF(B968="EDIF",VLOOKUP(C968,#REF!,2,0),IF(B968="CDHU",VLOOKUP(C968,#REF!,2,0),IF(B968="FDE",VLOOKUP(C968,'FDE 10-23 '!$A$4:$E$3180,2,0),IF(B968="INFRA",VLOOKUP(C968,#REF!,2,0),""))))))),"")</f>
        <v>CONEXAO EXOTERMICA CABO/HASTE</v>
      </c>
      <c r="E968" s="65" t="str">
        <f>VLOOKUP(C968,'FDE 10-23 '!$A$4:$E$3180,3,0)</f>
        <v>UN</v>
      </c>
      <c r="F968" s="1112">
        <v>25</v>
      </c>
      <c r="G968" s="66"/>
      <c r="H968" s="1220"/>
      <c r="I968" s="66"/>
      <c r="J968" s="66"/>
      <c r="K968" s="66"/>
      <c r="L968" s="1222"/>
      <c r="M968" s="51"/>
      <c r="N968" s="52"/>
      <c r="O968" s="25"/>
      <c r="P968" s="25"/>
    </row>
    <row r="969" spans="1:16" ht="30" customHeight="1">
      <c r="A969" s="61" t="s">
        <v>795</v>
      </c>
      <c r="B969" s="62" t="s">
        <v>26</v>
      </c>
      <c r="C969" s="63" t="s">
        <v>796</v>
      </c>
      <c r="D969" s="1219" t="str">
        <f>IFERROR(UPPER(IF(B969="CPU",VLOOKUP(C969,#REF!,2,0),IF(B969="SINAPI",VLOOKUP(C969,#REF!,2,0),IF(B969="EDIF",VLOOKUP(C969,#REF!,2,0),IF(B969="CDHU",VLOOKUP(C969,#REF!,2,0),IF(B969="FDE",VLOOKUP(C969,'FDE 10-23 '!$A$4:$E$3180,2,0),IF(B969="INFRA",VLOOKUP(C969,#REF!,2,0),""))))))),"")</f>
        <v>CONEXAO EXOTERMICA EM ESTRUTURA METALICA</v>
      </c>
      <c r="E969" s="65" t="str">
        <f>VLOOKUP(C969,'FDE 10-23 '!$A$4:$E$3180,3,0)</f>
        <v>UN</v>
      </c>
      <c r="F969" s="1112">
        <v>14</v>
      </c>
      <c r="G969" s="66"/>
      <c r="H969" s="1220"/>
      <c r="I969" s="66"/>
      <c r="J969" s="66"/>
      <c r="K969" s="66"/>
      <c r="L969" s="1222"/>
      <c r="M969" s="51"/>
      <c r="N969" s="52"/>
      <c r="O969" s="25"/>
      <c r="P969" s="25"/>
    </row>
    <row r="970" spans="1:16" ht="30" customHeight="1">
      <c r="A970" s="61" t="s">
        <v>797</v>
      </c>
      <c r="B970" s="62" t="s">
        <v>26</v>
      </c>
      <c r="C970" s="63" t="s">
        <v>798</v>
      </c>
      <c r="D970" s="1219" t="str">
        <f>IFERROR(UPPER(IF(B970="CPU",VLOOKUP(C970,#REF!,2,0),IF(B970="SINAPI",VLOOKUP(C970,#REF!,2,0),IF(B970="EDIF",VLOOKUP(C970,#REF!,2,0),IF(B970="CDHU",VLOOKUP(C970,#REF!,2,0),IF(B970="FDE",VLOOKUP(C970,'FDE 10-23 '!$A$4:$E$3180,2,0),IF(B970="INFRA",VLOOKUP(C970,#REF!,2,0),""))))))),"")</f>
        <v>TUBO DE PVC Ø 2'' X 3,00M PARA PROTEÇAO  DESCIDA DE CORDOALHA</v>
      </c>
      <c r="E970" s="65" t="str">
        <f>VLOOKUP(C970,'FDE 10-23 '!$A$4:$E$3180,3,0)</f>
        <v>UN</v>
      </c>
      <c r="F970" s="1112">
        <v>16</v>
      </c>
      <c r="G970" s="66"/>
      <c r="H970" s="1220"/>
      <c r="I970" s="66"/>
      <c r="J970" s="66"/>
      <c r="K970" s="66"/>
      <c r="L970" s="1222"/>
      <c r="M970" s="51"/>
      <c r="N970" s="52"/>
      <c r="O970" s="25"/>
      <c r="P970" s="25"/>
    </row>
    <row r="971" spans="1:16" ht="30" customHeight="1">
      <c r="A971" s="61" t="s">
        <v>799</v>
      </c>
      <c r="B971" s="62" t="s">
        <v>26</v>
      </c>
      <c r="C971" s="63" t="s">
        <v>800</v>
      </c>
      <c r="D971" s="1219" t="str">
        <f>IFERROR(UPPER(IF(B971="CPU",VLOOKUP(C971,#REF!,2,0),IF(B971="SINAPI",VLOOKUP(C971,#REF!,2,0),IF(B971="EDIF",VLOOKUP(C971,#REF!,2,0),IF(B971="CDHU",VLOOKUP(C971,#REF!,2,0),IF(B971="FDE",VLOOKUP(C971,'FDE 10-23 '!$A$4:$E$3180,2,0),IF(B971="INFRA",VLOOKUP(C971,#REF!,2,0),""))))))),"")</f>
        <v>CORDOALHA DE AÇO GALV. A QUENTE 50 MM2 (3/8") C/SUPORTE.DE FIXAÇÃO.</v>
      </c>
      <c r="E971" s="65" t="str">
        <f>VLOOKUP(C971,'FDE 10-23 '!$A$4:$E$3180,3,0)</f>
        <v>M</v>
      </c>
      <c r="F971" s="1112">
        <v>497</v>
      </c>
      <c r="G971" s="66"/>
      <c r="H971" s="1220"/>
      <c r="I971" s="66"/>
      <c r="J971" s="66"/>
      <c r="K971" s="66"/>
      <c r="L971" s="1222"/>
      <c r="M971" s="51"/>
      <c r="N971" s="52"/>
      <c r="O971" s="25"/>
      <c r="P971" s="25"/>
    </row>
    <row r="972" spans="1:16" ht="30" customHeight="1">
      <c r="A972" s="61"/>
      <c r="B972" s="62"/>
      <c r="C972" s="63"/>
      <c r="D972" s="1219" t="s">
        <v>11042</v>
      </c>
      <c r="E972" s="65"/>
      <c r="F972" s="88"/>
      <c r="G972" s="66"/>
      <c r="H972" s="1220"/>
      <c r="I972" s="66"/>
      <c r="J972" s="66"/>
      <c r="K972" s="66"/>
      <c r="L972" s="1222"/>
      <c r="M972" s="51"/>
      <c r="N972" s="52"/>
      <c r="O972" s="25"/>
      <c r="P972" s="25"/>
    </row>
    <row r="973" spans="1:16" ht="30" customHeight="1">
      <c r="A973" s="43">
        <v>10</v>
      </c>
      <c r="B973" s="44"/>
      <c r="C973" s="44" t="s">
        <v>801</v>
      </c>
      <c r="D973" s="1213" t="s">
        <v>802</v>
      </c>
      <c r="E973" s="46" t="str">
        <f>IFERROR(UPPER(IF(B973="CPU",VLOOKUP(C973,#REF!,3,0),IF(B973="SINAPI",VLOOKUP(C973,#REF!,3,0),IF(B973="EDIF",VLOOKUP(C973,#REF!,3,0),IF(B973="CDHU",VLOOKUP(C973,#REF!,3,0),IF(B973="FDE",VLOOKUP(C973,#REF!,3,0),IF(B973="INFRA",VLOOKUP(C973,#REF!,3,0),""))))))),"")</f>
        <v/>
      </c>
      <c r="F973" s="1233"/>
      <c r="G973" s="47"/>
      <c r="H973" s="1214"/>
      <c r="I973" s="1214"/>
      <c r="J973" s="1214"/>
      <c r="K973" s="1214"/>
      <c r="L973" s="1215"/>
      <c r="M973" s="51"/>
      <c r="N973" s="52"/>
      <c r="O973" s="25"/>
      <c r="P973" s="25"/>
    </row>
    <row r="974" spans="1:16" ht="30" customHeight="1">
      <c r="A974" s="53" t="s">
        <v>803</v>
      </c>
      <c r="B974" s="54"/>
      <c r="C974" s="54" t="s">
        <v>804</v>
      </c>
      <c r="D974" s="1216" t="s">
        <v>802</v>
      </c>
      <c r="E974" s="56" t="str">
        <f>IFERROR(UPPER(IF(B974="CPU",VLOOKUP(C974,#REF!,3,0),IF(B974="SINAPI",VLOOKUP(C974,#REF!,3,0),IF(B974="EDIF",VLOOKUP(C974,#REF!,3,0),IF(B974="CDHU",VLOOKUP(C974,#REF!,3,0),IF(B974="FDE",VLOOKUP(C974,#REF!,3,0),IF(B974="INFRA",VLOOKUP(C974,#REF!,3,0),""))))))),"")</f>
        <v/>
      </c>
      <c r="F974" s="1232"/>
      <c r="G974" s="57"/>
      <c r="H974" s="1217"/>
      <c r="I974" s="1217"/>
      <c r="J974" s="1217"/>
      <c r="K974" s="1217"/>
      <c r="L974" s="1218"/>
      <c r="M974" s="51"/>
      <c r="N974" s="52"/>
      <c r="O974" s="25"/>
      <c r="P974" s="25"/>
    </row>
    <row r="975" spans="1:16" ht="30" customHeight="1">
      <c r="A975" s="61" t="s">
        <v>805</v>
      </c>
      <c r="B975" s="62" t="s">
        <v>26</v>
      </c>
      <c r="C975" s="63" t="s">
        <v>806</v>
      </c>
      <c r="D975" s="1219" t="str">
        <f>IFERROR(UPPER(IF(B975="CPU",VLOOKUP(C975,#REF!,2,0),IF(B975="SINAPI",VLOOKUP(C975,#REF!,2,0),IF(B975="EDIF",VLOOKUP(C975,#REF!,2,0),IF(B975="CDHU",VLOOKUP(C975,#REF!,2,0),IF(B975="FDE",VLOOKUP(C975,'FDE 10-23 '!$A$4:$E$3180,2,0),IF(B975="INFRA",VLOOKUP(C975,#REF!,2,0),""))))))),"")</f>
        <v>FORRO PLACA MINERAL NRC 0,70 MP COMPLETE INCL.PERFIS FORNEC/INST.</v>
      </c>
      <c r="E975" s="65" t="str">
        <f>VLOOKUP(C975,'FDE 10-23 '!$A$4:$E$3180,3,0)</f>
        <v>M2</v>
      </c>
      <c r="F975" s="1112">
        <f>SUM(F976:F983)</f>
        <v>736.33</v>
      </c>
      <c r="G975" s="66"/>
      <c r="H975" s="1220"/>
      <c r="I975" s="66"/>
      <c r="J975" s="66"/>
      <c r="K975" s="66"/>
      <c r="L975" s="1222"/>
      <c r="M975" s="51"/>
      <c r="N975" s="52"/>
      <c r="O975" s="25"/>
      <c r="P975" s="25"/>
    </row>
    <row r="976" spans="1:16" ht="30" customHeight="1">
      <c r="A976" s="61"/>
      <c r="B976" s="62"/>
      <c r="C976" s="63"/>
      <c r="D976" s="1219"/>
      <c r="E976" s="65"/>
      <c r="F976" s="66"/>
      <c r="G976" s="66"/>
      <c r="H976" s="1220"/>
      <c r="I976" s="66"/>
      <c r="J976" s="66"/>
      <c r="K976" s="66"/>
      <c r="L976" s="1222"/>
      <c r="M976" s="51"/>
      <c r="N976" s="52"/>
      <c r="O976" s="25"/>
      <c r="P976" s="25"/>
    </row>
    <row r="977" spans="1:16" ht="30" customHeight="1">
      <c r="A977" s="61"/>
      <c r="B977" s="62"/>
      <c r="C977" s="63"/>
      <c r="D977" s="1219" t="s">
        <v>11046</v>
      </c>
      <c r="E977" s="65"/>
      <c r="F977" s="66">
        <f t="shared" ref="F977:F983" si="14">H977*I977*K977</f>
        <v>392</v>
      </c>
      <c r="G977" s="66"/>
      <c r="H977" s="1220">
        <v>7</v>
      </c>
      <c r="I977" s="66">
        <v>7</v>
      </c>
      <c r="J977" s="66"/>
      <c r="K977" s="66">
        <v>8</v>
      </c>
      <c r="L977" s="1222"/>
      <c r="M977" s="51"/>
      <c r="N977" s="52"/>
      <c r="O977" s="25"/>
      <c r="P977" s="25"/>
    </row>
    <row r="978" spans="1:16" ht="30" customHeight="1">
      <c r="A978" s="61"/>
      <c r="B978" s="62"/>
      <c r="C978" s="63"/>
      <c r="D978" s="1219" t="s">
        <v>11016</v>
      </c>
      <c r="E978" s="65"/>
      <c r="F978" s="66">
        <f t="shared" si="14"/>
        <v>74.2</v>
      </c>
      <c r="G978" s="66"/>
      <c r="H978" s="1220">
        <v>7</v>
      </c>
      <c r="I978" s="66">
        <v>10.6</v>
      </c>
      <c r="J978" s="66"/>
      <c r="K978" s="66">
        <v>1</v>
      </c>
      <c r="L978" s="1222"/>
      <c r="M978" s="51"/>
      <c r="N978" s="52"/>
      <c r="O978" s="25"/>
      <c r="P978" s="25"/>
    </row>
    <row r="979" spans="1:16" ht="30" customHeight="1">
      <c r="A979" s="61"/>
      <c r="B979" s="62"/>
      <c r="C979" s="63"/>
      <c r="D979" s="1219" t="s">
        <v>11001</v>
      </c>
      <c r="E979" s="65"/>
      <c r="F979" s="66">
        <f t="shared" si="14"/>
        <v>23.8</v>
      </c>
      <c r="G979" s="66"/>
      <c r="H979" s="1220">
        <v>7</v>
      </c>
      <c r="I979" s="66">
        <v>3.4</v>
      </c>
      <c r="J979" s="66"/>
      <c r="K979" s="66">
        <v>1</v>
      </c>
      <c r="L979" s="1222"/>
      <c r="M979" s="51"/>
      <c r="N979" s="52"/>
      <c r="O979" s="25"/>
      <c r="P979" s="25"/>
    </row>
    <row r="980" spans="1:16" ht="30" customHeight="1">
      <c r="A980" s="61"/>
      <c r="B980" s="62"/>
      <c r="C980" s="63"/>
      <c r="D980" s="1219" t="s">
        <v>11047</v>
      </c>
      <c r="E980" s="65"/>
      <c r="F980" s="66">
        <f t="shared" si="14"/>
        <v>72.8</v>
      </c>
      <c r="G980" s="66"/>
      <c r="H980" s="1220">
        <v>7</v>
      </c>
      <c r="I980" s="66">
        <v>10.4</v>
      </c>
      <c r="J980" s="66"/>
      <c r="K980" s="66">
        <v>1</v>
      </c>
      <c r="L980" s="1222"/>
      <c r="M980" s="51"/>
      <c r="N980" s="52"/>
      <c r="O980" s="25"/>
      <c r="P980" s="25"/>
    </row>
    <row r="981" spans="1:16" ht="30" customHeight="1">
      <c r="A981" s="61"/>
      <c r="B981" s="62"/>
      <c r="C981" s="63"/>
      <c r="D981" s="1219" t="s">
        <v>11011</v>
      </c>
      <c r="E981" s="65"/>
      <c r="F981" s="66">
        <f t="shared" si="14"/>
        <v>75.600000000000009</v>
      </c>
      <c r="G981" s="66"/>
      <c r="H981" s="1220">
        <v>7</v>
      </c>
      <c r="I981" s="66">
        <v>10.8</v>
      </c>
      <c r="J981" s="66"/>
      <c r="K981" s="66">
        <v>1</v>
      </c>
      <c r="L981" s="1222"/>
      <c r="M981" s="51"/>
      <c r="N981" s="52"/>
      <c r="O981" s="25"/>
      <c r="P981" s="25"/>
    </row>
    <row r="982" spans="1:16" ht="30" customHeight="1">
      <c r="A982" s="61"/>
      <c r="B982" s="62"/>
      <c r="C982" s="63"/>
      <c r="D982" s="1219" t="s">
        <v>11002</v>
      </c>
      <c r="E982" s="65"/>
      <c r="F982" s="66">
        <f t="shared" si="14"/>
        <v>48.72</v>
      </c>
      <c r="G982" s="66"/>
      <c r="H982" s="1220">
        <v>6.96</v>
      </c>
      <c r="I982" s="66">
        <v>7</v>
      </c>
      <c r="J982" s="66"/>
      <c r="K982" s="66">
        <v>1</v>
      </c>
      <c r="L982" s="1222"/>
      <c r="M982" s="51"/>
      <c r="N982" s="52"/>
      <c r="O982" s="25"/>
      <c r="P982" s="25"/>
    </row>
    <row r="983" spans="1:16" ht="30" customHeight="1">
      <c r="A983" s="61"/>
      <c r="B983" s="62"/>
      <c r="C983" s="63"/>
      <c r="D983" s="1219" t="s">
        <v>11004</v>
      </c>
      <c r="E983" s="65"/>
      <c r="F983" s="66">
        <f t="shared" si="14"/>
        <v>49.21</v>
      </c>
      <c r="G983" s="66"/>
      <c r="H983" s="1220">
        <v>7</v>
      </c>
      <c r="I983" s="66">
        <v>7.03</v>
      </c>
      <c r="J983" s="66"/>
      <c r="K983" s="66">
        <v>1</v>
      </c>
      <c r="L983" s="1222"/>
      <c r="M983" s="51"/>
      <c r="N983" s="52"/>
      <c r="O983" s="25"/>
      <c r="P983" s="25"/>
    </row>
    <row r="984" spans="1:16" ht="30" customHeight="1">
      <c r="A984" s="61"/>
      <c r="B984" s="62"/>
      <c r="C984" s="63"/>
      <c r="D984" s="1219" t="s">
        <v>11048</v>
      </c>
      <c r="E984" s="65"/>
      <c r="F984" s="88"/>
      <c r="G984" s="66"/>
      <c r="H984" s="1220"/>
      <c r="I984" s="66"/>
      <c r="J984" s="66"/>
      <c r="K984" s="66"/>
      <c r="L984" s="1222"/>
      <c r="M984" s="51"/>
      <c r="N984" s="52"/>
      <c r="O984" s="25"/>
      <c r="P984" s="25"/>
    </row>
    <row r="985" spans="1:16" ht="30" customHeight="1">
      <c r="A985" s="61"/>
      <c r="B985" s="62"/>
      <c r="C985" s="63"/>
      <c r="D985" s="1219"/>
      <c r="E985" s="65"/>
      <c r="F985" s="88"/>
      <c r="G985" s="66"/>
      <c r="H985" s="1220"/>
      <c r="I985" s="66"/>
      <c r="J985" s="66"/>
      <c r="K985" s="66"/>
      <c r="L985" s="1222"/>
      <c r="M985" s="51"/>
      <c r="N985" s="52"/>
      <c r="O985" s="25"/>
      <c r="P985" s="25"/>
    </row>
    <row r="986" spans="1:16" ht="30" customHeight="1">
      <c r="A986" s="43">
        <v>11</v>
      </c>
      <c r="B986" s="44"/>
      <c r="C986" s="44" t="s">
        <v>807</v>
      </c>
      <c r="D986" s="1213" t="s">
        <v>808</v>
      </c>
      <c r="E986" s="46" t="str">
        <f>IFERROR(UPPER(IF(B986="CPU",VLOOKUP(C986,#REF!,3,0),IF(B986="SINAPI",VLOOKUP(C986,#REF!,3,0),IF(B986="EDIF",VLOOKUP(C986,#REF!,3,0),IF(B986="CDHU",VLOOKUP(C986,#REF!,3,0),IF(B986="FDE",VLOOKUP(C986,#REF!,3,0),IF(B986="INFRA",VLOOKUP(C986,#REF!,3,0),""))))))),"")</f>
        <v/>
      </c>
      <c r="F986" s="1233"/>
      <c r="G986" s="47"/>
      <c r="H986" s="1214"/>
      <c r="I986" s="1214"/>
      <c r="J986" s="1214"/>
      <c r="K986" s="1214"/>
      <c r="L986" s="1215"/>
      <c r="M986" s="51"/>
      <c r="N986" s="52"/>
      <c r="O986" s="25"/>
      <c r="P986" s="25"/>
    </row>
    <row r="987" spans="1:16" ht="30" customHeight="1">
      <c r="A987" s="53" t="s">
        <v>809</v>
      </c>
      <c r="B987" s="54"/>
      <c r="C987" s="54" t="s">
        <v>810</v>
      </c>
      <c r="D987" s="1216" t="s">
        <v>811</v>
      </c>
      <c r="E987" s="56" t="str">
        <f>IFERROR(UPPER(IF(B987="CPU",VLOOKUP(C987,#REF!,3,0),IF(B987="SINAPI",VLOOKUP(C987,#REF!,3,0),IF(B987="EDIF",VLOOKUP(C987,#REF!,3,0),IF(B987="CDHU",VLOOKUP(C987,#REF!,3,0),IF(B987="FDE",VLOOKUP(C987,#REF!,3,0),IF(B987="INFRA",VLOOKUP(C987,#REF!,3,0),""))))))),"")</f>
        <v/>
      </c>
      <c r="F987" s="1232"/>
      <c r="G987" s="57"/>
      <c r="H987" s="1217"/>
      <c r="I987" s="1217"/>
      <c r="J987" s="1217"/>
      <c r="K987" s="1217"/>
      <c r="L987" s="1218"/>
      <c r="M987" s="51"/>
      <c r="N987" s="52"/>
      <c r="O987" s="25"/>
      <c r="P987" s="25"/>
    </row>
    <row r="988" spans="1:16" ht="30" customHeight="1">
      <c r="A988" s="61" t="s">
        <v>812</v>
      </c>
      <c r="B988" s="62" t="s">
        <v>26</v>
      </c>
      <c r="C988" s="63" t="s">
        <v>813</v>
      </c>
      <c r="D988" s="1219" t="str">
        <f>IFERROR(UPPER(IF(B988="CPU",VLOOKUP(C988,#REF!,2,0),IF(B988="SINAPI",VLOOKUP(C988,#REF!,2,0),IF(B988="EDIF",VLOOKUP(C988,#REF!,2,0),IF(B988="CDHU",VLOOKUP(C988,#REF!,2,0),IF(B988="FDE",VLOOKUP(C988,'FDE 10-23 '!$A$4:$E$3180,2,0),IF(B988="INFRA",VLOOKUP(C988,#REF!,2,0),""))))))),"")</f>
        <v>IMPERM C/ EMULSAO ACRILICA ESTRUT C/ VEU DE POLIESTER-6 DEMAOS / 2 EST</v>
      </c>
      <c r="E988" s="65" t="str">
        <f>VLOOKUP(C988,'FDE 10-23 '!$A$4:$E$3180,3,0)</f>
        <v>M2</v>
      </c>
      <c r="F988" s="1112">
        <v>255.6</v>
      </c>
      <c r="G988" s="66"/>
      <c r="H988" s="1220"/>
      <c r="I988" s="66"/>
      <c r="J988" s="66"/>
      <c r="K988" s="66"/>
      <c r="L988" s="1222"/>
      <c r="M988" s="51"/>
      <c r="N988" s="52"/>
      <c r="O988" s="25"/>
      <c r="P988" s="25"/>
    </row>
    <row r="989" spans="1:16" ht="30" customHeight="1">
      <c r="A989" s="61" t="s">
        <v>814</v>
      </c>
      <c r="B989" s="62" t="s">
        <v>26</v>
      </c>
      <c r="C989" s="63" t="s">
        <v>815</v>
      </c>
      <c r="D989" s="1219" t="str">
        <f>IFERROR(UPPER(IF(B989="CPU",VLOOKUP(C989,#REF!,2,0),IF(B989="SINAPI",VLOOKUP(C989,#REF!,2,0),IF(B989="EDIF",VLOOKUP(C989,#REF!,2,0),IF(B989="CDHU",VLOOKUP(C989,#REF!,2,0),IF(B989="FDE",VLOOKUP(C989,'FDE 10-23 '!$A$4:$E$3180,2,0),IF(B989="INFRA",VLOOKUP(C989,#REF!,2,0),""))))))),"")</f>
        <v>REGULARIZACAO DE SUPERFICIE P/ PREPARO IMPERM 1:3 E=2,5CM</v>
      </c>
      <c r="E989" s="65" t="str">
        <f>VLOOKUP(C989,'FDE 10-23 '!$A$4:$E$3180,3,0)</f>
        <v>M2</v>
      </c>
      <c r="F989" s="1112">
        <v>45.36</v>
      </c>
      <c r="G989" s="66"/>
      <c r="H989" s="1220"/>
      <c r="I989" s="66"/>
      <c r="J989" s="66"/>
      <c r="K989" s="66"/>
      <c r="L989" s="1222"/>
      <c r="M989" s="51"/>
      <c r="N989" s="52"/>
      <c r="O989" s="25"/>
      <c r="P989" s="25"/>
    </row>
    <row r="990" spans="1:16" ht="30" customHeight="1">
      <c r="A990" s="61" t="s">
        <v>816</v>
      </c>
      <c r="B990" s="62" t="s">
        <v>26</v>
      </c>
      <c r="C990" s="63" t="s">
        <v>817</v>
      </c>
      <c r="D990" s="1219" t="str">
        <f>IFERROR(UPPER(IF(B990="CPU",VLOOKUP(C990,#REF!,2,0),IF(B990="SINAPI",VLOOKUP(C990,#REF!,2,0),IF(B990="EDIF",VLOOKUP(C990,#REF!,2,0),IF(B990="CDHU",VLOOKUP(C990,#REF!,2,0),IF(B990="FDE",VLOOKUP(C990,'FDE 10-23 '!$A$4:$E$3180,2,0),IF(B990="INFRA",VLOOKUP(C990,#REF!,2,0),""))))))),"")</f>
        <v>ARGAMASSA PARA PROTEÇAO MECANICA SOBRE SUPERFICIE IMPERMEABILIZADA TRAÇO 1:4  ESPESSURA 3CM</v>
      </c>
      <c r="E990" s="65" t="str">
        <f>VLOOKUP(C990,'FDE 10-23 '!$A$4:$E$3180,3,0)</f>
        <v>M2</v>
      </c>
      <c r="F990" s="1112">
        <v>20.16</v>
      </c>
      <c r="G990" s="66"/>
      <c r="H990" s="1220"/>
      <c r="I990" s="66"/>
      <c r="J990" s="66"/>
      <c r="K990" s="66"/>
      <c r="L990" s="1222"/>
      <c r="M990" s="51"/>
      <c r="N990" s="52"/>
      <c r="O990" s="25"/>
      <c r="P990" s="25"/>
    </row>
    <row r="991" spans="1:16" ht="30" customHeight="1">
      <c r="A991" s="53" t="s">
        <v>818</v>
      </c>
      <c r="B991" s="54"/>
      <c r="C991" s="54" t="s">
        <v>819</v>
      </c>
      <c r="D991" s="1216" t="s">
        <v>820</v>
      </c>
      <c r="E991" s="56" t="str">
        <f>IFERROR(UPPER(IF(B991="CPU",VLOOKUP(C991,#REF!,3,0),IF(B991="SINAPI",VLOOKUP(C991,#REF!,3,0),IF(B991="EDIF",VLOOKUP(C991,#REF!,3,0),IF(B991="CDHU",VLOOKUP(C991,#REF!,3,0),IF(B991="FDE",VLOOKUP(C991,#REF!,3,0),IF(B991="INFRA",VLOOKUP(C991,#REF!,3,0),""))))))),"")</f>
        <v/>
      </c>
      <c r="F991" s="1234"/>
      <c r="G991" s="57"/>
      <c r="H991" s="1217"/>
      <c r="I991" s="1217"/>
      <c r="J991" s="1217"/>
      <c r="K991" s="1217"/>
      <c r="L991" s="1218"/>
      <c r="M991" s="51"/>
      <c r="N991" s="52"/>
      <c r="O991" s="25"/>
      <c r="P991" s="25"/>
    </row>
    <row r="992" spans="1:16" ht="30" customHeight="1">
      <c r="A992" s="61" t="s">
        <v>821</v>
      </c>
      <c r="B992" s="62" t="s">
        <v>26</v>
      </c>
      <c r="C992" s="63" t="s">
        <v>822</v>
      </c>
      <c r="D992" s="1219" t="str">
        <f>IFERROR(UPPER(IF(B992="CPU",VLOOKUP(C992,#REF!,2,0),IF(B992="SINAPI",VLOOKUP(C992,#REF!,2,0),IF(B992="EDIF",VLOOKUP(C992,#REF!,2,0),IF(B992="CDHU",VLOOKUP(C992,#REF!,2,0),IF(B992="FDE",VLOOKUP(C992,'FDE 10-23 '!$A$4:$E$3180,2,0),IF(B992="INFRA",VLOOKUP(C992,#REF!,2,0),""))))))),"")</f>
        <v>IMPERMEABIL RESERV.ENTERRADO COM ARGAMASSA POLIMERICA SEMIFLEXIVEL COM APLICAÇÃO 4 DEMÃOS</v>
      </c>
      <c r="E992" s="65" t="str">
        <f>VLOOKUP(C992,'FDE 10-23 '!$A$4:$E$3180,3,0)</f>
        <v>M2</v>
      </c>
      <c r="F992" s="1112">
        <v>86.78</v>
      </c>
      <c r="G992" s="66"/>
      <c r="H992" s="1220"/>
      <c r="I992" s="66"/>
      <c r="J992" s="66"/>
      <c r="K992" s="66"/>
      <c r="L992" s="1222"/>
      <c r="M992" s="51"/>
      <c r="N992" s="52"/>
      <c r="O992" s="25"/>
      <c r="P992" s="25"/>
    </row>
    <row r="993" spans="1:16" ht="30" customHeight="1">
      <c r="A993" s="61" t="s">
        <v>823</v>
      </c>
      <c r="B993" s="62" t="s">
        <v>26</v>
      </c>
      <c r="C993" s="63" t="s">
        <v>824</v>
      </c>
      <c r="D993" s="1219" t="str">
        <f>IFERROR(UPPER(IF(B993="CPU",VLOOKUP(C993,#REF!,2,0),IF(B993="SINAPI",VLOOKUP(C993,#REF!,2,0),IF(B993="EDIF",VLOOKUP(C993,#REF!,2,0),IF(B993="CDHU",VLOOKUP(C993,#REF!,2,0),IF(B993="FDE",VLOOKUP(C993,'FDE 10-23 '!$A$4:$E$3180,2,0),IF(B993="INFRA",VLOOKUP(C993,#REF!,2,0),""))))))),"")</f>
        <v>COM TINTA BETUMINOSA (APLICACAO EXTERNA)</v>
      </c>
      <c r="E993" s="65" t="str">
        <f>VLOOKUP(C993,'FDE 10-23 '!$A$4:$E$3180,3,0)</f>
        <v>M2</v>
      </c>
      <c r="F993" s="1112">
        <v>5</v>
      </c>
      <c r="G993" s="66"/>
      <c r="H993" s="1220"/>
      <c r="I993" s="66"/>
      <c r="J993" s="66"/>
      <c r="K993" s="66"/>
      <c r="L993" s="1222"/>
      <c r="M993" s="51"/>
      <c r="N993" s="52"/>
      <c r="O993" s="25"/>
      <c r="P993" s="25"/>
    </row>
    <row r="994" spans="1:16" ht="30" customHeight="1">
      <c r="A994" s="53" t="s">
        <v>825</v>
      </c>
      <c r="B994" s="54"/>
      <c r="C994" s="54" t="s">
        <v>826</v>
      </c>
      <c r="D994" s="1216" t="s">
        <v>827</v>
      </c>
      <c r="E994" s="56" t="str">
        <f>IFERROR(UPPER(IF(B994="CPU",VLOOKUP(C994,#REF!,3,0),IF(B994="SINAPI",VLOOKUP(C994,#REF!,3,0),IF(B994="EDIF",VLOOKUP(C994,#REF!,3,0),IF(B994="CDHU",VLOOKUP(C994,#REF!,3,0),IF(B994="FDE",VLOOKUP(C994,#REF!,3,0),IF(B994="INFRA",VLOOKUP(C994,#REF!,3,0),""))))))),"")</f>
        <v/>
      </c>
      <c r="F994" s="1234"/>
      <c r="G994" s="57"/>
      <c r="H994" s="1217"/>
      <c r="I994" s="1217"/>
      <c r="J994" s="1217"/>
      <c r="K994" s="1217"/>
      <c r="L994" s="1218"/>
      <c r="M994" s="51"/>
      <c r="N994" s="52"/>
      <c r="O994" s="25"/>
      <c r="P994" s="25"/>
    </row>
    <row r="995" spans="1:16" ht="30" customHeight="1">
      <c r="A995" s="61" t="s">
        <v>828</v>
      </c>
      <c r="B995" s="62" t="s">
        <v>26</v>
      </c>
      <c r="C995" s="63" t="s">
        <v>829</v>
      </c>
      <c r="D995" s="1219" t="str">
        <f>IFERROR(UPPER(IF(B995="CPU",VLOOKUP(C995,#REF!,2,0),IF(B995="SINAPI",VLOOKUP(C995,#REF!,2,0),IF(B995="EDIF",VLOOKUP(C995,#REF!,2,0),IF(B995="CDHU",VLOOKUP(C995,#REF!,2,0),IF(B995="FDE",VLOOKUP(C995,'FDE 10-23 '!$A$4:$E$3180,2,0),IF(B995="INFRA",VLOOKUP(C995,#REF!,2,0),""))))))),"")</f>
        <v>JUNTAS DE DILATACAO/MASTIQUE ELASTICO OU POLIURETANO</v>
      </c>
      <c r="E995" s="65" t="str">
        <f>VLOOKUP(C995,'FDE 10-23 '!$A$4:$E$3180,3,0)</f>
        <v>C3</v>
      </c>
      <c r="F995" s="1112">
        <v>26880</v>
      </c>
      <c r="G995" s="66"/>
      <c r="H995" s="1220"/>
      <c r="I995" s="66"/>
      <c r="J995" s="66"/>
      <c r="K995" s="66"/>
      <c r="L995" s="1222"/>
      <c r="M995" s="51"/>
      <c r="N995" s="52"/>
      <c r="O995" s="25"/>
      <c r="P995" s="25"/>
    </row>
    <row r="996" spans="1:16" ht="30" customHeight="1">
      <c r="A996" s="43">
        <v>12</v>
      </c>
      <c r="B996" s="44"/>
      <c r="C996" s="44" t="s">
        <v>830</v>
      </c>
      <c r="D996" s="1213" t="s">
        <v>831</v>
      </c>
      <c r="E996" s="46" t="str">
        <f>IFERROR(UPPER(IF(B996="CPU",VLOOKUP(C996,#REF!,3,0),IF(B996="SINAPI",VLOOKUP(C996,#REF!,3,0),IF(B996="EDIF",VLOOKUP(C996,#REF!,3,0),IF(B996="CDHU",VLOOKUP(C996,#REF!,3,0),IF(B996="FDE",VLOOKUP(C996,#REF!,3,0),IF(B996="INFRA",VLOOKUP(C996,#REF!,3,0),""))))))),"")</f>
        <v/>
      </c>
      <c r="F996" s="1233"/>
      <c r="G996" s="47"/>
      <c r="H996" s="1214"/>
      <c r="I996" s="1214"/>
      <c r="J996" s="1214"/>
      <c r="K996" s="1214"/>
      <c r="L996" s="1215"/>
      <c r="M996" s="51"/>
      <c r="N996" s="52"/>
      <c r="O996" s="25"/>
      <c r="P996" s="25"/>
    </row>
    <row r="997" spans="1:16" ht="30" customHeight="1">
      <c r="A997" s="53" t="s">
        <v>832</v>
      </c>
      <c r="B997" s="54"/>
      <c r="C997" s="54" t="s">
        <v>833</v>
      </c>
      <c r="D997" s="1216" t="s">
        <v>834</v>
      </c>
      <c r="E997" s="56" t="str">
        <f>IFERROR(UPPER(IF(B997="CPU",VLOOKUP(C997,#REF!,3,0),IF(B997="SINAPI",VLOOKUP(C997,#REF!,3,0),IF(B997="EDIF",VLOOKUP(C997,#REF!,3,0),IF(B997="CDHU",VLOOKUP(C997,#REF!,3,0),IF(B997="FDE",VLOOKUP(C997,#REF!,3,0),IF(B997="INFRA",VLOOKUP(C997,#REF!,3,0),""))))))),"")</f>
        <v/>
      </c>
      <c r="F997" s="1232"/>
      <c r="G997" s="57"/>
      <c r="H997" s="1217"/>
      <c r="I997" s="1217"/>
      <c r="J997" s="1217"/>
      <c r="K997" s="1217"/>
      <c r="L997" s="1218"/>
      <c r="M997" s="51"/>
      <c r="N997" s="52"/>
      <c r="O997" s="25"/>
      <c r="P997" s="25"/>
    </row>
    <row r="998" spans="1:16" ht="30" customHeight="1">
      <c r="A998" s="61" t="s">
        <v>835</v>
      </c>
      <c r="B998" s="62" t="s">
        <v>26</v>
      </c>
      <c r="C998" s="63" t="s">
        <v>836</v>
      </c>
      <c r="D998" s="1219" t="str">
        <f>IFERROR(UPPER(IF(B998="CPU",VLOOKUP(C998,#REF!,2,0),IF(B998="SINAPI",VLOOKUP(C998,#REF!,2,0),IF(B998="EDIF",VLOOKUP(C998,#REF!,2,0),IF(B998="CDHU",VLOOKUP(C998,#REF!,2,0),IF(B998="FDE",VLOOKUP(C998,'FDE 10-23 '!$A$4:$E$3180,2,0),IF(B998="INFRA",VLOOKUP(C998,#REF!,2,0),""))))))),"")</f>
        <v>CHAPISCO</v>
      </c>
      <c r="E998" s="65" t="str">
        <f>VLOOKUP(C998,'FDE 10-23 '!$A$4:$E$3180,3,0)</f>
        <v>M2</v>
      </c>
      <c r="F998" s="1112">
        <v>8.1999999999999993</v>
      </c>
      <c r="G998" s="66"/>
      <c r="H998" s="1220"/>
      <c r="I998" s="66"/>
      <c r="J998" s="66"/>
      <c r="K998" s="66"/>
      <c r="L998" s="1222"/>
      <c r="M998" s="51"/>
      <c r="N998" s="52"/>
      <c r="O998" s="25"/>
      <c r="P998" s="25"/>
    </row>
    <row r="999" spans="1:16" ht="30" customHeight="1">
      <c r="A999" s="61" t="s">
        <v>837</v>
      </c>
      <c r="B999" s="62" t="s">
        <v>26</v>
      </c>
      <c r="C999" s="63" t="s">
        <v>838</v>
      </c>
      <c r="D999" s="1219" t="str">
        <f>IFERROR(UPPER(IF(B999="CPU",VLOOKUP(C999,#REF!,2,0),IF(B999="SINAPI",VLOOKUP(C999,#REF!,2,0),IF(B999="EDIF",VLOOKUP(C999,#REF!,2,0),IF(B999="CDHU",VLOOKUP(C999,#REF!,2,0),IF(B999="FDE",VLOOKUP(C999,'FDE 10-23 '!$A$4:$E$3180,2,0),IF(B999="INFRA",VLOOKUP(C999,#REF!,2,0),""))))))),"")</f>
        <v>EMBOCO DESEMPENADO</v>
      </c>
      <c r="E999" s="65" t="str">
        <f>VLOOKUP(C999,'FDE 10-23 '!$A$4:$E$3180,3,0)</f>
        <v>M2</v>
      </c>
      <c r="F999" s="1112">
        <v>8.1999999999999993</v>
      </c>
      <c r="G999" s="66"/>
      <c r="H999" s="1220"/>
      <c r="I999" s="66"/>
      <c r="J999" s="66"/>
      <c r="K999" s="66"/>
      <c r="L999" s="1222"/>
      <c r="M999" s="51"/>
      <c r="N999" s="52"/>
      <c r="O999" s="25"/>
      <c r="P999" s="25"/>
    </row>
    <row r="1000" spans="1:16" ht="30" customHeight="1">
      <c r="A1000" s="61"/>
      <c r="B1000" s="62"/>
      <c r="C1000" s="63"/>
      <c r="D1000" s="1219" t="s">
        <v>11049</v>
      </c>
      <c r="E1000" s="65"/>
      <c r="F1000" s="88"/>
      <c r="G1000" s="66"/>
      <c r="H1000" s="1220"/>
      <c r="I1000" s="66"/>
      <c r="J1000" s="66"/>
      <c r="K1000" s="66"/>
      <c r="L1000" s="1222"/>
      <c r="M1000" s="51"/>
      <c r="N1000" s="52"/>
      <c r="O1000" s="25"/>
      <c r="P1000" s="25"/>
    </row>
    <row r="1001" spans="1:16" ht="30" customHeight="1">
      <c r="A1001" s="53" t="s">
        <v>839</v>
      </c>
      <c r="B1001" s="54"/>
      <c r="C1001" s="54" t="s">
        <v>840</v>
      </c>
      <c r="D1001" s="1216" t="s">
        <v>841</v>
      </c>
      <c r="E1001" s="56" t="str">
        <f>IFERROR(UPPER(IF(B1001="CPU",VLOOKUP(C1001,#REF!,3,0),IF(B1001="SINAPI",VLOOKUP(C1001,#REF!,3,0),IF(B1001="EDIF",VLOOKUP(C1001,#REF!,3,0),IF(B1001="CDHU",VLOOKUP(C1001,#REF!,3,0),IF(B1001="FDE",VLOOKUP(C1001,#REF!,3,0),IF(B1001="INFRA",VLOOKUP(C1001,#REF!,3,0),""))))))),"")</f>
        <v/>
      </c>
      <c r="F1001" s="1232"/>
      <c r="G1001" s="57"/>
      <c r="H1001" s="1217"/>
      <c r="I1001" s="1217"/>
      <c r="J1001" s="1217"/>
      <c r="K1001" s="1217"/>
      <c r="L1001" s="1218"/>
      <c r="M1001" s="51"/>
      <c r="N1001" s="52"/>
      <c r="O1001" s="25"/>
      <c r="P1001" s="25"/>
    </row>
    <row r="1002" spans="1:16" ht="30" customHeight="1">
      <c r="A1002" s="61" t="s">
        <v>842</v>
      </c>
      <c r="B1002" s="62" t="s">
        <v>26</v>
      </c>
      <c r="C1002" s="63" t="s">
        <v>843</v>
      </c>
      <c r="D1002" s="1219" t="str">
        <f>IFERROR(UPPER(IF(B1002="CPU",VLOOKUP(C1002,#REF!,2,0),IF(B1002="SINAPI",VLOOKUP(C1002,#REF!,2,0),IF(B1002="EDIF",VLOOKUP(C1002,#REF!,2,0),IF(B1002="CDHU",VLOOKUP(C1002,#REF!,2,0),IF(B1002="FDE",VLOOKUP(C1002,'FDE 10-23 '!$A$4:$E$3180,2,0),IF(B1002="INFRA",VLOOKUP(C1002,#REF!,2,0),""))))))),"")</f>
        <v>CHAPISCO</v>
      </c>
      <c r="E1002" s="65" t="str">
        <f>VLOOKUP(C1002,'FDE 10-23 '!$A$4:$E$3180,3,0)</f>
        <v>M2</v>
      </c>
      <c r="F1002" s="1112">
        <v>1473.7</v>
      </c>
      <c r="G1002" s="66"/>
      <c r="H1002" s="1220"/>
      <c r="I1002" s="66"/>
      <c r="J1002" s="66"/>
      <c r="K1002" s="66"/>
      <c r="L1002" s="1222"/>
      <c r="M1002" s="51"/>
      <c r="N1002" s="52"/>
      <c r="O1002" s="25"/>
      <c r="P1002" s="25"/>
    </row>
    <row r="1003" spans="1:16" ht="30" customHeight="1">
      <c r="A1003" s="61"/>
      <c r="B1003" s="62"/>
      <c r="C1003" s="63"/>
      <c r="D1003" s="1219" t="s">
        <v>11017</v>
      </c>
      <c r="E1003" s="65"/>
      <c r="F1003" s="1112"/>
      <c r="G1003" s="66"/>
      <c r="H1003" s="1220"/>
      <c r="I1003" s="66"/>
      <c r="J1003" s="66"/>
      <c r="K1003" s="66"/>
      <c r="L1003" s="1222"/>
      <c r="M1003" s="51"/>
      <c r="N1003" s="52"/>
      <c r="O1003" s="25"/>
      <c r="P1003" s="25"/>
    </row>
    <row r="1004" spans="1:16" ht="30" customHeight="1">
      <c r="A1004" s="61" t="s">
        <v>844</v>
      </c>
      <c r="B1004" s="62" t="s">
        <v>26</v>
      </c>
      <c r="C1004" s="63" t="s">
        <v>845</v>
      </c>
      <c r="D1004" s="1219" t="str">
        <f>IFERROR(UPPER(IF(B1004="CPU",VLOOKUP(C1004,#REF!,2,0),IF(B1004="SINAPI",VLOOKUP(C1004,#REF!,2,0),IF(B1004="EDIF",VLOOKUP(C1004,#REF!,2,0),IF(B1004="CDHU",VLOOKUP(C1004,#REF!,2,0),IF(B1004="FDE",VLOOKUP(C1004,'FDE 10-23 '!$A$4:$E$3180,2,0),IF(B1004="INFRA",VLOOKUP(C1004,#REF!,2,0),""))))))),"")</f>
        <v>EMBOCO</v>
      </c>
      <c r="E1004" s="65" t="str">
        <f>VLOOKUP(C1004,'FDE 10-23 '!$A$4:$E$3180,3,0)</f>
        <v>M2</v>
      </c>
      <c r="F1004" s="1112">
        <v>558.53</v>
      </c>
      <c r="G1004" s="66"/>
      <c r="H1004" s="1220"/>
      <c r="I1004" s="66"/>
      <c r="J1004" s="66"/>
      <c r="K1004" s="66"/>
      <c r="L1004" s="1222"/>
      <c r="M1004" s="51"/>
      <c r="N1004" s="52"/>
      <c r="O1004" s="25"/>
      <c r="P1004" s="25"/>
    </row>
    <row r="1005" spans="1:16" ht="30" customHeight="1">
      <c r="A1005" s="61"/>
      <c r="B1005" s="62"/>
      <c r="C1005" s="63"/>
      <c r="D1005" s="1219" t="s">
        <v>11017</v>
      </c>
      <c r="E1005" s="65"/>
      <c r="F1005" s="1112"/>
      <c r="G1005" s="66"/>
      <c r="H1005" s="1220"/>
      <c r="I1005" s="66"/>
      <c r="J1005" s="66"/>
      <c r="K1005" s="66"/>
      <c r="L1005" s="1222"/>
      <c r="M1005" s="51"/>
      <c r="N1005" s="52"/>
      <c r="O1005" s="25"/>
      <c r="P1005" s="25"/>
    </row>
    <row r="1006" spans="1:16" ht="30" customHeight="1">
      <c r="A1006" s="61" t="s">
        <v>846</v>
      </c>
      <c r="B1006" s="62" t="s">
        <v>26</v>
      </c>
      <c r="C1006" s="63" t="s">
        <v>847</v>
      </c>
      <c r="D1006" s="1219" t="str">
        <f>IFERROR(UPPER(IF(B1006="CPU",VLOOKUP(C1006,#REF!,2,0),IF(B1006="SINAPI",VLOOKUP(C1006,#REF!,2,0),IF(B1006="EDIF",VLOOKUP(C1006,#REF!,2,0),IF(B1006="CDHU",VLOOKUP(C1006,#REF!,2,0),IF(B1006="FDE",VLOOKUP(C1006,'FDE 10-23 '!$A$4:$E$3180,2,0),IF(B1006="INFRA",VLOOKUP(C1006,#REF!,2,0),""))))))),"")</f>
        <v>EMBOCO DESEMPENADO</v>
      </c>
      <c r="E1006" s="65" t="str">
        <f>VLOOKUP(C1006,'FDE 10-23 '!$A$4:$E$3180,3,0)</f>
        <v>M2</v>
      </c>
      <c r="F1006" s="1112">
        <v>915.22</v>
      </c>
      <c r="G1006" s="66"/>
      <c r="H1006" s="1220"/>
      <c r="I1006" s="66"/>
      <c r="J1006" s="66"/>
      <c r="K1006" s="66"/>
      <c r="L1006" s="1222"/>
      <c r="M1006" s="51"/>
      <c r="N1006" s="52"/>
      <c r="O1006" s="25"/>
      <c r="P1006" s="25"/>
    </row>
    <row r="1007" spans="1:16" ht="30" customHeight="1">
      <c r="A1007" s="61"/>
      <c r="B1007" s="62"/>
      <c r="C1007" s="63"/>
      <c r="D1007" s="1219" t="s">
        <v>11017</v>
      </c>
      <c r="E1007" s="65"/>
      <c r="F1007" s="88"/>
      <c r="G1007" s="66"/>
      <c r="H1007" s="1220"/>
      <c r="I1007" s="66"/>
      <c r="J1007" s="66"/>
      <c r="K1007" s="66"/>
      <c r="L1007" s="1222"/>
      <c r="M1007" s="51"/>
      <c r="N1007" s="52"/>
      <c r="O1007" s="25"/>
      <c r="P1007" s="25"/>
    </row>
    <row r="1008" spans="1:16" ht="30" customHeight="1">
      <c r="A1008" s="61"/>
      <c r="B1008" s="62"/>
      <c r="C1008" s="63"/>
      <c r="D1008" s="1219" t="s">
        <v>11017</v>
      </c>
      <c r="E1008" s="65"/>
      <c r="F1008" s="88"/>
      <c r="G1008" s="66"/>
      <c r="H1008" s="1220"/>
      <c r="I1008" s="66"/>
      <c r="J1008" s="66"/>
      <c r="K1008" s="66"/>
      <c r="L1008" s="1222"/>
      <c r="M1008" s="51"/>
      <c r="N1008" s="52"/>
      <c r="O1008" s="25"/>
      <c r="P1008" s="25"/>
    </row>
    <row r="1009" spans="1:16" ht="30" customHeight="1">
      <c r="A1009" s="61" t="s">
        <v>848</v>
      </c>
      <c r="B1009" s="62" t="s">
        <v>26</v>
      </c>
      <c r="C1009" s="63" t="s">
        <v>849</v>
      </c>
      <c r="D1009" s="1219" t="str">
        <f>IFERROR(UPPER(IF(B1009="CPU",VLOOKUP(C1009,#REF!,2,0),IF(B1009="SINAPI",VLOOKUP(C1009,#REF!,2,0),IF(B1009="EDIF",VLOOKUP(C1009,#REF!,2,0),IF(B1009="CDHU",VLOOKUP(C1009,#REF!,2,0),IF(B1009="FDE",VLOOKUP(C1009,'FDE 10-23 '!$A$4:$E$3180,2,0),IF(B1009="INFRA",VLOOKUP(C1009,#REF!,2,0),""))))))),"")</f>
        <v>REVESTIMENTO COM GESSO</v>
      </c>
      <c r="E1009" s="65" t="str">
        <f>VLOOKUP(C1009,'FDE 10-23 '!$A$4:$E$3180,3,0)</f>
        <v>M2</v>
      </c>
      <c r="F1009" s="1112">
        <v>1272.5</v>
      </c>
      <c r="G1009" s="1238"/>
      <c r="H1009" s="1220"/>
      <c r="I1009" s="66"/>
      <c r="J1009" s="66"/>
      <c r="K1009" s="66"/>
      <c r="L1009" s="1222"/>
      <c r="M1009" s="51"/>
      <c r="N1009" s="52"/>
      <c r="O1009" s="25"/>
      <c r="P1009" s="25"/>
    </row>
    <row r="1010" spans="1:16" ht="30" customHeight="1">
      <c r="A1010" s="61"/>
      <c r="B1010" s="62"/>
      <c r="C1010" s="63"/>
      <c r="D1010" s="1219" t="s">
        <v>11050</v>
      </c>
      <c r="E1010" s="65"/>
      <c r="F1010" s="1112"/>
      <c r="G1010" s="66"/>
      <c r="H1010" s="1220"/>
      <c r="I1010" s="66"/>
      <c r="J1010" s="66"/>
      <c r="K1010" s="66"/>
      <c r="L1010" s="1222"/>
      <c r="M1010" s="51"/>
      <c r="N1010" s="52"/>
      <c r="O1010" s="25"/>
      <c r="P1010" s="25"/>
    </row>
    <row r="1011" spans="1:16" ht="30" customHeight="1">
      <c r="A1011" s="61"/>
      <c r="B1011" s="62"/>
      <c r="C1011" s="63"/>
      <c r="D1011" s="1219"/>
      <c r="E1011" s="65"/>
      <c r="F1011" s="66">
        <f t="shared" ref="F1011:F1046" si="15">G1011*I1011*K1011</f>
        <v>128.79999999999998</v>
      </c>
      <c r="G1011" s="66">
        <v>2.2999999999999998</v>
      </c>
      <c r="H1011" s="1220"/>
      <c r="I1011" s="66">
        <v>7</v>
      </c>
      <c r="J1011" s="66"/>
      <c r="K1011" s="66">
        <v>8</v>
      </c>
      <c r="L1011" s="1222"/>
      <c r="M1011" s="51"/>
      <c r="N1011" s="52"/>
      <c r="O1011" s="25"/>
      <c r="P1011" s="25"/>
    </row>
    <row r="1012" spans="1:16" ht="30" customHeight="1">
      <c r="A1012" s="61"/>
      <c r="B1012" s="62"/>
      <c r="C1012" s="63"/>
      <c r="D1012" s="1219"/>
      <c r="E1012" s="65"/>
      <c r="F1012" s="66">
        <f t="shared" si="15"/>
        <v>50.4</v>
      </c>
      <c r="G1012" s="66">
        <v>0.9</v>
      </c>
      <c r="H1012" s="1220"/>
      <c r="I1012" s="66">
        <v>7</v>
      </c>
      <c r="J1012" s="66"/>
      <c r="K1012" s="66">
        <v>8</v>
      </c>
      <c r="L1012" s="1222"/>
      <c r="M1012" s="51"/>
      <c r="N1012" s="52"/>
      <c r="O1012" s="25"/>
      <c r="P1012" s="25"/>
    </row>
    <row r="1013" spans="1:16" ht="30" customHeight="1">
      <c r="A1013" s="61"/>
      <c r="B1013" s="62"/>
      <c r="C1013" s="63"/>
      <c r="D1013" s="1219"/>
      <c r="E1013" s="65"/>
      <c r="F1013" s="66">
        <f t="shared" si="15"/>
        <v>225.39999999999998</v>
      </c>
      <c r="G1013" s="66">
        <v>2.2999999999999998</v>
      </c>
      <c r="H1013" s="1220"/>
      <c r="I1013" s="66">
        <v>7</v>
      </c>
      <c r="J1013" s="66"/>
      <c r="K1013" s="66">
        <v>14</v>
      </c>
      <c r="L1013" s="1222"/>
      <c r="M1013" s="51"/>
      <c r="N1013" s="52"/>
      <c r="O1013" s="25"/>
      <c r="P1013" s="25"/>
    </row>
    <row r="1014" spans="1:16" ht="30" customHeight="1">
      <c r="A1014" s="61"/>
      <c r="B1014" s="62"/>
      <c r="C1014" s="63"/>
      <c r="D1014" s="1219" t="s">
        <v>11051</v>
      </c>
      <c r="E1014" s="65"/>
      <c r="F1014" s="66">
        <f t="shared" si="15"/>
        <v>22.493999999999996</v>
      </c>
      <c r="G1014" s="66">
        <v>2.2999999999999998</v>
      </c>
      <c r="H1014" s="1220"/>
      <c r="I1014" s="66">
        <v>9.7799999999999994</v>
      </c>
      <c r="J1014" s="66"/>
      <c r="K1014" s="66">
        <v>1</v>
      </c>
      <c r="L1014" s="1222"/>
      <c r="M1014" s="51"/>
      <c r="N1014" s="52"/>
      <c r="O1014" s="25"/>
      <c r="P1014" s="25"/>
    </row>
    <row r="1015" spans="1:16" ht="30" customHeight="1">
      <c r="A1015" s="61"/>
      <c r="B1015" s="62"/>
      <c r="C1015" s="63"/>
      <c r="D1015" s="1219"/>
      <c r="E1015" s="65"/>
      <c r="F1015" s="66">
        <f t="shared" si="15"/>
        <v>21.09</v>
      </c>
      <c r="G1015" s="66">
        <v>3</v>
      </c>
      <c r="H1015" s="1220"/>
      <c r="I1015" s="66">
        <v>7.03</v>
      </c>
      <c r="J1015" s="66"/>
      <c r="K1015" s="66">
        <v>1</v>
      </c>
      <c r="L1015" s="1222"/>
      <c r="M1015" s="51"/>
      <c r="N1015" s="52"/>
      <c r="O1015" s="25"/>
      <c r="P1015" s="25"/>
    </row>
    <row r="1016" spans="1:16" ht="30" customHeight="1">
      <c r="A1016" s="61"/>
      <c r="B1016" s="62"/>
      <c r="C1016" s="63"/>
      <c r="D1016" s="1219" t="s">
        <v>11052</v>
      </c>
      <c r="E1016" s="65"/>
      <c r="F1016" s="66">
        <f t="shared" si="15"/>
        <v>21</v>
      </c>
      <c r="G1016" s="66">
        <v>3</v>
      </c>
      <c r="H1016" s="1220"/>
      <c r="I1016" s="66">
        <v>7</v>
      </c>
      <c r="J1016" s="66"/>
      <c r="K1016" s="66">
        <v>1</v>
      </c>
      <c r="L1016" s="1222"/>
      <c r="M1016" s="51"/>
      <c r="N1016" s="52"/>
      <c r="O1016" s="25"/>
      <c r="P1016" s="25"/>
    </row>
    <row r="1017" spans="1:16" ht="30" customHeight="1">
      <c r="A1017" s="61"/>
      <c r="B1017" s="62"/>
      <c r="C1017" s="63"/>
      <c r="D1017" s="1219"/>
      <c r="E1017" s="65"/>
      <c r="F1017" s="66">
        <f t="shared" si="15"/>
        <v>16.099999999999998</v>
      </c>
      <c r="G1017" s="66">
        <v>2.2999999999999998</v>
      </c>
      <c r="H1017" s="1220"/>
      <c r="I1017" s="66">
        <v>7</v>
      </c>
      <c r="J1017" s="66"/>
      <c r="K1017" s="66">
        <v>1</v>
      </c>
      <c r="L1017" s="1222"/>
      <c r="M1017" s="51"/>
      <c r="N1017" s="52"/>
      <c r="O1017" s="25"/>
      <c r="P1017" s="25"/>
    </row>
    <row r="1018" spans="1:16" ht="30" customHeight="1">
      <c r="A1018" s="61"/>
      <c r="B1018" s="62"/>
      <c r="C1018" s="63"/>
      <c r="D1018" s="1219"/>
      <c r="E1018" s="65"/>
      <c r="F1018" s="66">
        <f t="shared" si="15"/>
        <v>19.079999999999998</v>
      </c>
      <c r="G1018" s="66">
        <v>0.9</v>
      </c>
      <c r="H1018" s="1220"/>
      <c r="I1018" s="66">
        <v>10.6</v>
      </c>
      <c r="J1018" s="66"/>
      <c r="K1018" s="66">
        <v>2</v>
      </c>
      <c r="L1018" s="1222"/>
      <c r="M1018" s="51"/>
      <c r="N1018" s="52"/>
      <c r="O1018" s="25"/>
      <c r="P1018" s="25"/>
    </row>
    <row r="1019" spans="1:16" ht="30" customHeight="1">
      <c r="A1019" s="61"/>
      <c r="B1019" s="62"/>
      <c r="C1019" s="63"/>
      <c r="D1019" s="1219" t="s">
        <v>11053</v>
      </c>
      <c r="E1019" s="65"/>
      <c r="F1019" s="66">
        <f t="shared" si="15"/>
        <v>3.06</v>
      </c>
      <c r="G1019" s="66">
        <v>0.9</v>
      </c>
      <c r="H1019" s="1220"/>
      <c r="I1019" s="66">
        <v>3.4</v>
      </c>
      <c r="J1019" s="66"/>
      <c r="K1019" s="66">
        <v>1</v>
      </c>
      <c r="L1019" s="1222"/>
      <c r="M1019" s="51"/>
      <c r="N1019" s="52"/>
      <c r="O1019" s="25"/>
      <c r="P1019" s="25"/>
    </row>
    <row r="1020" spans="1:16" ht="30" customHeight="1">
      <c r="A1020" s="61"/>
      <c r="B1020" s="62"/>
      <c r="C1020" s="63"/>
      <c r="D1020" s="1219"/>
      <c r="E1020" s="65"/>
      <c r="F1020" s="66">
        <f t="shared" si="15"/>
        <v>21</v>
      </c>
      <c r="G1020" s="66">
        <v>3</v>
      </c>
      <c r="H1020" s="1220"/>
      <c r="I1020" s="66">
        <v>7</v>
      </c>
      <c r="J1020" s="66"/>
      <c r="K1020" s="66">
        <v>1</v>
      </c>
      <c r="L1020" s="1222"/>
      <c r="M1020" s="51"/>
      <c r="N1020" s="52"/>
      <c r="O1020" s="25"/>
      <c r="P1020" s="25"/>
    </row>
    <row r="1021" spans="1:16" ht="30" customHeight="1">
      <c r="A1021" s="61"/>
      <c r="B1021" s="62"/>
      <c r="C1021" s="63"/>
      <c r="D1021" s="1219"/>
      <c r="E1021" s="65"/>
      <c r="F1021" s="66">
        <f t="shared" si="15"/>
        <v>16.099999999999998</v>
      </c>
      <c r="G1021" s="66">
        <v>2.2999999999999998</v>
      </c>
      <c r="H1021" s="1220"/>
      <c r="I1021" s="66">
        <v>7</v>
      </c>
      <c r="J1021" s="66"/>
      <c r="K1021" s="66">
        <v>1</v>
      </c>
      <c r="L1021" s="1222"/>
      <c r="M1021" s="51"/>
      <c r="N1021" s="52"/>
      <c r="O1021" s="25"/>
      <c r="P1021" s="25"/>
    </row>
    <row r="1022" spans="1:16" ht="30" customHeight="1">
      <c r="A1022" s="61"/>
      <c r="B1022" s="62"/>
      <c r="C1022" s="63"/>
      <c r="D1022" s="1219"/>
      <c r="E1022" s="65"/>
      <c r="F1022" s="66">
        <f t="shared" si="15"/>
        <v>7.8199999999999994</v>
      </c>
      <c r="G1022" s="66">
        <v>2.2999999999999998</v>
      </c>
      <c r="H1022" s="1220"/>
      <c r="I1022" s="66">
        <v>3.4</v>
      </c>
      <c r="J1022" s="66"/>
      <c r="K1022" s="66">
        <v>1</v>
      </c>
      <c r="L1022" s="1222"/>
      <c r="M1022" s="51"/>
      <c r="N1022" s="52"/>
      <c r="O1022" s="25"/>
      <c r="P1022" s="25"/>
    </row>
    <row r="1023" spans="1:16" ht="30" customHeight="1">
      <c r="A1023" s="61"/>
      <c r="B1023" s="62"/>
      <c r="C1023" s="63"/>
      <c r="D1023" s="1219" t="s">
        <v>10979</v>
      </c>
      <c r="E1023" s="65"/>
      <c r="F1023" s="66">
        <f t="shared" si="15"/>
        <v>6.3</v>
      </c>
      <c r="G1023" s="66">
        <v>0.9</v>
      </c>
      <c r="H1023" s="1220"/>
      <c r="I1023" s="66">
        <v>7</v>
      </c>
      <c r="J1023" s="66"/>
      <c r="K1023" s="66">
        <v>1</v>
      </c>
      <c r="L1023" s="1222"/>
      <c r="M1023" s="51"/>
      <c r="N1023" s="52"/>
      <c r="O1023" s="25"/>
      <c r="P1023" s="25"/>
    </row>
    <row r="1024" spans="1:16" ht="30" customHeight="1">
      <c r="A1024" s="61"/>
      <c r="B1024" s="62"/>
      <c r="C1024" s="63"/>
      <c r="D1024" s="1219"/>
      <c r="E1024" s="65"/>
      <c r="F1024" s="66">
        <f t="shared" si="15"/>
        <v>16.099999999999998</v>
      </c>
      <c r="G1024" s="66">
        <v>2.2999999999999998</v>
      </c>
      <c r="H1024" s="1220"/>
      <c r="I1024" s="66">
        <v>7</v>
      </c>
      <c r="J1024" s="66"/>
      <c r="K1024" s="66">
        <v>1</v>
      </c>
      <c r="L1024" s="1222"/>
      <c r="M1024" s="51"/>
      <c r="N1024" s="52"/>
      <c r="O1024" s="25"/>
      <c r="P1024" s="25"/>
    </row>
    <row r="1025" spans="1:16" ht="30" customHeight="1">
      <c r="A1025" s="61"/>
      <c r="B1025" s="62"/>
      <c r="C1025" s="63"/>
      <c r="D1025" s="1219"/>
      <c r="E1025" s="65"/>
      <c r="F1025" s="66">
        <f t="shared" si="15"/>
        <v>16.099999999999998</v>
      </c>
      <c r="G1025" s="66">
        <v>2.2999999999999998</v>
      </c>
      <c r="H1025" s="1220"/>
      <c r="I1025" s="66">
        <v>7</v>
      </c>
      <c r="J1025" s="66"/>
      <c r="K1025" s="66">
        <v>1</v>
      </c>
      <c r="L1025" s="1222"/>
      <c r="M1025" s="51"/>
      <c r="N1025" s="52"/>
      <c r="O1025" s="25"/>
      <c r="P1025" s="25"/>
    </row>
    <row r="1026" spans="1:16" ht="30" customHeight="1">
      <c r="A1026" s="61"/>
      <c r="B1026" s="62"/>
      <c r="C1026" s="63"/>
      <c r="D1026" s="1219"/>
      <c r="E1026" s="65"/>
      <c r="F1026" s="66">
        <f t="shared" si="15"/>
        <v>16.099999999999998</v>
      </c>
      <c r="G1026" s="66">
        <v>2.2999999999999998</v>
      </c>
      <c r="H1026" s="1220"/>
      <c r="I1026" s="66">
        <v>7</v>
      </c>
      <c r="J1026" s="66"/>
      <c r="K1026" s="66">
        <v>1</v>
      </c>
      <c r="L1026" s="1222"/>
      <c r="M1026" s="51"/>
      <c r="N1026" s="52"/>
      <c r="O1026" s="25"/>
      <c r="P1026" s="25"/>
    </row>
    <row r="1027" spans="1:16" ht="30" customHeight="1">
      <c r="A1027" s="61"/>
      <c r="B1027" s="62"/>
      <c r="C1027" s="63"/>
      <c r="D1027" s="1219" t="s">
        <v>11054</v>
      </c>
      <c r="E1027" s="65"/>
      <c r="F1027" s="66">
        <f t="shared" si="15"/>
        <v>15.524999999999999</v>
      </c>
      <c r="G1027" s="66">
        <v>2.2999999999999998</v>
      </c>
      <c r="H1027" s="1220"/>
      <c r="I1027" s="66">
        <v>6.75</v>
      </c>
      <c r="J1027" s="66"/>
      <c r="K1027" s="66">
        <v>1</v>
      </c>
      <c r="L1027" s="1222"/>
      <c r="M1027" s="51"/>
      <c r="N1027" s="52"/>
      <c r="O1027" s="25"/>
      <c r="P1027" s="25"/>
    </row>
    <row r="1028" spans="1:16" ht="30" customHeight="1">
      <c r="A1028" s="61"/>
      <c r="B1028" s="62"/>
      <c r="C1028" s="63"/>
      <c r="D1028" s="1219"/>
      <c r="E1028" s="65"/>
      <c r="F1028" s="66">
        <f t="shared" si="15"/>
        <v>20.25</v>
      </c>
      <c r="G1028" s="66">
        <v>3</v>
      </c>
      <c r="H1028" s="1220"/>
      <c r="I1028" s="66">
        <v>6.75</v>
      </c>
      <c r="J1028" s="66"/>
      <c r="K1028" s="66">
        <v>1</v>
      </c>
      <c r="L1028" s="1222"/>
      <c r="M1028" s="51"/>
      <c r="N1028" s="52"/>
      <c r="O1028" s="25"/>
      <c r="P1028" s="25"/>
    </row>
    <row r="1029" spans="1:16" ht="30" customHeight="1">
      <c r="A1029" s="61"/>
      <c r="B1029" s="62"/>
      <c r="C1029" s="63"/>
      <c r="D1029" s="1219"/>
      <c r="E1029" s="65"/>
      <c r="F1029" s="66">
        <f t="shared" si="15"/>
        <v>7.3500000000000005</v>
      </c>
      <c r="G1029" s="66">
        <v>3</v>
      </c>
      <c r="H1029" s="1220"/>
      <c r="I1029" s="66">
        <v>2.4500000000000002</v>
      </c>
      <c r="J1029" s="66"/>
      <c r="K1029" s="66">
        <v>1</v>
      </c>
      <c r="L1029" s="1222"/>
      <c r="M1029" s="51"/>
      <c r="N1029" s="52"/>
      <c r="O1029" s="25"/>
      <c r="P1029" s="25"/>
    </row>
    <row r="1030" spans="1:16" ht="30" customHeight="1">
      <c r="A1030" s="61"/>
      <c r="B1030" s="62"/>
      <c r="C1030" s="63"/>
      <c r="D1030" s="1219"/>
      <c r="E1030" s="65"/>
      <c r="F1030" s="66">
        <f t="shared" si="15"/>
        <v>4.8000000000000007</v>
      </c>
      <c r="G1030" s="66">
        <v>3</v>
      </c>
      <c r="H1030" s="1220"/>
      <c r="I1030" s="66">
        <v>1.6</v>
      </c>
      <c r="J1030" s="66"/>
      <c r="K1030" s="66">
        <v>1</v>
      </c>
      <c r="L1030" s="1222"/>
      <c r="M1030" s="51"/>
      <c r="N1030" s="52"/>
      <c r="O1030" s="25"/>
      <c r="P1030" s="25"/>
    </row>
    <row r="1031" spans="1:16" ht="30" customHeight="1">
      <c r="A1031" s="61"/>
      <c r="B1031" s="62"/>
      <c r="C1031" s="63"/>
      <c r="D1031" s="1219" t="s">
        <v>11055</v>
      </c>
      <c r="E1031" s="65"/>
      <c r="F1031" s="66">
        <f t="shared" si="15"/>
        <v>16.099999999999998</v>
      </c>
      <c r="G1031" s="66">
        <v>2.2999999999999998</v>
      </c>
      <c r="H1031" s="1220"/>
      <c r="I1031" s="66">
        <v>7</v>
      </c>
      <c r="J1031" s="66"/>
      <c r="K1031" s="66">
        <v>1</v>
      </c>
      <c r="L1031" s="1222"/>
      <c r="M1031" s="51"/>
      <c r="N1031" s="52"/>
      <c r="O1031" s="25"/>
      <c r="P1031" s="25"/>
    </row>
    <row r="1032" spans="1:16" ht="30" customHeight="1">
      <c r="A1032" s="61"/>
      <c r="B1032" s="62"/>
      <c r="C1032" s="63"/>
      <c r="D1032" s="1219"/>
      <c r="E1032" s="65"/>
      <c r="F1032" s="66">
        <f t="shared" si="15"/>
        <v>16.099999999999998</v>
      </c>
      <c r="G1032" s="66">
        <v>2.2999999999999998</v>
      </c>
      <c r="H1032" s="1220"/>
      <c r="I1032" s="66">
        <v>7</v>
      </c>
      <c r="J1032" s="66"/>
      <c r="K1032" s="66">
        <v>1</v>
      </c>
      <c r="L1032" s="1222"/>
      <c r="M1032" s="51"/>
      <c r="N1032" s="52"/>
      <c r="O1032" s="25"/>
      <c r="P1032" s="25"/>
    </row>
    <row r="1033" spans="1:16" ht="30" customHeight="1">
      <c r="A1033" s="61"/>
      <c r="B1033" s="62"/>
      <c r="C1033" s="63"/>
      <c r="D1033" s="1219"/>
      <c r="E1033" s="65"/>
      <c r="F1033" s="66">
        <f t="shared" si="15"/>
        <v>15.87</v>
      </c>
      <c r="G1033" s="66">
        <v>2.2999999999999998</v>
      </c>
      <c r="H1033" s="1220"/>
      <c r="I1033" s="66">
        <v>6.9</v>
      </c>
      <c r="J1033" s="66"/>
      <c r="K1033" s="66">
        <v>1</v>
      </c>
      <c r="L1033" s="1222"/>
      <c r="M1033" s="51"/>
      <c r="N1033" s="52"/>
      <c r="O1033" s="25"/>
      <c r="P1033" s="25"/>
    </row>
    <row r="1034" spans="1:16" ht="30" customHeight="1">
      <c r="A1034" s="61"/>
      <c r="B1034" s="62"/>
      <c r="C1034" s="63"/>
      <c r="D1034" s="1219"/>
      <c r="E1034" s="65"/>
      <c r="F1034" s="66">
        <f t="shared" si="15"/>
        <v>6.2100000000000009</v>
      </c>
      <c r="G1034" s="66">
        <v>0.9</v>
      </c>
      <c r="H1034" s="1220"/>
      <c r="I1034" s="66">
        <v>6.9</v>
      </c>
      <c r="J1034" s="66"/>
      <c r="K1034" s="66">
        <v>1</v>
      </c>
      <c r="L1034" s="1222"/>
      <c r="M1034" s="51"/>
      <c r="N1034" s="52"/>
      <c r="O1034" s="25"/>
      <c r="P1034" s="25"/>
    </row>
    <row r="1035" spans="1:16" ht="30" customHeight="1">
      <c r="A1035" s="61"/>
      <c r="B1035" s="62"/>
      <c r="C1035" s="63"/>
      <c r="D1035" s="1219" t="s">
        <v>1260</v>
      </c>
      <c r="E1035" s="65"/>
      <c r="F1035" s="66">
        <f t="shared" si="15"/>
        <v>11.867999999999999</v>
      </c>
      <c r="G1035" s="66">
        <v>2.2999999999999998</v>
      </c>
      <c r="H1035" s="1220"/>
      <c r="I1035" s="66">
        <v>5.16</v>
      </c>
      <c r="J1035" s="66"/>
      <c r="K1035" s="66">
        <v>1</v>
      </c>
      <c r="L1035" s="1222"/>
      <c r="M1035" s="51"/>
      <c r="N1035" s="52"/>
      <c r="O1035" s="25"/>
      <c r="P1035" s="25"/>
    </row>
    <row r="1036" spans="1:16" ht="30" customHeight="1">
      <c r="A1036" s="61"/>
      <c r="B1036" s="62"/>
      <c r="C1036" s="63"/>
      <c r="D1036" s="1219"/>
      <c r="E1036" s="65"/>
      <c r="F1036" s="66">
        <f t="shared" si="15"/>
        <v>21</v>
      </c>
      <c r="G1036" s="66">
        <v>3</v>
      </c>
      <c r="H1036" s="1220"/>
      <c r="I1036" s="66">
        <v>7</v>
      </c>
      <c r="J1036" s="66"/>
      <c r="K1036" s="66">
        <v>1</v>
      </c>
      <c r="L1036" s="1222"/>
      <c r="M1036" s="51"/>
      <c r="N1036" s="52"/>
      <c r="O1036" s="25"/>
      <c r="P1036" s="25"/>
    </row>
    <row r="1037" spans="1:16" ht="30" customHeight="1">
      <c r="A1037" s="61"/>
      <c r="B1037" s="62"/>
      <c r="C1037" s="63"/>
      <c r="D1037" s="1219" t="s">
        <v>11056</v>
      </c>
      <c r="E1037" s="65"/>
      <c r="F1037" s="66">
        <f t="shared" si="15"/>
        <v>10.199999999999999</v>
      </c>
      <c r="G1037" s="66">
        <v>3</v>
      </c>
      <c r="H1037" s="1220"/>
      <c r="I1037" s="66">
        <v>3.4</v>
      </c>
      <c r="J1037" s="66"/>
      <c r="K1037" s="66">
        <v>1</v>
      </c>
      <c r="L1037" s="1222"/>
      <c r="M1037" s="51"/>
      <c r="N1037" s="52"/>
      <c r="O1037" s="25"/>
      <c r="P1037" s="25"/>
    </row>
    <row r="1038" spans="1:16" ht="30" customHeight="1">
      <c r="A1038" s="61"/>
      <c r="B1038" s="62"/>
      <c r="C1038" s="63"/>
      <c r="D1038" s="1219"/>
      <c r="E1038" s="65"/>
      <c r="F1038" s="66">
        <f t="shared" si="15"/>
        <v>7.8199999999999994</v>
      </c>
      <c r="G1038" s="66">
        <v>2.2999999999999998</v>
      </c>
      <c r="H1038" s="1220"/>
      <c r="I1038" s="66">
        <v>3.4</v>
      </c>
      <c r="J1038" s="66"/>
      <c r="K1038" s="66">
        <v>1</v>
      </c>
      <c r="L1038" s="1222"/>
      <c r="M1038" s="51"/>
      <c r="N1038" s="52"/>
      <c r="O1038" s="25"/>
      <c r="P1038" s="25"/>
    </row>
    <row r="1039" spans="1:16" ht="30" customHeight="1">
      <c r="A1039" s="61"/>
      <c r="B1039" s="62"/>
      <c r="C1039" s="63"/>
      <c r="D1039" s="1219"/>
      <c r="E1039" s="65"/>
      <c r="F1039" s="66">
        <f t="shared" si="15"/>
        <v>20.216999999999995</v>
      </c>
      <c r="G1039" s="66">
        <v>2.2999999999999998</v>
      </c>
      <c r="H1039" s="1220"/>
      <c r="I1039" s="66">
        <v>8.7899999999999991</v>
      </c>
      <c r="J1039" s="66"/>
      <c r="K1039" s="66">
        <v>1</v>
      </c>
      <c r="L1039" s="1222"/>
      <c r="M1039" s="51"/>
      <c r="N1039" s="52"/>
      <c r="O1039" s="25"/>
      <c r="P1039" s="25"/>
    </row>
    <row r="1040" spans="1:16" ht="30" customHeight="1">
      <c r="A1040" s="61"/>
      <c r="B1040" s="62"/>
      <c r="C1040" s="63"/>
      <c r="D1040" s="1219"/>
      <c r="E1040" s="65"/>
      <c r="F1040" s="66">
        <f t="shared" si="15"/>
        <v>7.8199999999999994</v>
      </c>
      <c r="G1040" s="66">
        <v>2.2999999999999998</v>
      </c>
      <c r="H1040" s="1220"/>
      <c r="I1040" s="66">
        <v>3.4</v>
      </c>
      <c r="J1040" s="66"/>
      <c r="K1040" s="66">
        <v>1</v>
      </c>
      <c r="L1040" s="1222"/>
      <c r="M1040" s="51"/>
      <c r="N1040" s="52"/>
      <c r="O1040" s="25"/>
      <c r="P1040" s="25"/>
    </row>
    <row r="1041" spans="1:16" ht="30" customHeight="1">
      <c r="A1041" s="61"/>
      <c r="B1041" s="62"/>
      <c r="C1041" s="63"/>
      <c r="D1041" s="1219"/>
      <c r="E1041" s="65"/>
      <c r="F1041" s="66">
        <f t="shared" si="15"/>
        <v>10.8</v>
      </c>
      <c r="G1041" s="66">
        <v>3</v>
      </c>
      <c r="H1041" s="1220"/>
      <c r="I1041" s="66">
        <v>3.6</v>
      </c>
      <c r="J1041" s="66"/>
      <c r="K1041" s="66">
        <v>1</v>
      </c>
      <c r="L1041" s="1222"/>
      <c r="M1041" s="51"/>
      <c r="N1041" s="52"/>
      <c r="O1041" s="25"/>
      <c r="P1041" s="25"/>
    </row>
    <row r="1042" spans="1:16" ht="30" customHeight="1">
      <c r="A1042" s="61"/>
      <c r="B1042" s="62"/>
      <c r="C1042" s="63"/>
      <c r="D1042" s="1219"/>
      <c r="E1042" s="65"/>
      <c r="F1042" s="66">
        <f t="shared" si="15"/>
        <v>10.199999999999999</v>
      </c>
      <c r="G1042" s="66">
        <v>3</v>
      </c>
      <c r="H1042" s="1220"/>
      <c r="I1042" s="66">
        <v>3.4</v>
      </c>
      <c r="J1042" s="66"/>
      <c r="K1042" s="66">
        <v>1</v>
      </c>
      <c r="L1042" s="1222"/>
      <c r="M1042" s="51"/>
      <c r="N1042" s="52"/>
      <c r="O1042" s="25"/>
      <c r="P1042" s="25"/>
    </row>
    <row r="1043" spans="1:16" ht="30" customHeight="1">
      <c r="A1043" s="61"/>
      <c r="B1043" s="62"/>
      <c r="C1043" s="63"/>
      <c r="D1043" s="1219" t="s">
        <v>10972</v>
      </c>
      <c r="E1043" s="65"/>
      <c r="F1043" s="66">
        <f t="shared" si="15"/>
        <v>7.9579999999999993</v>
      </c>
      <c r="G1043" s="66">
        <v>2.2999999999999998</v>
      </c>
      <c r="H1043" s="1220"/>
      <c r="I1043" s="66">
        <v>3.46</v>
      </c>
      <c r="J1043" s="66"/>
      <c r="K1043" s="66">
        <v>1</v>
      </c>
      <c r="L1043" s="1222"/>
      <c r="M1043" s="51"/>
      <c r="N1043" s="52"/>
      <c r="O1043" s="25"/>
      <c r="P1043" s="25"/>
    </row>
    <row r="1044" spans="1:16" ht="30" customHeight="1">
      <c r="A1044" s="61"/>
      <c r="B1044" s="62"/>
      <c r="C1044" s="63"/>
      <c r="D1044" s="1219"/>
      <c r="E1044" s="65"/>
      <c r="F1044" s="66">
        <f t="shared" si="15"/>
        <v>10.379999999999999</v>
      </c>
      <c r="G1044" s="66">
        <v>3</v>
      </c>
      <c r="H1044" s="1220"/>
      <c r="I1044" s="66">
        <v>3.46</v>
      </c>
      <c r="J1044" s="66"/>
      <c r="K1044" s="66">
        <v>1</v>
      </c>
      <c r="L1044" s="1222"/>
      <c r="M1044" s="51"/>
      <c r="N1044" s="52"/>
      <c r="O1044" s="25"/>
      <c r="P1044" s="25"/>
    </row>
    <row r="1045" spans="1:16" ht="30" customHeight="1">
      <c r="A1045" s="61"/>
      <c r="B1045" s="62"/>
      <c r="C1045" s="63"/>
      <c r="D1045" s="1219"/>
      <c r="E1045" s="65"/>
      <c r="F1045" s="66">
        <f t="shared" si="15"/>
        <v>6.8999999999999995</v>
      </c>
      <c r="G1045" s="66">
        <v>2.2999999999999998</v>
      </c>
      <c r="H1045" s="1220"/>
      <c r="I1045" s="66">
        <v>3</v>
      </c>
      <c r="J1045" s="66"/>
      <c r="K1045" s="66">
        <v>1</v>
      </c>
      <c r="L1045" s="1222"/>
      <c r="M1045" s="51"/>
      <c r="N1045" s="52"/>
      <c r="O1045" s="25"/>
      <c r="P1045" s="25"/>
    </row>
    <row r="1046" spans="1:16" ht="30" customHeight="1">
      <c r="A1046" s="61"/>
      <c r="B1046" s="62"/>
      <c r="C1046" s="63"/>
      <c r="D1046" s="1219"/>
      <c r="E1046" s="65"/>
      <c r="F1046" s="66">
        <f t="shared" si="15"/>
        <v>9</v>
      </c>
      <c r="G1046" s="66">
        <v>3</v>
      </c>
      <c r="H1046" s="1220"/>
      <c r="I1046" s="66">
        <v>3</v>
      </c>
      <c r="J1046" s="66"/>
      <c r="K1046" s="66">
        <v>1</v>
      </c>
      <c r="L1046" s="1222"/>
      <c r="M1046" s="51"/>
      <c r="N1046" s="52"/>
      <c r="O1046" s="25"/>
      <c r="P1046" s="25"/>
    </row>
    <row r="1047" spans="1:16" ht="30" customHeight="1">
      <c r="A1047" s="61"/>
      <c r="B1047" s="62"/>
      <c r="C1047" s="63"/>
      <c r="D1047" s="1219" t="s">
        <v>11057</v>
      </c>
      <c r="E1047" s="65"/>
      <c r="F1047" s="88"/>
      <c r="G1047" s="66"/>
      <c r="H1047" s="1220"/>
      <c r="I1047" s="66"/>
      <c r="J1047" s="66"/>
      <c r="K1047" s="66"/>
      <c r="L1047" s="1222"/>
      <c r="M1047" s="51"/>
      <c r="N1047" s="52"/>
      <c r="O1047" s="25"/>
      <c r="P1047" s="25"/>
    </row>
    <row r="1048" spans="1:16" ht="30" customHeight="1">
      <c r="A1048" s="61"/>
      <c r="B1048" s="62"/>
      <c r="C1048" s="63"/>
      <c r="D1048" s="1219"/>
      <c r="E1048" s="65"/>
      <c r="F1048" s="88"/>
      <c r="G1048" s="66"/>
      <c r="H1048" s="1220"/>
      <c r="I1048" s="66"/>
      <c r="J1048" s="66"/>
      <c r="K1048" s="66"/>
      <c r="L1048" s="1222"/>
      <c r="M1048" s="51"/>
      <c r="N1048" s="52"/>
      <c r="O1048" s="25"/>
      <c r="P1048" s="25"/>
    </row>
    <row r="1049" spans="1:16" ht="30" customHeight="1">
      <c r="A1049" s="61" t="s">
        <v>850</v>
      </c>
      <c r="B1049" s="62" t="s">
        <v>26</v>
      </c>
      <c r="C1049" s="63" t="s">
        <v>851</v>
      </c>
      <c r="D1049" s="1219" t="str">
        <f>IFERROR(UPPER(IF(B1049="CPU",VLOOKUP(C1049,#REF!,2,0),IF(B1049="SINAPI",VLOOKUP(C1049,#REF!,2,0),IF(B1049="EDIF",VLOOKUP(C1049,#REF!,2,0),IF(B1049="CDHU",VLOOKUP(C1049,#REF!,2,0),IF(B1049="FDE",VLOOKUP(C1049,'FDE 10-23 '!$A$4:$E$3180,2,0),IF(B1049="INFRA",VLOOKUP(C1049,#REF!,2,0),""))))))),"")</f>
        <v>REVESTIMENTO COM AZULEJOS  RETIFICADOS LISOS BRANCO BRILHANTE</v>
      </c>
      <c r="E1049" s="65" t="str">
        <f>VLOOKUP(C1049,'FDE 10-23 '!$A$4:$E$3180,3,0)</f>
        <v>M2</v>
      </c>
      <c r="F1049" s="1112">
        <f>SUM(F1050:F1108)</f>
        <v>567.70299999999986</v>
      </c>
      <c r="G1049" s="66"/>
      <c r="H1049" s="1220"/>
      <c r="I1049" s="66"/>
      <c r="J1049" s="66"/>
      <c r="K1049" s="66"/>
      <c r="L1049" s="1222"/>
      <c r="M1049" s="51"/>
      <c r="N1049" s="52"/>
      <c r="O1049" s="25"/>
      <c r="P1049" s="25"/>
    </row>
    <row r="1050" spans="1:16" ht="30" customHeight="1">
      <c r="A1050" s="61"/>
      <c r="B1050" s="62"/>
      <c r="C1050" s="63"/>
      <c r="D1050" s="1219"/>
      <c r="E1050" s="65"/>
      <c r="F1050" s="88"/>
      <c r="G1050" s="66"/>
      <c r="H1050" s="1220"/>
      <c r="I1050" s="66"/>
      <c r="J1050" s="66"/>
      <c r="K1050" s="66"/>
      <c r="L1050" s="1222"/>
      <c r="M1050" s="51"/>
      <c r="N1050" s="52"/>
      <c r="O1050" s="25"/>
      <c r="P1050" s="25"/>
    </row>
    <row r="1051" spans="1:16" ht="30" customHeight="1">
      <c r="A1051" s="61"/>
      <c r="B1051" s="62"/>
      <c r="C1051" s="63"/>
      <c r="D1051" s="1219" t="s">
        <v>10958</v>
      </c>
      <c r="E1051" s="65"/>
      <c r="F1051" s="66">
        <f t="shared" ref="F1051:F1082" si="16">G1051*I1051*K1051</f>
        <v>9.7979999999999983</v>
      </c>
      <c r="G1051" s="66">
        <v>2.2999999999999998</v>
      </c>
      <c r="H1051" s="1220"/>
      <c r="I1051" s="66">
        <v>4.26</v>
      </c>
      <c r="J1051" s="66"/>
      <c r="K1051" s="66">
        <v>1</v>
      </c>
      <c r="L1051" s="1222"/>
      <c r="M1051" s="51"/>
      <c r="N1051" s="52"/>
      <c r="O1051" s="25"/>
      <c r="P1051" s="25"/>
    </row>
    <row r="1052" spans="1:16" ht="30" customHeight="1">
      <c r="A1052" s="61"/>
      <c r="B1052" s="62"/>
      <c r="C1052" s="63"/>
      <c r="D1052" s="1219"/>
      <c r="E1052" s="65"/>
      <c r="F1052" s="66">
        <f t="shared" si="16"/>
        <v>12.78</v>
      </c>
      <c r="G1052" s="66">
        <v>3</v>
      </c>
      <c r="H1052" s="1220"/>
      <c r="I1052" s="66">
        <v>4.26</v>
      </c>
      <c r="J1052" s="66"/>
      <c r="K1052" s="66">
        <v>1</v>
      </c>
      <c r="L1052" s="1222"/>
      <c r="M1052" s="51"/>
      <c r="N1052" s="52"/>
      <c r="O1052" s="25"/>
      <c r="P1052" s="25"/>
    </row>
    <row r="1053" spans="1:16" ht="30" customHeight="1">
      <c r="A1053" s="61"/>
      <c r="B1053" s="62"/>
      <c r="C1053" s="63"/>
      <c r="D1053" s="1219"/>
      <c r="E1053" s="65"/>
      <c r="F1053" s="66">
        <f t="shared" si="16"/>
        <v>7.7279999999999989</v>
      </c>
      <c r="G1053" s="66">
        <v>2.2999999999999998</v>
      </c>
      <c r="H1053" s="1220"/>
      <c r="I1053" s="66">
        <v>3.36</v>
      </c>
      <c r="J1053" s="66"/>
      <c r="K1053" s="66">
        <v>1</v>
      </c>
      <c r="L1053" s="1222"/>
      <c r="M1053" s="51"/>
      <c r="N1053" s="52"/>
      <c r="O1053" s="25"/>
      <c r="P1053" s="25"/>
    </row>
    <row r="1054" spans="1:16" ht="30" customHeight="1">
      <c r="A1054" s="61"/>
      <c r="B1054" s="62"/>
      <c r="C1054" s="63"/>
      <c r="D1054" s="1219"/>
      <c r="E1054" s="65"/>
      <c r="F1054" s="66">
        <f t="shared" si="16"/>
        <v>7.7279999999999989</v>
      </c>
      <c r="G1054" s="66">
        <v>2.2999999999999998</v>
      </c>
      <c r="H1054" s="1220"/>
      <c r="I1054" s="66">
        <v>3.36</v>
      </c>
      <c r="J1054" s="66"/>
      <c r="K1054" s="66">
        <v>1</v>
      </c>
      <c r="L1054" s="1222"/>
      <c r="M1054" s="51"/>
      <c r="N1054" s="52"/>
      <c r="O1054" s="25"/>
      <c r="P1054" s="25"/>
    </row>
    <row r="1055" spans="1:16" ht="30" customHeight="1">
      <c r="A1055" s="61"/>
      <c r="B1055" s="62"/>
      <c r="C1055" s="63"/>
      <c r="D1055" s="1219" t="s">
        <v>10959</v>
      </c>
      <c r="E1055" s="65"/>
      <c r="F1055" s="66">
        <f t="shared" si="16"/>
        <v>19.595999999999997</v>
      </c>
      <c r="G1055" s="66">
        <v>2.2999999999999998</v>
      </c>
      <c r="H1055" s="1220"/>
      <c r="I1055" s="66">
        <v>4.26</v>
      </c>
      <c r="J1055" s="66"/>
      <c r="K1055" s="66">
        <v>2</v>
      </c>
      <c r="L1055" s="1222"/>
      <c r="M1055" s="51"/>
      <c r="N1055" s="52"/>
      <c r="O1055" s="25"/>
      <c r="P1055" s="25"/>
    </row>
    <row r="1056" spans="1:16" ht="30" customHeight="1">
      <c r="A1056" s="61"/>
      <c r="B1056" s="62"/>
      <c r="C1056" s="63"/>
      <c r="D1056" s="1219"/>
      <c r="E1056" s="65"/>
      <c r="F1056" s="66">
        <f t="shared" si="16"/>
        <v>7.7279999999999989</v>
      </c>
      <c r="G1056" s="66">
        <v>2.2999999999999998</v>
      </c>
      <c r="H1056" s="1220"/>
      <c r="I1056" s="66">
        <v>3.36</v>
      </c>
      <c r="J1056" s="66"/>
      <c r="K1056" s="66">
        <v>1</v>
      </c>
      <c r="L1056" s="1222"/>
      <c r="M1056" s="51"/>
      <c r="N1056" s="52"/>
      <c r="O1056" s="25"/>
      <c r="P1056" s="25"/>
    </row>
    <row r="1057" spans="1:16" ht="30" customHeight="1">
      <c r="A1057" s="61"/>
      <c r="B1057" s="62"/>
      <c r="C1057" s="63"/>
      <c r="D1057" s="1219"/>
      <c r="E1057" s="65"/>
      <c r="F1057" s="66">
        <f t="shared" si="16"/>
        <v>7.7279999999999989</v>
      </c>
      <c r="G1057" s="66">
        <v>2.2999999999999998</v>
      </c>
      <c r="H1057" s="1220"/>
      <c r="I1057" s="66">
        <v>3.36</v>
      </c>
      <c r="J1057" s="66"/>
      <c r="K1057" s="66">
        <v>1</v>
      </c>
      <c r="L1057" s="1222"/>
      <c r="M1057" s="51"/>
      <c r="N1057" s="52"/>
      <c r="O1057" s="25"/>
      <c r="P1057" s="25"/>
    </row>
    <row r="1058" spans="1:16" ht="30" customHeight="1">
      <c r="A1058" s="61"/>
      <c r="B1058" s="62"/>
      <c r="C1058" s="63"/>
      <c r="D1058" s="1219" t="s">
        <v>10960</v>
      </c>
      <c r="E1058" s="65"/>
      <c r="F1058" s="66">
        <f t="shared" si="16"/>
        <v>5.6579999999999995</v>
      </c>
      <c r="G1058" s="66">
        <v>2.2999999999999998</v>
      </c>
      <c r="H1058" s="1220"/>
      <c r="I1058" s="66">
        <v>2.46</v>
      </c>
      <c r="J1058" s="66"/>
      <c r="K1058" s="66">
        <v>1</v>
      </c>
      <c r="L1058" s="1222"/>
      <c r="M1058" s="51"/>
      <c r="N1058" s="52"/>
      <c r="O1058" s="25"/>
      <c r="P1058" s="25"/>
    </row>
    <row r="1059" spans="1:16" ht="30" customHeight="1">
      <c r="A1059" s="61"/>
      <c r="B1059" s="62"/>
      <c r="C1059" s="63"/>
      <c r="D1059" s="1219"/>
      <c r="E1059" s="65"/>
      <c r="F1059" s="66">
        <f t="shared" si="16"/>
        <v>7.38</v>
      </c>
      <c r="G1059" s="66">
        <v>3</v>
      </c>
      <c r="H1059" s="1220"/>
      <c r="I1059" s="66">
        <v>2.46</v>
      </c>
      <c r="J1059" s="66"/>
      <c r="K1059" s="66">
        <v>1</v>
      </c>
      <c r="L1059" s="1222"/>
      <c r="M1059" s="51"/>
      <c r="N1059" s="52"/>
      <c r="O1059" s="25"/>
      <c r="P1059" s="25"/>
    </row>
    <row r="1060" spans="1:16" ht="30" customHeight="1">
      <c r="A1060" s="61"/>
      <c r="B1060" s="62"/>
      <c r="C1060" s="63"/>
      <c r="D1060" s="1219"/>
      <c r="E1060" s="65"/>
      <c r="F1060" s="66">
        <f t="shared" si="16"/>
        <v>5.3760000000000003</v>
      </c>
      <c r="G1060" s="66">
        <v>0.8</v>
      </c>
      <c r="H1060" s="1220"/>
      <c r="I1060" s="66">
        <v>3.36</v>
      </c>
      <c r="J1060" s="66"/>
      <c r="K1060" s="66">
        <v>2</v>
      </c>
      <c r="L1060" s="1222"/>
      <c r="M1060" s="51"/>
      <c r="N1060" s="52"/>
      <c r="O1060" s="25"/>
      <c r="P1060" s="25"/>
    </row>
    <row r="1061" spans="1:16" ht="30" customHeight="1">
      <c r="A1061" s="61"/>
      <c r="B1061" s="62"/>
      <c r="C1061" s="63"/>
      <c r="D1061" s="1219" t="s">
        <v>10961</v>
      </c>
      <c r="E1061" s="65"/>
      <c r="F1061" s="66">
        <f t="shared" si="16"/>
        <v>11.315999999999999</v>
      </c>
      <c r="G1061" s="66">
        <v>2.2999999999999998</v>
      </c>
      <c r="H1061" s="1220"/>
      <c r="I1061" s="66">
        <v>2.46</v>
      </c>
      <c r="J1061" s="66"/>
      <c r="K1061" s="66">
        <v>2</v>
      </c>
      <c r="L1061" s="1222"/>
      <c r="M1061" s="51"/>
      <c r="N1061" s="52"/>
      <c r="O1061" s="25"/>
      <c r="P1061" s="25"/>
    </row>
    <row r="1062" spans="1:16" ht="30" customHeight="1">
      <c r="A1062" s="61"/>
      <c r="B1062" s="62"/>
      <c r="C1062" s="63"/>
      <c r="D1062" s="1219"/>
      <c r="E1062" s="65"/>
      <c r="F1062" s="66">
        <f t="shared" si="16"/>
        <v>15.455999999999998</v>
      </c>
      <c r="G1062" s="66">
        <v>2.2999999999999998</v>
      </c>
      <c r="H1062" s="1220"/>
      <c r="I1062" s="66">
        <v>3.36</v>
      </c>
      <c r="J1062" s="66"/>
      <c r="K1062" s="66">
        <v>2</v>
      </c>
      <c r="L1062" s="1222"/>
      <c r="M1062" s="51"/>
      <c r="N1062" s="52"/>
      <c r="O1062" s="25"/>
      <c r="P1062" s="25"/>
    </row>
    <row r="1063" spans="1:16" ht="30" customHeight="1">
      <c r="A1063" s="61"/>
      <c r="B1063" s="62"/>
      <c r="C1063" s="63"/>
      <c r="D1063" s="1219" t="s">
        <v>10962</v>
      </c>
      <c r="E1063" s="65"/>
      <c r="F1063" s="66">
        <f t="shared" si="16"/>
        <v>6.4409999999999998</v>
      </c>
      <c r="G1063" s="66">
        <v>1.9</v>
      </c>
      <c r="H1063" s="1220"/>
      <c r="I1063" s="66">
        <v>3.39</v>
      </c>
      <c r="J1063" s="66"/>
      <c r="K1063" s="66">
        <v>1</v>
      </c>
      <c r="L1063" s="1222"/>
      <c r="M1063" s="51"/>
      <c r="N1063" s="52"/>
      <c r="O1063" s="25"/>
      <c r="P1063" s="25"/>
    </row>
    <row r="1064" spans="1:16" ht="30" customHeight="1">
      <c r="A1064" s="61"/>
      <c r="B1064" s="62"/>
      <c r="C1064" s="63"/>
      <c r="D1064" s="1219"/>
      <c r="E1064" s="65"/>
      <c r="F1064" s="66">
        <f t="shared" si="16"/>
        <v>12.78</v>
      </c>
      <c r="G1064" s="66">
        <v>3</v>
      </c>
      <c r="H1064" s="1220"/>
      <c r="I1064" s="66">
        <v>4.26</v>
      </c>
      <c r="J1064" s="66"/>
      <c r="K1064" s="66">
        <v>1</v>
      </c>
      <c r="L1064" s="1222"/>
      <c r="M1064" s="51"/>
      <c r="N1064" s="52"/>
      <c r="O1064" s="25"/>
      <c r="P1064" s="25"/>
    </row>
    <row r="1065" spans="1:16" ht="30" customHeight="1">
      <c r="A1065" s="61"/>
      <c r="B1065" s="62"/>
      <c r="C1065" s="63"/>
      <c r="D1065" s="1219"/>
      <c r="E1065" s="65"/>
      <c r="F1065" s="66">
        <f t="shared" si="16"/>
        <v>5.22</v>
      </c>
      <c r="G1065" s="66">
        <v>3</v>
      </c>
      <c r="H1065" s="1220"/>
      <c r="I1065" s="66">
        <v>1.74</v>
      </c>
      <c r="J1065" s="66"/>
      <c r="K1065" s="66">
        <v>1</v>
      </c>
      <c r="L1065" s="1222"/>
      <c r="M1065" s="51"/>
      <c r="N1065" s="52"/>
      <c r="O1065" s="25"/>
      <c r="P1065" s="25"/>
    </row>
    <row r="1066" spans="1:16" ht="30" customHeight="1">
      <c r="A1066" s="61"/>
      <c r="B1066" s="62"/>
      <c r="C1066" s="63"/>
      <c r="D1066" s="1219"/>
      <c r="E1066" s="65"/>
      <c r="F1066" s="66">
        <f t="shared" si="16"/>
        <v>8.1000000000000014</v>
      </c>
      <c r="G1066" s="66">
        <v>3</v>
      </c>
      <c r="H1066" s="1220"/>
      <c r="I1066" s="66">
        <v>2.7</v>
      </c>
      <c r="J1066" s="66"/>
      <c r="K1066" s="66">
        <v>1</v>
      </c>
      <c r="L1066" s="1222"/>
      <c r="M1066" s="51"/>
      <c r="N1066" s="52"/>
      <c r="O1066" s="25"/>
      <c r="P1066" s="25"/>
    </row>
    <row r="1067" spans="1:16" ht="30" customHeight="1">
      <c r="A1067" s="61"/>
      <c r="B1067" s="62"/>
      <c r="C1067" s="63"/>
      <c r="D1067" s="1219"/>
      <c r="E1067" s="65"/>
      <c r="F1067" s="66">
        <f t="shared" si="16"/>
        <v>3.7949999999999995</v>
      </c>
      <c r="G1067" s="66">
        <v>2.2999999999999998</v>
      </c>
      <c r="H1067" s="1220"/>
      <c r="I1067" s="66">
        <v>1.65</v>
      </c>
      <c r="J1067" s="66"/>
      <c r="K1067" s="66">
        <v>1</v>
      </c>
      <c r="L1067" s="1222"/>
      <c r="M1067" s="51"/>
      <c r="N1067" s="52"/>
      <c r="O1067" s="25"/>
      <c r="P1067" s="25"/>
    </row>
    <row r="1068" spans="1:16" ht="30" customHeight="1">
      <c r="A1068" s="61"/>
      <c r="B1068" s="62"/>
      <c r="C1068" s="63"/>
      <c r="D1068" s="1219"/>
      <c r="E1068" s="65"/>
      <c r="F1068" s="66">
        <f t="shared" si="16"/>
        <v>1.2349999999999999</v>
      </c>
      <c r="G1068" s="66">
        <v>1.9</v>
      </c>
      <c r="H1068" s="1220"/>
      <c r="I1068" s="66">
        <v>0.65</v>
      </c>
      <c r="J1068" s="66"/>
      <c r="K1068" s="66">
        <v>1</v>
      </c>
      <c r="L1068" s="1222"/>
      <c r="M1068" s="51"/>
      <c r="N1068" s="52"/>
      <c r="O1068" s="25"/>
      <c r="P1068" s="25"/>
    </row>
    <row r="1069" spans="1:16" ht="30" customHeight="1">
      <c r="A1069" s="61"/>
      <c r="B1069" s="62"/>
      <c r="C1069" s="63"/>
      <c r="D1069" s="1219" t="s">
        <v>10963</v>
      </c>
      <c r="E1069" s="65"/>
      <c r="F1069" s="66">
        <f t="shared" si="16"/>
        <v>3.7949999999999995</v>
      </c>
      <c r="G1069" s="66">
        <v>2.2999999999999998</v>
      </c>
      <c r="H1069" s="1220"/>
      <c r="I1069" s="66">
        <v>1.65</v>
      </c>
      <c r="J1069" s="66"/>
      <c r="K1069" s="66">
        <v>1</v>
      </c>
      <c r="L1069" s="1222"/>
      <c r="M1069" s="51"/>
      <c r="N1069" s="52"/>
      <c r="O1069" s="25"/>
      <c r="P1069" s="25"/>
    </row>
    <row r="1070" spans="1:16" ht="30" customHeight="1">
      <c r="A1070" s="61"/>
      <c r="B1070" s="62"/>
      <c r="C1070" s="63"/>
      <c r="D1070" s="1219"/>
      <c r="E1070" s="65"/>
      <c r="F1070" s="66">
        <f t="shared" si="16"/>
        <v>16.187999999999999</v>
      </c>
      <c r="G1070" s="66">
        <v>1.9</v>
      </c>
      <c r="H1070" s="1220"/>
      <c r="I1070" s="66">
        <v>4.26</v>
      </c>
      <c r="J1070" s="66"/>
      <c r="K1070" s="66">
        <v>2</v>
      </c>
      <c r="L1070" s="1222"/>
      <c r="M1070" s="51"/>
      <c r="N1070" s="52"/>
      <c r="O1070" s="25"/>
      <c r="P1070" s="25"/>
    </row>
    <row r="1071" spans="1:16" ht="30" customHeight="1">
      <c r="A1071" s="61"/>
      <c r="B1071" s="62"/>
      <c r="C1071" s="63"/>
      <c r="D1071" s="1219"/>
      <c r="E1071" s="65"/>
      <c r="F1071" s="66">
        <f t="shared" si="16"/>
        <v>4.6739999999999995</v>
      </c>
      <c r="G1071" s="66">
        <v>1.9</v>
      </c>
      <c r="H1071" s="1220"/>
      <c r="I1071" s="66">
        <v>2.46</v>
      </c>
      <c r="J1071" s="66"/>
      <c r="K1071" s="66">
        <v>1</v>
      </c>
      <c r="L1071" s="1222"/>
      <c r="M1071" s="51"/>
      <c r="N1071" s="52"/>
      <c r="O1071" s="25"/>
      <c r="P1071" s="25"/>
    </row>
    <row r="1072" spans="1:16" ht="30" customHeight="1">
      <c r="A1072" s="61"/>
      <c r="B1072" s="62"/>
      <c r="C1072" s="63"/>
      <c r="D1072" s="1219"/>
      <c r="E1072" s="65"/>
      <c r="F1072" s="66">
        <f t="shared" si="16"/>
        <v>6.4409999999999998</v>
      </c>
      <c r="G1072" s="66">
        <v>1.9</v>
      </c>
      <c r="H1072" s="1220"/>
      <c r="I1072" s="66">
        <v>3.39</v>
      </c>
      <c r="J1072" s="66"/>
      <c r="K1072" s="66">
        <v>1</v>
      </c>
      <c r="L1072" s="1222"/>
      <c r="M1072" s="51"/>
      <c r="N1072" s="52"/>
      <c r="O1072" s="25"/>
      <c r="P1072" s="25"/>
    </row>
    <row r="1073" spans="1:16" ht="30" customHeight="1">
      <c r="A1073" s="61"/>
      <c r="B1073" s="62"/>
      <c r="C1073" s="63"/>
      <c r="D1073" s="1219"/>
      <c r="E1073" s="65"/>
      <c r="F1073" s="66">
        <f t="shared" si="16"/>
        <v>1.2349999999999999</v>
      </c>
      <c r="G1073" s="66">
        <v>1.9</v>
      </c>
      <c r="H1073" s="1220"/>
      <c r="I1073" s="66">
        <v>0.65</v>
      </c>
      <c r="J1073" s="66"/>
      <c r="K1073" s="66">
        <v>1</v>
      </c>
      <c r="L1073" s="1222"/>
      <c r="M1073" s="51"/>
      <c r="N1073" s="52"/>
      <c r="O1073" s="25"/>
      <c r="P1073" s="25"/>
    </row>
    <row r="1074" spans="1:16" ht="30" customHeight="1">
      <c r="A1074" s="61"/>
      <c r="B1074" s="62"/>
      <c r="C1074" s="63"/>
      <c r="D1074" s="1219"/>
      <c r="E1074" s="65"/>
      <c r="F1074" s="66">
        <f t="shared" si="16"/>
        <v>5.22</v>
      </c>
      <c r="G1074" s="66">
        <v>3</v>
      </c>
      <c r="H1074" s="1220"/>
      <c r="I1074" s="66">
        <v>1.74</v>
      </c>
      <c r="J1074" s="66"/>
      <c r="K1074" s="66">
        <v>1</v>
      </c>
      <c r="L1074" s="1222"/>
      <c r="M1074" s="51"/>
      <c r="N1074" s="52"/>
      <c r="O1074" s="25"/>
      <c r="P1074" s="25"/>
    </row>
    <row r="1075" spans="1:16" ht="30" customHeight="1">
      <c r="A1075" s="61"/>
      <c r="B1075" s="62"/>
      <c r="C1075" s="63"/>
      <c r="D1075" s="1219"/>
      <c r="E1075" s="65"/>
      <c r="F1075" s="66">
        <f t="shared" si="16"/>
        <v>7.38</v>
      </c>
      <c r="G1075" s="66">
        <v>3</v>
      </c>
      <c r="H1075" s="1220"/>
      <c r="I1075" s="66">
        <v>2.46</v>
      </c>
      <c r="J1075" s="66"/>
      <c r="K1075" s="66">
        <v>1</v>
      </c>
      <c r="L1075" s="1222"/>
      <c r="M1075" s="51"/>
      <c r="N1075" s="52"/>
      <c r="O1075" s="25"/>
      <c r="P1075" s="25"/>
    </row>
    <row r="1076" spans="1:16" ht="30" customHeight="1">
      <c r="A1076" s="61"/>
      <c r="B1076" s="62"/>
      <c r="C1076" s="63"/>
      <c r="D1076" s="1219" t="s">
        <v>10964</v>
      </c>
      <c r="E1076" s="65"/>
      <c r="F1076" s="66">
        <f t="shared" si="16"/>
        <v>10.199999999999999</v>
      </c>
      <c r="G1076" s="66">
        <v>3</v>
      </c>
      <c r="H1076" s="1220"/>
      <c r="I1076" s="66">
        <v>1.7</v>
      </c>
      <c r="J1076" s="66"/>
      <c r="K1076" s="66">
        <v>2</v>
      </c>
      <c r="L1076" s="1222"/>
      <c r="M1076" s="51"/>
      <c r="N1076" s="52"/>
      <c r="O1076" s="25"/>
      <c r="P1076" s="25"/>
    </row>
    <row r="1077" spans="1:16" ht="30" customHeight="1">
      <c r="A1077" s="61"/>
      <c r="B1077" s="62"/>
      <c r="C1077" s="63"/>
      <c r="D1077" s="1219"/>
      <c r="E1077" s="65"/>
      <c r="F1077" s="66">
        <f t="shared" si="16"/>
        <v>6.8999999999999995</v>
      </c>
      <c r="G1077" s="66">
        <v>2.2999999999999998</v>
      </c>
      <c r="H1077" s="1220"/>
      <c r="I1077" s="66">
        <v>1.5</v>
      </c>
      <c r="J1077" s="66"/>
      <c r="K1077" s="66">
        <v>2</v>
      </c>
      <c r="L1077" s="1222"/>
      <c r="M1077" s="51"/>
      <c r="N1077" s="52"/>
      <c r="O1077" s="25"/>
      <c r="P1077" s="25"/>
    </row>
    <row r="1078" spans="1:16" ht="30" customHeight="1">
      <c r="A1078" s="61"/>
      <c r="B1078" s="62"/>
      <c r="C1078" s="63"/>
      <c r="D1078" s="1219" t="s">
        <v>10965</v>
      </c>
      <c r="E1078" s="65"/>
      <c r="F1078" s="66">
        <f t="shared" si="16"/>
        <v>10.199999999999999</v>
      </c>
      <c r="G1078" s="66">
        <v>3</v>
      </c>
      <c r="H1078" s="1220"/>
      <c r="I1078" s="66">
        <v>1.7</v>
      </c>
      <c r="J1078" s="66"/>
      <c r="K1078" s="66">
        <v>2</v>
      </c>
      <c r="L1078" s="1222"/>
      <c r="M1078" s="51"/>
      <c r="N1078" s="52"/>
      <c r="O1078" s="25"/>
      <c r="P1078" s="25"/>
    </row>
    <row r="1079" spans="1:16" ht="30" customHeight="1">
      <c r="A1079" s="61"/>
      <c r="B1079" s="62"/>
      <c r="C1079" s="63"/>
      <c r="D1079" s="1219"/>
      <c r="E1079" s="65"/>
      <c r="F1079" s="66">
        <f t="shared" si="16"/>
        <v>6.8999999999999995</v>
      </c>
      <c r="G1079" s="66">
        <v>2.2999999999999998</v>
      </c>
      <c r="H1079" s="1220"/>
      <c r="I1079" s="66">
        <v>1.5</v>
      </c>
      <c r="J1079" s="66"/>
      <c r="K1079" s="66">
        <v>2</v>
      </c>
      <c r="L1079" s="1222"/>
      <c r="M1079" s="51"/>
      <c r="N1079" s="52"/>
      <c r="O1079" s="25"/>
      <c r="P1079" s="25"/>
    </row>
    <row r="1080" spans="1:16" ht="30" customHeight="1">
      <c r="A1080" s="61"/>
      <c r="B1080" s="62"/>
      <c r="C1080" s="63"/>
      <c r="D1080" s="1219" t="s">
        <v>10968</v>
      </c>
      <c r="E1080" s="65"/>
      <c r="F1080" s="66">
        <f t="shared" si="16"/>
        <v>9.8899999999999988</v>
      </c>
      <c r="G1080" s="66">
        <v>2.2999999999999998</v>
      </c>
      <c r="H1080" s="1220"/>
      <c r="I1080" s="66">
        <v>4.3</v>
      </c>
      <c r="J1080" s="66"/>
      <c r="K1080" s="66">
        <v>1</v>
      </c>
      <c r="L1080" s="1222"/>
      <c r="M1080" s="51"/>
      <c r="N1080" s="52"/>
      <c r="O1080" s="25"/>
      <c r="P1080" s="25"/>
    </row>
    <row r="1081" spans="1:16" ht="30" customHeight="1">
      <c r="A1081" s="61"/>
      <c r="B1081" s="62"/>
      <c r="C1081" s="63"/>
      <c r="D1081" s="1219"/>
      <c r="E1081" s="65"/>
      <c r="F1081" s="66">
        <f t="shared" si="16"/>
        <v>12.899999999999999</v>
      </c>
      <c r="G1081" s="66">
        <v>3</v>
      </c>
      <c r="H1081" s="1220"/>
      <c r="I1081" s="66">
        <v>4.3</v>
      </c>
      <c r="J1081" s="66"/>
      <c r="K1081" s="66">
        <v>1</v>
      </c>
      <c r="L1081" s="1222"/>
      <c r="M1081" s="51"/>
      <c r="N1081" s="52"/>
      <c r="O1081" s="25"/>
      <c r="P1081" s="25"/>
    </row>
    <row r="1082" spans="1:16" ht="30" customHeight="1">
      <c r="A1082" s="61"/>
      <c r="B1082" s="62"/>
      <c r="C1082" s="63"/>
      <c r="D1082" s="1219"/>
      <c r="E1082" s="65"/>
      <c r="F1082" s="66">
        <f t="shared" si="16"/>
        <v>16.007999999999999</v>
      </c>
      <c r="G1082" s="66">
        <v>2.2999999999999998</v>
      </c>
      <c r="H1082" s="1220"/>
      <c r="I1082" s="66">
        <v>6.96</v>
      </c>
      <c r="J1082" s="66"/>
      <c r="K1082" s="66">
        <v>1</v>
      </c>
      <c r="L1082" s="1222"/>
      <c r="M1082" s="51"/>
      <c r="N1082" s="52"/>
      <c r="O1082" s="25"/>
      <c r="P1082" s="25"/>
    </row>
    <row r="1083" spans="1:16" ht="30" customHeight="1">
      <c r="A1083" s="61"/>
      <c r="B1083" s="62"/>
      <c r="C1083" s="63"/>
      <c r="D1083" s="1219"/>
      <c r="E1083" s="65"/>
      <c r="F1083" s="66">
        <f t="shared" ref="F1083:F1114" si="17">G1083*I1083*K1083</f>
        <v>20.88</v>
      </c>
      <c r="G1083" s="66">
        <v>3</v>
      </c>
      <c r="H1083" s="1220"/>
      <c r="I1083" s="66">
        <v>6.96</v>
      </c>
      <c r="J1083" s="66"/>
      <c r="K1083" s="66">
        <v>1</v>
      </c>
      <c r="L1083" s="1222"/>
      <c r="M1083" s="51"/>
      <c r="N1083" s="52"/>
      <c r="O1083" s="25"/>
      <c r="P1083" s="25"/>
    </row>
    <row r="1084" spans="1:16" ht="30" customHeight="1">
      <c r="A1084" s="61"/>
      <c r="B1084" s="62"/>
      <c r="C1084" s="63"/>
      <c r="D1084" s="1219" t="s">
        <v>10969</v>
      </c>
      <c r="E1084" s="65"/>
      <c r="F1084" s="66">
        <f t="shared" si="17"/>
        <v>5.6349999999999998</v>
      </c>
      <c r="G1084" s="66">
        <v>2.2999999999999998</v>
      </c>
      <c r="H1084" s="1220"/>
      <c r="I1084" s="66">
        <v>2.4500000000000002</v>
      </c>
      <c r="J1084" s="66"/>
      <c r="K1084" s="66">
        <v>1</v>
      </c>
      <c r="L1084" s="1222"/>
      <c r="M1084" s="51"/>
      <c r="N1084" s="52"/>
      <c r="O1084" s="25"/>
      <c r="P1084" s="25"/>
    </row>
    <row r="1085" spans="1:16" ht="30" customHeight="1">
      <c r="A1085" s="61"/>
      <c r="B1085" s="62"/>
      <c r="C1085" s="63"/>
      <c r="D1085" s="1219"/>
      <c r="E1085" s="65"/>
      <c r="F1085" s="66">
        <f t="shared" si="17"/>
        <v>7.3500000000000005</v>
      </c>
      <c r="G1085" s="66">
        <v>3</v>
      </c>
      <c r="H1085" s="1220"/>
      <c r="I1085" s="66">
        <v>2.4500000000000002</v>
      </c>
      <c r="J1085" s="66"/>
      <c r="K1085" s="66">
        <v>1</v>
      </c>
      <c r="L1085" s="1222"/>
      <c r="M1085" s="51"/>
      <c r="N1085" s="52"/>
      <c r="O1085" s="25"/>
      <c r="P1085" s="25"/>
    </row>
    <row r="1086" spans="1:16" ht="30" customHeight="1">
      <c r="A1086" s="61"/>
      <c r="B1086" s="62"/>
      <c r="C1086" s="63"/>
      <c r="D1086" s="1219"/>
      <c r="E1086" s="65"/>
      <c r="F1086" s="66">
        <f t="shared" si="17"/>
        <v>15.450000000000001</v>
      </c>
      <c r="G1086" s="66">
        <v>3</v>
      </c>
      <c r="H1086" s="1220"/>
      <c r="I1086" s="66">
        <v>5.15</v>
      </c>
      <c r="J1086" s="66"/>
      <c r="K1086" s="66">
        <v>1</v>
      </c>
      <c r="L1086" s="1222"/>
      <c r="M1086" s="51"/>
      <c r="N1086" s="52"/>
      <c r="O1086" s="25"/>
      <c r="P1086" s="25"/>
    </row>
    <row r="1087" spans="1:16" ht="30" customHeight="1">
      <c r="A1087" s="61"/>
      <c r="B1087" s="62"/>
      <c r="C1087" s="63"/>
      <c r="D1087" s="1219"/>
      <c r="E1087" s="65"/>
      <c r="F1087" s="66">
        <f t="shared" si="17"/>
        <v>15.450000000000001</v>
      </c>
      <c r="G1087" s="66">
        <v>3</v>
      </c>
      <c r="H1087" s="1220"/>
      <c r="I1087" s="66">
        <v>5.15</v>
      </c>
      <c r="J1087" s="66"/>
      <c r="K1087" s="66">
        <v>1</v>
      </c>
      <c r="L1087" s="1222"/>
      <c r="M1087" s="51"/>
      <c r="N1087" s="52"/>
      <c r="O1087" s="25"/>
      <c r="P1087" s="25"/>
    </row>
    <row r="1088" spans="1:16" ht="30" customHeight="1">
      <c r="A1088" s="61"/>
      <c r="B1088" s="62"/>
      <c r="C1088" s="63"/>
      <c r="D1088" s="1219" t="s">
        <v>10970</v>
      </c>
      <c r="E1088" s="65"/>
      <c r="F1088" s="66">
        <f t="shared" si="17"/>
        <v>4.6500000000000004</v>
      </c>
      <c r="G1088" s="66">
        <v>3</v>
      </c>
      <c r="H1088" s="1220"/>
      <c r="I1088" s="66">
        <v>1.55</v>
      </c>
      <c r="J1088" s="66"/>
      <c r="K1088" s="66">
        <v>1</v>
      </c>
      <c r="L1088" s="1222"/>
      <c r="M1088" s="51"/>
      <c r="N1088" s="52"/>
      <c r="O1088" s="25"/>
      <c r="P1088" s="25"/>
    </row>
    <row r="1089" spans="1:16" ht="30" customHeight="1">
      <c r="A1089" s="61"/>
      <c r="B1089" s="62"/>
      <c r="C1089" s="63"/>
      <c r="D1089" s="1219"/>
      <c r="E1089" s="65"/>
      <c r="F1089" s="66">
        <f t="shared" si="17"/>
        <v>4.6500000000000004</v>
      </c>
      <c r="G1089" s="66">
        <v>3</v>
      </c>
      <c r="H1089" s="1220"/>
      <c r="I1089" s="66">
        <v>1.55</v>
      </c>
      <c r="J1089" s="66"/>
      <c r="K1089" s="66">
        <v>1</v>
      </c>
      <c r="L1089" s="1222"/>
      <c r="M1089" s="51"/>
      <c r="N1089" s="52"/>
      <c r="O1089" s="25"/>
      <c r="P1089" s="25"/>
    </row>
    <row r="1090" spans="1:16" ht="30" customHeight="1">
      <c r="A1090" s="61"/>
      <c r="B1090" s="62"/>
      <c r="C1090" s="63"/>
      <c r="D1090" s="1219"/>
      <c r="E1090" s="65"/>
      <c r="F1090" s="66">
        <f t="shared" si="17"/>
        <v>14.700000000000001</v>
      </c>
      <c r="G1090" s="66">
        <v>3</v>
      </c>
      <c r="H1090" s="1220"/>
      <c r="I1090" s="66">
        <v>2.4500000000000002</v>
      </c>
      <c r="J1090" s="66"/>
      <c r="K1090" s="66">
        <v>2</v>
      </c>
      <c r="L1090" s="1222"/>
      <c r="M1090" s="51"/>
      <c r="N1090" s="52"/>
      <c r="O1090" s="25"/>
      <c r="P1090" s="25"/>
    </row>
    <row r="1091" spans="1:16" ht="30" customHeight="1">
      <c r="A1091" s="61"/>
      <c r="B1091" s="62"/>
      <c r="C1091" s="63"/>
      <c r="D1091" s="1219" t="s">
        <v>10971</v>
      </c>
      <c r="E1091" s="65"/>
      <c r="F1091" s="66">
        <f t="shared" si="17"/>
        <v>3.5879999999999996</v>
      </c>
      <c r="G1091" s="66">
        <v>2.2999999999999998</v>
      </c>
      <c r="H1091" s="1220"/>
      <c r="I1091" s="66">
        <v>1.56</v>
      </c>
      <c r="J1091" s="66"/>
      <c r="K1091" s="66">
        <v>1</v>
      </c>
      <c r="L1091" s="1222"/>
      <c r="M1091" s="51"/>
      <c r="N1091" s="52"/>
      <c r="O1091" s="25"/>
      <c r="P1091" s="25"/>
    </row>
    <row r="1092" spans="1:16" ht="30" customHeight="1">
      <c r="A1092" s="61"/>
      <c r="B1092" s="62"/>
      <c r="C1092" s="63"/>
      <c r="D1092" s="1219"/>
      <c r="E1092" s="65"/>
      <c r="F1092" s="66">
        <f t="shared" si="17"/>
        <v>4.68</v>
      </c>
      <c r="G1092" s="66">
        <v>3</v>
      </c>
      <c r="H1092" s="1220"/>
      <c r="I1092" s="66">
        <v>1.56</v>
      </c>
      <c r="J1092" s="66"/>
      <c r="K1092" s="66">
        <v>1</v>
      </c>
      <c r="L1092" s="1222"/>
      <c r="M1092" s="51"/>
      <c r="N1092" s="52"/>
      <c r="O1092" s="25"/>
      <c r="P1092" s="25"/>
    </row>
    <row r="1093" spans="1:16" ht="30" customHeight="1">
      <c r="A1093" s="61"/>
      <c r="B1093" s="62"/>
      <c r="C1093" s="63"/>
      <c r="D1093" s="1219"/>
      <c r="E1093" s="65"/>
      <c r="F1093" s="66">
        <f t="shared" si="17"/>
        <v>20.16</v>
      </c>
      <c r="G1093" s="66">
        <v>3</v>
      </c>
      <c r="H1093" s="1220"/>
      <c r="I1093" s="66">
        <v>3.36</v>
      </c>
      <c r="J1093" s="66"/>
      <c r="K1093" s="66">
        <v>2</v>
      </c>
      <c r="L1093" s="1222"/>
      <c r="M1093" s="51"/>
      <c r="N1093" s="52"/>
      <c r="O1093" s="25"/>
      <c r="P1093" s="25"/>
    </row>
    <row r="1094" spans="1:16" ht="30" customHeight="1">
      <c r="A1094" s="61"/>
      <c r="B1094" s="62"/>
      <c r="C1094" s="63"/>
      <c r="D1094" s="1219" t="s">
        <v>10971</v>
      </c>
      <c r="E1094" s="65"/>
      <c r="F1094" s="66">
        <f t="shared" si="17"/>
        <v>3.5879999999999996</v>
      </c>
      <c r="G1094" s="66">
        <v>2.2999999999999998</v>
      </c>
      <c r="H1094" s="1220"/>
      <c r="I1094" s="66">
        <v>1.56</v>
      </c>
      <c r="J1094" s="66"/>
      <c r="K1094" s="66">
        <v>1</v>
      </c>
      <c r="L1094" s="1222"/>
      <c r="M1094" s="51"/>
      <c r="N1094" s="52"/>
      <c r="O1094" s="25"/>
      <c r="P1094" s="25"/>
    </row>
    <row r="1095" spans="1:16" ht="30" customHeight="1">
      <c r="A1095" s="61"/>
      <c r="B1095" s="62"/>
      <c r="C1095" s="63"/>
      <c r="D1095" s="1219"/>
      <c r="E1095" s="65"/>
      <c r="F1095" s="66">
        <f t="shared" si="17"/>
        <v>4.68</v>
      </c>
      <c r="G1095" s="66">
        <v>3</v>
      </c>
      <c r="H1095" s="1220"/>
      <c r="I1095" s="66">
        <v>1.56</v>
      </c>
      <c r="J1095" s="66"/>
      <c r="K1095" s="66">
        <v>1</v>
      </c>
      <c r="L1095" s="1222"/>
      <c r="M1095" s="51"/>
      <c r="N1095" s="52"/>
      <c r="O1095" s="25"/>
      <c r="P1095" s="25"/>
    </row>
    <row r="1096" spans="1:16" ht="30" customHeight="1">
      <c r="A1096" s="61"/>
      <c r="B1096" s="62"/>
      <c r="C1096" s="63"/>
      <c r="D1096" s="1219"/>
      <c r="E1096" s="65"/>
      <c r="F1096" s="66">
        <f t="shared" si="17"/>
        <v>20.16</v>
      </c>
      <c r="G1096" s="66">
        <v>3</v>
      </c>
      <c r="H1096" s="1220"/>
      <c r="I1096" s="66">
        <v>3.36</v>
      </c>
      <c r="J1096" s="66"/>
      <c r="K1096" s="66">
        <v>2</v>
      </c>
      <c r="L1096" s="1222"/>
      <c r="M1096" s="51"/>
      <c r="N1096" s="52"/>
      <c r="O1096" s="25"/>
      <c r="P1096" s="25"/>
    </row>
    <row r="1097" spans="1:16" ht="30" customHeight="1">
      <c r="A1097" s="61"/>
      <c r="B1097" s="62"/>
      <c r="C1097" s="63"/>
      <c r="D1097" s="1219" t="s">
        <v>10973</v>
      </c>
      <c r="E1097" s="65"/>
      <c r="F1097" s="66">
        <f t="shared" si="17"/>
        <v>20.16</v>
      </c>
      <c r="G1097" s="66">
        <v>3</v>
      </c>
      <c r="H1097" s="1220"/>
      <c r="I1097" s="66">
        <v>3.36</v>
      </c>
      <c r="J1097" s="66"/>
      <c r="K1097" s="66">
        <v>2</v>
      </c>
      <c r="L1097" s="1222"/>
      <c r="M1097" s="51"/>
      <c r="N1097" s="52"/>
      <c r="O1097" s="25"/>
      <c r="P1097" s="25"/>
    </row>
    <row r="1098" spans="1:16" ht="30" customHeight="1">
      <c r="A1098" s="61"/>
      <c r="B1098" s="62"/>
      <c r="C1098" s="63"/>
      <c r="D1098" s="1219"/>
      <c r="E1098" s="65"/>
      <c r="F1098" s="66">
        <f t="shared" si="17"/>
        <v>11.407999999999999</v>
      </c>
      <c r="G1098" s="66">
        <v>2.2999999999999998</v>
      </c>
      <c r="H1098" s="1220"/>
      <c r="I1098" s="66">
        <v>2.48</v>
      </c>
      <c r="J1098" s="66"/>
      <c r="K1098" s="66">
        <v>2</v>
      </c>
      <c r="L1098" s="1222"/>
      <c r="M1098" s="51"/>
      <c r="N1098" s="52"/>
      <c r="O1098" s="25"/>
      <c r="P1098" s="25"/>
    </row>
    <row r="1099" spans="1:16" ht="30" customHeight="1">
      <c r="A1099" s="61"/>
      <c r="B1099" s="62"/>
      <c r="C1099" s="63"/>
      <c r="D1099" s="1219" t="s">
        <v>10974</v>
      </c>
      <c r="E1099" s="65"/>
      <c r="F1099" s="66">
        <f t="shared" si="17"/>
        <v>7.3599999999999994</v>
      </c>
      <c r="G1099" s="66">
        <v>2.2999999999999998</v>
      </c>
      <c r="H1099" s="1220"/>
      <c r="I1099" s="66">
        <v>1.6</v>
      </c>
      <c r="J1099" s="66"/>
      <c r="K1099" s="66">
        <v>2</v>
      </c>
      <c r="L1099" s="1222"/>
      <c r="M1099" s="51"/>
      <c r="N1099" s="52"/>
      <c r="O1099" s="25"/>
      <c r="P1099" s="25"/>
    </row>
    <row r="1100" spans="1:16" ht="30" customHeight="1">
      <c r="A1100" s="61"/>
      <c r="B1100" s="62"/>
      <c r="C1100" s="63"/>
      <c r="D1100" s="1219"/>
      <c r="E1100" s="65"/>
      <c r="F1100" s="66">
        <f t="shared" si="17"/>
        <v>25.68</v>
      </c>
      <c r="G1100" s="66">
        <v>3</v>
      </c>
      <c r="H1100" s="1220"/>
      <c r="I1100" s="66">
        <v>4.28</v>
      </c>
      <c r="J1100" s="66"/>
      <c r="K1100" s="66">
        <v>2</v>
      </c>
      <c r="L1100" s="1222"/>
      <c r="M1100" s="51"/>
      <c r="N1100" s="52"/>
      <c r="O1100" s="25"/>
      <c r="P1100" s="25"/>
    </row>
    <row r="1101" spans="1:16" ht="30" customHeight="1">
      <c r="A1101" s="61"/>
      <c r="B1101" s="62"/>
      <c r="C1101" s="63"/>
      <c r="D1101" s="1219" t="s">
        <v>10975</v>
      </c>
      <c r="E1101" s="65"/>
      <c r="F1101" s="66">
        <f t="shared" si="17"/>
        <v>3.5879999999999996</v>
      </c>
      <c r="G1101" s="66">
        <v>2.2999999999999998</v>
      </c>
      <c r="H1101" s="1220"/>
      <c r="I1101" s="66">
        <v>1.56</v>
      </c>
      <c r="J1101" s="66"/>
      <c r="K1101" s="66">
        <v>1</v>
      </c>
      <c r="L1101" s="1222"/>
      <c r="M1101" s="51"/>
      <c r="N1101" s="52"/>
      <c r="O1101" s="25"/>
      <c r="P1101" s="25"/>
    </row>
    <row r="1102" spans="1:16" ht="30" customHeight="1">
      <c r="A1102" s="61"/>
      <c r="B1102" s="62"/>
      <c r="C1102" s="63"/>
      <c r="D1102" s="1219"/>
      <c r="E1102" s="65"/>
      <c r="F1102" s="66">
        <f t="shared" si="17"/>
        <v>25.68</v>
      </c>
      <c r="G1102" s="66">
        <v>3</v>
      </c>
      <c r="H1102" s="1220"/>
      <c r="I1102" s="66">
        <v>4.28</v>
      </c>
      <c r="J1102" s="66"/>
      <c r="K1102" s="66">
        <v>2</v>
      </c>
      <c r="L1102" s="1222"/>
      <c r="M1102" s="51"/>
      <c r="N1102" s="52"/>
      <c r="O1102" s="25"/>
      <c r="P1102" s="25"/>
    </row>
    <row r="1103" spans="1:16" ht="27" customHeight="1">
      <c r="A1103" s="61"/>
      <c r="B1103" s="62"/>
      <c r="C1103" s="63"/>
      <c r="D1103" s="1219" t="s">
        <v>10977</v>
      </c>
      <c r="E1103" s="65"/>
      <c r="F1103" s="66">
        <f t="shared" si="17"/>
        <v>3.5879999999999996</v>
      </c>
      <c r="G1103" s="66">
        <v>2.2999999999999998</v>
      </c>
      <c r="H1103" s="1220"/>
      <c r="I1103" s="66">
        <v>1.56</v>
      </c>
      <c r="J1103" s="66"/>
      <c r="K1103" s="66">
        <v>1</v>
      </c>
      <c r="L1103" s="1222"/>
      <c r="M1103" s="51"/>
      <c r="N1103" s="52"/>
      <c r="O1103" s="25"/>
      <c r="P1103" s="25"/>
    </row>
    <row r="1104" spans="1:16" ht="30" customHeight="1">
      <c r="A1104" s="61"/>
      <c r="B1104" s="62"/>
      <c r="C1104" s="63"/>
      <c r="D1104" s="1219"/>
      <c r="E1104" s="65"/>
      <c r="F1104" s="66">
        <f t="shared" si="17"/>
        <v>3.5879999999999996</v>
      </c>
      <c r="G1104" s="66">
        <v>2.2999999999999998</v>
      </c>
      <c r="H1104" s="1220"/>
      <c r="I1104" s="66">
        <v>1.56</v>
      </c>
      <c r="J1104" s="66"/>
      <c r="K1104" s="66">
        <v>1</v>
      </c>
      <c r="L1104" s="1222"/>
      <c r="M1104" s="51"/>
      <c r="N1104" s="52"/>
      <c r="O1104" s="25"/>
      <c r="P1104" s="25"/>
    </row>
    <row r="1105" spans="1:16" ht="30" customHeight="1">
      <c r="A1105" s="61"/>
      <c r="B1105" s="62"/>
      <c r="C1105" s="63"/>
      <c r="D1105" s="1219"/>
      <c r="E1105" s="65"/>
      <c r="F1105" s="66">
        <f t="shared" si="17"/>
        <v>20.04</v>
      </c>
      <c r="G1105" s="66">
        <v>3</v>
      </c>
      <c r="H1105" s="1220"/>
      <c r="I1105" s="66">
        <v>3.34</v>
      </c>
      <c r="J1105" s="66"/>
      <c r="K1105" s="66">
        <v>2</v>
      </c>
      <c r="L1105" s="1222"/>
      <c r="M1105" s="51"/>
      <c r="N1105" s="52"/>
      <c r="O1105" s="25"/>
      <c r="P1105" s="25"/>
    </row>
    <row r="1106" spans="1:16" ht="30" customHeight="1">
      <c r="A1106" s="61"/>
      <c r="B1106" s="62"/>
      <c r="C1106" s="63"/>
      <c r="D1106" s="1219" t="s">
        <v>10977</v>
      </c>
      <c r="E1106" s="65"/>
      <c r="F1106" s="66">
        <f t="shared" si="17"/>
        <v>3.5879999999999996</v>
      </c>
      <c r="G1106" s="66">
        <v>2.2999999999999998</v>
      </c>
      <c r="H1106" s="1220"/>
      <c r="I1106" s="66">
        <v>1.56</v>
      </c>
      <c r="J1106" s="66"/>
      <c r="K1106" s="66">
        <v>1</v>
      </c>
      <c r="L1106" s="1222"/>
      <c r="M1106" s="51"/>
      <c r="N1106" s="52"/>
      <c r="O1106" s="25"/>
      <c r="P1106" s="25"/>
    </row>
    <row r="1107" spans="1:16" ht="30" customHeight="1">
      <c r="A1107" s="61"/>
      <c r="B1107" s="62"/>
      <c r="C1107" s="63"/>
      <c r="D1107" s="1219"/>
      <c r="E1107" s="65"/>
      <c r="F1107" s="66">
        <f t="shared" si="17"/>
        <v>3.5879999999999996</v>
      </c>
      <c r="G1107" s="66">
        <v>2.2999999999999998</v>
      </c>
      <c r="H1107" s="1220"/>
      <c r="I1107" s="66">
        <v>1.56</v>
      </c>
      <c r="J1107" s="66"/>
      <c r="K1107" s="66">
        <v>1</v>
      </c>
      <c r="L1107" s="1222"/>
      <c r="M1107" s="51"/>
      <c r="N1107" s="52"/>
      <c r="O1107" s="25"/>
      <c r="P1107" s="25"/>
    </row>
    <row r="1108" spans="1:16" ht="30" customHeight="1">
      <c r="A1108" s="61"/>
      <c r="B1108" s="62"/>
      <c r="C1108" s="63"/>
      <c r="D1108" s="1219"/>
      <c r="E1108" s="65"/>
      <c r="F1108" s="66">
        <f t="shared" si="17"/>
        <v>20.04</v>
      </c>
      <c r="G1108" s="66">
        <v>3</v>
      </c>
      <c r="H1108" s="1220"/>
      <c r="I1108" s="66">
        <v>3.34</v>
      </c>
      <c r="J1108" s="66"/>
      <c r="K1108" s="66">
        <v>2</v>
      </c>
      <c r="L1108" s="1222"/>
      <c r="M1108" s="51"/>
      <c r="N1108" s="52"/>
      <c r="O1108" s="25"/>
      <c r="P1108" s="25"/>
    </row>
    <row r="1109" spans="1:16" ht="30" customHeight="1">
      <c r="A1109" s="61"/>
      <c r="B1109" s="62"/>
      <c r="C1109" s="63"/>
      <c r="D1109" s="1219"/>
      <c r="E1109" s="65"/>
      <c r="F1109" s="66"/>
      <c r="G1109" s="66"/>
      <c r="H1109" s="1220"/>
      <c r="I1109" s="66"/>
      <c r="J1109" s="66"/>
      <c r="K1109" s="66"/>
      <c r="L1109" s="1222"/>
      <c r="M1109" s="51"/>
      <c r="N1109" s="52"/>
      <c r="O1109" s="25"/>
      <c r="P1109" s="25"/>
    </row>
    <row r="1110" spans="1:16" ht="30" customHeight="1">
      <c r="A1110" s="61" t="s">
        <v>852</v>
      </c>
      <c r="B1110" s="62" t="s">
        <v>26</v>
      </c>
      <c r="C1110" s="63" t="s">
        <v>853</v>
      </c>
      <c r="D1110" s="1219" t="str">
        <f>IFERROR(UPPER(IF(B1110="CPU",VLOOKUP(C1110,#REF!,2,0),IF(B1110="SINAPI",VLOOKUP(C1110,#REF!,2,0),IF(B1110="EDIF",VLOOKUP(C1110,#REF!,2,0),IF(B1110="CDHU",VLOOKUP(C1110,#REF!,2,0),IF(B1110="FDE",VLOOKUP(C1110,'FDE 10-23 '!$A$4:$E$3180,2,0),IF(B1110="INFRA",VLOOKUP(C1110,#REF!,2,0),""))))))),"")</f>
        <v>PERFIL SEXTAVADO EM ALUMINIO PARA AZULEJO</v>
      </c>
      <c r="E1110" s="65" t="str">
        <f>VLOOKUP(C1110,'FDE 10-23 '!$A$4:$E$3180,3,0)</f>
        <v>M</v>
      </c>
      <c r="F1110" s="1112">
        <v>24</v>
      </c>
      <c r="G1110" s="66"/>
      <c r="H1110" s="1220"/>
      <c r="I1110" s="66"/>
      <c r="J1110" s="66"/>
      <c r="K1110" s="66"/>
      <c r="L1110" s="1222"/>
      <c r="M1110" s="51"/>
      <c r="N1110" s="52"/>
      <c r="O1110" s="25"/>
      <c r="P1110" s="25"/>
    </row>
    <row r="1111" spans="1:16" ht="30" customHeight="1">
      <c r="A1111" s="53" t="s">
        <v>854</v>
      </c>
      <c r="B1111" s="54"/>
      <c r="C1111" s="54" t="s">
        <v>855</v>
      </c>
      <c r="D1111" s="1216" t="s">
        <v>856</v>
      </c>
      <c r="E1111" s="56" t="str">
        <f>IFERROR(UPPER(IF(B1111="CPU",VLOOKUP(C1111,#REF!,3,0),IF(B1111="SINAPI",VLOOKUP(C1111,#REF!,3,0),IF(B1111="EDIF",VLOOKUP(C1111,#REF!,3,0),IF(B1111="CDHU",VLOOKUP(C1111,#REF!,3,0),IF(B1111="FDE",VLOOKUP(C1111,#REF!,3,0),IF(B1111="INFRA",VLOOKUP(C1111,#REF!,3,0),""))))))),"")</f>
        <v/>
      </c>
      <c r="F1111" s="1232"/>
      <c r="G1111" s="57"/>
      <c r="H1111" s="1217"/>
      <c r="I1111" s="1217"/>
      <c r="J1111" s="1217"/>
      <c r="K1111" s="1217"/>
      <c r="L1111" s="1218"/>
      <c r="M1111" s="51"/>
      <c r="N1111" s="52"/>
      <c r="O1111" s="25"/>
      <c r="P1111" s="25"/>
    </row>
    <row r="1112" spans="1:16" ht="30" customHeight="1">
      <c r="A1112" s="61" t="s">
        <v>857</v>
      </c>
      <c r="B1112" s="62" t="s">
        <v>26</v>
      </c>
      <c r="C1112" s="63" t="s">
        <v>858</v>
      </c>
      <c r="D1112" s="1219" t="str">
        <f>IFERROR(UPPER(IF(B1112="CPU",VLOOKUP(C1112,#REF!,2,0),IF(B1112="SINAPI",VLOOKUP(C1112,#REF!,2,0),IF(B1112="EDIF",VLOOKUP(C1112,#REF!,2,0),IF(B1112="CDHU",VLOOKUP(C1112,#REF!,2,0),IF(B1112="FDE",VLOOKUP(C1112,'FDE 10-23 '!$A$4:$E$3180,2,0),IF(B1112="INFRA",VLOOKUP(C1112,#REF!,2,0),""))))))),"")</f>
        <v>CHAPISCO</v>
      </c>
      <c r="E1112" s="65" t="str">
        <f>VLOOKUP(C1112,'FDE 10-23 '!$A$4:$E$3180,3,0)</f>
        <v>M2</v>
      </c>
      <c r="F1112" s="1112">
        <v>479.92</v>
      </c>
      <c r="G1112" s="66"/>
      <c r="H1112" s="1220"/>
      <c r="I1112" s="66"/>
      <c r="J1112" s="66"/>
      <c r="K1112" s="66"/>
      <c r="L1112" s="1222"/>
      <c r="M1112" s="51"/>
      <c r="N1112" s="52"/>
      <c r="O1112" s="25"/>
      <c r="P1112" s="25"/>
    </row>
    <row r="1113" spans="1:16" ht="30" customHeight="1">
      <c r="A1113" s="61" t="s">
        <v>859</v>
      </c>
      <c r="B1113" s="62" t="s">
        <v>26</v>
      </c>
      <c r="C1113" s="63" t="s">
        <v>860</v>
      </c>
      <c r="D1113" s="1219" t="str">
        <f>IFERROR(UPPER(IF(B1113="CPU",VLOOKUP(C1113,#REF!,2,0),IF(B1113="SINAPI",VLOOKUP(C1113,#REF!,2,0),IF(B1113="EDIF",VLOOKUP(C1113,#REF!,2,0),IF(B1113="CDHU",VLOOKUP(C1113,#REF!,2,0),IF(B1113="FDE",VLOOKUP(C1113,'FDE 10-23 '!$A$4:$E$3180,2,0),IF(B1113="INFRA",VLOOKUP(C1113,#REF!,2,0),""))))))),"")</f>
        <v>EMBOCO DESEMPENADO</v>
      </c>
      <c r="E1113" s="65" t="str">
        <f>VLOOKUP(C1113,'FDE 10-23 '!$A$4:$E$3180,3,0)</f>
        <v>M2</v>
      </c>
      <c r="F1113" s="1112">
        <v>479.92</v>
      </c>
      <c r="G1113" s="66"/>
      <c r="H1113" s="1220"/>
      <c r="I1113" s="66"/>
      <c r="J1113" s="66"/>
      <c r="K1113" s="66"/>
      <c r="L1113" s="1222"/>
      <c r="M1113" s="51"/>
      <c r="N1113" s="52"/>
      <c r="O1113" s="25"/>
      <c r="P1113" s="25"/>
    </row>
    <row r="1114" spans="1:16" ht="30" customHeight="1">
      <c r="A1114" s="61"/>
      <c r="B1114" s="62"/>
      <c r="C1114" s="63"/>
      <c r="D1114" s="1219"/>
      <c r="E1114" s="65"/>
      <c r="F1114" s="88"/>
      <c r="G1114" s="66"/>
      <c r="H1114" s="1220"/>
      <c r="I1114" s="66"/>
      <c r="J1114" s="66"/>
      <c r="K1114" s="66"/>
      <c r="L1114" s="1222"/>
      <c r="M1114" s="51"/>
      <c r="N1114" s="52"/>
      <c r="O1114" s="25"/>
      <c r="P1114" s="25"/>
    </row>
    <row r="1115" spans="1:16" ht="30" customHeight="1">
      <c r="A1115" s="43">
        <v>13</v>
      </c>
      <c r="B1115" s="44"/>
      <c r="C1115" s="44" t="s">
        <v>861</v>
      </c>
      <c r="D1115" s="1213" t="s">
        <v>862</v>
      </c>
      <c r="E1115" s="46" t="str">
        <f>IFERROR(UPPER(IF(B1115="CPU",VLOOKUP(C1115,#REF!,3,0),IF(B1115="SINAPI",VLOOKUP(C1115,#REF!,3,0),IF(B1115="EDIF",VLOOKUP(C1115,#REF!,3,0),IF(B1115="CDHU",VLOOKUP(C1115,#REF!,3,0),IF(B1115="FDE",VLOOKUP(C1115,#REF!,3,0),IF(B1115="INFRA",VLOOKUP(C1115,#REF!,3,0),""))))))),"")</f>
        <v/>
      </c>
      <c r="F1115" s="1233"/>
      <c r="G1115" s="47"/>
      <c r="H1115" s="1214"/>
      <c r="I1115" s="1214"/>
      <c r="J1115" s="1214"/>
      <c r="K1115" s="1214"/>
      <c r="L1115" s="1215"/>
      <c r="M1115" s="51"/>
      <c r="N1115" s="52"/>
      <c r="O1115" s="25"/>
      <c r="P1115" s="25"/>
    </row>
    <row r="1116" spans="1:16" ht="30" customHeight="1">
      <c r="A1116" s="53" t="s">
        <v>863</v>
      </c>
      <c r="B1116" s="54"/>
      <c r="C1116" s="54" t="s">
        <v>864</v>
      </c>
      <c r="D1116" s="1216" t="s">
        <v>865</v>
      </c>
      <c r="E1116" s="56" t="str">
        <f>IFERROR(UPPER(IF(B1116="CPU",VLOOKUP(C1116,#REF!,3,0),IF(B1116="SINAPI",VLOOKUP(C1116,#REF!,3,0),IF(B1116="EDIF",VLOOKUP(C1116,#REF!,3,0),IF(B1116="CDHU",VLOOKUP(C1116,#REF!,3,0),IF(B1116="FDE",VLOOKUP(C1116,#REF!,3,0),IF(B1116="INFRA",VLOOKUP(C1116,#REF!,3,0),""))))))),"")</f>
        <v/>
      </c>
      <c r="F1116" s="1232"/>
      <c r="G1116" s="57"/>
      <c r="H1116" s="1217"/>
      <c r="I1116" s="1217"/>
      <c r="J1116" s="1217"/>
      <c r="K1116" s="1217"/>
      <c r="L1116" s="1218"/>
      <c r="M1116" s="51"/>
      <c r="N1116" s="52"/>
      <c r="O1116" s="25"/>
      <c r="P1116" s="25"/>
    </row>
    <row r="1117" spans="1:16" ht="30" customHeight="1">
      <c r="A1117" s="61" t="s">
        <v>866</v>
      </c>
      <c r="B1117" s="62" t="s">
        <v>26</v>
      </c>
      <c r="C1117" s="63" t="s">
        <v>867</v>
      </c>
      <c r="D1117" s="1219" t="str">
        <f>IFERROR(UPPER(IF(B1117="CPU",VLOOKUP(C1117,#REF!,2,0),IF(B1117="SINAPI",VLOOKUP(C1117,#REF!,2,0),IF(B1117="EDIF",VLOOKUP(C1117,#REF!,2,0),IF(B1117="CDHU",VLOOKUP(C1117,#REF!,2,0),IF(B1117="FDE",VLOOKUP(C1117,'FDE 10-23 '!$A$4:$E$3180,2,0),IF(B1117="INFRA",VLOOKUP(C1117,#REF!,2,0),""))))))),"")</f>
        <v>LASTRO DE CONCRETO C/ HIDROFUGO E=5CM</v>
      </c>
      <c r="E1117" s="65" t="str">
        <f>VLOOKUP(C1117,'FDE 10-23 '!$A$4:$E$3180,3,0)</f>
        <v>M2</v>
      </c>
      <c r="F1117" s="1112">
        <v>1357.6</v>
      </c>
      <c r="G1117" s="66"/>
      <c r="H1117" s="1220"/>
      <c r="I1117" s="66"/>
      <c r="J1117" s="66"/>
      <c r="K1117" s="66"/>
      <c r="L1117" s="1222"/>
      <c r="M1117" s="51"/>
      <c r="N1117" s="52"/>
      <c r="O1117" s="25"/>
      <c r="P1117" s="25"/>
    </row>
    <row r="1118" spans="1:16" ht="30" customHeight="1">
      <c r="A1118" s="61" t="s">
        <v>868</v>
      </c>
      <c r="B1118" s="62" t="s">
        <v>26</v>
      </c>
      <c r="C1118" s="63" t="s">
        <v>869</v>
      </c>
      <c r="D1118" s="1219" t="str">
        <f>IFERROR(UPPER(IF(B1118="CPU",VLOOKUP(C1118,#REF!,2,0),IF(B1118="SINAPI",VLOOKUP(C1118,#REF!,2,0),IF(B1118="EDIF",VLOOKUP(C1118,#REF!,2,0),IF(B1118="CDHU",VLOOKUP(C1118,#REF!,2,0),IF(B1118="FDE",VLOOKUP(C1118,'FDE 10-23 '!$A$4:$E$3180,2,0),IF(B1118="INFRA",VLOOKUP(C1118,#REF!,2,0),""))))))),"")</f>
        <v>LASTRO DE PEDRA BRITADA - 5CM</v>
      </c>
      <c r="E1118" s="65" t="str">
        <f>VLOOKUP(C1118,'FDE 10-23 '!$A$4:$E$3180,3,0)</f>
        <v>M2</v>
      </c>
      <c r="F1118" s="1112">
        <v>1357.6</v>
      </c>
      <c r="G1118" s="66"/>
      <c r="H1118" s="1220"/>
      <c r="I1118" s="66"/>
      <c r="J1118" s="66"/>
      <c r="K1118" s="66"/>
      <c r="L1118" s="1222"/>
      <c r="M1118" s="51"/>
      <c r="N1118" s="52"/>
      <c r="O1118" s="25"/>
      <c r="P1118" s="25"/>
    </row>
    <row r="1119" spans="1:16" ht="30" customHeight="1">
      <c r="A1119" s="61" t="s">
        <v>870</v>
      </c>
      <c r="B1119" s="62" t="s">
        <v>26</v>
      </c>
      <c r="C1119" s="63" t="s">
        <v>871</v>
      </c>
      <c r="D1119" s="1219" t="str">
        <f>IFERROR(UPPER(IF(B1119="CPU",VLOOKUP(C1119,#REF!,2,0),IF(B1119="SINAPI",VLOOKUP(C1119,#REF!,2,0),IF(B1119="EDIF",VLOOKUP(C1119,#REF!,2,0),IF(B1119="CDHU",VLOOKUP(C1119,#REF!,2,0),IF(B1119="FDE",VLOOKUP(C1119,'FDE 10-23 '!$A$4:$E$3180,2,0),IF(B1119="INFRA",VLOOKUP(C1119,#REF!,2,0),""))))))),"")</f>
        <v>ARGAMASSA DE REGULARIZACAO CIM/AREIA 1:3 ESP=2,50CM</v>
      </c>
      <c r="E1119" s="65" t="str">
        <f>VLOOKUP(C1119,'FDE 10-23 '!$A$4:$E$3180,3,0)</f>
        <v>M2</v>
      </c>
      <c r="F1119" s="1112">
        <v>2307.6</v>
      </c>
      <c r="G1119" s="66"/>
      <c r="H1119" s="1220"/>
      <c r="I1119" s="66"/>
      <c r="J1119" s="66"/>
      <c r="K1119" s="66"/>
      <c r="L1119" s="1222"/>
      <c r="M1119" s="51"/>
      <c r="N1119" s="52"/>
      <c r="O1119" s="25"/>
      <c r="P1119" s="25"/>
    </row>
    <row r="1120" spans="1:16" ht="30" customHeight="1">
      <c r="A1120" s="61"/>
      <c r="B1120" s="62"/>
      <c r="C1120" s="63"/>
      <c r="D1120" s="1219" t="s">
        <v>11058</v>
      </c>
      <c r="E1120" s="65"/>
      <c r="F1120" s="1112"/>
      <c r="G1120" s="66"/>
      <c r="H1120" s="1220"/>
      <c r="I1120" s="66"/>
      <c r="J1120" s="66"/>
      <c r="K1120" s="66"/>
      <c r="L1120" s="1222"/>
      <c r="M1120" s="51"/>
      <c r="N1120" s="52"/>
      <c r="O1120" s="25"/>
      <c r="P1120" s="25"/>
    </row>
    <row r="1121" spans="1:16" ht="30" customHeight="1">
      <c r="A1121" s="53" t="s">
        <v>872</v>
      </c>
      <c r="B1121" s="54"/>
      <c r="C1121" s="54" t="s">
        <v>873</v>
      </c>
      <c r="D1121" s="1216" t="s">
        <v>874</v>
      </c>
      <c r="E1121" s="56" t="str">
        <f>IFERROR(UPPER(IF(B1121="CPU",VLOOKUP(C1121,#REF!,3,0),IF(B1121="SINAPI",VLOOKUP(C1121,#REF!,3,0),IF(B1121="EDIF",VLOOKUP(C1121,#REF!,3,0),IF(B1121="CDHU",VLOOKUP(C1121,#REF!,3,0),IF(B1121="FDE",VLOOKUP(C1121,#REF!,3,0),IF(B1121="INFRA",VLOOKUP(C1121,#REF!,3,0),""))))))),"")</f>
        <v/>
      </c>
      <c r="F1121" s="1234"/>
      <c r="G1121" s="57"/>
      <c r="H1121" s="1217"/>
      <c r="I1121" s="1217"/>
      <c r="J1121" s="1217"/>
      <c r="K1121" s="1217"/>
      <c r="L1121" s="1218"/>
      <c r="M1121" s="51"/>
      <c r="N1121" s="52"/>
      <c r="O1121" s="25"/>
      <c r="P1121" s="25"/>
    </row>
    <row r="1122" spans="1:16" ht="30" customHeight="1">
      <c r="A1122" s="61" t="s">
        <v>875</v>
      </c>
      <c r="B1122" s="62" t="s">
        <v>26</v>
      </c>
      <c r="C1122" s="63" t="s">
        <v>876</v>
      </c>
      <c r="D1122" s="1219" t="str">
        <f>IFERROR(UPPER(IF(B1122="CPU",VLOOKUP(C1122,#REF!,2,0),IF(B1122="SINAPI",VLOOKUP(C1122,#REF!,2,0),IF(B1122="EDIF",VLOOKUP(C1122,#REF!,2,0),IF(B1122="CDHU",VLOOKUP(C1122,#REF!,2,0),IF(B1122="FDE",VLOOKUP(C1122,'FDE 10-23 '!$A$4:$E$3180,2,0),IF(B1122="INFRA",VLOOKUP(C1122,#REF!,2,0),""))))))),"")</f>
        <v>CIMENTADO DESEMPENADO ALISADO E=3,50CM INCL ARG REG</v>
      </c>
      <c r="E1122" s="65" t="str">
        <f>VLOOKUP(C1122,'FDE 10-23 '!$A$4:$E$3180,3,0)</f>
        <v>M2</v>
      </c>
      <c r="F1122" s="1112">
        <v>113.75</v>
      </c>
      <c r="G1122" s="66"/>
      <c r="H1122" s="1220"/>
      <c r="I1122" s="66"/>
      <c r="J1122" s="66"/>
      <c r="K1122" s="66"/>
      <c r="L1122" s="1222"/>
      <c r="M1122" s="51"/>
      <c r="N1122" s="52"/>
      <c r="O1122" s="25"/>
      <c r="P1122" s="25"/>
    </row>
    <row r="1123" spans="1:16" ht="30" customHeight="1">
      <c r="A1123" s="61" t="s">
        <v>877</v>
      </c>
      <c r="B1123" s="62" t="s">
        <v>26</v>
      </c>
      <c r="C1123" s="63" t="s">
        <v>878</v>
      </c>
      <c r="D1123" s="1219" t="str">
        <f>IFERROR(UPPER(IF(B1123="CPU",VLOOKUP(C1123,#REF!,2,0),IF(B1123="SINAPI",VLOOKUP(C1123,#REF!,2,0),IF(B1123="EDIF",VLOOKUP(C1123,#REF!,2,0),IF(B1123="CDHU",VLOOKUP(C1123,#REF!,2,0),IF(B1123="FDE",VLOOKUP(C1123,'FDE 10-23 '!$A$4:$E$3180,2,0),IF(B1123="INFRA",VLOOKUP(C1123,#REF!,2,0),""))))))),"")</f>
        <v>BORRACHA COLADA - PISO TATIL DIRECIONAL</v>
      </c>
      <c r="E1123" s="65" t="str">
        <f>VLOOKUP(C1123,'FDE 10-23 '!$A$4:$E$3180,3,0)</f>
        <v>M2</v>
      </c>
      <c r="F1123" s="1112">
        <v>15.94</v>
      </c>
      <c r="G1123" s="66"/>
      <c r="H1123" s="1220"/>
      <c r="I1123" s="66"/>
      <c r="J1123" s="66"/>
      <c r="K1123" s="66"/>
      <c r="L1123" s="1222"/>
      <c r="M1123" s="51"/>
      <c r="N1123" s="52"/>
      <c r="O1123" s="25"/>
      <c r="P1123" s="25"/>
    </row>
    <row r="1124" spans="1:16" ht="30" customHeight="1">
      <c r="A1124" s="61" t="s">
        <v>879</v>
      </c>
      <c r="B1124" s="62" t="s">
        <v>26</v>
      </c>
      <c r="C1124" s="63" t="s">
        <v>880</v>
      </c>
      <c r="D1124" s="1219" t="str">
        <f>IFERROR(UPPER(IF(B1124="CPU",VLOOKUP(C1124,#REF!,2,0),IF(B1124="SINAPI",VLOOKUP(C1124,#REF!,2,0),IF(B1124="EDIF",VLOOKUP(C1124,#REF!,2,0),IF(B1124="CDHU",VLOOKUP(C1124,#REF!,2,0),IF(B1124="FDE",VLOOKUP(C1124,'FDE 10-23 '!$A$4:$E$3180,2,0),IF(B1124="INFRA",VLOOKUP(C1124,#REF!,2,0),""))))))),"")</f>
        <v>SINALIZAÇÃO VISUAL DE DEGRAUS FITA ADESIVA COR AMARELA 25X200MM (2 FAIXAS)</v>
      </c>
      <c r="E1124" s="65" t="str">
        <f>VLOOKUP(C1124,'FDE 10-23 '!$A$4:$E$3180,3,0)</f>
        <v>CJ</v>
      </c>
      <c r="F1124" s="1112">
        <v>40</v>
      </c>
      <c r="G1124" s="66"/>
      <c r="H1124" s="1220"/>
      <c r="I1124" s="66"/>
      <c r="J1124" s="66"/>
      <c r="K1124" s="66"/>
      <c r="L1124" s="1222"/>
      <c r="M1124" s="51"/>
      <c r="N1124" s="52"/>
      <c r="O1124" s="25"/>
      <c r="P1124" s="25"/>
    </row>
    <row r="1125" spans="1:16" ht="30" customHeight="1">
      <c r="A1125" s="61" t="s">
        <v>881</v>
      </c>
      <c r="B1125" s="62" t="s">
        <v>26</v>
      </c>
      <c r="C1125" s="63" t="s">
        <v>882</v>
      </c>
      <c r="D1125" s="1219" t="str">
        <f>IFERROR(UPPER(IF(B1125="CPU",VLOOKUP(C1125,#REF!,2,0),IF(B1125="SINAPI",VLOOKUP(C1125,#REF!,2,0),IF(B1125="EDIF",VLOOKUP(C1125,#REF!,2,0),IF(B1125="CDHU",VLOOKUP(C1125,#REF!,2,0),IF(B1125="FDE",VLOOKUP(C1125,'FDE 10-23 '!$A$4:$E$3180,2,0),IF(B1125="INFRA",VLOOKUP(C1125,#REF!,2,0),""))))))),"")</f>
        <v>PORCELANATO ESMALTADO</v>
      </c>
      <c r="E1125" s="65" t="str">
        <f>VLOOKUP(C1125,'FDE 10-23 '!$A$4:$E$3180,3,0)</f>
        <v>M2</v>
      </c>
      <c r="F1125" s="1112">
        <v>2307.6</v>
      </c>
      <c r="G1125" s="66"/>
      <c r="H1125" s="1220"/>
      <c r="I1125" s="66"/>
      <c r="J1125" s="66"/>
      <c r="K1125" s="66"/>
      <c r="L1125" s="1222"/>
      <c r="M1125" s="51"/>
      <c r="N1125" s="52"/>
      <c r="O1125" s="25"/>
      <c r="P1125" s="25"/>
    </row>
    <row r="1126" spans="1:16" ht="30" customHeight="1">
      <c r="A1126" s="61"/>
      <c r="B1126" s="62"/>
      <c r="C1126" s="63"/>
      <c r="D1126" s="1219" t="s">
        <v>11058</v>
      </c>
      <c r="E1126" s="65"/>
      <c r="F1126" s="1112"/>
      <c r="G1126" s="66"/>
      <c r="H1126" s="1220"/>
      <c r="I1126" s="66"/>
      <c r="J1126" s="66"/>
      <c r="K1126" s="66"/>
      <c r="L1126" s="1222"/>
      <c r="M1126" s="51"/>
      <c r="N1126" s="52"/>
      <c r="O1126" s="25"/>
      <c r="P1126" s="25"/>
    </row>
    <row r="1127" spans="1:16" ht="30" customHeight="1">
      <c r="A1127" s="53" t="s">
        <v>883</v>
      </c>
      <c r="B1127" s="54"/>
      <c r="C1127" s="54" t="s">
        <v>884</v>
      </c>
      <c r="D1127" s="1216" t="s">
        <v>885</v>
      </c>
      <c r="E1127" s="56" t="str">
        <f>IFERROR(UPPER(IF(B1127="CPU",VLOOKUP(C1127,#REF!,3,0),IF(B1127="SINAPI",VLOOKUP(C1127,#REF!,3,0),IF(B1127="EDIF",VLOOKUP(C1127,#REF!,3,0),IF(B1127="CDHU",VLOOKUP(C1127,#REF!,3,0),IF(B1127="FDE",VLOOKUP(C1127,#REF!,3,0),IF(B1127="INFRA",VLOOKUP(C1127,#REF!,3,0),""))))))),"")</f>
        <v/>
      </c>
      <c r="F1127" s="1234"/>
      <c r="G1127" s="57"/>
      <c r="H1127" s="1217"/>
      <c r="I1127" s="1217"/>
      <c r="J1127" s="1217"/>
      <c r="K1127" s="1217"/>
      <c r="L1127" s="1218"/>
      <c r="M1127" s="51"/>
      <c r="N1127" s="52"/>
      <c r="O1127" s="25"/>
      <c r="P1127" s="25"/>
    </row>
    <row r="1128" spans="1:16" ht="30" customHeight="1">
      <c r="A1128" s="61" t="s">
        <v>886</v>
      </c>
      <c r="B1128" s="62" t="s">
        <v>26</v>
      </c>
      <c r="C1128" s="63" t="s">
        <v>887</v>
      </c>
      <c r="D1128" s="1219" t="str">
        <f>IFERROR(UPPER(IF(B1128="CPU",VLOOKUP(C1128,#REF!,2,0),IF(B1128="SINAPI",VLOOKUP(C1128,#REF!,2,0),IF(B1128="EDIF",VLOOKUP(C1128,#REF!,2,0),IF(B1128="CDHU",VLOOKUP(C1128,#REF!,2,0),IF(B1128="FDE",VLOOKUP(C1128,'FDE 10-23 '!$A$4:$E$3180,2,0),IF(B1128="INFRA",VLOOKUP(C1128,#REF!,2,0),""))))))),"")</f>
        <v>DEGRAUS EM ARGAMASSA DE CIMENTO E AREIA 1:3 ESPESSURA DE 2 CM</v>
      </c>
      <c r="E1128" s="65" t="str">
        <f>VLOOKUP(C1128,'FDE 10-23 '!$A$4:$E$3180,3,0)</f>
        <v>M</v>
      </c>
      <c r="F1128" s="1112">
        <v>38</v>
      </c>
      <c r="G1128" s="66"/>
      <c r="H1128" s="1220"/>
      <c r="I1128" s="66"/>
      <c r="J1128" s="66"/>
      <c r="K1128" s="66"/>
      <c r="L1128" s="1222"/>
      <c r="M1128" s="51"/>
      <c r="N1128" s="52"/>
      <c r="O1128" s="25"/>
      <c r="P1128" s="25"/>
    </row>
    <row r="1129" spans="1:16" ht="30" customHeight="1">
      <c r="A1129" s="61"/>
      <c r="B1129" s="62"/>
      <c r="C1129" s="63"/>
      <c r="D1129" s="1219" t="s">
        <v>11058</v>
      </c>
      <c r="E1129" s="65"/>
      <c r="F1129" s="1112"/>
      <c r="G1129" s="66"/>
      <c r="H1129" s="1220"/>
      <c r="I1129" s="66"/>
      <c r="J1129" s="66"/>
      <c r="K1129" s="66"/>
      <c r="L1129" s="1222"/>
      <c r="M1129" s="51"/>
      <c r="N1129" s="52"/>
      <c r="O1129" s="25"/>
      <c r="P1129" s="25"/>
    </row>
    <row r="1130" spans="1:16" ht="30" customHeight="1">
      <c r="A1130" s="53" t="s">
        <v>888</v>
      </c>
      <c r="B1130" s="54"/>
      <c r="C1130" s="54" t="s">
        <v>889</v>
      </c>
      <c r="D1130" s="1216" t="s">
        <v>890</v>
      </c>
      <c r="E1130" s="56" t="str">
        <f>IFERROR(UPPER(IF(B1130="CPU",VLOOKUP(C1130,#REF!,3,0),IF(B1130="SINAPI",VLOOKUP(C1130,#REF!,3,0),IF(B1130="EDIF",VLOOKUP(C1130,#REF!,3,0),IF(B1130="CDHU",VLOOKUP(C1130,#REF!,3,0),IF(B1130="FDE",VLOOKUP(C1130,#REF!,3,0),IF(B1130="INFRA",VLOOKUP(C1130,#REF!,3,0),""))))))),"")</f>
        <v/>
      </c>
      <c r="F1130" s="1234"/>
      <c r="G1130" s="57"/>
      <c r="H1130" s="1217"/>
      <c r="I1130" s="1217"/>
      <c r="J1130" s="1217"/>
      <c r="K1130" s="1217"/>
      <c r="L1130" s="1218"/>
      <c r="M1130" s="51"/>
      <c r="N1130" s="52"/>
      <c r="O1130" s="25"/>
      <c r="P1130" s="25"/>
    </row>
    <row r="1131" spans="1:16" ht="30" customHeight="1">
      <c r="A1131" s="61" t="s">
        <v>891</v>
      </c>
      <c r="B1131" s="62" t="s">
        <v>26</v>
      </c>
      <c r="C1131" s="63" t="s">
        <v>892</v>
      </c>
      <c r="D1131" s="1219" t="str">
        <f>IFERROR(UPPER(IF(B1131="CPU",VLOOKUP(C1131,#REF!,2,0),IF(B1131="SINAPI",VLOOKUP(C1131,#REF!,2,0),IF(B1131="EDIF",VLOOKUP(C1131,#REF!,2,0),IF(B1131="CDHU",VLOOKUP(C1131,#REF!,2,0),IF(B1131="FDE",VLOOKUP(C1131,'FDE 10-23 '!$A$4:$E$3180,2,0),IF(B1131="INFRA",VLOOKUP(C1131,#REF!,2,0),""))))))),"")</f>
        <v>RODAPE DE ARGAMASSA DE CIM/AREIA 1:3 PARA ESCADA</v>
      </c>
      <c r="E1131" s="65" t="str">
        <f>VLOOKUP(C1131,'FDE 10-23 '!$A$4:$E$3180,3,0)</f>
        <v>M</v>
      </c>
      <c r="F1131" s="1112">
        <v>10.8</v>
      </c>
      <c r="G1131" s="66"/>
      <c r="H1131" s="1220"/>
      <c r="I1131" s="66"/>
      <c r="J1131" s="66"/>
      <c r="K1131" s="66"/>
      <c r="L1131" s="1222"/>
      <c r="M1131" s="51"/>
      <c r="N1131" s="52"/>
      <c r="O1131" s="25"/>
      <c r="P1131" s="25"/>
    </row>
    <row r="1132" spans="1:16" ht="30" customHeight="1">
      <c r="A1132" s="61" t="s">
        <v>893</v>
      </c>
      <c r="B1132" s="62" t="s">
        <v>26</v>
      </c>
      <c r="C1132" s="63" t="s">
        <v>894</v>
      </c>
      <c r="D1132" s="1219" t="str">
        <f>IFERROR(UPPER(IF(B1132="CPU",VLOOKUP(C1132,#REF!,2,0),IF(B1132="SINAPI",VLOOKUP(C1132,#REF!,2,0),IF(B1132="EDIF",VLOOKUP(C1132,#REF!,2,0),IF(B1132="CDHU",VLOOKUP(C1132,#REF!,2,0),IF(B1132="FDE",VLOOKUP(C1132,'FDE 10-23 '!$A$4:$E$3180,2,0),IF(B1132="INFRA",VLOOKUP(C1132,#REF!,2,0),""))))))),"")</f>
        <v>RODAPÉ DE ARGAMASSA CIMENTO E AREIA 1:3 ESPESSURA 1,5CM X ALTURA DE 7CM</v>
      </c>
      <c r="E1132" s="65" t="str">
        <f>VLOOKUP(C1132,'FDE 10-23 '!$A$4:$E$3180,3,0)</f>
        <v>M</v>
      </c>
      <c r="F1132" s="1112">
        <v>103.4</v>
      </c>
      <c r="G1132" s="66"/>
      <c r="H1132" s="1220"/>
      <c r="I1132" s="66"/>
      <c r="J1132" s="66"/>
      <c r="K1132" s="66"/>
      <c r="L1132" s="1222"/>
      <c r="M1132" s="51"/>
      <c r="N1132" s="52"/>
      <c r="O1132" s="25"/>
      <c r="P1132" s="25"/>
    </row>
    <row r="1133" spans="1:16" ht="30" customHeight="1">
      <c r="A1133" s="61" t="s">
        <v>895</v>
      </c>
      <c r="B1133" s="62" t="s">
        <v>26</v>
      </c>
      <c r="C1133" s="63" t="s">
        <v>896</v>
      </c>
      <c r="D1133" s="1219" t="str">
        <f>IFERROR(UPPER(IF(B1133="CPU",VLOOKUP(C1133,#REF!,2,0),IF(B1133="SINAPI",VLOOKUP(C1133,#REF!,2,0),IF(B1133="EDIF",VLOOKUP(C1133,#REF!,2,0),IF(B1133="CDHU",VLOOKUP(C1133,#REF!,2,0),IF(B1133="FDE",VLOOKUP(C1133,'FDE 10-23 '!$A$4:$E$3180,2,0),IF(B1133="INFRA",VLOOKUP(C1133,#REF!,2,0),""))))))),"")</f>
        <v>RODAPE PORCELANATO ESMALTADO 7CM</v>
      </c>
      <c r="E1133" s="65" t="str">
        <f>VLOOKUP(C1133,'FDE 10-23 '!$A$4:$E$3180,3,0)</f>
        <v>M</v>
      </c>
      <c r="F1133" s="1112">
        <v>1026.0999999999999</v>
      </c>
      <c r="G1133" s="66"/>
      <c r="H1133" s="1220"/>
      <c r="I1133" s="66"/>
      <c r="J1133" s="66"/>
      <c r="K1133" s="66"/>
      <c r="L1133" s="1222"/>
      <c r="M1133" s="51"/>
      <c r="N1133" s="52"/>
      <c r="O1133" s="25"/>
      <c r="P1133" s="25"/>
    </row>
    <row r="1134" spans="1:16" ht="30" customHeight="1">
      <c r="A1134" s="61"/>
      <c r="B1134" s="62"/>
      <c r="C1134" s="63"/>
      <c r="D1134" s="1219" t="s">
        <v>11058</v>
      </c>
      <c r="E1134" s="65"/>
      <c r="F1134" s="1112"/>
      <c r="G1134" s="66"/>
      <c r="H1134" s="1220"/>
      <c r="I1134" s="66"/>
      <c r="J1134" s="66"/>
      <c r="K1134" s="66"/>
      <c r="L1134" s="1222"/>
      <c r="M1134" s="51"/>
      <c r="N1134" s="52"/>
      <c r="O1134" s="25"/>
      <c r="P1134" s="25"/>
    </row>
    <row r="1135" spans="1:16" ht="30" customHeight="1">
      <c r="A1135" s="53" t="s">
        <v>897</v>
      </c>
      <c r="B1135" s="54"/>
      <c r="C1135" s="54" t="s">
        <v>898</v>
      </c>
      <c r="D1135" s="1216" t="s">
        <v>899</v>
      </c>
      <c r="E1135" s="56" t="str">
        <f>IFERROR(UPPER(IF(B1135="CPU",VLOOKUP(C1135,#REF!,3,0),IF(B1135="SINAPI",VLOOKUP(C1135,#REF!,3,0),IF(B1135="EDIF",VLOOKUP(C1135,#REF!,3,0),IF(B1135="CDHU",VLOOKUP(C1135,#REF!,3,0),IF(B1135="FDE",VLOOKUP(C1135,#REF!,3,0),IF(B1135="INFRA",VLOOKUP(C1135,#REF!,3,0),""))))))),"")</f>
        <v/>
      </c>
      <c r="F1135" s="1234"/>
      <c r="G1135" s="57"/>
      <c r="H1135" s="1217"/>
      <c r="I1135" s="1217"/>
      <c r="J1135" s="1217"/>
      <c r="K1135" s="1217"/>
      <c r="L1135" s="1218"/>
      <c r="M1135" s="51"/>
      <c r="N1135" s="52"/>
      <c r="O1135" s="25"/>
      <c r="P1135" s="25"/>
    </row>
    <row r="1136" spans="1:16" ht="30" customHeight="1">
      <c r="A1136" s="61" t="s">
        <v>900</v>
      </c>
      <c r="B1136" s="62" t="s">
        <v>26</v>
      </c>
      <c r="C1136" s="63" t="s">
        <v>901</v>
      </c>
      <c r="D1136" s="1219" t="str">
        <f>IFERROR(UPPER(IF(B1136="CPU",VLOOKUP(C1136,#REF!,2,0),IF(B1136="SINAPI",VLOOKUP(C1136,#REF!,2,0),IF(B1136="EDIF",VLOOKUP(C1136,#REF!,2,0),IF(B1136="CDHU",VLOOKUP(C1136,#REF!,2,0),IF(B1136="FDE",VLOOKUP(C1136,'FDE 10-23 '!$A$4:$E$3180,2,0),IF(B1136="INFRA",VLOOKUP(C1136,#REF!,2,0),""))))))),"")</f>
        <v>SO-15 SOLEIRA RAMPADA DESNIVEL ATE 2CM (CIMENTADO / ALVENARIA 22CM)</v>
      </c>
      <c r="E1136" s="65" t="str">
        <f>VLOOKUP(C1136,'FDE 10-23 '!$A$4:$E$3180,3,0)</f>
        <v>M</v>
      </c>
      <c r="F1136" s="1112">
        <v>17</v>
      </c>
      <c r="G1136" s="66"/>
      <c r="H1136" s="1220"/>
      <c r="I1136" s="66"/>
      <c r="J1136" s="66"/>
      <c r="K1136" s="66"/>
      <c r="L1136" s="1222"/>
      <c r="M1136" s="51"/>
      <c r="N1136" s="52"/>
      <c r="O1136" s="25"/>
      <c r="P1136" s="25"/>
    </row>
    <row r="1137" spans="1:16" ht="30" customHeight="1">
      <c r="A1137" s="61" t="s">
        <v>902</v>
      </c>
      <c r="B1137" s="62" t="s">
        <v>26</v>
      </c>
      <c r="C1137" s="63" t="s">
        <v>903</v>
      </c>
      <c r="D1137" s="1219" t="str">
        <f>IFERROR(UPPER(IF(B1137="CPU",VLOOKUP(C1137,#REF!,2,0),IF(B1137="SINAPI",VLOOKUP(C1137,#REF!,2,0),IF(B1137="EDIF",VLOOKUP(C1137,#REF!,2,0),IF(B1137="CDHU",VLOOKUP(C1137,#REF!,2,0),IF(B1137="FDE",VLOOKUP(C1137,'FDE 10-23 '!$A$4:$E$3180,2,0),IF(B1137="INFRA",VLOOKUP(C1137,#REF!,2,0),""))))))),"")</f>
        <v>SO-23 SOLEIRA DE GRANITO EM NIVEL 1 PEÇA (L=19 A 22CM)</v>
      </c>
      <c r="E1137" s="65" t="str">
        <f>VLOOKUP(C1137,'FDE 10-23 '!$A$4:$E$3180,3,0)</f>
        <v>M</v>
      </c>
      <c r="F1137" s="1112">
        <v>3.7</v>
      </c>
      <c r="G1137" s="66"/>
      <c r="H1137" s="1220"/>
      <c r="I1137" s="66"/>
      <c r="J1137" s="66"/>
      <c r="K1137" s="66"/>
      <c r="L1137" s="1222"/>
      <c r="M1137" s="51"/>
      <c r="N1137" s="52"/>
      <c r="O1137" s="25"/>
      <c r="P1137" s="25"/>
    </row>
    <row r="1138" spans="1:16" ht="30" customHeight="1">
      <c r="A1138" s="61"/>
      <c r="B1138" s="62"/>
      <c r="C1138" s="63"/>
      <c r="D1138" s="1219" t="s">
        <v>11058</v>
      </c>
      <c r="E1138" s="65"/>
      <c r="F1138" s="1112"/>
      <c r="G1138" s="66"/>
      <c r="H1138" s="1220"/>
      <c r="I1138" s="66"/>
      <c r="J1138" s="66"/>
      <c r="K1138" s="66"/>
      <c r="L1138" s="1222"/>
      <c r="M1138" s="51"/>
      <c r="N1138" s="52"/>
      <c r="O1138" s="25"/>
      <c r="P1138" s="25"/>
    </row>
    <row r="1139" spans="1:16" ht="30" customHeight="1">
      <c r="A1139" s="53" t="s">
        <v>904</v>
      </c>
      <c r="B1139" s="54"/>
      <c r="C1139" s="54" t="s">
        <v>905</v>
      </c>
      <c r="D1139" s="1216" t="s">
        <v>906</v>
      </c>
      <c r="E1139" s="56" t="str">
        <f>IFERROR(UPPER(IF(B1139="CPU",VLOOKUP(C1139,#REF!,3,0),IF(B1139="SINAPI",VLOOKUP(C1139,#REF!,3,0),IF(B1139="EDIF",VLOOKUP(C1139,#REF!,3,0),IF(B1139="CDHU",VLOOKUP(C1139,#REF!,3,0),IF(B1139="FDE",VLOOKUP(C1139,#REF!,3,0),IF(B1139="INFRA",VLOOKUP(C1139,#REF!,3,0),""))))))),"")</f>
        <v/>
      </c>
      <c r="F1139" s="1234"/>
      <c r="G1139" s="57"/>
      <c r="H1139" s="1217"/>
      <c r="I1139" s="1217"/>
      <c r="J1139" s="1217"/>
      <c r="K1139" s="1217"/>
      <c r="L1139" s="1218"/>
      <c r="M1139" s="51"/>
      <c r="N1139" s="52"/>
      <c r="O1139" s="25"/>
      <c r="P1139" s="25"/>
    </row>
    <row r="1140" spans="1:16" ht="30" customHeight="1">
      <c r="A1140" s="61" t="s">
        <v>907</v>
      </c>
      <c r="B1140" s="62" t="s">
        <v>26</v>
      </c>
      <c r="C1140" s="63" t="s">
        <v>908</v>
      </c>
      <c r="D1140" s="1219" t="str">
        <f>IFERROR(UPPER(IF(B1140="CPU",VLOOKUP(C1140,#REF!,2,0),IF(B1140="SINAPI",VLOOKUP(C1140,#REF!,2,0),IF(B1140="EDIF",VLOOKUP(C1140,#REF!,2,0),IF(B1140="CDHU",VLOOKUP(C1140,#REF!,2,0),IF(B1140="FDE",VLOOKUP(C1140,'FDE 10-23 '!$A$4:$E$3180,2,0),IF(B1140="INFRA",VLOOKUP(C1140,#REF!,2,0),""))))))),"")</f>
        <v>PE-02 PEITORIL</v>
      </c>
      <c r="E1140" s="65" t="str">
        <f>VLOOKUP(C1140,'FDE 10-23 '!$A$4:$E$3180,3,0)</f>
        <v>M</v>
      </c>
      <c r="F1140" s="1112">
        <v>191.5</v>
      </c>
      <c r="G1140" s="66"/>
      <c r="H1140" s="1220"/>
      <c r="I1140" s="66"/>
      <c r="J1140" s="66"/>
      <c r="K1140" s="66"/>
      <c r="L1140" s="1222"/>
      <c r="M1140" s="51"/>
      <c r="N1140" s="52"/>
      <c r="O1140" s="25"/>
      <c r="P1140" s="25"/>
    </row>
    <row r="1141" spans="1:16" ht="30" customHeight="1">
      <c r="A1141" s="61"/>
      <c r="B1141" s="62"/>
      <c r="C1141" s="63"/>
      <c r="D1141" s="1219" t="s">
        <v>11058</v>
      </c>
      <c r="E1141" s="65"/>
      <c r="F1141" s="88"/>
      <c r="G1141" s="66"/>
      <c r="H1141" s="1220"/>
      <c r="I1141" s="66"/>
      <c r="J1141" s="66"/>
      <c r="K1141" s="66"/>
      <c r="L1141" s="1222"/>
      <c r="M1141" s="51"/>
      <c r="N1141" s="52"/>
      <c r="O1141" s="25"/>
      <c r="P1141" s="25"/>
    </row>
    <row r="1142" spans="1:16" ht="30" customHeight="1">
      <c r="A1142" s="43">
        <v>14</v>
      </c>
      <c r="B1142" s="44"/>
      <c r="C1142" s="44" t="s">
        <v>909</v>
      </c>
      <c r="D1142" s="1213" t="s">
        <v>910</v>
      </c>
      <c r="E1142" s="46" t="str">
        <f>IFERROR(UPPER(IF(B1142="CPU",VLOOKUP(C1142,#REF!,3,0),IF(B1142="SINAPI",VLOOKUP(C1142,#REF!,3,0),IF(B1142="EDIF",VLOOKUP(C1142,#REF!,3,0),IF(B1142="CDHU",VLOOKUP(C1142,#REF!,3,0),IF(B1142="FDE",VLOOKUP(C1142,#REF!,3,0),IF(B1142="INFRA",VLOOKUP(C1142,#REF!,3,0),""))))))),"")</f>
        <v/>
      </c>
      <c r="F1142" s="1233"/>
      <c r="G1142" s="47"/>
      <c r="H1142" s="1214"/>
      <c r="I1142" s="1214"/>
      <c r="J1142" s="1214"/>
      <c r="K1142" s="1214"/>
      <c r="L1142" s="1215"/>
      <c r="M1142" s="51"/>
      <c r="N1142" s="52"/>
      <c r="O1142" s="25"/>
      <c r="P1142" s="25"/>
    </row>
    <row r="1143" spans="1:16" ht="30" customHeight="1">
      <c r="A1143" s="53" t="s">
        <v>911</v>
      </c>
      <c r="B1143" s="54"/>
      <c r="C1143" s="54" t="s">
        <v>912</v>
      </c>
      <c r="D1143" s="1216" t="s">
        <v>910</v>
      </c>
      <c r="E1143" s="56" t="str">
        <f>IFERROR(UPPER(IF(B1143="CPU",VLOOKUP(C1143,#REF!,3,0),IF(B1143="SINAPI",VLOOKUP(C1143,#REF!,3,0),IF(B1143="EDIF",VLOOKUP(C1143,#REF!,3,0),IF(B1143="CDHU",VLOOKUP(C1143,#REF!,3,0),IF(B1143="FDE",VLOOKUP(C1143,#REF!,3,0),IF(B1143="INFRA",VLOOKUP(C1143,#REF!,3,0),""))))))),"")</f>
        <v/>
      </c>
      <c r="F1143" s="1232"/>
      <c r="G1143" s="57"/>
      <c r="H1143" s="1217"/>
      <c r="I1143" s="1217"/>
      <c r="J1143" s="1217"/>
      <c r="K1143" s="1217"/>
      <c r="L1143" s="1218"/>
      <c r="M1143" s="51"/>
      <c r="N1143" s="52"/>
      <c r="O1143" s="25"/>
      <c r="P1143" s="25"/>
    </row>
    <row r="1144" spans="1:16" ht="30" customHeight="1">
      <c r="A1144" s="61" t="s">
        <v>913</v>
      </c>
      <c r="B1144" s="62" t="s">
        <v>26</v>
      </c>
      <c r="C1144" s="63" t="s">
        <v>914</v>
      </c>
      <c r="D1144" s="1219" t="str">
        <f>IFERROR(UPPER(IF(B1144="CPU",VLOOKUP(C1144,#REF!,2,0),IF(B1144="SINAPI",VLOOKUP(C1144,#REF!,2,0),IF(B1144="EDIF",VLOOKUP(C1144,#REF!,2,0),IF(B1144="CDHU",VLOOKUP(C1144,#REF!,2,0),IF(B1144="FDE",VLOOKUP(C1144,'FDE 10-23 '!$A$4:$E$3180,2,0),IF(B1144="INFRA",VLOOKUP(C1144,#REF!,2,0),""))))))),"")</f>
        <v>VIDRO LISO COMUM INCOLOR DE 3MM</v>
      </c>
      <c r="E1144" s="65" t="str">
        <f>VLOOKUP(C1144,'FDE 10-23 '!$A$4:$E$3180,3,0)</f>
        <v>M2</v>
      </c>
      <c r="F1144" s="1112">
        <v>462.32</v>
      </c>
      <c r="G1144" s="66"/>
      <c r="H1144" s="1220"/>
      <c r="I1144" s="66"/>
      <c r="J1144" s="66"/>
      <c r="K1144" s="66"/>
      <c r="L1144" s="1222"/>
      <c r="M1144" s="51"/>
      <c r="N1144" s="52"/>
      <c r="O1144" s="25"/>
      <c r="P1144" s="25"/>
    </row>
    <row r="1145" spans="1:16" ht="30" customHeight="1">
      <c r="A1145" s="61" t="s">
        <v>915</v>
      </c>
      <c r="B1145" s="62" t="s">
        <v>26</v>
      </c>
      <c r="C1145" s="63" t="s">
        <v>916</v>
      </c>
      <c r="D1145" s="1219" t="str">
        <f>IFERROR(UPPER(IF(B1145="CPU",VLOOKUP(C1145,#REF!,2,0),IF(B1145="SINAPI",VLOOKUP(C1145,#REF!,2,0),IF(B1145="EDIF",VLOOKUP(C1145,#REF!,2,0),IF(B1145="CDHU",VLOOKUP(C1145,#REF!,2,0),IF(B1145="FDE",VLOOKUP(C1145,'FDE 10-23 '!$A$4:$E$3180,2,0),IF(B1145="INFRA",VLOOKUP(C1145,#REF!,2,0),""))))))),"")</f>
        <v>VIDRO IMPRESSO INCOLOR (E=4MM)</v>
      </c>
      <c r="E1145" s="65" t="str">
        <f>VLOOKUP(C1145,'FDE 10-23 '!$A$4:$E$3180,3,0)</f>
        <v>M2</v>
      </c>
      <c r="F1145" s="1112">
        <v>20.73</v>
      </c>
      <c r="G1145" s="66"/>
      <c r="H1145" s="1220"/>
      <c r="I1145" s="66"/>
      <c r="J1145" s="66"/>
      <c r="K1145" s="66"/>
      <c r="L1145" s="1222"/>
      <c r="M1145" s="51"/>
      <c r="N1145" s="52"/>
      <c r="O1145" s="25"/>
      <c r="P1145" s="25"/>
    </row>
    <row r="1146" spans="1:16" ht="30" customHeight="1">
      <c r="A1146" s="61"/>
      <c r="B1146" s="62"/>
      <c r="C1146" s="63"/>
      <c r="D1146" s="1219" t="s">
        <v>11058</v>
      </c>
      <c r="E1146" s="65"/>
      <c r="F1146" s="1112"/>
      <c r="G1146" s="66"/>
      <c r="H1146" s="1220"/>
      <c r="I1146" s="66"/>
      <c r="J1146" s="66"/>
      <c r="K1146" s="66"/>
      <c r="L1146" s="1222"/>
      <c r="M1146" s="51"/>
      <c r="N1146" s="52"/>
      <c r="O1146" s="25"/>
      <c r="P1146" s="25"/>
    </row>
    <row r="1147" spans="1:16" ht="30" customHeight="1">
      <c r="A1147" s="53" t="s">
        <v>917</v>
      </c>
      <c r="B1147" s="54"/>
      <c r="C1147" s="54" t="s">
        <v>918</v>
      </c>
      <c r="D1147" s="1216" t="s">
        <v>919</v>
      </c>
      <c r="E1147" s="56" t="str">
        <f>IFERROR(UPPER(IF(B1147="CPU",VLOOKUP(C1147,#REF!,3,0),IF(B1147="SINAPI",VLOOKUP(C1147,#REF!,3,0),IF(B1147="EDIF",VLOOKUP(C1147,#REF!,3,0),IF(B1147="CDHU",VLOOKUP(C1147,#REF!,3,0),IF(B1147="FDE",VLOOKUP(C1147,#REF!,3,0),IF(B1147="INFRA",VLOOKUP(C1147,#REF!,3,0),""))))))),"")</f>
        <v/>
      </c>
      <c r="F1147" s="1234"/>
      <c r="G1147" s="57"/>
      <c r="H1147" s="1217"/>
      <c r="I1147" s="1217"/>
      <c r="J1147" s="1217"/>
      <c r="K1147" s="1217"/>
      <c r="L1147" s="1218"/>
      <c r="M1147" s="51"/>
      <c r="N1147" s="52"/>
      <c r="O1147" s="25"/>
      <c r="P1147" s="25"/>
    </row>
    <row r="1148" spans="1:16" ht="30" customHeight="1">
      <c r="A1148" s="61" t="s">
        <v>920</v>
      </c>
      <c r="B1148" s="62" t="s">
        <v>26</v>
      </c>
      <c r="C1148" s="63" t="s">
        <v>921</v>
      </c>
      <c r="D1148" s="1219" t="str">
        <f>IFERROR(UPPER(IF(B1148="CPU",VLOOKUP(C1148,#REF!,2,0),IF(B1148="SINAPI",VLOOKUP(C1148,#REF!,2,0),IF(B1148="EDIF",VLOOKUP(C1148,#REF!,2,0),IF(B1148="CDHU",VLOOKUP(C1148,#REF!,2,0),IF(B1148="FDE",VLOOKUP(C1148,'FDE 10-23 '!$A$4:$E$3180,2,0),IF(B1148="INFRA",VLOOKUP(C1148,#REF!,2,0),""))))))),"")</f>
        <v>EP-01 ESPELHO</v>
      </c>
      <c r="E1148" s="65" t="str">
        <f>VLOOKUP(C1148,'FDE 10-23 '!$A$4:$E$3180,3,0)</f>
        <v>UN</v>
      </c>
      <c r="F1148" s="1112">
        <v>20</v>
      </c>
      <c r="G1148" s="66"/>
      <c r="H1148" s="1220"/>
      <c r="I1148" s="66"/>
      <c r="J1148" s="66"/>
      <c r="K1148" s="66"/>
      <c r="L1148" s="1222"/>
      <c r="M1148" s="51"/>
      <c r="N1148" s="52"/>
      <c r="O1148" s="25"/>
      <c r="P1148" s="25"/>
    </row>
    <row r="1149" spans="1:16" ht="30" customHeight="1">
      <c r="A1149" s="61"/>
      <c r="B1149" s="62"/>
      <c r="C1149" s="63"/>
      <c r="D1149" s="1219" t="s">
        <v>11058</v>
      </c>
      <c r="E1149" s="65"/>
      <c r="F1149" s="88"/>
      <c r="G1149" s="66"/>
      <c r="H1149" s="1220"/>
      <c r="I1149" s="66"/>
      <c r="J1149" s="66"/>
      <c r="K1149" s="66"/>
      <c r="L1149" s="1222"/>
      <c r="M1149" s="51"/>
      <c r="N1149" s="52"/>
      <c r="O1149" s="25"/>
      <c r="P1149" s="25"/>
    </row>
    <row r="1150" spans="1:16" ht="30" customHeight="1">
      <c r="A1150" s="43">
        <v>15</v>
      </c>
      <c r="B1150" s="44"/>
      <c r="C1150" s="44" t="s">
        <v>922</v>
      </c>
      <c r="D1150" s="1213" t="s">
        <v>923</v>
      </c>
      <c r="E1150" s="46" t="str">
        <f>IFERROR(UPPER(IF(B1150="CPU",VLOOKUP(C1150,#REF!,3,0),IF(B1150="SINAPI",VLOOKUP(C1150,#REF!,3,0),IF(B1150="EDIF",VLOOKUP(C1150,#REF!,3,0),IF(B1150="CDHU",VLOOKUP(C1150,#REF!,3,0),IF(B1150="FDE",VLOOKUP(C1150,#REF!,3,0),IF(B1150="INFRA",VLOOKUP(C1150,#REF!,3,0),""))))))),"")</f>
        <v/>
      </c>
      <c r="F1150" s="1233"/>
      <c r="G1150" s="47"/>
      <c r="H1150" s="1214"/>
      <c r="I1150" s="1214"/>
      <c r="J1150" s="1214"/>
      <c r="K1150" s="1214"/>
      <c r="L1150" s="1215"/>
      <c r="M1150" s="51"/>
      <c r="N1150" s="52"/>
      <c r="O1150" s="25"/>
      <c r="P1150" s="25"/>
    </row>
    <row r="1151" spans="1:16" ht="30" customHeight="1">
      <c r="A1151" s="53" t="s">
        <v>924</v>
      </c>
      <c r="B1151" s="54"/>
      <c r="C1151" s="54" t="s">
        <v>925</v>
      </c>
      <c r="D1151" s="1216" t="s">
        <v>926</v>
      </c>
      <c r="E1151" s="56" t="str">
        <f>IFERROR(UPPER(IF(B1151="CPU",VLOOKUP(C1151,#REF!,3,0),IF(B1151="SINAPI",VLOOKUP(C1151,#REF!,3,0),IF(B1151="EDIF",VLOOKUP(C1151,#REF!,3,0),IF(B1151="CDHU",VLOOKUP(C1151,#REF!,3,0),IF(B1151="FDE",VLOOKUP(C1151,#REF!,3,0),IF(B1151="INFRA",VLOOKUP(C1151,#REF!,3,0),""))))))),"")</f>
        <v/>
      </c>
      <c r="F1151" s="1232"/>
      <c r="G1151" s="57"/>
      <c r="H1151" s="1217"/>
      <c r="I1151" s="1217"/>
      <c r="J1151" s="1217"/>
      <c r="K1151" s="1217"/>
      <c r="L1151" s="1218"/>
      <c r="M1151" s="51"/>
      <c r="N1151" s="52"/>
      <c r="O1151" s="25"/>
      <c r="P1151" s="25"/>
    </row>
    <row r="1152" spans="1:16" ht="30" customHeight="1">
      <c r="A1152" s="61" t="s">
        <v>927</v>
      </c>
      <c r="B1152" s="62" t="s">
        <v>26</v>
      </c>
      <c r="C1152" s="63" t="s">
        <v>928</v>
      </c>
      <c r="D1152" s="1219" t="str">
        <f>IFERROR(UPPER(IF(B1152="CPU",VLOOKUP(C1152,#REF!,2,0),IF(B1152="SINAPI",VLOOKUP(C1152,#REF!,2,0),IF(B1152="EDIF",VLOOKUP(C1152,#REF!,2,0),IF(B1152="CDHU",VLOOKUP(C1152,#REF!,2,0),IF(B1152="FDE",VLOOKUP(C1152,'FDE 10-23 '!$A$4:$E$3180,2,0),IF(B1152="INFRA",VLOOKUP(C1152,#REF!,2,0),""))))))),"")</f>
        <v>ESMALTE EM ESTRUTURA METALICA</v>
      </c>
      <c r="E1152" s="65" t="str">
        <f>VLOOKUP(C1152,'FDE 10-23 '!$A$4:$E$3180,3,0)</f>
        <v>M2</v>
      </c>
      <c r="F1152" s="1112">
        <v>1574.6</v>
      </c>
      <c r="G1152" s="66"/>
      <c r="H1152" s="1220"/>
      <c r="I1152" s="66"/>
      <c r="J1152" s="66"/>
      <c r="K1152" s="66"/>
      <c r="L1152" s="1222"/>
      <c r="M1152" s="51"/>
      <c r="N1152" s="52"/>
      <c r="O1152" s="25"/>
      <c r="P1152" s="25"/>
    </row>
    <row r="1153" spans="1:16" ht="30" customHeight="1">
      <c r="A1153" s="53" t="s">
        <v>929</v>
      </c>
      <c r="B1153" s="54"/>
      <c r="C1153" s="54" t="s">
        <v>930</v>
      </c>
      <c r="D1153" s="1216" t="s">
        <v>931</v>
      </c>
      <c r="E1153" s="56" t="str">
        <f>IFERROR(UPPER(IF(B1153="CPU",VLOOKUP(C1153,#REF!,3,0),IF(B1153="SINAPI",VLOOKUP(C1153,#REF!,3,0),IF(B1153="EDIF",VLOOKUP(C1153,#REF!,3,0),IF(B1153="CDHU",VLOOKUP(C1153,#REF!,3,0),IF(B1153="FDE",VLOOKUP(C1153,#REF!,3,0),IF(B1153="INFRA",VLOOKUP(C1153,#REF!,3,0),""))))))),"")</f>
        <v/>
      </c>
      <c r="F1153" s="1232"/>
      <c r="G1153" s="57"/>
      <c r="H1153" s="1217"/>
      <c r="I1153" s="1217"/>
      <c r="J1153" s="1217"/>
      <c r="K1153" s="1217"/>
      <c r="L1153" s="1218"/>
      <c r="M1153" s="51"/>
      <c r="N1153" s="52"/>
      <c r="O1153" s="25"/>
      <c r="P1153" s="25"/>
    </row>
    <row r="1154" spans="1:16" ht="30" customHeight="1">
      <c r="A1154" s="61" t="s">
        <v>932</v>
      </c>
      <c r="B1154" s="62" t="s">
        <v>26</v>
      </c>
      <c r="C1154" s="63" t="s">
        <v>933</v>
      </c>
      <c r="D1154" s="1219" t="str">
        <f>IFERROR(UPPER(IF(B1154="CPU",VLOOKUP(C1154,#REF!,2,0),IF(B1154="SINAPI",VLOOKUP(C1154,#REF!,2,0),IF(B1154="EDIF",VLOOKUP(C1154,#REF!,2,0),IF(B1154="CDHU",VLOOKUP(C1154,#REF!,2,0),IF(B1154="FDE",VLOOKUP(C1154,'FDE 10-23 '!$A$4:$E$3180,2,0),IF(B1154="INFRA",VLOOKUP(C1154,#REF!,2,0),""))))))),"")</f>
        <v>TINTA LATEX ECONOMICA</v>
      </c>
      <c r="E1154" s="65" t="str">
        <f>VLOOKUP(C1154,'FDE 10-23 '!$A$4:$E$3180,3,0)</f>
        <v>M2</v>
      </c>
      <c r="F1154" s="1112">
        <v>1532</v>
      </c>
      <c r="G1154" s="66"/>
      <c r="H1154" s="1220"/>
      <c r="I1154" s="66"/>
      <c r="J1154" s="66"/>
      <c r="K1154" s="66"/>
      <c r="L1154" s="1222"/>
      <c r="M1154" s="51"/>
      <c r="N1154" s="52"/>
      <c r="O1154" s="25"/>
      <c r="P1154" s="25"/>
    </row>
    <row r="1155" spans="1:16" ht="30" customHeight="1">
      <c r="A1155" s="61" t="s">
        <v>934</v>
      </c>
      <c r="B1155" s="62" t="s">
        <v>26</v>
      </c>
      <c r="C1155" s="63" t="s">
        <v>935</v>
      </c>
      <c r="D1155" s="1219" t="str">
        <f>IFERROR(UPPER(IF(B1155="CPU",VLOOKUP(C1155,#REF!,2,0),IF(B1155="SINAPI",VLOOKUP(C1155,#REF!,2,0),IF(B1155="EDIF",VLOOKUP(C1155,#REF!,2,0),IF(B1155="CDHU",VLOOKUP(C1155,#REF!,2,0),IF(B1155="FDE",VLOOKUP(C1155,'FDE 10-23 '!$A$4:$E$3180,2,0),IF(B1155="INFRA",VLOOKUP(C1155,#REF!,2,0),""))))))),"")</f>
        <v>ESMALTE</v>
      </c>
      <c r="E1155" s="65" t="str">
        <f>VLOOKUP(C1155,'FDE 10-23 '!$A$4:$E$3180,3,0)</f>
        <v>M2</v>
      </c>
      <c r="F1155" s="1112">
        <v>2617.1</v>
      </c>
      <c r="G1155" s="66"/>
      <c r="H1155" s="1220"/>
      <c r="I1155" s="66"/>
      <c r="J1155" s="66"/>
      <c r="K1155" s="66"/>
      <c r="L1155" s="1222"/>
      <c r="M1155" s="51"/>
      <c r="N1155" s="52"/>
      <c r="O1155" s="25"/>
      <c r="P1155" s="25"/>
    </row>
    <row r="1156" spans="1:16" ht="30" customHeight="1">
      <c r="A1156" s="53" t="s">
        <v>936</v>
      </c>
      <c r="B1156" s="54"/>
      <c r="C1156" s="54" t="s">
        <v>937</v>
      </c>
      <c r="D1156" s="1216" t="s">
        <v>938</v>
      </c>
      <c r="E1156" s="56" t="str">
        <f>IFERROR(UPPER(IF(B1156="CPU",VLOOKUP(C1156,#REF!,3,0),IF(B1156="SINAPI",VLOOKUP(C1156,#REF!,3,0),IF(B1156="EDIF",VLOOKUP(C1156,#REF!,3,0),IF(B1156="CDHU",VLOOKUP(C1156,#REF!,3,0),IF(B1156="FDE",VLOOKUP(C1156,#REF!,3,0),IF(B1156="INFRA",VLOOKUP(C1156,#REF!,3,0),""))))))),"")</f>
        <v/>
      </c>
      <c r="F1156" s="1234"/>
      <c r="G1156" s="57"/>
      <c r="H1156" s="1217"/>
      <c r="I1156" s="1217"/>
      <c r="J1156" s="1217"/>
      <c r="K1156" s="1217"/>
      <c r="L1156" s="1218"/>
      <c r="M1156" s="51"/>
      <c r="N1156" s="52"/>
      <c r="O1156" s="25"/>
      <c r="P1156" s="25"/>
    </row>
    <row r="1157" spans="1:16" ht="30" customHeight="1">
      <c r="A1157" s="61" t="s">
        <v>939</v>
      </c>
      <c r="B1157" s="62" t="s">
        <v>26</v>
      </c>
      <c r="C1157" s="63" t="s">
        <v>940</v>
      </c>
      <c r="D1157" s="1219" t="str">
        <f>IFERROR(UPPER(IF(B1157="CPU",VLOOKUP(C1157,#REF!,2,0),IF(B1157="SINAPI",VLOOKUP(C1157,#REF!,2,0),IF(B1157="EDIF",VLOOKUP(C1157,#REF!,2,0),IF(B1157="CDHU",VLOOKUP(C1157,#REF!,2,0),IF(B1157="FDE",VLOOKUP(C1157,'FDE 10-23 '!$A$4:$E$3180,2,0),IF(B1157="INFRA",VLOOKUP(C1157,#REF!,2,0),""))))))),"")</f>
        <v>ESMALTE COM MASSA NIVELADORA EM ESQUADRIAS DE MADEIRA</v>
      </c>
      <c r="E1157" s="65" t="str">
        <f>VLOOKUP(C1157,'FDE 10-23 '!$A$4:$E$3180,3,0)</f>
        <v>M2</v>
      </c>
      <c r="F1157" s="1112">
        <v>190.49</v>
      </c>
      <c r="G1157" s="66"/>
      <c r="H1157" s="1220"/>
      <c r="I1157" s="66"/>
      <c r="J1157" s="66"/>
      <c r="K1157" s="66"/>
      <c r="L1157" s="1222"/>
      <c r="M1157" s="51"/>
      <c r="N1157" s="52"/>
      <c r="O1157" s="25"/>
      <c r="P1157" s="25"/>
    </row>
    <row r="1158" spans="1:16" ht="30" customHeight="1">
      <c r="A1158" s="61" t="s">
        <v>941</v>
      </c>
      <c r="B1158" s="62" t="s">
        <v>26</v>
      </c>
      <c r="C1158" s="63" t="s">
        <v>942</v>
      </c>
      <c r="D1158" s="1219" t="str">
        <f>IFERROR(UPPER(IF(B1158="CPU",VLOOKUP(C1158,#REF!,2,0),IF(B1158="SINAPI",VLOOKUP(C1158,#REF!,2,0),IF(B1158="EDIF",VLOOKUP(C1158,#REF!,2,0),IF(B1158="CDHU",VLOOKUP(C1158,#REF!,2,0),IF(B1158="FDE",VLOOKUP(C1158,'FDE 10-23 '!$A$4:$E$3180,2,0),IF(B1158="INFRA",VLOOKUP(C1158,#REF!,2,0),""))))))),"")</f>
        <v>ESMALTE EM ESQUADRIAS DE FERRO</v>
      </c>
      <c r="E1158" s="65" t="str">
        <f>VLOOKUP(C1158,'FDE 10-23 '!$A$4:$E$3180,3,0)</f>
        <v>M2</v>
      </c>
      <c r="F1158" s="1112">
        <v>611.01</v>
      </c>
      <c r="G1158" s="66"/>
      <c r="H1158" s="1220"/>
      <c r="I1158" s="66"/>
      <c r="J1158" s="66"/>
      <c r="K1158" s="66"/>
      <c r="L1158" s="1222"/>
      <c r="M1158" s="51"/>
      <c r="N1158" s="52"/>
      <c r="O1158" s="25"/>
      <c r="P1158" s="25"/>
    </row>
    <row r="1159" spans="1:16" ht="30" customHeight="1">
      <c r="A1159" s="61" t="s">
        <v>943</v>
      </c>
      <c r="B1159" s="62" t="s">
        <v>26</v>
      </c>
      <c r="C1159" s="63" t="s">
        <v>944</v>
      </c>
      <c r="D1159" s="1219" t="str">
        <f>IFERROR(UPPER(IF(B1159="CPU",VLOOKUP(C1159,#REF!,2,0),IF(B1159="SINAPI",VLOOKUP(C1159,#REF!,2,0),IF(B1159="EDIF",VLOOKUP(C1159,#REF!,2,0),IF(B1159="CDHU",VLOOKUP(C1159,#REF!,2,0),IF(B1159="FDE",VLOOKUP(C1159,'FDE 10-23 '!$A$4:$E$3180,2,0),IF(B1159="INFRA",VLOOKUP(C1159,#REF!,2,0),""))))))),"")</f>
        <v>FACE EXTERNA DE CALHAS/CONDUTORES COM TINTA SINTETICA (ESMALTE)</v>
      </c>
      <c r="E1159" s="65" t="str">
        <f>VLOOKUP(C1159,'FDE 10-23 '!$A$4:$E$3180,3,0)</f>
        <v>M</v>
      </c>
      <c r="F1159" s="1112">
        <v>385.6</v>
      </c>
      <c r="G1159" s="66"/>
      <c r="H1159" s="1220"/>
      <c r="I1159" s="66"/>
      <c r="J1159" s="66"/>
      <c r="K1159" s="66"/>
      <c r="L1159" s="1222"/>
      <c r="M1159" s="51"/>
      <c r="N1159" s="52"/>
      <c r="O1159" s="25"/>
      <c r="P1159" s="25"/>
    </row>
    <row r="1160" spans="1:16" ht="30" customHeight="1">
      <c r="A1160" s="53" t="s">
        <v>945</v>
      </c>
      <c r="B1160" s="54"/>
      <c r="C1160" s="54" t="s">
        <v>946</v>
      </c>
      <c r="D1160" s="1216" t="s">
        <v>947</v>
      </c>
      <c r="E1160" s="56" t="str">
        <f>IFERROR(UPPER(IF(B1160="CPU",VLOOKUP(C1160,#REF!,3,0),IF(B1160="SINAPI",VLOOKUP(C1160,#REF!,3,0),IF(B1160="EDIF",VLOOKUP(C1160,#REF!,3,0),IF(B1160="CDHU",VLOOKUP(C1160,#REF!,3,0),IF(B1160="FDE",VLOOKUP(C1160,#REF!,3,0),IF(B1160="INFRA",VLOOKUP(C1160,#REF!,3,0),""))))))),"")</f>
        <v/>
      </c>
      <c r="F1160" s="1234"/>
      <c r="G1160" s="57"/>
      <c r="H1160" s="1217"/>
      <c r="I1160" s="1217"/>
      <c r="J1160" s="1217"/>
      <c r="K1160" s="1217"/>
      <c r="L1160" s="1218"/>
      <c r="M1160" s="51"/>
      <c r="N1160" s="52"/>
      <c r="O1160" s="25"/>
      <c r="P1160" s="25"/>
    </row>
    <row r="1161" spans="1:16" ht="30" customHeight="1">
      <c r="A1161" s="61" t="s">
        <v>948</v>
      </c>
      <c r="B1161" s="62" t="s">
        <v>26</v>
      </c>
      <c r="C1161" s="63" t="s">
        <v>949</v>
      </c>
      <c r="D1161" s="1219" t="str">
        <f>IFERROR(UPPER(IF(B1161="CPU",VLOOKUP(C1161,#REF!,2,0),IF(B1161="SINAPI",VLOOKUP(C1161,#REF!,2,0),IF(B1161="EDIF",VLOOKUP(C1161,#REF!,2,0),IF(B1161="CDHU",VLOOKUP(C1161,#REF!,2,0),IF(B1161="FDE",VLOOKUP(C1161,'FDE 10-23 '!$A$4:$E$3180,2,0),IF(B1161="INFRA",VLOOKUP(C1161,#REF!,2,0),""))))))),"")</f>
        <v>TINTA LATEX STANDARD</v>
      </c>
      <c r="E1161" s="65" t="str">
        <f>VLOOKUP(C1161,'FDE 10-23 '!$A$4:$E$3180,3,0)</f>
        <v>M2</v>
      </c>
      <c r="F1161" s="1112">
        <v>909.28</v>
      </c>
      <c r="G1161" s="66"/>
      <c r="H1161" s="1220"/>
      <c r="I1161" s="66"/>
      <c r="J1161" s="66"/>
      <c r="K1161" s="66"/>
      <c r="L1161" s="1222"/>
      <c r="M1161" s="51"/>
      <c r="N1161" s="52"/>
      <c r="O1161" s="25"/>
      <c r="P1161" s="25"/>
    </row>
    <row r="1162" spans="1:16" ht="30" customHeight="1">
      <c r="A1162" s="43">
        <v>16</v>
      </c>
      <c r="B1162" s="44"/>
      <c r="C1162" s="44" t="s">
        <v>950</v>
      </c>
      <c r="D1162" s="1213" t="s">
        <v>951</v>
      </c>
      <c r="E1162" s="46" t="str">
        <f>IFERROR(UPPER(IF(B1162="CPU",VLOOKUP(C1162,#REF!,3,0),IF(B1162="SINAPI",VLOOKUP(C1162,#REF!,3,0),IF(B1162="EDIF",VLOOKUP(C1162,#REF!,3,0),IF(B1162="CDHU",VLOOKUP(C1162,#REF!,3,0),IF(B1162="FDE",VLOOKUP(C1162,#REF!,3,0),IF(B1162="INFRA",VLOOKUP(C1162,#REF!,3,0),""))))))),"")</f>
        <v/>
      </c>
      <c r="F1162" s="1233"/>
      <c r="G1162" s="47"/>
      <c r="H1162" s="1214"/>
      <c r="I1162" s="1214"/>
      <c r="J1162" s="1214"/>
      <c r="K1162" s="1214"/>
      <c r="L1162" s="1215"/>
      <c r="M1162" s="51"/>
      <c r="N1162" s="52"/>
      <c r="O1162" s="25"/>
      <c r="P1162" s="25"/>
    </row>
    <row r="1163" spans="1:16" ht="30" customHeight="1">
      <c r="A1163" s="53" t="s">
        <v>952</v>
      </c>
      <c r="B1163" s="54"/>
      <c r="C1163" s="54" t="s">
        <v>953</v>
      </c>
      <c r="D1163" s="1216" t="s">
        <v>954</v>
      </c>
      <c r="E1163" s="56" t="str">
        <f>IFERROR(UPPER(IF(B1163="CPU",VLOOKUP(C1163,#REF!,3,0),IF(B1163="SINAPI",VLOOKUP(C1163,#REF!,3,0),IF(B1163="EDIF",VLOOKUP(C1163,#REF!,3,0),IF(B1163="CDHU",VLOOKUP(C1163,#REF!,3,0),IF(B1163="FDE",VLOOKUP(C1163,#REF!,3,0),IF(B1163="INFRA",VLOOKUP(C1163,#REF!,3,0),""))))))),"")</f>
        <v/>
      </c>
      <c r="F1163" s="1232"/>
      <c r="G1163" s="57"/>
      <c r="H1163" s="1217"/>
      <c r="I1163" s="1217"/>
      <c r="J1163" s="1217"/>
      <c r="K1163" s="1217"/>
      <c r="L1163" s="1218"/>
      <c r="M1163" s="51"/>
      <c r="N1163" s="52"/>
      <c r="O1163" s="25"/>
      <c r="P1163" s="25"/>
    </row>
    <row r="1164" spans="1:16" ht="30" customHeight="1">
      <c r="A1164" s="61" t="s">
        <v>955</v>
      </c>
      <c r="B1164" s="62" t="s">
        <v>26</v>
      </c>
      <c r="C1164" s="63" t="s">
        <v>956</v>
      </c>
      <c r="D1164" s="1219" t="str">
        <f>IFERROR(UPPER(IF(B1164="CPU",VLOOKUP(C1164,#REF!,2,0),IF(B1164="SINAPI",VLOOKUP(C1164,#REF!,2,0),IF(B1164="EDIF",VLOOKUP(C1164,#REF!,2,0),IF(B1164="CDHU",VLOOKUP(C1164,#REF!,2,0),IF(B1164="FDE",VLOOKUP(C1164,'FDE 10-23 '!$A$4:$E$3180,2,0),IF(B1164="INFRA",VLOOKUP(C1164,#REF!,2,0),""))))))),"")</f>
        <v>FD-16 FECHAMENTO DIVISA/BL CONCRETO/REVEST CHAPISCO FINO H=235CM/BROCA</v>
      </c>
      <c r="E1164" s="65" t="str">
        <f>VLOOKUP(C1164,'FDE 10-23 '!$A$4:$E$3180,3,0)</f>
        <v>M</v>
      </c>
      <c r="F1164" s="88"/>
      <c r="G1164" s="66"/>
      <c r="H1164" s="1220"/>
      <c r="I1164" s="66"/>
      <c r="J1164" s="66"/>
      <c r="K1164" s="66"/>
      <c r="L1164" s="1222"/>
      <c r="M1164" s="51"/>
      <c r="N1164" s="52"/>
      <c r="O1164" s="25"/>
      <c r="P1164" s="25"/>
    </row>
    <row r="1165" spans="1:16" ht="30" customHeight="1">
      <c r="A1165" s="61" t="s">
        <v>957</v>
      </c>
      <c r="B1165" s="62" t="s">
        <v>26</v>
      </c>
      <c r="C1165" s="63" t="s">
        <v>958</v>
      </c>
      <c r="D1165" s="1219" t="str">
        <f>IFERROR(UPPER(IF(B1165="CPU",VLOOKUP(C1165,#REF!,2,0),IF(B1165="SINAPI",VLOOKUP(C1165,#REF!,2,0),IF(B1165="EDIF",VLOOKUP(C1165,#REF!,2,0),IF(B1165="CDHU",VLOOKUP(C1165,#REF!,2,0),IF(B1165="FDE",VLOOKUP(C1165,'FDE 10-23 '!$A$4:$E$3180,2,0),IF(B1165="INFRA",VLOOKUP(C1165,#REF!,2,0),""))))))),"")</f>
        <v>FD-24 FECHAMENTO DE DIVISA COM GRADIL ELETROFUNDIDO / BROCA (H=235CM)</v>
      </c>
      <c r="E1165" s="65" t="str">
        <f>VLOOKUP(C1165,'FDE 10-23 '!$A$4:$E$3180,3,0)</f>
        <v>M</v>
      </c>
      <c r="F1165" s="1112">
        <v>16</v>
      </c>
      <c r="G1165" s="66"/>
      <c r="H1165" s="1220"/>
      <c r="I1165" s="66"/>
      <c r="J1165" s="66"/>
      <c r="K1165" s="66"/>
      <c r="L1165" s="1222"/>
      <c r="M1165" s="51"/>
      <c r="N1165" s="52"/>
      <c r="O1165" s="25"/>
      <c r="P1165" s="25"/>
    </row>
    <row r="1166" spans="1:16" ht="30" customHeight="1">
      <c r="A1166" s="61" t="s">
        <v>959</v>
      </c>
      <c r="B1166" s="62" t="s">
        <v>26</v>
      </c>
      <c r="C1166" s="63" t="s">
        <v>960</v>
      </c>
      <c r="D1166" s="1219" t="str">
        <f>IFERROR(UPPER(IF(B1166="CPU",VLOOKUP(C1166,#REF!,2,0),IF(B1166="SINAPI",VLOOKUP(C1166,#REF!,2,0),IF(B1166="EDIF",VLOOKUP(C1166,#REF!,2,0),IF(B1166="CDHU",VLOOKUP(C1166,#REF!,2,0),IF(B1166="FDE",VLOOKUP(C1166,'FDE 10-23 '!$A$4:$E$3180,2,0),IF(B1166="INFRA",VLOOKUP(C1166,#REF!,2,0),""))))))),"")</f>
        <v>PT-41 PORTAO EM CHAPA DE ACO (300X235CM)</v>
      </c>
      <c r="E1166" s="65" t="str">
        <f>VLOOKUP(C1166,'FDE 10-23 '!$A$4:$E$3180,3,0)</f>
        <v>UN</v>
      </c>
      <c r="F1166" s="1112">
        <v>2</v>
      </c>
      <c r="G1166" s="66"/>
      <c r="H1166" s="1220"/>
      <c r="I1166" s="66"/>
      <c r="J1166" s="66"/>
      <c r="K1166" s="66"/>
      <c r="L1166" s="1222"/>
      <c r="M1166" s="51"/>
      <c r="N1166" s="52"/>
      <c r="O1166" s="25"/>
      <c r="P1166" s="25"/>
    </row>
    <row r="1167" spans="1:16" ht="30" customHeight="1">
      <c r="A1167" s="61" t="s">
        <v>961</v>
      </c>
      <c r="B1167" s="62" t="s">
        <v>26</v>
      </c>
      <c r="C1167" s="63" t="s">
        <v>962</v>
      </c>
      <c r="D1167" s="1219" t="str">
        <f>IFERROR(UPPER(IF(B1167="CPU",VLOOKUP(C1167,#REF!,2,0),IF(B1167="SINAPI",VLOOKUP(C1167,#REF!,2,0),IF(B1167="EDIF",VLOOKUP(C1167,#REF!,2,0),IF(B1167="CDHU",VLOOKUP(C1167,#REF!,2,0),IF(B1167="FDE",VLOOKUP(C1167,'FDE 10-23 '!$A$4:$E$3180,2,0),IF(B1167="INFRA",VLOOKUP(C1167,#REF!,2,0),""))))))),"")</f>
        <v>FE-02  FECHAMENTO PARA SETORIZAÇAO (GRADIL ELETROFUNDIDO)</v>
      </c>
      <c r="E1167" s="65" t="str">
        <f>VLOOKUP(C1167,'FDE 10-23 '!$A$4:$E$3180,3,0)</f>
        <v>M2</v>
      </c>
      <c r="F1167" s="1112">
        <v>92.05</v>
      </c>
      <c r="G1167" s="66"/>
      <c r="H1167" s="1220"/>
      <c r="I1167" s="66"/>
      <c r="J1167" s="66"/>
      <c r="K1167" s="66"/>
      <c r="L1167" s="1222"/>
      <c r="M1167" s="51"/>
      <c r="N1167" s="52"/>
      <c r="O1167" s="25"/>
      <c r="P1167" s="25"/>
    </row>
    <row r="1168" spans="1:16" ht="30" customHeight="1">
      <c r="A1168" s="61" t="s">
        <v>963</v>
      </c>
      <c r="B1168" s="62" t="s">
        <v>26</v>
      </c>
      <c r="C1168" s="63" t="s">
        <v>964</v>
      </c>
      <c r="D1168" s="1219" t="str">
        <f>IFERROR(UPPER(IF(B1168="CPU",VLOOKUP(C1168,#REF!,2,0),IF(B1168="SINAPI",VLOOKUP(C1168,#REF!,2,0),IF(B1168="EDIF",VLOOKUP(C1168,#REF!,2,0),IF(B1168="CDHU",VLOOKUP(C1168,#REF!,2,0),IF(B1168="FDE",VLOOKUP(C1168,'FDE 10-23 '!$A$4:$E$3180,2,0),IF(B1168="INFRA",VLOOKUP(C1168,#REF!,2,0),""))))))),"")</f>
        <v>PT-50 PORTAO DE TELA PARA SETORIZAÇAO 120&lt;H&lt;200 CM</v>
      </c>
      <c r="E1168" s="65" t="str">
        <f>VLOOKUP(C1168,'FDE 10-23 '!$A$4:$E$3180,3,0)</f>
        <v>M2</v>
      </c>
      <c r="F1168" s="1112">
        <v>2.4</v>
      </c>
      <c r="G1168" s="66"/>
      <c r="H1168" s="1220"/>
      <c r="I1168" s="66"/>
      <c r="J1168" s="66"/>
      <c r="K1168" s="66"/>
      <c r="L1168" s="1222"/>
      <c r="M1168" s="51"/>
      <c r="N1168" s="52"/>
      <c r="O1168" s="25"/>
      <c r="P1168" s="25"/>
    </row>
    <row r="1169" spans="1:16" ht="30" customHeight="1">
      <c r="A1169" s="61" t="s">
        <v>965</v>
      </c>
      <c r="B1169" s="62" t="s">
        <v>26</v>
      </c>
      <c r="C1169" s="63" t="s">
        <v>966</v>
      </c>
      <c r="D1169" s="1219" t="str">
        <f>IFERROR(UPPER(IF(B1169="CPU",VLOOKUP(C1169,#REF!,2,0),IF(B1169="SINAPI",VLOOKUP(C1169,#REF!,2,0),IF(B1169="EDIF",VLOOKUP(C1169,#REF!,2,0),IF(B1169="CDHU",VLOOKUP(C1169,#REF!,2,0),IF(B1169="FDE",VLOOKUP(C1169,'FDE 10-23 '!$A$4:$E$3180,2,0),IF(B1169="INFRA",VLOOKUP(C1169,#REF!,2,0),""))))))),"")</f>
        <v>PT-35 PORTAO GRADIL ELETROFUNDIDO / PILARETE METALICO (300X235CM)</v>
      </c>
      <c r="E1169" s="65" t="str">
        <f>VLOOKUP(C1169,'FDE 10-23 '!$A$4:$E$3180,3,0)</f>
        <v>UN</v>
      </c>
      <c r="F1169" s="1112">
        <v>1</v>
      </c>
      <c r="G1169" s="66"/>
      <c r="H1169" s="1220"/>
      <c r="I1169" s="66"/>
      <c r="J1169" s="66"/>
      <c r="K1169" s="66"/>
      <c r="L1169" s="1222"/>
      <c r="M1169" s="51"/>
      <c r="N1169" s="52"/>
      <c r="O1169" s="25"/>
      <c r="P1169" s="25"/>
    </row>
    <row r="1170" spans="1:16" ht="30" customHeight="1">
      <c r="A1170" s="61"/>
      <c r="B1170" s="62"/>
      <c r="C1170" s="63"/>
      <c r="D1170" s="1219" t="s">
        <v>11058</v>
      </c>
      <c r="E1170" s="65"/>
      <c r="F1170" s="1112"/>
      <c r="G1170" s="66"/>
      <c r="H1170" s="1220"/>
      <c r="I1170" s="66"/>
      <c r="J1170" s="66"/>
      <c r="K1170" s="66"/>
      <c r="L1170" s="1222"/>
      <c r="M1170" s="51"/>
      <c r="N1170" s="52"/>
      <c r="O1170" s="25"/>
      <c r="P1170" s="25"/>
    </row>
    <row r="1171" spans="1:16" ht="30" customHeight="1">
      <c r="A1171" s="53" t="s">
        <v>967</v>
      </c>
      <c r="B1171" s="54"/>
      <c r="C1171" s="54" t="s">
        <v>968</v>
      </c>
      <c r="D1171" s="1216" t="s">
        <v>969</v>
      </c>
      <c r="E1171" s="56" t="str">
        <f>IFERROR(UPPER(IF(B1171="CPU",VLOOKUP(C1171,#REF!,3,0),IF(B1171="SINAPI",VLOOKUP(C1171,#REF!,3,0),IF(B1171="EDIF",VLOOKUP(C1171,#REF!,3,0),IF(B1171="CDHU",VLOOKUP(C1171,#REF!,3,0),IF(B1171="FDE",VLOOKUP(C1171,#REF!,3,0),IF(B1171="INFRA",VLOOKUP(C1171,#REF!,3,0),""))))))),"")</f>
        <v/>
      </c>
      <c r="F1171" s="1232"/>
      <c r="G1171" s="57"/>
      <c r="H1171" s="1217"/>
      <c r="I1171" s="1217"/>
      <c r="J1171" s="1217"/>
      <c r="K1171" s="1217"/>
      <c r="L1171" s="1218"/>
      <c r="M1171" s="51"/>
      <c r="N1171" s="52"/>
      <c r="O1171" s="25"/>
      <c r="P1171" s="25"/>
    </row>
    <row r="1172" spans="1:16" ht="30" customHeight="1">
      <c r="A1172" s="61" t="s">
        <v>970</v>
      </c>
      <c r="B1172" s="62" t="s">
        <v>26</v>
      </c>
      <c r="C1172" s="63" t="s">
        <v>971</v>
      </c>
      <c r="D1172" s="1219" t="str">
        <f>IFERROR(UPPER(IF(B1172="CPU",VLOOKUP(C1172,#REF!,2,0),IF(B1172="SINAPI",VLOOKUP(C1172,#REF!,2,0),IF(B1172="EDIF",VLOOKUP(C1172,#REF!,2,0),IF(B1172="CDHU",VLOOKUP(C1172,#REF!,2,0),IF(B1172="FDE",VLOOKUP(C1172,'FDE 10-23 '!$A$4:$E$3180,2,0),IF(B1172="INFRA",VLOOKUP(C1172,#REF!,2,0),""))))))),"")</f>
        <v>BORRACHA ASSENTADA C/ ARGAMASSA - PISO TATIL DIRECIONAL</v>
      </c>
      <c r="E1172" s="65" t="str">
        <f>VLOOKUP(C1172,'FDE 10-23 '!$A$4:$E$3180,3,0)</f>
        <v>M2</v>
      </c>
      <c r="F1172" s="1112">
        <v>2.56</v>
      </c>
      <c r="G1172" s="66"/>
      <c r="H1172" s="1220"/>
      <c r="I1172" s="66"/>
      <c r="J1172" s="66"/>
      <c r="K1172" s="66"/>
      <c r="L1172" s="1222"/>
      <c r="M1172" s="51"/>
      <c r="N1172" s="52"/>
      <c r="O1172" s="25"/>
      <c r="P1172" s="25"/>
    </row>
    <row r="1173" spans="1:16" ht="30" customHeight="1">
      <c r="A1173" s="61" t="s">
        <v>972</v>
      </c>
      <c r="B1173" s="62" t="s">
        <v>26</v>
      </c>
      <c r="C1173" s="63" t="s">
        <v>973</v>
      </c>
      <c r="D1173" s="1219" t="str">
        <f>IFERROR(UPPER(IF(B1173="CPU",VLOOKUP(C1173,#REF!,2,0),IF(B1173="SINAPI",VLOOKUP(C1173,#REF!,2,0),IF(B1173="EDIF",VLOOKUP(C1173,#REF!,2,0),IF(B1173="CDHU",VLOOKUP(C1173,#REF!,2,0),IF(B1173="FDE",VLOOKUP(C1173,'FDE 10-23 '!$A$4:$E$3180,2,0),IF(B1173="INFRA",VLOOKUP(C1173,#REF!,2,0),""))))))),"")</f>
        <v>PAVIMENTACAO COM PEDRISCO COM ESPESS DE 5 CM</v>
      </c>
      <c r="E1173" s="65" t="str">
        <f>VLOOKUP(C1173,'FDE 10-23 '!$A$4:$E$3180,3,0)</f>
        <v>M2</v>
      </c>
      <c r="F1173" s="1112">
        <v>354.38</v>
      </c>
      <c r="G1173" s="66"/>
      <c r="H1173" s="1220"/>
      <c r="I1173" s="66"/>
      <c r="J1173" s="66"/>
      <c r="K1173" s="66"/>
      <c r="L1173" s="1222"/>
      <c r="M1173" s="51"/>
      <c r="N1173" s="52"/>
      <c r="O1173" s="25"/>
      <c r="P1173" s="25"/>
    </row>
    <row r="1174" spans="1:16" ht="30" customHeight="1">
      <c r="A1174" s="61" t="s">
        <v>974</v>
      </c>
      <c r="B1174" s="62" t="s">
        <v>26</v>
      </c>
      <c r="C1174" s="63" t="s">
        <v>975</v>
      </c>
      <c r="D1174" s="1219" t="str">
        <f>IFERROR(UPPER(IF(B1174="CPU",VLOOKUP(C1174,#REF!,2,0),IF(B1174="SINAPI",VLOOKUP(C1174,#REF!,2,0),IF(B1174="EDIF",VLOOKUP(C1174,#REF!,2,0),IF(B1174="CDHU",VLOOKUP(C1174,#REF!,2,0),IF(B1174="FDE",VLOOKUP(C1174,'FDE 10-23 '!$A$4:$E$3180,2,0),IF(B1174="INFRA",VLOOKUP(C1174,#REF!,2,0),""))))))),"")</f>
        <v>GA-01 GUIA LEVE OU SEPARADOR DE PISOS</v>
      </c>
      <c r="E1174" s="65" t="str">
        <f>VLOOKUP(C1174,'FDE 10-23 '!$A$4:$E$3180,3,0)</f>
        <v>M</v>
      </c>
      <c r="F1174" s="1112">
        <v>16</v>
      </c>
      <c r="G1174" s="66"/>
      <c r="H1174" s="1220"/>
      <c r="I1174" s="66"/>
      <c r="J1174" s="66"/>
      <c r="K1174" s="66"/>
      <c r="L1174" s="1222"/>
      <c r="M1174" s="51"/>
      <c r="N1174" s="52"/>
      <c r="O1174" s="25"/>
      <c r="P1174" s="25"/>
    </row>
    <row r="1175" spans="1:16" ht="30" customHeight="1">
      <c r="A1175" s="61" t="s">
        <v>976</v>
      </c>
      <c r="B1175" s="62" t="s">
        <v>26</v>
      </c>
      <c r="C1175" s="63" t="s">
        <v>977</v>
      </c>
      <c r="D1175" s="1219" t="str">
        <f>IFERROR(UPPER(IF(B1175="CPU",VLOOKUP(C1175,#REF!,2,0),IF(B1175="SINAPI",VLOOKUP(C1175,#REF!,2,0),IF(B1175="EDIF",VLOOKUP(C1175,#REF!,2,0),IF(B1175="CDHU",VLOOKUP(C1175,#REF!,2,0),IF(B1175="FDE",VLOOKUP(C1175,'FDE 10-23 '!$A$4:$E$3180,2,0),IF(B1175="INFRA",VLOOKUP(C1175,#REF!,2,0),""))))))),"")</f>
        <v>PISO DE CONCRETO FCK 25MPA DESEMPENAMENTO MECÂNICO E=8CM</v>
      </c>
      <c r="E1175" s="65" t="str">
        <f>VLOOKUP(C1175,'FDE 10-23 '!$A$4:$E$3180,3,0)</f>
        <v>M2</v>
      </c>
      <c r="F1175" s="1112">
        <v>1202.5999999999999</v>
      </c>
      <c r="G1175" s="66"/>
      <c r="H1175" s="1220"/>
      <c r="I1175" s="66"/>
      <c r="J1175" s="66"/>
      <c r="K1175" s="66"/>
      <c r="L1175" s="1222"/>
      <c r="M1175" s="51"/>
      <c r="N1175" s="52"/>
      <c r="O1175" s="25"/>
      <c r="P1175" s="25"/>
    </row>
    <row r="1176" spans="1:16" ht="30" customHeight="1">
      <c r="A1176" s="61" t="s">
        <v>978</v>
      </c>
      <c r="B1176" s="62" t="s">
        <v>26</v>
      </c>
      <c r="C1176" s="63" t="s">
        <v>979</v>
      </c>
      <c r="D1176" s="1219" t="str">
        <f>IFERROR(UPPER(IF(B1176="CPU",VLOOKUP(C1176,#REF!,2,0),IF(B1176="SINAPI",VLOOKUP(C1176,#REF!,2,0),IF(B1176="EDIF",VLOOKUP(C1176,#REF!,2,0),IF(B1176="CDHU",VLOOKUP(C1176,#REF!,2,0),IF(B1176="FDE",VLOOKUP(C1176,'FDE 10-23 '!$A$4:$E$3180,2,0),IF(B1176="INFRA",VLOOKUP(C1176,#REF!,2,0),""))))))),"")</f>
        <v>PISO DE CONCRETO ARMADO FCK 25MPA DESEMPENAMENTO MECÂNICO  E=10CM</v>
      </c>
      <c r="E1176" s="65" t="str">
        <f>VLOOKUP(C1176,'FDE 10-23 '!$A$4:$E$3180,3,0)</f>
        <v>M2</v>
      </c>
      <c r="F1176" s="1112"/>
      <c r="G1176" s="66"/>
      <c r="H1176" s="1220"/>
      <c r="I1176" s="66"/>
      <c r="J1176" s="66"/>
      <c r="K1176" s="66"/>
      <c r="L1176" s="1222"/>
      <c r="M1176" s="51"/>
      <c r="N1176" s="52"/>
      <c r="O1176" s="25"/>
      <c r="P1176" s="25"/>
    </row>
    <row r="1177" spans="1:16" ht="30" customHeight="1">
      <c r="A1177" s="61" t="s">
        <v>980</v>
      </c>
      <c r="B1177" s="62" t="s">
        <v>26</v>
      </c>
      <c r="C1177" s="63" t="s">
        <v>981</v>
      </c>
      <c r="D1177" s="1219" t="str">
        <f>IFERROR(UPPER(IF(B1177="CPU",VLOOKUP(C1177,#REF!,2,0),IF(B1177="SINAPI",VLOOKUP(C1177,#REF!,2,0),IF(B1177="EDIF",VLOOKUP(C1177,#REF!,2,0),IF(B1177="CDHU",VLOOKUP(C1177,#REF!,2,0),IF(B1177="FDE",VLOOKUP(C1177,'FDE 10-23 '!$A$4:$E$3180,2,0),IF(B1177="INFRA",VLOOKUP(C1177,#REF!,2,0),""))))))),"")</f>
        <v>DEGRAU DE CONCRETO ARMADO FCK 25MPA DESEMPENADO E=6CM  INCLUSIVE LASTRO DE BRITA</v>
      </c>
      <c r="E1177" s="65" t="str">
        <f>VLOOKUP(C1177,'FDE 10-23 '!$A$4:$E$3180,3,0)</f>
        <v>M</v>
      </c>
      <c r="F1177" s="1112">
        <v>48</v>
      </c>
      <c r="G1177" s="66"/>
      <c r="H1177" s="1220"/>
      <c r="I1177" s="66"/>
      <c r="J1177" s="66"/>
      <c r="K1177" s="66"/>
      <c r="L1177" s="1222"/>
      <c r="M1177" s="51"/>
      <c r="N1177" s="52"/>
      <c r="O1177" s="25"/>
      <c r="P1177" s="25"/>
    </row>
    <row r="1178" spans="1:16" ht="30" customHeight="1">
      <c r="A1178" s="61" t="s">
        <v>982</v>
      </c>
      <c r="B1178" s="62" t="s">
        <v>26</v>
      </c>
      <c r="C1178" s="63" t="s">
        <v>983</v>
      </c>
      <c r="D1178" s="1219" t="str">
        <f>IFERROR(UPPER(IF(B1178="CPU",VLOOKUP(C1178,#REF!,2,0),IF(B1178="SINAPI",VLOOKUP(C1178,#REF!,2,0),IF(B1178="EDIF",VLOOKUP(C1178,#REF!,2,0),IF(B1178="CDHU",VLOOKUP(C1178,#REF!,2,0),IF(B1178="FDE",VLOOKUP(C1178,'FDE 10-23 '!$A$4:$E$3180,2,0),IF(B1178="INFRA",VLOOKUP(C1178,#REF!,2,0),""))))))),"")</f>
        <v>LASTRO DE PEDRA BRITADA - 5CM</v>
      </c>
      <c r="E1178" s="65" t="str">
        <f>VLOOKUP(C1178,'FDE 10-23 '!$A$4:$E$3180,3,0)</f>
        <v>M2</v>
      </c>
      <c r="F1178" s="1112">
        <v>1202.6199999999999</v>
      </c>
      <c r="G1178" s="66"/>
      <c r="H1178" s="1220"/>
      <c r="I1178" s="66"/>
      <c r="J1178" s="66"/>
      <c r="K1178" s="66"/>
      <c r="L1178" s="1222"/>
      <c r="M1178" s="51"/>
      <c r="N1178" s="52"/>
      <c r="O1178" s="25"/>
      <c r="P1178" s="25"/>
    </row>
    <row r="1179" spans="1:16" ht="30" customHeight="1">
      <c r="A1179" s="61"/>
      <c r="B1179" s="62"/>
      <c r="C1179" s="63"/>
      <c r="D1179" s="1219" t="s">
        <v>11058</v>
      </c>
      <c r="E1179" s="65"/>
      <c r="F1179" s="1112"/>
      <c r="G1179" s="66"/>
      <c r="H1179" s="1220"/>
      <c r="I1179" s="66"/>
      <c r="J1179" s="66"/>
      <c r="K1179" s="66"/>
      <c r="L1179" s="1222"/>
      <c r="M1179" s="51"/>
      <c r="N1179" s="52"/>
      <c r="O1179" s="25"/>
      <c r="P1179" s="25"/>
    </row>
    <row r="1180" spans="1:16" ht="30" customHeight="1">
      <c r="A1180" s="53" t="s">
        <v>984</v>
      </c>
      <c r="B1180" s="54"/>
      <c r="C1180" s="54" t="s">
        <v>985</v>
      </c>
      <c r="D1180" s="1216" t="s">
        <v>986</v>
      </c>
      <c r="E1180" s="56" t="str">
        <f>IFERROR(UPPER(IF(B1180="CPU",VLOOKUP(C1180,#REF!,3,0),IF(B1180="SINAPI",VLOOKUP(C1180,#REF!,3,0),IF(B1180="EDIF",VLOOKUP(C1180,#REF!,3,0),IF(B1180="CDHU",VLOOKUP(C1180,#REF!,3,0),IF(B1180="FDE",VLOOKUP(C1180,#REF!,3,0),IF(B1180="INFRA",VLOOKUP(C1180,#REF!,3,0),""))))))),"")</f>
        <v/>
      </c>
      <c r="F1180" s="1234"/>
      <c r="G1180" s="57"/>
      <c r="H1180" s="1217"/>
      <c r="I1180" s="1217"/>
      <c r="J1180" s="1217"/>
      <c r="K1180" s="1217"/>
      <c r="L1180" s="1218"/>
      <c r="M1180" s="51"/>
      <c r="N1180" s="52"/>
      <c r="O1180" s="25"/>
      <c r="P1180" s="25"/>
    </row>
    <row r="1181" spans="1:16" ht="30" customHeight="1">
      <c r="A1181" s="61" t="s">
        <v>987</v>
      </c>
      <c r="B1181" s="62" t="s">
        <v>26</v>
      </c>
      <c r="C1181" s="63" t="s">
        <v>988</v>
      </c>
      <c r="D1181" s="1219" t="str">
        <f>IFERROR(UPPER(IF(B1181="CPU",VLOOKUP(C1181,#REF!,2,0),IF(B1181="SINAPI",VLOOKUP(C1181,#REF!,2,0),IF(B1181="EDIF",VLOOKUP(C1181,#REF!,2,0),IF(B1181="CDHU",VLOOKUP(C1181,#REF!,2,0),IF(B1181="FDE",VLOOKUP(C1181,'FDE 10-23 '!$A$4:$E$3180,2,0),IF(B1181="INFRA",VLOOKUP(C1181,#REF!,2,0),""))))))),"")</f>
        <v>GRAMA SAO CARLOS EM PLACAS</v>
      </c>
      <c r="E1181" s="65" t="str">
        <f>VLOOKUP(C1181,'FDE 10-23 '!$A$4:$E$3180,3,0)</f>
        <v>M2</v>
      </c>
      <c r="F1181" s="1112">
        <v>4037.7</v>
      </c>
      <c r="G1181" s="66"/>
      <c r="H1181" s="1220"/>
      <c r="I1181" s="66"/>
      <c r="J1181" s="66"/>
      <c r="K1181" s="66"/>
      <c r="L1181" s="1222"/>
      <c r="M1181" s="51"/>
      <c r="N1181" s="52"/>
      <c r="O1181" s="25"/>
      <c r="P1181" s="25"/>
    </row>
    <row r="1182" spans="1:16" ht="30" customHeight="1">
      <c r="A1182" s="61" t="s">
        <v>989</v>
      </c>
      <c r="B1182" s="62" t="s">
        <v>26</v>
      </c>
      <c r="C1182" s="63" t="s">
        <v>990</v>
      </c>
      <c r="D1182" s="1219" t="str">
        <f>IFERROR(UPPER(IF(B1182="CPU",VLOOKUP(C1182,#REF!,2,0),IF(B1182="SINAPI",VLOOKUP(C1182,#REF!,2,0),IF(B1182="EDIF",VLOOKUP(C1182,#REF!,2,0),IF(B1182="CDHU",VLOOKUP(C1182,#REF!,2,0),IF(B1182="FDE",VLOOKUP(C1182,'FDE 10-23 '!$A$4:$E$3180,2,0),IF(B1182="INFRA",VLOOKUP(C1182,#REF!,2,0),""))))))),"")</f>
        <v>AP-02 PROTETOR PARA ARVORES</v>
      </c>
      <c r="E1182" s="65" t="str">
        <f>VLOOKUP(C1182,'FDE 10-23 '!$A$4:$E$3180,3,0)</f>
        <v>UN</v>
      </c>
      <c r="F1182" s="1112">
        <v>14</v>
      </c>
      <c r="G1182" s="66"/>
      <c r="H1182" s="1220"/>
      <c r="I1182" s="66"/>
      <c r="J1182" s="66"/>
      <c r="K1182" s="66"/>
      <c r="L1182" s="1222"/>
      <c r="M1182" s="51"/>
      <c r="N1182" s="52"/>
      <c r="O1182" s="25"/>
      <c r="P1182" s="25"/>
    </row>
    <row r="1183" spans="1:16" ht="30" customHeight="1">
      <c r="A1183" s="61" t="s">
        <v>991</v>
      </c>
      <c r="B1183" s="62" t="s">
        <v>26</v>
      </c>
      <c r="C1183" s="63" t="s">
        <v>992</v>
      </c>
      <c r="D1183" s="1219" t="str">
        <f>IFERROR(UPPER(IF(B1183="CPU",VLOOKUP(C1183,#REF!,2,0),IF(B1183="SINAPI",VLOOKUP(C1183,#REF!,2,0),IF(B1183="EDIF",VLOOKUP(C1183,#REF!,2,0),IF(B1183="CDHU",VLOOKUP(C1183,#REF!,2,0),IF(B1183="FDE",VLOOKUP(C1183,'FDE 10-23 '!$A$4:$E$3180,2,0),IF(B1183="INFRA",VLOOKUP(C1183,#REF!,2,0),""))))))),"")</f>
        <v>FRUTÍFERA PITANGUEIRA H=2,00M</v>
      </c>
      <c r="E1183" s="65" t="str">
        <f>VLOOKUP(C1183,'FDE 10-23 '!$A$4:$E$3180,3,0)</f>
        <v>UN</v>
      </c>
      <c r="F1183" s="1112">
        <v>5</v>
      </c>
      <c r="G1183" s="66"/>
      <c r="H1183" s="1220"/>
      <c r="I1183" s="66"/>
      <c r="J1183" s="66"/>
      <c r="K1183" s="66"/>
      <c r="L1183" s="1222"/>
      <c r="M1183" s="51"/>
      <c r="N1183" s="52"/>
      <c r="O1183" s="25"/>
      <c r="P1183" s="25"/>
    </row>
    <row r="1184" spans="1:16" ht="30" customHeight="1">
      <c r="A1184" s="61" t="s">
        <v>993</v>
      </c>
      <c r="B1184" s="62" t="s">
        <v>26</v>
      </c>
      <c r="C1184" s="63" t="s">
        <v>994</v>
      </c>
      <c r="D1184" s="1219" t="str">
        <f>IFERROR(UPPER(IF(B1184="CPU",VLOOKUP(C1184,#REF!,2,0),IF(B1184="SINAPI",VLOOKUP(C1184,#REF!,2,0),IF(B1184="EDIF",VLOOKUP(C1184,#REF!,2,0),IF(B1184="CDHU",VLOOKUP(C1184,#REF!,2,0),IF(B1184="FDE",VLOOKUP(C1184,'FDE 10-23 '!$A$4:$E$3180,2,0),IF(B1184="INFRA",VLOOKUP(C1184,#REF!,2,0),""))))))),"")</f>
        <v>ÁRVORE ORNAMENTAL PAU-BRASIL  H=2,00M</v>
      </c>
      <c r="E1184" s="65" t="str">
        <f>VLOOKUP(C1184,'FDE 10-23 '!$A$4:$E$3180,3,0)</f>
        <v>UN</v>
      </c>
      <c r="F1184" s="1112">
        <v>9</v>
      </c>
      <c r="G1184" s="66"/>
      <c r="H1184" s="1220"/>
      <c r="I1184" s="66"/>
      <c r="J1184" s="66"/>
      <c r="K1184" s="66"/>
      <c r="L1184" s="1222"/>
      <c r="M1184" s="51"/>
      <c r="N1184" s="52"/>
      <c r="O1184" s="25"/>
      <c r="P1184" s="25"/>
    </row>
    <row r="1185" spans="1:16" ht="30" customHeight="1">
      <c r="A1185" s="61"/>
      <c r="B1185" s="62"/>
      <c r="C1185" s="63"/>
      <c r="D1185" s="1219" t="s">
        <v>11058</v>
      </c>
      <c r="E1185" s="65"/>
      <c r="F1185" s="88"/>
      <c r="G1185" s="66"/>
      <c r="H1185" s="1220"/>
      <c r="I1185" s="66"/>
      <c r="J1185" s="66"/>
      <c r="K1185" s="66"/>
      <c r="L1185" s="1222"/>
      <c r="M1185" s="51"/>
      <c r="N1185" s="52"/>
      <c r="O1185" s="25"/>
      <c r="P1185" s="25"/>
    </row>
    <row r="1186" spans="1:16" ht="30" customHeight="1">
      <c r="A1186" s="53" t="s">
        <v>995</v>
      </c>
      <c r="B1186" s="54"/>
      <c r="C1186" s="54" t="s">
        <v>996</v>
      </c>
      <c r="D1186" s="1216" t="s">
        <v>997</v>
      </c>
      <c r="E1186" s="56" t="str">
        <f>IFERROR(UPPER(IF(B1186="CPU",VLOOKUP(C1186,#REF!,3,0),IF(B1186="SINAPI",VLOOKUP(C1186,#REF!,3,0),IF(B1186="EDIF",VLOOKUP(C1186,#REF!,3,0),IF(B1186="CDHU",VLOOKUP(C1186,#REF!,3,0),IF(B1186="FDE",VLOOKUP(C1186,#REF!,3,0),IF(B1186="INFRA",VLOOKUP(C1186,#REF!,3,0),""))))))),"")</f>
        <v/>
      </c>
      <c r="F1186" s="1232"/>
      <c r="G1186" s="57"/>
      <c r="H1186" s="1217"/>
      <c r="I1186" s="1217"/>
      <c r="J1186" s="1217"/>
      <c r="K1186" s="1217"/>
      <c r="L1186" s="1218"/>
      <c r="M1186" s="51"/>
      <c r="N1186" s="52"/>
      <c r="O1186" s="25"/>
      <c r="P1186" s="25"/>
    </row>
    <row r="1187" spans="1:16" ht="30" customHeight="1">
      <c r="A1187" s="61" t="s">
        <v>998</v>
      </c>
      <c r="B1187" s="62" t="s">
        <v>26</v>
      </c>
      <c r="C1187" s="63" t="s">
        <v>999</v>
      </c>
      <c r="D1187" s="1219" t="str">
        <f>IFERROR(UPPER(IF(B1187="CPU",VLOOKUP(C1187,#REF!,2,0),IF(B1187="SINAPI",VLOOKUP(C1187,#REF!,2,0),IF(B1187="EDIF",VLOOKUP(C1187,#REF!,2,0),IF(B1187="CDHU",VLOOKUP(C1187,#REF!,2,0),IF(B1187="FDE",VLOOKUP(C1187,'FDE 10-23 '!$A$4:$E$3180,2,0),IF(B1187="INFRA",VLOOKUP(C1187,#REF!,2,0),""))))))),"")</f>
        <v>CA-05 CANALETA P/ AGUAS PLUVIAIS (L=60CM)</v>
      </c>
      <c r="E1187" s="65" t="str">
        <f>VLOOKUP(C1187,'FDE 10-23 '!$A$4:$E$3180,3,0)</f>
        <v>M</v>
      </c>
      <c r="F1187" s="1112">
        <v>128</v>
      </c>
      <c r="G1187" s="66"/>
      <c r="H1187" s="1220"/>
      <c r="I1187" s="66"/>
      <c r="J1187" s="66"/>
      <c r="K1187" s="66"/>
      <c r="L1187" s="1222"/>
      <c r="M1187" s="51"/>
      <c r="N1187" s="52"/>
      <c r="O1187" s="25"/>
      <c r="P1187" s="25"/>
    </row>
    <row r="1188" spans="1:16" ht="30" customHeight="1">
      <c r="A1188" s="61" t="s">
        <v>1000</v>
      </c>
      <c r="B1188" s="62" t="s">
        <v>26</v>
      </c>
      <c r="C1188" s="63" t="s">
        <v>1001</v>
      </c>
      <c r="D1188" s="1219" t="str">
        <f>IFERROR(UPPER(IF(B1188="CPU",VLOOKUP(C1188,#REF!,2,0),IF(B1188="SINAPI",VLOOKUP(C1188,#REF!,2,0),IF(B1188="EDIF",VLOOKUP(C1188,#REF!,2,0),IF(B1188="CDHU",VLOOKUP(C1188,#REF!,2,0),IF(B1188="FDE",VLOOKUP(C1188,'FDE 10-23 '!$A$4:$E$3180,2,0),IF(B1188="INFRA",VLOOKUP(C1188,#REF!,2,0),""))))))),"")</f>
        <v>CA-11 CAIXA DE AREIA COM GRELHA</v>
      </c>
      <c r="E1188" s="65" t="str">
        <f>VLOOKUP(C1188,'FDE 10-23 '!$A$4:$E$3180,3,0)</f>
        <v>UN</v>
      </c>
      <c r="F1188" s="1112">
        <v>3</v>
      </c>
      <c r="G1188" s="66"/>
      <c r="H1188" s="1220"/>
      <c r="I1188" s="66"/>
      <c r="J1188" s="66"/>
      <c r="K1188" s="66"/>
      <c r="L1188" s="1222"/>
      <c r="M1188" s="51"/>
      <c r="N1188" s="52"/>
      <c r="O1188" s="25"/>
      <c r="P1188" s="25"/>
    </row>
    <row r="1189" spans="1:16" ht="30" customHeight="1">
      <c r="A1189" s="61" t="s">
        <v>1002</v>
      </c>
      <c r="B1189" s="62" t="s">
        <v>26</v>
      </c>
      <c r="C1189" s="63" t="s">
        <v>1003</v>
      </c>
      <c r="D1189" s="1219" t="str">
        <f>IFERROR(UPPER(IF(B1189="CPU",VLOOKUP(C1189,#REF!,2,0),IF(B1189="SINAPI",VLOOKUP(C1189,#REF!,2,0),IF(B1189="EDIF",VLOOKUP(C1189,#REF!,2,0),IF(B1189="CDHU",VLOOKUP(C1189,#REF!,2,0),IF(B1189="FDE",VLOOKUP(C1189,'FDE 10-23 '!$A$4:$E$3180,2,0),IF(B1189="INFRA",VLOOKUP(C1189,#REF!,2,0),""))))))),"")</f>
        <v>CA-22 CANALETA DE AGUAS PLUVIAIS EM CONCRETO (30CM)</v>
      </c>
      <c r="E1189" s="65" t="str">
        <f>VLOOKUP(C1189,'FDE 10-23 '!$A$4:$E$3180,3,0)</f>
        <v>M</v>
      </c>
      <c r="F1189" s="1112">
        <v>31</v>
      </c>
      <c r="G1189" s="66"/>
      <c r="H1189" s="1220"/>
      <c r="I1189" s="66"/>
      <c r="J1189" s="66"/>
      <c r="K1189" s="66"/>
      <c r="L1189" s="1222"/>
      <c r="M1189" s="51"/>
      <c r="N1189" s="52"/>
      <c r="O1189" s="25"/>
      <c r="P1189" s="25"/>
    </row>
    <row r="1190" spans="1:16" ht="30" customHeight="1">
      <c r="A1190" s="61" t="s">
        <v>1004</v>
      </c>
      <c r="B1190" s="62" t="s">
        <v>26</v>
      </c>
      <c r="C1190" s="63" t="s">
        <v>1005</v>
      </c>
      <c r="D1190" s="1219" t="str">
        <f>IFERROR(UPPER(IF(B1190="CPU",VLOOKUP(C1190,#REF!,2,0),IF(B1190="SINAPI",VLOOKUP(C1190,#REF!,2,0),IF(B1190="EDIF",VLOOKUP(C1190,#REF!,2,0),IF(B1190="CDHU",VLOOKUP(C1190,#REF!,2,0),IF(B1190="FDE",VLOOKUP(C1190,'FDE 10-23 '!$A$4:$E$3180,2,0),IF(B1190="INFRA",VLOOKUP(C1190,#REF!,2,0),""))))))),"")</f>
        <v>CANALETA DE CONCRETO 1/2 CANA DN 30CM P/ AGUAS PLUVIAIS</v>
      </c>
      <c r="E1190" s="65" t="str">
        <f>VLOOKUP(C1190,'FDE 10-23 '!$A$4:$E$3180,3,0)</f>
        <v>M</v>
      </c>
      <c r="F1190" s="1112">
        <v>116</v>
      </c>
      <c r="G1190" s="66"/>
      <c r="H1190" s="1220"/>
      <c r="I1190" s="66"/>
      <c r="J1190" s="66"/>
      <c r="K1190" s="66"/>
      <c r="L1190" s="1222"/>
      <c r="M1190" s="51"/>
      <c r="N1190" s="52"/>
      <c r="O1190" s="25"/>
      <c r="P1190" s="25"/>
    </row>
    <row r="1191" spans="1:16" ht="30" customHeight="1">
      <c r="A1191" s="61" t="s">
        <v>1006</v>
      </c>
      <c r="B1191" s="62" t="s">
        <v>26</v>
      </c>
      <c r="C1191" s="63" t="s">
        <v>1007</v>
      </c>
      <c r="D1191" s="1219" t="str">
        <f>IFERROR(UPPER(IF(B1191="CPU",VLOOKUP(C1191,#REF!,2,0),IF(B1191="SINAPI",VLOOKUP(C1191,#REF!,2,0),IF(B1191="EDIF",VLOOKUP(C1191,#REF!,2,0),IF(B1191="CDHU",VLOOKUP(C1191,#REF!,2,0),IF(B1191="FDE",VLOOKUP(C1191,'FDE 10-23 '!$A$4:$E$3180,2,0),IF(B1191="INFRA",VLOOKUP(C1191,#REF!,2,0),""))))))),"")</f>
        <v>TC-08 TAMPA EM GRELHA DE FERRO GALVANIZADO P/ CANALETA (35CM)</v>
      </c>
      <c r="E1191" s="65" t="str">
        <f>VLOOKUP(C1191,'FDE 10-23 '!$A$4:$E$3180,3,0)</f>
        <v>M</v>
      </c>
      <c r="F1191" s="1112">
        <v>18</v>
      </c>
      <c r="G1191" s="66"/>
      <c r="H1191" s="1220"/>
      <c r="I1191" s="66"/>
      <c r="J1191" s="66"/>
      <c r="K1191" s="66"/>
      <c r="L1191" s="1222"/>
      <c r="M1191" s="51"/>
      <c r="N1191" s="52"/>
      <c r="O1191" s="25"/>
      <c r="P1191" s="25"/>
    </row>
    <row r="1192" spans="1:16" ht="30" customHeight="1">
      <c r="A1192" s="61" t="s">
        <v>1008</v>
      </c>
      <c r="B1192" s="62" t="s">
        <v>26</v>
      </c>
      <c r="C1192" s="63" t="s">
        <v>1009</v>
      </c>
      <c r="D1192" s="1219" t="str">
        <f>IFERROR(UPPER(IF(B1192="CPU",VLOOKUP(C1192,#REF!,2,0),IF(B1192="SINAPI",VLOOKUP(C1192,#REF!,2,0),IF(B1192="EDIF",VLOOKUP(C1192,#REF!,2,0),IF(B1192="CDHU",VLOOKUP(C1192,#REF!,2,0),IF(B1192="FDE",VLOOKUP(C1192,'FDE 10-23 '!$A$4:$E$3180,2,0),IF(B1192="INFRA",VLOOKUP(C1192,#REF!,2,0),""))))))),"")</f>
        <v>TC-11 TAMPA DE CONCRETO PRE-MOLDADA PERF. P/ CANALETA L=35CM</v>
      </c>
      <c r="E1192" s="65" t="str">
        <f>VLOOKUP(C1192,'FDE 10-23 '!$A$4:$E$3180,3,0)</f>
        <v>M</v>
      </c>
      <c r="F1192" s="1112">
        <v>13</v>
      </c>
      <c r="G1192" s="66"/>
      <c r="H1192" s="1220"/>
      <c r="I1192" s="66"/>
      <c r="J1192" s="66"/>
      <c r="K1192" s="66"/>
      <c r="L1192" s="1222"/>
      <c r="M1192" s="51"/>
      <c r="N1192" s="52"/>
      <c r="O1192" s="25"/>
      <c r="P1192" s="25"/>
    </row>
    <row r="1193" spans="1:16" ht="30" customHeight="1">
      <c r="A1193" s="61" t="s">
        <v>1010</v>
      </c>
      <c r="B1193" s="62" t="s">
        <v>26</v>
      </c>
      <c r="C1193" s="63" t="s">
        <v>1011</v>
      </c>
      <c r="D1193" s="1219" t="str">
        <f>IFERROR(UPPER(IF(B1193="CPU",VLOOKUP(C1193,#REF!,2,0),IF(B1193="SINAPI",VLOOKUP(C1193,#REF!,2,0),IF(B1193="EDIF",VLOOKUP(C1193,#REF!,2,0),IF(B1193="CDHU",VLOOKUP(C1193,#REF!,2,0),IF(B1193="FDE",VLOOKUP(C1193,'FDE 10-23 '!$A$4:$E$3180,2,0),IF(B1193="INFRA",VLOOKUP(C1193,#REF!,2,0),""))))))),"")</f>
        <v>TAMPA PRÉ-MOLDADA Ø 2,50M PARA POÇO DE RETENÇÃO DE A.P. COM TAMPA DE INSPEÇÃO Ø 0,60M</v>
      </c>
      <c r="E1193" s="65" t="str">
        <f>VLOOKUP(C1193,'FDE 10-23 '!$A$4:$E$3180,3,0)</f>
        <v>UN</v>
      </c>
      <c r="F1193" s="1112">
        <v>5</v>
      </c>
      <c r="G1193" s="66"/>
      <c r="H1193" s="1220"/>
      <c r="I1193" s="66"/>
      <c r="J1193" s="66"/>
      <c r="K1193" s="66"/>
      <c r="L1193" s="1222"/>
      <c r="M1193" s="51"/>
      <c r="N1193" s="52"/>
      <c r="O1193" s="25"/>
      <c r="P1193" s="25"/>
    </row>
    <row r="1194" spans="1:16" ht="30" customHeight="1">
      <c r="A1194" s="61" t="s">
        <v>1012</v>
      </c>
      <c r="B1194" s="62" t="s">
        <v>26</v>
      </c>
      <c r="C1194" s="63" t="s">
        <v>1013</v>
      </c>
      <c r="D1194" s="1219" t="str">
        <f>IFERROR(UPPER(IF(B1194="CPU",VLOOKUP(C1194,#REF!,2,0),IF(B1194="SINAPI",VLOOKUP(C1194,#REF!,2,0),IF(B1194="EDIF",VLOOKUP(C1194,#REF!,2,0),IF(B1194="CDHU",VLOOKUP(C1194,#REF!,2,0),IF(B1194="FDE",VLOOKUP(C1194,'FDE 10-23 '!$A$4:$E$3180,2,0),IF(B1194="INFRA",VLOOKUP(C1194,#REF!,2,0),""))))))),"")</f>
        <v>POÇO DE RETENÇÃO DE ÁGUA PLUVIAL Ø 2,50M COM FUNDO DE CONCRETO</v>
      </c>
      <c r="E1194" s="65" t="str">
        <f>VLOOKUP(C1194,'FDE 10-23 '!$A$4:$E$3180,3,0)</f>
        <v>M</v>
      </c>
      <c r="F1194" s="1112">
        <v>15.8</v>
      </c>
      <c r="G1194" s="66"/>
      <c r="H1194" s="1220"/>
      <c r="I1194" s="66"/>
      <c r="J1194" s="66"/>
      <c r="K1194" s="66"/>
      <c r="L1194" s="1222"/>
      <c r="M1194" s="51"/>
      <c r="N1194" s="52"/>
      <c r="O1194" s="25"/>
      <c r="P1194" s="25"/>
    </row>
    <row r="1195" spans="1:16" ht="30" customHeight="1">
      <c r="A1195" s="61" t="s">
        <v>1014</v>
      </c>
      <c r="B1195" s="62" t="s">
        <v>26</v>
      </c>
      <c r="C1195" s="63" t="s">
        <v>1015</v>
      </c>
      <c r="D1195" s="1219" t="str">
        <f>IFERROR(UPPER(IF(B1195="CPU",VLOOKUP(C1195,#REF!,2,0),IF(B1195="SINAPI",VLOOKUP(C1195,#REF!,2,0),IF(B1195="EDIF",VLOOKUP(C1195,#REF!,2,0),IF(B1195="CDHU",VLOOKUP(C1195,#REF!,2,0),IF(B1195="FDE",VLOOKUP(C1195,'FDE 10-23 '!$A$4:$E$3180,2,0),IF(B1195="INFRA",VLOOKUP(C1195,#REF!,2,0),""))))))),"")</f>
        <v>TUBO PVC OCRE JUNTA ELASTICA DN 100 INCLUSIVE CONEXOES  -  ENTERRADO</v>
      </c>
      <c r="E1195" s="65" t="str">
        <f>VLOOKUP(C1195,'FDE 10-23 '!$A$4:$E$3180,3,0)</f>
        <v>M</v>
      </c>
      <c r="F1195" s="1112">
        <v>30</v>
      </c>
      <c r="G1195" s="66"/>
      <c r="H1195" s="1220"/>
      <c r="I1195" s="66"/>
      <c r="J1195" s="66"/>
      <c r="K1195" s="66"/>
      <c r="L1195" s="1222"/>
      <c r="M1195" s="51"/>
      <c r="N1195" s="52"/>
      <c r="O1195" s="25"/>
      <c r="P1195" s="25"/>
    </row>
    <row r="1196" spans="1:16" ht="30" customHeight="1">
      <c r="A1196" s="61" t="s">
        <v>1016</v>
      </c>
      <c r="B1196" s="62" t="s">
        <v>26</v>
      </c>
      <c r="C1196" s="63" t="s">
        <v>1017</v>
      </c>
      <c r="D1196" s="1219" t="str">
        <f>IFERROR(UPPER(IF(B1196="CPU",VLOOKUP(C1196,#REF!,2,0),IF(B1196="SINAPI",VLOOKUP(C1196,#REF!,2,0),IF(B1196="EDIF",VLOOKUP(C1196,#REF!,2,0),IF(B1196="CDHU",VLOOKUP(C1196,#REF!,2,0),IF(B1196="FDE",VLOOKUP(C1196,'FDE 10-23 '!$A$4:$E$3180,2,0),IF(B1196="INFRA",VLOOKUP(C1196,#REF!,2,0),""))))))),"")</f>
        <v>TUBO PVC OCRE JUNTA ELASTICA DN 150 INCLUSIVE CONEXOES  -  ENTERRADO</v>
      </c>
      <c r="E1196" s="65" t="str">
        <f>VLOOKUP(C1196,'FDE 10-23 '!$A$4:$E$3180,3,0)</f>
        <v>M</v>
      </c>
      <c r="F1196" s="1112">
        <v>100</v>
      </c>
      <c r="G1196" s="66"/>
      <c r="H1196" s="1220"/>
      <c r="I1196" s="66"/>
      <c r="J1196" s="66"/>
      <c r="K1196" s="66"/>
      <c r="L1196" s="1222"/>
      <c r="M1196" s="51"/>
      <c r="N1196" s="52"/>
      <c r="O1196" s="25"/>
      <c r="P1196" s="25"/>
    </row>
    <row r="1197" spans="1:16" ht="30" customHeight="1">
      <c r="A1197" s="61" t="s">
        <v>1018</v>
      </c>
      <c r="B1197" s="62" t="s">
        <v>26</v>
      </c>
      <c r="C1197" s="63" t="s">
        <v>1019</v>
      </c>
      <c r="D1197" s="1219" t="str">
        <f>IFERROR(UPPER(IF(B1197="CPU",VLOOKUP(C1197,#REF!,2,0),IF(B1197="SINAPI",VLOOKUP(C1197,#REF!,2,0),IF(B1197="EDIF",VLOOKUP(C1197,#REF!,2,0),IF(B1197="CDHU",VLOOKUP(C1197,#REF!,2,0),IF(B1197="FDE",VLOOKUP(C1197,'FDE 10-23 '!$A$4:$E$3180,2,0),IF(B1197="INFRA",VLOOKUP(C1197,#REF!,2,0),""))))))),"")</f>
        <v>TUBO PVC OCRE JUNTA ELASTICA DN 200 INCLUSIVE CONEXOES  -  ENTERRADO</v>
      </c>
      <c r="E1197" s="65" t="str">
        <f>VLOOKUP(C1197,'FDE 10-23 '!$A$4:$E$3180,3,0)</f>
        <v>M</v>
      </c>
      <c r="F1197" s="1112">
        <v>65</v>
      </c>
      <c r="G1197" s="66"/>
      <c r="H1197" s="1220"/>
      <c r="I1197" s="66"/>
      <c r="J1197" s="66"/>
      <c r="K1197" s="66"/>
      <c r="L1197" s="1222"/>
      <c r="M1197" s="51"/>
      <c r="N1197" s="52"/>
      <c r="O1197" s="25"/>
      <c r="P1197" s="25"/>
    </row>
    <row r="1198" spans="1:16" ht="30" customHeight="1">
      <c r="A1198" s="61" t="s">
        <v>1020</v>
      </c>
      <c r="B1198" s="62" t="s">
        <v>26</v>
      </c>
      <c r="C1198" s="63" t="s">
        <v>1021</v>
      </c>
      <c r="D1198" s="1219" t="str">
        <f>IFERROR(UPPER(IF(B1198="CPU",VLOOKUP(C1198,#REF!,2,0),IF(B1198="SINAPI",VLOOKUP(C1198,#REF!,2,0),IF(B1198="EDIF",VLOOKUP(C1198,#REF!,2,0),IF(B1198="CDHU",VLOOKUP(C1198,#REF!,2,0),IF(B1198="FDE",VLOOKUP(C1198,'FDE 10-23 '!$A$4:$E$3180,2,0),IF(B1198="INFRA",VLOOKUP(C1198,#REF!,2,0),""))))))),"")</f>
        <v>TUBO PVC OCRE JUNTA ELASTICA DN 250 INCLUSIVE CONEXOES  -  ENTERRADO</v>
      </c>
      <c r="E1198" s="65" t="str">
        <f>VLOOKUP(C1198,'FDE 10-23 '!$A$4:$E$3180,3,0)</f>
        <v>M</v>
      </c>
      <c r="F1198" s="1112">
        <v>114</v>
      </c>
      <c r="G1198" s="66"/>
      <c r="H1198" s="1220"/>
      <c r="I1198" s="66"/>
      <c r="J1198" s="66"/>
      <c r="K1198" s="66"/>
      <c r="L1198" s="1222"/>
      <c r="M1198" s="51"/>
      <c r="N1198" s="52"/>
      <c r="O1198" s="25"/>
      <c r="P1198" s="25"/>
    </row>
    <row r="1199" spans="1:16" ht="30" customHeight="1">
      <c r="A1199" s="61" t="s">
        <v>1022</v>
      </c>
      <c r="B1199" s="62" t="s">
        <v>26</v>
      </c>
      <c r="C1199" s="63" t="s">
        <v>1023</v>
      </c>
      <c r="D1199" s="1219" t="str">
        <f>IFERROR(UPPER(IF(B1199="CPU",VLOOKUP(C1199,#REF!,2,0),IF(B1199="SINAPI",VLOOKUP(C1199,#REF!,2,0),IF(B1199="EDIF",VLOOKUP(C1199,#REF!,2,0),IF(B1199="CDHU",VLOOKUP(C1199,#REF!,2,0),IF(B1199="FDE",VLOOKUP(C1199,'FDE 10-23 '!$A$4:$E$3180,2,0),IF(B1199="INFRA",VLOOKUP(C1199,#REF!,2,0),""))))))),"")</f>
        <v>CA-10 CAIXA DE AREIA 50X50 CM PARA AGUAS PLUVIAIS</v>
      </c>
      <c r="E1199" s="65" t="str">
        <f>VLOOKUP(C1199,'FDE 10-23 '!$A$4:$E$3180,3,0)</f>
        <v>UN</v>
      </c>
      <c r="F1199" s="1112">
        <v>28</v>
      </c>
      <c r="G1199" s="66"/>
      <c r="H1199" s="1220"/>
      <c r="I1199" s="66"/>
      <c r="J1199" s="66"/>
      <c r="K1199" s="66"/>
      <c r="L1199" s="1222"/>
      <c r="M1199" s="51"/>
      <c r="N1199" s="52"/>
      <c r="O1199" s="25"/>
      <c r="P1199" s="25"/>
    </row>
    <row r="1200" spans="1:16" ht="30" customHeight="1">
      <c r="A1200" s="61" t="s">
        <v>1024</v>
      </c>
      <c r="B1200" s="62" t="s">
        <v>26</v>
      </c>
      <c r="C1200" s="63" t="s">
        <v>1025</v>
      </c>
      <c r="D1200" s="1219" t="str">
        <f>IFERROR(UPPER(IF(B1200="CPU",VLOOKUP(C1200,#REF!,2,0),IF(B1200="SINAPI",VLOOKUP(C1200,#REF!,2,0),IF(B1200="EDIF",VLOOKUP(C1200,#REF!,2,0),IF(B1200="CDHU",VLOOKUP(C1200,#REF!,2,0),IF(B1200="FDE",VLOOKUP(C1200,'FDE 10-23 '!$A$4:$E$3180,2,0),IF(B1200="INFRA",VLOOKUP(C1200,#REF!,2,0),""))))))),"")</f>
        <v>ÁGUAS PLUVIAIS E DRENAGEM DE ACABAMENTO</v>
      </c>
      <c r="E1200" s="65" t="str">
        <f>VLOOKUP(C1200,'FDE 10-23 '!$A$4:$E$3180,3,0)</f>
        <v>MV</v>
      </c>
      <c r="F1200" s="1112">
        <v>44.99</v>
      </c>
      <c r="G1200" s="66"/>
      <c r="H1200" s="1220"/>
      <c r="I1200" s="66"/>
      <c r="J1200" s="66"/>
      <c r="K1200" s="66"/>
      <c r="L1200" s="1222"/>
      <c r="M1200" s="51"/>
      <c r="N1200" s="52"/>
      <c r="O1200" s="25"/>
      <c r="P1200" s="25"/>
    </row>
    <row r="1201" spans="1:16" ht="30" customHeight="1">
      <c r="A1201" s="61"/>
      <c r="B1201" s="62"/>
      <c r="C1201" s="63"/>
      <c r="D1201" s="1219" t="s">
        <v>11059</v>
      </c>
      <c r="E1201" s="65"/>
      <c r="F1201" s="88"/>
      <c r="G1201" s="66"/>
      <c r="H1201" s="1220"/>
      <c r="I1201" s="66"/>
      <c r="J1201" s="66"/>
      <c r="K1201" s="66"/>
      <c r="L1201" s="1222"/>
      <c r="M1201" s="51"/>
      <c r="N1201" s="52"/>
      <c r="O1201" s="25"/>
      <c r="P1201" s="25"/>
    </row>
    <row r="1202" spans="1:16" ht="30" customHeight="1">
      <c r="A1202" s="53" t="s">
        <v>1026</v>
      </c>
      <c r="B1202" s="54"/>
      <c r="C1202" s="54" t="s">
        <v>1027</v>
      </c>
      <c r="D1202" s="1216" t="s">
        <v>1028</v>
      </c>
      <c r="E1202" s="56" t="str">
        <f>IFERROR(UPPER(IF(B1202="CPU",VLOOKUP(C1202,#REF!,3,0),IF(B1202="SINAPI",VLOOKUP(C1202,#REF!,3,0),IF(B1202="EDIF",VLOOKUP(C1202,#REF!,3,0),IF(B1202="CDHU",VLOOKUP(C1202,#REF!,3,0),IF(B1202="FDE",VLOOKUP(C1202,#REF!,3,0),IF(B1202="INFRA",VLOOKUP(C1202,#REF!,3,0),""))))))),"")</f>
        <v/>
      </c>
      <c r="F1202" s="1232"/>
      <c r="G1202" s="57"/>
      <c r="H1202" s="1217"/>
      <c r="I1202" s="1217"/>
      <c r="J1202" s="1217"/>
      <c r="K1202" s="1217"/>
      <c r="L1202" s="1218"/>
      <c r="M1202" s="51"/>
      <c r="N1202" s="52"/>
      <c r="O1202" s="25"/>
      <c r="P1202" s="25"/>
    </row>
    <row r="1203" spans="1:16" ht="30" customHeight="1">
      <c r="A1203" s="61" t="s">
        <v>1029</v>
      </c>
      <c r="B1203" s="62" t="s">
        <v>26</v>
      </c>
      <c r="C1203" s="63" t="s">
        <v>1030</v>
      </c>
      <c r="D1203" s="1219" t="str">
        <f>IFERROR(UPPER(IF(B1203="CPU",VLOOKUP(C1203,#REF!,2,0),IF(B1203="SINAPI",VLOOKUP(C1203,#REF!,2,0),IF(B1203="EDIF",VLOOKUP(C1203,#REF!,2,0),IF(B1203="CDHU",VLOOKUP(C1203,#REF!,2,0),IF(B1203="FDE",VLOOKUP(C1203,'FDE 10-23 '!$A$4:$E$3180,2,0),IF(B1203="INFRA",VLOOKUP(C1203,#REF!,2,0),""))))))),"")</f>
        <v>MB-03 MASTRO PARA BANDEIRAS</v>
      </c>
      <c r="E1203" s="65" t="str">
        <f>VLOOKUP(C1203,'FDE 10-23 '!$A$4:$E$3180,3,0)</f>
        <v>CJ</v>
      </c>
      <c r="F1203" s="1112">
        <v>1</v>
      </c>
      <c r="G1203" s="66"/>
      <c r="H1203" s="1220"/>
      <c r="I1203" s="66"/>
      <c r="J1203" s="66"/>
      <c r="K1203" s="66"/>
      <c r="L1203" s="1222"/>
      <c r="M1203" s="51"/>
      <c r="N1203" s="52"/>
      <c r="O1203" s="25"/>
      <c r="P1203" s="25"/>
    </row>
    <row r="1204" spans="1:16" ht="30" customHeight="1">
      <c r="A1204" s="61" t="s">
        <v>1031</v>
      </c>
      <c r="B1204" s="62" t="s">
        <v>26</v>
      </c>
      <c r="C1204" s="63" t="s">
        <v>1032</v>
      </c>
      <c r="D1204" s="1219" t="str">
        <f>IFERROR(UPPER(IF(B1204="CPU",VLOOKUP(C1204,#REF!,2,0),IF(B1204="SINAPI",VLOOKUP(C1204,#REF!,2,0),IF(B1204="EDIF",VLOOKUP(C1204,#REF!,2,0),IF(B1204="CDHU",VLOOKUP(C1204,#REF!,2,0),IF(B1204="FDE",VLOOKUP(C1204,'FDE 10-23 '!$A$4:$E$3180,2,0),IF(B1204="INFRA",VLOOKUP(C1204,#REF!,2,0),""))))))),"")</f>
        <v>AL-01 ABRIGO PARA LIXO</v>
      </c>
      <c r="E1204" s="65" t="str">
        <f>VLOOKUP(C1204,'FDE 10-23 '!$A$4:$E$3180,3,0)</f>
        <v>UN</v>
      </c>
      <c r="F1204" s="1112">
        <f>1-0.39</f>
        <v>0.61</v>
      </c>
      <c r="G1204" s="66"/>
      <c r="H1204" s="1220"/>
      <c r="I1204" s="66"/>
      <c r="J1204" s="66"/>
      <c r="K1204" s="66"/>
      <c r="L1204" s="1229" t="s">
        <v>11038</v>
      </c>
      <c r="M1204" s="51"/>
      <c r="N1204" s="52"/>
      <c r="O1204" s="25"/>
      <c r="P1204" s="25"/>
    </row>
    <row r="1205" spans="1:16" ht="30" customHeight="1">
      <c r="A1205" s="61" t="s">
        <v>1033</v>
      </c>
      <c r="B1205" s="62" t="s">
        <v>26</v>
      </c>
      <c r="C1205" s="63" t="s">
        <v>1034</v>
      </c>
      <c r="D1205" s="1219" t="str">
        <f>IFERROR(UPPER(IF(B1205="CPU",VLOOKUP(C1205,#REF!,2,0),IF(B1205="SINAPI",VLOOKUP(C1205,#REF!,2,0),IF(B1205="EDIF",VLOOKUP(C1205,#REF!,2,0),IF(B1205="CDHU",VLOOKUP(C1205,#REF!,2,0),IF(B1205="FDE",VLOOKUP(C1205,'FDE 10-23 '!$A$4:$E$3180,2,0),IF(B1205="INFRA",VLOOKUP(C1205,#REF!,2,0),""))))))),"")</f>
        <v>AL-02 ABRIGO PARA RESÍDUOS RECICLÁVEIS</v>
      </c>
      <c r="E1205" s="65" t="str">
        <f>VLOOKUP(C1205,'FDE 10-23 '!$A$4:$E$3180,3,0)</f>
        <v>UN</v>
      </c>
      <c r="F1205" s="1112">
        <f>1-0.39</f>
        <v>0.61</v>
      </c>
      <c r="G1205" s="66"/>
      <c r="H1205" s="1220"/>
      <c r="I1205" s="66"/>
      <c r="J1205" s="66"/>
      <c r="K1205" s="66"/>
      <c r="L1205" s="1229" t="s">
        <v>11038</v>
      </c>
      <c r="M1205" s="51"/>
      <c r="N1205" s="52"/>
      <c r="O1205" s="25"/>
      <c r="P1205" s="25"/>
    </row>
    <row r="1206" spans="1:16" ht="30" customHeight="1">
      <c r="A1206" s="61" t="s">
        <v>1035</v>
      </c>
      <c r="B1206" s="62" t="s">
        <v>26</v>
      </c>
      <c r="C1206" s="63" t="s">
        <v>1036</v>
      </c>
      <c r="D1206" s="1219" t="str">
        <f>IFERROR(UPPER(IF(B1206="CPU",VLOOKUP(C1206,#REF!,2,0),IF(B1206="SINAPI",VLOOKUP(C1206,#REF!,2,0),IF(B1206="EDIF",VLOOKUP(C1206,#REF!,2,0),IF(B1206="CDHU",VLOOKUP(C1206,#REF!,2,0),IF(B1206="FDE",VLOOKUP(C1206,'FDE 10-23 '!$A$4:$E$3180,2,0),IF(B1206="INFRA",VLOOKUP(C1206,#REF!,2,0),""))))))),"")</f>
        <v>CANTEIRO DE OBRAS - LARG 3.30M</v>
      </c>
      <c r="E1206" s="65" t="str">
        <f>VLOOKUP(C1206,'FDE 10-23 '!$A$4:$E$3180,3,0)</f>
        <v>M2</v>
      </c>
      <c r="F1206" s="1112">
        <v>47.19</v>
      </c>
      <c r="G1206" s="66"/>
      <c r="H1206" s="1220" t="s">
        <v>11060</v>
      </c>
      <c r="I1206" s="66"/>
      <c r="J1206" s="66"/>
      <c r="K1206" s="66"/>
      <c r="L1206" s="1222"/>
      <c r="M1206" s="51"/>
      <c r="N1206" s="52"/>
      <c r="O1206" s="25"/>
      <c r="P1206" s="25"/>
    </row>
    <row r="1207" spans="1:16" ht="30" customHeight="1">
      <c r="A1207" s="61" t="s">
        <v>1037</v>
      </c>
      <c r="B1207" s="62" t="s">
        <v>26</v>
      </c>
      <c r="C1207" s="63" t="s">
        <v>1038</v>
      </c>
      <c r="D1207" s="1219" t="str">
        <f>IFERROR(UPPER(IF(B1207="CPU",VLOOKUP(C1207,#REF!,2,0),IF(B1207="SINAPI",VLOOKUP(C1207,#REF!,2,0),IF(B1207="EDIF",VLOOKUP(C1207,#REF!,2,0),IF(B1207="CDHU",VLOOKUP(C1207,#REF!,2,0),IF(B1207="FDE",VLOOKUP(C1207,'FDE 10-23 '!$A$4:$E$3180,2,0),IF(B1207="INFRA",VLOOKUP(C1207,#REF!,2,0),""))))))),"")</f>
        <v>INSTALAÇÃO CH-01 CHUVEIRO E LAVA OLHOS / FACE</v>
      </c>
      <c r="E1207" s="65" t="str">
        <f>VLOOKUP(C1207,'FDE 10-23 '!$A$4:$E$3180,3,0)</f>
        <v>UN</v>
      </c>
      <c r="F1207" s="1112">
        <v>1</v>
      </c>
      <c r="G1207" s="66"/>
      <c r="H1207" s="1220"/>
      <c r="I1207" s="66"/>
      <c r="J1207" s="66"/>
      <c r="K1207" s="66"/>
      <c r="L1207" s="1222"/>
      <c r="M1207" s="51"/>
      <c r="N1207" s="52"/>
      <c r="O1207" s="25"/>
      <c r="P1207" s="25"/>
    </row>
    <row r="1208" spans="1:16" ht="30" customHeight="1">
      <c r="A1208" s="61" t="s">
        <v>1039</v>
      </c>
      <c r="B1208" s="62" t="s">
        <v>26</v>
      </c>
      <c r="C1208" s="63" t="s">
        <v>1040</v>
      </c>
      <c r="D1208" s="1219" t="str">
        <f>IFERROR(UPPER(IF(B1208="CPU",VLOOKUP(C1208,#REF!,2,0),IF(B1208="SINAPI",VLOOKUP(C1208,#REF!,2,0),IF(B1208="EDIF",VLOOKUP(C1208,#REF!,2,0),IF(B1208="CDHU",VLOOKUP(C1208,#REF!,2,0),IF(B1208="FDE",VLOOKUP(C1208,'FDE 10-23 '!$A$4:$E$3180,2,0),IF(B1208="INFRA",VLOOKUP(C1208,#REF!,2,0),""))))))),"")</f>
        <v>INSTALAÇÃO DE QUADRO BRANCO (QB-01)</v>
      </c>
      <c r="E1208" s="65" t="str">
        <f>VLOOKUP(C1208,'FDE 10-23 '!$A$4:$E$3180,3,0)</f>
        <v>UN</v>
      </c>
      <c r="F1208" s="1112">
        <v>118</v>
      </c>
      <c r="G1208" s="66"/>
      <c r="H1208" s="1220"/>
      <c r="I1208" s="66"/>
      <c r="J1208" s="66"/>
      <c r="K1208" s="66"/>
      <c r="L1208" s="1222"/>
      <c r="M1208" s="51"/>
      <c r="N1208" s="52"/>
      <c r="O1208" s="25"/>
      <c r="P1208" s="25"/>
    </row>
    <row r="1209" spans="1:16" ht="30" customHeight="1">
      <c r="A1209" s="61" t="s">
        <v>1041</v>
      </c>
      <c r="B1209" s="62" t="s">
        <v>26</v>
      </c>
      <c r="C1209" s="63" t="s">
        <v>1042</v>
      </c>
      <c r="D1209" s="1219" t="str">
        <f>IFERROR(UPPER(IF(B1209="CPU",VLOOKUP(C1209,#REF!,2,0),IF(B1209="SINAPI",VLOOKUP(C1209,#REF!,2,0),IF(B1209="EDIF",VLOOKUP(C1209,#REF!,2,0),IF(B1209="CDHU",VLOOKUP(C1209,#REF!,2,0),IF(B1209="FDE",VLOOKUP(C1209,'FDE 10-23 '!$A$4:$E$3180,2,0),IF(B1209="INFRA",VLOOKUP(C1209,#REF!,2,0),""))))))),"")</f>
        <v>INSTALACÃO DE FAIXAS DE PROTECAO (FP-03/FP-04) POR REGUA</v>
      </c>
      <c r="E1209" s="65" t="str">
        <f>VLOOKUP(C1209,'FDE 10-23 '!$A$4:$E$3180,3,0)</f>
        <v>UN</v>
      </c>
      <c r="F1209" s="1112">
        <v>42</v>
      </c>
      <c r="G1209" s="66"/>
      <c r="H1209" s="1220"/>
      <c r="I1209" s="66"/>
      <c r="J1209" s="66"/>
      <c r="K1209" s="66"/>
      <c r="L1209" s="1222"/>
      <c r="M1209" s="51"/>
      <c r="N1209" s="52"/>
      <c r="O1209" s="25"/>
      <c r="P1209" s="25"/>
    </row>
    <row r="1210" spans="1:16" ht="30" customHeight="1">
      <c r="A1210" s="61" t="s">
        <v>1043</v>
      </c>
      <c r="B1210" s="62" t="s">
        <v>26</v>
      </c>
      <c r="C1210" s="63" t="s">
        <v>1044</v>
      </c>
      <c r="D1210" s="1219" t="str">
        <f>IFERROR(UPPER(IF(B1210="CPU",VLOOKUP(C1210,#REF!,2,0),IF(B1210="SINAPI",VLOOKUP(C1210,#REF!,2,0),IF(B1210="EDIF",VLOOKUP(C1210,#REF!,2,0),IF(B1210="CDHU",VLOOKUP(C1210,#REF!,2,0),IF(B1210="FDE",VLOOKUP(C1210,'FDE 10-23 '!$A$4:$E$3180,2,0),IF(B1210="INFRA",VLOOKUP(C1210,#REF!,2,0),""))))))),"")</f>
        <v>INSTALACÃO DE LOUSA (LG-07)</v>
      </c>
      <c r="E1210" s="65" t="str">
        <f>VLOOKUP(C1210,'FDE 10-23 '!$A$4:$E$3180,3,0)</f>
        <v>UN</v>
      </c>
      <c r="F1210" s="1112">
        <v>9</v>
      </c>
      <c r="G1210" s="66"/>
      <c r="H1210" s="1220"/>
      <c r="I1210" s="66"/>
      <c r="J1210" s="66"/>
      <c r="K1210" s="66"/>
      <c r="L1210" s="1222"/>
      <c r="M1210" s="51"/>
      <c r="N1210" s="52"/>
      <c r="O1210" s="25"/>
      <c r="P1210" s="25"/>
    </row>
    <row r="1211" spans="1:16" ht="30" customHeight="1">
      <c r="A1211" s="61" t="s">
        <v>1045</v>
      </c>
      <c r="B1211" s="62" t="s">
        <v>26</v>
      </c>
      <c r="C1211" s="63" t="s">
        <v>1046</v>
      </c>
      <c r="D1211" s="1219" t="str">
        <f>IFERROR(UPPER(IF(B1211="CPU",VLOOKUP(C1211,#REF!,2,0),IF(B1211="SINAPI",VLOOKUP(C1211,#REF!,2,0),IF(B1211="EDIF",VLOOKUP(C1211,#REF!,2,0),IF(B1211="CDHU",VLOOKUP(C1211,#REF!,2,0),IF(B1211="FDE",VLOOKUP(C1211,'FDE 10-23 '!$A$4:$E$3180,2,0),IF(B1211="INFRA",VLOOKUP(C1211,#REF!,2,0),""))))))),"")</f>
        <v>INSTALACÃO DE MURAL (MR-02)</v>
      </c>
      <c r="E1211" s="65" t="str">
        <f>VLOOKUP(C1211,'FDE 10-23 '!$A$4:$E$3180,3,0)</f>
        <v>UN</v>
      </c>
      <c r="F1211" s="1112">
        <v>17</v>
      </c>
      <c r="G1211" s="66"/>
      <c r="H1211" s="1220"/>
      <c r="I1211" s="66"/>
      <c r="J1211" s="66"/>
      <c r="K1211" s="66"/>
      <c r="L1211" s="1222"/>
      <c r="M1211" s="51"/>
      <c r="N1211" s="52"/>
      <c r="O1211" s="25"/>
      <c r="P1211" s="25"/>
    </row>
    <row r="1212" spans="1:16" ht="30" customHeight="1">
      <c r="A1212" s="61" t="s">
        <v>1047</v>
      </c>
      <c r="B1212" s="62" t="s">
        <v>26</v>
      </c>
      <c r="C1212" s="63" t="s">
        <v>1048</v>
      </c>
      <c r="D1212" s="1219" t="str">
        <f>IFERROR(UPPER(IF(B1212="CPU",VLOOKUP(C1212,#REF!,2,0),IF(B1212="SINAPI",VLOOKUP(C1212,#REF!,2,0),IF(B1212="EDIF",VLOOKUP(C1212,#REF!,2,0),IF(B1212="CDHU",VLOOKUP(C1212,#REF!,2,0),IF(B1212="FDE",VLOOKUP(C1212,'FDE 10-23 '!$A$4:$E$3180,2,0),IF(B1212="INFRA",VLOOKUP(C1212,#REF!,2,0),""))))))),"")</f>
        <v>INSTALACÃO DE FOGAO INDUSTRIAL</v>
      </c>
      <c r="E1212" s="65" t="str">
        <f>VLOOKUP(C1212,'FDE 10-23 '!$A$4:$E$3180,3,0)</f>
        <v>UN</v>
      </c>
      <c r="F1212" s="1112">
        <v>1</v>
      </c>
      <c r="G1212" s="66"/>
      <c r="H1212" s="1220"/>
      <c r="I1212" s="66"/>
      <c r="J1212" s="66"/>
      <c r="K1212" s="66"/>
      <c r="L1212" s="1222"/>
      <c r="M1212" s="51"/>
      <c r="N1212" s="52"/>
      <c r="O1212" s="25"/>
      <c r="P1212" s="25"/>
    </row>
    <row r="1213" spans="1:16" ht="30" customHeight="1">
      <c r="A1213" s="61" t="s">
        <v>1049</v>
      </c>
      <c r="B1213" s="62" t="s">
        <v>26</v>
      </c>
      <c r="C1213" s="63" t="s">
        <v>1050</v>
      </c>
      <c r="D1213" s="1219" t="str">
        <f>IFERROR(UPPER(IF(B1213="CPU",VLOOKUP(C1213,#REF!,2,0),IF(B1213="SINAPI",VLOOKUP(C1213,#REF!,2,0),IF(B1213="EDIF",VLOOKUP(C1213,#REF!,2,0),IF(B1213="CDHU",VLOOKUP(C1213,#REF!,2,0),IF(B1213="FDE",VLOOKUP(C1213,'FDE 10-23 '!$A$4:$E$3180,2,0),IF(B1213="INFRA",VLOOKUP(C1213,#REF!,2,0),""))))))),"")</f>
        <v>INSTALACÃO DE SUPORTE TV/VIDEO</v>
      </c>
      <c r="E1213" s="65" t="str">
        <f>VLOOKUP(C1213,'FDE 10-23 '!$A$4:$E$3180,3,0)</f>
        <v>UN</v>
      </c>
      <c r="F1213" s="1112">
        <v>1</v>
      </c>
      <c r="G1213" s="66"/>
      <c r="H1213" s="1220"/>
      <c r="I1213" s="66"/>
      <c r="J1213" s="66"/>
      <c r="K1213" s="66"/>
      <c r="L1213" s="1222"/>
      <c r="M1213" s="51"/>
      <c r="N1213" s="52"/>
      <c r="O1213" s="25"/>
      <c r="P1213" s="25"/>
    </row>
    <row r="1214" spans="1:16" ht="30" customHeight="1">
      <c r="A1214" s="61" t="s">
        <v>1051</v>
      </c>
      <c r="B1214" s="62" t="s">
        <v>26</v>
      </c>
      <c r="C1214" s="63" t="s">
        <v>1052</v>
      </c>
      <c r="D1214" s="1219" t="str">
        <f>IFERROR(UPPER(IF(B1214="CPU",VLOOKUP(C1214,#REF!,2,0),IF(B1214="SINAPI",VLOOKUP(C1214,#REF!,2,0),IF(B1214="EDIF",VLOOKUP(C1214,#REF!,2,0),IF(B1214="CDHU",VLOOKUP(C1214,#REF!,2,0),IF(B1214="FDE",VLOOKUP(C1214,'FDE 10-23 '!$A$4:$E$3180,2,0),IF(B1214="INFRA",VLOOKUP(C1214,#REF!,2,0),""))))))),"")</f>
        <v>INSTALAÇÃO DE VENTILADOR DE PAREDE VN-02</v>
      </c>
      <c r="E1214" s="65" t="str">
        <f>VLOOKUP(C1214,'FDE 10-23 '!$A$4:$E$3180,3,0)</f>
        <v>UN</v>
      </c>
      <c r="F1214" s="1112">
        <v>6</v>
      </c>
      <c r="G1214" s="66"/>
      <c r="H1214" s="1220"/>
      <c r="I1214" s="66"/>
      <c r="J1214" s="66"/>
      <c r="K1214" s="66"/>
      <c r="L1214" s="1222"/>
      <c r="M1214" s="51"/>
      <c r="N1214" s="52"/>
      <c r="O1214" s="25"/>
      <c r="P1214" s="25"/>
    </row>
    <row r="1215" spans="1:16" ht="30" customHeight="1">
      <c r="A1215" s="61" t="s">
        <v>1053</v>
      </c>
      <c r="B1215" s="62" t="s">
        <v>26</v>
      </c>
      <c r="C1215" s="63" t="s">
        <v>1054</v>
      </c>
      <c r="D1215" s="1219" t="str">
        <f>IFERROR(UPPER(IF(B1215="CPU",VLOOKUP(C1215,#REF!,2,0),IF(B1215="SINAPI",VLOOKUP(C1215,#REF!,2,0),IF(B1215="EDIF",VLOOKUP(C1215,#REF!,2,0),IF(B1215="CDHU",VLOOKUP(C1215,#REF!,2,0),IF(B1215="FDE",VLOOKUP(C1215,'FDE 10-23 '!$A$4:$E$3180,2,0),IF(B1215="INFRA",VLOOKUP(C1215,#REF!,2,0),""))))))),"")</f>
        <v>INSTALAÇÃO DO BALCAO TERMICO  BT-02</v>
      </c>
      <c r="E1215" s="65" t="str">
        <f>VLOOKUP(C1215,'FDE 10-23 '!$A$4:$E$3180,3,0)</f>
        <v>UN</v>
      </c>
      <c r="F1215" s="1112">
        <v>1</v>
      </c>
      <c r="G1215" s="66"/>
      <c r="H1215" s="1220"/>
      <c r="I1215" s="66"/>
      <c r="J1215" s="66"/>
      <c r="K1215" s="66"/>
      <c r="L1215" s="1222"/>
      <c r="M1215" s="51"/>
      <c r="N1215" s="52"/>
      <c r="O1215" s="25"/>
      <c r="P1215" s="25"/>
    </row>
    <row r="1216" spans="1:16" ht="30" customHeight="1">
      <c r="A1216" s="61"/>
      <c r="B1216" s="62"/>
      <c r="C1216" s="63"/>
      <c r="D1216" s="1219" t="s">
        <v>11058</v>
      </c>
      <c r="E1216" s="65"/>
      <c r="F1216" s="1112"/>
      <c r="G1216" s="66"/>
      <c r="H1216" s="1220"/>
      <c r="I1216" s="66"/>
      <c r="J1216" s="66"/>
      <c r="K1216" s="66"/>
      <c r="L1216" s="1222"/>
      <c r="M1216" s="51"/>
      <c r="N1216" s="52"/>
      <c r="O1216" s="25"/>
      <c r="P1216" s="25"/>
    </row>
    <row r="1217" spans="1:16" ht="30" customHeight="1">
      <c r="A1217" s="53" t="s">
        <v>1055</v>
      </c>
      <c r="B1217" s="54"/>
      <c r="C1217" s="54" t="s">
        <v>1056</v>
      </c>
      <c r="D1217" s="1216" t="s">
        <v>1057</v>
      </c>
      <c r="E1217" s="56" t="str">
        <f>IFERROR(UPPER(IF(B1217="CPU",VLOOKUP(C1217,#REF!,3,0),IF(B1217="SINAPI",VLOOKUP(C1217,#REF!,3,0),IF(B1217="EDIF",VLOOKUP(C1217,#REF!,3,0),IF(B1217="CDHU",VLOOKUP(C1217,#REF!,3,0),IF(B1217="FDE",VLOOKUP(C1217,#REF!,3,0),IF(B1217="INFRA",VLOOKUP(C1217,#REF!,3,0),""))))))),"")</f>
        <v/>
      </c>
      <c r="F1217" s="1232"/>
      <c r="G1217" s="57"/>
      <c r="H1217" s="1217"/>
      <c r="I1217" s="1217"/>
      <c r="J1217" s="1217"/>
      <c r="K1217" s="1217"/>
      <c r="L1217" s="1218"/>
      <c r="M1217" s="51"/>
      <c r="N1217" s="52"/>
      <c r="O1217" s="25"/>
      <c r="P1217" s="25"/>
    </row>
    <row r="1218" spans="1:16" ht="30" customHeight="1">
      <c r="A1218" s="61" t="s">
        <v>1058</v>
      </c>
      <c r="B1218" s="62" t="s">
        <v>26</v>
      </c>
      <c r="C1218" s="63" t="s">
        <v>1059</v>
      </c>
      <c r="D1218" s="1219" t="str">
        <f>IFERROR(UPPER(IF(B1218="CPU",VLOOKUP(C1218,#REF!,2,0),IF(B1218="SINAPI",VLOOKUP(C1218,#REF!,2,0),IF(B1218="EDIF",VLOOKUP(C1218,#REF!,2,0),IF(B1218="CDHU",VLOOKUP(C1218,#REF!,2,0),IF(B1218="FDE",VLOOKUP(C1218,'FDE 10-23 '!$A$4:$E$3180,2,0),IF(B1218="INFRA",VLOOKUP(C1218,#REF!,2,0),""))))))),"")</f>
        <v>BL-02 BICICLETÁRIO SOBRE CIMENTADO OU BLOCO INTERTRAVADO</v>
      </c>
      <c r="E1218" s="65" t="str">
        <f>VLOOKUP(C1218,'FDE 10-23 '!$A$4:$E$3180,3,0)</f>
        <v>UN</v>
      </c>
      <c r="F1218" s="1112">
        <v>6</v>
      </c>
      <c r="G1218" s="66"/>
      <c r="H1218" s="1220"/>
      <c r="I1218" s="66"/>
      <c r="J1218" s="66"/>
      <c r="K1218" s="66"/>
      <c r="L1218" s="1222"/>
      <c r="M1218" s="51"/>
      <c r="N1218" s="52"/>
      <c r="O1218" s="25"/>
      <c r="P1218" s="25"/>
    </row>
    <row r="1219" spans="1:16" ht="30" customHeight="1">
      <c r="A1219" s="61" t="s">
        <v>1060</v>
      </c>
      <c r="B1219" s="62" t="s">
        <v>26</v>
      </c>
      <c r="C1219" s="63" t="s">
        <v>1061</v>
      </c>
      <c r="D1219" s="1219" t="str">
        <f>IFERROR(UPPER(IF(B1219="CPU",VLOOKUP(C1219,#REF!,2,0),IF(B1219="SINAPI",VLOOKUP(C1219,#REF!,2,0),IF(B1219="EDIF",VLOOKUP(C1219,#REF!,2,0),IF(B1219="CDHU",VLOOKUP(C1219,#REF!,2,0),IF(B1219="FDE",VLOOKUP(C1219,'FDE 10-23 '!$A$4:$E$3180,2,0),IF(B1219="INFRA",VLOOKUP(C1219,#REF!,2,0),""))))))),"")</f>
        <v>BANCO COM ASSENTO DE CONCRETO ARMADO LISO DESEMPENADO COM PINTURA VERNIZ ACRÍLICO  FUNDAÇÃO SAPATA ISOLADA E PILARETE BLOCO CONCRETO REVESTIDO</v>
      </c>
      <c r="E1219" s="65" t="str">
        <f>VLOOKUP(C1219,'FDE 10-23 '!$A$4:$E$3180,3,0)</f>
        <v>M</v>
      </c>
      <c r="F1219" s="1112">
        <v>18.899999999999999</v>
      </c>
      <c r="G1219" s="66"/>
      <c r="H1219" s="1220"/>
      <c r="I1219" s="66"/>
      <c r="J1219" s="66"/>
      <c r="K1219" s="66"/>
      <c r="L1219" s="1222"/>
      <c r="M1219" s="51"/>
      <c r="N1219" s="52"/>
      <c r="O1219" s="25"/>
      <c r="P1219" s="25"/>
    </row>
    <row r="1220" spans="1:16" ht="30" customHeight="1">
      <c r="A1220" s="61"/>
      <c r="B1220" s="62"/>
      <c r="C1220" s="63"/>
      <c r="D1220" s="1219" t="s">
        <v>11058</v>
      </c>
      <c r="E1220" s="65"/>
      <c r="F1220" s="88"/>
      <c r="G1220" s="66"/>
      <c r="H1220" s="1220"/>
      <c r="I1220" s="66"/>
      <c r="J1220" s="66"/>
      <c r="K1220" s="66"/>
      <c r="L1220" s="1222"/>
      <c r="M1220" s="51"/>
      <c r="N1220" s="52"/>
      <c r="O1220" s="25"/>
      <c r="P1220" s="25"/>
    </row>
    <row r="1221" spans="1:16" ht="30" customHeight="1">
      <c r="A1221" s="53" t="s">
        <v>1062</v>
      </c>
      <c r="B1221" s="54"/>
      <c r="C1221" s="54" t="s">
        <v>1063</v>
      </c>
      <c r="D1221" s="1216" t="s">
        <v>1064</v>
      </c>
      <c r="E1221" s="56" t="str">
        <f>IFERROR(UPPER(IF(B1221="CPU",VLOOKUP(C1221,#REF!,3,0),IF(B1221="SINAPI",VLOOKUP(C1221,#REF!,3,0),IF(B1221="EDIF",VLOOKUP(C1221,#REF!,3,0),IF(B1221="CDHU",VLOOKUP(C1221,#REF!,3,0),IF(B1221="FDE",VLOOKUP(C1221,#REF!,3,0),IF(B1221="INFRA",VLOOKUP(C1221,#REF!,3,0),""))))))),"")</f>
        <v/>
      </c>
      <c r="F1221" s="1232"/>
      <c r="G1221" s="57"/>
      <c r="H1221" s="1217"/>
      <c r="I1221" s="1217"/>
      <c r="J1221" s="1217"/>
      <c r="K1221" s="1217"/>
      <c r="L1221" s="1218"/>
      <c r="M1221" s="51"/>
      <c r="N1221" s="52"/>
      <c r="O1221" s="25"/>
      <c r="P1221" s="25"/>
    </row>
    <row r="1222" spans="1:16" ht="30" customHeight="1">
      <c r="A1222" s="61" t="s">
        <v>1065</v>
      </c>
      <c r="B1222" s="62" t="s">
        <v>26</v>
      </c>
      <c r="C1222" s="63" t="s">
        <v>1066</v>
      </c>
      <c r="D1222" s="1219" t="str">
        <f>IFERROR(UPPER(IF(B1222="CPU",VLOOKUP(C1222,#REF!,2,0),IF(B1222="SINAPI",VLOOKUP(C1222,#REF!,2,0),IF(B1222="EDIF",VLOOKUP(C1222,#REF!,2,0),IF(B1222="CDHU",VLOOKUP(C1222,#REF!,2,0),IF(B1222="FDE",VLOOKUP(C1222,'FDE 10-23 '!$A$4:$E$3180,2,0),IF(B1222="INFRA",VLOOKUP(C1222,#REF!,2,0),""))))))),"")</f>
        <v>CI-02 CAIXA DE INSPEÇÃO 80X80CM PARA ESGOTO</v>
      </c>
      <c r="E1222" s="65" t="str">
        <f>VLOOKUP(C1222,'FDE 10-23 '!$A$4:$E$3180,3,0)</f>
        <v>UN</v>
      </c>
      <c r="F1222" s="1112">
        <v>11</v>
      </c>
      <c r="G1222" s="66"/>
      <c r="H1222" s="1220"/>
      <c r="I1222" s="66"/>
      <c r="J1222" s="66"/>
      <c r="K1222" s="66"/>
      <c r="L1222" s="1222"/>
      <c r="M1222" s="51"/>
      <c r="N1222" s="52"/>
      <c r="O1222" s="25"/>
      <c r="P1222" s="25"/>
    </row>
    <row r="1223" spans="1:16" ht="30" customHeight="1">
      <c r="A1223" s="61" t="s">
        <v>1067</v>
      </c>
      <c r="B1223" s="62" t="s">
        <v>26</v>
      </c>
      <c r="C1223" s="63" t="s">
        <v>1068</v>
      </c>
      <c r="D1223" s="1219" t="str">
        <f>IFERROR(UPPER(IF(B1223="CPU",VLOOKUP(C1223,#REF!,2,0),IF(B1223="SINAPI",VLOOKUP(C1223,#REF!,2,0),IF(B1223="EDIF",VLOOKUP(C1223,#REF!,2,0),IF(B1223="CDHU",VLOOKUP(C1223,#REF!,2,0),IF(B1223="FDE",VLOOKUP(C1223,'FDE 10-23 '!$A$4:$E$3180,2,0),IF(B1223="INFRA",VLOOKUP(C1223,#REF!,2,0),""))))))),"")</f>
        <v>CG-01 CAIXA DE GORDURA EM ALVENARIA</v>
      </c>
      <c r="E1223" s="65" t="str">
        <f>VLOOKUP(C1223,'FDE 10-23 '!$A$4:$E$3180,3,0)</f>
        <v>UN</v>
      </c>
      <c r="F1223" s="1112">
        <v>5</v>
      </c>
      <c r="G1223" s="66"/>
      <c r="H1223" s="1220"/>
      <c r="I1223" s="66"/>
      <c r="J1223" s="66"/>
      <c r="K1223" s="66"/>
      <c r="L1223" s="1222"/>
      <c r="M1223" s="51"/>
      <c r="N1223" s="52"/>
      <c r="O1223" s="25"/>
      <c r="P1223" s="25"/>
    </row>
    <row r="1224" spans="1:16" ht="30" customHeight="1">
      <c r="A1224" s="61" t="s">
        <v>1069</v>
      </c>
      <c r="B1224" s="62" t="s">
        <v>26</v>
      </c>
      <c r="C1224" s="63" t="s">
        <v>1070</v>
      </c>
      <c r="D1224" s="1219" t="str">
        <f>IFERROR(UPPER(IF(B1224="CPU",VLOOKUP(C1224,#REF!,2,0),IF(B1224="SINAPI",VLOOKUP(C1224,#REF!,2,0),IF(B1224="EDIF",VLOOKUP(C1224,#REF!,2,0),IF(B1224="CDHU",VLOOKUP(C1224,#REF!,2,0),IF(B1224="FDE",VLOOKUP(C1224,'FDE 10-23 '!$A$4:$E$3180,2,0),IF(B1224="INFRA",VLOOKUP(C1224,#REF!,2,0),""))))))),"")</f>
        <v>CI-01 CAIXA DE INSPECAO 60X60CM PARA ESGOTO</v>
      </c>
      <c r="E1224" s="65" t="str">
        <f>VLOOKUP(C1224,'FDE 10-23 '!$A$4:$E$3180,3,0)</f>
        <v>UN</v>
      </c>
      <c r="F1224" s="1112">
        <v>4</v>
      </c>
      <c r="G1224" s="66"/>
      <c r="H1224" s="1220"/>
      <c r="I1224" s="66"/>
      <c r="J1224" s="66"/>
      <c r="K1224" s="66"/>
      <c r="L1224" s="1222"/>
      <c r="M1224" s="51"/>
      <c r="N1224" s="52"/>
      <c r="O1224" s="25"/>
      <c r="P1224" s="25"/>
    </row>
    <row r="1225" spans="1:16" ht="30" customHeight="1">
      <c r="A1225" s="61" t="s">
        <v>1071</v>
      </c>
      <c r="B1225" s="62" t="s">
        <v>26</v>
      </c>
      <c r="C1225" s="63" t="s">
        <v>1072</v>
      </c>
      <c r="D1225" s="1219" t="str">
        <f>IFERROR(UPPER(IF(B1225="CPU",VLOOKUP(C1225,#REF!,2,0),IF(B1225="SINAPI",VLOOKUP(C1225,#REF!,2,0),IF(B1225="EDIF",VLOOKUP(C1225,#REF!,2,0),IF(B1225="CDHU",VLOOKUP(C1225,#REF!,2,0),IF(B1225="FDE",VLOOKUP(C1225,'FDE 10-23 '!$A$4:$E$3180,2,0),IF(B1225="INFRA",VLOOKUP(C1225,#REF!,2,0),""))))))),"")</f>
        <v>CAIXA DE ALVENARIA - ESCAVACAO MANUAL COM APILOAMENTO DO FUNDO</v>
      </c>
      <c r="E1225" s="65" t="str">
        <f>VLOOKUP(C1225,'FDE 10-23 '!$A$4:$E$3180,3,0)</f>
        <v>M3</v>
      </c>
      <c r="F1225" s="1112">
        <v>0.3</v>
      </c>
      <c r="G1225" s="66"/>
      <c r="H1225" s="1220"/>
      <c r="I1225" s="66"/>
      <c r="J1225" s="66"/>
      <c r="K1225" s="66"/>
      <c r="L1225" s="1222"/>
      <c r="M1225" s="51"/>
      <c r="N1225" s="52"/>
      <c r="O1225" s="25"/>
      <c r="P1225" s="25"/>
    </row>
    <row r="1226" spans="1:16" ht="30" customHeight="1">
      <c r="A1226" s="61" t="s">
        <v>1073</v>
      </c>
      <c r="B1226" s="62" t="s">
        <v>26</v>
      </c>
      <c r="C1226" s="63" t="s">
        <v>1074</v>
      </c>
      <c r="D1226" s="1219" t="str">
        <f>IFERROR(UPPER(IF(B1226="CPU",VLOOKUP(C1226,#REF!,2,0),IF(B1226="SINAPI",VLOOKUP(C1226,#REF!,2,0),IF(B1226="EDIF",VLOOKUP(C1226,#REF!,2,0),IF(B1226="CDHU",VLOOKUP(C1226,#REF!,2,0),IF(B1226="FDE",VLOOKUP(C1226,'FDE 10-23 '!$A$4:$E$3180,2,0),IF(B1226="INFRA",VLOOKUP(C1226,#REF!,2,0),""))))))),"")</f>
        <v>CAIXA DE ALVENARIA - LASTRO DE CONCRETO</v>
      </c>
      <c r="E1226" s="65" t="str">
        <f>VLOOKUP(C1226,'FDE 10-23 '!$A$4:$E$3180,3,0)</f>
        <v>M3</v>
      </c>
      <c r="F1226" s="1112">
        <v>0.15</v>
      </c>
      <c r="G1226" s="66"/>
      <c r="H1226" s="1220"/>
      <c r="I1226" s="66"/>
      <c r="J1226" s="66"/>
      <c r="K1226" s="66"/>
      <c r="L1226" s="1222"/>
      <c r="M1226" s="51"/>
      <c r="N1226" s="52"/>
      <c r="O1226" s="25"/>
      <c r="P1226" s="25"/>
    </row>
    <row r="1227" spans="1:16" ht="30" customHeight="1">
      <c r="A1227" s="61" t="s">
        <v>1075</v>
      </c>
      <c r="B1227" s="62" t="s">
        <v>26</v>
      </c>
      <c r="C1227" s="63" t="s">
        <v>1076</v>
      </c>
      <c r="D1227" s="1219" t="str">
        <f>IFERROR(UPPER(IF(B1227="CPU",VLOOKUP(C1227,#REF!,2,0),IF(B1227="SINAPI",VLOOKUP(C1227,#REF!,2,0),IF(B1227="EDIF",VLOOKUP(C1227,#REF!,2,0),IF(B1227="CDHU",VLOOKUP(C1227,#REF!,2,0),IF(B1227="FDE",VLOOKUP(C1227,'FDE 10-23 '!$A$4:$E$3180,2,0),IF(B1227="INFRA",VLOOKUP(C1227,#REF!,2,0),""))))))),"")</f>
        <v>CAIXA DE ALVENARIA - PAREDE DE 1 TIJOLO REVESTIDO</v>
      </c>
      <c r="E1227" s="65" t="str">
        <f>VLOOKUP(C1227,'FDE 10-23 '!$A$4:$E$3180,3,0)</f>
        <v>M2</v>
      </c>
      <c r="F1227" s="1112">
        <v>0.45</v>
      </c>
      <c r="G1227" s="66"/>
      <c r="H1227" s="1220"/>
      <c r="I1227" s="66"/>
      <c r="J1227" s="66"/>
      <c r="K1227" s="66"/>
      <c r="L1227" s="1222"/>
      <c r="M1227" s="51"/>
      <c r="N1227" s="52"/>
      <c r="O1227" s="25"/>
      <c r="P1227" s="25"/>
    </row>
    <row r="1228" spans="1:16" ht="30" customHeight="1">
      <c r="A1228" s="61" t="s">
        <v>1077</v>
      </c>
      <c r="B1228" s="62" t="s">
        <v>26</v>
      </c>
      <c r="C1228" s="63" t="s">
        <v>1078</v>
      </c>
      <c r="D1228" s="1219" t="str">
        <f>IFERROR(UPPER(IF(B1228="CPU",VLOOKUP(C1228,#REF!,2,0),IF(B1228="SINAPI",VLOOKUP(C1228,#REF!,2,0),IF(B1228="EDIF",VLOOKUP(C1228,#REF!,2,0),IF(B1228="CDHU",VLOOKUP(C1228,#REF!,2,0),IF(B1228="FDE",VLOOKUP(C1228,'FDE 10-23 '!$A$4:$E$3180,2,0),IF(B1228="INFRA",VLOOKUP(C1228,#REF!,2,0),""))))))),"")</f>
        <v>CAIXA DE ALVENARIA - TAMPA DE CONCRETO</v>
      </c>
      <c r="E1228" s="65" t="str">
        <f>VLOOKUP(C1228,'FDE 10-23 '!$A$4:$E$3180,3,0)</f>
        <v>M2</v>
      </c>
      <c r="F1228" s="1112">
        <v>1.5</v>
      </c>
      <c r="G1228" s="66"/>
      <c r="H1228" s="1220"/>
      <c r="I1228" s="66"/>
      <c r="J1228" s="66"/>
      <c r="K1228" s="66"/>
      <c r="L1228" s="1222"/>
      <c r="M1228" s="51"/>
      <c r="N1228" s="52"/>
      <c r="O1228" s="25"/>
      <c r="P1228" s="25"/>
    </row>
    <row r="1229" spans="1:16" ht="30" customHeight="1">
      <c r="A1229" s="61"/>
      <c r="B1229" s="62"/>
      <c r="C1229" s="63"/>
      <c r="D1229" s="1219" t="s">
        <v>11061</v>
      </c>
      <c r="E1229" s="65"/>
      <c r="F1229" s="88"/>
      <c r="G1229" s="66"/>
      <c r="H1229" s="1220"/>
      <c r="I1229" s="66"/>
      <c r="J1229" s="66"/>
      <c r="K1229" s="66"/>
      <c r="L1229" s="1222"/>
      <c r="M1229" s="51"/>
      <c r="N1229" s="52"/>
      <c r="O1229" s="25"/>
      <c r="P1229" s="25"/>
    </row>
    <row r="1230" spans="1:16" ht="30" customHeight="1">
      <c r="A1230" s="53" t="s">
        <v>1079</v>
      </c>
      <c r="B1230" s="54"/>
      <c r="C1230" s="54" t="s">
        <v>1080</v>
      </c>
      <c r="D1230" s="1216" t="s">
        <v>1081</v>
      </c>
      <c r="E1230" s="56" t="str">
        <f>IFERROR(UPPER(IF(B1230="CPU",VLOOKUP(C1230,#REF!,3,0),IF(B1230="SINAPI",VLOOKUP(C1230,#REF!,3,0),IF(B1230="EDIF",VLOOKUP(C1230,#REF!,3,0),IF(B1230="CDHU",VLOOKUP(C1230,#REF!,3,0),IF(B1230="FDE",VLOOKUP(C1230,#REF!,3,0),IF(B1230="INFRA",VLOOKUP(C1230,#REF!,3,0),""))))))),"")</f>
        <v/>
      </c>
      <c r="F1230" s="1232"/>
      <c r="G1230" s="57"/>
      <c r="H1230" s="1217"/>
      <c r="I1230" s="1217"/>
      <c r="J1230" s="1217"/>
      <c r="K1230" s="1217"/>
      <c r="L1230" s="1218"/>
      <c r="M1230" s="51"/>
      <c r="N1230" s="52"/>
      <c r="O1230" s="25"/>
      <c r="P1230" s="25"/>
    </row>
    <row r="1231" spans="1:16" ht="30" customHeight="1">
      <c r="A1231" s="61" t="s">
        <v>1082</v>
      </c>
      <c r="B1231" s="62" t="s">
        <v>26</v>
      </c>
      <c r="C1231" s="63" t="s">
        <v>1083</v>
      </c>
      <c r="D1231" s="1219" t="str">
        <f>IFERROR(UPPER(IF(B1231="CPU",VLOOKUP(C1231,#REF!,2,0),IF(B1231="SINAPI",VLOOKUP(C1231,#REF!,2,0),IF(B1231="EDIF",VLOOKUP(C1231,#REF!,2,0),IF(B1231="CDHU",VLOOKUP(C1231,#REF!,2,0),IF(B1231="FDE",VLOOKUP(C1231,'FDE 10-23 '!$A$4:$E$3180,2,0),IF(B1231="INFRA",VLOOKUP(C1231,#REF!,2,0),""))))))),"")</f>
        <v>LIMPEZA DA OBRA</v>
      </c>
      <c r="E1231" s="65" t="str">
        <f>VLOOKUP(C1231,'FDE 10-23 '!$A$4:$E$3180,3,0)</f>
        <v>M2</v>
      </c>
      <c r="F1231" s="1112">
        <v>3189.8</v>
      </c>
      <c r="G1231" s="66"/>
      <c r="H1231" s="1220"/>
      <c r="I1231" s="66"/>
      <c r="J1231" s="66"/>
      <c r="K1231" s="66"/>
      <c r="L1231" s="1222"/>
      <c r="M1231" s="51"/>
      <c r="N1231" s="52"/>
      <c r="O1231" s="25"/>
      <c r="P1231" s="25"/>
    </row>
    <row r="1232" spans="1:16" ht="30" customHeight="1">
      <c r="A1232" s="61"/>
      <c r="B1232" s="62"/>
      <c r="C1232" s="63"/>
      <c r="D1232" s="1219" t="s">
        <v>11062</v>
      </c>
      <c r="E1232" s="65"/>
      <c r="F1232" s="88"/>
      <c r="G1232" s="66"/>
      <c r="H1232" s="1220"/>
      <c r="I1232" s="66"/>
      <c r="J1232" s="66"/>
      <c r="K1232" s="66"/>
      <c r="L1232" s="1222"/>
      <c r="M1232" s="51"/>
      <c r="N1232" s="52"/>
      <c r="O1232" s="25"/>
      <c r="P1232" s="25"/>
    </row>
    <row r="1233" spans="1:16" ht="30" customHeight="1">
      <c r="A1233" s="53" t="s">
        <v>1084</v>
      </c>
      <c r="B1233" s="54"/>
      <c r="C1233" s="54" t="s">
        <v>1085</v>
      </c>
      <c r="D1233" s="1216" t="s">
        <v>1086</v>
      </c>
      <c r="E1233" s="56" t="str">
        <f>IFERROR(UPPER(IF(B1233="CPU",VLOOKUP(C1233,#REF!,3,0),IF(B1233="SINAPI",VLOOKUP(C1233,#REF!,3,0),IF(B1233="EDIF",VLOOKUP(C1233,#REF!,3,0),IF(B1233="CDHU",VLOOKUP(C1233,#REF!,3,0),IF(B1233="FDE",VLOOKUP(C1233,#REF!,3,0),IF(B1233="INFRA",VLOOKUP(C1233,#REF!,3,0),""))))))),"")</f>
        <v/>
      </c>
      <c r="F1233" s="1232"/>
      <c r="G1233" s="57"/>
      <c r="H1233" s="1217"/>
      <c r="I1233" s="1217"/>
      <c r="J1233" s="1217"/>
      <c r="K1233" s="1217"/>
      <c r="L1233" s="1218"/>
      <c r="M1233" s="51"/>
      <c r="N1233" s="52"/>
      <c r="O1233" s="25"/>
      <c r="P1233" s="25"/>
    </row>
    <row r="1234" spans="1:16" ht="30" customHeight="1">
      <c r="A1234" s="61" t="s">
        <v>1087</v>
      </c>
      <c r="B1234" s="62" t="s">
        <v>26</v>
      </c>
      <c r="C1234" s="63" t="s">
        <v>1088</v>
      </c>
      <c r="D1234" s="1219" t="str">
        <f>IFERROR(UPPER(IF(B1234="CPU",VLOOKUP(C1234,#REF!,2,0),IF(B1234="SINAPI",VLOOKUP(C1234,#REF!,2,0),IF(B1234="EDIF",VLOOKUP(C1234,#REF!,2,0),IF(B1234="CDHU",VLOOKUP(C1234,#REF!,2,0),IF(B1234="FDE",VLOOKUP(C1234,'FDE 10-23 '!$A$4:$E$3180,2,0),IF(B1234="INFRA",VLOOKUP(C1234,#REF!,2,0),""))))))),"")</f>
        <v>ESCAVACAO MANUAL - PROFUNDIDADE ATE 1.80 M</v>
      </c>
      <c r="E1234" s="65" t="str">
        <f>VLOOKUP(C1234,'FDE 10-23 '!$A$4:$E$3180,3,0)</f>
        <v>M3</v>
      </c>
      <c r="F1234" s="88"/>
      <c r="G1234" s="66"/>
      <c r="H1234" s="1220"/>
      <c r="I1234" s="66"/>
      <c r="J1234" s="66"/>
      <c r="K1234" s="66"/>
      <c r="L1234" s="1221" t="s">
        <v>11063</v>
      </c>
      <c r="M1234" s="51"/>
      <c r="N1234" s="52"/>
      <c r="O1234" s="25"/>
      <c r="P1234" s="25"/>
    </row>
    <row r="1235" spans="1:16" ht="30" customHeight="1">
      <c r="A1235" s="61" t="s">
        <v>1089</v>
      </c>
      <c r="B1235" s="62" t="s">
        <v>26</v>
      </c>
      <c r="C1235" s="63" t="s">
        <v>1090</v>
      </c>
      <c r="D1235" s="1219" t="str">
        <f>IFERROR(UPPER(IF(B1235="CPU",VLOOKUP(C1235,#REF!,2,0),IF(B1235="SINAPI",VLOOKUP(C1235,#REF!,2,0),IF(B1235="EDIF",VLOOKUP(C1235,#REF!,2,0),IF(B1235="CDHU",VLOOKUP(C1235,#REF!,2,0),IF(B1235="FDE",VLOOKUP(C1235,'FDE 10-23 '!$A$4:$E$3180,2,0),IF(B1235="INFRA",VLOOKUP(C1235,#REF!,2,0),""))))))),"")</f>
        <v>APILOAMENTO PARA SIMPLES REGULARIZACAO</v>
      </c>
      <c r="E1235" s="65" t="str">
        <f>VLOOKUP(C1235,'FDE 10-23 '!$A$4:$E$3180,3,0)</f>
        <v>M2</v>
      </c>
      <c r="F1235" s="88"/>
      <c r="G1235" s="66"/>
      <c r="H1235" s="1220"/>
      <c r="I1235" s="66"/>
      <c r="J1235" s="66"/>
      <c r="K1235" s="66"/>
      <c r="L1235" s="1221" t="s">
        <v>11063</v>
      </c>
      <c r="M1235" s="51"/>
      <c r="N1235" s="52"/>
      <c r="O1235" s="25"/>
      <c r="P1235" s="25"/>
    </row>
    <row r="1236" spans="1:16" ht="30" customHeight="1">
      <c r="A1236" s="61" t="s">
        <v>1091</v>
      </c>
      <c r="B1236" s="62" t="s">
        <v>26</v>
      </c>
      <c r="C1236" s="63" t="s">
        <v>1092</v>
      </c>
      <c r="D1236" s="1219" t="str">
        <f>IFERROR(UPPER(IF(B1236="CPU",VLOOKUP(C1236,#REF!,2,0),IF(B1236="SINAPI",VLOOKUP(C1236,#REF!,2,0),IF(B1236="EDIF",VLOOKUP(C1236,#REF!,2,0),IF(B1236="CDHU",VLOOKUP(C1236,#REF!,2,0),IF(B1236="FDE",VLOOKUP(C1236,'FDE 10-23 '!$A$4:$E$3180,2,0),IF(B1236="INFRA",VLOOKUP(C1236,#REF!,2,0),""))))))),"")</f>
        <v>REATERRO INTERNO APILOADO</v>
      </c>
      <c r="E1236" s="65" t="str">
        <f>VLOOKUP(C1236,'FDE 10-23 '!$A$4:$E$3180,3,0)</f>
        <v>M3</v>
      </c>
      <c r="F1236" s="88"/>
      <c r="G1236" s="66"/>
      <c r="H1236" s="1220"/>
      <c r="I1236" s="66"/>
      <c r="J1236" s="66"/>
      <c r="K1236" s="66"/>
      <c r="L1236" s="1221" t="s">
        <v>11063</v>
      </c>
      <c r="M1236" s="51"/>
      <c r="N1236" s="52"/>
      <c r="O1236" s="25"/>
      <c r="P1236" s="25"/>
    </row>
    <row r="1237" spans="1:16" ht="30" customHeight="1">
      <c r="A1237" s="61" t="s">
        <v>1093</v>
      </c>
      <c r="B1237" s="62" t="s">
        <v>26</v>
      </c>
      <c r="C1237" s="63" t="s">
        <v>1094</v>
      </c>
      <c r="D1237" s="1219" t="str">
        <f>IFERROR(UPPER(IF(B1237="CPU",VLOOKUP(C1237,#REF!,2,0),IF(B1237="SINAPI",VLOOKUP(C1237,#REF!,2,0),IF(B1237="EDIF",VLOOKUP(C1237,#REF!,2,0),IF(B1237="CDHU",VLOOKUP(C1237,#REF!,2,0),IF(B1237="FDE",VLOOKUP(C1237,'FDE 10-23 '!$A$4:$E$3180,2,0),IF(B1237="INFRA",VLOOKUP(C1237,#REF!,2,0),""))))))),"")</f>
        <v>LASTRO DE CONCRETO - 5CM</v>
      </c>
      <c r="E1237" s="65" t="str">
        <f>VLOOKUP(C1237,'FDE 10-23 '!$A$4:$E$3180,3,0)</f>
        <v>M2</v>
      </c>
      <c r="F1237" s="88"/>
      <c r="G1237" s="66"/>
      <c r="H1237" s="1220"/>
      <c r="I1237" s="66"/>
      <c r="J1237" s="66"/>
      <c r="K1237" s="66"/>
      <c r="L1237" s="1221" t="s">
        <v>11063</v>
      </c>
      <c r="M1237" s="51"/>
      <c r="N1237" s="52"/>
      <c r="O1237" s="25"/>
      <c r="P1237" s="25"/>
    </row>
    <row r="1238" spans="1:16" ht="30" customHeight="1">
      <c r="A1238" s="61" t="s">
        <v>1095</v>
      </c>
      <c r="B1238" s="62" t="s">
        <v>26</v>
      </c>
      <c r="C1238" s="63" t="s">
        <v>1096</v>
      </c>
      <c r="D1238" s="1219" t="str">
        <f>IFERROR(UPPER(IF(B1238="CPU",VLOOKUP(C1238,#REF!,2,0),IF(B1238="SINAPI",VLOOKUP(C1238,#REF!,2,0),IF(B1238="EDIF",VLOOKUP(C1238,#REF!,2,0),IF(B1238="CDHU",VLOOKUP(C1238,#REF!,2,0),IF(B1238="FDE",VLOOKUP(C1238,'FDE 10-23 '!$A$4:$E$3180,2,0),IF(B1238="INFRA",VLOOKUP(C1238,#REF!,2,0),""))))))),"")</f>
        <v>LASTRO DE PEDRA BRITADA - 5CM</v>
      </c>
      <c r="E1238" s="65" t="str">
        <f>VLOOKUP(C1238,'FDE 10-23 '!$A$4:$E$3180,3,0)</f>
        <v>M2</v>
      </c>
      <c r="F1238" s="88"/>
      <c r="G1238" s="66"/>
      <c r="H1238" s="1220"/>
      <c r="I1238" s="66"/>
      <c r="J1238" s="66"/>
      <c r="K1238" s="66"/>
      <c r="L1238" s="1221" t="s">
        <v>11063</v>
      </c>
      <c r="M1238" s="51"/>
      <c r="N1238" s="52"/>
      <c r="O1238" s="25"/>
      <c r="P1238" s="25"/>
    </row>
    <row r="1239" spans="1:16" ht="30" customHeight="1">
      <c r="A1239" s="53" t="s">
        <v>1097</v>
      </c>
      <c r="B1239" s="54"/>
      <c r="C1239" s="54" t="s">
        <v>1098</v>
      </c>
      <c r="D1239" s="1216" t="s">
        <v>1099</v>
      </c>
      <c r="E1239" s="56" t="str">
        <f>IFERROR(UPPER(IF(B1239="CPU",VLOOKUP(C1239,#REF!,3,0),IF(B1239="SINAPI",VLOOKUP(C1239,#REF!,3,0),IF(B1239="EDIF",VLOOKUP(C1239,#REF!,3,0),IF(B1239="CDHU",VLOOKUP(C1239,#REF!,3,0),IF(B1239="FDE",VLOOKUP(C1239,#REF!,3,0),IF(B1239="INFRA",VLOOKUP(C1239,#REF!,3,0),""))))))),"")</f>
        <v/>
      </c>
      <c r="F1239" s="1232"/>
      <c r="G1239" s="57"/>
      <c r="H1239" s="1217"/>
      <c r="I1239" s="1217"/>
      <c r="J1239" s="1217"/>
      <c r="K1239" s="1217"/>
      <c r="L1239" s="1218"/>
      <c r="M1239" s="51"/>
      <c r="N1239" s="52"/>
      <c r="O1239" s="25"/>
      <c r="P1239" s="25"/>
    </row>
    <row r="1240" spans="1:16" ht="30" customHeight="1">
      <c r="A1240" s="61" t="s">
        <v>1100</v>
      </c>
      <c r="B1240" s="62" t="s">
        <v>26</v>
      </c>
      <c r="C1240" s="63" t="s">
        <v>1101</v>
      </c>
      <c r="D1240" s="1219" t="str">
        <f>IFERROR(UPPER(IF(B1240="CPU",VLOOKUP(C1240,#REF!,2,0),IF(B1240="SINAPI",VLOOKUP(C1240,#REF!,2,0),IF(B1240="EDIF",VLOOKUP(C1240,#REF!,2,0),IF(B1240="CDHU",VLOOKUP(C1240,#REF!,2,0),IF(B1240="FDE",VLOOKUP(C1240,'FDE 10-23 '!$A$4:$E$3180,2,0),IF(B1240="INFRA",VLOOKUP(C1240,#REF!,2,0),""))))))),"")</f>
        <v>FORMAS DE MADEIRA MACICA</v>
      </c>
      <c r="E1240" s="65" t="str">
        <f>VLOOKUP(C1240,'FDE 10-23 '!$A$4:$E$3180,3,0)</f>
        <v>M2</v>
      </c>
      <c r="F1240" s="88"/>
      <c r="G1240" s="66"/>
      <c r="H1240" s="1220"/>
      <c r="I1240" s="66"/>
      <c r="J1240" s="66"/>
      <c r="K1240" s="66"/>
      <c r="L1240" s="1221" t="s">
        <v>11063</v>
      </c>
      <c r="M1240" s="51"/>
      <c r="N1240" s="52"/>
      <c r="O1240" s="25"/>
      <c r="P1240" s="25"/>
    </row>
    <row r="1241" spans="1:16" ht="30" customHeight="1">
      <c r="A1241" s="61" t="s">
        <v>1102</v>
      </c>
      <c r="B1241" s="62" t="s">
        <v>26</v>
      </c>
      <c r="C1241" s="63" t="s">
        <v>1103</v>
      </c>
      <c r="D1241" s="1219" t="str">
        <f>IFERROR(UPPER(IF(B1241="CPU",VLOOKUP(C1241,#REF!,2,0),IF(B1241="SINAPI",VLOOKUP(C1241,#REF!,2,0),IF(B1241="EDIF",VLOOKUP(C1241,#REF!,2,0),IF(B1241="CDHU",VLOOKUP(C1241,#REF!,2,0),IF(B1241="FDE",VLOOKUP(C1241,'FDE 10-23 '!$A$4:$E$3180,2,0),IF(B1241="INFRA",VLOOKUP(C1241,#REF!,2,0),""))))))),"")</f>
        <v>ACO CA 50 (A OU B) FYK = 500 M PA</v>
      </c>
      <c r="E1241" s="65" t="str">
        <f>VLOOKUP(C1241,'FDE 10-23 '!$A$4:$E$3180,3,0)</f>
        <v>KG</v>
      </c>
      <c r="F1241" s="88"/>
      <c r="G1241" s="66"/>
      <c r="H1241" s="1220"/>
      <c r="I1241" s="66"/>
      <c r="J1241" s="66"/>
      <c r="K1241" s="66"/>
      <c r="L1241" s="1221" t="s">
        <v>11063</v>
      </c>
      <c r="M1241" s="51"/>
      <c r="N1241" s="52"/>
      <c r="O1241" s="25"/>
      <c r="P1241" s="25"/>
    </row>
    <row r="1242" spans="1:16" ht="30" customHeight="1">
      <c r="A1242" s="61" t="s">
        <v>1104</v>
      </c>
      <c r="B1242" s="62" t="s">
        <v>26</v>
      </c>
      <c r="C1242" s="63" t="s">
        <v>1105</v>
      </c>
      <c r="D1242" s="1219" t="str">
        <f>IFERROR(UPPER(IF(B1242="CPU",VLOOKUP(C1242,#REF!,2,0),IF(B1242="SINAPI",VLOOKUP(C1242,#REF!,2,0),IF(B1242="EDIF",VLOOKUP(C1242,#REF!,2,0),IF(B1242="CDHU",VLOOKUP(C1242,#REF!,2,0),IF(B1242="FDE",VLOOKUP(C1242,'FDE 10-23 '!$A$4:$E$3180,2,0),IF(B1242="INFRA",VLOOKUP(C1242,#REF!,2,0),""))))))),"")</f>
        <v>ACO CA 60 (A OU B) FYK = 600 M PA</v>
      </c>
      <c r="E1242" s="65" t="str">
        <f>VLOOKUP(C1242,'FDE 10-23 '!$A$4:$E$3180,3,0)</f>
        <v>KG</v>
      </c>
      <c r="F1242" s="88"/>
      <c r="G1242" s="66"/>
      <c r="H1242" s="1220"/>
      <c r="I1242" s="66"/>
      <c r="J1242" s="66"/>
      <c r="K1242" s="66"/>
      <c r="L1242" s="1221" t="s">
        <v>11063</v>
      </c>
      <c r="M1242" s="51"/>
      <c r="N1242" s="52"/>
      <c r="O1242" s="25"/>
      <c r="P1242" s="25"/>
    </row>
    <row r="1243" spans="1:16" ht="30" customHeight="1">
      <c r="A1243" s="61" t="s">
        <v>1106</v>
      </c>
      <c r="B1243" s="62" t="s">
        <v>26</v>
      </c>
      <c r="C1243" s="63" t="s">
        <v>1107</v>
      </c>
      <c r="D1243" s="1219" t="str">
        <f>IFERROR(UPPER(IF(B1243="CPU",VLOOKUP(C1243,#REF!,2,0),IF(B1243="SINAPI",VLOOKUP(C1243,#REF!,2,0),IF(B1243="EDIF",VLOOKUP(C1243,#REF!,2,0),IF(B1243="CDHU",VLOOKUP(C1243,#REF!,2,0),IF(B1243="FDE",VLOOKUP(C1243,'FDE 10-23 '!$A$4:$E$3180,2,0),IF(B1243="INFRA",VLOOKUP(C1243,#REF!,2,0),""))))))),"")</f>
        <v>CONCRETO DOSADO E LANCADO FCK=25 MPA</v>
      </c>
      <c r="E1243" s="65" t="str">
        <f>VLOOKUP(C1243,'FDE 10-23 '!$A$4:$E$3180,3,0)</f>
        <v>M3</v>
      </c>
      <c r="F1243" s="88"/>
      <c r="G1243" s="66"/>
      <c r="H1243" s="1220"/>
      <c r="I1243" s="66"/>
      <c r="J1243" s="66"/>
      <c r="K1243" s="66"/>
      <c r="L1243" s="1221" t="s">
        <v>11063</v>
      </c>
      <c r="M1243" s="51"/>
      <c r="N1243" s="52"/>
      <c r="O1243" s="25"/>
      <c r="P1243" s="25"/>
    </row>
    <row r="1244" spans="1:16" ht="30" customHeight="1">
      <c r="A1244" s="61" t="s">
        <v>1108</v>
      </c>
      <c r="B1244" s="62" t="s">
        <v>26</v>
      </c>
      <c r="C1244" s="63" t="s">
        <v>1109</v>
      </c>
      <c r="D1244" s="1219" t="str">
        <f>IFERROR(UPPER(IF(B1244="CPU",VLOOKUP(C1244,#REF!,2,0),IF(B1244="SINAPI",VLOOKUP(C1244,#REF!,2,0),IF(B1244="EDIF",VLOOKUP(C1244,#REF!,2,0),IF(B1244="CDHU",VLOOKUP(C1244,#REF!,2,0),IF(B1244="FDE",VLOOKUP(C1244,'FDE 10-23 '!$A$4:$E$3180,2,0),IF(B1244="INFRA",VLOOKUP(C1244,#REF!,2,0),""))))))),"")</f>
        <v>CONCRETO GROUT, PREPARADO NO LOCAL, LANÇADO E ADENSADO</v>
      </c>
      <c r="E1244" s="65" t="str">
        <f>VLOOKUP(C1244,'FDE 10-23 '!$A$4:$E$3180,3,0)</f>
        <v>M3</v>
      </c>
      <c r="F1244" s="88"/>
      <c r="G1244" s="66"/>
      <c r="H1244" s="1220"/>
      <c r="I1244" s="66"/>
      <c r="J1244" s="66"/>
      <c r="K1244" s="66"/>
      <c r="L1244" s="1221" t="s">
        <v>11063</v>
      </c>
      <c r="M1244" s="51"/>
      <c r="N1244" s="52"/>
      <c r="O1244" s="25"/>
      <c r="P1244" s="25"/>
    </row>
    <row r="1245" spans="1:16" ht="30" customHeight="1">
      <c r="A1245" s="53" t="s">
        <v>1110</v>
      </c>
      <c r="B1245" s="54"/>
      <c r="C1245" s="54" t="s">
        <v>1111</v>
      </c>
      <c r="D1245" s="1216" t="s">
        <v>1112</v>
      </c>
      <c r="E1245" s="56" t="str">
        <f>IFERROR(UPPER(IF(B1245="CPU",VLOOKUP(C1245,#REF!,3,0),IF(B1245="SINAPI",VLOOKUP(C1245,#REF!,3,0),IF(B1245="EDIF",VLOOKUP(C1245,#REF!,3,0),IF(B1245="CDHU",VLOOKUP(C1245,#REF!,3,0),IF(B1245="FDE",VLOOKUP(C1245,#REF!,3,0),IF(B1245="INFRA",VLOOKUP(C1245,#REF!,3,0),""))))))),"")</f>
        <v/>
      </c>
      <c r="F1245" s="1232"/>
      <c r="G1245" s="57"/>
      <c r="H1245" s="1217"/>
      <c r="I1245" s="1217"/>
      <c r="J1245" s="1217"/>
      <c r="K1245" s="1217"/>
      <c r="L1245" s="1218"/>
      <c r="M1245" s="51"/>
      <c r="N1245" s="52"/>
      <c r="O1245" s="25"/>
      <c r="P1245" s="25"/>
    </row>
    <row r="1246" spans="1:16" ht="30" customHeight="1">
      <c r="A1246" s="61" t="s">
        <v>1113</v>
      </c>
      <c r="B1246" s="62" t="s">
        <v>26</v>
      </c>
      <c r="C1246" s="63" t="s">
        <v>1114</v>
      </c>
      <c r="D1246" s="1219" t="str">
        <f>IFERROR(UPPER(IF(B1246="CPU",VLOOKUP(C1246,#REF!,2,0),IF(B1246="SINAPI",VLOOKUP(C1246,#REF!,2,0),IF(B1246="EDIF",VLOOKUP(C1246,#REF!,2,0),IF(B1246="CDHU",VLOOKUP(C1246,#REF!,2,0),IF(B1246="FDE",VLOOKUP(C1246,'FDE 10-23 '!$A$4:$E$3180,2,0),IF(B1246="INFRA",VLOOKUP(C1246,#REF!,2,0),""))))))),"")</f>
        <v>ALVENARIA AUTO PORTANTE BLOCO DE CONCRETO ESTRUTURAL DE 19X19X39 CM CLASSE A</v>
      </c>
      <c r="E1246" s="65" t="str">
        <f>VLOOKUP(C1246,'FDE 10-23 '!$A$4:$E$3180,3,0)</f>
        <v>M2</v>
      </c>
      <c r="F1246" s="88"/>
      <c r="G1246" s="66"/>
      <c r="H1246" s="1220"/>
      <c r="I1246" s="66"/>
      <c r="J1246" s="66"/>
      <c r="K1246" s="66"/>
      <c r="L1246" s="1221" t="s">
        <v>11063</v>
      </c>
      <c r="M1246" s="51"/>
      <c r="N1246" s="52"/>
      <c r="O1246" s="25"/>
      <c r="P1246" s="25"/>
    </row>
    <row r="1247" spans="1:16" ht="30" customHeight="1">
      <c r="A1247" s="61" t="s">
        <v>1115</v>
      </c>
      <c r="B1247" s="62" t="s">
        <v>26</v>
      </c>
      <c r="C1247" s="63" t="s">
        <v>1116</v>
      </c>
      <c r="D1247" s="1219" t="str">
        <f>IFERROR(UPPER(IF(B1247="CPU",VLOOKUP(C1247,#REF!,2,0),IF(B1247="SINAPI",VLOOKUP(C1247,#REF!,2,0),IF(B1247="EDIF",VLOOKUP(C1247,#REF!,2,0),IF(B1247="CDHU",VLOOKUP(C1247,#REF!,2,0),IF(B1247="FDE",VLOOKUP(C1247,'FDE 10-23 '!$A$4:$E$3180,2,0),IF(B1247="INFRA",VLOOKUP(C1247,#REF!,2,0),""))))))),"")</f>
        <v>IMPERMEABILIZACAO POR CRISTALIZACAO - MUROS DE ARRIMO</v>
      </c>
      <c r="E1247" s="65" t="str">
        <f>VLOOKUP(C1247,'FDE 10-23 '!$A$4:$E$3180,3,0)</f>
        <v>M2</v>
      </c>
      <c r="F1247" s="88"/>
      <c r="G1247" s="66"/>
      <c r="H1247" s="1220"/>
      <c r="I1247" s="66"/>
      <c r="J1247" s="66"/>
      <c r="K1247" s="66"/>
      <c r="L1247" s="1221" t="s">
        <v>11063</v>
      </c>
      <c r="M1247" s="51"/>
      <c r="N1247" s="52"/>
      <c r="O1247" s="25"/>
      <c r="P1247" s="25"/>
    </row>
    <row r="1248" spans="1:16" ht="30" customHeight="1">
      <c r="A1248" s="53" t="s">
        <v>1117</v>
      </c>
      <c r="B1248" s="54"/>
      <c r="C1248" s="54" t="s">
        <v>1118</v>
      </c>
      <c r="D1248" s="1216" t="s">
        <v>1119</v>
      </c>
      <c r="E1248" s="56" t="str">
        <f>IFERROR(UPPER(IF(B1248="CPU",VLOOKUP(C1248,#REF!,3,0),IF(B1248="SINAPI",VLOOKUP(C1248,#REF!,3,0),IF(B1248="EDIF",VLOOKUP(C1248,#REF!,3,0),IF(B1248="CDHU",VLOOKUP(C1248,#REF!,3,0),IF(B1248="FDE",VLOOKUP(C1248,#REF!,3,0),IF(B1248="INFRA",VLOOKUP(C1248,#REF!,3,0),""))))))),"")</f>
        <v/>
      </c>
      <c r="F1248" s="1232"/>
      <c r="G1248" s="57"/>
      <c r="H1248" s="1217"/>
      <c r="I1248" s="1217"/>
      <c r="J1248" s="1217"/>
      <c r="K1248" s="1217"/>
      <c r="L1248" s="1218"/>
      <c r="M1248" s="51"/>
      <c r="N1248" s="52"/>
      <c r="O1248" s="25"/>
      <c r="P1248" s="25"/>
    </row>
    <row r="1249" spans="1:16" ht="30" customHeight="1">
      <c r="A1249" s="61" t="s">
        <v>1120</v>
      </c>
      <c r="B1249" s="62" t="s">
        <v>26</v>
      </c>
      <c r="C1249" s="63" t="s">
        <v>1121</v>
      </c>
      <c r="D1249" s="1219" t="str">
        <f>IFERROR(UPPER(IF(B1249="CPU",VLOOKUP(C1249,#REF!,2,0),IF(B1249="SINAPI",VLOOKUP(C1249,#REF!,2,0),IF(B1249="EDIF",VLOOKUP(C1249,#REF!,2,0),IF(B1249="CDHU",VLOOKUP(C1249,#REF!,2,0),IF(B1249="FDE",VLOOKUP(C1249,'FDE 10-23 '!$A$4:$E$3180,2,0),IF(B1249="INFRA",VLOOKUP(C1249,#REF!,2,0),""))))))),"")</f>
        <v>SI-01 PLACA DE SINALIZAÇÃO DE AMBIENTE 200X200MM (PORTA)</v>
      </c>
      <c r="E1249" s="65" t="str">
        <f>VLOOKUP(C1249,'FDE 10-23 '!$A$4:$E$3180,3,0)</f>
        <v>UN</v>
      </c>
      <c r="F1249" s="1112">
        <v>43</v>
      </c>
      <c r="G1249" s="66"/>
      <c r="H1249" s="1220"/>
      <c r="I1249" s="66"/>
      <c r="J1249" s="66"/>
      <c r="K1249" s="66"/>
      <c r="L1249" s="1222"/>
      <c r="M1249" s="51"/>
      <c r="N1249" s="52"/>
      <c r="O1249" s="25"/>
      <c r="P1249" s="25"/>
    </row>
    <row r="1250" spans="1:16" ht="30" customHeight="1">
      <c r="A1250" s="61" t="s">
        <v>1122</v>
      </c>
      <c r="B1250" s="62" t="s">
        <v>26</v>
      </c>
      <c r="C1250" s="63" t="s">
        <v>1123</v>
      </c>
      <c r="D1250" s="1219" t="str">
        <f>IFERROR(UPPER(IF(B1250="CPU",VLOOKUP(C1250,#REF!,2,0),IF(B1250="SINAPI",VLOOKUP(C1250,#REF!,2,0),IF(B1250="EDIF",VLOOKUP(C1250,#REF!,2,0),IF(B1250="CDHU",VLOOKUP(C1250,#REF!,2,0),IF(B1250="FDE",VLOOKUP(C1250,'FDE 10-23 '!$A$4:$E$3180,2,0),IF(B1250="INFRA",VLOOKUP(C1250,#REF!,2,0),""))))))),"")</f>
        <v>SI-03 PLACA DE SINALIZAÇÃO DE AMBIENTE 200X200MM (PAREDE INTERNA)</v>
      </c>
      <c r="E1250" s="65" t="str">
        <f>VLOOKUP(C1250,'FDE 10-23 '!$A$4:$E$3180,3,0)</f>
        <v>UN</v>
      </c>
      <c r="F1250" s="1112">
        <v>12</v>
      </c>
      <c r="G1250" s="66"/>
      <c r="H1250" s="1220"/>
      <c r="I1250" s="66"/>
      <c r="J1250" s="66"/>
      <c r="K1250" s="66"/>
      <c r="L1250" s="1222"/>
      <c r="M1250" s="51"/>
      <c r="N1250" s="52"/>
      <c r="O1250" s="25"/>
      <c r="P1250" s="25"/>
    </row>
    <row r="1251" spans="1:16" ht="30" customHeight="1">
      <c r="A1251" s="61" t="s">
        <v>1124</v>
      </c>
      <c r="B1251" s="62" t="s">
        <v>26</v>
      </c>
      <c r="C1251" s="63" t="s">
        <v>1125</v>
      </c>
      <c r="D1251" s="1219" t="str">
        <f>IFERROR(UPPER(IF(B1251="CPU",VLOOKUP(C1251,#REF!,2,0),IF(B1251="SINAPI",VLOOKUP(C1251,#REF!,2,0),IF(B1251="EDIF",VLOOKUP(C1251,#REF!,2,0),IF(B1251="CDHU",VLOOKUP(C1251,#REF!,2,0),IF(B1251="FDE",VLOOKUP(C1251,'FDE 10-23 '!$A$4:$E$3180,2,0),IF(B1251="INFRA",VLOOKUP(C1251,#REF!,2,0),""))))))),"")</f>
        <v>SI-11 SINALIZAÇÃO HORIZONTAL PARA VAGA ACESSIVEL</v>
      </c>
      <c r="E1251" s="65" t="str">
        <f>VLOOKUP(C1251,'FDE 10-23 '!$A$4:$E$3180,3,0)</f>
        <v>UN</v>
      </c>
      <c r="F1251" s="1112">
        <v>2</v>
      </c>
      <c r="G1251" s="66"/>
      <c r="H1251" s="1220"/>
      <c r="I1251" s="66"/>
      <c r="J1251" s="66"/>
      <c r="K1251" s="66"/>
      <c r="L1251" s="1222"/>
      <c r="M1251" s="51"/>
      <c r="N1251" s="52"/>
      <c r="O1251" s="25"/>
      <c r="P1251" s="25"/>
    </row>
    <row r="1252" spans="1:16" ht="30" customHeight="1">
      <c r="A1252" s="61" t="s">
        <v>1126</v>
      </c>
      <c r="B1252" s="62" t="s">
        <v>26</v>
      </c>
      <c r="C1252" s="63" t="s">
        <v>1127</v>
      </c>
      <c r="D1252" s="1219" t="str">
        <f>IFERROR(UPPER(IF(B1252="CPU",VLOOKUP(C1252,#REF!,2,0),IF(B1252="SINAPI",VLOOKUP(C1252,#REF!,2,0),IF(B1252="EDIF",VLOOKUP(C1252,#REF!,2,0),IF(B1252="CDHU",VLOOKUP(C1252,#REF!,2,0),IF(B1252="FDE",VLOOKUP(C1252,'FDE 10-23 '!$A$4:$E$3180,2,0),IF(B1252="INFRA",VLOOKUP(C1252,#REF!,2,0),""))))))),"")</f>
        <v>SI-12 TOTEM DE IDENTIFICAÇÃO</v>
      </c>
      <c r="E1252" s="65" t="str">
        <f>VLOOKUP(C1252,'FDE 10-23 '!$A$4:$E$3180,3,0)</f>
        <v>UN</v>
      </c>
      <c r="F1252" s="1112">
        <v>1</v>
      </c>
      <c r="G1252" s="66"/>
      <c r="H1252" s="1220"/>
      <c r="I1252" s="66"/>
      <c r="J1252" s="66"/>
      <c r="K1252" s="66"/>
      <c r="L1252" s="1222"/>
      <c r="M1252" s="51"/>
      <c r="N1252" s="52"/>
      <c r="O1252" s="25"/>
      <c r="P1252" s="25"/>
    </row>
    <row r="1253" spans="1:16" ht="30" customHeight="1">
      <c r="A1253" s="61"/>
      <c r="B1253" s="62"/>
      <c r="C1253" s="63"/>
      <c r="D1253" s="1219" t="s">
        <v>11064</v>
      </c>
      <c r="E1253" s="65"/>
      <c r="F1253" s="66"/>
      <c r="G1253" s="67"/>
      <c r="H1253" s="67"/>
      <c r="I1253" s="67"/>
      <c r="J1253" s="67"/>
      <c r="K1253" s="67"/>
      <c r="L1253" s="71"/>
      <c r="M1253" s="51"/>
      <c r="N1253" s="52"/>
      <c r="O1253" s="25"/>
      <c r="P1253" s="25"/>
    </row>
    <row r="1254" spans="1:16" ht="30" customHeight="1">
      <c r="A1254" s="53" t="s">
        <v>1128</v>
      </c>
      <c r="B1254" s="54"/>
      <c r="C1254" s="54" t="s">
        <v>1129</v>
      </c>
      <c r="D1254" s="1216" t="s">
        <v>1130</v>
      </c>
      <c r="E1254" s="56" t="str">
        <f>IFERROR(UPPER(IF(B1254="CPU",VLOOKUP(C1254,#REF!,3,0),IF(B1254="SINAPI",VLOOKUP(C1254,#REF!,3,0),IF(B1254="EDIF",VLOOKUP(C1254,#REF!,3,0),IF(B1254="CDHU",VLOOKUP(C1254,#REF!,3,0),IF(B1254="FDE",VLOOKUP(C1254,#REF!,3,0),IF(B1254="INFRA",VLOOKUP(C1254,#REF!,3,0),""))))))),"")</f>
        <v/>
      </c>
      <c r="F1254" s="1232"/>
      <c r="G1254" s="57"/>
      <c r="H1254" s="1217"/>
      <c r="I1254" s="1217"/>
      <c r="J1254" s="1217"/>
      <c r="K1254" s="1217"/>
      <c r="L1254" s="1218"/>
      <c r="M1254" s="51"/>
      <c r="N1254" s="52"/>
      <c r="O1254" s="25"/>
      <c r="P1254" s="25"/>
    </row>
    <row r="1255" spans="1:16" ht="30" customHeight="1">
      <c r="A1255" s="61" t="s">
        <v>1131</v>
      </c>
      <c r="B1255" s="62" t="s">
        <v>26</v>
      </c>
      <c r="C1255" s="63" t="s">
        <v>1132</v>
      </c>
      <c r="D1255" s="1219" t="str">
        <f>IFERROR(UPPER(IF(B1255="CPU",VLOOKUP(C1255,#REF!,2,0),IF(B1255="SINAPI",VLOOKUP(C1255,#REF!,2,0),IF(B1255="EDIF",VLOOKUP(C1255,#REF!,2,0),IF(B1255="CDHU",VLOOKUP(C1255,#REF!,2,0),IF(B1255="FDE",VLOOKUP(C1255,'FDE 10-23 '!$A$4:$E$3180,2,0),IF(B1255="INFRA",VLOOKUP(C1255,#REF!,2,0),""))))))),"")</f>
        <v>FUROS EM CONCRETO COM D=3/4" E PROFUNDIDADE 15CM</v>
      </c>
      <c r="E1255" s="65" t="str">
        <f>VLOOKUP(C1255,'FDE 10-23 '!$A$4:$E$3180,3,0)</f>
        <v>UN</v>
      </c>
      <c r="F1255" s="1112">
        <v>128</v>
      </c>
      <c r="G1255" s="66"/>
      <c r="H1255" s="1220"/>
      <c r="I1255" s="66"/>
      <c r="J1255" s="66"/>
      <c r="K1255" s="66"/>
      <c r="L1255" s="1222"/>
      <c r="M1255" s="51"/>
      <c r="N1255" s="52"/>
      <c r="O1255" s="25"/>
      <c r="P1255" s="25"/>
    </row>
    <row r="1256" spans="1:16" ht="30" customHeight="1">
      <c r="A1256" s="61"/>
      <c r="B1256" s="62"/>
      <c r="C1256" s="63"/>
      <c r="D1256" s="1219" t="s">
        <v>11065</v>
      </c>
      <c r="E1256" s="65"/>
      <c r="F1256" s="66"/>
      <c r="G1256" s="67"/>
      <c r="H1256" s="67"/>
      <c r="I1256" s="67"/>
      <c r="J1256" s="67"/>
      <c r="K1256" s="67"/>
      <c r="L1256" s="71"/>
      <c r="M1256" s="51"/>
      <c r="N1256" s="52"/>
      <c r="O1256" s="25"/>
      <c r="P1256" s="25"/>
    </row>
    <row r="1257" spans="1:16" ht="30" customHeight="1">
      <c r="A1257" s="53" t="s">
        <v>1133</v>
      </c>
      <c r="B1257" s="54"/>
      <c r="C1257" s="54" t="s">
        <v>1134</v>
      </c>
      <c r="D1257" s="1216" t="s">
        <v>1135</v>
      </c>
      <c r="E1257" s="56" t="str">
        <f>IFERROR(UPPER(IF(B1257="CPU",VLOOKUP(C1257,#REF!,3,0),IF(B1257="SINAPI",VLOOKUP(C1257,#REF!,3,0),IF(B1257="EDIF",VLOOKUP(C1257,#REF!,3,0),IF(B1257="CDHU",VLOOKUP(C1257,#REF!,3,0),IF(B1257="FDE",VLOOKUP(C1257,#REF!,3,0),IF(B1257="INFRA",VLOOKUP(C1257,#REF!,3,0),""))))))),"")</f>
        <v/>
      </c>
      <c r="F1257" s="1232"/>
      <c r="G1257" s="57"/>
      <c r="H1257" s="1217"/>
      <c r="I1257" s="1217"/>
      <c r="J1257" s="1217"/>
      <c r="K1257" s="1217"/>
      <c r="L1257" s="1218"/>
      <c r="M1257" s="51"/>
      <c r="N1257" s="52"/>
      <c r="O1257" s="25"/>
      <c r="P1257" s="25"/>
    </row>
    <row r="1258" spans="1:16" ht="30" customHeight="1">
      <c r="A1258" s="61" t="s">
        <v>1136</v>
      </c>
      <c r="B1258" s="62" t="s">
        <v>26</v>
      </c>
      <c r="C1258" s="63" t="s">
        <v>1137</v>
      </c>
      <c r="D1258" s="1219" t="str">
        <f>IFERROR(UPPER(IF(B1258="CPU",VLOOKUP(C1258,#REF!,2,0),IF(B1258="SINAPI",VLOOKUP(C1258,#REF!,2,0),IF(B1258="EDIF",VLOOKUP(C1258,#REF!,2,0),IF(B1258="CDHU",VLOOKUP(C1258,#REF!,2,0),IF(B1258="FDE",VLOOKUP(C1258,'FDE 10-23 '!$A$4:$E$3180,2,0),IF(B1258="INFRA",VLOOKUP(C1258,#REF!,2,0),""))))))),"")</f>
        <v>APARELHO DE APOIO DE NEOPRENE FRETADO</v>
      </c>
      <c r="E1258" s="65" t="str">
        <f>VLOOKUP(C1258,'FDE 10-23 '!$A$4:$E$3180,3,0)</f>
        <v>D3</v>
      </c>
      <c r="F1258" s="1112">
        <v>83</v>
      </c>
      <c r="G1258" s="66"/>
      <c r="H1258" s="1220"/>
      <c r="I1258" s="66"/>
      <c r="J1258" s="66"/>
      <c r="K1258" s="66"/>
      <c r="L1258" s="1222"/>
      <c r="M1258" s="51"/>
      <c r="N1258" s="52"/>
      <c r="O1258" s="25"/>
      <c r="P1258" s="25"/>
    </row>
    <row r="1259" spans="1:16" ht="30" customHeight="1">
      <c r="A1259" s="61"/>
      <c r="B1259" s="62"/>
      <c r="C1259" s="63"/>
      <c r="D1259" s="1219" t="s">
        <v>11065</v>
      </c>
      <c r="E1259" s="65"/>
      <c r="F1259" s="66"/>
      <c r="G1259" s="67"/>
      <c r="H1259" s="67"/>
      <c r="I1259" s="67"/>
      <c r="J1259" s="67"/>
      <c r="K1259" s="67"/>
      <c r="L1259" s="71"/>
      <c r="M1259" s="51"/>
      <c r="N1259" s="52"/>
      <c r="O1259" s="25"/>
      <c r="P1259" s="25"/>
    </row>
    <row r="1261" spans="1:16">
      <c r="D1261" s="16" t="s">
        <v>1141</v>
      </c>
      <c r="E1261" s="79">
        <f ca="1">TODAY()</f>
        <v>45436</v>
      </c>
      <c r="F1261" s="16"/>
      <c r="G1261" s="18"/>
      <c r="H1261" s="19"/>
      <c r="I1261" s="16"/>
      <c r="J1261" s="16"/>
      <c r="K1261" s="17"/>
    </row>
    <row r="1262" spans="1:16">
      <c r="D1262" s="16"/>
      <c r="E1262" s="17"/>
      <c r="F1262" s="16"/>
      <c r="G1262" s="18"/>
      <c r="H1262" s="19"/>
      <c r="I1262" s="16"/>
      <c r="J1262" s="6" t="s">
        <v>1142</v>
      </c>
      <c r="K1262" s="6"/>
    </row>
    <row r="1263" spans="1:16">
      <c r="D1263" s="16"/>
      <c r="E1263" s="17"/>
      <c r="F1263" s="16"/>
      <c r="G1263" s="18"/>
      <c r="H1263" s="19"/>
      <c r="I1263" s="16"/>
      <c r="J1263" s="6" t="s">
        <v>1143</v>
      </c>
      <c r="K1263" s="6"/>
    </row>
    <row r="1264" spans="1:16">
      <c r="D1264" s="16"/>
      <c r="E1264" s="17"/>
      <c r="F1264" s="16"/>
      <c r="G1264" s="18"/>
      <c r="H1264" s="19"/>
      <c r="I1264" s="16"/>
      <c r="J1264" s="6" t="s">
        <v>1144</v>
      </c>
      <c r="K1264" s="6"/>
    </row>
    <row r="1265" spans="4:11">
      <c r="D1265" s="6"/>
      <c r="E1265" s="6"/>
      <c r="F1265" s="16"/>
      <c r="G1265" s="18"/>
      <c r="H1265" s="19"/>
      <c r="J1265" s="80"/>
      <c r="K1265" s="80"/>
    </row>
    <row r="1266" spans="4:11">
      <c r="D1266" s="17"/>
      <c r="E1266" s="17"/>
      <c r="F1266" s="16"/>
      <c r="G1266" s="18"/>
      <c r="H1266" s="19"/>
      <c r="J1266" s="6" t="s">
        <v>1145</v>
      </c>
      <c r="K1266" s="6"/>
    </row>
    <row r="1267" spans="4:11">
      <c r="D1267" s="17"/>
      <c r="E1267" s="17"/>
      <c r="F1267" s="16"/>
      <c r="G1267" s="18"/>
      <c r="H1267" s="19"/>
      <c r="I1267" s="16"/>
      <c r="J1267" s="6" t="s">
        <v>1146</v>
      </c>
      <c r="K1267" s="6"/>
    </row>
    <row r="1268" spans="4:11">
      <c r="D1268" s="16"/>
      <c r="E1268" s="17"/>
      <c r="F1268" s="16"/>
      <c r="G1268" s="18"/>
      <c r="H1268" s="19"/>
      <c r="I1268" s="16"/>
      <c r="J1268" s="6" t="s">
        <v>1145</v>
      </c>
      <c r="K1268" s="6"/>
    </row>
  </sheetData>
  <mergeCells count="12">
    <mergeCell ref="J1267:K1267"/>
    <mergeCell ref="J1268:K1268"/>
    <mergeCell ref="J1262:K1262"/>
    <mergeCell ref="J1263:K1263"/>
    <mergeCell ref="J1264:K1264"/>
    <mergeCell ref="D1265:E1265"/>
    <mergeCell ref="J1266:K1266"/>
    <mergeCell ref="A1:L3"/>
    <mergeCell ref="A4:B4"/>
    <mergeCell ref="C4:L4"/>
    <mergeCell ref="A5:B5"/>
    <mergeCell ref="C5:L5"/>
  </mergeCells>
  <printOptions horizontalCentered="1"/>
  <pageMargins left="0.78749999999999998" right="0.78749999999999998" top="1.0631944444444399" bottom="1.0631944444444399" header="0.78749999999999998" footer="0.78749999999999998"/>
  <pageSetup paperSize="9" scale="35" fitToHeight="35" orientation="landscape" horizontalDpi="300" verticalDpi="300" r:id="rId1"/>
  <headerFooter>
    <oddHeader>&amp;C&amp;"Times New Roman,Normal"&amp;12&amp;A</oddHeader>
    <oddFooter>&amp;C&amp;"Times New Roman,Normal"&amp;12Página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3115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18</vt:i4>
      </vt:variant>
      <vt:variant>
        <vt:lpstr>Intervalos Nomeados</vt:lpstr>
      </vt:variant>
      <vt:variant>
        <vt:i4>25</vt:i4>
      </vt:variant>
    </vt:vector>
  </HeadingPairs>
  <TitlesOfParts>
    <vt:vector size="43" baseType="lpstr">
      <vt:lpstr>ORÇ ATUAL MEMÓRIA</vt:lpstr>
      <vt:lpstr>ORÇ Atualizado</vt:lpstr>
      <vt:lpstr>ORÇAMENTO </vt:lpstr>
      <vt:lpstr>CRONOGRAMA</vt:lpstr>
      <vt:lpstr>MC 01</vt:lpstr>
      <vt:lpstr>PLANILHA </vt:lpstr>
      <vt:lpstr>BM</vt:lpstr>
      <vt:lpstr>RRE</vt:lpstr>
      <vt:lpstr>FDE-JUNHO-08</vt:lpstr>
      <vt:lpstr>PLANILHA</vt:lpstr>
      <vt:lpstr>PREMISSAS</vt:lpstr>
      <vt:lpstr>Planilha2</vt:lpstr>
      <vt:lpstr>LISTA DE ITENS</vt:lpstr>
      <vt:lpstr>ORÇAMENTO (2)</vt:lpstr>
      <vt:lpstr>ORÇAMENTO</vt:lpstr>
      <vt:lpstr>BDI</vt:lpstr>
      <vt:lpstr>FDE 10-23 </vt:lpstr>
      <vt:lpstr>Planilha17</vt:lpstr>
      <vt:lpstr>BDI!Area_de_impressao</vt:lpstr>
      <vt:lpstr>BM!Area_de_impressao</vt:lpstr>
      <vt:lpstr>CRONOGRAMA!Area_de_impressao</vt:lpstr>
      <vt:lpstr>'LISTA DE ITENS'!Area_de_impressao</vt:lpstr>
      <vt:lpstr>'MC 01'!Area_de_impressao</vt:lpstr>
      <vt:lpstr>'ORÇ ATUAL MEMÓRIA'!Area_de_impressao</vt:lpstr>
      <vt:lpstr>'ORÇ Atualizado'!Area_de_impressao</vt:lpstr>
      <vt:lpstr>ORÇAMENTO!Area_de_impressao</vt:lpstr>
      <vt:lpstr>'ORÇAMENTO '!Area_de_impressao</vt:lpstr>
      <vt:lpstr>'ORÇAMENTO (2)'!Area_de_impressao</vt:lpstr>
      <vt:lpstr>PLANILHA!Area_de_impressao</vt:lpstr>
      <vt:lpstr>'PLANILHA '!Area_de_impressao</vt:lpstr>
      <vt:lpstr>Planilha17!Area_de_impressao</vt:lpstr>
      <vt:lpstr>RRE!Area_de_impressao</vt:lpstr>
      <vt:lpstr>BM!Titulos_de_impressao</vt:lpstr>
      <vt:lpstr>CRONOGRAMA!Titulos_de_impressao</vt:lpstr>
      <vt:lpstr>'MC 01'!Titulos_de_impressao</vt:lpstr>
      <vt:lpstr>'ORÇ ATUAL MEMÓRIA'!Titulos_de_impressao</vt:lpstr>
      <vt:lpstr>'ORÇ Atualizado'!Titulos_de_impressao</vt:lpstr>
      <vt:lpstr>ORÇAMENTO!Titulos_de_impressao</vt:lpstr>
      <vt:lpstr>'ORÇAMENTO '!Titulos_de_impressao</vt:lpstr>
      <vt:lpstr>'ORÇAMENTO (2)'!Titulos_de_impressao</vt:lpstr>
      <vt:lpstr>PLANILHA!Titulos_de_impressao</vt:lpstr>
      <vt:lpstr>'PLANILHA '!Titulos_de_impressao</vt:lpstr>
      <vt:lpstr>Planilha17!Titulos_de_impressao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Alan S. Baldassa</dc:creator>
  <dc:description/>
  <cp:lastModifiedBy>Simone Aparecida Trinchette</cp:lastModifiedBy>
  <cp:revision>23</cp:revision>
  <cp:lastPrinted>2024-05-02T16:23:51Z</cp:lastPrinted>
  <dcterms:created xsi:type="dcterms:W3CDTF">2017-04-19T16:26:45Z</dcterms:created>
  <dcterms:modified xsi:type="dcterms:W3CDTF">2024-05-24T17:16:01Z</dcterms:modified>
  <dc:language>pt-BR</dc:language>
</cp:coreProperties>
</file>